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4"/>
  <workbookPr/>
  <mc:AlternateContent xmlns:mc="http://schemas.openxmlformats.org/markup-compatibility/2006">
    <mc:Choice Requires="x15">
      <x15ac:absPath xmlns:x15ac="http://schemas.microsoft.com/office/spreadsheetml/2010/11/ac" url="/Users/asmitnepali/Downloads/"/>
    </mc:Choice>
  </mc:AlternateContent>
  <xr:revisionPtr revIDLastSave="0" documentId="13_ncr:1_{1549570E-AB73-5B48-9CA7-9D8A0D2F422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LCA_FY2021_Q1" sheetId="1" r:id="rId1"/>
  </sheets>
  <definedNames>
    <definedName name="_xlnm._FilterDatabase" localSheetId="0" hidden="1">LCA_FY2021_Q1!$A$1:$CR$80623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537" i="1" l="1"/>
  <c r="AC1617" i="1"/>
  <c r="AC1536" i="1"/>
  <c r="AC1535" i="1"/>
  <c r="AC1534" i="1"/>
  <c r="AC1533" i="1"/>
  <c r="AC1532" i="1"/>
  <c r="AC1616" i="1"/>
  <c r="AC1531" i="1"/>
  <c r="AC1530" i="1"/>
  <c r="AC1615" i="1"/>
  <c r="AC1529" i="1"/>
  <c r="AC1528" i="1"/>
  <c r="AC1527" i="1"/>
  <c r="AC1526" i="1"/>
  <c r="AC1525" i="1"/>
  <c r="AC1614" i="1"/>
  <c r="AC1524" i="1"/>
  <c r="AC1613" i="1"/>
  <c r="AC1523" i="1"/>
  <c r="AC1522" i="1"/>
  <c r="AC1521" i="1"/>
  <c r="AC1520" i="1"/>
  <c r="AC1612" i="1"/>
  <c r="AC1611" i="1"/>
  <c r="AC1519" i="1"/>
  <c r="AC1518" i="1"/>
  <c r="AC1610" i="1"/>
  <c r="AC1517" i="1"/>
  <c r="AC1516" i="1"/>
  <c r="AC1515" i="1"/>
  <c r="AC1514" i="1"/>
  <c r="AC1609" i="1"/>
  <c r="AC1513" i="1"/>
  <c r="AC1512" i="1"/>
  <c r="AC1511" i="1"/>
  <c r="AC1510" i="1"/>
  <c r="AC1509" i="1"/>
  <c r="AC1508" i="1"/>
  <c r="AC1507" i="1"/>
  <c r="AC1506" i="1"/>
  <c r="AC1505" i="1"/>
  <c r="AC1608" i="1"/>
  <c r="AC1504" i="1"/>
  <c r="AC1503" i="1"/>
  <c r="AC1607" i="1"/>
  <c r="AC1502" i="1"/>
  <c r="AC1501" i="1"/>
  <c r="AC1500" i="1"/>
  <c r="AC1499" i="1"/>
  <c r="AC1498" i="1"/>
  <c r="AC1497" i="1"/>
  <c r="AC1496" i="1"/>
  <c r="AC1606" i="1"/>
  <c r="AC1495" i="1"/>
  <c r="AC1620" i="1"/>
  <c r="AC1494" i="1"/>
  <c r="AC1493" i="1"/>
  <c r="AC1605" i="1"/>
  <c r="AC1492" i="1"/>
  <c r="AC1604" i="1"/>
  <c r="AC1603" i="1"/>
  <c r="AC1491" i="1"/>
  <c r="AC1490" i="1"/>
  <c r="AC1489" i="1"/>
  <c r="AC1602" i="1"/>
  <c r="AC1488" i="1"/>
  <c r="AC1487" i="1"/>
  <c r="AC1486" i="1"/>
  <c r="AC1485" i="1"/>
  <c r="AC1484" i="1"/>
  <c r="AC1601" i="1"/>
  <c r="AC1483" i="1"/>
  <c r="AC1482" i="1"/>
  <c r="AC1481" i="1"/>
  <c r="AC1600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599" i="1"/>
  <c r="AC1598" i="1"/>
  <c r="AC1468" i="1"/>
  <c r="AC1597" i="1"/>
  <c r="AC1596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595" i="1"/>
  <c r="AC1454" i="1"/>
  <c r="AC1453" i="1"/>
  <c r="AC1452" i="1"/>
  <c r="AC1451" i="1"/>
  <c r="AC1450" i="1"/>
  <c r="AC1449" i="1"/>
  <c r="AC1594" i="1"/>
  <c r="AC1593" i="1"/>
  <c r="AC1448" i="1"/>
  <c r="AC1447" i="1"/>
  <c r="AC1446" i="1"/>
  <c r="AC1445" i="1"/>
  <c r="AC1444" i="1"/>
  <c r="AC1443" i="1"/>
  <c r="AC1442" i="1"/>
  <c r="AC1441" i="1"/>
  <c r="AC1440" i="1"/>
  <c r="AC1439" i="1"/>
  <c r="AC1619" i="1"/>
  <c r="AC1438" i="1"/>
  <c r="AC1592" i="1"/>
  <c r="AC1437" i="1"/>
  <c r="AC1591" i="1"/>
  <c r="AC1436" i="1"/>
  <c r="AC1435" i="1"/>
  <c r="AC1434" i="1"/>
  <c r="AC1433" i="1"/>
  <c r="AC1432" i="1"/>
  <c r="AC1590" i="1"/>
  <c r="AC1431" i="1"/>
  <c r="AC1430" i="1"/>
  <c r="AC1589" i="1"/>
  <c r="AC1429" i="1"/>
  <c r="AC1588" i="1"/>
  <c r="AC1428" i="1"/>
  <c r="AC1427" i="1"/>
  <c r="AC1587" i="1"/>
  <c r="AC1426" i="1"/>
  <c r="AC1425" i="1"/>
  <c r="AC1586" i="1"/>
  <c r="AC1585" i="1"/>
  <c r="AC1584" i="1"/>
  <c r="AC1424" i="1"/>
  <c r="AC1423" i="1"/>
  <c r="AC1422" i="1"/>
  <c r="AC1421" i="1"/>
  <c r="AC1420" i="1"/>
  <c r="AC1419" i="1"/>
  <c r="AC1418" i="1"/>
  <c r="AC1417" i="1"/>
  <c r="AC1583" i="1"/>
  <c r="AC1416" i="1"/>
  <c r="AC2000" i="1"/>
  <c r="AC1999" i="1"/>
  <c r="AC1998" i="1"/>
  <c r="AC1415" i="1"/>
  <c r="AC1997" i="1"/>
  <c r="AC1414" i="1"/>
  <c r="AC1413" i="1"/>
  <c r="AC1582" i="1"/>
  <c r="AC1996" i="1"/>
  <c r="AC1995" i="1"/>
  <c r="AC1994" i="1"/>
  <c r="AC1993" i="1"/>
  <c r="AC1992" i="1"/>
  <c r="AC1412" i="1"/>
  <c r="AC1991" i="1"/>
  <c r="AC1411" i="1"/>
  <c r="AC1990" i="1"/>
  <c r="AC1989" i="1"/>
  <c r="AC1988" i="1"/>
  <c r="AC1987" i="1"/>
  <c r="AC1986" i="1"/>
  <c r="AC1985" i="1"/>
  <c r="AC1984" i="1"/>
  <c r="AC1410" i="1"/>
  <c r="AC1983" i="1"/>
  <c r="AC1982" i="1"/>
  <c r="AC1981" i="1"/>
  <c r="AC1980" i="1"/>
  <c r="AC1979" i="1"/>
  <c r="AC1581" i="1"/>
  <c r="AC1978" i="1"/>
  <c r="AC1977" i="1"/>
  <c r="AC1976" i="1"/>
  <c r="AC1975" i="1"/>
  <c r="AC1409" i="1"/>
  <c r="AC1974" i="1"/>
  <c r="AC1973" i="1"/>
  <c r="AC1972" i="1"/>
  <c r="AC1971" i="1"/>
  <c r="AC1970" i="1"/>
  <c r="AC1969" i="1"/>
  <c r="AC1968" i="1"/>
  <c r="AC1967" i="1"/>
  <c r="AC1966" i="1"/>
  <c r="AC1965" i="1"/>
  <c r="AC1408" i="1"/>
  <c r="AC1964" i="1"/>
  <c r="AC1963" i="1"/>
  <c r="AC1962" i="1"/>
  <c r="AC1961" i="1"/>
  <c r="AC1407" i="1"/>
  <c r="AC1960" i="1"/>
  <c r="AC1406" i="1"/>
  <c r="AC1959" i="1"/>
  <c r="AC1958" i="1"/>
  <c r="AC1405" i="1"/>
  <c r="AC1957" i="1"/>
  <c r="AC1956" i="1"/>
  <c r="AC1955" i="1"/>
  <c r="AC1954" i="1"/>
  <c r="AC1953" i="1"/>
  <c r="AC1952" i="1"/>
  <c r="AC1951" i="1"/>
  <c r="AC1950" i="1"/>
  <c r="AC1949" i="1"/>
  <c r="AC1580" i="1"/>
  <c r="AC1948" i="1"/>
  <c r="AC1947" i="1"/>
  <c r="AC1946" i="1"/>
  <c r="AC1404" i="1"/>
  <c r="AC1945" i="1"/>
  <c r="AC1944" i="1"/>
  <c r="AC1943" i="1"/>
  <c r="AC1942" i="1"/>
  <c r="AC1403" i="1"/>
  <c r="AC1402" i="1"/>
  <c r="AC1941" i="1"/>
  <c r="AC1401" i="1"/>
  <c r="AC1940" i="1"/>
  <c r="AC1939" i="1"/>
  <c r="AC1938" i="1"/>
  <c r="AC1400" i="1"/>
  <c r="AC1937" i="1"/>
  <c r="AC1936" i="1"/>
  <c r="AC1935" i="1"/>
  <c r="AC1934" i="1"/>
  <c r="AC1399" i="1"/>
  <c r="AC1933" i="1"/>
  <c r="AC1932" i="1"/>
  <c r="AC1398" i="1"/>
  <c r="AC1931" i="1"/>
  <c r="AC1930" i="1"/>
  <c r="AC1929" i="1"/>
  <c r="AC1928" i="1"/>
  <c r="AC1397" i="1"/>
  <c r="AC1579" i="1"/>
  <c r="AC1396" i="1"/>
  <c r="AC1927" i="1"/>
  <c r="AC1926" i="1"/>
  <c r="AC1925" i="1"/>
  <c r="AC1924" i="1"/>
  <c r="AC1923" i="1"/>
  <c r="AC1395" i="1"/>
  <c r="AC1394" i="1"/>
  <c r="AC1578" i="1"/>
  <c r="AC1922" i="1"/>
  <c r="AC1921" i="1"/>
  <c r="AC1920" i="1"/>
  <c r="AC1393" i="1"/>
  <c r="AC1919" i="1"/>
  <c r="AC1918" i="1"/>
  <c r="AC1917" i="1"/>
  <c r="AC1916" i="1"/>
  <c r="AC1392" i="1"/>
  <c r="AC1915" i="1"/>
  <c r="AC1391" i="1"/>
  <c r="AC1577" i="1"/>
  <c r="AC1576" i="1"/>
  <c r="AC1914" i="1"/>
  <c r="AC1913" i="1"/>
  <c r="AC1390" i="1"/>
  <c r="AC1575" i="1"/>
  <c r="AC1912" i="1"/>
  <c r="AC1911" i="1"/>
  <c r="AC1574" i="1"/>
  <c r="AC1910" i="1"/>
  <c r="AC1389" i="1"/>
  <c r="AC1909" i="1"/>
  <c r="AC1908" i="1"/>
  <c r="AC1907" i="1"/>
  <c r="AC1388" i="1"/>
  <c r="AC1906" i="1"/>
  <c r="AC1387" i="1"/>
  <c r="AC1905" i="1"/>
  <c r="AC1904" i="1"/>
  <c r="AC1903" i="1"/>
  <c r="AC1902" i="1"/>
  <c r="AC1901" i="1"/>
  <c r="AC1900" i="1"/>
  <c r="AC1899" i="1"/>
  <c r="AC1386" i="1"/>
  <c r="AC1898" i="1"/>
  <c r="AC1897" i="1"/>
  <c r="AC1896" i="1"/>
  <c r="AC1895" i="1"/>
  <c r="AC1385" i="1"/>
  <c r="AC1384" i="1"/>
  <c r="AC1894" i="1"/>
  <c r="AC1893" i="1"/>
  <c r="AC1892" i="1"/>
  <c r="AC1891" i="1"/>
  <c r="AC1890" i="1"/>
  <c r="AC1383" i="1"/>
  <c r="AC1889" i="1"/>
  <c r="AC1888" i="1"/>
  <c r="AC1887" i="1"/>
  <c r="AC1886" i="1"/>
  <c r="AC1885" i="1"/>
  <c r="AC1884" i="1"/>
  <c r="AC1883" i="1"/>
  <c r="AC1573" i="1"/>
  <c r="AC1882" i="1"/>
  <c r="AC1881" i="1"/>
  <c r="AC1880" i="1"/>
  <c r="AC1879" i="1"/>
  <c r="AC1878" i="1"/>
  <c r="AC1877" i="1"/>
  <c r="AC1382" i="1"/>
  <c r="AC1381" i="1"/>
  <c r="AC1876" i="1"/>
  <c r="AC1875" i="1"/>
  <c r="AC1874" i="1"/>
  <c r="AC1873" i="1"/>
  <c r="AC1872" i="1"/>
  <c r="AC1380" i="1"/>
  <c r="AC1572" i="1"/>
  <c r="AC1871" i="1"/>
  <c r="AC1870" i="1"/>
  <c r="AC1869" i="1"/>
  <c r="AC1618" i="1"/>
  <c r="AC1379" i="1"/>
  <c r="AC1868" i="1"/>
  <c r="AC1867" i="1"/>
  <c r="AC1866" i="1"/>
  <c r="AC1378" i="1"/>
  <c r="AC1865" i="1"/>
  <c r="AC1864" i="1"/>
  <c r="AC1571" i="1"/>
  <c r="AC1863" i="1"/>
  <c r="AC1570" i="1"/>
  <c r="AC1377" i="1"/>
  <c r="AC1862" i="1"/>
  <c r="AC1861" i="1"/>
  <c r="AC1860" i="1"/>
  <c r="AC1376" i="1"/>
  <c r="AC1375" i="1"/>
  <c r="AC1859" i="1"/>
  <c r="AC1374" i="1"/>
  <c r="AC1373" i="1"/>
  <c r="AC1372" i="1"/>
  <c r="AC1371" i="1"/>
  <c r="AC1569" i="1"/>
  <c r="AC1858" i="1"/>
  <c r="AC1857" i="1"/>
  <c r="AC1370" i="1"/>
  <c r="AC1856" i="1"/>
  <c r="AC1855" i="1"/>
  <c r="AC1369" i="1"/>
  <c r="AC1368" i="1"/>
  <c r="AC1854" i="1"/>
  <c r="AC1568" i="1"/>
  <c r="AC1367" i="1"/>
  <c r="AC1366" i="1"/>
  <c r="AC1853" i="1"/>
  <c r="AC1852" i="1"/>
  <c r="AC1365" i="1"/>
  <c r="AC1851" i="1"/>
  <c r="AC1850" i="1"/>
  <c r="AC1364" i="1"/>
  <c r="AC1849" i="1"/>
  <c r="AC1363" i="1"/>
  <c r="AC1848" i="1"/>
  <c r="AC1847" i="1"/>
  <c r="AC1846" i="1"/>
  <c r="AC1845" i="1"/>
  <c r="AC1362" i="1"/>
  <c r="AC1844" i="1"/>
  <c r="AC1843" i="1"/>
  <c r="AC1842" i="1"/>
  <c r="AC1841" i="1"/>
  <c r="AC1840" i="1"/>
  <c r="AC1361" i="1"/>
  <c r="AC1839" i="1"/>
  <c r="AC1360" i="1"/>
  <c r="AC1567" i="1"/>
  <c r="AC1838" i="1"/>
  <c r="AC1359" i="1"/>
  <c r="AC1566" i="1"/>
  <c r="AC1565" i="1"/>
  <c r="AC1837" i="1"/>
  <c r="AC1836" i="1"/>
  <c r="AC1835" i="1"/>
  <c r="AC1564" i="1"/>
  <c r="AC1834" i="1"/>
  <c r="AC1833" i="1"/>
  <c r="AC1832" i="1"/>
  <c r="AC1831" i="1"/>
  <c r="AC1830" i="1"/>
  <c r="AC1563" i="1"/>
  <c r="AC1829" i="1"/>
  <c r="AC1828" i="1"/>
  <c r="AC1827" i="1"/>
  <c r="AC1358" i="1"/>
  <c r="AC1826" i="1"/>
  <c r="AC1825" i="1"/>
  <c r="AC1824" i="1"/>
  <c r="AC1562" i="1"/>
  <c r="AC1823" i="1"/>
  <c r="AC1822" i="1"/>
  <c r="AC1821" i="1"/>
  <c r="AC1820" i="1"/>
  <c r="AC1819" i="1"/>
  <c r="AC1818" i="1"/>
  <c r="AC1357" i="1"/>
  <c r="AC1817" i="1"/>
  <c r="AC1816" i="1"/>
  <c r="AC1356" i="1"/>
  <c r="AC1355" i="1"/>
  <c r="AC1815" i="1"/>
  <c r="AC1814" i="1"/>
  <c r="AC1354" i="1"/>
  <c r="AC1813" i="1"/>
  <c r="AC1812" i="1"/>
  <c r="AC1561" i="1"/>
  <c r="AC1811" i="1"/>
  <c r="AC1810" i="1"/>
  <c r="AC1809" i="1"/>
  <c r="AC1808" i="1"/>
  <c r="AC1807" i="1"/>
  <c r="AC1806" i="1"/>
  <c r="AC1805" i="1"/>
  <c r="AC1353" i="1"/>
  <c r="AC1804" i="1"/>
  <c r="AC1560" i="1"/>
  <c r="AC1352" i="1"/>
  <c r="AC1803" i="1"/>
  <c r="AC1559" i="1"/>
  <c r="AC1802" i="1"/>
  <c r="AC1801" i="1"/>
  <c r="AC1800" i="1"/>
  <c r="AC1799" i="1"/>
  <c r="AC1351" i="1"/>
  <c r="AC1798" i="1"/>
  <c r="AC1797" i="1"/>
  <c r="AC1796" i="1"/>
  <c r="AC1795" i="1"/>
  <c r="AC1794" i="1"/>
  <c r="AC1793" i="1"/>
  <c r="AC1792" i="1"/>
  <c r="AC1558" i="1"/>
  <c r="AC1557" i="1"/>
  <c r="AC1791" i="1"/>
  <c r="AC1790" i="1"/>
  <c r="AC1789" i="1"/>
  <c r="AC1788" i="1"/>
  <c r="AC1350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556" i="1"/>
  <c r="AC1775" i="1"/>
  <c r="AC1774" i="1"/>
  <c r="AC1773" i="1"/>
  <c r="AC1772" i="1"/>
  <c r="AC1771" i="1"/>
  <c r="AC1770" i="1"/>
  <c r="AC1555" i="1"/>
  <c r="AC1769" i="1"/>
  <c r="AC1768" i="1"/>
  <c r="AC1767" i="1"/>
  <c r="AC1766" i="1"/>
  <c r="AC1765" i="1"/>
  <c r="AC1554" i="1"/>
  <c r="AC1764" i="1"/>
  <c r="AC1763" i="1"/>
  <c r="AC1762" i="1"/>
  <c r="AC1761" i="1"/>
  <c r="AC1760" i="1"/>
  <c r="AC1759" i="1"/>
  <c r="AC1349" i="1"/>
  <c r="AC1348" i="1"/>
  <c r="AC1347" i="1"/>
  <c r="AC1346" i="1"/>
  <c r="AC1758" i="1"/>
  <c r="AC1757" i="1"/>
  <c r="AC1756" i="1"/>
  <c r="AC1345" i="1"/>
  <c r="AC1344" i="1"/>
  <c r="AC1755" i="1"/>
  <c r="AC1754" i="1"/>
  <c r="AC1553" i="1"/>
  <c r="AC1753" i="1"/>
  <c r="AC1752" i="1"/>
  <c r="AC1751" i="1"/>
  <c r="AC1750" i="1"/>
  <c r="AC1343" i="1"/>
  <c r="AC1749" i="1"/>
  <c r="AC1748" i="1"/>
  <c r="AC1747" i="1"/>
  <c r="AC1746" i="1"/>
  <c r="AC1745" i="1"/>
  <c r="AC1744" i="1"/>
  <c r="AC1743" i="1"/>
  <c r="AC1742" i="1"/>
  <c r="AC1552" i="1"/>
  <c r="AC1741" i="1"/>
  <c r="AC1342" i="1"/>
  <c r="AC1740" i="1"/>
  <c r="AC1739" i="1"/>
  <c r="AC1738" i="1"/>
  <c r="AC1737" i="1"/>
  <c r="AC1736" i="1"/>
  <c r="AC1341" i="1"/>
  <c r="AC1735" i="1"/>
  <c r="AC1340" i="1"/>
  <c r="AC1734" i="1"/>
  <c r="AC1733" i="1"/>
  <c r="AC1732" i="1"/>
  <c r="AC1731" i="1"/>
  <c r="AC1730" i="1"/>
  <c r="AC1339" i="1"/>
  <c r="AC1729" i="1"/>
  <c r="AC1728" i="1"/>
  <c r="AC1727" i="1"/>
  <c r="AC1726" i="1"/>
  <c r="AC1725" i="1"/>
  <c r="AC1724" i="1"/>
  <c r="AC1338" i="1"/>
  <c r="AC1723" i="1"/>
  <c r="AC1722" i="1"/>
  <c r="AC1721" i="1"/>
  <c r="AC1720" i="1"/>
  <c r="AC1719" i="1"/>
  <c r="AC1337" i="1"/>
  <c r="AC1718" i="1"/>
  <c r="AC1717" i="1"/>
  <c r="AC1716" i="1"/>
  <c r="AC1336" i="1"/>
  <c r="AC1715" i="1"/>
  <c r="AC1714" i="1"/>
  <c r="AC1713" i="1"/>
  <c r="AC1712" i="1"/>
  <c r="AC1711" i="1"/>
  <c r="AC1551" i="1"/>
  <c r="AC1710" i="1"/>
  <c r="AC1335" i="1"/>
  <c r="AC1334" i="1"/>
  <c r="AC1709" i="1"/>
  <c r="AC1708" i="1"/>
  <c r="AC1707" i="1"/>
  <c r="AC1706" i="1"/>
  <c r="AC1550" i="1"/>
  <c r="AC1549" i="1"/>
  <c r="AC1705" i="1"/>
  <c r="AC1704" i="1"/>
  <c r="AC1333" i="1"/>
  <c r="AC1703" i="1"/>
  <c r="AC1702" i="1"/>
  <c r="AC1701" i="1"/>
  <c r="AC1332" i="1"/>
  <c r="AC1700" i="1"/>
  <c r="AC1699" i="1"/>
  <c r="AC1698" i="1"/>
  <c r="AC1697" i="1"/>
  <c r="AC1696" i="1"/>
  <c r="AC1695" i="1"/>
  <c r="AC1331" i="1"/>
  <c r="AC1694" i="1"/>
  <c r="AC1693" i="1"/>
  <c r="AC1692" i="1"/>
  <c r="AC1330" i="1"/>
  <c r="AC1691" i="1"/>
  <c r="AC1690" i="1"/>
  <c r="AC1548" i="1"/>
  <c r="AC1689" i="1"/>
  <c r="AC1688" i="1"/>
  <c r="AC1329" i="1"/>
  <c r="AC1687" i="1"/>
  <c r="AC1686" i="1"/>
  <c r="AC1328" i="1"/>
  <c r="AC1685" i="1"/>
  <c r="AC1684" i="1"/>
  <c r="AC1683" i="1"/>
  <c r="AC1682" i="1"/>
  <c r="AC1327" i="1"/>
  <c r="AC1547" i="1"/>
  <c r="AC1681" i="1"/>
  <c r="AC1326" i="1"/>
  <c r="AC1680" i="1"/>
  <c r="AC1679" i="1"/>
  <c r="AC1325" i="1"/>
  <c r="AC1678" i="1"/>
  <c r="AC1324" i="1"/>
  <c r="AC1677" i="1"/>
  <c r="AC1323" i="1"/>
  <c r="AC1676" i="1"/>
  <c r="AC1675" i="1"/>
  <c r="AC1674" i="1"/>
  <c r="AC1673" i="1"/>
  <c r="AC1672" i="1"/>
  <c r="AC1671" i="1"/>
  <c r="AC1670" i="1"/>
  <c r="AC1669" i="1"/>
  <c r="AC1668" i="1"/>
  <c r="AC1667" i="1"/>
  <c r="AC1322" i="1"/>
  <c r="AC1546" i="1"/>
  <c r="AC1666" i="1"/>
  <c r="AC1665" i="1"/>
  <c r="AC1321" i="1"/>
  <c r="AC1664" i="1"/>
  <c r="AC1663" i="1"/>
  <c r="AC1662" i="1"/>
  <c r="AC1661" i="1"/>
  <c r="AC1320" i="1"/>
  <c r="AC1660" i="1"/>
  <c r="AC1659" i="1"/>
  <c r="AC1658" i="1"/>
  <c r="AC1657" i="1"/>
  <c r="AC1656" i="1"/>
  <c r="AC1545" i="1"/>
  <c r="AC1655" i="1"/>
  <c r="AC1654" i="1"/>
  <c r="AC1319" i="1"/>
  <c r="AC1653" i="1"/>
  <c r="AC1318" i="1"/>
  <c r="AC1652" i="1"/>
  <c r="AC1651" i="1"/>
  <c r="AC1650" i="1"/>
  <c r="AC1544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543" i="1"/>
  <c r="AC1638" i="1"/>
  <c r="AC1637" i="1"/>
  <c r="AC1636" i="1"/>
  <c r="AC1542" i="1"/>
  <c r="AC1635" i="1"/>
  <c r="AC1634" i="1"/>
  <c r="AC1541" i="1"/>
  <c r="AC1633" i="1"/>
  <c r="AC1317" i="1"/>
  <c r="AC1316" i="1"/>
  <c r="AC1315" i="1"/>
  <c r="AC1540" i="1"/>
  <c r="AC1632" i="1"/>
  <c r="AC1314" i="1"/>
  <c r="AC1631" i="1"/>
  <c r="AC1630" i="1"/>
  <c r="AC1629" i="1"/>
  <c r="AC1628" i="1"/>
  <c r="AC1313" i="1"/>
  <c r="AC1312" i="1"/>
  <c r="AC1539" i="1"/>
  <c r="AC1627" i="1"/>
  <c r="AC1538" i="1"/>
  <c r="AC1311" i="1"/>
  <c r="AC1626" i="1"/>
  <c r="AC1625" i="1"/>
  <c r="AC1310" i="1"/>
  <c r="AC1624" i="1"/>
  <c r="AC1623" i="1"/>
  <c r="AC1622" i="1"/>
  <c r="AC1621" i="1"/>
  <c r="AC1309" i="1"/>
  <c r="AC1308" i="1"/>
  <c r="AC354" i="1"/>
  <c r="AC353" i="1"/>
  <c r="AC1307" i="1"/>
  <c r="AC352" i="1"/>
  <c r="AC351" i="1"/>
  <c r="AC1306" i="1"/>
  <c r="AC1305" i="1"/>
  <c r="AC1304" i="1"/>
  <c r="AC1303" i="1"/>
  <c r="AC1302" i="1"/>
  <c r="AC1301" i="1"/>
  <c r="AC350" i="1"/>
  <c r="AC349" i="1"/>
  <c r="AC1300" i="1"/>
  <c r="AC1299" i="1"/>
  <c r="AC1298" i="1"/>
  <c r="AC348" i="1"/>
  <c r="AC1297" i="1"/>
  <c r="AC487" i="1"/>
  <c r="AC1296" i="1"/>
  <c r="AC347" i="1"/>
  <c r="AC346" i="1"/>
  <c r="AC1295" i="1"/>
  <c r="AC1294" i="1"/>
  <c r="AC345" i="1"/>
  <c r="AC1293" i="1"/>
  <c r="AC1292" i="1"/>
  <c r="AC1291" i="1"/>
  <c r="AC1290" i="1"/>
  <c r="AC1289" i="1"/>
  <c r="AC344" i="1"/>
  <c r="AC343" i="1"/>
  <c r="AC1288" i="1"/>
  <c r="AC1287" i="1"/>
  <c r="AC486" i="1"/>
  <c r="AC1286" i="1"/>
  <c r="AC1285" i="1"/>
  <c r="AC1284" i="1"/>
  <c r="AC1283" i="1"/>
  <c r="AC485" i="1"/>
  <c r="AC1282" i="1"/>
  <c r="AC1281" i="1"/>
  <c r="AC1280" i="1"/>
  <c r="AC342" i="1"/>
  <c r="AC341" i="1"/>
  <c r="AC1279" i="1"/>
  <c r="AC340" i="1"/>
  <c r="AC1278" i="1"/>
  <c r="AC339" i="1"/>
  <c r="AC1277" i="1"/>
  <c r="AC1276" i="1"/>
  <c r="AC338" i="1"/>
  <c r="AC337" i="1"/>
  <c r="AC1275" i="1"/>
  <c r="AC484" i="1"/>
  <c r="AC1274" i="1"/>
  <c r="AC1273" i="1"/>
  <c r="AC336" i="1"/>
  <c r="AC1272" i="1"/>
  <c r="AC1271" i="1"/>
  <c r="AC483" i="1"/>
  <c r="AC1270" i="1"/>
  <c r="AC335" i="1"/>
  <c r="AC1269" i="1"/>
  <c r="AC334" i="1"/>
  <c r="AC1268" i="1"/>
  <c r="AC1267" i="1"/>
  <c r="AC1266" i="1"/>
  <c r="AC1265" i="1"/>
  <c r="AC1264" i="1"/>
  <c r="AC333" i="1"/>
  <c r="AC1263" i="1"/>
  <c r="AC1262" i="1"/>
  <c r="AC332" i="1"/>
  <c r="AC331" i="1"/>
  <c r="AC1261" i="1"/>
  <c r="AC1260" i="1"/>
  <c r="AC1259" i="1"/>
  <c r="AC1258" i="1"/>
  <c r="AC330" i="1"/>
  <c r="AC1257" i="1"/>
  <c r="AC1256" i="1"/>
  <c r="AC329" i="1"/>
  <c r="AC482" i="1"/>
  <c r="AC1255" i="1"/>
  <c r="AC481" i="1"/>
  <c r="AC328" i="1"/>
  <c r="AC480" i="1"/>
  <c r="AC1254" i="1"/>
  <c r="AC1253" i="1"/>
  <c r="AC1252" i="1"/>
  <c r="AC479" i="1"/>
  <c r="AC1251" i="1"/>
  <c r="AC1250" i="1"/>
  <c r="AC327" i="1"/>
  <c r="AC1249" i="1"/>
  <c r="AC326" i="1"/>
  <c r="AC1248" i="1"/>
  <c r="AC1247" i="1"/>
  <c r="AC478" i="1"/>
  <c r="AC325" i="1"/>
  <c r="AC1246" i="1"/>
  <c r="AC1245" i="1"/>
  <c r="AC324" i="1"/>
  <c r="AC1244" i="1"/>
  <c r="AC323" i="1"/>
  <c r="AC322" i="1"/>
  <c r="AC321" i="1"/>
  <c r="AC320" i="1"/>
  <c r="AC1243" i="1"/>
  <c r="AC1242" i="1"/>
  <c r="AC477" i="1"/>
  <c r="AC1241" i="1"/>
  <c r="AC319" i="1"/>
  <c r="AC318" i="1"/>
  <c r="AC1240" i="1"/>
  <c r="AC317" i="1"/>
  <c r="AC476" i="1"/>
  <c r="AC1239" i="1"/>
  <c r="AC1238" i="1"/>
  <c r="AC1237" i="1"/>
  <c r="AC1236" i="1"/>
  <c r="AC316" i="1"/>
  <c r="AC1235" i="1"/>
  <c r="AC1234" i="1"/>
  <c r="AC1233" i="1"/>
  <c r="AC1232" i="1"/>
  <c r="AC1231" i="1"/>
  <c r="AC1230" i="1"/>
  <c r="AC315" i="1"/>
  <c r="AC1229" i="1"/>
  <c r="AC1228" i="1"/>
  <c r="AC314" i="1"/>
  <c r="AC313" i="1"/>
  <c r="AC1227" i="1"/>
  <c r="AC1226" i="1"/>
  <c r="AC1225" i="1"/>
  <c r="AC312" i="1"/>
  <c r="AC475" i="1"/>
  <c r="AC1224" i="1"/>
  <c r="AC1223" i="1"/>
  <c r="AC1222" i="1"/>
  <c r="AC1221" i="1"/>
  <c r="AC1220" i="1"/>
  <c r="AC474" i="1"/>
  <c r="AC1219" i="1"/>
  <c r="AC311" i="1"/>
  <c r="AC1218" i="1"/>
  <c r="AC1217" i="1"/>
  <c r="AC1216" i="1"/>
  <c r="AC310" i="1"/>
  <c r="AC473" i="1"/>
  <c r="AC1215" i="1"/>
  <c r="AC1214" i="1"/>
  <c r="AC309" i="1"/>
  <c r="AC1213" i="1"/>
  <c r="AC308" i="1"/>
  <c r="AC1212" i="1"/>
  <c r="AC307" i="1"/>
  <c r="AC1211" i="1"/>
  <c r="AC472" i="1"/>
  <c r="AC1210" i="1"/>
  <c r="AC1209" i="1"/>
  <c r="AC1208" i="1"/>
  <c r="AC1207" i="1"/>
  <c r="AC1206" i="1"/>
  <c r="AC306" i="1"/>
  <c r="AC1205" i="1"/>
  <c r="AC1204" i="1"/>
  <c r="AC305" i="1"/>
  <c r="AC1203" i="1"/>
  <c r="AC1202" i="1"/>
  <c r="AC1201" i="1"/>
  <c r="AC1200" i="1"/>
  <c r="AC1199" i="1"/>
  <c r="AC1198" i="1"/>
  <c r="AC1197" i="1"/>
  <c r="AC1196" i="1"/>
  <c r="AC471" i="1"/>
  <c r="AC304" i="1"/>
  <c r="AC1195" i="1"/>
  <c r="AC303" i="1"/>
  <c r="AC1194" i="1"/>
  <c r="AC1193" i="1"/>
  <c r="AC1192" i="1"/>
  <c r="AC1191" i="1"/>
  <c r="AC1190" i="1"/>
  <c r="AC1189" i="1"/>
  <c r="AC1188" i="1"/>
  <c r="AC1187" i="1"/>
  <c r="AC302" i="1"/>
  <c r="AC1186" i="1"/>
  <c r="AC1185" i="1"/>
  <c r="AC470" i="1"/>
  <c r="AC469" i="1"/>
  <c r="AC1184" i="1"/>
  <c r="AC1183" i="1"/>
  <c r="AC1182" i="1"/>
  <c r="AC301" i="1"/>
  <c r="AC468" i="1"/>
  <c r="AC300" i="1"/>
  <c r="AC1181" i="1"/>
  <c r="AC1180" i="1"/>
  <c r="AC1179" i="1"/>
  <c r="AC299" i="1"/>
  <c r="AC298" i="1"/>
  <c r="AC467" i="1"/>
  <c r="AC297" i="1"/>
  <c r="AC1178" i="1"/>
  <c r="AC1177" i="1"/>
  <c r="AC296" i="1"/>
  <c r="AC1176" i="1"/>
  <c r="AC1175" i="1"/>
  <c r="AC1174" i="1"/>
  <c r="AC1173" i="1"/>
  <c r="AC466" i="1"/>
  <c r="AC1172" i="1"/>
  <c r="AC1171" i="1"/>
  <c r="AC1170" i="1"/>
  <c r="AC465" i="1"/>
  <c r="AC295" i="1"/>
  <c r="AC1169" i="1"/>
  <c r="AC294" i="1"/>
  <c r="AC1168" i="1"/>
  <c r="AC464" i="1"/>
  <c r="AC1167" i="1"/>
  <c r="AC1166" i="1"/>
  <c r="AC1165" i="1"/>
  <c r="AC1164" i="1"/>
  <c r="AC1163" i="1"/>
  <c r="AC293" i="1"/>
  <c r="AC1162" i="1"/>
  <c r="AC463" i="1"/>
  <c r="AC1161" i="1"/>
  <c r="AC292" i="1"/>
  <c r="AC1160" i="1"/>
  <c r="AC1159" i="1"/>
  <c r="AC291" i="1"/>
  <c r="AC1158" i="1"/>
  <c r="AC1157" i="1"/>
  <c r="AC1156" i="1"/>
  <c r="AC1155" i="1"/>
  <c r="AC290" i="1"/>
  <c r="AC1154" i="1"/>
  <c r="AC1153" i="1"/>
  <c r="AC1152" i="1"/>
  <c r="AC462" i="1"/>
  <c r="AC1151" i="1"/>
  <c r="AC1150" i="1"/>
  <c r="AC1149" i="1"/>
  <c r="AC461" i="1"/>
  <c r="AC1148" i="1"/>
  <c r="AC1147" i="1"/>
  <c r="AC1146" i="1"/>
  <c r="AC1145" i="1"/>
  <c r="AC1144" i="1"/>
  <c r="AC1143" i="1"/>
  <c r="AC1142" i="1"/>
  <c r="AC1141" i="1"/>
  <c r="AC1140" i="1"/>
  <c r="AC289" i="1"/>
  <c r="AC288" i="1"/>
  <c r="AC1139" i="1"/>
  <c r="AC1138" i="1"/>
  <c r="AC1137" i="1"/>
  <c r="AC1136" i="1"/>
  <c r="AC460" i="1"/>
  <c r="AC1135" i="1"/>
  <c r="AC1134" i="1"/>
  <c r="AC1133" i="1"/>
  <c r="AC287" i="1"/>
  <c r="AC286" i="1"/>
  <c r="AC1132" i="1"/>
  <c r="AC1131" i="1"/>
  <c r="AC1130" i="1"/>
  <c r="AC285" i="1"/>
  <c r="AC1129" i="1"/>
  <c r="AC1128" i="1"/>
  <c r="AC459" i="1"/>
  <c r="AC1127" i="1"/>
  <c r="AC284" i="1"/>
  <c r="AC1126" i="1"/>
  <c r="AC283" i="1"/>
  <c r="AC282" i="1"/>
  <c r="AC1125" i="1"/>
  <c r="AC1124" i="1"/>
  <c r="AC1123" i="1"/>
  <c r="AC1122" i="1"/>
  <c r="AC281" i="1"/>
  <c r="AC1121" i="1"/>
  <c r="AC1120" i="1"/>
  <c r="AC1119" i="1"/>
  <c r="AC1118" i="1"/>
  <c r="AC280" i="1"/>
  <c r="AC279" i="1"/>
  <c r="AC1117" i="1"/>
  <c r="AC278" i="1"/>
  <c r="AC277" i="1"/>
  <c r="AC1116" i="1"/>
  <c r="AC1115" i="1"/>
  <c r="AC1114" i="1"/>
  <c r="AC1113" i="1"/>
  <c r="AC276" i="1"/>
  <c r="AC458" i="1"/>
  <c r="AC275" i="1"/>
  <c r="AC1112" i="1"/>
  <c r="AC1111" i="1"/>
  <c r="AC274" i="1"/>
  <c r="AC1110" i="1"/>
  <c r="AC273" i="1"/>
  <c r="AC1109" i="1"/>
  <c r="AC1108" i="1"/>
  <c r="AC1107" i="1"/>
  <c r="AC1106" i="1"/>
  <c r="AC1105" i="1"/>
  <c r="AC1104" i="1"/>
  <c r="AC1103" i="1"/>
  <c r="AC1102" i="1"/>
  <c r="AC457" i="1"/>
  <c r="AC1101" i="1"/>
  <c r="AC1100" i="1"/>
  <c r="AC1099" i="1"/>
  <c r="AC272" i="1"/>
  <c r="AC271" i="1"/>
  <c r="AC456" i="1"/>
  <c r="AC1098" i="1"/>
  <c r="AC1097" i="1"/>
  <c r="AC1096" i="1"/>
  <c r="AC270" i="1"/>
  <c r="AC1095" i="1"/>
  <c r="AC455" i="1"/>
  <c r="AC454" i="1"/>
  <c r="AC1094" i="1"/>
  <c r="AC453" i="1"/>
  <c r="AC1093" i="1"/>
  <c r="AC269" i="1"/>
  <c r="AC1092" i="1"/>
  <c r="AC452" i="1"/>
  <c r="AC1091" i="1"/>
  <c r="AC1090" i="1"/>
  <c r="AC1089" i="1"/>
  <c r="AC1088" i="1"/>
  <c r="AC268" i="1"/>
  <c r="AC1087" i="1"/>
  <c r="AC1086" i="1"/>
  <c r="AC451" i="1"/>
  <c r="AC267" i="1"/>
  <c r="AC1085" i="1"/>
  <c r="AC1084" i="1"/>
  <c r="AC450" i="1"/>
  <c r="AC1083" i="1"/>
  <c r="AC1082" i="1"/>
  <c r="AC1081" i="1"/>
  <c r="AC1080" i="1"/>
  <c r="AC266" i="1"/>
  <c r="AC265" i="1"/>
  <c r="AC1079" i="1"/>
  <c r="AC1078" i="1"/>
  <c r="AC1077" i="1"/>
  <c r="AC264" i="1"/>
  <c r="AC1076" i="1"/>
  <c r="AC1075" i="1"/>
  <c r="AC1074" i="1"/>
  <c r="AC1073" i="1"/>
  <c r="AC263" i="1"/>
  <c r="AC1072" i="1"/>
  <c r="AC1071" i="1"/>
  <c r="AC1070" i="1"/>
  <c r="AC1069" i="1"/>
  <c r="AC1068" i="1"/>
  <c r="AC1067" i="1"/>
  <c r="AC262" i="1"/>
  <c r="AC1066" i="1"/>
  <c r="AC1065" i="1"/>
  <c r="AC1064" i="1"/>
  <c r="AC1063" i="1"/>
  <c r="AC1062" i="1"/>
  <c r="AC1061" i="1"/>
  <c r="AC1060" i="1"/>
  <c r="AC1059" i="1"/>
  <c r="AC1058" i="1"/>
  <c r="AC261" i="1"/>
  <c r="AC449" i="1"/>
  <c r="AC260" i="1"/>
  <c r="AC1057" i="1"/>
  <c r="AC1056" i="1"/>
  <c r="AC1055" i="1"/>
  <c r="AC259" i="1"/>
  <c r="AC1054" i="1"/>
  <c r="AC1053" i="1"/>
  <c r="AC258" i="1"/>
  <c r="AC257" i="1"/>
  <c r="AC1052" i="1"/>
  <c r="AC1051" i="1"/>
  <c r="AC1050" i="1"/>
  <c r="AC448" i="1"/>
  <c r="AC1049" i="1"/>
  <c r="AC447" i="1"/>
  <c r="AC1048" i="1"/>
  <c r="AC1047" i="1"/>
  <c r="AC1046" i="1"/>
  <c r="AC446" i="1"/>
  <c r="AC256" i="1"/>
  <c r="AC255" i="1"/>
  <c r="AC254" i="1"/>
  <c r="AC1045" i="1"/>
  <c r="AC445" i="1"/>
  <c r="AC1044" i="1"/>
  <c r="AC444" i="1"/>
  <c r="AC253" i="1"/>
  <c r="AC1043" i="1"/>
  <c r="AC1042" i="1"/>
  <c r="AC1041" i="1"/>
  <c r="AC252" i="1"/>
  <c r="AC1040" i="1"/>
  <c r="AC1039" i="1"/>
  <c r="AC1038" i="1"/>
  <c r="AC443" i="1"/>
  <c r="AC1037" i="1"/>
  <c r="AC442" i="1"/>
  <c r="AC251" i="1"/>
  <c r="AC250" i="1"/>
  <c r="AC1036" i="1"/>
  <c r="AC1035" i="1"/>
  <c r="AC1034" i="1"/>
  <c r="AC1033" i="1"/>
  <c r="AC1032" i="1"/>
  <c r="AC1031" i="1"/>
  <c r="AC441" i="1"/>
  <c r="AC249" i="1"/>
  <c r="AC1030" i="1"/>
  <c r="AC1029" i="1"/>
  <c r="AC1028" i="1"/>
  <c r="AC248" i="1"/>
  <c r="AC1027" i="1"/>
  <c r="AC440" i="1"/>
  <c r="AC1026" i="1"/>
  <c r="AC1025" i="1"/>
  <c r="AC439" i="1"/>
  <c r="AC1024" i="1"/>
  <c r="AC247" i="1"/>
  <c r="AC246" i="1"/>
  <c r="AC245" i="1"/>
  <c r="AC1023" i="1"/>
  <c r="AC244" i="1"/>
  <c r="AC1022" i="1"/>
  <c r="AC243" i="1"/>
  <c r="AC242" i="1"/>
  <c r="AC1021" i="1"/>
  <c r="AC1020" i="1"/>
  <c r="AC1019" i="1"/>
  <c r="AC1018" i="1"/>
  <c r="AC241" i="1"/>
  <c r="AC240" i="1"/>
  <c r="AC1017" i="1"/>
  <c r="AC1016" i="1"/>
  <c r="AC1015" i="1"/>
  <c r="AC239" i="1"/>
  <c r="AC438" i="1"/>
  <c r="AC437" i="1"/>
  <c r="AC1014" i="1"/>
  <c r="AC238" i="1"/>
  <c r="AC1013" i="1"/>
  <c r="AC1012" i="1"/>
  <c r="AC1011" i="1"/>
  <c r="AC237" i="1"/>
  <c r="AC1010" i="1"/>
  <c r="AC236" i="1"/>
  <c r="AC1009" i="1"/>
  <c r="AC235" i="1"/>
  <c r="AC234" i="1"/>
  <c r="AC1008" i="1"/>
  <c r="AC1007" i="1"/>
  <c r="AC436" i="1"/>
  <c r="AC1006" i="1"/>
  <c r="AC233" i="1"/>
  <c r="AC1005" i="1"/>
  <c r="AC232" i="1"/>
  <c r="AC231" i="1"/>
  <c r="AC1004" i="1"/>
  <c r="AC1003" i="1"/>
  <c r="AC1002" i="1"/>
  <c r="AC1001" i="1"/>
  <c r="AC230" i="1"/>
  <c r="AC229" i="1"/>
  <c r="AC1000" i="1"/>
  <c r="AC999" i="1"/>
  <c r="AC998" i="1"/>
  <c r="AC997" i="1"/>
  <c r="AC996" i="1"/>
  <c r="AC995" i="1"/>
  <c r="AC994" i="1"/>
  <c r="AC993" i="1"/>
  <c r="AC435" i="1"/>
  <c r="AC228" i="1"/>
  <c r="AC992" i="1"/>
  <c r="AC227" i="1"/>
  <c r="AC434" i="1"/>
  <c r="AC991" i="1"/>
  <c r="AC990" i="1"/>
  <c r="AC989" i="1"/>
  <c r="AC226" i="1"/>
  <c r="AC433" i="1"/>
  <c r="AC988" i="1"/>
  <c r="AC987" i="1"/>
  <c r="AC432" i="1"/>
  <c r="AC986" i="1"/>
  <c r="AC985" i="1"/>
  <c r="AC225" i="1"/>
  <c r="AC984" i="1"/>
  <c r="AC224" i="1"/>
  <c r="AC983" i="1"/>
  <c r="AC223" i="1"/>
  <c r="AC431" i="1"/>
  <c r="AC982" i="1"/>
  <c r="AC981" i="1"/>
  <c r="AC980" i="1"/>
  <c r="AC979" i="1"/>
  <c r="AC978" i="1"/>
  <c r="AC977" i="1"/>
  <c r="AC976" i="1"/>
  <c r="AC430" i="1"/>
  <c r="AC222" i="1"/>
  <c r="AC975" i="1"/>
  <c r="AC974" i="1"/>
  <c r="AC221" i="1"/>
  <c r="AC220" i="1"/>
  <c r="AC973" i="1"/>
  <c r="AC429" i="1"/>
  <c r="AC219" i="1"/>
  <c r="AC218" i="1"/>
  <c r="AC972" i="1"/>
  <c r="AC971" i="1"/>
  <c r="AC970" i="1"/>
  <c r="AC217" i="1"/>
  <c r="AC969" i="1"/>
  <c r="AC968" i="1"/>
  <c r="AC428" i="1"/>
  <c r="AC967" i="1"/>
  <c r="AC966" i="1"/>
  <c r="AC965" i="1"/>
  <c r="AC964" i="1"/>
  <c r="AC427" i="1"/>
  <c r="AC216" i="1"/>
  <c r="AC963" i="1"/>
  <c r="AC426" i="1"/>
  <c r="AC962" i="1"/>
  <c r="AC961" i="1"/>
  <c r="AC215" i="1"/>
  <c r="AC214" i="1"/>
  <c r="AC425" i="1"/>
  <c r="AC960" i="1"/>
  <c r="AC959" i="1"/>
  <c r="AC958" i="1"/>
  <c r="AC957" i="1"/>
  <c r="AC213" i="1"/>
  <c r="AC212" i="1"/>
  <c r="AC956" i="1"/>
  <c r="AC955" i="1"/>
  <c r="AC211" i="1"/>
  <c r="AC954" i="1"/>
  <c r="AC953" i="1"/>
  <c r="AC952" i="1"/>
  <c r="AC951" i="1"/>
  <c r="AC950" i="1"/>
  <c r="AC949" i="1"/>
  <c r="AC210" i="1"/>
  <c r="AC948" i="1"/>
  <c r="AC209" i="1"/>
  <c r="AC208" i="1"/>
  <c r="AC207" i="1"/>
  <c r="AC947" i="1"/>
  <c r="AC946" i="1"/>
  <c r="AC945" i="1"/>
  <c r="AC424" i="1"/>
  <c r="AC944" i="1"/>
  <c r="AC943" i="1"/>
  <c r="AC206" i="1"/>
  <c r="AC942" i="1"/>
  <c r="AC941" i="1"/>
  <c r="AC940" i="1"/>
  <c r="AC939" i="1"/>
  <c r="AC938" i="1"/>
  <c r="AC205" i="1"/>
  <c r="AC937" i="1"/>
  <c r="AC936" i="1"/>
  <c r="AC935" i="1"/>
  <c r="AC934" i="1"/>
  <c r="AC423" i="1"/>
  <c r="AC204" i="1"/>
  <c r="AC933" i="1"/>
  <c r="AC932" i="1"/>
  <c r="AC203" i="1"/>
  <c r="AC202" i="1"/>
  <c r="AC201" i="1"/>
  <c r="AC931" i="1"/>
  <c r="AC930" i="1"/>
  <c r="AC929" i="1"/>
  <c r="AC928" i="1"/>
  <c r="AC422" i="1"/>
  <c r="AC927" i="1"/>
  <c r="AC200" i="1"/>
  <c r="AC926" i="1"/>
  <c r="AC925" i="1"/>
  <c r="AC924" i="1"/>
  <c r="AC923" i="1"/>
  <c r="AC922" i="1"/>
  <c r="AC199" i="1"/>
  <c r="AC921" i="1"/>
  <c r="AC920" i="1"/>
  <c r="AC198" i="1"/>
  <c r="AC421" i="1"/>
  <c r="AC919" i="1"/>
  <c r="AC197" i="1"/>
  <c r="AC918" i="1"/>
  <c r="AC196" i="1"/>
  <c r="AC917" i="1"/>
  <c r="AC916" i="1"/>
  <c r="AC915" i="1"/>
  <c r="AC420" i="1"/>
  <c r="AC914" i="1"/>
  <c r="AC913" i="1"/>
  <c r="AC912" i="1"/>
  <c r="AC911" i="1"/>
  <c r="AC195" i="1"/>
  <c r="AC194" i="1"/>
  <c r="AC910" i="1"/>
  <c r="AC909" i="1"/>
  <c r="AC419" i="1"/>
  <c r="AC908" i="1"/>
  <c r="AC907" i="1"/>
  <c r="AC418" i="1"/>
  <c r="AC906" i="1"/>
  <c r="AC193" i="1"/>
  <c r="AC417" i="1"/>
  <c r="AC192" i="1"/>
  <c r="AC905" i="1"/>
  <c r="AC904" i="1"/>
  <c r="AC903" i="1"/>
  <c r="AC902" i="1"/>
  <c r="AC901" i="1"/>
  <c r="AC900" i="1"/>
  <c r="AC899" i="1"/>
  <c r="AC191" i="1"/>
  <c r="AC190" i="1"/>
  <c r="AC189" i="1"/>
  <c r="AC898" i="1"/>
  <c r="AC897" i="1"/>
  <c r="AC896" i="1"/>
  <c r="AC188" i="1"/>
  <c r="AC895" i="1"/>
  <c r="AC894" i="1"/>
  <c r="AC893" i="1"/>
  <c r="AC187" i="1"/>
  <c r="AC186" i="1"/>
  <c r="AC185" i="1"/>
  <c r="AC184" i="1"/>
  <c r="AC183" i="1"/>
  <c r="AC892" i="1"/>
  <c r="AC416" i="1"/>
  <c r="AC891" i="1"/>
  <c r="AC182" i="1"/>
  <c r="AC181" i="1"/>
  <c r="AC180" i="1"/>
  <c r="AC890" i="1"/>
  <c r="AC889" i="1"/>
  <c r="AC888" i="1"/>
  <c r="AC887" i="1"/>
  <c r="AC415" i="1"/>
  <c r="AC179" i="1"/>
  <c r="AC886" i="1"/>
  <c r="AC885" i="1"/>
  <c r="AC414" i="1"/>
  <c r="AC884" i="1"/>
  <c r="AC883" i="1"/>
  <c r="AC178" i="1"/>
  <c r="AC177" i="1"/>
  <c r="AC176" i="1"/>
  <c r="AC882" i="1"/>
  <c r="AC881" i="1"/>
  <c r="AC880" i="1"/>
  <c r="AC879" i="1"/>
  <c r="AC878" i="1"/>
  <c r="AC877" i="1"/>
  <c r="AC876" i="1"/>
  <c r="AC875" i="1"/>
  <c r="AC874" i="1"/>
  <c r="AC873" i="1"/>
  <c r="AC175" i="1"/>
  <c r="AC872" i="1"/>
  <c r="AC871" i="1"/>
  <c r="AC870" i="1"/>
  <c r="AC869" i="1"/>
  <c r="AC174" i="1"/>
  <c r="AC173" i="1"/>
  <c r="AC868" i="1"/>
  <c r="AC867" i="1"/>
  <c r="AC866" i="1"/>
  <c r="AC172" i="1"/>
  <c r="AC171" i="1"/>
  <c r="AC413" i="1"/>
  <c r="AC865" i="1"/>
  <c r="AC864" i="1"/>
  <c r="AC412" i="1"/>
  <c r="AC863" i="1"/>
  <c r="AC170" i="1"/>
  <c r="AC862" i="1"/>
  <c r="AC861" i="1"/>
  <c r="AC860" i="1"/>
  <c r="AC411" i="1"/>
  <c r="AC859" i="1"/>
  <c r="AC858" i="1"/>
  <c r="AC857" i="1"/>
  <c r="AC169" i="1"/>
  <c r="AC168" i="1"/>
  <c r="AC856" i="1"/>
  <c r="AC855" i="1"/>
  <c r="AC854" i="1"/>
  <c r="AC853" i="1"/>
  <c r="AC410" i="1"/>
  <c r="AC852" i="1"/>
  <c r="AC167" i="1"/>
  <c r="AC851" i="1"/>
  <c r="AC166" i="1"/>
  <c r="AC850" i="1"/>
  <c r="AC849" i="1"/>
  <c r="AC848" i="1"/>
  <c r="AC847" i="1"/>
  <c r="AC846" i="1"/>
  <c r="AC409" i="1"/>
  <c r="AC408" i="1"/>
  <c r="AC845" i="1"/>
  <c r="AC165" i="1"/>
  <c r="AC164" i="1"/>
  <c r="AC163" i="1"/>
  <c r="AC162" i="1"/>
  <c r="AC161" i="1"/>
  <c r="AC407" i="1"/>
  <c r="AC844" i="1"/>
  <c r="AC160" i="1"/>
  <c r="AC406" i="1"/>
  <c r="AC159" i="1"/>
  <c r="AC843" i="1"/>
  <c r="AC842" i="1"/>
  <c r="AC841" i="1"/>
  <c r="AC158" i="1"/>
  <c r="AC840" i="1"/>
  <c r="AC839" i="1"/>
  <c r="AC157" i="1"/>
  <c r="AC838" i="1"/>
  <c r="AC405" i="1"/>
  <c r="AC404" i="1"/>
  <c r="AC837" i="1"/>
  <c r="AC836" i="1"/>
  <c r="AC835" i="1"/>
  <c r="AC156" i="1"/>
  <c r="AC834" i="1"/>
  <c r="AC403" i="1"/>
  <c r="AC402" i="1"/>
  <c r="AC833" i="1"/>
  <c r="AC832" i="1"/>
  <c r="AC831" i="1"/>
  <c r="AC155" i="1"/>
  <c r="AC154" i="1"/>
  <c r="AC153" i="1"/>
  <c r="AC830" i="1"/>
  <c r="AC829" i="1"/>
  <c r="AC152" i="1"/>
  <c r="AC151" i="1"/>
  <c r="AC401" i="1"/>
  <c r="AC828" i="1"/>
  <c r="AC827" i="1"/>
  <c r="AC826" i="1"/>
  <c r="AC400" i="1"/>
  <c r="AC825" i="1"/>
  <c r="AC824" i="1"/>
  <c r="AC823" i="1"/>
  <c r="AC822" i="1"/>
  <c r="AC821" i="1"/>
  <c r="AC820" i="1"/>
  <c r="AC150" i="1"/>
  <c r="AC149" i="1"/>
  <c r="AC819" i="1"/>
  <c r="AC818" i="1"/>
  <c r="AC817" i="1"/>
  <c r="AC148" i="1"/>
  <c r="AC816" i="1"/>
  <c r="AC815" i="1"/>
  <c r="AC399" i="1"/>
  <c r="AC814" i="1"/>
  <c r="AC147" i="1"/>
  <c r="AC146" i="1"/>
  <c r="AC145" i="1"/>
  <c r="AC813" i="1"/>
  <c r="AC812" i="1"/>
  <c r="AC811" i="1"/>
  <c r="AC144" i="1"/>
  <c r="AC143" i="1"/>
  <c r="AC810" i="1"/>
  <c r="AC142" i="1"/>
  <c r="AC809" i="1"/>
  <c r="AC141" i="1"/>
  <c r="AC808" i="1"/>
  <c r="AC398" i="1"/>
  <c r="AC807" i="1"/>
  <c r="AC806" i="1"/>
  <c r="AC805" i="1"/>
  <c r="AC804" i="1"/>
  <c r="AC140" i="1"/>
  <c r="AC139" i="1"/>
  <c r="AC803" i="1"/>
  <c r="AC138" i="1"/>
  <c r="AC802" i="1"/>
  <c r="AC801" i="1"/>
  <c r="AC800" i="1"/>
  <c r="AC397" i="1"/>
  <c r="AC137" i="1"/>
  <c r="AC799" i="1"/>
  <c r="AC798" i="1"/>
  <c r="AC136" i="1"/>
  <c r="AC135" i="1"/>
  <c r="AC797" i="1"/>
  <c r="AC134" i="1"/>
  <c r="AC133" i="1"/>
  <c r="AC132" i="1"/>
  <c r="AC796" i="1"/>
  <c r="AC795" i="1"/>
  <c r="AC794" i="1"/>
  <c r="AC793" i="1"/>
  <c r="AC792" i="1"/>
  <c r="AC131" i="1"/>
  <c r="AC130" i="1"/>
  <c r="AC791" i="1"/>
  <c r="AC790" i="1"/>
  <c r="AC396" i="1"/>
  <c r="AC789" i="1"/>
  <c r="AC129" i="1"/>
  <c r="AC395" i="1"/>
  <c r="AC128" i="1"/>
  <c r="AC394" i="1"/>
  <c r="AC127" i="1"/>
  <c r="AC126" i="1"/>
  <c r="AC125" i="1"/>
  <c r="AC393" i="1"/>
  <c r="AC124" i="1"/>
  <c r="AC123" i="1"/>
  <c r="AC788" i="1"/>
  <c r="AC787" i="1"/>
  <c r="AC786" i="1"/>
  <c r="AC785" i="1"/>
  <c r="AC784" i="1"/>
  <c r="AC122" i="1"/>
  <c r="AC783" i="1"/>
  <c r="AC782" i="1"/>
  <c r="AC121" i="1"/>
  <c r="AC781" i="1"/>
  <c r="AC780" i="1"/>
  <c r="AC392" i="1"/>
  <c r="AC779" i="1"/>
  <c r="AC778" i="1"/>
  <c r="AC120" i="1"/>
  <c r="AC777" i="1"/>
  <c r="AC119" i="1"/>
  <c r="AC776" i="1"/>
  <c r="AC118" i="1"/>
  <c r="AC391" i="1"/>
  <c r="AC775" i="1"/>
  <c r="AC390" i="1"/>
  <c r="AC117" i="1"/>
  <c r="AC774" i="1"/>
  <c r="AC116" i="1"/>
  <c r="AC773" i="1"/>
  <c r="AC115" i="1"/>
  <c r="AC114" i="1"/>
  <c r="AC113" i="1"/>
  <c r="AC389" i="1"/>
  <c r="AC112" i="1"/>
  <c r="AC772" i="1"/>
  <c r="AC111" i="1"/>
  <c r="AC110" i="1"/>
  <c r="AC771" i="1"/>
  <c r="AC770" i="1"/>
  <c r="AC769" i="1"/>
  <c r="AC388" i="1"/>
  <c r="AC109" i="1"/>
  <c r="AC768" i="1"/>
  <c r="AC767" i="1"/>
  <c r="AC766" i="1"/>
  <c r="AC765" i="1"/>
  <c r="AC108" i="1"/>
  <c r="AC764" i="1"/>
  <c r="AC763" i="1"/>
  <c r="AC387" i="1"/>
  <c r="AC762" i="1"/>
  <c r="AC761" i="1"/>
  <c r="AC760" i="1"/>
  <c r="AC386" i="1"/>
  <c r="AC107" i="1"/>
  <c r="AC106" i="1"/>
  <c r="AC759" i="1"/>
  <c r="AC758" i="1"/>
  <c r="AC757" i="1"/>
  <c r="AC756" i="1"/>
  <c r="AC385" i="1"/>
  <c r="AC755" i="1"/>
  <c r="AC754" i="1"/>
  <c r="AC753" i="1"/>
  <c r="AC752" i="1"/>
  <c r="AC105" i="1"/>
  <c r="AC751" i="1"/>
  <c r="AC104" i="1"/>
  <c r="AC103" i="1"/>
  <c r="AC750" i="1"/>
  <c r="AC102" i="1"/>
  <c r="AC749" i="1"/>
  <c r="AC101" i="1"/>
  <c r="AC100" i="1"/>
  <c r="AC748" i="1"/>
  <c r="AC747" i="1"/>
  <c r="AC746" i="1"/>
  <c r="AC745" i="1"/>
  <c r="AC744" i="1"/>
  <c r="AC743" i="1"/>
  <c r="AC742" i="1"/>
  <c r="AC741" i="1"/>
  <c r="AC99" i="1"/>
  <c r="AC740" i="1"/>
  <c r="AC98" i="1"/>
  <c r="AC384" i="1"/>
  <c r="AC739" i="1"/>
  <c r="AC738" i="1"/>
  <c r="AC737" i="1"/>
  <c r="AC383" i="1"/>
  <c r="AC736" i="1"/>
  <c r="AC735" i="1"/>
  <c r="AC97" i="1"/>
  <c r="AC734" i="1"/>
  <c r="AC733" i="1"/>
  <c r="AC96" i="1"/>
  <c r="AC732" i="1"/>
  <c r="AC731" i="1"/>
  <c r="AC730" i="1"/>
  <c r="AC95" i="1"/>
  <c r="AC729" i="1"/>
  <c r="AC94" i="1"/>
  <c r="AC728" i="1"/>
  <c r="AC727" i="1"/>
  <c r="AC726" i="1"/>
  <c r="AC725" i="1"/>
  <c r="AC93" i="1"/>
  <c r="AC724" i="1"/>
  <c r="AC92" i="1"/>
  <c r="AC723" i="1"/>
  <c r="AC722" i="1"/>
  <c r="AC721" i="1"/>
  <c r="AC91" i="1"/>
  <c r="AC720" i="1"/>
  <c r="AC90" i="1"/>
  <c r="AC719" i="1"/>
  <c r="AC89" i="1"/>
  <c r="AC718" i="1"/>
  <c r="AC717" i="1"/>
  <c r="AC716" i="1"/>
  <c r="AC715" i="1"/>
  <c r="AC88" i="1"/>
  <c r="AC87" i="1"/>
  <c r="AC714" i="1"/>
  <c r="AC713" i="1"/>
  <c r="AC712" i="1"/>
  <c r="AC711" i="1"/>
  <c r="AC710" i="1"/>
  <c r="AC709" i="1"/>
  <c r="AC708" i="1"/>
  <c r="AC707" i="1"/>
  <c r="AC86" i="1"/>
  <c r="AC706" i="1"/>
  <c r="AC705" i="1"/>
  <c r="AC704" i="1"/>
  <c r="AC703" i="1"/>
  <c r="AC702" i="1"/>
  <c r="AC701" i="1"/>
  <c r="AC700" i="1"/>
  <c r="AC382" i="1"/>
  <c r="AC699" i="1"/>
  <c r="AC698" i="1"/>
  <c r="AC85" i="1"/>
  <c r="AC84" i="1"/>
  <c r="AC697" i="1"/>
  <c r="AC696" i="1"/>
  <c r="AC695" i="1"/>
  <c r="AC694" i="1"/>
  <c r="AC83" i="1"/>
  <c r="AC381" i="1"/>
  <c r="AC82" i="1"/>
  <c r="AC693" i="1"/>
  <c r="AC692" i="1"/>
  <c r="AC691" i="1"/>
  <c r="AC690" i="1"/>
  <c r="AC689" i="1"/>
  <c r="AC688" i="1"/>
  <c r="AC687" i="1"/>
  <c r="AC380" i="1"/>
  <c r="AC81" i="1"/>
  <c r="AC686" i="1"/>
  <c r="AC80" i="1"/>
  <c r="AC79" i="1"/>
  <c r="AC685" i="1"/>
  <c r="AC684" i="1"/>
  <c r="AC683" i="1"/>
  <c r="AC78" i="1"/>
  <c r="AC682" i="1"/>
  <c r="AC681" i="1"/>
  <c r="AC379" i="1"/>
  <c r="AC680" i="1"/>
  <c r="AC679" i="1"/>
  <c r="AC678" i="1"/>
  <c r="AC677" i="1"/>
  <c r="AC77" i="1"/>
  <c r="AC76" i="1"/>
  <c r="AC676" i="1"/>
  <c r="AC675" i="1"/>
  <c r="AC674" i="1"/>
  <c r="AC673" i="1"/>
  <c r="AC672" i="1"/>
  <c r="AC75" i="1"/>
  <c r="AC74" i="1"/>
  <c r="AC671" i="1"/>
  <c r="AC670" i="1"/>
  <c r="AC73" i="1"/>
  <c r="AC669" i="1"/>
  <c r="AC72" i="1"/>
  <c r="AC668" i="1"/>
  <c r="AC667" i="1"/>
  <c r="AC666" i="1"/>
  <c r="AC665" i="1"/>
  <c r="AC378" i="1"/>
  <c r="AC664" i="1"/>
  <c r="AC663" i="1"/>
  <c r="AC662" i="1"/>
  <c r="AC661" i="1"/>
  <c r="AC71" i="1"/>
  <c r="AC70" i="1"/>
  <c r="AC660" i="1"/>
  <c r="AC69" i="1"/>
  <c r="AC659" i="1"/>
  <c r="AC658" i="1"/>
  <c r="AC657" i="1"/>
  <c r="AC68" i="1"/>
  <c r="AC656" i="1"/>
  <c r="AC655" i="1"/>
  <c r="AC654" i="1"/>
  <c r="AC653" i="1"/>
  <c r="AC652" i="1"/>
  <c r="AC651" i="1"/>
  <c r="AC67" i="1"/>
  <c r="AC66" i="1"/>
  <c r="AC650" i="1"/>
  <c r="AC65" i="1"/>
  <c r="AC64" i="1"/>
  <c r="AC649" i="1"/>
  <c r="AC648" i="1"/>
  <c r="AC647" i="1"/>
  <c r="AC63" i="1"/>
  <c r="AC646" i="1"/>
  <c r="AC645" i="1"/>
  <c r="AC62" i="1"/>
  <c r="AC644" i="1"/>
  <c r="AC377" i="1"/>
  <c r="AC643" i="1"/>
  <c r="AC61" i="1"/>
  <c r="AC642" i="1"/>
  <c r="AC641" i="1"/>
  <c r="AC640" i="1"/>
  <c r="AC376" i="1"/>
  <c r="AC639" i="1"/>
  <c r="AC375" i="1"/>
  <c r="AC638" i="1"/>
  <c r="AC637" i="1"/>
  <c r="AC636" i="1"/>
  <c r="AC60" i="1"/>
  <c r="AC635" i="1"/>
  <c r="AC634" i="1"/>
  <c r="AC633" i="1"/>
  <c r="AC632" i="1"/>
  <c r="AC631" i="1"/>
  <c r="AC630" i="1"/>
  <c r="AC374" i="1"/>
  <c r="AC59" i="1"/>
  <c r="AC629" i="1"/>
  <c r="AC58" i="1"/>
  <c r="AC57" i="1"/>
  <c r="AC628" i="1"/>
  <c r="AC56" i="1"/>
  <c r="AC627" i="1"/>
  <c r="AC55" i="1"/>
  <c r="AC626" i="1"/>
  <c r="AC625" i="1"/>
  <c r="AC373" i="1"/>
  <c r="AC54" i="1"/>
  <c r="AC53" i="1"/>
  <c r="AC624" i="1"/>
  <c r="AC623" i="1"/>
  <c r="AC622" i="1"/>
  <c r="AC621" i="1"/>
  <c r="AC620" i="1"/>
  <c r="AC619" i="1"/>
  <c r="AC618" i="1"/>
  <c r="AC617" i="1"/>
  <c r="AC52" i="1"/>
  <c r="AC616" i="1"/>
  <c r="AC51" i="1"/>
  <c r="AC615" i="1"/>
  <c r="AC372" i="1"/>
  <c r="AC614" i="1"/>
  <c r="AC50" i="1"/>
  <c r="AC371" i="1"/>
  <c r="AC613" i="1"/>
  <c r="AC612" i="1"/>
  <c r="AC611" i="1"/>
  <c r="AC49" i="1"/>
  <c r="AC610" i="1"/>
  <c r="AC48" i="1"/>
  <c r="AC609" i="1"/>
  <c r="AC608" i="1"/>
  <c r="AC47" i="1"/>
  <c r="AC607" i="1"/>
  <c r="AC606" i="1"/>
  <c r="AC605" i="1"/>
  <c r="AC370" i="1"/>
  <c r="AC604" i="1"/>
  <c r="AC46" i="1"/>
  <c r="AC369" i="1"/>
  <c r="AC603" i="1"/>
  <c r="AC602" i="1"/>
  <c r="AC368" i="1"/>
  <c r="AC45" i="1"/>
  <c r="AC601" i="1"/>
  <c r="AC600" i="1"/>
  <c r="AC599" i="1"/>
  <c r="AC44" i="1"/>
  <c r="AC598" i="1"/>
  <c r="AC597" i="1"/>
  <c r="AC596" i="1"/>
  <c r="AC595" i="1"/>
  <c r="AC43" i="1"/>
  <c r="AC594" i="1"/>
  <c r="AC42" i="1"/>
  <c r="AC367" i="1"/>
  <c r="AC41" i="1"/>
  <c r="AC593" i="1"/>
  <c r="AC40" i="1"/>
  <c r="AC592" i="1"/>
  <c r="AC591" i="1"/>
  <c r="AC39" i="1"/>
  <c r="AC590" i="1"/>
  <c r="AC38" i="1"/>
  <c r="AC589" i="1"/>
  <c r="AC588" i="1"/>
  <c r="AC587" i="1"/>
  <c r="AC586" i="1"/>
  <c r="AC37" i="1"/>
  <c r="AC36" i="1"/>
  <c r="AC35" i="1"/>
  <c r="AC34" i="1"/>
  <c r="AC585" i="1"/>
  <c r="AC584" i="1"/>
  <c r="AC583" i="1"/>
  <c r="AC33" i="1"/>
  <c r="AC582" i="1"/>
  <c r="AC581" i="1"/>
  <c r="AC580" i="1"/>
  <c r="AC579" i="1"/>
  <c r="AC32" i="1"/>
  <c r="AC578" i="1"/>
  <c r="AC577" i="1"/>
  <c r="AC576" i="1"/>
  <c r="AC575" i="1"/>
  <c r="AC574" i="1"/>
  <c r="AC31" i="1"/>
  <c r="AC366" i="1"/>
  <c r="AC365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364" i="1"/>
  <c r="AC559" i="1"/>
  <c r="AC30" i="1"/>
  <c r="AC558" i="1"/>
  <c r="AC557" i="1"/>
  <c r="AC29" i="1"/>
  <c r="AC28" i="1"/>
  <c r="AC556" i="1"/>
  <c r="AC555" i="1"/>
  <c r="AC27" i="1"/>
  <c r="AC554" i="1"/>
  <c r="AC363" i="1"/>
  <c r="AC553" i="1"/>
  <c r="AC26" i="1"/>
  <c r="AC25" i="1"/>
  <c r="AC552" i="1"/>
  <c r="AC24" i="1"/>
  <c r="AC551" i="1"/>
  <c r="AC550" i="1"/>
  <c r="AC23" i="1"/>
  <c r="AC549" i="1"/>
  <c r="AC548" i="1"/>
  <c r="AC547" i="1"/>
  <c r="AC546" i="1"/>
  <c r="AC545" i="1"/>
  <c r="AC544" i="1"/>
  <c r="AC362" i="1"/>
  <c r="AC361" i="1"/>
  <c r="AC543" i="1"/>
  <c r="AC542" i="1"/>
  <c r="AC541" i="1"/>
  <c r="AC540" i="1"/>
  <c r="AC539" i="1"/>
  <c r="AC538" i="1"/>
  <c r="AC22" i="1"/>
  <c r="AC537" i="1"/>
  <c r="AC21" i="1"/>
  <c r="AC536" i="1"/>
  <c r="AC535" i="1"/>
  <c r="AC534" i="1"/>
  <c r="AC533" i="1"/>
  <c r="AC532" i="1"/>
  <c r="AC531" i="1"/>
  <c r="AC530" i="1"/>
  <c r="AC529" i="1"/>
  <c r="AC20" i="1"/>
  <c r="AC528" i="1"/>
  <c r="AC360" i="1"/>
  <c r="AC527" i="1"/>
  <c r="AC526" i="1"/>
  <c r="AC19" i="1"/>
  <c r="AC18" i="1"/>
  <c r="AC17" i="1"/>
  <c r="AC16" i="1"/>
  <c r="AC525" i="1"/>
  <c r="AC524" i="1"/>
  <c r="AC523" i="1"/>
  <c r="AC359" i="1"/>
  <c r="AC522" i="1"/>
  <c r="AC15" i="1"/>
  <c r="AC14" i="1"/>
  <c r="AC13" i="1"/>
  <c r="AC521" i="1"/>
  <c r="AC520" i="1"/>
  <c r="AC519" i="1"/>
  <c r="AC518" i="1"/>
  <c r="AC12" i="1"/>
  <c r="AC517" i="1"/>
  <c r="AC516" i="1"/>
  <c r="AC515" i="1"/>
  <c r="AC514" i="1"/>
  <c r="AC513" i="1"/>
  <c r="AC358" i="1"/>
  <c r="AC11" i="1"/>
  <c r="AC357" i="1"/>
  <c r="AC512" i="1"/>
  <c r="AC356" i="1"/>
  <c r="AC511" i="1"/>
  <c r="AC510" i="1"/>
  <c r="AC10" i="1"/>
  <c r="AC9" i="1"/>
  <c r="AC509" i="1"/>
  <c r="AC508" i="1"/>
  <c r="AC507" i="1"/>
  <c r="AC506" i="1"/>
  <c r="AC505" i="1"/>
  <c r="AC504" i="1"/>
  <c r="AC503" i="1"/>
  <c r="AC502" i="1"/>
  <c r="AC355" i="1"/>
  <c r="AC8" i="1"/>
  <c r="AC501" i="1"/>
  <c r="AC7" i="1"/>
  <c r="AC6" i="1"/>
  <c r="AC5" i="1"/>
  <c r="AC500" i="1"/>
  <c r="AC499" i="1"/>
  <c r="AC4" i="1"/>
  <c r="AC498" i="1"/>
  <c r="AC497" i="1"/>
  <c r="AC496" i="1"/>
  <c r="AC495" i="1"/>
  <c r="AC3" i="1"/>
  <c r="AC494" i="1"/>
  <c r="AC493" i="1"/>
  <c r="AC492" i="1"/>
  <c r="AC491" i="1"/>
  <c r="AC490" i="1"/>
  <c r="AC489" i="1"/>
  <c r="AC488" i="1"/>
  <c r="AC2" i="1"/>
  <c r="G2" i="1" l="1"/>
  <c r="U2" i="1"/>
  <c r="W2" i="1"/>
  <c r="AE2" i="1"/>
  <c r="AK2" i="1"/>
  <c r="AQ2" i="1"/>
  <c r="AU2" i="1"/>
  <c r="AV2" i="1"/>
  <c r="AW2" i="1"/>
  <c r="AX2" i="1"/>
  <c r="AY2" i="1"/>
  <c r="AZ2" i="1"/>
  <c r="BA2" i="1"/>
  <c r="BC2" i="1"/>
  <c r="BD2" i="1"/>
  <c r="BE2" i="1"/>
  <c r="BF2" i="1"/>
  <c r="BG2" i="1"/>
  <c r="BH2" i="1"/>
  <c r="BI2" i="1"/>
  <c r="BJ2" i="1"/>
  <c r="BM2" i="1"/>
  <c r="CA2" i="1"/>
  <c r="CN2" i="1"/>
  <c r="CO2" i="1"/>
  <c r="CP2" i="1"/>
  <c r="CQ2" i="1"/>
  <c r="G1621" i="1"/>
  <c r="U1621" i="1"/>
  <c r="W1621" i="1"/>
  <c r="AE1621" i="1"/>
  <c r="AK1621" i="1"/>
  <c r="AQ1621" i="1"/>
  <c r="AU1621" i="1"/>
  <c r="AV1621" i="1"/>
  <c r="AW1621" i="1"/>
  <c r="AX1621" i="1"/>
  <c r="AY1621" i="1"/>
  <c r="AZ1621" i="1"/>
  <c r="BA1621" i="1"/>
  <c r="BC1621" i="1"/>
  <c r="BD1621" i="1"/>
  <c r="BE1621" i="1"/>
  <c r="BF1621" i="1"/>
  <c r="BG1621" i="1"/>
  <c r="BH1621" i="1"/>
  <c r="BI1621" i="1"/>
  <c r="BJ1621" i="1"/>
  <c r="BM1621" i="1"/>
  <c r="CA1621" i="1"/>
  <c r="CN1621" i="1"/>
  <c r="CO1621" i="1"/>
  <c r="CP1621" i="1"/>
  <c r="CQ1621" i="1"/>
  <c r="G488" i="1"/>
  <c r="U488" i="1"/>
  <c r="W488" i="1"/>
  <c r="AE488" i="1"/>
  <c r="AK488" i="1"/>
  <c r="AQ488" i="1"/>
  <c r="AU488" i="1"/>
  <c r="AV488" i="1"/>
  <c r="AW488" i="1"/>
  <c r="AX488" i="1"/>
  <c r="AY488" i="1"/>
  <c r="AZ488" i="1"/>
  <c r="BA488" i="1"/>
  <c r="BC488" i="1"/>
  <c r="BD488" i="1"/>
  <c r="BE488" i="1"/>
  <c r="BF488" i="1"/>
  <c r="BG488" i="1"/>
  <c r="BH488" i="1"/>
  <c r="BI488" i="1"/>
  <c r="BJ488" i="1"/>
  <c r="BM488" i="1"/>
  <c r="CA488" i="1"/>
  <c r="CN488" i="1"/>
  <c r="CO488" i="1"/>
  <c r="CP488" i="1"/>
  <c r="CQ488" i="1"/>
  <c r="G489" i="1"/>
  <c r="U489" i="1"/>
  <c r="W489" i="1"/>
  <c r="AE489" i="1"/>
  <c r="AK489" i="1"/>
  <c r="AQ489" i="1"/>
  <c r="AU489" i="1"/>
  <c r="AV489" i="1"/>
  <c r="AW489" i="1"/>
  <c r="AX489" i="1"/>
  <c r="AY489" i="1"/>
  <c r="AZ489" i="1"/>
  <c r="BA489" i="1"/>
  <c r="BC489" i="1"/>
  <c r="BD489" i="1"/>
  <c r="BE489" i="1"/>
  <c r="BF489" i="1"/>
  <c r="BG489" i="1"/>
  <c r="BH489" i="1"/>
  <c r="BI489" i="1"/>
  <c r="BJ489" i="1"/>
  <c r="BM489" i="1"/>
  <c r="CA489" i="1"/>
  <c r="CN489" i="1"/>
  <c r="CO489" i="1"/>
  <c r="CP489" i="1"/>
  <c r="CQ489" i="1"/>
  <c r="G490" i="1"/>
  <c r="U490" i="1"/>
  <c r="W490" i="1"/>
  <c r="AE490" i="1"/>
  <c r="AK490" i="1"/>
  <c r="AQ490" i="1"/>
  <c r="AU490" i="1"/>
  <c r="AV490" i="1"/>
  <c r="AW490" i="1"/>
  <c r="AX490" i="1"/>
  <c r="AY490" i="1"/>
  <c r="AZ490" i="1"/>
  <c r="BA490" i="1"/>
  <c r="BC490" i="1"/>
  <c r="BD490" i="1"/>
  <c r="BE490" i="1"/>
  <c r="BF490" i="1"/>
  <c r="BG490" i="1"/>
  <c r="BH490" i="1"/>
  <c r="BI490" i="1"/>
  <c r="BJ490" i="1"/>
  <c r="BM490" i="1"/>
  <c r="CA490" i="1"/>
  <c r="CN490" i="1"/>
  <c r="CO490" i="1"/>
  <c r="CP490" i="1"/>
  <c r="CQ490" i="1"/>
  <c r="G1622" i="1"/>
  <c r="U1622" i="1"/>
  <c r="W1622" i="1"/>
  <c r="AE1622" i="1"/>
  <c r="AK1622" i="1"/>
  <c r="AQ1622" i="1"/>
  <c r="AU1622" i="1"/>
  <c r="AV1622" i="1"/>
  <c r="AW1622" i="1"/>
  <c r="AX1622" i="1"/>
  <c r="AY1622" i="1"/>
  <c r="AZ1622" i="1"/>
  <c r="BA1622" i="1"/>
  <c r="BC1622" i="1"/>
  <c r="BD1622" i="1"/>
  <c r="BE1622" i="1"/>
  <c r="BF1622" i="1"/>
  <c r="BG1622" i="1"/>
  <c r="BH1622" i="1"/>
  <c r="BI1622" i="1"/>
  <c r="BJ1622" i="1"/>
  <c r="BM1622" i="1"/>
  <c r="CA1622" i="1"/>
  <c r="CN1622" i="1"/>
  <c r="CO1622" i="1"/>
  <c r="CP1622" i="1"/>
  <c r="CQ1622" i="1"/>
  <c r="G1623" i="1"/>
  <c r="U1623" i="1"/>
  <c r="W1623" i="1"/>
  <c r="AE1623" i="1"/>
  <c r="AK1623" i="1"/>
  <c r="AQ1623" i="1"/>
  <c r="AU1623" i="1"/>
  <c r="AV1623" i="1"/>
  <c r="AW1623" i="1"/>
  <c r="AX1623" i="1"/>
  <c r="AY1623" i="1"/>
  <c r="AZ1623" i="1"/>
  <c r="BA1623" i="1"/>
  <c r="BC1623" i="1"/>
  <c r="BD1623" i="1"/>
  <c r="BE1623" i="1"/>
  <c r="BF1623" i="1"/>
  <c r="BG1623" i="1"/>
  <c r="BH1623" i="1"/>
  <c r="BI1623" i="1"/>
  <c r="BJ1623" i="1"/>
  <c r="BM1623" i="1"/>
  <c r="CA1623" i="1"/>
  <c r="CN1623" i="1"/>
  <c r="CO1623" i="1"/>
  <c r="CP1623" i="1"/>
  <c r="CQ1623" i="1"/>
  <c r="G491" i="1"/>
  <c r="U491" i="1"/>
  <c r="W491" i="1"/>
  <c r="AE491" i="1"/>
  <c r="AK491" i="1"/>
  <c r="AQ491" i="1"/>
  <c r="AU491" i="1"/>
  <c r="AV491" i="1"/>
  <c r="AW491" i="1"/>
  <c r="AX491" i="1"/>
  <c r="AY491" i="1"/>
  <c r="AZ491" i="1"/>
  <c r="BA491" i="1"/>
  <c r="BC491" i="1"/>
  <c r="BD491" i="1"/>
  <c r="BE491" i="1"/>
  <c r="BF491" i="1"/>
  <c r="BG491" i="1"/>
  <c r="BH491" i="1"/>
  <c r="BI491" i="1"/>
  <c r="BJ491" i="1"/>
  <c r="BM491" i="1"/>
  <c r="CA491" i="1"/>
  <c r="CN491" i="1"/>
  <c r="CO491" i="1"/>
  <c r="CP491" i="1"/>
  <c r="CQ491" i="1"/>
  <c r="G1624" i="1"/>
  <c r="U1624" i="1"/>
  <c r="W1624" i="1"/>
  <c r="AE1624" i="1"/>
  <c r="AK1624" i="1"/>
  <c r="AQ1624" i="1"/>
  <c r="AU1624" i="1"/>
  <c r="AV1624" i="1"/>
  <c r="AW1624" i="1"/>
  <c r="AX1624" i="1"/>
  <c r="AY1624" i="1"/>
  <c r="AZ1624" i="1"/>
  <c r="BA1624" i="1"/>
  <c r="BC1624" i="1"/>
  <c r="BD1624" i="1"/>
  <c r="BE1624" i="1"/>
  <c r="BF1624" i="1"/>
  <c r="BG1624" i="1"/>
  <c r="BH1624" i="1"/>
  <c r="BI1624" i="1"/>
  <c r="BJ1624" i="1"/>
  <c r="BM1624" i="1"/>
  <c r="CA1624" i="1"/>
  <c r="CN1624" i="1"/>
  <c r="CO1624" i="1"/>
  <c r="CP1624" i="1"/>
  <c r="CQ1624" i="1"/>
  <c r="G492" i="1"/>
  <c r="U492" i="1"/>
  <c r="W492" i="1"/>
  <c r="AE492" i="1"/>
  <c r="AK492" i="1"/>
  <c r="AQ492" i="1"/>
  <c r="AU492" i="1"/>
  <c r="AV492" i="1"/>
  <c r="AW492" i="1"/>
  <c r="AX492" i="1"/>
  <c r="AY492" i="1"/>
  <c r="AZ492" i="1"/>
  <c r="BA492" i="1"/>
  <c r="BC492" i="1"/>
  <c r="BD492" i="1"/>
  <c r="BE492" i="1"/>
  <c r="BF492" i="1"/>
  <c r="BG492" i="1"/>
  <c r="BH492" i="1"/>
  <c r="BI492" i="1"/>
  <c r="BJ492" i="1"/>
  <c r="BM492" i="1"/>
  <c r="CA492" i="1"/>
  <c r="CN492" i="1"/>
  <c r="CO492" i="1"/>
  <c r="CP492" i="1"/>
  <c r="CQ492" i="1"/>
  <c r="G1310" i="1"/>
  <c r="U1310" i="1"/>
  <c r="W1310" i="1"/>
  <c r="AE1310" i="1"/>
  <c r="AK1310" i="1"/>
  <c r="AQ1310" i="1"/>
  <c r="AU1310" i="1"/>
  <c r="AV1310" i="1"/>
  <c r="AW1310" i="1"/>
  <c r="AX1310" i="1"/>
  <c r="AY1310" i="1"/>
  <c r="AZ1310" i="1"/>
  <c r="BA1310" i="1"/>
  <c r="BC1310" i="1"/>
  <c r="BD1310" i="1"/>
  <c r="BE1310" i="1"/>
  <c r="BF1310" i="1"/>
  <c r="BG1310" i="1"/>
  <c r="BH1310" i="1"/>
  <c r="BI1310" i="1"/>
  <c r="BJ1310" i="1"/>
  <c r="BM1310" i="1"/>
  <c r="CA1310" i="1"/>
  <c r="CN1310" i="1"/>
  <c r="CO1310" i="1"/>
  <c r="CP1310" i="1"/>
  <c r="CQ1310" i="1"/>
  <c r="G1625" i="1"/>
  <c r="U1625" i="1"/>
  <c r="W1625" i="1"/>
  <c r="AE1625" i="1"/>
  <c r="AK1625" i="1"/>
  <c r="AQ1625" i="1"/>
  <c r="AU1625" i="1"/>
  <c r="AV1625" i="1"/>
  <c r="AW1625" i="1"/>
  <c r="AX1625" i="1"/>
  <c r="AY1625" i="1"/>
  <c r="AZ1625" i="1"/>
  <c r="BA1625" i="1"/>
  <c r="BC1625" i="1"/>
  <c r="BD1625" i="1"/>
  <c r="BE1625" i="1"/>
  <c r="BF1625" i="1"/>
  <c r="BG1625" i="1"/>
  <c r="BH1625" i="1"/>
  <c r="BI1625" i="1"/>
  <c r="BJ1625" i="1"/>
  <c r="BM1625" i="1"/>
  <c r="CA1625" i="1"/>
  <c r="CN1625" i="1"/>
  <c r="CO1625" i="1"/>
  <c r="CP1625" i="1"/>
  <c r="CQ1625" i="1"/>
  <c r="G493" i="1"/>
  <c r="U493" i="1"/>
  <c r="W493" i="1"/>
  <c r="AE493" i="1"/>
  <c r="AK493" i="1"/>
  <c r="AQ493" i="1"/>
  <c r="AU493" i="1"/>
  <c r="AV493" i="1"/>
  <c r="AW493" i="1"/>
  <c r="AX493" i="1"/>
  <c r="AY493" i="1"/>
  <c r="AZ493" i="1"/>
  <c r="BA493" i="1"/>
  <c r="BC493" i="1"/>
  <c r="BD493" i="1"/>
  <c r="BE493" i="1"/>
  <c r="BF493" i="1"/>
  <c r="BG493" i="1"/>
  <c r="BH493" i="1"/>
  <c r="BI493" i="1"/>
  <c r="BJ493" i="1"/>
  <c r="BM493" i="1"/>
  <c r="CA493" i="1"/>
  <c r="CN493" i="1"/>
  <c r="CO493" i="1"/>
  <c r="CP493" i="1"/>
  <c r="CQ493" i="1"/>
  <c r="G494" i="1"/>
  <c r="U494" i="1"/>
  <c r="W494" i="1"/>
  <c r="AE494" i="1"/>
  <c r="AK494" i="1"/>
  <c r="AQ494" i="1"/>
  <c r="AU494" i="1"/>
  <c r="AV494" i="1"/>
  <c r="AW494" i="1"/>
  <c r="AX494" i="1"/>
  <c r="AY494" i="1"/>
  <c r="AZ494" i="1"/>
  <c r="BA494" i="1"/>
  <c r="BC494" i="1"/>
  <c r="BD494" i="1"/>
  <c r="BE494" i="1"/>
  <c r="BF494" i="1"/>
  <c r="BG494" i="1"/>
  <c r="BH494" i="1"/>
  <c r="BI494" i="1"/>
  <c r="BJ494" i="1"/>
  <c r="BM494" i="1"/>
  <c r="CA494" i="1"/>
  <c r="CN494" i="1"/>
  <c r="CO494" i="1"/>
  <c r="CP494" i="1"/>
  <c r="CQ494" i="1"/>
  <c r="G1626" i="1"/>
  <c r="U1626" i="1"/>
  <c r="W1626" i="1"/>
  <c r="AE1626" i="1"/>
  <c r="AK1626" i="1"/>
  <c r="AQ1626" i="1"/>
  <c r="AU1626" i="1"/>
  <c r="AV1626" i="1"/>
  <c r="AW1626" i="1"/>
  <c r="AX1626" i="1"/>
  <c r="AY1626" i="1"/>
  <c r="AZ1626" i="1"/>
  <c r="BA1626" i="1"/>
  <c r="BC1626" i="1"/>
  <c r="BD1626" i="1"/>
  <c r="BE1626" i="1"/>
  <c r="BF1626" i="1"/>
  <c r="BG1626" i="1"/>
  <c r="BH1626" i="1"/>
  <c r="BI1626" i="1"/>
  <c r="BJ1626" i="1"/>
  <c r="BM1626" i="1"/>
  <c r="CA1626" i="1"/>
  <c r="CN1626" i="1"/>
  <c r="CO1626" i="1"/>
  <c r="CP1626" i="1"/>
  <c r="CQ1626" i="1"/>
  <c r="G3" i="1"/>
  <c r="U3" i="1"/>
  <c r="W3" i="1"/>
  <c r="AE3" i="1"/>
  <c r="AK3" i="1"/>
  <c r="AQ3" i="1"/>
  <c r="AU3" i="1"/>
  <c r="AV3" i="1"/>
  <c r="AW3" i="1"/>
  <c r="AX3" i="1"/>
  <c r="AY3" i="1"/>
  <c r="AZ3" i="1"/>
  <c r="BA3" i="1"/>
  <c r="BC3" i="1"/>
  <c r="BD3" i="1"/>
  <c r="BE3" i="1"/>
  <c r="BF3" i="1"/>
  <c r="BG3" i="1"/>
  <c r="BH3" i="1"/>
  <c r="BI3" i="1"/>
  <c r="BJ3" i="1"/>
  <c r="BM3" i="1"/>
  <c r="CA3" i="1"/>
  <c r="CN3" i="1"/>
  <c r="CO3" i="1"/>
  <c r="CP3" i="1"/>
  <c r="CQ3" i="1"/>
  <c r="G1311" i="1"/>
  <c r="U1311" i="1"/>
  <c r="W1311" i="1"/>
  <c r="AE1311" i="1"/>
  <c r="AK1311" i="1"/>
  <c r="AQ1311" i="1"/>
  <c r="AU1311" i="1"/>
  <c r="AV1311" i="1"/>
  <c r="AW1311" i="1"/>
  <c r="AX1311" i="1"/>
  <c r="AY1311" i="1"/>
  <c r="AZ1311" i="1"/>
  <c r="BA1311" i="1"/>
  <c r="BC1311" i="1"/>
  <c r="BD1311" i="1"/>
  <c r="BE1311" i="1"/>
  <c r="BF1311" i="1"/>
  <c r="BG1311" i="1"/>
  <c r="BH1311" i="1"/>
  <c r="BI1311" i="1"/>
  <c r="BJ1311" i="1"/>
  <c r="BM1311" i="1"/>
  <c r="CA1311" i="1"/>
  <c r="CN1311" i="1"/>
  <c r="CO1311" i="1"/>
  <c r="CP1311" i="1"/>
  <c r="CQ1311" i="1"/>
  <c r="G1538" i="1"/>
  <c r="U1538" i="1"/>
  <c r="W1538" i="1"/>
  <c r="AE1538" i="1"/>
  <c r="AK1538" i="1"/>
  <c r="AQ1538" i="1"/>
  <c r="AU1538" i="1"/>
  <c r="AV1538" i="1"/>
  <c r="AW1538" i="1"/>
  <c r="AX1538" i="1"/>
  <c r="AY1538" i="1"/>
  <c r="AZ1538" i="1"/>
  <c r="BA1538" i="1"/>
  <c r="BC1538" i="1"/>
  <c r="BD1538" i="1"/>
  <c r="BE1538" i="1"/>
  <c r="BF1538" i="1"/>
  <c r="BG1538" i="1"/>
  <c r="BH1538" i="1"/>
  <c r="BI1538" i="1"/>
  <c r="BJ1538" i="1"/>
  <c r="BM1538" i="1"/>
  <c r="CA1538" i="1"/>
  <c r="CN1538" i="1"/>
  <c r="CO1538" i="1"/>
  <c r="CP1538" i="1"/>
  <c r="CQ1538" i="1"/>
  <c r="G1627" i="1"/>
  <c r="U1627" i="1"/>
  <c r="W1627" i="1"/>
  <c r="AE1627" i="1"/>
  <c r="AK1627" i="1"/>
  <c r="AQ1627" i="1"/>
  <c r="AU1627" i="1"/>
  <c r="AV1627" i="1"/>
  <c r="AW1627" i="1"/>
  <c r="AX1627" i="1"/>
  <c r="AY1627" i="1"/>
  <c r="AZ1627" i="1"/>
  <c r="BA1627" i="1"/>
  <c r="BC1627" i="1"/>
  <c r="BD1627" i="1"/>
  <c r="BE1627" i="1"/>
  <c r="BF1627" i="1"/>
  <c r="BG1627" i="1"/>
  <c r="BH1627" i="1"/>
  <c r="BI1627" i="1"/>
  <c r="BJ1627" i="1"/>
  <c r="BM1627" i="1"/>
  <c r="CA1627" i="1"/>
  <c r="CN1627" i="1"/>
  <c r="CO1627" i="1"/>
  <c r="CP1627" i="1"/>
  <c r="CQ1627" i="1"/>
  <c r="G495" i="1"/>
  <c r="U495" i="1"/>
  <c r="W495" i="1"/>
  <c r="AE495" i="1"/>
  <c r="AK495" i="1"/>
  <c r="AQ495" i="1"/>
  <c r="AU495" i="1"/>
  <c r="AV495" i="1"/>
  <c r="AW495" i="1"/>
  <c r="AX495" i="1"/>
  <c r="AY495" i="1"/>
  <c r="AZ495" i="1"/>
  <c r="BA495" i="1"/>
  <c r="BC495" i="1"/>
  <c r="BD495" i="1"/>
  <c r="BE495" i="1"/>
  <c r="BF495" i="1"/>
  <c r="BG495" i="1"/>
  <c r="BH495" i="1"/>
  <c r="BI495" i="1"/>
  <c r="BJ495" i="1"/>
  <c r="BM495" i="1"/>
  <c r="CA495" i="1"/>
  <c r="CN495" i="1"/>
  <c r="CO495" i="1"/>
  <c r="CP495" i="1"/>
  <c r="CQ495" i="1"/>
  <c r="G1539" i="1"/>
  <c r="U1539" i="1"/>
  <c r="W1539" i="1"/>
  <c r="AE1539" i="1"/>
  <c r="AK1539" i="1"/>
  <c r="AQ1539" i="1"/>
  <c r="AU1539" i="1"/>
  <c r="AV1539" i="1"/>
  <c r="AW1539" i="1"/>
  <c r="AX1539" i="1"/>
  <c r="AY1539" i="1"/>
  <c r="AZ1539" i="1"/>
  <c r="BA1539" i="1"/>
  <c r="BC1539" i="1"/>
  <c r="BD1539" i="1"/>
  <c r="BE1539" i="1"/>
  <c r="BF1539" i="1"/>
  <c r="BG1539" i="1"/>
  <c r="BH1539" i="1"/>
  <c r="BI1539" i="1"/>
  <c r="BJ1539" i="1"/>
  <c r="BM1539" i="1"/>
  <c r="CA1539" i="1"/>
  <c r="CN1539" i="1"/>
  <c r="CO1539" i="1"/>
  <c r="CP1539" i="1"/>
  <c r="CQ1539" i="1"/>
  <c r="G496" i="1"/>
  <c r="U496" i="1"/>
  <c r="W496" i="1"/>
  <c r="AE496" i="1"/>
  <c r="AK496" i="1"/>
  <c r="AQ496" i="1"/>
  <c r="AU496" i="1"/>
  <c r="AV496" i="1"/>
  <c r="AW496" i="1"/>
  <c r="AX496" i="1"/>
  <c r="AY496" i="1"/>
  <c r="AZ496" i="1"/>
  <c r="BA496" i="1"/>
  <c r="BC496" i="1"/>
  <c r="BD496" i="1"/>
  <c r="BE496" i="1"/>
  <c r="BF496" i="1"/>
  <c r="BG496" i="1"/>
  <c r="BH496" i="1"/>
  <c r="BI496" i="1"/>
  <c r="BJ496" i="1"/>
  <c r="BM496" i="1"/>
  <c r="CA496" i="1"/>
  <c r="CN496" i="1"/>
  <c r="CO496" i="1"/>
  <c r="CP496" i="1"/>
  <c r="CQ496" i="1"/>
  <c r="G1312" i="1"/>
  <c r="U1312" i="1"/>
  <c r="W1312" i="1"/>
  <c r="AE1312" i="1"/>
  <c r="AK1312" i="1"/>
  <c r="AQ1312" i="1"/>
  <c r="AU1312" i="1"/>
  <c r="AV1312" i="1"/>
  <c r="AW1312" i="1"/>
  <c r="AX1312" i="1"/>
  <c r="AY1312" i="1"/>
  <c r="AZ1312" i="1"/>
  <c r="BA1312" i="1"/>
  <c r="BC1312" i="1"/>
  <c r="BD1312" i="1"/>
  <c r="BE1312" i="1"/>
  <c r="BF1312" i="1"/>
  <c r="BG1312" i="1"/>
  <c r="BH1312" i="1"/>
  <c r="BI1312" i="1"/>
  <c r="BJ1312" i="1"/>
  <c r="BM1312" i="1"/>
  <c r="CA1312" i="1"/>
  <c r="CN1312" i="1"/>
  <c r="CO1312" i="1"/>
  <c r="CP1312" i="1"/>
  <c r="CQ1312" i="1"/>
  <c r="G1313" i="1"/>
  <c r="U1313" i="1"/>
  <c r="W1313" i="1"/>
  <c r="AE1313" i="1"/>
  <c r="AK1313" i="1"/>
  <c r="AQ1313" i="1"/>
  <c r="AU1313" i="1"/>
  <c r="AV1313" i="1"/>
  <c r="AW1313" i="1"/>
  <c r="AX1313" i="1"/>
  <c r="AY1313" i="1"/>
  <c r="AZ1313" i="1"/>
  <c r="BA1313" i="1"/>
  <c r="BC1313" i="1"/>
  <c r="BD1313" i="1"/>
  <c r="BE1313" i="1"/>
  <c r="BF1313" i="1"/>
  <c r="BG1313" i="1"/>
  <c r="BH1313" i="1"/>
  <c r="BI1313" i="1"/>
  <c r="BJ1313" i="1"/>
  <c r="BM1313" i="1"/>
  <c r="CA1313" i="1"/>
  <c r="CN1313" i="1"/>
  <c r="CO1313" i="1"/>
  <c r="CP1313" i="1"/>
  <c r="CQ1313" i="1"/>
  <c r="G1628" i="1"/>
  <c r="U1628" i="1"/>
  <c r="W1628" i="1"/>
  <c r="AE1628" i="1"/>
  <c r="AK1628" i="1"/>
  <c r="AQ1628" i="1"/>
  <c r="AU1628" i="1"/>
  <c r="AV1628" i="1"/>
  <c r="AW1628" i="1"/>
  <c r="AX1628" i="1"/>
  <c r="AY1628" i="1"/>
  <c r="AZ1628" i="1"/>
  <c r="BA1628" i="1"/>
  <c r="BC1628" i="1"/>
  <c r="BD1628" i="1"/>
  <c r="BE1628" i="1"/>
  <c r="BF1628" i="1"/>
  <c r="BG1628" i="1"/>
  <c r="BH1628" i="1"/>
  <c r="BI1628" i="1"/>
  <c r="BJ1628" i="1"/>
  <c r="BM1628" i="1"/>
  <c r="CA1628" i="1"/>
  <c r="CN1628" i="1"/>
  <c r="CO1628" i="1"/>
  <c r="CP1628" i="1"/>
  <c r="CQ1628" i="1"/>
  <c r="G497" i="1"/>
  <c r="U497" i="1"/>
  <c r="W497" i="1"/>
  <c r="AE497" i="1"/>
  <c r="AK497" i="1"/>
  <c r="AQ497" i="1"/>
  <c r="AU497" i="1"/>
  <c r="AV497" i="1"/>
  <c r="AW497" i="1"/>
  <c r="AX497" i="1"/>
  <c r="AY497" i="1"/>
  <c r="AZ497" i="1"/>
  <c r="BA497" i="1"/>
  <c r="BC497" i="1"/>
  <c r="BD497" i="1"/>
  <c r="BE497" i="1"/>
  <c r="BF497" i="1"/>
  <c r="BG497" i="1"/>
  <c r="BH497" i="1"/>
  <c r="BI497" i="1"/>
  <c r="BJ497" i="1"/>
  <c r="BM497" i="1"/>
  <c r="CA497" i="1"/>
  <c r="CN497" i="1"/>
  <c r="CO497" i="1"/>
  <c r="CP497" i="1"/>
  <c r="CQ497" i="1"/>
  <c r="G1629" i="1"/>
  <c r="U1629" i="1"/>
  <c r="W1629" i="1"/>
  <c r="AE1629" i="1"/>
  <c r="AK1629" i="1"/>
  <c r="AQ1629" i="1"/>
  <c r="AU1629" i="1"/>
  <c r="AV1629" i="1"/>
  <c r="AW1629" i="1"/>
  <c r="AX1629" i="1"/>
  <c r="AY1629" i="1"/>
  <c r="AZ1629" i="1"/>
  <c r="BA1629" i="1"/>
  <c r="BC1629" i="1"/>
  <c r="BD1629" i="1"/>
  <c r="BE1629" i="1"/>
  <c r="BF1629" i="1"/>
  <c r="BG1629" i="1"/>
  <c r="BH1629" i="1"/>
  <c r="BI1629" i="1"/>
  <c r="BJ1629" i="1"/>
  <c r="BM1629" i="1"/>
  <c r="CA1629" i="1"/>
  <c r="CN1629" i="1"/>
  <c r="CO1629" i="1"/>
  <c r="CP1629" i="1"/>
  <c r="CQ1629" i="1"/>
  <c r="G498" i="1"/>
  <c r="U498" i="1"/>
  <c r="W498" i="1"/>
  <c r="AE498" i="1"/>
  <c r="AK498" i="1"/>
  <c r="AQ498" i="1"/>
  <c r="AU498" i="1"/>
  <c r="AV498" i="1"/>
  <c r="AW498" i="1"/>
  <c r="AX498" i="1"/>
  <c r="AY498" i="1"/>
  <c r="AZ498" i="1"/>
  <c r="BA498" i="1"/>
  <c r="BC498" i="1"/>
  <c r="BD498" i="1"/>
  <c r="BE498" i="1"/>
  <c r="BF498" i="1"/>
  <c r="BG498" i="1"/>
  <c r="BH498" i="1"/>
  <c r="BI498" i="1"/>
  <c r="BJ498" i="1"/>
  <c r="BM498" i="1"/>
  <c r="CA498" i="1"/>
  <c r="CN498" i="1"/>
  <c r="CO498" i="1"/>
  <c r="CP498" i="1"/>
  <c r="CQ498" i="1"/>
  <c r="G1630" i="1"/>
  <c r="U1630" i="1"/>
  <c r="W1630" i="1"/>
  <c r="AE1630" i="1"/>
  <c r="AK1630" i="1"/>
  <c r="AQ1630" i="1"/>
  <c r="AU1630" i="1"/>
  <c r="AV1630" i="1"/>
  <c r="AW1630" i="1"/>
  <c r="AX1630" i="1"/>
  <c r="AY1630" i="1"/>
  <c r="AZ1630" i="1"/>
  <c r="BA1630" i="1"/>
  <c r="BC1630" i="1"/>
  <c r="BD1630" i="1"/>
  <c r="BE1630" i="1"/>
  <c r="BF1630" i="1"/>
  <c r="BG1630" i="1"/>
  <c r="BH1630" i="1"/>
  <c r="BI1630" i="1"/>
  <c r="BJ1630" i="1"/>
  <c r="BM1630" i="1"/>
  <c r="CA1630" i="1"/>
  <c r="CN1630" i="1"/>
  <c r="CO1630" i="1"/>
  <c r="CP1630" i="1"/>
  <c r="CQ1630" i="1"/>
  <c r="G1631" i="1"/>
  <c r="U1631" i="1"/>
  <c r="W1631" i="1"/>
  <c r="AE1631" i="1"/>
  <c r="AK1631" i="1"/>
  <c r="AQ1631" i="1"/>
  <c r="AU1631" i="1"/>
  <c r="AV1631" i="1"/>
  <c r="AW1631" i="1"/>
  <c r="AX1631" i="1"/>
  <c r="AY1631" i="1"/>
  <c r="AZ1631" i="1"/>
  <c r="BA1631" i="1"/>
  <c r="BC1631" i="1"/>
  <c r="BD1631" i="1"/>
  <c r="BE1631" i="1"/>
  <c r="BF1631" i="1"/>
  <c r="BG1631" i="1"/>
  <c r="BH1631" i="1"/>
  <c r="BI1631" i="1"/>
  <c r="BJ1631" i="1"/>
  <c r="BM1631" i="1"/>
  <c r="CA1631" i="1"/>
  <c r="CN1631" i="1"/>
  <c r="CO1631" i="1"/>
  <c r="CP1631" i="1"/>
  <c r="CQ1631" i="1"/>
  <c r="G1314" i="1"/>
  <c r="U1314" i="1"/>
  <c r="W1314" i="1"/>
  <c r="AE1314" i="1"/>
  <c r="AK1314" i="1"/>
  <c r="AQ1314" i="1"/>
  <c r="AU1314" i="1"/>
  <c r="AV1314" i="1"/>
  <c r="AW1314" i="1"/>
  <c r="AX1314" i="1"/>
  <c r="AY1314" i="1"/>
  <c r="AZ1314" i="1"/>
  <c r="BA1314" i="1"/>
  <c r="BC1314" i="1"/>
  <c r="BD1314" i="1"/>
  <c r="BE1314" i="1"/>
  <c r="BF1314" i="1"/>
  <c r="BG1314" i="1"/>
  <c r="BH1314" i="1"/>
  <c r="BI1314" i="1"/>
  <c r="BJ1314" i="1"/>
  <c r="BM1314" i="1"/>
  <c r="CA1314" i="1"/>
  <c r="CN1314" i="1"/>
  <c r="CO1314" i="1"/>
  <c r="CP1314" i="1"/>
  <c r="CQ1314" i="1"/>
  <c r="G1632" i="1"/>
  <c r="U1632" i="1"/>
  <c r="W1632" i="1"/>
  <c r="AE1632" i="1"/>
  <c r="AK1632" i="1"/>
  <c r="AQ1632" i="1"/>
  <c r="AU1632" i="1"/>
  <c r="AV1632" i="1"/>
  <c r="AW1632" i="1"/>
  <c r="AX1632" i="1"/>
  <c r="AY1632" i="1"/>
  <c r="AZ1632" i="1"/>
  <c r="BA1632" i="1"/>
  <c r="BC1632" i="1"/>
  <c r="BD1632" i="1"/>
  <c r="BE1632" i="1"/>
  <c r="BF1632" i="1"/>
  <c r="BG1632" i="1"/>
  <c r="BH1632" i="1"/>
  <c r="BI1632" i="1"/>
  <c r="BJ1632" i="1"/>
  <c r="BM1632" i="1"/>
  <c r="CA1632" i="1"/>
  <c r="CN1632" i="1"/>
  <c r="CO1632" i="1"/>
  <c r="CP1632" i="1"/>
  <c r="CQ1632" i="1"/>
  <c r="G4" i="1"/>
  <c r="U4" i="1"/>
  <c r="W4" i="1"/>
  <c r="AE4" i="1"/>
  <c r="AK4" i="1"/>
  <c r="AQ4" i="1"/>
  <c r="AU4" i="1"/>
  <c r="AV4" i="1"/>
  <c r="AW4" i="1"/>
  <c r="AX4" i="1"/>
  <c r="AY4" i="1"/>
  <c r="AZ4" i="1"/>
  <c r="BA4" i="1"/>
  <c r="BC4" i="1"/>
  <c r="BD4" i="1"/>
  <c r="BE4" i="1"/>
  <c r="BF4" i="1"/>
  <c r="BG4" i="1"/>
  <c r="BH4" i="1"/>
  <c r="BI4" i="1"/>
  <c r="BJ4" i="1"/>
  <c r="BM4" i="1"/>
  <c r="CA4" i="1"/>
  <c r="CN4" i="1"/>
  <c r="CO4" i="1"/>
  <c r="CP4" i="1"/>
  <c r="CQ4" i="1"/>
  <c r="G499" i="1"/>
  <c r="U499" i="1"/>
  <c r="W499" i="1"/>
  <c r="AE499" i="1"/>
  <c r="AK499" i="1"/>
  <c r="AQ499" i="1"/>
  <c r="AU499" i="1"/>
  <c r="AV499" i="1"/>
  <c r="AW499" i="1"/>
  <c r="AX499" i="1"/>
  <c r="AY499" i="1"/>
  <c r="AZ499" i="1"/>
  <c r="BA499" i="1"/>
  <c r="BC499" i="1"/>
  <c r="BD499" i="1"/>
  <c r="BE499" i="1"/>
  <c r="BF499" i="1"/>
  <c r="BG499" i="1"/>
  <c r="BH499" i="1"/>
  <c r="BI499" i="1"/>
  <c r="BJ499" i="1"/>
  <c r="BM499" i="1"/>
  <c r="CA499" i="1"/>
  <c r="CN499" i="1"/>
  <c r="CO499" i="1"/>
  <c r="CP499" i="1"/>
  <c r="CQ499" i="1"/>
  <c r="G1540" i="1"/>
  <c r="U1540" i="1"/>
  <c r="W1540" i="1"/>
  <c r="AE1540" i="1"/>
  <c r="AK1540" i="1"/>
  <c r="AQ1540" i="1"/>
  <c r="AU1540" i="1"/>
  <c r="AV1540" i="1"/>
  <c r="AW1540" i="1"/>
  <c r="AX1540" i="1"/>
  <c r="AY1540" i="1"/>
  <c r="AZ1540" i="1"/>
  <c r="BA1540" i="1"/>
  <c r="BC1540" i="1"/>
  <c r="BD1540" i="1"/>
  <c r="BE1540" i="1"/>
  <c r="BF1540" i="1"/>
  <c r="BG1540" i="1"/>
  <c r="BH1540" i="1"/>
  <c r="BI1540" i="1"/>
  <c r="BJ1540" i="1"/>
  <c r="BM1540" i="1"/>
  <c r="CA1540" i="1"/>
  <c r="CN1540" i="1"/>
  <c r="CO1540" i="1"/>
  <c r="CP1540" i="1"/>
  <c r="CQ1540" i="1"/>
  <c r="G500" i="1"/>
  <c r="U500" i="1"/>
  <c r="W500" i="1"/>
  <c r="AE500" i="1"/>
  <c r="AK500" i="1"/>
  <c r="AQ500" i="1"/>
  <c r="AU500" i="1"/>
  <c r="AV500" i="1"/>
  <c r="AW500" i="1"/>
  <c r="AX500" i="1"/>
  <c r="AY500" i="1"/>
  <c r="AZ500" i="1"/>
  <c r="BA500" i="1"/>
  <c r="BC500" i="1"/>
  <c r="BD500" i="1"/>
  <c r="BE500" i="1"/>
  <c r="BF500" i="1"/>
  <c r="BG500" i="1"/>
  <c r="BH500" i="1"/>
  <c r="BI500" i="1"/>
  <c r="BJ500" i="1"/>
  <c r="BM500" i="1"/>
  <c r="CA500" i="1"/>
  <c r="CN500" i="1"/>
  <c r="CO500" i="1"/>
  <c r="CP500" i="1"/>
  <c r="CQ500" i="1"/>
  <c r="G5" i="1"/>
  <c r="U5" i="1"/>
  <c r="W5" i="1"/>
  <c r="AE5" i="1"/>
  <c r="AK5" i="1"/>
  <c r="AQ5" i="1"/>
  <c r="AU5" i="1"/>
  <c r="AV5" i="1"/>
  <c r="AW5" i="1"/>
  <c r="AX5" i="1"/>
  <c r="AY5" i="1"/>
  <c r="AZ5" i="1"/>
  <c r="BA5" i="1"/>
  <c r="BC5" i="1"/>
  <c r="BD5" i="1"/>
  <c r="BE5" i="1"/>
  <c r="BF5" i="1"/>
  <c r="BG5" i="1"/>
  <c r="BH5" i="1"/>
  <c r="BI5" i="1"/>
  <c r="BJ5" i="1"/>
  <c r="BM5" i="1"/>
  <c r="CA5" i="1"/>
  <c r="CN5" i="1"/>
  <c r="CO5" i="1"/>
  <c r="CP5" i="1"/>
  <c r="CQ5" i="1"/>
  <c r="G6" i="1"/>
  <c r="U6" i="1"/>
  <c r="W6" i="1"/>
  <c r="AE6" i="1"/>
  <c r="AK6" i="1"/>
  <c r="AQ6" i="1"/>
  <c r="AU6" i="1"/>
  <c r="AV6" i="1"/>
  <c r="AW6" i="1"/>
  <c r="AX6" i="1"/>
  <c r="AY6" i="1"/>
  <c r="AZ6" i="1"/>
  <c r="BA6" i="1"/>
  <c r="BC6" i="1"/>
  <c r="BD6" i="1"/>
  <c r="BE6" i="1"/>
  <c r="BF6" i="1"/>
  <c r="BG6" i="1"/>
  <c r="BH6" i="1"/>
  <c r="BI6" i="1"/>
  <c r="BJ6" i="1"/>
  <c r="BM6" i="1"/>
  <c r="CA6" i="1"/>
  <c r="CN6" i="1"/>
  <c r="CO6" i="1"/>
  <c r="CP6" i="1"/>
  <c r="CQ6" i="1"/>
  <c r="G1315" i="1"/>
  <c r="U1315" i="1"/>
  <c r="W1315" i="1"/>
  <c r="AE1315" i="1"/>
  <c r="AK1315" i="1"/>
  <c r="AQ1315" i="1"/>
  <c r="AU1315" i="1"/>
  <c r="AV1315" i="1"/>
  <c r="AW1315" i="1"/>
  <c r="AX1315" i="1"/>
  <c r="AY1315" i="1"/>
  <c r="AZ1315" i="1"/>
  <c r="BA1315" i="1"/>
  <c r="BC1315" i="1"/>
  <c r="BD1315" i="1"/>
  <c r="BE1315" i="1"/>
  <c r="BF1315" i="1"/>
  <c r="BG1315" i="1"/>
  <c r="BH1315" i="1"/>
  <c r="BI1315" i="1"/>
  <c r="BJ1315" i="1"/>
  <c r="BM1315" i="1"/>
  <c r="CA1315" i="1"/>
  <c r="CN1315" i="1"/>
  <c r="CO1315" i="1"/>
  <c r="CP1315" i="1"/>
  <c r="CQ1315" i="1"/>
  <c r="G7" i="1"/>
  <c r="U7" i="1"/>
  <c r="W7" i="1"/>
  <c r="AE7" i="1"/>
  <c r="AK7" i="1"/>
  <c r="AQ7" i="1"/>
  <c r="AU7" i="1"/>
  <c r="AV7" i="1"/>
  <c r="AW7" i="1"/>
  <c r="AX7" i="1"/>
  <c r="AY7" i="1"/>
  <c r="AZ7" i="1"/>
  <c r="BA7" i="1"/>
  <c r="BC7" i="1"/>
  <c r="BD7" i="1"/>
  <c r="BE7" i="1"/>
  <c r="BF7" i="1"/>
  <c r="BG7" i="1"/>
  <c r="BH7" i="1"/>
  <c r="BI7" i="1"/>
  <c r="BJ7" i="1"/>
  <c r="BM7" i="1"/>
  <c r="CA7" i="1"/>
  <c r="CN7" i="1"/>
  <c r="CO7" i="1"/>
  <c r="CP7" i="1"/>
  <c r="CQ7" i="1"/>
  <c r="G501" i="1"/>
  <c r="U501" i="1"/>
  <c r="W501" i="1"/>
  <c r="AE501" i="1"/>
  <c r="AK501" i="1"/>
  <c r="AQ501" i="1"/>
  <c r="AU501" i="1"/>
  <c r="AV501" i="1"/>
  <c r="AW501" i="1"/>
  <c r="AX501" i="1"/>
  <c r="AY501" i="1"/>
  <c r="AZ501" i="1"/>
  <c r="BA501" i="1"/>
  <c r="BC501" i="1"/>
  <c r="BD501" i="1"/>
  <c r="BE501" i="1"/>
  <c r="BF501" i="1"/>
  <c r="BG501" i="1"/>
  <c r="BH501" i="1"/>
  <c r="BI501" i="1"/>
  <c r="BJ501" i="1"/>
  <c r="BM501" i="1"/>
  <c r="CA501" i="1"/>
  <c r="CN501" i="1"/>
  <c r="CO501" i="1"/>
  <c r="CP501" i="1"/>
  <c r="CQ501" i="1"/>
  <c r="G8" i="1"/>
  <c r="U8" i="1"/>
  <c r="W8" i="1"/>
  <c r="AE8" i="1"/>
  <c r="AK8" i="1"/>
  <c r="AQ8" i="1"/>
  <c r="AU8" i="1"/>
  <c r="AV8" i="1"/>
  <c r="AW8" i="1"/>
  <c r="AX8" i="1"/>
  <c r="AY8" i="1"/>
  <c r="AZ8" i="1"/>
  <c r="BA8" i="1"/>
  <c r="BC8" i="1"/>
  <c r="BD8" i="1"/>
  <c r="BE8" i="1"/>
  <c r="BF8" i="1"/>
  <c r="BG8" i="1"/>
  <c r="BH8" i="1"/>
  <c r="BI8" i="1"/>
  <c r="BJ8" i="1"/>
  <c r="BM8" i="1"/>
  <c r="CA8" i="1"/>
  <c r="CN8" i="1"/>
  <c r="CO8" i="1"/>
  <c r="CP8" i="1"/>
  <c r="CQ8" i="1"/>
  <c r="G1316" i="1"/>
  <c r="U1316" i="1"/>
  <c r="W1316" i="1"/>
  <c r="AE1316" i="1"/>
  <c r="AK1316" i="1"/>
  <c r="AQ1316" i="1"/>
  <c r="AU1316" i="1"/>
  <c r="AV1316" i="1"/>
  <c r="AW1316" i="1"/>
  <c r="AX1316" i="1"/>
  <c r="AY1316" i="1"/>
  <c r="AZ1316" i="1"/>
  <c r="BA1316" i="1"/>
  <c r="BC1316" i="1"/>
  <c r="BD1316" i="1"/>
  <c r="BE1316" i="1"/>
  <c r="BF1316" i="1"/>
  <c r="BG1316" i="1"/>
  <c r="BH1316" i="1"/>
  <c r="BI1316" i="1"/>
  <c r="BJ1316" i="1"/>
  <c r="BM1316" i="1"/>
  <c r="CA1316" i="1"/>
  <c r="CN1316" i="1"/>
  <c r="CO1316" i="1"/>
  <c r="CP1316" i="1"/>
  <c r="CQ1316" i="1"/>
  <c r="G1317" i="1"/>
  <c r="U1317" i="1"/>
  <c r="W1317" i="1"/>
  <c r="AE1317" i="1"/>
  <c r="AK1317" i="1"/>
  <c r="AQ1317" i="1"/>
  <c r="AU1317" i="1"/>
  <c r="AV1317" i="1"/>
  <c r="AW1317" i="1"/>
  <c r="AX1317" i="1"/>
  <c r="AY1317" i="1"/>
  <c r="AZ1317" i="1"/>
  <c r="BA1317" i="1"/>
  <c r="BC1317" i="1"/>
  <c r="BD1317" i="1"/>
  <c r="BE1317" i="1"/>
  <c r="BF1317" i="1"/>
  <c r="BG1317" i="1"/>
  <c r="BH1317" i="1"/>
  <c r="BI1317" i="1"/>
  <c r="BJ1317" i="1"/>
  <c r="BM1317" i="1"/>
  <c r="CA1317" i="1"/>
  <c r="CN1317" i="1"/>
  <c r="CO1317" i="1"/>
  <c r="CP1317" i="1"/>
  <c r="CQ1317" i="1"/>
  <c r="G1633" i="1"/>
  <c r="U1633" i="1"/>
  <c r="W1633" i="1"/>
  <c r="AE1633" i="1"/>
  <c r="AK1633" i="1"/>
  <c r="AQ1633" i="1"/>
  <c r="AU1633" i="1"/>
  <c r="AV1633" i="1"/>
  <c r="AW1633" i="1"/>
  <c r="AX1633" i="1"/>
  <c r="AY1633" i="1"/>
  <c r="AZ1633" i="1"/>
  <c r="BA1633" i="1"/>
  <c r="BC1633" i="1"/>
  <c r="BD1633" i="1"/>
  <c r="BE1633" i="1"/>
  <c r="BF1633" i="1"/>
  <c r="BG1633" i="1"/>
  <c r="BH1633" i="1"/>
  <c r="BI1633" i="1"/>
  <c r="BJ1633" i="1"/>
  <c r="BM1633" i="1"/>
  <c r="CA1633" i="1"/>
  <c r="CN1633" i="1"/>
  <c r="CO1633" i="1"/>
  <c r="CP1633" i="1"/>
  <c r="CQ1633" i="1"/>
  <c r="G1541" i="1"/>
  <c r="U1541" i="1"/>
  <c r="W1541" i="1"/>
  <c r="AE1541" i="1"/>
  <c r="AK1541" i="1"/>
  <c r="AQ1541" i="1"/>
  <c r="AU1541" i="1"/>
  <c r="AV1541" i="1"/>
  <c r="AW1541" i="1"/>
  <c r="AX1541" i="1"/>
  <c r="AY1541" i="1"/>
  <c r="AZ1541" i="1"/>
  <c r="BA1541" i="1"/>
  <c r="BC1541" i="1"/>
  <c r="BD1541" i="1"/>
  <c r="BE1541" i="1"/>
  <c r="BF1541" i="1"/>
  <c r="BG1541" i="1"/>
  <c r="BH1541" i="1"/>
  <c r="BI1541" i="1"/>
  <c r="BJ1541" i="1"/>
  <c r="BM1541" i="1"/>
  <c r="CA1541" i="1"/>
  <c r="CN1541" i="1"/>
  <c r="CO1541" i="1"/>
  <c r="CP1541" i="1"/>
  <c r="CQ1541" i="1"/>
  <c r="G355" i="1"/>
  <c r="U355" i="1"/>
  <c r="W355" i="1"/>
  <c r="AE355" i="1"/>
  <c r="AK355" i="1"/>
  <c r="AQ355" i="1"/>
  <c r="AU355" i="1"/>
  <c r="AV355" i="1"/>
  <c r="AW355" i="1"/>
  <c r="AX355" i="1"/>
  <c r="AY355" i="1"/>
  <c r="AZ355" i="1"/>
  <c r="BA355" i="1"/>
  <c r="BC355" i="1"/>
  <c r="BD355" i="1"/>
  <c r="BE355" i="1"/>
  <c r="BF355" i="1"/>
  <c r="BG355" i="1"/>
  <c r="BH355" i="1"/>
  <c r="BI355" i="1"/>
  <c r="BJ355" i="1"/>
  <c r="BM355" i="1"/>
  <c r="CA355" i="1"/>
  <c r="CN355" i="1"/>
  <c r="CO355" i="1"/>
  <c r="CP355" i="1"/>
  <c r="CQ355" i="1"/>
  <c r="G1634" i="1"/>
  <c r="U1634" i="1"/>
  <c r="W1634" i="1"/>
  <c r="AE1634" i="1"/>
  <c r="AK1634" i="1"/>
  <c r="AQ1634" i="1"/>
  <c r="AU1634" i="1"/>
  <c r="AV1634" i="1"/>
  <c r="AW1634" i="1"/>
  <c r="AX1634" i="1"/>
  <c r="AY1634" i="1"/>
  <c r="AZ1634" i="1"/>
  <c r="BA1634" i="1"/>
  <c r="BC1634" i="1"/>
  <c r="BD1634" i="1"/>
  <c r="BE1634" i="1"/>
  <c r="BF1634" i="1"/>
  <c r="BG1634" i="1"/>
  <c r="BH1634" i="1"/>
  <c r="BI1634" i="1"/>
  <c r="BJ1634" i="1"/>
  <c r="BM1634" i="1"/>
  <c r="CA1634" i="1"/>
  <c r="CN1634" i="1"/>
  <c r="CO1634" i="1"/>
  <c r="CP1634" i="1"/>
  <c r="CQ1634" i="1"/>
  <c r="G502" i="1"/>
  <c r="U502" i="1"/>
  <c r="W502" i="1"/>
  <c r="AE502" i="1"/>
  <c r="AK502" i="1"/>
  <c r="AQ502" i="1"/>
  <c r="AU502" i="1"/>
  <c r="AV502" i="1"/>
  <c r="AW502" i="1"/>
  <c r="AX502" i="1"/>
  <c r="AY502" i="1"/>
  <c r="AZ502" i="1"/>
  <c r="BA502" i="1"/>
  <c r="BC502" i="1"/>
  <c r="BD502" i="1"/>
  <c r="BE502" i="1"/>
  <c r="BF502" i="1"/>
  <c r="BG502" i="1"/>
  <c r="BH502" i="1"/>
  <c r="BI502" i="1"/>
  <c r="BJ502" i="1"/>
  <c r="BM502" i="1"/>
  <c r="CA502" i="1"/>
  <c r="CN502" i="1"/>
  <c r="CO502" i="1"/>
  <c r="CP502" i="1"/>
  <c r="CQ502" i="1"/>
  <c r="G503" i="1"/>
  <c r="U503" i="1"/>
  <c r="W503" i="1"/>
  <c r="AE503" i="1"/>
  <c r="AK503" i="1"/>
  <c r="AQ503" i="1"/>
  <c r="AU503" i="1"/>
  <c r="AV503" i="1"/>
  <c r="AW503" i="1"/>
  <c r="AX503" i="1"/>
  <c r="AY503" i="1"/>
  <c r="AZ503" i="1"/>
  <c r="BA503" i="1"/>
  <c r="BC503" i="1"/>
  <c r="BD503" i="1"/>
  <c r="BE503" i="1"/>
  <c r="BF503" i="1"/>
  <c r="BG503" i="1"/>
  <c r="BH503" i="1"/>
  <c r="BI503" i="1"/>
  <c r="BJ503" i="1"/>
  <c r="BM503" i="1"/>
  <c r="CA503" i="1"/>
  <c r="CN503" i="1"/>
  <c r="CO503" i="1"/>
  <c r="CP503" i="1"/>
  <c r="CQ503" i="1"/>
  <c r="G504" i="1"/>
  <c r="U504" i="1"/>
  <c r="W504" i="1"/>
  <c r="AE504" i="1"/>
  <c r="AK504" i="1"/>
  <c r="AQ504" i="1"/>
  <c r="AU504" i="1"/>
  <c r="AV504" i="1"/>
  <c r="AW504" i="1"/>
  <c r="AX504" i="1"/>
  <c r="AY504" i="1"/>
  <c r="AZ504" i="1"/>
  <c r="BA504" i="1"/>
  <c r="BC504" i="1"/>
  <c r="BD504" i="1"/>
  <c r="BE504" i="1"/>
  <c r="BF504" i="1"/>
  <c r="BG504" i="1"/>
  <c r="BH504" i="1"/>
  <c r="BI504" i="1"/>
  <c r="BJ504" i="1"/>
  <c r="BM504" i="1"/>
  <c r="CA504" i="1"/>
  <c r="CN504" i="1"/>
  <c r="CO504" i="1"/>
  <c r="CP504" i="1"/>
  <c r="CQ504" i="1"/>
  <c r="G505" i="1"/>
  <c r="U505" i="1"/>
  <c r="W505" i="1"/>
  <c r="AE505" i="1"/>
  <c r="AK505" i="1"/>
  <c r="AQ505" i="1"/>
  <c r="AU505" i="1"/>
  <c r="AV505" i="1"/>
  <c r="AW505" i="1"/>
  <c r="AX505" i="1"/>
  <c r="AY505" i="1"/>
  <c r="AZ505" i="1"/>
  <c r="BA505" i="1"/>
  <c r="BC505" i="1"/>
  <c r="BD505" i="1"/>
  <c r="BE505" i="1"/>
  <c r="BF505" i="1"/>
  <c r="BG505" i="1"/>
  <c r="BH505" i="1"/>
  <c r="BI505" i="1"/>
  <c r="BJ505" i="1"/>
  <c r="BM505" i="1"/>
  <c r="CA505" i="1"/>
  <c r="CN505" i="1"/>
  <c r="CO505" i="1"/>
  <c r="CP505" i="1"/>
  <c r="CQ505" i="1"/>
  <c r="G506" i="1"/>
  <c r="U506" i="1"/>
  <c r="W506" i="1"/>
  <c r="AE506" i="1"/>
  <c r="AK506" i="1"/>
  <c r="AQ506" i="1"/>
  <c r="AU506" i="1"/>
  <c r="AV506" i="1"/>
  <c r="AW506" i="1"/>
  <c r="AX506" i="1"/>
  <c r="AY506" i="1"/>
  <c r="AZ506" i="1"/>
  <c r="BA506" i="1"/>
  <c r="BC506" i="1"/>
  <c r="BD506" i="1"/>
  <c r="BE506" i="1"/>
  <c r="BF506" i="1"/>
  <c r="BG506" i="1"/>
  <c r="BH506" i="1"/>
  <c r="BI506" i="1"/>
  <c r="BJ506" i="1"/>
  <c r="BM506" i="1"/>
  <c r="CA506" i="1"/>
  <c r="CN506" i="1"/>
  <c r="CO506" i="1"/>
  <c r="CP506" i="1"/>
  <c r="CQ506" i="1"/>
  <c r="G507" i="1"/>
  <c r="U507" i="1"/>
  <c r="W507" i="1"/>
  <c r="AE507" i="1"/>
  <c r="AK507" i="1"/>
  <c r="AQ507" i="1"/>
  <c r="AU507" i="1"/>
  <c r="AV507" i="1"/>
  <c r="AW507" i="1"/>
  <c r="AX507" i="1"/>
  <c r="AY507" i="1"/>
  <c r="AZ507" i="1"/>
  <c r="BA507" i="1"/>
  <c r="BC507" i="1"/>
  <c r="BD507" i="1"/>
  <c r="BE507" i="1"/>
  <c r="BF507" i="1"/>
  <c r="BG507" i="1"/>
  <c r="BH507" i="1"/>
  <c r="BI507" i="1"/>
  <c r="BJ507" i="1"/>
  <c r="BM507" i="1"/>
  <c r="CA507" i="1"/>
  <c r="CN507" i="1"/>
  <c r="CO507" i="1"/>
  <c r="CP507" i="1"/>
  <c r="CQ507" i="1"/>
  <c r="G508" i="1"/>
  <c r="U508" i="1"/>
  <c r="W508" i="1"/>
  <c r="AE508" i="1"/>
  <c r="AK508" i="1"/>
  <c r="AQ508" i="1"/>
  <c r="AU508" i="1"/>
  <c r="AV508" i="1"/>
  <c r="AW508" i="1"/>
  <c r="AX508" i="1"/>
  <c r="AY508" i="1"/>
  <c r="AZ508" i="1"/>
  <c r="BA508" i="1"/>
  <c r="BC508" i="1"/>
  <c r="BD508" i="1"/>
  <c r="BE508" i="1"/>
  <c r="BF508" i="1"/>
  <c r="BG508" i="1"/>
  <c r="BH508" i="1"/>
  <c r="BI508" i="1"/>
  <c r="BJ508" i="1"/>
  <c r="BM508" i="1"/>
  <c r="CA508" i="1"/>
  <c r="CN508" i="1"/>
  <c r="CO508" i="1"/>
  <c r="CP508" i="1"/>
  <c r="CQ508" i="1"/>
  <c r="G509" i="1"/>
  <c r="U509" i="1"/>
  <c r="W509" i="1"/>
  <c r="AE509" i="1"/>
  <c r="AK509" i="1"/>
  <c r="AQ509" i="1"/>
  <c r="AU509" i="1"/>
  <c r="AV509" i="1"/>
  <c r="AW509" i="1"/>
  <c r="AX509" i="1"/>
  <c r="AY509" i="1"/>
  <c r="AZ509" i="1"/>
  <c r="BA509" i="1"/>
  <c r="BC509" i="1"/>
  <c r="BD509" i="1"/>
  <c r="BE509" i="1"/>
  <c r="BF509" i="1"/>
  <c r="BG509" i="1"/>
  <c r="BH509" i="1"/>
  <c r="BI509" i="1"/>
  <c r="BJ509" i="1"/>
  <c r="BM509" i="1"/>
  <c r="CA509" i="1"/>
  <c r="CN509" i="1"/>
  <c r="CO509" i="1"/>
  <c r="CP509" i="1"/>
  <c r="CQ509" i="1"/>
  <c r="G9" i="1"/>
  <c r="U9" i="1"/>
  <c r="W9" i="1"/>
  <c r="AE9" i="1"/>
  <c r="AK9" i="1"/>
  <c r="AQ9" i="1"/>
  <c r="AU9" i="1"/>
  <c r="AV9" i="1"/>
  <c r="AW9" i="1"/>
  <c r="AX9" i="1"/>
  <c r="AY9" i="1"/>
  <c r="AZ9" i="1"/>
  <c r="BA9" i="1"/>
  <c r="BC9" i="1"/>
  <c r="BD9" i="1"/>
  <c r="BE9" i="1"/>
  <c r="BF9" i="1"/>
  <c r="BG9" i="1"/>
  <c r="BH9" i="1"/>
  <c r="BI9" i="1"/>
  <c r="BJ9" i="1"/>
  <c r="BM9" i="1"/>
  <c r="CA9" i="1"/>
  <c r="CN9" i="1"/>
  <c r="CO9" i="1"/>
  <c r="CP9" i="1"/>
  <c r="CQ9" i="1"/>
  <c r="G10" i="1"/>
  <c r="U10" i="1"/>
  <c r="W10" i="1"/>
  <c r="AE10" i="1"/>
  <c r="AK10" i="1"/>
  <c r="AQ10" i="1"/>
  <c r="AU10" i="1"/>
  <c r="AV10" i="1"/>
  <c r="AW10" i="1"/>
  <c r="AX10" i="1"/>
  <c r="AY10" i="1"/>
  <c r="AZ10" i="1"/>
  <c r="BA10" i="1"/>
  <c r="BC10" i="1"/>
  <c r="BD10" i="1"/>
  <c r="BE10" i="1"/>
  <c r="BF10" i="1"/>
  <c r="BG10" i="1"/>
  <c r="BH10" i="1"/>
  <c r="BI10" i="1"/>
  <c r="BJ10" i="1"/>
  <c r="BM10" i="1"/>
  <c r="CA10" i="1"/>
  <c r="CN10" i="1"/>
  <c r="CO10" i="1"/>
  <c r="CP10" i="1"/>
  <c r="CQ10" i="1"/>
  <c r="G510" i="1"/>
  <c r="U510" i="1"/>
  <c r="W510" i="1"/>
  <c r="AE510" i="1"/>
  <c r="AK510" i="1"/>
  <c r="AQ510" i="1"/>
  <c r="AU510" i="1"/>
  <c r="AV510" i="1"/>
  <c r="AW510" i="1"/>
  <c r="AX510" i="1"/>
  <c r="AY510" i="1"/>
  <c r="AZ510" i="1"/>
  <c r="BA510" i="1"/>
  <c r="BC510" i="1"/>
  <c r="BD510" i="1"/>
  <c r="BE510" i="1"/>
  <c r="BF510" i="1"/>
  <c r="BG510" i="1"/>
  <c r="BH510" i="1"/>
  <c r="BI510" i="1"/>
  <c r="BJ510" i="1"/>
  <c r="BM510" i="1"/>
  <c r="CA510" i="1"/>
  <c r="CN510" i="1"/>
  <c r="CO510" i="1"/>
  <c r="CP510" i="1"/>
  <c r="CQ510" i="1"/>
  <c r="G511" i="1"/>
  <c r="U511" i="1"/>
  <c r="W511" i="1"/>
  <c r="AE511" i="1"/>
  <c r="AK511" i="1"/>
  <c r="AQ511" i="1"/>
  <c r="AU511" i="1"/>
  <c r="AV511" i="1"/>
  <c r="AW511" i="1"/>
  <c r="AX511" i="1"/>
  <c r="AY511" i="1"/>
  <c r="AZ511" i="1"/>
  <c r="BA511" i="1"/>
  <c r="BC511" i="1"/>
  <c r="BD511" i="1"/>
  <c r="BE511" i="1"/>
  <c r="BF511" i="1"/>
  <c r="BG511" i="1"/>
  <c r="BH511" i="1"/>
  <c r="BI511" i="1"/>
  <c r="BJ511" i="1"/>
  <c r="BM511" i="1"/>
  <c r="CA511" i="1"/>
  <c r="CN511" i="1"/>
  <c r="CO511" i="1"/>
  <c r="CP511" i="1"/>
  <c r="CQ511" i="1"/>
  <c r="G356" i="1"/>
  <c r="U356" i="1"/>
  <c r="W356" i="1"/>
  <c r="AE356" i="1"/>
  <c r="AK356" i="1"/>
  <c r="AQ356" i="1"/>
  <c r="AU356" i="1"/>
  <c r="AV356" i="1"/>
  <c r="AW356" i="1"/>
  <c r="AX356" i="1"/>
  <c r="AY356" i="1"/>
  <c r="AZ356" i="1"/>
  <c r="BA356" i="1"/>
  <c r="BC356" i="1"/>
  <c r="BD356" i="1"/>
  <c r="BE356" i="1"/>
  <c r="BF356" i="1"/>
  <c r="BG356" i="1"/>
  <c r="BH356" i="1"/>
  <c r="BI356" i="1"/>
  <c r="BJ356" i="1"/>
  <c r="BM356" i="1"/>
  <c r="CA356" i="1"/>
  <c r="CN356" i="1"/>
  <c r="CO356" i="1"/>
  <c r="CP356" i="1"/>
  <c r="CQ356" i="1"/>
  <c r="G512" i="1"/>
  <c r="U512" i="1"/>
  <c r="W512" i="1"/>
  <c r="AE512" i="1"/>
  <c r="AK512" i="1"/>
  <c r="AQ512" i="1"/>
  <c r="AU512" i="1"/>
  <c r="AV512" i="1"/>
  <c r="AW512" i="1"/>
  <c r="AX512" i="1"/>
  <c r="AY512" i="1"/>
  <c r="AZ512" i="1"/>
  <c r="BA512" i="1"/>
  <c r="BC512" i="1"/>
  <c r="BD512" i="1"/>
  <c r="BE512" i="1"/>
  <c r="BF512" i="1"/>
  <c r="BG512" i="1"/>
  <c r="BH512" i="1"/>
  <c r="BI512" i="1"/>
  <c r="BJ512" i="1"/>
  <c r="BM512" i="1"/>
  <c r="CA512" i="1"/>
  <c r="CN512" i="1"/>
  <c r="CO512" i="1"/>
  <c r="CP512" i="1"/>
  <c r="CQ512" i="1"/>
  <c r="G1635" i="1"/>
  <c r="U1635" i="1"/>
  <c r="W1635" i="1"/>
  <c r="AE1635" i="1"/>
  <c r="AK1635" i="1"/>
  <c r="AQ1635" i="1"/>
  <c r="AU1635" i="1"/>
  <c r="AV1635" i="1"/>
  <c r="AW1635" i="1"/>
  <c r="AX1635" i="1"/>
  <c r="AY1635" i="1"/>
  <c r="AZ1635" i="1"/>
  <c r="BA1635" i="1"/>
  <c r="BC1635" i="1"/>
  <c r="BD1635" i="1"/>
  <c r="BE1635" i="1"/>
  <c r="BF1635" i="1"/>
  <c r="BG1635" i="1"/>
  <c r="BH1635" i="1"/>
  <c r="BI1635" i="1"/>
  <c r="BJ1635" i="1"/>
  <c r="BM1635" i="1"/>
  <c r="CA1635" i="1"/>
  <c r="CN1635" i="1"/>
  <c r="CO1635" i="1"/>
  <c r="CP1635" i="1"/>
  <c r="CQ1635" i="1"/>
  <c r="G357" i="1"/>
  <c r="U357" i="1"/>
  <c r="W357" i="1"/>
  <c r="AE357" i="1"/>
  <c r="AK357" i="1"/>
  <c r="AQ357" i="1"/>
  <c r="AU357" i="1"/>
  <c r="AV357" i="1"/>
  <c r="AW357" i="1"/>
  <c r="AX357" i="1"/>
  <c r="AY357" i="1"/>
  <c r="AZ357" i="1"/>
  <c r="BA357" i="1"/>
  <c r="BC357" i="1"/>
  <c r="BD357" i="1"/>
  <c r="BE357" i="1"/>
  <c r="BF357" i="1"/>
  <c r="BG357" i="1"/>
  <c r="BH357" i="1"/>
  <c r="BI357" i="1"/>
  <c r="BJ357" i="1"/>
  <c r="BM357" i="1"/>
  <c r="CA357" i="1"/>
  <c r="CN357" i="1"/>
  <c r="CO357" i="1"/>
  <c r="CP357" i="1"/>
  <c r="CQ357" i="1"/>
  <c r="G11" i="1"/>
  <c r="U11" i="1"/>
  <c r="W11" i="1"/>
  <c r="AE11" i="1"/>
  <c r="AK11" i="1"/>
  <c r="AQ11" i="1"/>
  <c r="AU11" i="1"/>
  <c r="AV11" i="1"/>
  <c r="AW11" i="1"/>
  <c r="AX11" i="1"/>
  <c r="AY11" i="1"/>
  <c r="AZ11" i="1"/>
  <c r="BA11" i="1"/>
  <c r="BC11" i="1"/>
  <c r="BD11" i="1"/>
  <c r="BE11" i="1"/>
  <c r="BF11" i="1"/>
  <c r="BG11" i="1"/>
  <c r="BH11" i="1"/>
  <c r="BI11" i="1"/>
  <c r="BJ11" i="1"/>
  <c r="BM11" i="1"/>
  <c r="CA11" i="1"/>
  <c r="CN11" i="1"/>
  <c r="CO11" i="1"/>
  <c r="CP11" i="1"/>
  <c r="CQ11" i="1"/>
  <c r="G1542" i="1"/>
  <c r="U1542" i="1"/>
  <c r="W1542" i="1"/>
  <c r="AE1542" i="1"/>
  <c r="AK1542" i="1"/>
  <c r="AQ1542" i="1"/>
  <c r="AU1542" i="1"/>
  <c r="AV1542" i="1"/>
  <c r="AW1542" i="1"/>
  <c r="AX1542" i="1"/>
  <c r="AY1542" i="1"/>
  <c r="AZ1542" i="1"/>
  <c r="BA1542" i="1"/>
  <c r="BC1542" i="1"/>
  <c r="BD1542" i="1"/>
  <c r="BE1542" i="1"/>
  <c r="BF1542" i="1"/>
  <c r="BG1542" i="1"/>
  <c r="BH1542" i="1"/>
  <c r="BI1542" i="1"/>
  <c r="BJ1542" i="1"/>
  <c r="BM1542" i="1"/>
  <c r="CA1542" i="1"/>
  <c r="CN1542" i="1"/>
  <c r="CO1542" i="1"/>
  <c r="CP1542" i="1"/>
  <c r="CQ1542" i="1"/>
  <c r="G358" i="1"/>
  <c r="U358" i="1"/>
  <c r="W358" i="1"/>
  <c r="AE358" i="1"/>
  <c r="AK358" i="1"/>
  <c r="AQ358" i="1"/>
  <c r="AU358" i="1"/>
  <c r="AV358" i="1"/>
  <c r="AW358" i="1"/>
  <c r="AX358" i="1"/>
  <c r="AY358" i="1"/>
  <c r="AZ358" i="1"/>
  <c r="BA358" i="1"/>
  <c r="BC358" i="1"/>
  <c r="BD358" i="1"/>
  <c r="BE358" i="1"/>
  <c r="BF358" i="1"/>
  <c r="BG358" i="1"/>
  <c r="BH358" i="1"/>
  <c r="BI358" i="1"/>
  <c r="BJ358" i="1"/>
  <c r="BM358" i="1"/>
  <c r="CA358" i="1"/>
  <c r="CN358" i="1"/>
  <c r="CO358" i="1"/>
  <c r="CP358" i="1"/>
  <c r="CQ358" i="1"/>
  <c r="G513" i="1"/>
  <c r="U513" i="1"/>
  <c r="W513" i="1"/>
  <c r="AE513" i="1"/>
  <c r="AK513" i="1"/>
  <c r="AQ513" i="1"/>
  <c r="AU513" i="1"/>
  <c r="AV513" i="1"/>
  <c r="AW513" i="1"/>
  <c r="AX513" i="1"/>
  <c r="AY513" i="1"/>
  <c r="AZ513" i="1"/>
  <c r="BA513" i="1"/>
  <c r="BC513" i="1"/>
  <c r="BD513" i="1"/>
  <c r="BE513" i="1"/>
  <c r="BF513" i="1"/>
  <c r="BG513" i="1"/>
  <c r="BH513" i="1"/>
  <c r="BI513" i="1"/>
  <c r="BJ513" i="1"/>
  <c r="BM513" i="1"/>
  <c r="CA513" i="1"/>
  <c r="CN513" i="1"/>
  <c r="CO513" i="1"/>
  <c r="CP513" i="1"/>
  <c r="CQ513" i="1"/>
  <c r="G514" i="1"/>
  <c r="U514" i="1"/>
  <c r="W514" i="1"/>
  <c r="AE514" i="1"/>
  <c r="AK514" i="1"/>
  <c r="AQ514" i="1"/>
  <c r="AU514" i="1"/>
  <c r="AV514" i="1"/>
  <c r="AW514" i="1"/>
  <c r="AX514" i="1"/>
  <c r="AY514" i="1"/>
  <c r="AZ514" i="1"/>
  <c r="BA514" i="1"/>
  <c r="BC514" i="1"/>
  <c r="BD514" i="1"/>
  <c r="BE514" i="1"/>
  <c r="BF514" i="1"/>
  <c r="BG514" i="1"/>
  <c r="BH514" i="1"/>
  <c r="BI514" i="1"/>
  <c r="BJ514" i="1"/>
  <c r="BM514" i="1"/>
  <c r="CA514" i="1"/>
  <c r="CN514" i="1"/>
  <c r="CO514" i="1"/>
  <c r="CP514" i="1"/>
  <c r="CQ514" i="1"/>
  <c r="G1636" i="1"/>
  <c r="U1636" i="1"/>
  <c r="W1636" i="1"/>
  <c r="AE1636" i="1"/>
  <c r="AK1636" i="1"/>
  <c r="AQ1636" i="1"/>
  <c r="AU1636" i="1"/>
  <c r="AV1636" i="1"/>
  <c r="AW1636" i="1"/>
  <c r="AX1636" i="1"/>
  <c r="AY1636" i="1"/>
  <c r="AZ1636" i="1"/>
  <c r="BA1636" i="1"/>
  <c r="BC1636" i="1"/>
  <c r="BD1636" i="1"/>
  <c r="BE1636" i="1"/>
  <c r="BF1636" i="1"/>
  <c r="BG1636" i="1"/>
  <c r="BH1636" i="1"/>
  <c r="BI1636" i="1"/>
  <c r="BJ1636" i="1"/>
  <c r="BM1636" i="1"/>
  <c r="CA1636" i="1"/>
  <c r="CN1636" i="1"/>
  <c r="CO1636" i="1"/>
  <c r="CP1636" i="1"/>
  <c r="CQ1636" i="1"/>
  <c r="G515" i="1"/>
  <c r="U515" i="1"/>
  <c r="W515" i="1"/>
  <c r="AE515" i="1"/>
  <c r="AK515" i="1"/>
  <c r="AQ515" i="1"/>
  <c r="AU515" i="1"/>
  <c r="AV515" i="1"/>
  <c r="AW515" i="1"/>
  <c r="AX515" i="1"/>
  <c r="AY515" i="1"/>
  <c r="AZ515" i="1"/>
  <c r="BA515" i="1"/>
  <c r="BC515" i="1"/>
  <c r="BD515" i="1"/>
  <c r="BE515" i="1"/>
  <c r="BF515" i="1"/>
  <c r="BG515" i="1"/>
  <c r="BH515" i="1"/>
  <c r="BI515" i="1"/>
  <c r="BJ515" i="1"/>
  <c r="BM515" i="1"/>
  <c r="CA515" i="1"/>
  <c r="CN515" i="1"/>
  <c r="CO515" i="1"/>
  <c r="CP515" i="1"/>
  <c r="CQ515" i="1"/>
  <c r="G1637" i="1"/>
  <c r="U1637" i="1"/>
  <c r="W1637" i="1"/>
  <c r="AE1637" i="1"/>
  <c r="AK1637" i="1"/>
  <c r="AQ1637" i="1"/>
  <c r="AU1637" i="1"/>
  <c r="AV1637" i="1"/>
  <c r="AW1637" i="1"/>
  <c r="AX1637" i="1"/>
  <c r="AY1637" i="1"/>
  <c r="AZ1637" i="1"/>
  <c r="BA1637" i="1"/>
  <c r="BC1637" i="1"/>
  <c r="BD1637" i="1"/>
  <c r="BE1637" i="1"/>
  <c r="BF1637" i="1"/>
  <c r="BG1637" i="1"/>
  <c r="BH1637" i="1"/>
  <c r="BI1637" i="1"/>
  <c r="BJ1637" i="1"/>
  <c r="BM1637" i="1"/>
  <c r="CA1637" i="1"/>
  <c r="CN1637" i="1"/>
  <c r="CO1637" i="1"/>
  <c r="CP1637" i="1"/>
  <c r="CQ1637" i="1"/>
  <c r="G1638" i="1"/>
  <c r="U1638" i="1"/>
  <c r="W1638" i="1"/>
  <c r="AE1638" i="1"/>
  <c r="AK1638" i="1"/>
  <c r="AQ1638" i="1"/>
  <c r="AU1638" i="1"/>
  <c r="AV1638" i="1"/>
  <c r="AW1638" i="1"/>
  <c r="AX1638" i="1"/>
  <c r="AY1638" i="1"/>
  <c r="AZ1638" i="1"/>
  <c r="BA1638" i="1"/>
  <c r="BC1638" i="1"/>
  <c r="BD1638" i="1"/>
  <c r="BE1638" i="1"/>
  <c r="BF1638" i="1"/>
  <c r="BG1638" i="1"/>
  <c r="BH1638" i="1"/>
  <c r="BI1638" i="1"/>
  <c r="BJ1638" i="1"/>
  <c r="BM1638" i="1"/>
  <c r="CA1638" i="1"/>
  <c r="CN1638" i="1"/>
  <c r="CO1638" i="1"/>
  <c r="CP1638" i="1"/>
  <c r="CQ1638" i="1"/>
  <c r="G1543" i="1"/>
  <c r="U1543" i="1"/>
  <c r="W1543" i="1"/>
  <c r="AE1543" i="1"/>
  <c r="AK1543" i="1"/>
  <c r="AQ1543" i="1"/>
  <c r="AU1543" i="1"/>
  <c r="AV1543" i="1"/>
  <c r="AW1543" i="1"/>
  <c r="AX1543" i="1"/>
  <c r="AY1543" i="1"/>
  <c r="AZ1543" i="1"/>
  <c r="BA1543" i="1"/>
  <c r="BC1543" i="1"/>
  <c r="BD1543" i="1"/>
  <c r="BE1543" i="1"/>
  <c r="BF1543" i="1"/>
  <c r="BG1543" i="1"/>
  <c r="BH1543" i="1"/>
  <c r="BI1543" i="1"/>
  <c r="BJ1543" i="1"/>
  <c r="BM1543" i="1"/>
  <c r="CA1543" i="1"/>
  <c r="CN1543" i="1"/>
  <c r="CO1543" i="1"/>
  <c r="CP1543" i="1"/>
  <c r="CQ1543" i="1"/>
  <c r="G1639" i="1"/>
  <c r="U1639" i="1"/>
  <c r="W1639" i="1"/>
  <c r="AE1639" i="1"/>
  <c r="AK1639" i="1"/>
  <c r="AQ1639" i="1"/>
  <c r="AU1639" i="1"/>
  <c r="AV1639" i="1"/>
  <c r="AW1639" i="1"/>
  <c r="AX1639" i="1"/>
  <c r="AY1639" i="1"/>
  <c r="AZ1639" i="1"/>
  <c r="BA1639" i="1"/>
  <c r="BC1639" i="1"/>
  <c r="BD1639" i="1"/>
  <c r="BE1639" i="1"/>
  <c r="BF1639" i="1"/>
  <c r="BG1639" i="1"/>
  <c r="BH1639" i="1"/>
  <c r="BI1639" i="1"/>
  <c r="BJ1639" i="1"/>
  <c r="BM1639" i="1"/>
  <c r="CA1639" i="1"/>
  <c r="CN1639" i="1"/>
  <c r="CO1639" i="1"/>
  <c r="CP1639" i="1"/>
  <c r="CQ1639" i="1"/>
  <c r="G1640" i="1"/>
  <c r="U1640" i="1"/>
  <c r="W1640" i="1"/>
  <c r="AE1640" i="1"/>
  <c r="AK1640" i="1"/>
  <c r="AQ1640" i="1"/>
  <c r="AU1640" i="1"/>
  <c r="AV1640" i="1"/>
  <c r="AW1640" i="1"/>
  <c r="AX1640" i="1"/>
  <c r="AY1640" i="1"/>
  <c r="AZ1640" i="1"/>
  <c r="BA1640" i="1"/>
  <c r="BC1640" i="1"/>
  <c r="BD1640" i="1"/>
  <c r="BE1640" i="1"/>
  <c r="BF1640" i="1"/>
  <c r="BG1640" i="1"/>
  <c r="BH1640" i="1"/>
  <c r="BI1640" i="1"/>
  <c r="BJ1640" i="1"/>
  <c r="BM1640" i="1"/>
  <c r="CA1640" i="1"/>
  <c r="CN1640" i="1"/>
  <c r="CO1640" i="1"/>
  <c r="CP1640" i="1"/>
  <c r="CQ1640" i="1"/>
  <c r="G516" i="1"/>
  <c r="U516" i="1"/>
  <c r="W516" i="1"/>
  <c r="AE516" i="1"/>
  <c r="AK516" i="1"/>
  <c r="AQ516" i="1"/>
  <c r="AU516" i="1"/>
  <c r="AV516" i="1"/>
  <c r="AW516" i="1"/>
  <c r="AX516" i="1"/>
  <c r="AY516" i="1"/>
  <c r="AZ516" i="1"/>
  <c r="BA516" i="1"/>
  <c r="BC516" i="1"/>
  <c r="BD516" i="1"/>
  <c r="BE516" i="1"/>
  <c r="BF516" i="1"/>
  <c r="BG516" i="1"/>
  <c r="BH516" i="1"/>
  <c r="BI516" i="1"/>
  <c r="BJ516" i="1"/>
  <c r="BM516" i="1"/>
  <c r="CA516" i="1"/>
  <c r="CN516" i="1"/>
  <c r="CO516" i="1"/>
  <c r="CP516" i="1"/>
  <c r="CQ516" i="1"/>
  <c r="G517" i="1"/>
  <c r="U517" i="1"/>
  <c r="W517" i="1"/>
  <c r="AE517" i="1"/>
  <c r="AK517" i="1"/>
  <c r="AQ517" i="1"/>
  <c r="AU517" i="1"/>
  <c r="AV517" i="1"/>
  <c r="AW517" i="1"/>
  <c r="AX517" i="1"/>
  <c r="AY517" i="1"/>
  <c r="AZ517" i="1"/>
  <c r="BA517" i="1"/>
  <c r="BC517" i="1"/>
  <c r="BD517" i="1"/>
  <c r="BE517" i="1"/>
  <c r="BF517" i="1"/>
  <c r="BG517" i="1"/>
  <c r="BH517" i="1"/>
  <c r="BI517" i="1"/>
  <c r="BJ517" i="1"/>
  <c r="BM517" i="1"/>
  <c r="CA517" i="1"/>
  <c r="CN517" i="1"/>
  <c r="CO517" i="1"/>
  <c r="CP517" i="1"/>
  <c r="CQ517" i="1"/>
  <c r="G12" i="1"/>
  <c r="U12" i="1"/>
  <c r="W12" i="1"/>
  <c r="AE12" i="1"/>
  <c r="AK12" i="1"/>
  <c r="AQ12" i="1"/>
  <c r="AU12" i="1"/>
  <c r="AV12" i="1"/>
  <c r="AW12" i="1"/>
  <c r="AX12" i="1"/>
  <c r="AY12" i="1"/>
  <c r="AZ12" i="1"/>
  <c r="BA12" i="1"/>
  <c r="BC12" i="1"/>
  <c r="BD12" i="1"/>
  <c r="BE12" i="1"/>
  <c r="BF12" i="1"/>
  <c r="BG12" i="1"/>
  <c r="BH12" i="1"/>
  <c r="BI12" i="1"/>
  <c r="BJ12" i="1"/>
  <c r="BM12" i="1"/>
  <c r="CA12" i="1"/>
  <c r="CN12" i="1"/>
  <c r="CO12" i="1"/>
  <c r="CP12" i="1"/>
  <c r="CQ12" i="1"/>
  <c r="G518" i="1"/>
  <c r="U518" i="1"/>
  <c r="W518" i="1"/>
  <c r="AE518" i="1"/>
  <c r="AK518" i="1"/>
  <c r="AQ518" i="1"/>
  <c r="AU518" i="1"/>
  <c r="AV518" i="1"/>
  <c r="AW518" i="1"/>
  <c r="AX518" i="1"/>
  <c r="AY518" i="1"/>
  <c r="AZ518" i="1"/>
  <c r="BA518" i="1"/>
  <c r="BC518" i="1"/>
  <c r="BD518" i="1"/>
  <c r="BE518" i="1"/>
  <c r="BF518" i="1"/>
  <c r="BG518" i="1"/>
  <c r="BH518" i="1"/>
  <c r="BI518" i="1"/>
  <c r="BJ518" i="1"/>
  <c r="BM518" i="1"/>
  <c r="CA518" i="1"/>
  <c r="CN518" i="1"/>
  <c r="CO518" i="1"/>
  <c r="CP518" i="1"/>
  <c r="CQ518" i="1"/>
  <c r="G519" i="1"/>
  <c r="U519" i="1"/>
  <c r="W519" i="1"/>
  <c r="AE519" i="1"/>
  <c r="AK519" i="1"/>
  <c r="AQ519" i="1"/>
  <c r="AU519" i="1"/>
  <c r="AV519" i="1"/>
  <c r="AW519" i="1"/>
  <c r="AX519" i="1"/>
  <c r="AY519" i="1"/>
  <c r="AZ519" i="1"/>
  <c r="BA519" i="1"/>
  <c r="BC519" i="1"/>
  <c r="BD519" i="1"/>
  <c r="BE519" i="1"/>
  <c r="BF519" i="1"/>
  <c r="BG519" i="1"/>
  <c r="BH519" i="1"/>
  <c r="BI519" i="1"/>
  <c r="BJ519" i="1"/>
  <c r="BM519" i="1"/>
  <c r="CA519" i="1"/>
  <c r="CN519" i="1"/>
  <c r="CO519" i="1"/>
  <c r="CP519" i="1"/>
  <c r="CQ519" i="1"/>
  <c r="G520" i="1"/>
  <c r="U520" i="1"/>
  <c r="W520" i="1"/>
  <c r="AE520" i="1"/>
  <c r="AK520" i="1"/>
  <c r="AQ520" i="1"/>
  <c r="AU520" i="1"/>
  <c r="AV520" i="1"/>
  <c r="AW520" i="1"/>
  <c r="AX520" i="1"/>
  <c r="AY520" i="1"/>
  <c r="AZ520" i="1"/>
  <c r="BA520" i="1"/>
  <c r="BC520" i="1"/>
  <c r="BD520" i="1"/>
  <c r="BE520" i="1"/>
  <c r="BF520" i="1"/>
  <c r="BG520" i="1"/>
  <c r="BH520" i="1"/>
  <c r="BI520" i="1"/>
  <c r="BJ520" i="1"/>
  <c r="BM520" i="1"/>
  <c r="CA520" i="1"/>
  <c r="CN520" i="1"/>
  <c r="CO520" i="1"/>
  <c r="CP520" i="1"/>
  <c r="CQ520" i="1"/>
  <c r="G521" i="1"/>
  <c r="U521" i="1"/>
  <c r="W521" i="1"/>
  <c r="AE521" i="1"/>
  <c r="AK521" i="1"/>
  <c r="AQ521" i="1"/>
  <c r="AU521" i="1"/>
  <c r="AV521" i="1"/>
  <c r="AW521" i="1"/>
  <c r="AX521" i="1"/>
  <c r="AY521" i="1"/>
  <c r="AZ521" i="1"/>
  <c r="BA521" i="1"/>
  <c r="BC521" i="1"/>
  <c r="BD521" i="1"/>
  <c r="BE521" i="1"/>
  <c r="BF521" i="1"/>
  <c r="BG521" i="1"/>
  <c r="BH521" i="1"/>
  <c r="BI521" i="1"/>
  <c r="BJ521" i="1"/>
  <c r="BM521" i="1"/>
  <c r="CA521" i="1"/>
  <c r="CN521" i="1"/>
  <c r="CO521" i="1"/>
  <c r="CP521" i="1"/>
  <c r="CQ521" i="1"/>
  <c r="G13" i="1"/>
  <c r="U13" i="1"/>
  <c r="W13" i="1"/>
  <c r="AE13" i="1"/>
  <c r="AK13" i="1"/>
  <c r="AQ13" i="1"/>
  <c r="AU13" i="1"/>
  <c r="AV13" i="1"/>
  <c r="AW13" i="1"/>
  <c r="AX13" i="1"/>
  <c r="AY13" i="1"/>
  <c r="AZ13" i="1"/>
  <c r="BA13" i="1"/>
  <c r="BC13" i="1"/>
  <c r="BD13" i="1"/>
  <c r="BE13" i="1"/>
  <c r="BF13" i="1"/>
  <c r="BG13" i="1"/>
  <c r="BH13" i="1"/>
  <c r="BI13" i="1"/>
  <c r="BJ13" i="1"/>
  <c r="BM13" i="1"/>
  <c r="CA13" i="1"/>
  <c r="CN13" i="1"/>
  <c r="CO13" i="1"/>
  <c r="CP13" i="1"/>
  <c r="CQ13" i="1"/>
  <c r="G1641" i="1"/>
  <c r="U1641" i="1"/>
  <c r="W1641" i="1"/>
  <c r="AE1641" i="1"/>
  <c r="AK1641" i="1"/>
  <c r="AQ1641" i="1"/>
  <c r="AU1641" i="1"/>
  <c r="AV1641" i="1"/>
  <c r="AW1641" i="1"/>
  <c r="AX1641" i="1"/>
  <c r="AY1641" i="1"/>
  <c r="AZ1641" i="1"/>
  <c r="BA1641" i="1"/>
  <c r="BC1641" i="1"/>
  <c r="BD1641" i="1"/>
  <c r="BE1641" i="1"/>
  <c r="BF1641" i="1"/>
  <c r="BG1641" i="1"/>
  <c r="BH1641" i="1"/>
  <c r="BI1641" i="1"/>
  <c r="BJ1641" i="1"/>
  <c r="BM1641" i="1"/>
  <c r="CA1641" i="1"/>
  <c r="CN1641" i="1"/>
  <c r="CO1641" i="1"/>
  <c r="CP1641" i="1"/>
  <c r="CQ1641" i="1"/>
  <c r="G14" i="1"/>
  <c r="U14" i="1"/>
  <c r="W14" i="1"/>
  <c r="AE14" i="1"/>
  <c r="AK14" i="1"/>
  <c r="AQ14" i="1"/>
  <c r="AU14" i="1"/>
  <c r="AV14" i="1"/>
  <c r="AW14" i="1"/>
  <c r="AX14" i="1"/>
  <c r="AY14" i="1"/>
  <c r="AZ14" i="1"/>
  <c r="BA14" i="1"/>
  <c r="BC14" i="1"/>
  <c r="BD14" i="1"/>
  <c r="BE14" i="1"/>
  <c r="BF14" i="1"/>
  <c r="BG14" i="1"/>
  <c r="BH14" i="1"/>
  <c r="BI14" i="1"/>
  <c r="BJ14" i="1"/>
  <c r="BM14" i="1"/>
  <c r="CA14" i="1"/>
  <c r="CN14" i="1"/>
  <c r="CO14" i="1"/>
  <c r="CP14" i="1"/>
  <c r="CQ14" i="1"/>
  <c r="G1642" i="1"/>
  <c r="U1642" i="1"/>
  <c r="W1642" i="1"/>
  <c r="AE1642" i="1"/>
  <c r="AK1642" i="1"/>
  <c r="AQ1642" i="1"/>
  <c r="AU1642" i="1"/>
  <c r="AV1642" i="1"/>
  <c r="AW1642" i="1"/>
  <c r="AX1642" i="1"/>
  <c r="AY1642" i="1"/>
  <c r="AZ1642" i="1"/>
  <c r="BA1642" i="1"/>
  <c r="BC1642" i="1"/>
  <c r="BD1642" i="1"/>
  <c r="BE1642" i="1"/>
  <c r="BF1642" i="1"/>
  <c r="BG1642" i="1"/>
  <c r="BH1642" i="1"/>
  <c r="BI1642" i="1"/>
  <c r="BJ1642" i="1"/>
  <c r="BM1642" i="1"/>
  <c r="CA1642" i="1"/>
  <c r="CN1642" i="1"/>
  <c r="CO1642" i="1"/>
  <c r="CP1642" i="1"/>
  <c r="CQ1642" i="1"/>
  <c r="G15" i="1"/>
  <c r="U15" i="1"/>
  <c r="W15" i="1"/>
  <c r="AE15" i="1"/>
  <c r="AK15" i="1"/>
  <c r="AQ15" i="1"/>
  <c r="AU15" i="1"/>
  <c r="AV15" i="1"/>
  <c r="AW15" i="1"/>
  <c r="AX15" i="1"/>
  <c r="AY15" i="1"/>
  <c r="AZ15" i="1"/>
  <c r="BA15" i="1"/>
  <c r="BC15" i="1"/>
  <c r="BD15" i="1"/>
  <c r="BE15" i="1"/>
  <c r="BF15" i="1"/>
  <c r="BG15" i="1"/>
  <c r="BH15" i="1"/>
  <c r="BI15" i="1"/>
  <c r="BJ15" i="1"/>
  <c r="BM15" i="1"/>
  <c r="CA15" i="1"/>
  <c r="CN15" i="1"/>
  <c r="CO15" i="1"/>
  <c r="CP15" i="1"/>
  <c r="CQ15" i="1"/>
  <c r="G522" i="1"/>
  <c r="U522" i="1"/>
  <c r="W522" i="1"/>
  <c r="AE522" i="1"/>
  <c r="AK522" i="1"/>
  <c r="AQ522" i="1"/>
  <c r="AU522" i="1"/>
  <c r="AV522" i="1"/>
  <c r="AW522" i="1"/>
  <c r="AX522" i="1"/>
  <c r="AY522" i="1"/>
  <c r="AZ522" i="1"/>
  <c r="BA522" i="1"/>
  <c r="BC522" i="1"/>
  <c r="BD522" i="1"/>
  <c r="BE522" i="1"/>
  <c r="BF522" i="1"/>
  <c r="BG522" i="1"/>
  <c r="BH522" i="1"/>
  <c r="BI522" i="1"/>
  <c r="BJ522" i="1"/>
  <c r="BM522" i="1"/>
  <c r="CA522" i="1"/>
  <c r="CN522" i="1"/>
  <c r="CO522" i="1"/>
  <c r="CP522" i="1"/>
  <c r="CQ522" i="1"/>
  <c r="G359" i="1"/>
  <c r="U359" i="1"/>
  <c r="W359" i="1"/>
  <c r="AE359" i="1"/>
  <c r="AK359" i="1"/>
  <c r="AQ359" i="1"/>
  <c r="AU359" i="1"/>
  <c r="AV359" i="1"/>
  <c r="AW359" i="1"/>
  <c r="AX359" i="1"/>
  <c r="AY359" i="1"/>
  <c r="AZ359" i="1"/>
  <c r="BA359" i="1"/>
  <c r="BC359" i="1"/>
  <c r="BD359" i="1"/>
  <c r="BE359" i="1"/>
  <c r="BF359" i="1"/>
  <c r="BG359" i="1"/>
  <c r="BH359" i="1"/>
  <c r="BI359" i="1"/>
  <c r="BJ359" i="1"/>
  <c r="BM359" i="1"/>
  <c r="CA359" i="1"/>
  <c r="CN359" i="1"/>
  <c r="CO359" i="1"/>
  <c r="CP359" i="1"/>
  <c r="CQ359" i="1"/>
  <c r="G523" i="1"/>
  <c r="U523" i="1"/>
  <c r="W523" i="1"/>
  <c r="AE523" i="1"/>
  <c r="AK523" i="1"/>
  <c r="AQ523" i="1"/>
  <c r="AU523" i="1"/>
  <c r="AV523" i="1"/>
  <c r="AW523" i="1"/>
  <c r="AX523" i="1"/>
  <c r="AY523" i="1"/>
  <c r="AZ523" i="1"/>
  <c r="BA523" i="1"/>
  <c r="BC523" i="1"/>
  <c r="BD523" i="1"/>
  <c r="BE523" i="1"/>
  <c r="BF523" i="1"/>
  <c r="BG523" i="1"/>
  <c r="BH523" i="1"/>
  <c r="BI523" i="1"/>
  <c r="BJ523" i="1"/>
  <c r="BM523" i="1"/>
  <c r="CA523" i="1"/>
  <c r="CN523" i="1"/>
  <c r="CO523" i="1"/>
  <c r="CP523" i="1"/>
  <c r="CQ523" i="1"/>
  <c r="G1643" i="1"/>
  <c r="U1643" i="1"/>
  <c r="W1643" i="1"/>
  <c r="AE1643" i="1"/>
  <c r="AK1643" i="1"/>
  <c r="AQ1643" i="1"/>
  <c r="AU1643" i="1"/>
  <c r="AV1643" i="1"/>
  <c r="AW1643" i="1"/>
  <c r="AX1643" i="1"/>
  <c r="AY1643" i="1"/>
  <c r="AZ1643" i="1"/>
  <c r="BA1643" i="1"/>
  <c r="BC1643" i="1"/>
  <c r="BD1643" i="1"/>
  <c r="BE1643" i="1"/>
  <c r="BF1643" i="1"/>
  <c r="BG1643" i="1"/>
  <c r="BH1643" i="1"/>
  <c r="BI1643" i="1"/>
  <c r="BJ1643" i="1"/>
  <c r="BM1643" i="1"/>
  <c r="CA1643" i="1"/>
  <c r="CN1643" i="1"/>
  <c r="CO1643" i="1"/>
  <c r="CP1643" i="1"/>
  <c r="CQ1643" i="1"/>
  <c r="G524" i="1"/>
  <c r="U524" i="1"/>
  <c r="W524" i="1"/>
  <c r="AE524" i="1"/>
  <c r="AK524" i="1"/>
  <c r="AQ524" i="1"/>
  <c r="AU524" i="1"/>
  <c r="AV524" i="1"/>
  <c r="AW524" i="1"/>
  <c r="AX524" i="1"/>
  <c r="AY524" i="1"/>
  <c r="AZ524" i="1"/>
  <c r="BA524" i="1"/>
  <c r="BC524" i="1"/>
  <c r="BD524" i="1"/>
  <c r="BE524" i="1"/>
  <c r="BF524" i="1"/>
  <c r="BG524" i="1"/>
  <c r="BH524" i="1"/>
  <c r="BI524" i="1"/>
  <c r="BJ524" i="1"/>
  <c r="BM524" i="1"/>
  <c r="CA524" i="1"/>
  <c r="CN524" i="1"/>
  <c r="CO524" i="1"/>
  <c r="CP524" i="1"/>
  <c r="CQ524" i="1"/>
  <c r="G525" i="1"/>
  <c r="U525" i="1"/>
  <c r="W525" i="1"/>
  <c r="AE525" i="1"/>
  <c r="AK525" i="1"/>
  <c r="AQ525" i="1"/>
  <c r="AU525" i="1"/>
  <c r="AV525" i="1"/>
  <c r="AW525" i="1"/>
  <c r="AX525" i="1"/>
  <c r="AY525" i="1"/>
  <c r="AZ525" i="1"/>
  <c r="BA525" i="1"/>
  <c r="BC525" i="1"/>
  <c r="BD525" i="1"/>
  <c r="BE525" i="1"/>
  <c r="BF525" i="1"/>
  <c r="BG525" i="1"/>
  <c r="BH525" i="1"/>
  <c r="BI525" i="1"/>
  <c r="BJ525" i="1"/>
  <c r="BM525" i="1"/>
  <c r="CA525" i="1"/>
  <c r="CN525" i="1"/>
  <c r="CO525" i="1"/>
  <c r="CP525" i="1"/>
  <c r="CQ525" i="1"/>
  <c r="G16" i="1"/>
  <c r="U16" i="1"/>
  <c r="W16" i="1"/>
  <c r="AE16" i="1"/>
  <c r="AK16" i="1"/>
  <c r="AQ16" i="1"/>
  <c r="AU16" i="1"/>
  <c r="AV16" i="1"/>
  <c r="AW16" i="1"/>
  <c r="AX16" i="1"/>
  <c r="AY16" i="1"/>
  <c r="AZ16" i="1"/>
  <c r="BA16" i="1"/>
  <c r="BC16" i="1"/>
  <c r="BD16" i="1"/>
  <c r="BE16" i="1"/>
  <c r="BF16" i="1"/>
  <c r="BG16" i="1"/>
  <c r="BH16" i="1"/>
  <c r="BI16" i="1"/>
  <c r="BJ16" i="1"/>
  <c r="BM16" i="1"/>
  <c r="CA16" i="1"/>
  <c r="CN16" i="1"/>
  <c r="CO16" i="1"/>
  <c r="CP16" i="1"/>
  <c r="CQ16" i="1"/>
  <c r="G17" i="1"/>
  <c r="U17" i="1"/>
  <c r="W17" i="1"/>
  <c r="AE17" i="1"/>
  <c r="AK17" i="1"/>
  <c r="AQ17" i="1"/>
  <c r="AU17" i="1"/>
  <c r="AV17" i="1"/>
  <c r="AW17" i="1"/>
  <c r="AX17" i="1"/>
  <c r="AY17" i="1"/>
  <c r="AZ17" i="1"/>
  <c r="BA17" i="1"/>
  <c r="BC17" i="1"/>
  <c r="BD17" i="1"/>
  <c r="BE17" i="1"/>
  <c r="BF17" i="1"/>
  <c r="BG17" i="1"/>
  <c r="BH17" i="1"/>
  <c r="BI17" i="1"/>
  <c r="BJ17" i="1"/>
  <c r="BM17" i="1"/>
  <c r="CA17" i="1"/>
  <c r="CN17" i="1"/>
  <c r="CO17" i="1"/>
  <c r="CP17" i="1"/>
  <c r="CQ17" i="1"/>
  <c r="G18" i="1"/>
  <c r="U18" i="1"/>
  <c r="W18" i="1"/>
  <c r="AE18" i="1"/>
  <c r="AK18" i="1"/>
  <c r="AQ18" i="1"/>
  <c r="AU18" i="1"/>
  <c r="AV18" i="1"/>
  <c r="AW18" i="1"/>
  <c r="AX18" i="1"/>
  <c r="AY18" i="1"/>
  <c r="AZ18" i="1"/>
  <c r="BA18" i="1"/>
  <c r="BC18" i="1"/>
  <c r="BD18" i="1"/>
  <c r="BE18" i="1"/>
  <c r="BF18" i="1"/>
  <c r="BG18" i="1"/>
  <c r="BH18" i="1"/>
  <c r="BI18" i="1"/>
  <c r="BJ18" i="1"/>
  <c r="BM18" i="1"/>
  <c r="CA18" i="1"/>
  <c r="CN18" i="1"/>
  <c r="CO18" i="1"/>
  <c r="CP18" i="1"/>
  <c r="CQ18" i="1"/>
  <c r="G19" i="1"/>
  <c r="U19" i="1"/>
  <c r="W19" i="1"/>
  <c r="AE19" i="1"/>
  <c r="AK19" i="1"/>
  <c r="AQ19" i="1"/>
  <c r="AU19" i="1"/>
  <c r="AV19" i="1"/>
  <c r="AW19" i="1"/>
  <c r="AX19" i="1"/>
  <c r="AY19" i="1"/>
  <c r="AZ19" i="1"/>
  <c r="BA19" i="1"/>
  <c r="BC19" i="1"/>
  <c r="BD19" i="1"/>
  <c r="BE19" i="1"/>
  <c r="BF19" i="1"/>
  <c r="BG19" i="1"/>
  <c r="BH19" i="1"/>
  <c r="BI19" i="1"/>
  <c r="BJ19" i="1"/>
  <c r="BM19" i="1"/>
  <c r="CA19" i="1"/>
  <c r="CN19" i="1"/>
  <c r="CO19" i="1"/>
  <c r="CP19" i="1"/>
  <c r="CQ19" i="1"/>
  <c r="G1644" i="1"/>
  <c r="U1644" i="1"/>
  <c r="W1644" i="1"/>
  <c r="AE1644" i="1"/>
  <c r="AK1644" i="1"/>
  <c r="AQ1644" i="1"/>
  <c r="AU1644" i="1"/>
  <c r="AV1644" i="1"/>
  <c r="AW1644" i="1"/>
  <c r="AX1644" i="1"/>
  <c r="AY1644" i="1"/>
  <c r="AZ1644" i="1"/>
  <c r="BA1644" i="1"/>
  <c r="BC1644" i="1"/>
  <c r="BD1644" i="1"/>
  <c r="BE1644" i="1"/>
  <c r="BF1644" i="1"/>
  <c r="BG1644" i="1"/>
  <c r="BH1644" i="1"/>
  <c r="BI1644" i="1"/>
  <c r="BJ1644" i="1"/>
  <c r="BM1644" i="1"/>
  <c r="CA1644" i="1"/>
  <c r="CN1644" i="1"/>
  <c r="CO1644" i="1"/>
  <c r="CP1644" i="1"/>
  <c r="CQ1644" i="1"/>
  <c r="G526" i="1"/>
  <c r="U526" i="1"/>
  <c r="W526" i="1"/>
  <c r="AE526" i="1"/>
  <c r="AK526" i="1"/>
  <c r="AQ526" i="1"/>
  <c r="AU526" i="1"/>
  <c r="AV526" i="1"/>
  <c r="AW526" i="1"/>
  <c r="AX526" i="1"/>
  <c r="AY526" i="1"/>
  <c r="AZ526" i="1"/>
  <c r="BA526" i="1"/>
  <c r="BC526" i="1"/>
  <c r="BD526" i="1"/>
  <c r="BE526" i="1"/>
  <c r="BF526" i="1"/>
  <c r="BG526" i="1"/>
  <c r="BH526" i="1"/>
  <c r="BI526" i="1"/>
  <c r="BJ526" i="1"/>
  <c r="BM526" i="1"/>
  <c r="CA526" i="1"/>
  <c r="CN526" i="1"/>
  <c r="CO526" i="1"/>
  <c r="CP526" i="1"/>
  <c r="CQ526" i="1"/>
  <c r="G1645" i="1"/>
  <c r="U1645" i="1"/>
  <c r="W1645" i="1"/>
  <c r="AE1645" i="1"/>
  <c r="AK1645" i="1"/>
  <c r="AQ1645" i="1"/>
  <c r="AU1645" i="1"/>
  <c r="AV1645" i="1"/>
  <c r="AW1645" i="1"/>
  <c r="AX1645" i="1"/>
  <c r="AY1645" i="1"/>
  <c r="AZ1645" i="1"/>
  <c r="BA1645" i="1"/>
  <c r="BC1645" i="1"/>
  <c r="BD1645" i="1"/>
  <c r="BE1645" i="1"/>
  <c r="BF1645" i="1"/>
  <c r="BG1645" i="1"/>
  <c r="BH1645" i="1"/>
  <c r="BI1645" i="1"/>
  <c r="BJ1645" i="1"/>
  <c r="BM1645" i="1"/>
  <c r="CA1645" i="1"/>
  <c r="CN1645" i="1"/>
  <c r="CO1645" i="1"/>
  <c r="CP1645" i="1"/>
  <c r="CQ1645" i="1"/>
  <c r="G1646" i="1"/>
  <c r="U1646" i="1"/>
  <c r="W1646" i="1"/>
  <c r="AE1646" i="1"/>
  <c r="AK1646" i="1"/>
  <c r="AQ1646" i="1"/>
  <c r="AU1646" i="1"/>
  <c r="AV1646" i="1"/>
  <c r="AW1646" i="1"/>
  <c r="AX1646" i="1"/>
  <c r="AY1646" i="1"/>
  <c r="AZ1646" i="1"/>
  <c r="BA1646" i="1"/>
  <c r="BC1646" i="1"/>
  <c r="BD1646" i="1"/>
  <c r="BE1646" i="1"/>
  <c r="BF1646" i="1"/>
  <c r="BG1646" i="1"/>
  <c r="BH1646" i="1"/>
  <c r="BI1646" i="1"/>
  <c r="BJ1646" i="1"/>
  <c r="BM1646" i="1"/>
  <c r="CA1646" i="1"/>
  <c r="CN1646" i="1"/>
  <c r="CO1646" i="1"/>
  <c r="CP1646" i="1"/>
  <c r="CQ1646" i="1"/>
  <c r="G527" i="1"/>
  <c r="U527" i="1"/>
  <c r="W527" i="1"/>
  <c r="AE527" i="1"/>
  <c r="AK527" i="1"/>
  <c r="AQ527" i="1"/>
  <c r="AU527" i="1"/>
  <c r="AV527" i="1"/>
  <c r="AW527" i="1"/>
  <c r="AX527" i="1"/>
  <c r="AY527" i="1"/>
  <c r="AZ527" i="1"/>
  <c r="BA527" i="1"/>
  <c r="BC527" i="1"/>
  <c r="BD527" i="1"/>
  <c r="BE527" i="1"/>
  <c r="BF527" i="1"/>
  <c r="BG527" i="1"/>
  <c r="BH527" i="1"/>
  <c r="BI527" i="1"/>
  <c r="BJ527" i="1"/>
  <c r="BM527" i="1"/>
  <c r="CA527" i="1"/>
  <c r="CN527" i="1"/>
  <c r="CO527" i="1"/>
  <c r="CP527" i="1"/>
  <c r="CQ527" i="1"/>
  <c r="G360" i="1"/>
  <c r="U360" i="1"/>
  <c r="W360" i="1"/>
  <c r="AE360" i="1"/>
  <c r="AK360" i="1"/>
  <c r="AQ360" i="1"/>
  <c r="AU360" i="1"/>
  <c r="AV360" i="1"/>
  <c r="AW360" i="1"/>
  <c r="AX360" i="1"/>
  <c r="AY360" i="1"/>
  <c r="AZ360" i="1"/>
  <c r="BA360" i="1"/>
  <c r="BC360" i="1"/>
  <c r="BD360" i="1"/>
  <c r="BE360" i="1"/>
  <c r="BF360" i="1"/>
  <c r="BG360" i="1"/>
  <c r="BH360" i="1"/>
  <c r="BI360" i="1"/>
  <c r="BJ360" i="1"/>
  <c r="BM360" i="1"/>
  <c r="CA360" i="1"/>
  <c r="CN360" i="1"/>
  <c r="CO360" i="1"/>
  <c r="CP360" i="1"/>
  <c r="CQ360" i="1"/>
  <c r="G528" i="1"/>
  <c r="U528" i="1"/>
  <c r="W528" i="1"/>
  <c r="AE528" i="1"/>
  <c r="AK528" i="1"/>
  <c r="AQ528" i="1"/>
  <c r="AU528" i="1"/>
  <c r="AV528" i="1"/>
  <c r="AW528" i="1"/>
  <c r="AX528" i="1"/>
  <c r="AY528" i="1"/>
  <c r="AZ528" i="1"/>
  <c r="BA528" i="1"/>
  <c r="BC528" i="1"/>
  <c r="BD528" i="1"/>
  <c r="BE528" i="1"/>
  <c r="BF528" i="1"/>
  <c r="BG528" i="1"/>
  <c r="BH528" i="1"/>
  <c r="BI528" i="1"/>
  <c r="BJ528" i="1"/>
  <c r="BM528" i="1"/>
  <c r="CA528" i="1"/>
  <c r="CN528" i="1"/>
  <c r="CO528" i="1"/>
  <c r="CP528" i="1"/>
  <c r="CQ528" i="1"/>
  <c r="G1647" i="1"/>
  <c r="U1647" i="1"/>
  <c r="W1647" i="1"/>
  <c r="AE1647" i="1"/>
  <c r="AK1647" i="1"/>
  <c r="AQ1647" i="1"/>
  <c r="AU1647" i="1"/>
  <c r="AV1647" i="1"/>
  <c r="AW1647" i="1"/>
  <c r="AX1647" i="1"/>
  <c r="AY1647" i="1"/>
  <c r="AZ1647" i="1"/>
  <c r="BA1647" i="1"/>
  <c r="BC1647" i="1"/>
  <c r="BD1647" i="1"/>
  <c r="BE1647" i="1"/>
  <c r="BF1647" i="1"/>
  <c r="BG1647" i="1"/>
  <c r="BH1647" i="1"/>
  <c r="BI1647" i="1"/>
  <c r="BJ1647" i="1"/>
  <c r="BM1647" i="1"/>
  <c r="CA1647" i="1"/>
  <c r="CN1647" i="1"/>
  <c r="CO1647" i="1"/>
  <c r="CP1647" i="1"/>
  <c r="CQ1647" i="1"/>
  <c r="G20" i="1"/>
  <c r="U20" i="1"/>
  <c r="W20" i="1"/>
  <c r="AE20" i="1"/>
  <c r="AK20" i="1"/>
  <c r="AQ20" i="1"/>
  <c r="AU20" i="1"/>
  <c r="AV20" i="1"/>
  <c r="AW20" i="1"/>
  <c r="AX20" i="1"/>
  <c r="AY20" i="1"/>
  <c r="AZ20" i="1"/>
  <c r="BA20" i="1"/>
  <c r="BC20" i="1"/>
  <c r="BD20" i="1"/>
  <c r="BE20" i="1"/>
  <c r="BF20" i="1"/>
  <c r="BG20" i="1"/>
  <c r="BH20" i="1"/>
  <c r="BI20" i="1"/>
  <c r="BJ20" i="1"/>
  <c r="BM20" i="1"/>
  <c r="CA20" i="1"/>
  <c r="CN20" i="1"/>
  <c r="CO20" i="1"/>
  <c r="CP20" i="1"/>
  <c r="CQ20" i="1"/>
  <c r="G529" i="1"/>
  <c r="U529" i="1"/>
  <c r="W529" i="1"/>
  <c r="AE529" i="1"/>
  <c r="AK529" i="1"/>
  <c r="AQ529" i="1"/>
  <c r="AU529" i="1"/>
  <c r="AV529" i="1"/>
  <c r="AW529" i="1"/>
  <c r="AX529" i="1"/>
  <c r="AY529" i="1"/>
  <c r="AZ529" i="1"/>
  <c r="BA529" i="1"/>
  <c r="BC529" i="1"/>
  <c r="BD529" i="1"/>
  <c r="BE529" i="1"/>
  <c r="BF529" i="1"/>
  <c r="BG529" i="1"/>
  <c r="BH529" i="1"/>
  <c r="BI529" i="1"/>
  <c r="BJ529" i="1"/>
  <c r="BM529" i="1"/>
  <c r="CA529" i="1"/>
  <c r="CN529" i="1"/>
  <c r="CO529" i="1"/>
  <c r="CP529" i="1"/>
  <c r="CQ529" i="1"/>
  <c r="G530" i="1"/>
  <c r="U530" i="1"/>
  <c r="W530" i="1"/>
  <c r="AE530" i="1"/>
  <c r="AK530" i="1"/>
  <c r="AQ530" i="1"/>
  <c r="AU530" i="1"/>
  <c r="AV530" i="1"/>
  <c r="AW530" i="1"/>
  <c r="AX530" i="1"/>
  <c r="AY530" i="1"/>
  <c r="AZ530" i="1"/>
  <c r="BA530" i="1"/>
  <c r="BC530" i="1"/>
  <c r="BD530" i="1"/>
  <c r="BE530" i="1"/>
  <c r="BF530" i="1"/>
  <c r="BG530" i="1"/>
  <c r="BH530" i="1"/>
  <c r="BI530" i="1"/>
  <c r="BJ530" i="1"/>
  <c r="BM530" i="1"/>
  <c r="CA530" i="1"/>
  <c r="CN530" i="1"/>
  <c r="CO530" i="1"/>
  <c r="CP530" i="1"/>
  <c r="CQ530" i="1"/>
  <c r="G1648" i="1"/>
  <c r="U1648" i="1"/>
  <c r="W1648" i="1"/>
  <c r="AE1648" i="1"/>
  <c r="AK1648" i="1"/>
  <c r="AQ1648" i="1"/>
  <c r="AU1648" i="1"/>
  <c r="AV1648" i="1"/>
  <c r="AW1648" i="1"/>
  <c r="AX1648" i="1"/>
  <c r="AY1648" i="1"/>
  <c r="AZ1648" i="1"/>
  <c r="BA1648" i="1"/>
  <c r="BC1648" i="1"/>
  <c r="BD1648" i="1"/>
  <c r="BE1648" i="1"/>
  <c r="BF1648" i="1"/>
  <c r="BG1648" i="1"/>
  <c r="BH1648" i="1"/>
  <c r="BI1648" i="1"/>
  <c r="BJ1648" i="1"/>
  <c r="BM1648" i="1"/>
  <c r="CA1648" i="1"/>
  <c r="CN1648" i="1"/>
  <c r="CO1648" i="1"/>
  <c r="CP1648" i="1"/>
  <c r="CQ1648" i="1"/>
  <c r="G531" i="1"/>
  <c r="U531" i="1"/>
  <c r="W531" i="1"/>
  <c r="AE531" i="1"/>
  <c r="AK531" i="1"/>
  <c r="AQ531" i="1"/>
  <c r="AU531" i="1"/>
  <c r="AV531" i="1"/>
  <c r="AW531" i="1"/>
  <c r="AX531" i="1"/>
  <c r="AY531" i="1"/>
  <c r="AZ531" i="1"/>
  <c r="BA531" i="1"/>
  <c r="BC531" i="1"/>
  <c r="BD531" i="1"/>
  <c r="BE531" i="1"/>
  <c r="BF531" i="1"/>
  <c r="BG531" i="1"/>
  <c r="BH531" i="1"/>
  <c r="BI531" i="1"/>
  <c r="BJ531" i="1"/>
  <c r="BM531" i="1"/>
  <c r="CA531" i="1"/>
  <c r="CN531" i="1"/>
  <c r="CO531" i="1"/>
  <c r="CP531" i="1"/>
  <c r="CQ531" i="1"/>
  <c r="G1649" i="1"/>
  <c r="U1649" i="1"/>
  <c r="W1649" i="1"/>
  <c r="AE1649" i="1"/>
  <c r="AK1649" i="1"/>
  <c r="AQ1649" i="1"/>
  <c r="AU1649" i="1"/>
  <c r="AV1649" i="1"/>
  <c r="AW1649" i="1"/>
  <c r="AX1649" i="1"/>
  <c r="AY1649" i="1"/>
  <c r="AZ1649" i="1"/>
  <c r="BA1649" i="1"/>
  <c r="BC1649" i="1"/>
  <c r="BD1649" i="1"/>
  <c r="BE1649" i="1"/>
  <c r="BF1649" i="1"/>
  <c r="BG1649" i="1"/>
  <c r="BH1649" i="1"/>
  <c r="BI1649" i="1"/>
  <c r="BJ1649" i="1"/>
  <c r="BM1649" i="1"/>
  <c r="CA1649" i="1"/>
  <c r="CN1649" i="1"/>
  <c r="CO1649" i="1"/>
  <c r="CP1649" i="1"/>
  <c r="CQ1649" i="1"/>
  <c r="G1544" i="1"/>
  <c r="U1544" i="1"/>
  <c r="W1544" i="1"/>
  <c r="AE1544" i="1"/>
  <c r="AK1544" i="1"/>
  <c r="AQ1544" i="1"/>
  <c r="AU1544" i="1"/>
  <c r="AV1544" i="1"/>
  <c r="AW1544" i="1"/>
  <c r="AX1544" i="1"/>
  <c r="AY1544" i="1"/>
  <c r="AZ1544" i="1"/>
  <c r="BA1544" i="1"/>
  <c r="BC1544" i="1"/>
  <c r="BD1544" i="1"/>
  <c r="BE1544" i="1"/>
  <c r="BF1544" i="1"/>
  <c r="BG1544" i="1"/>
  <c r="BH1544" i="1"/>
  <c r="BI1544" i="1"/>
  <c r="BJ1544" i="1"/>
  <c r="BM1544" i="1"/>
  <c r="CA1544" i="1"/>
  <c r="CN1544" i="1"/>
  <c r="CO1544" i="1"/>
  <c r="CP1544" i="1"/>
  <c r="CQ1544" i="1"/>
  <c r="G1650" i="1"/>
  <c r="U1650" i="1"/>
  <c r="W1650" i="1"/>
  <c r="AE1650" i="1"/>
  <c r="AK1650" i="1"/>
  <c r="AQ1650" i="1"/>
  <c r="AU1650" i="1"/>
  <c r="AV1650" i="1"/>
  <c r="AW1650" i="1"/>
  <c r="AX1650" i="1"/>
  <c r="AY1650" i="1"/>
  <c r="AZ1650" i="1"/>
  <c r="BA1650" i="1"/>
  <c r="BC1650" i="1"/>
  <c r="BD1650" i="1"/>
  <c r="BE1650" i="1"/>
  <c r="BF1650" i="1"/>
  <c r="BG1650" i="1"/>
  <c r="BH1650" i="1"/>
  <c r="BI1650" i="1"/>
  <c r="BJ1650" i="1"/>
  <c r="BM1650" i="1"/>
  <c r="CA1650" i="1"/>
  <c r="CN1650" i="1"/>
  <c r="CO1650" i="1"/>
  <c r="CP1650" i="1"/>
  <c r="CQ1650" i="1"/>
  <c r="G532" i="1"/>
  <c r="U532" i="1"/>
  <c r="W532" i="1"/>
  <c r="AE532" i="1"/>
  <c r="AK532" i="1"/>
  <c r="AQ532" i="1"/>
  <c r="AU532" i="1"/>
  <c r="AV532" i="1"/>
  <c r="AW532" i="1"/>
  <c r="AX532" i="1"/>
  <c r="AY532" i="1"/>
  <c r="AZ532" i="1"/>
  <c r="BA532" i="1"/>
  <c r="BC532" i="1"/>
  <c r="BD532" i="1"/>
  <c r="BE532" i="1"/>
  <c r="BF532" i="1"/>
  <c r="BG532" i="1"/>
  <c r="BH532" i="1"/>
  <c r="BI532" i="1"/>
  <c r="BJ532" i="1"/>
  <c r="BM532" i="1"/>
  <c r="CA532" i="1"/>
  <c r="CN532" i="1"/>
  <c r="CO532" i="1"/>
  <c r="CP532" i="1"/>
  <c r="CQ532" i="1"/>
  <c r="G533" i="1"/>
  <c r="U533" i="1"/>
  <c r="W533" i="1"/>
  <c r="AE533" i="1"/>
  <c r="AK533" i="1"/>
  <c r="AQ533" i="1"/>
  <c r="AU533" i="1"/>
  <c r="AV533" i="1"/>
  <c r="AW533" i="1"/>
  <c r="AX533" i="1"/>
  <c r="AY533" i="1"/>
  <c r="AZ533" i="1"/>
  <c r="BA533" i="1"/>
  <c r="BC533" i="1"/>
  <c r="BD533" i="1"/>
  <c r="BE533" i="1"/>
  <c r="BF533" i="1"/>
  <c r="BG533" i="1"/>
  <c r="BH533" i="1"/>
  <c r="BI533" i="1"/>
  <c r="BJ533" i="1"/>
  <c r="BM533" i="1"/>
  <c r="CA533" i="1"/>
  <c r="CN533" i="1"/>
  <c r="CO533" i="1"/>
  <c r="CP533" i="1"/>
  <c r="CQ533" i="1"/>
  <c r="G534" i="1"/>
  <c r="U534" i="1"/>
  <c r="W534" i="1"/>
  <c r="AE534" i="1"/>
  <c r="AK534" i="1"/>
  <c r="AQ534" i="1"/>
  <c r="AU534" i="1"/>
  <c r="AV534" i="1"/>
  <c r="AW534" i="1"/>
  <c r="AX534" i="1"/>
  <c r="AY534" i="1"/>
  <c r="AZ534" i="1"/>
  <c r="BA534" i="1"/>
  <c r="BC534" i="1"/>
  <c r="BD534" i="1"/>
  <c r="BE534" i="1"/>
  <c r="BF534" i="1"/>
  <c r="BG534" i="1"/>
  <c r="BH534" i="1"/>
  <c r="BI534" i="1"/>
  <c r="BJ534" i="1"/>
  <c r="BM534" i="1"/>
  <c r="CA534" i="1"/>
  <c r="CN534" i="1"/>
  <c r="CO534" i="1"/>
  <c r="CP534" i="1"/>
  <c r="CQ534" i="1"/>
  <c r="G535" i="1"/>
  <c r="U535" i="1"/>
  <c r="W535" i="1"/>
  <c r="AE535" i="1"/>
  <c r="AK535" i="1"/>
  <c r="AQ535" i="1"/>
  <c r="AU535" i="1"/>
  <c r="AV535" i="1"/>
  <c r="AW535" i="1"/>
  <c r="AX535" i="1"/>
  <c r="AY535" i="1"/>
  <c r="AZ535" i="1"/>
  <c r="BA535" i="1"/>
  <c r="BC535" i="1"/>
  <c r="BD535" i="1"/>
  <c r="BE535" i="1"/>
  <c r="BF535" i="1"/>
  <c r="BG535" i="1"/>
  <c r="BH535" i="1"/>
  <c r="BI535" i="1"/>
  <c r="BJ535" i="1"/>
  <c r="BM535" i="1"/>
  <c r="CA535" i="1"/>
  <c r="CN535" i="1"/>
  <c r="CO535" i="1"/>
  <c r="CP535" i="1"/>
  <c r="CQ535" i="1"/>
  <c r="G536" i="1"/>
  <c r="U536" i="1"/>
  <c r="W536" i="1"/>
  <c r="AE536" i="1"/>
  <c r="AK536" i="1"/>
  <c r="AQ536" i="1"/>
  <c r="AU536" i="1"/>
  <c r="AV536" i="1"/>
  <c r="AW536" i="1"/>
  <c r="AX536" i="1"/>
  <c r="AY536" i="1"/>
  <c r="AZ536" i="1"/>
  <c r="BA536" i="1"/>
  <c r="BC536" i="1"/>
  <c r="BD536" i="1"/>
  <c r="BE536" i="1"/>
  <c r="BF536" i="1"/>
  <c r="BG536" i="1"/>
  <c r="BH536" i="1"/>
  <c r="BI536" i="1"/>
  <c r="BJ536" i="1"/>
  <c r="BM536" i="1"/>
  <c r="CA536" i="1"/>
  <c r="CN536" i="1"/>
  <c r="CO536" i="1"/>
  <c r="CP536" i="1"/>
  <c r="CQ536" i="1"/>
  <c r="G21" i="1"/>
  <c r="U21" i="1"/>
  <c r="W21" i="1"/>
  <c r="AE21" i="1"/>
  <c r="AK21" i="1"/>
  <c r="AQ21" i="1"/>
  <c r="AU21" i="1"/>
  <c r="AV21" i="1"/>
  <c r="AW21" i="1"/>
  <c r="AX21" i="1"/>
  <c r="AY21" i="1"/>
  <c r="AZ21" i="1"/>
  <c r="BA21" i="1"/>
  <c r="BC21" i="1"/>
  <c r="BD21" i="1"/>
  <c r="BE21" i="1"/>
  <c r="BF21" i="1"/>
  <c r="BG21" i="1"/>
  <c r="BH21" i="1"/>
  <c r="BI21" i="1"/>
  <c r="BJ21" i="1"/>
  <c r="BM21" i="1"/>
  <c r="CA21" i="1"/>
  <c r="CN21" i="1"/>
  <c r="CO21" i="1"/>
  <c r="CP21" i="1"/>
  <c r="CQ21" i="1"/>
  <c r="G537" i="1"/>
  <c r="U537" i="1"/>
  <c r="W537" i="1"/>
  <c r="AE537" i="1"/>
  <c r="AK537" i="1"/>
  <c r="AQ537" i="1"/>
  <c r="AU537" i="1"/>
  <c r="AV537" i="1"/>
  <c r="AW537" i="1"/>
  <c r="AX537" i="1"/>
  <c r="AY537" i="1"/>
  <c r="AZ537" i="1"/>
  <c r="BA537" i="1"/>
  <c r="BC537" i="1"/>
  <c r="BD537" i="1"/>
  <c r="BE537" i="1"/>
  <c r="BF537" i="1"/>
  <c r="BG537" i="1"/>
  <c r="BH537" i="1"/>
  <c r="BI537" i="1"/>
  <c r="BJ537" i="1"/>
  <c r="BM537" i="1"/>
  <c r="CA537" i="1"/>
  <c r="CN537" i="1"/>
  <c r="CO537" i="1"/>
  <c r="CP537" i="1"/>
  <c r="CQ537" i="1"/>
  <c r="G1651" i="1"/>
  <c r="U1651" i="1"/>
  <c r="W1651" i="1"/>
  <c r="AE1651" i="1"/>
  <c r="AK1651" i="1"/>
  <c r="AQ1651" i="1"/>
  <c r="AU1651" i="1"/>
  <c r="AV1651" i="1"/>
  <c r="AW1651" i="1"/>
  <c r="AX1651" i="1"/>
  <c r="AY1651" i="1"/>
  <c r="AZ1651" i="1"/>
  <c r="BA1651" i="1"/>
  <c r="BC1651" i="1"/>
  <c r="BD1651" i="1"/>
  <c r="BE1651" i="1"/>
  <c r="BF1651" i="1"/>
  <c r="BG1651" i="1"/>
  <c r="BH1651" i="1"/>
  <c r="BI1651" i="1"/>
  <c r="BJ1651" i="1"/>
  <c r="BM1651" i="1"/>
  <c r="CA1651" i="1"/>
  <c r="CN1651" i="1"/>
  <c r="CO1651" i="1"/>
  <c r="CP1651" i="1"/>
  <c r="CQ1651" i="1"/>
  <c r="G1652" i="1"/>
  <c r="U1652" i="1"/>
  <c r="W1652" i="1"/>
  <c r="AE1652" i="1"/>
  <c r="AK1652" i="1"/>
  <c r="AQ1652" i="1"/>
  <c r="AU1652" i="1"/>
  <c r="AV1652" i="1"/>
  <c r="AW1652" i="1"/>
  <c r="AX1652" i="1"/>
  <c r="AY1652" i="1"/>
  <c r="AZ1652" i="1"/>
  <c r="BA1652" i="1"/>
  <c r="BC1652" i="1"/>
  <c r="BD1652" i="1"/>
  <c r="BE1652" i="1"/>
  <c r="BF1652" i="1"/>
  <c r="BG1652" i="1"/>
  <c r="BH1652" i="1"/>
  <c r="BI1652" i="1"/>
  <c r="BJ1652" i="1"/>
  <c r="BM1652" i="1"/>
  <c r="CA1652" i="1"/>
  <c r="CN1652" i="1"/>
  <c r="CO1652" i="1"/>
  <c r="CP1652" i="1"/>
  <c r="CQ1652" i="1"/>
  <c r="G1318" i="1"/>
  <c r="U1318" i="1"/>
  <c r="W1318" i="1"/>
  <c r="AE1318" i="1"/>
  <c r="AK1318" i="1"/>
  <c r="AQ1318" i="1"/>
  <c r="AU1318" i="1"/>
  <c r="AV1318" i="1"/>
  <c r="AW1318" i="1"/>
  <c r="AX1318" i="1"/>
  <c r="AY1318" i="1"/>
  <c r="AZ1318" i="1"/>
  <c r="BA1318" i="1"/>
  <c r="BC1318" i="1"/>
  <c r="BD1318" i="1"/>
  <c r="BE1318" i="1"/>
  <c r="BF1318" i="1"/>
  <c r="BG1318" i="1"/>
  <c r="BH1318" i="1"/>
  <c r="BI1318" i="1"/>
  <c r="BJ1318" i="1"/>
  <c r="BM1318" i="1"/>
  <c r="CA1318" i="1"/>
  <c r="CN1318" i="1"/>
  <c r="CO1318" i="1"/>
  <c r="CP1318" i="1"/>
  <c r="CQ1318" i="1"/>
  <c r="G1653" i="1"/>
  <c r="U1653" i="1"/>
  <c r="W1653" i="1"/>
  <c r="AE1653" i="1"/>
  <c r="AK1653" i="1"/>
  <c r="AQ1653" i="1"/>
  <c r="AU1653" i="1"/>
  <c r="AV1653" i="1"/>
  <c r="AW1653" i="1"/>
  <c r="AX1653" i="1"/>
  <c r="AY1653" i="1"/>
  <c r="AZ1653" i="1"/>
  <c r="BA1653" i="1"/>
  <c r="BC1653" i="1"/>
  <c r="BD1653" i="1"/>
  <c r="BE1653" i="1"/>
  <c r="BF1653" i="1"/>
  <c r="BG1653" i="1"/>
  <c r="BH1653" i="1"/>
  <c r="BI1653" i="1"/>
  <c r="BJ1653" i="1"/>
  <c r="BM1653" i="1"/>
  <c r="CA1653" i="1"/>
  <c r="CN1653" i="1"/>
  <c r="CO1653" i="1"/>
  <c r="CP1653" i="1"/>
  <c r="CQ1653" i="1"/>
  <c r="G1319" i="1"/>
  <c r="U1319" i="1"/>
  <c r="W1319" i="1"/>
  <c r="AE1319" i="1"/>
  <c r="AK1319" i="1"/>
  <c r="AQ1319" i="1"/>
  <c r="AU1319" i="1"/>
  <c r="AV1319" i="1"/>
  <c r="AW1319" i="1"/>
  <c r="AX1319" i="1"/>
  <c r="AY1319" i="1"/>
  <c r="AZ1319" i="1"/>
  <c r="BA1319" i="1"/>
  <c r="BC1319" i="1"/>
  <c r="BD1319" i="1"/>
  <c r="BE1319" i="1"/>
  <c r="BF1319" i="1"/>
  <c r="BG1319" i="1"/>
  <c r="BH1319" i="1"/>
  <c r="BI1319" i="1"/>
  <c r="BJ1319" i="1"/>
  <c r="BM1319" i="1"/>
  <c r="CA1319" i="1"/>
  <c r="CN1319" i="1"/>
  <c r="CO1319" i="1"/>
  <c r="CP1319" i="1"/>
  <c r="CQ1319" i="1"/>
  <c r="G1654" i="1"/>
  <c r="U1654" i="1"/>
  <c r="W1654" i="1"/>
  <c r="AE1654" i="1"/>
  <c r="AK1654" i="1"/>
  <c r="AQ1654" i="1"/>
  <c r="AU1654" i="1"/>
  <c r="AV1654" i="1"/>
  <c r="AW1654" i="1"/>
  <c r="AX1654" i="1"/>
  <c r="AY1654" i="1"/>
  <c r="AZ1654" i="1"/>
  <c r="BA1654" i="1"/>
  <c r="BC1654" i="1"/>
  <c r="BD1654" i="1"/>
  <c r="BE1654" i="1"/>
  <c r="BF1654" i="1"/>
  <c r="BG1654" i="1"/>
  <c r="BH1654" i="1"/>
  <c r="BI1654" i="1"/>
  <c r="BJ1654" i="1"/>
  <c r="BM1654" i="1"/>
  <c r="CA1654" i="1"/>
  <c r="CN1654" i="1"/>
  <c r="CO1654" i="1"/>
  <c r="CP1654" i="1"/>
  <c r="CQ1654" i="1"/>
  <c r="G22" i="1"/>
  <c r="U22" i="1"/>
  <c r="W22" i="1"/>
  <c r="AE22" i="1"/>
  <c r="AK22" i="1"/>
  <c r="AQ22" i="1"/>
  <c r="AU22" i="1"/>
  <c r="AV22" i="1"/>
  <c r="AW22" i="1"/>
  <c r="AX22" i="1"/>
  <c r="AY22" i="1"/>
  <c r="AZ22" i="1"/>
  <c r="BA22" i="1"/>
  <c r="BC22" i="1"/>
  <c r="BD22" i="1"/>
  <c r="BE22" i="1"/>
  <c r="BF22" i="1"/>
  <c r="BG22" i="1"/>
  <c r="BH22" i="1"/>
  <c r="BI22" i="1"/>
  <c r="BJ22" i="1"/>
  <c r="BM22" i="1"/>
  <c r="CA22" i="1"/>
  <c r="CN22" i="1"/>
  <c r="CO22" i="1"/>
  <c r="CP22" i="1"/>
  <c r="CQ22" i="1"/>
  <c r="G538" i="1"/>
  <c r="U538" i="1"/>
  <c r="W538" i="1"/>
  <c r="AE538" i="1"/>
  <c r="AK538" i="1"/>
  <c r="AQ538" i="1"/>
  <c r="AU538" i="1"/>
  <c r="AV538" i="1"/>
  <c r="AW538" i="1"/>
  <c r="AX538" i="1"/>
  <c r="AY538" i="1"/>
  <c r="AZ538" i="1"/>
  <c r="BA538" i="1"/>
  <c r="BC538" i="1"/>
  <c r="BD538" i="1"/>
  <c r="BE538" i="1"/>
  <c r="BF538" i="1"/>
  <c r="BG538" i="1"/>
  <c r="BH538" i="1"/>
  <c r="BI538" i="1"/>
  <c r="BJ538" i="1"/>
  <c r="BM538" i="1"/>
  <c r="CA538" i="1"/>
  <c r="CN538" i="1"/>
  <c r="CO538" i="1"/>
  <c r="CP538" i="1"/>
  <c r="CQ538" i="1"/>
  <c r="G539" i="1"/>
  <c r="U539" i="1"/>
  <c r="W539" i="1"/>
  <c r="AE539" i="1"/>
  <c r="AK539" i="1"/>
  <c r="AQ539" i="1"/>
  <c r="AU539" i="1"/>
  <c r="AV539" i="1"/>
  <c r="AW539" i="1"/>
  <c r="AX539" i="1"/>
  <c r="AY539" i="1"/>
  <c r="AZ539" i="1"/>
  <c r="BA539" i="1"/>
  <c r="BC539" i="1"/>
  <c r="BD539" i="1"/>
  <c r="BE539" i="1"/>
  <c r="BF539" i="1"/>
  <c r="BG539" i="1"/>
  <c r="BH539" i="1"/>
  <c r="BI539" i="1"/>
  <c r="BJ539" i="1"/>
  <c r="BM539" i="1"/>
  <c r="CA539" i="1"/>
  <c r="CN539" i="1"/>
  <c r="CO539" i="1"/>
  <c r="CP539" i="1"/>
  <c r="CQ539" i="1"/>
  <c r="G1655" i="1"/>
  <c r="U1655" i="1"/>
  <c r="W1655" i="1"/>
  <c r="AE1655" i="1"/>
  <c r="AK1655" i="1"/>
  <c r="AQ1655" i="1"/>
  <c r="AU1655" i="1"/>
  <c r="AV1655" i="1"/>
  <c r="AW1655" i="1"/>
  <c r="AX1655" i="1"/>
  <c r="AY1655" i="1"/>
  <c r="AZ1655" i="1"/>
  <c r="BA1655" i="1"/>
  <c r="BC1655" i="1"/>
  <c r="BD1655" i="1"/>
  <c r="BE1655" i="1"/>
  <c r="BF1655" i="1"/>
  <c r="BG1655" i="1"/>
  <c r="BH1655" i="1"/>
  <c r="BI1655" i="1"/>
  <c r="BJ1655" i="1"/>
  <c r="BM1655" i="1"/>
  <c r="CA1655" i="1"/>
  <c r="CN1655" i="1"/>
  <c r="CO1655" i="1"/>
  <c r="CP1655" i="1"/>
  <c r="CQ1655" i="1"/>
  <c r="G540" i="1"/>
  <c r="U540" i="1"/>
  <c r="W540" i="1"/>
  <c r="AE540" i="1"/>
  <c r="AK540" i="1"/>
  <c r="AQ540" i="1"/>
  <c r="AU540" i="1"/>
  <c r="AV540" i="1"/>
  <c r="AW540" i="1"/>
  <c r="AX540" i="1"/>
  <c r="AY540" i="1"/>
  <c r="AZ540" i="1"/>
  <c r="BA540" i="1"/>
  <c r="BC540" i="1"/>
  <c r="BD540" i="1"/>
  <c r="BE540" i="1"/>
  <c r="BF540" i="1"/>
  <c r="BG540" i="1"/>
  <c r="BH540" i="1"/>
  <c r="BI540" i="1"/>
  <c r="BJ540" i="1"/>
  <c r="BM540" i="1"/>
  <c r="CA540" i="1"/>
  <c r="CN540" i="1"/>
  <c r="CO540" i="1"/>
  <c r="CP540" i="1"/>
  <c r="CQ540" i="1"/>
  <c r="G1545" i="1"/>
  <c r="U1545" i="1"/>
  <c r="W1545" i="1"/>
  <c r="AE1545" i="1"/>
  <c r="AK1545" i="1"/>
  <c r="AQ1545" i="1"/>
  <c r="AU1545" i="1"/>
  <c r="AV1545" i="1"/>
  <c r="AW1545" i="1"/>
  <c r="AX1545" i="1"/>
  <c r="AY1545" i="1"/>
  <c r="AZ1545" i="1"/>
  <c r="BA1545" i="1"/>
  <c r="BC1545" i="1"/>
  <c r="BD1545" i="1"/>
  <c r="BE1545" i="1"/>
  <c r="BF1545" i="1"/>
  <c r="BG1545" i="1"/>
  <c r="BH1545" i="1"/>
  <c r="BI1545" i="1"/>
  <c r="BJ1545" i="1"/>
  <c r="BM1545" i="1"/>
  <c r="CA1545" i="1"/>
  <c r="CN1545" i="1"/>
  <c r="CO1545" i="1"/>
  <c r="CP1545" i="1"/>
  <c r="CQ1545" i="1"/>
  <c r="G1656" i="1"/>
  <c r="U1656" i="1"/>
  <c r="W1656" i="1"/>
  <c r="AE1656" i="1"/>
  <c r="AK1656" i="1"/>
  <c r="AQ1656" i="1"/>
  <c r="AU1656" i="1"/>
  <c r="AV1656" i="1"/>
  <c r="AW1656" i="1"/>
  <c r="AX1656" i="1"/>
  <c r="AY1656" i="1"/>
  <c r="AZ1656" i="1"/>
  <c r="BA1656" i="1"/>
  <c r="BC1656" i="1"/>
  <c r="BD1656" i="1"/>
  <c r="BE1656" i="1"/>
  <c r="BF1656" i="1"/>
  <c r="BG1656" i="1"/>
  <c r="BH1656" i="1"/>
  <c r="BI1656" i="1"/>
  <c r="BJ1656" i="1"/>
  <c r="BM1656" i="1"/>
  <c r="CA1656" i="1"/>
  <c r="CN1656" i="1"/>
  <c r="CO1656" i="1"/>
  <c r="CP1656" i="1"/>
  <c r="CQ1656" i="1"/>
  <c r="G1657" i="1"/>
  <c r="U1657" i="1"/>
  <c r="W1657" i="1"/>
  <c r="AE1657" i="1"/>
  <c r="AK1657" i="1"/>
  <c r="AQ1657" i="1"/>
  <c r="AU1657" i="1"/>
  <c r="AV1657" i="1"/>
  <c r="AW1657" i="1"/>
  <c r="AX1657" i="1"/>
  <c r="AY1657" i="1"/>
  <c r="AZ1657" i="1"/>
  <c r="BA1657" i="1"/>
  <c r="BC1657" i="1"/>
  <c r="BD1657" i="1"/>
  <c r="BE1657" i="1"/>
  <c r="BF1657" i="1"/>
  <c r="BG1657" i="1"/>
  <c r="BH1657" i="1"/>
  <c r="BI1657" i="1"/>
  <c r="BJ1657" i="1"/>
  <c r="BM1657" i="1"/>
  <c r="CA1657" i="1"/>
  <c r="CN1657" i="1"/>
  <c r="CO1657" i="1"/>
  <c r="CP1657" i="1"/>
  <c r="CQ1657" i="1"/>
  <c r="G541" i="1"/>
  <c r="U541" i="1"/>
  <c r="W541" i="1"/>
  <c r="AE541" i="1"/>
  <c r="AK541" i="1"/>
  <c r="AQ541" i="1"/>
  <c r="AU541" i="1"/>
  <c r="AV541" i="1"/>
  <c r="AW541" i="1"/>
  <c r="AX541" i="1"/>
  <c r="AY541" i="1"/>
  <c r="AZ541" i="1"/>
  <c r="BA541" i="1"/>
  <c r="BC541" i="1"/>
  <c r="BD541" i="1"/>
  <c r="BE541" i="1"/>
  <c r="BF541" i="1"/>
  <c r="BG541" i="1"/>
  <c r="BH541" i="1"/>
  <c r="BI541" i="1"/>
  <c r="BJ541" i="1"/>
  <c r="BM541" i="1"/>
  <c r="CA541" i="1"/>
  <c r="CN541" i="1"/>
  <c r="CO541" i="1"/>
  <c r="CP541" i="1"/>
  <c r="CQ541" i="1"/>
  <c r="G542" i="1"/>
  <c r="U542" i="1"/>
  <c r="W542" i="1"/>
  <c r="AE542" i="1"/>
  <c r="AK542" i="1"/>
  <c r="AQ542" i="1"/>
  <c r="AU542" i="1"/>
  <c r="AV542" i="1"/>
  <c r="AW542" i="1"/>
  <c r="AX542" i="1"/>
  <c r="AY542" i="1"/>
  <c r="AZ542" i="1"/>
  <c r="BA542" i="1"/>
  <c r="BC542" i="1"/>
  <c r="BD542" i="1"/>
  <c r="BE542" i="1"/>
  <c r="BF542" i="1"/>
  <c r="BG542" i="1"/>
  <c r="BH542" i="1"/>
  <c r="BI542" i="1"/>
  <c r="BJ542" i="1"/>
  <c r="BM542" i="1"/>
  <c r="CA542" i="1"/>
  <c r="CN542" i="1"/>
  <c r="CO542" i="1"/>
  <c r="CP542" i="1"/>
  <c r="CQ542" i="1"/>
  <c r="G543" i="1"/>
  <c r="U543" i="1"/>
  <c r="W543" i="1"/>
  <c r="AE543" i="1"/>
  <c r="AK543" i="1"/>
  <c r="AQ543" i="1"/>
  <c r="AU543" i="1"/>
  <c r="AV543" i="1"/>
  <c r="AW543" i="1"/>
  <c r="AX543" i="1"/>
  <c r="AY543" i="1"/>
  <c r="AZ543" i="1"/>
  <c r="BA543" i="1"/>
  <c r="BC543" i="1"/>
  <c r="BD543" i="1"/>
  <c r="BE543" i="1"/>
  <c r="BF543" i="1"/>
  <c r="BG543" i="1"/>
  <c r="BH543" i="1"/>
  <c r="BI543" i="1"/>
  <c r="BJ543" i="1"/>
  <c r="BM543" i="1"/>
  <c r="CA543" i="1"/>
  <c r="CN543" i="1"/>
  <c r="CO543" i="1"/>
  <c r="CP543" i="1"/>
  <c r="CQ543" i="1"/>
  <c r="G361" i="1"/>
  <c r="U361" i="1"/>
  <c r="W361" i="1"/>
  <c r="AE361" i="1"/>
  <c r="AK361" i="1"/>
  <c r="AQ361" i="1"/>
  <c r="AU361" i="1"/>
  <c r="AV361" i="1"/>
  <c r="AW361" i="1"/>
  <c r="AX361" i="1"/>
  <c r="AY361" i="1"/>
  <c r="AZ361" i="1"/>
  <c r="BA361" i="1"/>
  <c r="BC361" i="1"/>
  <c r="BD361" i="1"/>
  <c r="BE361" i="1"/>
  <c r="BF361" i="1"/>
  <c r="BG361" i="1"/>
  <c r="BH361" i="1"/>
  <c r="BI361" i="1"/>
  <c r="BJ361" i="1"/>
  <c r="BM361" i="1"/>
  <c r="CA361" i="1"/>
  <c r="CN361" i="1"/>
  <c r="CO361" i="1"/>
  <c r="CP361" i="1"/>
  <c r="CQ361" i="1"/>
  <c r="G362" i="1"/>
  <c r="U362" i="1"/>
  <c r="W362" i="1"/>
  <c r="AE362" i="1"/>
  <c r="AK362" i="1"/>
  <c r="AQ362" i="1"/>
  <c r="AU362" i="1"/>
  <c r="AV362" i="1"/>
  <c r="AW362" i="1"/>
  <c r="AX362" i="1"/>
  <c r="AY362" i="1"/>
  <c r="AZ362" i="1"/>
  <c r="BA362" i="1"/>
  <c r="BC362" i="1"/>
  <c r="BD362" i="1"/>
  <c r="BE362" i="1"/>
  <c r="BF362" i="1"/>
  <c r="BG362" i="1"/>
  <c r="BH362" i="1"/>
  <c r="BI362" i="1"/>
  <c r="BJ362" i="1"/>
  <c r="BM362" i="1"/>
  <c r="CA362" i="1"/>
  <c r="CN362" i="1"/>
  <c r="CO362" i="1"/>
  <c r="CP362" i="1"/>
  <c r="CQ362" i="1"/>
  <c r="G544" i="1"/>
  <c r="U544" i="1"/>
  <c r="W544" i="1"/>
  <c r="AE544" i="1"/>
  <c r="AK544" i="1"/>
  <c r="AQ544" i="1"/>
  <c r="AU544" i="1"/>
  <c r="AV544" i="1"/>
  <c r="AW544" i="1"/>
  <c r="AX544" i="1"/>
  <c r="AY544" i="1"/>
  <c r="AZ544" i="1"/>
  <c r="BA544" i="1"/>
  <c r="BC544" i="1"/>
  <c r="BD544" i="1"/>
  <c r="BE544" i="1"/>
  <c r="BF544" i="1"/>
  <c r="BG544" i="1"/>
  <c r="BH544" i="1"/>
  <c r="BI544" i="1"/>
  <c r="BJ544" i="1"/>
  <c r="BM544" i="1"/>
  <c r="CA544" i="1"/>
  <c r="CN544" i="1"/>
  <c r="CO544" i="1"/>
  <c r="CP544" i="1"/>
  <c r="CQ544" i="1"/>
  <c r="G1658" i="1"/>
  <c r="U1658" i="1"/>
  <c r="W1658" i="1"/>
  <c r="AE1658" i="1"/>
  <c r="AK1658" i="1"/>
  <c r="AQ1658" i="1"/>
  <c r="AU1658" i="1"/>
  <c r="AV1658" i="1"/>
  <c r="AW1658" i="1"/>
  <c r="AX1658" i="1"/>
  <c r="AY1658" i="1"/>
  <c r="AZ1658" i="1"/>
  <c r="BA1658" i="1"/>
  <c r="BC1658" i="1"/>
  <c r="BD1658" i="1"/>
  <c r="BE1658" i="1"/>
  <c r="BF1658" i="1"/>
  <c r="BG1658" i="1"/>
  <c r="BH1658" i="1"/>
  <c r="BI1658" i="1"/>
  <c r="BJ1658" i="1"/>
  <c r="BM1658" i="1"/>
  <c r="CA1658" i="1"/>
  <c r="CN1658" i="1"/>
  <c r="CO1658" i="1"/>
  <c r="CP1658" i="1"/>
  <c r="CQ1658" i="1"/>
  <c r="G545" i="1"/>
  <c r="U545" i="1"/>
  <c r="W545" i="1"/>
  <c r="AE545" i="1"/>
  <c r="AK545" i="1"/>
  <c r="AQ545" i="1"/>
  <c r="AU545" i="1"/>
  <c r="AV545" i="1"/>
  <c r="AW545" i="1"/>
  <c r="AX545" i="1"/>
  <c r="AY545" i="1"/>
  <c r="AZ545" i="1"/>
  <c r="BA545" i="1"/>
  <c r="BC545" i="1"/>
  <c r="BD545" i="1"/>
  <c r="BE545" i="1"/>
  <c r="BF545" i="1"/>
  <c r="BG545" i="1"/>
  <c r="BH545" i="1"/>
  <c r="BI545" i="1"/>
  <c r="BJ545" i="1"/>
  <c r="BM545" i="1"/>
  <c r="CA545" i="1"/>
  <c r="CN545" i="1"/>
  <c r="CO545" i="1"/>
  <c r="CP545" i="1"/>
  <c r="CQ545" i="1"/>
  <c r="G546" i="1"/>
  <c r="U546" i="1"/>
  <c r="W546" i="1"/>
  <c r="AE546" i="1"/>
  <c r="AK546" i="1"/>
  <c r="AQ546" i="1"/>
  <c r="AU546" i="1"/>
  <c r="AV546" i="1"/>
  <c r="AW546" i="1"/>
  <c r="AX546" i="1"/>
  <c r="AY546" i="1"/>
  <c r="AZ546" i="1"/>
  <c r="BA546" i="1"/>
  <c r="BC546" i="1"/>
  <c r="BD546" i="1"/>
  <c r="BE546" i="1"/>
  <c r="BF546" i="1"/>
  <c r="BG546" i="1"/>
  <c r="BH546" i="1"/>
  <c r="BI546" i="1"/>
  <c r="BJ546" i="1"/>
  <c r="BM546" i="1"/>
  <c r="CA546" i="1"/>
  <c r="CN546" i="1"/>
  <c r="CO546" i="1"/>
  <c r="CP546" i="1"/>
  <c r="CQ546" i="1"/>
  <c r="G1659" i="1"/>
  <c r="U1659" i="1"/>
  <c r="W1659" i="1"/>
  <c r="AE1659" i="1"/>
  <c r="AK1659" i="1"/>
  <c r="AQ1659" i="1"/>
  <c r="AU1659" i="1"/>
  <c r="AV1659" i="1"/>
  <c r="AW1659" i="1"/>
  <c r="AX1659" i="1"/>
  <c r="AY1659" i="1"/>
  <c r="AZ1659" i="1"/>
  <c r="BA1659" i="1"/>
  <c r="BC1659" i="1"/>
  <c r="BD1659" i="1"/>
  <c r="BE1659" i="1"/>
  <c r="BF1659" i="1"/>
  <c r="BG1659" i="1"/>
  <c r="BH1659" i="1"/>
  <c r="BI1659" i="1"/>
  <c r="BJ1659" i="1"/>
  <c r="BM1659" i="1"/>
  <c r="CA1659" i="1"/>
  <c r="CN1659" i="1"/>
  <c r="CO1659" i="1"/>
  <c r="CP1659" i="1"/>
  <c r="CQ1659" i="1"/>
  <c r="G547" i="1"/>
  <c r="U547" i="1"/>
  <c r="W547" i="1"/>
  <c r="AE547" i="1"/>
  <c r="AK547" i="1"/>
  <c r="AQ547" i="1"/>
  <c r="AU547" i="1"/>
  <c r="AV547" i="1"/>
  <c r="AW547" i="1"/>
  <c r="AX547" i="1"/>
  <c r="AY547" i="1"/>
  <c r="AZ547" i="1"/>
  <c r="BA547" i="1"/>
  <c r="BC547" i="1"/>
  <c r="BD547" i="1"/>
  <c r="BE547" i="1"/>
  <c r="BF547" i="1"/>
  <c r="BG547" i="1"/>
  <c r="BH547" i="1"/>
  <c r="BI547" i="1"/>
  <c r="BJ547" i="1"/>
  <c r="BM547" i="1"/>
  <c r="CA547" i="1"/>
  <c r="CN547" i="1"/>
  <c r="CO547" i="1"/>
  <c r="CP547" i="1"/>
  <c r="CQ547" i="1"/>
  <c r="G1660" i="1"/>
  <c r="U1660" i="1"/>
  <c r="W1660" i="1"/>
  <c r="AE1660" i="1"/>
  <c r="AK1660" i="1"/>
  <c r="AQ1660" i="1"/>
  <c r="AU1660" i="1"/>
  <c r="AV1660" i="1"/>
  <c r="AW1660" i="1"/>
  <c r="AX1660" i="1"/>
  <c r="AY1660" i="1"/>
  <c r="AZ1660" i="1"/>
  <c r="BA1660" i="1"/>
  <c r="BC1660" i="1"/>
  <c r="BD1660" i="1"/>
  <c r="BE1660" i="1"/>
  <c r="BF1660" i="1"/>
  <c r="BG1660" i="1"/>
  <c r="BH1660" i="1"/>
  <c r="BI1660" i="1"/>
  <c r="BJ1660" i="1"/>
  <c r="BM1660" i="1"/>
  <c r="CA1660" i="1"/>
  <c r="CN1660" i="1"/>
  <c r="CO1660" i="1"/>
  <c r="CP1660" i="1"/>
  <c r="CQ1660" i="1"/>
  <c r="G1320" i="1"/>
  <c r="U1320" i="1"/>
  <c r="W1320" i="1"/>
  <c r="AE1320" i="1"/>
  <c r="AK1320" i="1"/>
  <c r="AQ1320" i="1"/>
  <c r="AU1320" i="1"/>
  <c r="AV1320" i="1"/>
  <c r="AW1320" i="1"/>
  <c r="AX1320" i="1"/>
  <c r="AY1320" i="1"/>
  <c r="AZ1320" i="1"/>
  <c r="BA1320" i="1"/>
  <c r="BC1320" i="1"/>
  <c r="BD1320" i="1"/>
  <c r="BE1320" i="1"/>
  <c r="BF1320" i="1"/>
  <c r="BG1320" i="1"/>
  <c r="BH1320" i="1"/>
  <c r="BI1320" i="1"/>
  <c r="BJ1320" i="1"/>
  <c r="BM1320" i="1"/>
  <c r="CA1320" i="1"/>
  <c r="CN1320" i="1"/>
  <c r="CO1320" i="1"/>
  <c r="CP1320" i="1"/>
  <c r="CQ1320" i="1"/>
  <c r="G1661" i="1"/>
  <c r="U1661" i="1"/>
  <c r="W1661" i="1"/>
  <c r="AE1661" i="1"/>
  <c r="AK1661" i="1"/>
  <c r="AQ1661" i="1"/>
  <c r="AU1661" i="1"/>
  <c r="AV1661" i="1"/>
  <c r="AW1661" i="1"/>
  <c r="AX1661" i="1"/>
  <c r="AY1661" i="1"/>
  <c r="AZ1661" i="1"/>
  <c r="BA1661" i="1"/>
  <c r="BC1661" i="1"/>
  <c r="BD1661" i="1"/>
  <c r="BE1661" i="1"/>
  <c r="BF1661" i="1"/>
  <c r="BG1661" i="1"/>
  <c r="BH1661" i="1"/>
  <c r="BI1661" i="1"/>
  <c r="BJ1661" i="1"/>
  <c r="BM1661" i="1"/>
  <c r="CA1661" i="1"/>
  <c r="CN1661" i="1"/>
  <c r="CO1661" i="1"/>
  <c r="CP1661" i="1"/>
  <c r="CQ1661" i="1"/>
  <c r="G548" i="1"/>
  <c r="U548" i="1"/>
  <c r="W548" i="1"/>
  <c r="AE548" i="1"/>
  <c r="AK548" i="1"/>
  <c r="AQ548" i="1"/>
  <c r="AU548" i="1"/>
  <c r="AV548" i="1"/>
  <c r="AW548" i="1"/>
  <c r="AX548" i="1"/>
  <c r="AY548" i="1"/>
  <c r="AZ548" i="1"/>
  <c r="BA548" i="1"/>
  <c r="BC548" i="1"/>
  <c r="BD548" i="1"/>
  <c r="BE548" i="1"/>
  <c r="BF548" i="1"/>
  <c r="BG548" i="1"/>
  <c r="BH548" i="1"/>
  <c r="BI548" i="1"/>
  <c r="BJ548" i="1"/>
  <c r="BM548" i="1"/>
  <c r="CA548" i="1"/>
  <c r="CN548" i="1"/>
  <c r="CO548" i="1"/>
  <c r="CP548" i="1"/>
  <c r="CQ548" i="1"/>
  <c r="G549" i="1"/>
  <c r="U549" i="1"/>
  <c r="W549" i="1"/>
  <c r="AE549" i="1"/>
  <c r="AK549" i="1"/>
  <c r="AQ549" i="1"/>
  <c r="AU549" i="1"/>
  <c r="AV549" i="1"/>
  <c r="AW549" i="1"/>
  <c r="AX549" i="1"/>
  <c r="AY549" i="1"/>
  <c r="AZ549" i="1"/>
  <c r="BA549" i="1"/>
  <c r="BC549" i="1"/>
  <c r="BD549" i="1"/>
  <c r="BE549" i="1"/>
  <c r="BF549" i="1"/>
  <c r="BG549" i="1"/>
  <c r="BH549" i="1"/>
  <c r="BI549" i="1"/>
  <c r="BJ549" i="1"/>
  <c r="BM549" i="1"/>
  <c r="CA549" i="1"/>
  <c r="CN549" i="1"/>
  <c r="CO549" i="1"/>
  <c r="CP549" i="1"/>
  <c r="CQ549" i="1"/>
  <c r="G23" i="1"/>
  <c r="U23" i="1"/>
  <c r="W23" i="1"/>
  <c r="AE23" i="1"/>
  <c r="AK23" i="1"/>
  <c r="AQ23" i="1"/>
  <c r="AU23" i="1"/>
  <c r="AV23" i="1"/>
  <c r="AW23" i="1"/>
  <c r="AX23" i="1"/>
  <c r="AY23" i="1"/>
  <c r="AZ23" i="1"/>
  <c r="BA23" i="1"/>
  <c r="BC23" i="1"/>
  <c r="BD23" i="1"/>
  <c r="BE23" i="1"/>
  <c r="BF23" i="1"/>
  <c r="BG23" i="1"/>
  <c r="BH23" i="1"/>
  <c r="BI23" i="1"/>
  <c r="BJ23" i="1"/>
  <c r="BM23" i="1"/>
  <c r="CA23" i="1"/>
  <c r="CN23" i="1"/>
  <c r="CO23" i="1"/>
  <c r="CP23" i="1"/>
  <c r="CQ23" i="1"/>
  <c r="G550" i="1"/>
  <c r="U550" i="1"/>
  <c r="W550" i="1"/>
  <c r="AE550" i="1"/>
  <c r="AK550" i="1"/>
  <c r="AQ550" i="1"/>
  <c r="AU550" i="1"/>
  <c r="AV550" i="1"/>
  <c r="AW550" i="1"/>
  <c r="AX550" i="1"/>
  <c r="AY550" i="1"/>
  <c r="AZ550" i="1"/>
  <c r="BA550" i="1"/>
  <c r="BC550" i="1"/>
  <c r="BD550" i="1"/>
  <c r="BE550" i="1"/>
  <c r="BF550" i="1"/>
  <c r="BG550" i="1"/>
  <c r="BH550" i="1"/>
  <c r="BI550" i="1"/>
  <c r="BJ550" i="1"/>
  <c r="BM550" i="1"/>
  <c r="CA550" i="1"/>
  <c r="CN550" i="1"/>
  <c r="CO550" i="1"/>
  <c r="CP550" i="1"/>
  <c r="CQ550" i="1"/>
  <c r="G551" i="1"/>
  <c r="U551" i="1"/>
  <c r="W551" i="1"/>
  <c r="AE551" i="1"/>
  <c r="AK551" i="1"/>
  <c r="AQ551" i="1"/>
  <c r="AU551" i="1"/>
  <c r="AV551" i="1"/>
  <c r="AW551" i="1"/>
  <c r="AX551" i="1"/>
  <c r="AY551" i="1"/>
  <c r="AZ551" i="1"/>
  <c r="BA551" i="1"/>
  <c r="BC551" i="1"/>
  <c r="BD551" i="1"/>
  <c r="BE551" i="1"/>
  <c r="BF551" i="1"/>
  <c r="BG551" i="1"/>
  <c r="BH551" i="1"/>
  <c r="BI551" i="1"/>
  <c r="BJ551" i="1"/>
  <c r="BM551" i="1"/>
  <c r="CA551" i="1"/>
  <c r="CN551" i="1"/>
  <c r="CO551" i="1"/>
  <c r="CP551" i="1"/>
  <c r="CQ551" i="1"/>
  <c r="G1662" i="1"/>
  <c r="U1662" i="1"/>
  <c r="W1662" i="1"/>
  <c r="AE1662" i="1"/>
  <c r="AK1662" i="1"/>
  <c r="AQ1662" i="1"/>
  <c r="AU1662" i="1"/>
  <c r="AV1662" i="1"/>
  <c r="AW1662" i="1"/>
  <c r="AX1662" i="1"/>
  <c r="AY1662" i="1"/>
  <c r="AZ1662" i="1"/>
  <c r="BA1662" i="1"/>
  <c r="BC1662" i="1"/>
  <c r="BD1662" i="1"/>
  <c r="BE1662" i="1"/>
  <c r="BF1662" i="1"/>
  <c r="BG1662" i="1"/>
  <c r="BH1662" i="1"/>
  <c r="BI1662" i="1"/>
  <c r="BJ1662" i="1"/>
  <c r="BM1662" i="1"/>
  <c r="CA1662" i="1"/>
  <c r="CN1662" i="1"/>
  <c r="CO1662" i="1"/>
  <c r="CP1662" i="1"/>
  <c r="CQ1662" i="1"/>
  <c r="G1663" i="1"/>
  <c r="U1663" i="1"/>
  <c r="W1663" i="1"/>
  <c r="AE1663" i="1"/>
  <c r="AK1663" i="1"/>
  <c r="AQ1663" i="1"/>
  <c r="AU1663" i="1"/>
  <c r="AV1663" i="1"/>
  <c r="AW1663" i="1"/>
  <c r="AX1663" i="1"/>
  <c r="AY1663" i="1"/>
  <c r="AZ1663" i="1"/>
  <c r="BA1663" i="1"/>
  <c r="BC1663" i="1"/>
  <c r="BD1663" i="1"/>
  <c r="BE1663" i="1"/>
  <c r="BF1663" i="1"/>
  <c r="BG1663" i="1"/>
  <c r="BH1663" i="1"/>
  <c r="BI1663" i="1"/>
  <c r="BJ1663" i="1"/>
  <c r="BM1663" i="1"/>
  <c r="CA1663" i="1"/>
  <c r="CN1663" i="1"/>
  <c r="CO1663" i="1"/>
  <c r="CP1663" i="1"/>
  <c r="CQ1663" i="1"/>
  <c r="G24" i="1"/>
  <c r="U24" i="1"/>
  <c r="W24" i="1"/>
  <c r="AE24" i="1"/>
  <c r="AK24" i="1"/>
  <c r="AQ24" i="1"/>
  <c r="AU24" i="1"/>
  <c r="AV24" i="1"/>
  <c r="AW24" i="1"/>
  <c r="AX24" i="1"/>
  <c r="AY24" i="1"/>
  <c r="AZ24" i="1"/>
  <c r="BA24" i="1"/>
  <c r="BC24" i="1"/>
  <c r="BD24" i="1"/>
  <c r="BE24" i="1"/>
  <c r="BF24" i="1"/>
  <c r="BG24" i="1"/>
  <c r="BH24" i="1"/>
  <c r="BI24" i="1"/>
  <c r="BJ24" i="1"/>
  <c r="BM24" i="1"/>
  <c r="CA24" i="1"/>
  <c r="CN24" i="1"/>
  <c r="CO24" i="1"/>
  <c r="CP24" i="1"/>
  <c r="CQ24" i="1"/>
  <c r="G552" i="1"/>
  <c r="U552" i="1"/>
  <c r="W552" i="1"/>
  <c r="AE552" i="1"/>
  <c r="AK552" i="1"/>
  <c r="AQ552" i="1"/>
  <c r="AU552" i="1"/>
  <c r="AV552" i="1"/>
  <c r="AW552" i="1"/>
  <c r="AX552" i="1"/>
  <c r="AY552" i="1"/>
  <c r="AZ552" i="1"/>
  <c r="BA552" i="1"/>
  <c r="BC552" i="1"/>
  <c r="BD552" i="1"/>
  <c r="BE552" i="1"/>
  <c r="BF552" i="1"/>
  <c r="BG552" i="1"/>
  <c r="BH552" i="1"/>
  <c r="BI552" i="1"/>
  <c r="BJ552" i="1"/>
  <c r="BM552" i="1"/>
  <c r="CA552" i="1"/>
  <c r="CN552" i="1"/>
  <c r="CO552" i="1"/>
  <c r="CP552" i="1"/>
  <c r="CQ552" i="1"/>
  <c r="G1664" i="1"/>
  <c r="U1664" i="1"/>
  <c r="W1664" i="1"/>
  <c r="AE1664" i="1"/>
  <c r="AK1664" i="1"/>
  <c r="AQ1664" i="1"/>
  <c r="AU1664" i="1"/>
  <c r="AV1664" i="1"/>
  <c r="AW1664" i="1"/>
  <c r="AX1664" i="1"/>
  <c r="AY1664" i="1"/>
  <c r="AZ1664" i="1"/>
  <c r="BA1664" i="1"/>
  <c r="BC1664" i="1"/>
  <c r="BD1664" i="1"/>
  <c r="BE1664" i="1"/>
  <c r="BF1664" i="1"/>
  <c r="BG1664" i="1"/>
  <c r="BH1664" i="1"/>
  <c r="BI1664" i="1"/>
  <c r="BJ1664" i="1"/>
  <c r="BM1664" i="1"/>
  <c r="CA1664" i="1"/>
  <c r="CN1664" i="1"/>
  <c r="CO1664" i="1"/>
  <c r="CP1664" i="1"/>
  <c r="CQ1664" i="1"/>
  <c r="G1321" i="1"/>
  <c r="U1321" i="1"/>
  <c r="W1321" i="1"/>
  <c r="AE1321" i="1"/>
  <c r="AK1321" i="1"/>
  <c r="AQ1321" i="1"/>
  <c r="AU1321" i="1"/>
  <c r="AV1321" i="1"/>
  <c r="AW1321" i="1"/>
  <c r="AX1321" i="1"/>
  <c r="AY1321" i="1"/>
  <c r="AZ1321" i="1"/>
  <c r="BA1321" i="1"/>
  <c r="BC1321" i="1"/>
  <c r="BD1321" i="1"/>
  <c r="BE1321" i="1"/>
  <c r="BF1321" i="1"/>
  <c r="BG1321" i="1"/>
  <c r="BH1321" i="1"/>
  <c r="BI1321" i="1"/>
  <c r="BJ1321" i="1"/>
  <c r="BM1321" i="1"/>
  <c r="CA1321" i="1"/>
  <c r="CN1321" i="1"/>
  <c r="CO1321" i="1"/>
  <c r="CP1321" i="1"/>
  <c r="CQ1321" i="1"/>
  <c r="G1665" i="1"/>
  <c r="U1665" i="1"/>
  <c r="W1665" i="1"/>
  <c r="AE1665" i="1"/>
  <c r="AK1665" i="1"/>
  <c r="AQ1665" i="1"/>
  <c r="AU1665" i="1"/>
  <c r="AV1665" i="1"/>
  <c r="AW1665" i="1"/>
  <c r="AX1665" i="1"/>
  <c r="AY1665" i="1"/>
  <c r="AZ1665" i="1"/>
  <c r="BA1665" i="1"/>
  <c r="BC1665" i="1"/>
  <c r="BD1665" i="1"/>
  <c r="BE1665" i="1"/>
  <c r="BF1665" i="1"/>
  <c r="BG1665" i="1"/>
  <c r="BH1665" i="1"/>
  <c r="BI1665" i="1"/>
  <c r="BJ1665" i="1"/>
  <c r="BM1665" i="1"/>
  <c r="CA1665" i="1"/>
  <c r="CN1665" i="1"/>
  <c r="CO1665" i="1"/>
  <c r="CP1665" i="1"/>
  <c r="CQ1665" i="1"/>
  <c r="G25" i="1"/>
  <c r="U25" i="1"/>
  <c r="W25" i="1"/>
  <c r="AE25" i="1"/>
  <c r="AK25" i="1"/>
  <c r="AQ25" i="1"/>
  <c r="AU25" i="1"/>
  <c r="AV25" i="1"/>
  <c r="AW25" i="1"/>
  <c r="AX25" i="1"/>
  <c r="AY25" i="1"/>
  <c r="AZ25" i="1"/>
  <c r="BA25" i="1"/>
  <c r="BC25" i="1"/>
  <c r="BD25" i="1"/>
  <c r="BE25" i="1"/>
  <c r="BF25" i="1"/>
  <c r="BG25" i="1"/>
  <c r="BH25" i="1"/>
  <c r="BI25" i="1"/>
  <c r="BJ25" i="1"/>
  <c r="BM25" i="1"/>
  <c r="CA25" i="1"/>
  <c r="CN25" i="1"/>
  <c r="CO25" i="1"/>
  <c r="CP25" i="1"/>
  <c r="CQ25" i="1"/>
  <c r="G1666" i="1"/>
  <c r="U1666" i="1"/>
  <c r="W1666" i="1"/>
  <c r="AE1666" i="1"/>
  <c r="AK1666" i="1"/>
  <c r="AQ1666" i="1"/>
  <c r="AU1666" i="1"/>
  <c r="AV1666" i="1"/>
  <c r="AW1666" i="1"/>
  <c r="AX1666" i="1"/>
  <c r="AY1666" i="1"/>
  <c r="AZ1666" i="1"/>
  <c r="BA1666" i="1"/>
  <c r="BC1666" i="1"/>
  <c r="BD1666" i="1"/>
  <c r="BE1666" i="1"/>
  <c r="BF1666" i="1"/>
  <c r="BG1666" i="1"/>
  <c r="BH1666" i="1"/>
  <c r="BI1666" i="1"/>
  <c r="BJ1666" i="1"/>
  <c r="BM1666" i="1"/>
  <c r="CA1666" i="1"/>
  <c r="CN1666" i="1"/>
  <c r="CO1666" i="1"/>
  <c r="CP1666" i="1"/>
  <c r="CQ1666" i="1"/>
  <c r="G26" i="1"/>
  <c r="U26" i="1"/>
  <c r="W26" i="1"/>
  <c r="AE26" i="1"/>
  <c r="AK26" i="1"/>
  <c r="AQ26" i="1"/>
  <c r="AU26" i="1"/>
  <c r="AV26" i="1"/>
  <c r="AW26" i="1"/>
  <c r="AX26" i="1"/>
  <c r="AY26" i="1"/>
  <c r="AZ26" i="1"/>
  <c r="BA26" i="1"/>
  <c r="BC26" i="1"/>
  <c r="BD26" i="1"/>
  <c r="BE26" i="1"/>
  <c r="BF26" i="1"/>
  <c r="BG26" i="1"/>
  <c r="BH26" i="1"/>
  <c r="BI26" i="1"/>
  <c r="BJ26" i="1"/>
  <c r="BM26" i="1"/>
  <c r="CA26" i="1"/>
  <c r="CN26" i="1"/>
  <c r="CO26" i="1"/>
  <c r="CP26" i="1"/>
  <c r="CQ26" i="1"/>
  <c r="G553" i="1"/>
  <c r="U553" i="1"/>
  <c r="W553" i="1"/>
  <c r="AE553" i="1"/>
  <c r="AK553" i="1"/>
  <c r="AQ553" i="1"/>
  <c r="AU553" i="1"/>
  <c r="AV553" i="1"/>
  <c r="AW553" i="1"/>
  <c r="AX553" i="1"/>
  <c r="AY553" i="1"/>
  <c r="AZ553" i="1"/>
  <c r="BA553" i="1"/>
  <c r="BC553" i="1"/>
  <c r="BD553" i="1"/>
  <c r="BE553" i="1"/>
  <c r="BF553" i="1"/>
  <c r="BG553" i="1"/>
  <c r="BH553" i="1"/>
  <c r="BI553" i="1"/>
  <c r="BJ553" i="1"/>
  <c r="BM553" i="1"/>
  <c r="CA553" i="1"/>
  <c r="CN553" i="1"/>
  <c r="CO553" i="1"/>
  <c r="CP553" i="1"/>
  <c r="CQ553" i="1"/>
  <c r="G363" i="1"/>
  <c r="U363" i="1"/>
  <c r="W363" i="1"/>
  <c r="AE363" i="1"/>
  <c r="AK363" i="1"/>
  <c r="AQ363" i="1"/>
  <c r="AU363" i="1"/>
  <c r="AV363" i="1"/>
  <c r="AW363" i="1"/>
  <c r="AX363" i="1"/>
  <c r="AY363" i="1"/>
  <c r="AZ363" i="1"/>
  <c r="BA363" i="1"/>
  <c r="BC363" i="1"/>
  <c r="BD363" i="1"/>
  <c r="BE363" i="1"/>
  <c r="BF363" i="1"/>
  <c r="BG363" i="1"/>
  <c r="BH363" i="1"/>
  <c r="BI363" i="1"/>
  <c r="BJ363" i="1"/>
  <c r="BM363" i="1"/>
  <c r="CA363" i="1"/>
  <c r="CN363" i="1"/>
  <c r="CO363" i="1"/>
  <c r="CP363" i="1"/>
  <c r="CQ363" i="1"/>
  <c r="G1546" i="1"/>
  <c r="U1546" i="1"/>
  <c r="W1546" i="1"/>
  <c r="AE1546" i="1"/>
  <c r="AK1546" i="1"/>
  <c r="AQ1546" i="1"/>
  <c r="AU1546" i="1"/>
  <c r="AV1546" i="1"/>
  <c r="AW1546" i="1"/>
  <c r="AX1546" i="1"/>
  <c r="AY1546" i="1"/>
  <c r="AZ1546" i="1"/>
  <c r="BA1546" i="1"/>
  <c r="BC1546" i="1"/>
  <c r="BD1546" i="1"/>
  <c r="BE1546" i="1"/>
  <c r="BF1546" i="1"/>
  <c r="BG1546" i="1"/>
  <c r="BH1546" i="1"/>
  <c r="BI1546" i="1"/>
  <c r="BJ1546" i="1"/>
  <c r="BM1546" i="1"/>
  <c r="CA1546" i="1"/>
  <c r="CN1546" i="1"/>
  <c r="CO1546" i="1"/>
  <c r="CP1546" i="1"/>
  <c r="CQ1546" i="1"/>
  <c r="G554" i="1"/>
  <c r="U554" i="1"/>
  <c r="W554" i="1"/>
  <c r="AE554" i="1"/>
  <c r="AK554" i="1"/>
  <c r="AQ554" i="1"/>
  <c r="AU554" i="1"/>
  <c r="AV554" i="1"/>
  <c r="AW554" i="1"/>
  <c r="AX554" i="1"/>
  <c r="AY554" i="1"/>
  <c r="AZ554" i="1"/>
  <c r="BA554" i="1"/>
  <c r="BC554" i="1"/>
  <c r="BD554" i="1"/>
  <c r="BE554" i="1"/>
  <c r="BF554" i="1"/>
  <c r="BG554" i="1"/>
  <c r="BH554" i="1"/>
  <c r="BI554" i="1"/>
  <c r="BJ554" i="1"/>
  <c r="BM554" i="1"/>
  <c r="CA554" i="1"/>
  <c r="CN554" i="1"/>
  <c r="CO554" i="1"/>
  <c r="CP554" i="1"/>
  <c r="CQ554" i="1"/>
  <c r="G1322" i="1"/>
  <c r="U1322" i="1"/>
  <c r="W1322" i="1"/>
  <c r="AE1322" i="1"/>
  <c r="AK1322" i="1"/>
  <c r="AQ1322" i="1"/>
  <c r="AU1322" i="1"/>
  <c r="AV1322" i="1"/>
  <c r="AW1322" i="1"/>
  <c r="AX1322" i="1"/>
  <c r="AY1322" i="1"/>
  <c r="AZ1322" i="1"/>
  <c r="BA1322" i="1"/>
  <c r="BC1322" i="1"/>
  <c r="BD1322" i="1"/>
  <c r="BE1322" i="1"/>
  <c r="BF1322" i="1"/>
  <c r="BG1322" i="1"/>
  <c r="BH1322" i="1"/>
  <c r="BI1322" i="1"/>
  <c r="BJ1322" i="1"/>
  <c r="BM1322" i="1"/>
  <c r="CA1322" i="1"/>
  <c r="CN1322" i="1"/>
  <c r="CO1322" i="1"/>
  <c r="CP1322" i="1"/>
  <c r="CQ1322" i="1"/>
  <c r="G1667" i="1"/>
  <c r="U1667" i="1"/>
  <c r="W1667" i="1"/>
  <c r="AE1667" i="1"/>
  <c r="AK1667" i="1"/>
  <c r="AQ1667" i="1"/>
  <c r="AU1667" i="1"/>
  <c r="AV1667" i="1"/>
  <c r="AW1667" i="1"/>
  <c r="AX1667" i="1"/>
  <c r="AY1667" i="1"/>
  <c r="AZ1667" i="1"/>
  <c r="BA1667" i="1"/>
  <c r="BC1667" i="1"/>
  <c r="BD1667" i="1"/>
  <c r="BE1667" i="1"/>
  <c r="BF1667" i="1"/>
  <c r="BG1667" i="1"/>
  <c r="BH1667" i="1"/>
  <c r="BI1667" i="1"/>
  <c r="BJ1667" i="1"/>
  <c r="BM1667" i="1"/>
  <c r="CA1667" i="1"/>
  <c r="CN1667" i="1"/>
  <c r="CO1667" i="1"/>
  <c r="CP1667" i="1"/>
  <c r="CQ1667" i="1"/>
  <c r="G1668" i="1"/>
  <c r="U1668" i="1"/>
  <c r="W1668" i="1"/>
  <c r="AE1668" i="1"/>
  <c r="AK1668" i="1"/>
  <c r="AQ1668" i="1"/>
  <c r="AU1668" i="1"/>
  <c r="AV1668" i="1"/>
  <c r="AW1668" i="1"/>
  <c r="AX1668" i="1"/>
  <c r="AY1668" i="1"/>
  <c r="AZ1668" i="1"/>
  <c r="BA1668" i="1"/>
  <c r="BC1668" i="1"/>
  <c r="BD1668" i="1"/>
  <c r="BE1668" i="1"/>
  <c r="BF1668" i="1"/>
  <c r="BG1668" i="1"/>
  <c r="BH1668" i="1"/>
  <c r="BI1668" i="1"/>
  <c r="BJ1668" i="1"/>
  <c r="BM1668" i="1"/>
  <c r="CA1668" i="1"/>
  <c r="CN1668" i="1"/>
  <c r="CO1668" i="1"/>
  <c r="CP1668" i="1"/>
  <c r="CQ1668" i="1"/>
  <c r="G1669" i="1"/>
  <c r="U1669" i="1"/>
  <c r="W1669" i="1"/>
  <c r="AE1669" i="1"/>
  <c r="AK1669" i="1"/>
  <c r="AQ1669" i="1"/>
  <c r="AU1669" i="1"/>
  <c r="AV1669" i="1"/>
  <c r="AW1669" i="1"/>
  <c r="AX1669" i="1"/>
  <c r="AY1669" i="1"/>
  <c r="AZ1669" i="1"/>
  <c r="BA1669" i="1"/>
  <c r="BC1669" i="1"/>
  <c r="BD1669" i="1"/>
  <c r="BE1669" i="1"/>
  <c r="BF1669" i="1"/>
  <c r="BG1669" i="1"/>
  <c r="BH1669" i="1"/>
  <c r="BI1669" i="1"/>
  <c r="BJ1669" i="1"/>
  <c r="BM1669" i="1"/>
  <c r="CA1669" i="1"/>
  <c r="CN1669" i="1"/>
  <c r="CO1669" i="1"/>
  <c r="CP1669" i="1"/>
  <c r="CQ1669" i="1"/>
  <c r="G27" i="1"/>
  <c r="U27" i="1"/>
  <c r="W27" i="1"/>
  <c r="AE27" i="1"/>
  <c r="AK27" i="1"/>
  <c r="AQ27" i="1"/>
  <c r="AU27" i="1"/>
  <c r="AV27" i="1"/>
  <c r="AW27" i="1"/>
  <c r="AX27" i="1"/>
  <c r="AY27" i="1"/>
  <c r="AZ27" i="1"/>
  <c r="BA27" i="1"/>
  <c r="BC27" i="1"/>
  <c r="BD27" i="1"/>
  <c r="BE27" i="1"/>
  <c r="BF27" i="1"/>
  <c r="BG27" i="1"/>
  <c r="BH27" i="1"/>
  <c r="BI27" i="1"/>
  <c r="BJ27" i="1"/>
  <c r="BM27" i="1"/>
  <c r="CA27" i="1"/>
  <c r="CN27" i="1"/>
  <c r="CO27" i="1"/>
  <c r="CP27" i="1"/>
  <c r="CQ27" i="1"/>
  <c r="G1670" i="1"/>
  <c r="U1670" i="1"/>
  <c r="W1670" i="1"/>
  <c r="AE1670" i="1"/>
  <c r="AK1670" i="1"/>
  <c r="AQ1670" i="1"/>
  <c r="AU1670" i="1"/>
  <c r="AV1670" i="1"/>
  <c r="AW1670" i="1"/>
  <c r="AX1670" i="1"/>
  <c r="AY1670" i="1"/>
  <c r="AZ1670" i="1"/>
  <c r="BA1670" i="1"/>
  <c r="BC1670" i="1"/>
  <c r="BD1670" i="1"/>
  <c r="BE1670" i="1"/>
  <c r="BF1670" i="1"/>
  <c r="BG1670" i="1"/>
  <c r="BH1670" i="1"/>
  <c r="BI1670" i="1"/>
  <c r="BJ1670" i="1"/>
  <c r="BM1670" i="1"/>
  <c r="CA1670" i="1"/>
  <c r="CN1670" i="1"/>
  <c r="CO1670" i="1"/>
  <c r="CP1670" i="1"/>
  <c r="CQ1670" i="1"/>
  <c r="G555" i="1"/>
  <c r="U555" i="1"/>
  <c r="W555" i="1"/>
  <c r="AE555" i="1"/>
  <c r="AK555" i="1"/>
  <c r="AQ555" i="1"/>
  <c r="AU555" i="1"/>
  <c r="AV555" i="1"/>
  <c r="AW555" i="1"/>
  <c r="AX555" i="1"/>
  <c r="AY555" i="1"/>
  <c r="AZ555" i="1"/>
  <c r="BA555" i="1"/>
  <c r="BC555" i="1"/>
  <c r="BD555" i="1"/>
  <c r="BE555" i="1"/>
  <c r="BF555" i="1"/>
  <c r="BG555" i="1"/>
  <c r="BH555" i="1"/>
  <c r="BI555" i="1"/>
  <c r="BJ555" i="1"/>
  <c r="BM555" i="1"/>
  <c r="CA555" i="1"/>
  <c r="CN555" i="1"/>
  <c r="CO555" i="1"/>
  <c r="CP555" i="1"/>
  <c r="CQ555" i="1"/>
  <c r="G1671" i="1"/>
  <c r="U1671" i="1"/>
  <c r="W1671" i="1"/>
  <c r="AE1671" i="1"/>
  <c r="AK1671" i="1"/>
  <c r="AQ1671" i="1"/>
  <c r="AU1671" i="1"/>
  <c r="AV1671" i="1"/>
  <c r="AW1671" i="1"/>
  <c r="AX1671" i="1"/>
  <c r="AY1671" i="1"/>
  <c r="AZ1671" i="1"/>
  <c r="BA1671" i="1"/>
  <c r="BC1671" i="1"/>
  <c r="BD1671" i="1"/>
  <c r="BE1671" i="1"/>
  <c r="BF1671" i="1"/>
  <c r="BG1671" i="1"/>
  <c r="BH1671" i="1"/>
  <c r="BI1671" i="1"/>
  <c r="BJ1671" i="1"/>
  <c r="BM1671" i="1"/>
  <c r="CA1671" i="1"/>
  <c r="CN1671" i="1"/>
  <c r="CO1671" i="1"/>
  <c r="CP1671" i="1"/>
  <c r="CQ1671" i="1"/>
  <c r="G556" i="1"/>
  <c r="U556" i="1"/>
  <c r="W556" i="1"/>
  <c r="AE556" i="1"/>
  <c r="AK556" i="1"/>
  <c r="AQ556" i="1"/>
  <c r="AU556" i="1"/>
  <c r="AV556" i="1"/>
  <c r="AW556" i="1"/>
  <c r="AX556" i="1"/>
  <c r="AY556" i="1"/>
  <c r="AZ556" i="1"/>
  <c r="BA556" i="1"/>
  <c r="BC556" i="1"/>
  <c r="BD556" i="1"/>
  <c r="BE556" i="1"/>
  <c r="BF556" i="1"/>
  <c r="BG556" i="1"/>
  <c r="BH556" i="1"/>
  <c r="BI556" i="1"/>
  <c r="BJ556" i="1"/>
  <c r="BM556" i="1"/>
  <c r="CA556" i="1"/>
  <c r="CN556" i="1"/>
  <c r="CO556" i="1"/>
  <c r="CP556" i="1"/>
  <c r="CQ556" i="1"/>
  <c r="G1672" i="1"/>
  <c r="U1672" i="1"/>
  <c r="W1672" i="1"/>
  <c r="AE1672" i="1"/>
  <c r="AK1672" i="1"/>
  <c r="AQ1672" i="1"/>
  <c r="AU1672" i="1"/>
  <c r="AV1672" i="1"/>
  <c r="AW1672" i="1"/>
  <c r="AX1672" i="1"/>
  <c r="AY1672" i="1"/>
  <c r="AZ1672" i="1"/>
  <c r="BA1672" i="1"/>
  <c r="BC1672" i="1"/>
  <c r="BD1672" i="1"/>
  <c r="BE1672" i="1"/>
  <c r="BF1672" i="1"/>
  <c r="BG1672" i="1"/>
  <c r="BH1672" i="1"/>
  <c r="BI1672" i="1"/>
  <c r="BJ1672" i="1"/>
  <c r="BM1672" i="1"/>
  <c r="CA1672" i="1"/>
  <c r="CN1672" i="1"/>
  <c r="CO1672" i="1"/>
  <c r="CP1672" i="1"/>
  <c r="CQ1672" i="1"/>
  <c r="G28" i="1"/>
  <c r="U28" i="1"/>
  <c r="W28" i="1"/>
  <c r="AE28" i="1"/>
  <c r="AK28" i="1"/>
  <c r="AQ28" i="1"/>
  <c r="AU28" i="1"/>
  <c r="AV28" i="1"/>
  <c r="AW28" i="1"/>
  <c r="AX28" i="1"/>
  <c r="AY28" i="1"/>
  <c r="AZ28" i="1"/>
  <c r="BA28" i="1"/>
  <c r="BC28" i="1"/>
  <c r="BD28" i="1"/>
  <c r="BE28" i="1"/>
  <c r="BF28" i="1"/>
  <c r="BG28" i="1"/>
  <c r="BH28" i="1"/>
  <c r="BI28" i="1"/>
  <c r="BJ28" i="1"/>
  <c r="BM28" i="1"/>
  <c r="CA28" i="1"/>
  <c r="CN28" i="1"/>
  <c r="CO28" i="1"/>
  <c r="CP28" i="1"/>
  <c r="CQ28" i="1"/>
  <c r="G29" i="1"/>
  <c r="U29" i="1"/>
  <c r="W29" i="1"/>
  <c r="AE29" i="1"/>
  <c r="AK29" i="1"/>
  <c r="AQ29" i="1"/>
  <c r="AU29" i="1"/>
  <c r="AV29" i="1"/>
  <c r="AW29" i="1"/>
  <c r="AX29" i="1"/>
  <c r="AY29" i="1"/>
  <c r="AZ29" i="1"/>
  <c r="BA29" i="1"/>
  <c r="BC29" i="1"/>
  <c r="BD29" i="1"/>
  <c r="BE29" i="1"/>
  <c r="BF29" i="1"/>
  <c r="BG29" i="1"/>
  <c r="BH29" i="1"/>
  <c r="BI29" i="1"/>
  <c r="BJ29" i="1"/>
  <c r="BM29" i="1"/>
  <c r="CA29" i="1"/>
  <c r="CN29" i="1"/>
  <c r="CO29" i="1"/>
  <c r="CP29" i="1"/>
  <c r="CQ29" i="1"/>
  <c r="G1673" i="1"/>
  <c r="U1673" i="1"/>
  <c r="W1673" i="1"/>
  <c r="AE1673" i="1"/>
  <c r="AK1673" i="1"/>
  <c r="AQ1673" i="1"/>
  <c r="AU1673" i="1"/>
  <c r="AV1673" i="1"/>
  <c r="AW1673" i="1"/>
  <c r="AX1673" i="1"/>
  <c r="AY1673" i="1"/>
  <c r="AZ1673" i="1"/>
  <c r="BA1673" i="1"/>
  <c r="BC1673" i="1"/>
  <c r="BD1673" i="1"/>
  <c r="BE1673" i="1"/>
  <c r="BF1673" i="1"/>
  <c r="BG1673" i="1"/>
  <c r="BH1673" i="1"/>
  <c r="BI1673" i="1"/>
  <c r="BJ1673" i="1"/>
  <c r="BM1673" i="1"/>
  <c r="CA1673" i="1"/>
  <c r="CN1673" i="1"/>
  <c r="CO1673" i="1"/>
  <c r="CP1673" i="1"/>
  <c r="CQ1673" i="1"/>
  <c r="G1674" i="1"/>
  <c r="U1674" i="1"/>
  <c r="W1674" i="1"/>
  <c r="AE1674" i="1"/>
  <c r="AK1674" i="1"/>
  <c r="AQ1674" i="1"/>
  <c r="AU1674" i="1"/>
  <c r="AV1674" i="1"/>
  <c r="AW1674" i="1"/>
  <c r="AX1674" i="1"/>
  <c r="AY1674" i="1"/>
  <c r="AZ1674" i="1"/>
  <c r="BA1674" i="1"/>
  <c r="BC1674" i="1"/>
  <c r="BD1674" i="1"/>
  <c r="BE1674" i="1"/>
  <c r="BF1674" i="1"/>
  <c r="BG1674" i="1"/>
  <c r="BH1674" i="1"/>
  <c r="BI1674" i="1"/>
  <c r="BJ1674" i="1"/>
  <c r="BM1674" i="1"/>
  <c r="CA1674" i="1"/>
  <c r="CN1674" i="1"/>
  <c r="CO1674" i="1"/>
  <c r="CP1674" i="1"/>
  <c r="CQ1674" i="1"/>
  <c r="G557" i="1"/>
  <c r="U557" i="1"/>
  <c r="W557" i="1"/>
  <c r="AE557" i="1"/>
  <c r="AK557" i="1"/>
  <c r="AQ557" i="1"/>
  <c r="AU557" i="1"/>
  <c r="AV557" i="1"/>
  <c r="AW557" i="1"/>
  <c r="AX557" i="1"/>
  <c r="AY557" i="1"/>
  <c r="AZ557" i="1"/>
  <c r="BA557" i="1"/>
  <c r="BC557" i="1"/>
  <c r="BD557" i="1"/>
  <c r="BE557" i="1"/>
  <c r="BF557" i="1"/>
  <c r="BG557" i="1"/>
  <c r="BH557" i="1"/>
  <c r="BI557" i="1"/>
  <c r="BJ557" i="1"/>
  <c r="BM557" i="1"/>
  <c r="CA557" i="1"/>
  <c r="CN557" i="1"/>
  <c r="CO557" i="1"/>
  <c r="CP557" i="1"/>
  <c r="CQ557" i="1"/>
  <c r="G558" i="1"/>
  <c r="U558" i="1"/>
  <c r="W558" i="1"/>
  <c r="AE558" i="1"/>
  <c r="AK558" i="1"/>
  <c r="AQ558" i="1"/>
  <c r="AU558" i="1"/>
  <c r="AV558" i="1"/>
  <c r="AW558" i="1"/>
  <c r="AX558" i="1"/>
  <c r="AY558" i="1"/>
  <c r="AZ558" i="1"/>
  <c r="BA558" i="1"/>
  <c r="BC558" i="1"/>
  <c r="BD558" i="1"/>
  <c r="BE558" i="1"/>
  <c r="BF558" i="1"/>
  <c r="BG558" i="1"/>
  <c r="BH558" i="1"/>
  <c r="BI558" i="1"/>
  <c r="BJ558" i="1"/>
  <c r="BM558" i="1"/>
  <c r="CA558" i="1"/>
  <c r="CN558" i="1"/>
  <c r="CO558" i="1"/>
  <c r="CP558" i="1"/>
  <c r="CQ558" i="1"/>
  <c r="G30" i="1"/>
  <c r="U30" i="1"/>
  <c r="W30" i="1"/>
  <c r="AE30" i="1"/>
  <c r="AK30" i="1"/>
  <c r="AQ30" i="1"/>
  <c r="AU30" i="1"/>
  <c r="AV30" i="1"/>
  <c r="AW30" i="1"/>
  <c r="AX30" i="1"/>
  <c r="AY30" i="1"/>
  <c r="AZ30" i="1"/>
  <c r="BA30" i="1"/>
  <c r="BC30" i="1"/>
  <c r="BD30" i="1"/>
  <c r="BE30" i="1"/>
  <c r="BF30" i="1"/>
  <c r="BG30" i="1"/>
  <c r="BH30" i="1"/>
  <c r="BI30" i="1"/>
  <c r="BJ30" i="1"/>
  <c r="BM30" i="1"/>
  <c r="CA30" i="1"/>
  <c r="CN30" i="1"/>
  <c r="CO30" i="1"/>
  <c r="CP30" i="1"/>
  <c r="CQ30" i="1"/>
  <c r="G1675" i="1"/>
  <c r="U1675" i="1"/>
  <c r="W1675" i="1"/>
  <c r="AE1675" i="1"/>
  <c r="AK1675" i="1"/>
  <c r="AQ1675" i="1"/>
  <c r="AU1675" i="1"/>
  <c r="AV1675" i="1"/>
  <c r="AW1675" i="1"/>
  <c r="AX1675" i="1"/>
  <c r="AY1675" i="1"/>
  <c r="AZ1675" i="1"/>
  <c r="BA1675" i="1"/>
  <c r="BC1675" i="1"/>
  <c r="BD1675" i="1"/>
  <c r="BE1675" i="1"/>
  <c r="BF1675" i="1"/>
  <c r="BG1675" i="1"/>
  <c r="BH1675" i="1"/>
  <c r="BI1675" i="1"/>
  <c r="BJ1675" i="1"/>
  <c r="BM1675" i="1"/>
  <c r="CA1675" i="1"/>
  <c r="CN1675" i="1"/>
  <c r="CO1675" i="1"/>
  <c r="CP1675" i="1"/>
  <c r="CQ1675" i="1"/>
  <c r="G559" i="1"/>
  <c r="U559" i="1"/>
  <c r="W559" i="1"/>
  <c r="AE559" i="1"/>
  <c r="AK559" i="1"/>
  <c r="AQ559" i="1"/>
  <c r="AU559" i="1"/>
  <c r="AV559" i="1"/>
  <c r="AW559" i="1"/>
  <c r="AX559" i="1"/>
  <c r="AY559" i="1"/>
  <c r="AZ559" i="1"/>
  <c r="BA559" i="1"/>
  <c r="BC559" i="1"/>
  <c r="BD559" i="1"/>
  <c r="BE559" i="1"/>
  <c r="BF559" i="1"/>
  <c r="BG559" i="1"/>
  <c r="BH559" i="1"/>
  <c r="BI559" i="1"/>
  <c r="BJ559" i="1"/>
  <c r="BM559" i="1"/>
  <c r="CA559" i="1"/>
  <c r="CN559" i="1"/>
  <c r="CO559" i="1"/>
  <c r="CP559" i="1"/>
  <c r="CQ559" i="1"/>
  <c r="G1676" i="1"/>
  <c r="U1676" i="1"/>
  <c r="W1676" i="1"/>
  <c r="AE1676" i="1"/>
  <c r="AK1676" i="1"/>
  <c r="AQ1676" i="1"/>
  <c r="AU1676" i="1"/>
  <c r="AV1676" i="1"/>
  <c r="AW1676" i="1"/>
  <c r="AX1676" i="1"/>
  <c r="AY1676" i="1"/>
  <c r="AZ1676" i="1"/>
  <c r="BA1676" i="1"/>
  <c r="BC1676" i="1"/>
  <c r="BD1676" i="1"/>
  <c r="BE1676" i="1"/>
  <c r="BF1676" i="1"/>
  <c r="BG1676" i="1"/>
  <c r="BH1676" i="1"/>
  <c r="BI1676" i="1"/>
  <c r="BJ1676" i="1"/>
  <c r="BM1676" i="1"/>
  <c r="CA1676" i="1"/>
  <c r="CN1676" i="1"/>
  <c r="CO1676" i="1"/>
  <c r="CP1676" i="1"/>
  <c r="CQ1676" i="1"/>
  <c r="G364" i="1"/>
  <c r="U364" i="1"/>
  <c r="W364" i="1"/>
  <c r="AE364" i="1"/>
  <c r="AK364" i="1"/>
  <c r="AQ364" i="1"/>
  <c r="AU364" i="1"/>
  <c r="AV364" i="1"/>
  <c r="AW364" i="1"/>
  <c r="AX364" i="1"/>
  <c r="AY364" i="1"/>
  <c r="AZ364" i="1"/>
  <c r="BA364" i="1"/>
  <c r="BC364" i="1"/>
  <c r="BD364" i="1"/>
  <c r="BE364" i="1"/>
  <c r="BF364" i="1"/>
  <c r="BG364" i="1"/>
  <c r="BH364" i="1"/>
  <c r="BI364" i="1"/>
  <c r="BJ364" i="1"/>
  <c r="BM364" i="1"/>
  <c r="CA364" i="1"/>
  <c r="CN364" i="1"/>
  <c r="CO364" i="1"/>
  <c r="CP364" i="1"/>
  <c r="CQ364" i="1"/>
  <c r="G1323" i="1"/>
  <c r="U1323" i="1"/>
  <c r="W1323" i="1"/>
  <c r="AE1323" i="1"/>
  <c r="AK1323" i="1"/>
  <c r="AQ1323" i="1"/>
  <c r="AU1323" i="1"/>
  <c r="AV1323" i="1"/>
  <c r="AW1323" i="1"/>
  <c r="AX1323" i="1"/>
  <c r="AY1323" i="1"/>
  <c r="AZ1323" i="1"/>
  <c r="BA1323" i="1"/>
  <c r="BC1323" i="1"/>
  <c r="BD1323" i="1"/>
  <c r="BE1323" i="1"/>
  <c r="BF1323" i="1"/>
  <c r="BG1323" i="1"/>
  <c r="BH1323" i="1"/>
  <c r="BI1323" i="1"/>
  <c r="BJ1323" i="1"/>
  <c r="BM1323" i="1"/>
  <c r="CA1323" i="1"/>
  <c r="CN1323" i="1"/>
  <c r="CO1323" i="1"/>
  <c r="CP1323" i="1"/>
  <c r="CQ1323" i="1"/>
  <c r="G560" i="1"/>
  <c r="U560" i="1"/>
  <c r="W560" i="1"/>
  <c r="AE560" i="1"/>
  <c r="AK560" i="1"/>
  <c r="AQ560" i="1"/>
  <c r="AU560" i="1"/>
  <c r="AV560" i="1"/>
  <c r="AW560" i="1"/>
  <c r="AX560" i="1"/>
  <c r="AY560" i="1"/>
  <c r="AZ560" i="1"/>
  <c r="BA560" i="1"/>
  <c r="BC560" i="1"/>
  <c r="BD560" i="1"/>
  <c r="BE560" i="1"/>
  <c r="BF560" i="1"/>
  <c r="BG560" i="1"/>
  <c r="BH560" i="1"/>
  <c r="BI560" i="1"/>
  <c r="BJ560" i="1"/>
  <c r="BM560" i="1"/>
  <c r="CA560" i="1"/>
  <c r="CN560" i="1"/>
  <c r="CO560" i="1"/>
  <c r="CP560" i="1"/>
  <c r="CQ560" i="1"/>
  <c r="G561" i="1"/>
  <c r="U561" i="1"/>
  <c r="W561" i="1"/>
  <c r="AE561" i="1"/>
  <c r="AK561" i="1"/>
  <c r="AQ561" i="1"/>
  <c r="AU561" i="1"/>
  <c r="AV561" i="1"/>
  <c r="AW561" i="1"/>
  <c r="AX561" i="1"/>
  <c r="AY561" i="1"/>
  <c r="AZ561" i="1"/>
  <c r="BA561" i="1"/>
  <c r="BC561" i="1"/>
  <c r="BD561" i="1"/>
  <c r="BE561" i="1"/>
  <c r="BF561" i="1"/>
  <c r="BG561" i="1"/>
  <c r="BH561" i="1"/>
  <c r="BI561" i="1"/>
  <c r="BJ561" i="1"/>
  <c r="BM561" i="1"/>
  <c r="CA561" i="1"/>
  <c r="CN561" i="1"/>
  <c r="CO561" i="1"/>
  <c r="CP561" i="1"/>
  <c r="CQ561" i="1"/>
  <c r="G1677" i="1"/>
  <c r="U1677" i="1"/>
  <c r="W1677" i="1"/>
  <c r="AE1677" i="1"/>
  <c r="AK1677" i="1"/>
  <c r="AQ1677" i="1"/>
  <c r="AU1677" i="1"/>
  <c r="AV1677" i="1"/>
  <c r="AW1677" i="1"/>
  <c r="AX1677" i="1"/>
  <c r="AY1677" i="1"/>
  <c r="AZ1677" i="1"/>
  <c r="BA1677" i="1"/>
  <c r="BC1677" i="1"/>
  <c r="BD1677" i="1"/>
  <c r="BE1677" i="1"/>
  <c r="BF1677" i="1"/>
  <c r="BG1677" i="1"/>
  <c r="BH1677" i="1"/>
  <c r="BI1677" i="1"/>
  <c r="BJ1677" i="1"/>
  <c r="BM1677" i="1"/>
  <c r="CA1677" i="1"/>
  <c r="CN1677" i="1"/>
  <c r="CO1677" i="1"/>
  <c r="CP1677" i="1"/>
  <c r="CQ1677" i="1"/>
  <c r="G562" i="1"/>
  <c r="U562" i="1"/>
  <c r="W562" i="1"/>
  <c r="AE562" i="1"/>
  <c r="AK562" i="1"/>
  <c r="AQ562" i="1"/>
  <c r="AU562" i="1"/>
  <c r="AV562" i="1"/>
  <c r="AW562" i="1"/>
  <c r="AX562" i="1"/>
  <c r="AY562" i="1"/>
  <c r="AZ562" i="1"/>
  <c r="BA562" i="1"/>
  <c r="BC562" i="1"/>
  <c r="BD562" i="1"/>
  <c r="BE562" i="1"/>
  <c r="BF562" i="1"/>
  <c r="BG562" i="1"/>
  <c r="BH562" i="1"/>
  <c r="BI562" i="1"/>
  <c r="BJ562" i="1"/>
  <c r="BM562" i="1"/>
  <c r="CA562" i="1"/>
  <c r="CN562" i="1"/>
  <c r="CO562" i="1"/>
  <c r="CP562" i="1"/>
  <c r="CQ562" i="1"/>
  <c r="G563" i="1"/>
  <c r="U563" i="1"/>
  <c r="W563" i="1"/>
  <c r="AE563" i="1"/>
  <c r="AK563" i="1"/>
  <c r="AQ563" i="1"/>
  <c r="AU563" i="1"/>
  <c r="AV563" i="1"/>
  <c r="AW563" i="1"/>
  <c r="AX563" i="1"/>
  <c r="AY563" i="1"/>
  <c r="AZ563" i="1"/>
  <c r="BA563" i="1"/>
  <c r="BC563" i="1"/>
  <c r="BD563" i="1"/>
  <c r="BE563" i="1"/>
  <c r="BF563" i="1"/>
  <c r="BG563" i="1"/>
  <c r="BH563" i="1"/>
  <c r="BI563" i="1"/>
  <c r="BJ563" i="1"/>
  <c r="BM563" i="1"/>
  <c r="CA563" i="1"/>
  <c r="CN563" i="1"/>
  <c r="CO563" i="1"/>
  <c r="CP563" i="1"/>
  <c r="CQ563" i="1"/>
  <c r="G564" i="1"/>
  <c r="U564" i="1"/>
  <c r="W564" i="1"/>
  <c r="AE564" i="1"/>
  <c r="AK564" i="1"/>
  <c r="AQ564" i="1"/>
  <c r="AU564" i="1"/>
  <c r="AV564" i="1"/>
  <c r="AW564" i="1"/>
  <c r="AX564" i="1"/>
  <c r="AY564" i="1"/>
  <c r="AZ564" i="1"/>
  <c r="BA564" i="1"/>
  <c r="BC564" i="1"/>
  <c r="BD564" i="1"/>
  <c r="BE564" i="1"/>
  <c r="BF564" i="1"/>
  <c r="BG564" i="1"/>
  <c r="BH564" i="1"/>
  <c r="BI564" i="1"/>
  <c r="BJ564" i="1"/>
  <c r="BM564" i="1"/>
  <c r="CA564" i="1"/>
  <c r="CN564" i="1"/>
  <c r="CO564" i="1"/>
  <c r="CP564" i="1"/>
  <c r="CQ564" i="1"/>
  <c r="G565" i="1"/>
  <c r="U565" i="1"/>
  <c r="W565" i="1"/>
  <c r="AE565" i="1"/>
  <c r="AK565" i="1"/>
  <c r="AQ565" i="1"/>
  <c r="AU565" i="1"/>
  <c r="AV565" i="1"/>
  <c r="AW565" i="1"/>
  <c r="AX565" i="1"/>
  <c r="AY565" i="1"/>
  <c r="AZ565" i="1"/>
  <c r="BA565" i="1"/>
  <c r="BC565" i="1"/>
  <c r="BD565" i="1"/>
  <c r="BE565" i="1"/>
  <c r="BF565" i="1"/>
  <c r="BG565" i="1"/>
  <c r="BH565" i="1"/>
  <c r="BI565" i="1"/>
  <c r="BJ565" i="1"/>
  <c r="BM565" i="1"/>
  <c r="CA565" i="1"/>
  <c r="CN565" i="1"/>
  <c r="CO565" i="1"/>
  <c r="CP565" i="1"/>
  <c r="CQ565" i="1"/>
  <c r="G566" i="1"/>
  <c r="U566" i="1"/>
  <c r="W566" i="1"/>
  <c r="AE566" i="1"/>
  <c r="AK566" i="1"/>
  <c r="AQ566" i="1"/>
  <c r="AU566" i="1"/>
  <c r="AV566" i="1"/>
  <c r="AW566" i="1"/>
  <c r="AX566" i="1"/>
  <c r="AY566" i="1"/>
  <c r="AZ566" i="1"/>
  <c r="BA566" i="1"/>
  <c r="BC566" i="1"/>
  <c r="BD566" i="1"/>
  <c r="BE566" i="1"/>
  <c r="BF566" i="1"/>
  <c r="BG566" i="1"/>
  <c r="BH566" i="1"/>
  <c r="BI566" i="1"/>
  <c r="BJ566" i="1"/>
  <c r="BM566" i="1"/>
  <c r="CA566" i="1"/>
  <c r="CN566" i="1"/>
  <c r="CO566" i="1"/>
  <c r="CP566" i="1"/>
  <c r="CQ566" i="1"/>
  <c r="G567" i="1"/>
  <c r="U567" i="1"/>
  <c r="W567" i="1"/>
  <c r="AE567" i="1"/>
  <c r="AK567" i="1"/>
  <c r="AQ567" i="1"/>
  <c r="AU567" i="1"/>
  <c r="AV567" i="1"/>
  <c r="AW567" i="1"/>
  <c r="AX567" i="1"/>
  <c r="AY567" i="1"/>
  <c r="AZ567" i="1"/>
  <c r="BA567" i="1"/>
  <c r="BC567" i="1"/>
  <c r="BD567" i="1"/>
  <c r="BE567" i="1"/>
  <c r="BF567" i="1"/>
  <c r="BG567" i="1"/>
  <c r="BH567" i="1"/>
  <c r="BI567" i="1"/>
  <c r="BJ567" i="1"/>
  <c r="BM567" i="1"/>
  <c r="CA567" i="1"/>
  <c r="CN567" i="1"/>
  <c r="CO567" i="1"/>
  <c r="CP567" i="1"/>
  <c r="CQ567" i="1"/>
  <c r="G1324" i="1"/>
  <c r="U1324" i="1"/>
  <c r="W1324" i="1"/>
  <c r="AE1324" i="1"/>
  <c r="AK1324" i="1"/>
  <c r="AQ1324" i="1"/>
  <c r="AU1324" i="1"/>
  <c r="AV1324" i="1"/>
  <c r="AW1324" i="1"/>
  <c r="AX1324" i="1"/>
  <c r="AY1324" i="1"/>
  <c r="AZ1324" i="1"/>
  <c r="BA1324" i="1"/>
  <c r="BC1324" i="1"/>
  <c r="BD1324" i="1"/>
  <c r="BE1324" i="1"/>
  <c r="BF1324" i="1"/>
  <c r="BG1324" i="1"/>
  <c r="BH1324" i="1"/>
  <c r="BI1324" i="1"/>
  <c r="BJ1324" i="1"/>
  <c r="BM1324" i="1"/>
  <c r="CA1324" i="1"/>
  <c r="CN1324" i="1"/>
  <c r="CO1324" i="1"/>
  <c r="CP1324" i="1"/>
  <c r="CQ1324" i="1"/>
  <c r="G568" i="1"/>
  <c r="U568" i="1"/>
  <c r="W568" i="1"/>
  <c r="AE568" i="1"/>
  <c r="AK568" i="1"/>
  <c r="AQ568" i="1"/>
  <c r="AU568" i="1"/>
  <c r="AV568" i="1"/>
  <c r="AW568" i="1"/>
  <c r="AX568" i="1"/>
  <c r="AY568" i="1"/>
  <c r="AZ568" i="1"/>
  <c r="BA568" i="1"/>
  <c r="BC568" i="1"/>
  <c r="BD568" i="1"/>
  <c r="BE568" i="1"/>
  <c r="BF568" i="1"/>
  <c r="BG568" i="1"/>
  <c r="BH568" i="1"/>
  <c r="BI568" i="1"/>
  <c r="BJ568" i="1"/>
  <c r="BM568" i="1"/>
  <c r="CA568" i="1"/>
  <c r="CN568" i="1"/>
  <c r="CO568" i="1"/>
  <c r="CP568" i="1"/>
  <c r="CQ568" i="1"/>
  <c r="G569" i="1"/>
  <c r="U569" i="1"/>
  <c r="W569" i="1"/>
  <c r="AE569" i="1"/>
  <c r="AK569" i="1"/>
  <c r="AQ569" i="1"/>
  <c r="AU569" i="1"/>
  <c r="AV569" i="1"/>
  <c r="AW569" i="1"/>
  <c r="AX569" i="1"/>
  <c r="AY569" i="1"/>
  <c r="AZ569" i="1"/>
  <c r="BA569" i="1"/>
  <c r="BC569" i="1"/>
  <c r="BD569" i="1"/>
  <c r="BE569" i="1"/>
  <c r="BF569" i="1"/>
  <c r="BG569" i="1"/>
  <c r="BH569" i="1"/>
  <c r="BI569" i="1"/>
  <c r="BJ569" i="1"/>
  <c r="BM569" i="1"/>
  <c r="CA569" i="1"/>
  <c r="CN569" i="1"/>
  <c r="CO569" i="1"/>
  <c r="CP569" i="1"/>
  <c r="CQ569" i="1"/>
  <c r="G570" i="1"/>
  <c r="U570" i="1"/>
  <c r="W570" i="1"/>
  <c r="AE570" i="1"/>
  <c r="AK570" i="1"/>
  <c r="AQ570" i="1"/>
  <c r="AU570" i="1"/>
  <c r="AV570" i="1"/>
  <c r="AW570" i="1"/>
  <c r="AX570" i="1"/>
  <c r="AY570" i="1"/>
  <c r="AZ570" i="1"/>
  <c r="BA570" i="1"/>
  <c r="BC570" i="1"/>
  <c r="BD570" i="1"/>
  <c r="BE570" i="1"/>
  <c r="BF570" i="1"/>
  <c r="BG570" i="1"/>
  <c r="BH570" i="1"/>
  <c r="BI570" i="1"/>
  <c r="BJ570" i="1"/>
  <c r="BM570" i="1"/>
  <c r="CA570" i="1"/>
  <c r="CN570" i="1"/>
  <c r="CO570" i="1"/>
  <c r="CP570" i="1"/>
  <c r="CQ570" i="1"/>
  <c r="G1678" i="1"/>
  <c r="U1678" i="1"/>
  <c r="W1678" i="1"/>
  <c r="AE1678" i="1"/>
  <c r="AK1678" i="1"/>
  <c r="AQ1678" i="1"/>
  <c r="AU1678" i="1"/>
  <c r="AV1678" i="1"/>
  <c r="AW1678" i="1"/>
  <c r="AX1678" i="1"/>
  <c r="AY1678" i="1"/>
  <c r="AZ1678" i="1"/>
  <c r="BA1678" i="1"/>
  <c r="BC1678" i="1"/>
  <c r="BD1678" i="1"/>
  <c r="BE1678" i="1"/>
  <c r="BF1678" i="1"/>
  <c r="BG1678" i="1"/>
  <c r="BH1678" i="1"/>
  <c r="BI1678" i="1"/>
  <c r="BJ1678" i="1"/>
  <c r="BM1678" i="1"/>
  <c r="CA1678" i="1"/>
  <c r="CN1678" i="1"/>
  <c r="CO1678" i="1"/>
  <c r="CP1678" i="1"/>
  <c r="CQ1678" i="1"/>
  <c r="G1325" i="1"/>
  <c r="U1325" i="1"/>
  <c r="W1325" i="1"/>
  <c r="AE1325" i="1"/>
  <c r="AK1325" i="1"/>
  <c r="AQ1325" i="1"/>
  <c r="AU1325" i="1"/>
  <c r="AV1325" i="1"/>
  <c r="AW1325" i="1"/>
  <c r="AX1325" i="1"/>
  <c r="AY1325" i="1"/>
  <c r="AZ1325" i="1"/>
  <c r="BA1325" i="1"/>
  <c r="BC1325" i="1"/>
  <c r="BD1325" i="1"/>
  <c r="BE1325" i="1"/>
  <c r="BF1325" i="1"/>
  <c r="BG1325" i="1"/>
  <c r="BH1325" i="1"/>
  <c r="BI1325" i="1"/>
  <c r="BJ1325" i="1"/>
  <c r="BM1325" i="1"/>
  <c r="CA1325" i="1"/>
  <c r="CN1325" i="1"/>
  <c r="CO1325" i="1"/>
  <c r="CP1325" i="1"/>
  <c r="CQ1325" i="1"/>
  <c r="G571" i="1"/>
  <c r="U571" i="1"/>
  <c r="W571" i="1"/>
  <c r="AE571" i="1"/>
  <c r="AK571" i="1"/>
  <c r="AQ571" i="1"/>
  <c r="AU571" i="1"/>
  <c r="AV571" i="1"/>
  <c r="AW571" i="1"/>
  <c r="AX571" i="1"/>
  <c r="AY571" i="1"/>
  <c r="AZ571" i="1"/>
  <c r="BA571" i="1"/>
  <c r="BC571" i="1"/>
  <c r="BD571" i="1"/>
  <c r="BE571" i="1"/>
  <c r="BF571" i="1"/>
  <c r="BG571" i="1"/>
  <c r="BH571" i="1"/>
  <c r="BI571" i="1"/>
  <c r="BJ571" i="1"/>
  <c r="BM571" i="1"/>
  <c r="CA571" i="1"/>
  <c r="CN571" i="1"/>
  <c r="CO571" i="1"/>
  <c r="CP571" i="1"/>
  <c r="CQ571" i="1"/>
  <c r="G1679" i="1"/>
  <c r="U1679" i="1"/>
  <c r="W1679" i="1"/>
  <c r="AE1679" i="1"/>
  <c r="AK1679" i="1"/>
  <c r="AQ1679" i="1"/>
  <c r="AU1679" i="1"/>
  <c r="AV1679" i="1"/>
  <c r="AW1679" i="1"/>
  <c r="AX1679" i="1"/>
  <c r="AY1679" i="1"/>
  <c r="AZ1679" i="1"/>
  <c r="BA1679" i="1"/>
  <c r="BC1679" i="1"/>
  <c r="BD1679" i="1"/>
  <c r="BE1679" i="1"/>
  <c r="BF1679" i="1"/>
  <c r="BG1679" i="1"/>
  <c r="BH1679" i="1"/>
  <c r="BI1679" i="1"/>
  <c r="BJ1679" i="1"/>
  <c r="BM1679" i="1"/>
  <c r="CA1679" i="1"/>
  <c r="CN1679" i="1"/>
  <c r="CO1679" i="1"/>
  <c r="CP1679" i="1"/>
  <c r="CQ1679" i="1"/>
  <c r="G1680" i="1"/>
  <c r="U1680" i="1"/>
  <c r="W1680" i="1"/>
  <c r="AE1680" i="1"/>
  <c r="AK1680" i="1"/>
  <c r="AQ1680" i="1"/>
  <c r="AU1680" i="1"/>
  <c r="AV1680" i="1"/>
  <c r="AW1680" i="1"/>
  <c r="AX1680" i="1"/>
  <c r="AY1680" i="1"/>
  <c r="AZ1680" i="1"/>
  <c r="BA1680" i="1"/>
  <c r="BC1680" i="1"/>
  <c r="BD1680" i="1"/>
  <c r="BE1680" i="1"/>
  <c r="BF1680" i="1"/>
  <c r="BG1680" i="1"/>
  <c r="BH1680" i="1"/>
  <c r="BI1680" i="1"/>
  <c r="BJ1680" i="1"/>
  <c r="BM1680" i="1"/>
  <c r="CA1680" i="1"/>
  <c r="CN1680" i="1"/>
  <c r="CO1680" i="1"/>
  <c r="CP1680" i="1"/>
  <c r="CQ1680" i="1"/>
  <c r="G572" i="1"/>
  <c r="U572" i="1"/>
  <c r="W572" i="1"/>
  <c r="AE572" i="1"/>
  <c r="AK572" i="1"/>
  <c r="AQ572" i="1"/>
  <c r="AU572" i="1"/>
  <c r="AV572" i="1"/>
  <c r="AW572" i="1"/>
  <c r="AX572" i="1"/>
  <c r="AY572" i="1"/>
  <c r="AZ572" i="1"/>
  <c r="BA572" i="1"/>
  <c r="BC572" i="1"/>
  <c r="BD572" i="1"/>
  <c r="BE572" i="1"/>
  <c r="BF572" i="1"/>
  <c r="BG572" i="1"/>
  <c r="BH572" i="1"/>
  <c r="BI572" i="1"/>
  <c r="BJ572" i="1"/>
  <c r="BM572" i="1"/>
  <c r="CA572" i="1"/>
  <c r="CN572" i="1"/>
  <c r="CO572" i="1"/>
  <c r="CP572" i="1"/>
  <c r="CQ572" i="1"/>
  <c r="G573" i="1"/>
  <c r="U573" i="1"/>
  <c r="W573" i="1"/>
  <c r="AE573" i="1"/>
  <c r="AK573" i="1"/>
  <c r="AQ573" i="1"/>
  <c r="AU573" i="1"/>
  <c r="AV573" i="1"/>
  <c r="AW573" i="1"/>
  <c r="AX573" i="1"/>
  <c r="AY573" i="1"/>
  <c r="AZ573" i="1"/>
  <c r="BA573" i="1"/>
  <c r="BC573" i="1"/>
  <c r="BD573" i="1"/>
  <c r="BE573" i="1"/>
  <c r="BF573" i="1"/>
  <c r="BG573" i="1"/>
  <c r="BH573" i="1"/>
  <c r="BI573" i="1"/>
  <c r="BJ573" i="1"/>
  <c r="BM573" i="1"/>
  <c r="CA573" i="1"/>
  <c r="CN573" i="1"/>
  <c r="CO573" i="1"/>
  <c r="CP573" i="1"/>
  <c r="CQ573" i="1"/>
  <c r="G1326" i="1"/>
  <c r="U1326" i="1"/>
  <c r="W1326" i="1"/>
  <c r="AE1326" i="1"/>
  <c r="AK1326" i="1"/>
  <c r="AQ1326" i="1"/>
  <c r="AU1326" i="1"/>
  <c r="AV1326" i="1"/>
  <c r="AW1326" i="1"/>
  <c r="AX1326" i="1"/>
  <c r="AY1326" i="1"/>
  <c r="AZ1326" i="1"/>
  <c r="BA1326" i="1"/>
  <c r="BC1326" i="1"/>
  <c r="BD1326" i="1"/>
  <c r="BE1326" i="1"/>
  <c r="BF1326" i="1"/>
  <c r="BG1326" i="1"/>
  <c r="BH1326" i="1"/>
  <c r="BI1326" i="1"/>
  <c r="BJ1326" i="1"/>
  <c r="BM1326" i="1"/>
  <c r="CA1326" i="1"/>
  <c r="CN1326" i="1"/>
  <c r="CO1326" i="1"/>
  <c r="CP1326" i="1"/>
  <c r="CQ1326" i="1"/>
  <c r="G1681" i="1"/>
  <c r="U1681" i="1"/>
  <c r="W1681" i="1"/>
  <c r="AE1681" i="1"/>
  <c r="AK1681" i="1"/>
  <c r="AQ1681" i="1"/>
  <c r="AU1681" i="1"/>
  <c r="AV1681" i="1"/>
  <c r="AW1681" i="1"/>
  <c r="AX1681" i="1"/>
  <c r="AY1681" i="1"/>
  <c r="AZ1681" i="1"/>
  <c r="BA1681" i="1"/>
  <c r="BC1681" i="1"/>
  <c r="BD1681" i="1"/>
  <c r="BE1681" i="1"/>
  <c r="BF1681" i="1"/>
  <c r="BG1681" i="1"/>
  <c r="BH1681" i="1"/>
  <c r="BI1681" i="1"/>
  <c r="BJ1681" i="1"/>
  <c r="BM1681" i="1"/>
  <c r="CA1681" i="1"/>
  <c r="CN1681" i="1"/>
  <c r="CO1681" i="1"/>
  <c r="CP1681" i="1"/>
  <c r="CQ1681" i="1"/>
  <c r="G365" i="1"/>
  <c r="U365" i="1"/>
  <c r="W365" i="1"/>
  <c r="AE365" i="1"/>
  <c r="AK365" i="1"/>
  <c r="AQ365" i="1"/>
  <c r="AU365" i="1"/>
  <c r="AV365" i="1"/>
  <c r="AW365" i="1"/>
  <c r="AX365" i="1"/>
  <c r="AY365" i="1"/>
  <c r="AZ365" i="1"/>
  <c r="BA365" i="1"/>
  <c r="BC365" i="1"/>
  <c r="BD365" i="1"/>
  <c r="BE365" i="1"/>
  <c r="BF365" i="1"/>
  <c r="BG365" i="1"/>
  <c r="BH365" i="1"/>
  <c r="BI365" i="1"/>
  <c r="BJ365" i="1"/>
  <c r="BM365" i="1"/>
  <c r="CA365" i="1"/>
  <c r="CN365" i="1"/>
  <c r="CO365" i="1"/>
  <c r="CP365" i="1"/>
  <c r="CQ365" i="1"/>
  <c r="G366" i="1"/>
  <c r="U366" i="1"/>
  <c r="W366" i="1"/>
  <c r="AE366" i="1"/>
  <c r="AK366" i="1"/>
  <c r="AQ366" i="1"/>
  <c r="AU366" i="1"/>
  <c r="AV366" i="1"/>
  <c r="AW366" i="1"/>
  <c r="AX366" i="1"/>
  <c r="AY366" i="1"/>
  <c r="AZ366" i="1"/>
  <c r="BA366" i="1"/>
  <c r="BC366" i="1"/>
  <c r="BD366" i="1"/>
  <c r="BE366" i="1"/>
  <c r="BF366" i="1"/>
  <c r="BG366" i="1"/>
  <c r="BH366" i="1"/>
  <c r="BI366" i="1"/>
  <c r="BJ366" i="1"/>
  <c r="BM366" i="1"/>
  <c r="CA366" i="1"/>
  <c r="CN366" i="1"/>
  <c r="CO366" i="1"/>
  <c r="CP366" i="1"/>
  <c r="CQ366" i="1"/>
  <c r="G1547" i="1"/>
  <c r="U1547" i="1"/>
  <c r="W1547" i="1"/>
  <c r="AE1547" i="1"/>
  <c r="AK1547" i="1"/>
  <c r="AQ1547" i="1"/>
  <c r="AU1547" i="1"/>
  <c r="AV1547" i="1"/>
  <c r="AW1547" i="1"/>
  <c r="AX1547" i="1"/>
  <c r="AY1547" i="1"/>
  <c r="AZ1547" i="1"/>
  <c r="BA1547" i="1"/>
  <c r="BC1547" i="1"/>
  <c r="BD1547" i="1"/>
  <c r="BE1547" i="1"/>
  <c r="BF1547" i="1"/>
  <c r="BG1547" i="1"/>
  <c r="BH1547" i="1"/>
  <c r="BI1547" i="1"/>
  <c r="BJ1547" i="1"/>
  <c r="BM1547" i="1"/>
  <c r="CA1547" i="1"/>
  <c r="CN1547" i="1"/>
  <c r="CO1547" i="1"/>
  <c r="CP1547" i="1"/>
  <c r="CQ1547" i="1"/>
  <c r="G31" i="1"/>
  <c r="U31" i="1"/>
  <c r="W31" i="1"/>
  <c r="AE31" i="1"/>
  <c r="AK31" i="1"/>
  <c r="AQ31" i="1"/>
  <c r="AU31" i="1"/>
  <c r="AV31" i="1"/>
  <c r="AW31" i="1"/>
  <c r="AX31" i="1"/>
  <c r="AY31" i="1"/>
  <c r="AZ31" i="1"/>
  <c r="BA31" i="1"/>
  <c r="BC31" i="1"/>
  <c r="BD31" i="1"/>
  <c r="BE31" i="1"/>
  <c r="BF31" i="1"/>
  <c r="BG31" i="1"/>
  <c r="BH31" i="1"/>
  <c r="BI31" i="1"/>
  <c r="BJ31" i="1"/>
  <c r="BM31" i="1"/>
  <c r="CA31" i="1"/>
  <c r="CN31" i="1"/>
  <c r="CO31" i="1"/>
  <c r="CP31" i="1"/>
  <c r="CQ31" i="1"/>
  <c r="G574" i="1"/>
  <c r="U574" i="1"/>
  <c r="W574" i="1"/>
  <c r="AE574" i="1"/>
  <c r="AK574" i="1"/>
  <c r="AQ574" i="1"/>
  <c r="AU574" i="1"/>
  <c r="AV574" i="1"/>
  <c r="AW574" i="1"/>
  <c r="AX574" i="1"/>
  <c r="AY574" i="1"/>
  <c r="AZ574" i="1"/>
  <c r="BA574" i="1"/>
  <c r="BC574" i="1"/>
  <c r="BD574" i="1"/>
  <c r="BE574" i="1"/>
  <c r="BF574" i="1"/>
  <c r="BG574" i="1"/>
  <c r="BH574" i="1"/>
  <c r="BI574" i="1"/>
  <c r="BJ574" i="1"/>
  <c r="BM574" i="1"/>
  <c r="CA574" i="1"/>
  <c r="CN574" i="1"/>
  <c r="CO574" i="1"/>
  <c r="CP574" i="1"/>
  <c r="CQ574" i="1"/>
  <c r="G1327" i="1"/>
  <c r="U1327" i="1"/>
  <c r="W1327" i="1"/>
  <c r="AE1327" i="1"/>
  <c r="AK1327" i="1"/>
  <c r="AQ1327" i="1"/>
  <c r="AU1327" i="1"/>
  <c r="AV1327" i="1"/>
  <c r="AW1327" i="1"/>
  <c r="AX1327" i="1"/>
  <c r="AY1327" i="1"/>
  <c r="AZ1327" i="1"/>
  <c r="BA1327" i="1"/>
  <c r="BC1327" i="1"/>
  <c r="BD1327" i="1"/>
  <c r="BE1327" i="1"/>
  <c r="BF1327" i="1"/>
  <c r="BG1327" i="1"/>
  <c r="BH1327" i="1"/>
  <c r="BI1327" i="1"/>
  <c r="BJ1327" i="1"/>
  <c r="BM1327" i="1"/>
  <c r="CA1327" i="1"/>
  <c r="CN1327" i="1"/>
  <c r="CO1327" i="1"/>
  <c r="CP1327" i="1"/>
  <c r="CQ1327" i="1"/>
  <c r="G1682" i="1"/>
  <c r="U1682" i="1"/>
  <c r="W1682" i="1"/>
  <c r="AE1682" i="1"/>
  <c r="AK1682" i="1"/>
  <c r="AQ1682" i="1"/>
  <c r="AU1682" i="1"/>
  <c r="AV1682" i="1"/>
  <c r="AW1682" i="1"/>
  <c r="AX1682" i="1"/>
  <c r="AY1682" i="1"/>
  <c r="AZ1682" i="1"/>
  <c r="BA1682" i="1"/>
  <c r="BC1682" i="1"/>
  <c r="BD1682" i="1"/>
  <c r="BE1682" i="1"/>
  <c r="BF1682" i="1"/>
  <c r="BG1682" i="1"/>
  <c r="BH1682" i="1"/>
  <c r="BI1682" i="1"/>
  <c r="BJ1682" i="1"/>
  <c r="BM1682" i="1"/>
  <c r="CA1682" i="1"/>
  <c r="CN1682" i="1"/>
  <c r="CO1682" i="1"/>
  <c r="CP1682" i="1"/>
  <c r="CQ1682" i="1"/>
  <c r="G575" i="1"/>
  <c r="U575" i="1"/>
  <c r="W575" i="1"/>
  <c r="AE575" i="1"/>
  <c r="AK575" i="1"/>
  <c r="AQ575" i="1"/>
  <c r="AU575" i="1"/>
  <c r="AV575" i="1"/>
  <c r="AW575" i="1"/>
  <c r="AX575" i="1"/>
  <c r="AY575" i="1"/>
  <c r="AZ575" i="1"/>
  <c r="BA575" i="1"/>
  <c r="BC575" i="1"/>
  <c r="BD575" i="1"/>
  <c r="BE575" i="1"/>
  <c r="BF575" i="1"/>
  <c r="BG575" i="1"/>
  <c r="BH575" i="1"/>
  <c r="BI575" i="1"/>
  <c r="BJ575" i="1"/>
  <c r="BM575" i="1"/>
  <c r="CA575" i="1"/>
  <c r="CN575" i="1"/>
  <c r="CO575" i="1"/>
  <c r="CP575" i="1"/>
  <c r="CQ575" i="1"/>
  <c r="G576" i="1"/>
  <c r="U576" i="1"/>
  <c r="W576" i="1"/>
  <c r="AE576" i="1"/>
  <c r="AK576" i="1"/>
  <c r="AQ576" i="1"/>
  <c r="AU576" i="1"/>
  <c r="AV576" i="1"/>
  <c r="AW576" i="1"/>
  <c r="AX576" i="1"/>
  <c r="AY576" i="1"/>
  <c r="AZ576" i="1"/>
  <c r="BA576" i="1"/>
  <c r="BC576" i="1"/>
  <c r="BD576" i="1"/>
  <c r="BE576" i="1"/>
  <c r="BF576" i="1"/>
  <c r="BG576" i="1"/>
  <c r="BH576" i="1"/>
  <c r="BI576" i="1"/>
  <c r="BJ576" i="1"/>
  <c r="BM576" i="1"/>
  <c r="CA576" i="1"/>
  <c r="CN576" i="1"/>
  <c r="CO576" i="1"/>
  <c r="CP576" i="1"/>
  <c r="CQ576" i="1"/>
  <c r="G577" i="1"/>
  <c r="U577" i="1"/>
  <c r="W577" i="1"/>
  <c r="AE577" i="1"/>
  <c r="AK577" i="1"/>
  <c r="AQ577" i="1"/>
  <c r="AU577" i="1"/>
  <c r="AV577" i="1"/>
  <c r="AW577" i="1"/>
  <c r="AX577" i="1"/>
  <c r="AY577" i="1"/>
  <c r="AZ577" i="1"/>
  <c r="BA577" i="1"/>
  <c r="BC577" i="1"/>
  <c r="BD577" i="1"/>
  <c r="BE577" i="1"/>
  <c r="BF577" i="1"/>
  <c r="BG577" i="1"/>
  <c r="BH577" i="1"/>
  <c r="BI577" i="1"/>
  <c r="BJ577" i="1"/>
  <c r="BM577" i="1"/>
  <c r="CA577" i="1"/>
  <c r="CN577" i="1"/>
  <c r="CO577" i="1"/>
  <c r="CP577" i="1"/>
  <c r="CQ577" i="1"/>
  <c r="G1683" i="1"/>
  <c r="U1683" i="1"/>
  <c r="W1683" i="1"/>
  <c r="AE1683" i="1"/>
  <c r="AK1683" i="1"/>
  <c r="AQ1683" i="1"/>
  <c r="AU1683" i="1"/>
  <c r="AV1683" i="1"/>
  <c r="AW1683" i="1"/>
  <c r="AX1683" i="1"/>
  <c r="AY1683" i="1"/>
  <c r="AZ1683" i="1"/>
  <c r="BA1683" i="1"/>
  <c r="BC1683" i="1"/>
  <c r="BD1683" i="1"/>
  <c r="BE1683" i="1"/>
  <c r="BF1683" i="1"/>
  <c r="BG1683" i="1"/>
  <c r="BH1683" i="1"/>
  <c r="BI1683" i="1"/>
  <c r="BJ1683" i="1"/>
  <c r="BM1683" i="1"/>
  <c r="CA1683" i="1"/>
  <c r="CN1683" i="1"/>
  <c r="CO1683" i="1"/>
  <c r="CP1683" i="1"/>
  <c r="CQ1683" i="1"/>
  <c r="G578" i="1"/>
  <c r="U578" i="1"/>
  <c r="W578" i="1"/>
  <c r="AE578" i="1"/>
  <c r="AK578" i="1"/>
  <c r="AQ578" i="1"/>
  <c r="AU578" i="1"/>
  <c r="AV578" i="1"/>
  <c r="AW578" i="1"/>
  <c r="AX578" i="1"/>
  <c r="AY578" i="1"/>
  <c r="AZ578" i="1"/>
  <c r="BA578" i="1"/>
  <c r="BC578" i="1"/>
  <c r="BD578" i="1"/>
  <c r="BE578" i="1"/>
  <c r="BF578" i="1"/>
  <c r="BG578" i="1"/>
  <c r="BH578" i="1"/>
  <c r="BI578" i="1"/>
  <c r="BJ578" i="1"/>
  <c r="BM578" i="1"/>
  <c r="CA578" i="1"/>
  <c r="CN578" i="1"/>
  <c r="CO578" i="1"/>
  <c r="CP578" i="1"/>
  <c r="CQ578" i="1"/>
  <c r="G32" i="1"/>
  <c r="U32" i="1"/>
  <c r="W32" i="1"/>
  <c r="AE32" i="1"/>
  <c r="AK32" i="1"/>
  <c r="AQ32" i="1"/>
  <c r="AU32" i="1"/>
  <c r="AV32" i="1"/>
  <c r="AW32" i="1"/>
  <c r="AX32" i="1"/>
  <c r="AY32" i="1"/>
  <c r="AZ32" i="1"/>
  <c r="BA32" i="1"/>
  <c r="BC32" i="1"/>
  <c r="BD32" i="1"/>
  <c r="BE32" i="1"/>
  <c r="BF32" i="1"/>
  <c r="BG32" i="1"/>
  <c r="BH32" i="1"/>
  <c r="BI32" i="1"/>
  <c r="BJ32" i="1"/>
  <c r="BM32" i="1"/>
  <c r="CA32" i="1"/>
  <c r="CN32" i="1"/>
  <c r="CO32" i="1"/>
  <c r="CP32" i="1"/>
  <c r="CQ32" i="1"/>
  <c r="G1684" i="1"/>
  <c r="U1684" i="1"/>
  <c r="W1684" i="1"/>
  <c r="AE1684" i="1"/>
  <c r="AK1684" i="1"/>
  <c r="AQ1684" i="1"/>
  <c r="AU1684" i="1"/>
  <c r="AV1684" i="1"/>
  <c r="AW1684" i="1"/>
  <c r="AX1684" i="1"/>
  <c r="AY1684" i="1"/>
  <c r="AZ1684" i="1"/>
  <c r="BA1684" i="1"/>
  <c r="BC1684" i="1"/>
  <c r="BD1684" i="1"/>
  <c r="BE1684" i="1"/>
  <c r="BF1684" i="1"/>
  <c r="BG1684" i="1"/>
  <c r="BH1684" i="1"/>
  <c r="BI1684" i="1"/>
  <c r="BJ1684" i="1"/>
  <c r="BM1684" i="1"/>
  <c r="CA1684" i="1"/>
  <c r="CN1684" i="1"/>
  <c r="CO1684" i="1"/>
  <c r="CP1684" i="1"/>
  <c r="CQ1684" i="1"/>
  <c r="G579" i="1"/>
  <c r="U579" i="1"/>
  <c r="W579" i="1"/>
  <c r="AE579" i="1"/>
  <c r="AK579" i="1"/>
  <c r="AQ579" i="1"/>
  <c r="AU579" i="1"/>
  <c r="AV579" i="1"/>
  <c r="AW579" i="1"/>
  <c r="AX579" i="1"/>
  <c r="AY579" i="1"/>
  <c r="AZ579" i="1"/>
  <c r="BA579" i="1"/>
  <c r="BC579" i="1"/>
  <c r="BD579" i="1"/>
  <c r="BE579" i="1"/>
  <c r="BF579" i="1"/>
  <c r="BG579" i="1"/>
  <c r="BH579" i="1"/>
  <c r="BI579" i="1"/>
  <c r="BJ579" i="1"/>
  <c r="BM579" i="1"/>
  <c r="CA579" i="1"/>
  <c r="CN579" i="1"/>
  <c r="CO579" i="1"/>
  <c r="CP579" i="1"/>
  <c r="CQ579" i="1"/>
  <c r="G1685" i="1"/>
  <c r="U1685" i="1"/>
  <c r="W1685" i="1"/>
  <c r="AE1685" i="1"/>
  <c r="AK1685" i="1"/>
  <c r="AQ1685" i="1"/>
  <c r="AU1685" i="1"/>
  <c r="AV1685" i="1"/>
  <c r="AW1685" i="1"/>
  <c r="AX1685" i="1"/>
  <c r="AY1685" i="1"/>
  <c r="AZ1685" i="1"/>
  <c r="BA1685" i="1"/>
  <c r="BC1685" i="1"/>
  <c r="BD1685" i="1"/>
  <c r="BE1685" i="1"/>
  <c r="BF1685" i="1"/>
  <c r="BG1685" i="1"/>
  <c r="BH1685" i="1"/>
  <c r="BI1685" i="1"/>
  <c r="BJ1685" i="1"/>
  <c r="BM1685" i="1"/>
  <c r="CA1685" i="1"/>
  <c r="CN1685" i="1"/>
  <c r="CO1685" i="1"/>
  <c r="CP1685" i="1"/>
  <c r="CQ1685" i="1"/>
  <c r="G580" i="1"/>
  <c r="U580" i="1"/>
  <c r="W580" i="1"/>
  <c r="AE580" i="1"/>
  <c r="AK580" i="1"/>
  <c r="AQ580" i="1"/>
  <c r="AU580" i="1"/>
  <c r="AV580" i="1"/>
  <c r="AW580" i="1"/>
  <c r="AX580" i="1"/>
  <c r="AY580" i="1"/>
  <c r="AZ580" i="1"/>
  <c r="BA580" i="1"/>
  <c r="BC580" i="1"/>
  <c r="BD580" i="1"/>
  <c r="BE580" i="1"/>
  <c r="BF580" i="1"/>
  <c r="BG580" i="1"/>
  <c r="BH580" i="1"/>
  <c r="BI580" i="1"/>
  <c r="BJ580" i="1"/>
  <c r="BM580" i="1"/>
  <c r="CA580" i="1"/>
  <c r="CN580" i="1"/>
  <c r="CO580" i="1"/>
  <c r="CP580" i="1"/>
  <c r="CQ580" i="1"/>
  <c r="G581" i="1"/>
  <c r="U581" i="1"/>
  <c r="W581" i="1"/>
  <c r="AE581" i="1"/>
  <c r="AK581" i="1"/>
  <c r="AQ581" i="1"/>
  <c r="AU581" i="1"/>
  <c r="AV581" i="1"/>
  <c r="AW581" i="1"/>
  <c r="AX581" i="1"/>
  <c r="AY581" i="1"/>
  <c r="AZ581" i="1"/>
  <c r="BA581" i="1"/>
  <c r="BC581" i="1"/>
  <c r="BD581" i="1"/>
  <c r="BE581" i="1"/>
  <c r="BF581" i="1"/>
  <c r="BG581" i="1"/>
  <c r="BH581" i="1"/>
  <c r="BI581" i="1"/>
  <c r="BJ581" i="1"/>
  <c r="BM581" i="1"/>
  <c r="CA581" i="1"/>
  <c r="CN581" i="1"/>
  <c r="CO581" i="1"/>
  <c r="CP581" i="1"/>
  <c r="CQ581" i="1"/>
  <c r="G1328" i="1"/>
  <c r="U1328" i="1"/>
  <c r="W1328" i="1"/>
  <c r="AE1328" i="1"/>
  <c r="AK1328" i="1"/>
  <c r="AQ1328" i="1"/>
  <c r="AU1328" i="1"/>
  <c r="AV1328" i="1"/>
  <c r="AW1328" i="1"/>
  <c r="AX1328" i="1"/>
  <c r="AY1328" i="1"/>
  <c r="AZ1328" i="1"/>
  <c r="BA1328" i="1"/>
  <c r="BC1328" i="1"/>
  <c r="BD1328" i="1"/>
  <c r="BE1328" i="1"/>
  <c r="BF1328" i="1"/>
  <c r="BG1328" i="1"/>
  <c r="BH1328" i="1"/>
  <c r="BI1328" i="1"/>
  <c r="BJ1328" i="1"/>
  <c r="BM1328" i="1"/>
  <c r="CA1328" i="1"/>
  <c r="CN1328" i="1"/>
  <c r="CO1328" i="1"/>
  <c r="CP1328" i="1"/>
  <c r="CQ1328" i="1"/>
  <c r="G1686" i="1"/>
  <c r="U1686" i="1"/>
  <c r="W1686" i="1"/>
  <c r="AE1686" i="1"/>
  <c r="AK1686" i="1"/>
  <c r="AQ1686" i="1"/>
  <c r="AU1686" i="1"/>
  <c r="AV1686" i="1"/>
  <c r="AW1686" i="1"/>
  <c r="AX1686" i="1"/>
  <c r="AY1686" i="1"/>
  <c r="AZ1686" i="1"/>
  <c r="BA1686" i="1"/>
  <c r="BC1686" i="1"/>
  <c r="BD1686" i="1"/>
  <c r="BE1686" i="1"/>
  <c r="BF1686" i="1"/>
  <c r="BG1686" i="1"/>
  <c r="BH1686" i="1"/>
  <c r="BI1686" i="1"/>
  <c r="BJ1686" i="1"/>
  <c r="BM1686" i="1"/>
  <c r="CA1686" i="1"/>
  <c r="CN1686" i="1"/>
  <c r="CO1686" i="1"/>
  <c r="CP1686" i="1"/>
  <c r="CQ1686" i="1"/>
  <c r="G1687" i="1"/>
  <c r="U1687" i="1"/>
  <c r="W1687" i="1"/>
  <c r="AE1687" i="1"/>
  <c r="AK1687" i="1"/>
  <c r="AQ1687" i="1"/>
  <c r="AU1687" i="1"/>
  <c r="AV1687" i="1"/>
  <c r="AW1687" i="1"/>
  <c r="AX1687" i="1"/>
  <c r="AY1687" i="1"/>
  <c r="AZ1687" i="1"/>
  <c r="BA1687" i="1"/>
  <c r="BC1687" i="1"/>
  <c r="BD1687" i="1"/>
  <c r="BE1687" i="1"/>
  <c r="BF1687" i="1"/>
  <c r="BG1687" i="1"/>
  <c r="BH1687" i="1"/>
  <c r="BI1687" i="1"/>
  <c r="BJ1687" i="1"/>
  <c r="BM1687" i="1"/>
  <c r="CA1687" i="1"/>
  <c r="CN1687" i="1"/>
  <c r="CO1687" i="1"/>
  <c r="CP1687" i="1"/>
  <c r="CQ1687" i="1"/>
  <c r="G1329" i="1"/>
  <c r="U1329" i="1"/>
  <c r="W1329" i="1"/>
  <c r="AE1329" i="1"/>
  <c r="AK1329" i="1"/>
  <c r="AQ1329" i="1"/>
  <c r="AU1329" i="1"/>
  <c r="AV1329" i="1"/>
  <c r="AW1329" i="1"/>
  <c r="AX1329" i="1"/>
  <c r="AY1329" i="1"/>
  <c r="AZ1329" i="1"/>
  <c r="BA1329" i="1"/>
  <c r="BC1329" i="1"/>
  <c r="BD1329" i="1"/>
  <c r="BE1329" i="1"/>
  <c r="BF1329" i="1"/>
  <c r="BG1329" i="1"/>
  <c r="BH1329" i="1"/>
  <c r="BI1329" i="1"/>
  <c r="BJ1329" i="1"/>
  <c r="BM1329" i="1"/>
  <c r="CA1329" i="1"/>
  <c r="CN1329" i="1"/>
  <c r="CO1329" i="1"/>
  <c r="CP1329" i="1"/>
  <c r="CQ1329" i="1"/>
  <c r="G1688" i="1"/>
  <c r="U1688" i="1"/>
  <c r="W1688" i="1"/>
  <c r="AE1688" i="1"/>
  <c r="AK1688" i="1"/>
  <c r="AQ1688" i="1"/>
  <c r="AU1688" i="1"/>
  <c r="AV1688" i="1"/>
  <c r="AW1688" i="1"/>
  <c r="AX1688" i="1"/>
  <c r="AY1688" i="1"/>
  <c r="AZ1688" i="1"/>
  <c r="BA1688" i="1"/>
  <c r="BC1688" i="1"/>
  <c r="BD1688" i="1"/>
  <c r="BE1688" i="1"/>
  <c r="BF1688" i="1"/>
  <c r="BG1688" i="1"/>
  <c r="BH1688" i="1"/>
  <c r="BI1688" i="1"/>
  <c r="BJ1688" i="1"/>
  <c r="BM1688" i="1"/>
  <c r="CA1688" i="1"/>
  <c r="CN1688" i="1"/>
  <c r="CO1688" i="1"/>
  <c r="CP1688" i="1"/>
  <c r="CQ1688" i="1"/>
  <c r="G582" i="1"/>
  <c r="U582" i="1"/>
  <c r="W582" i="1"/>
  <c r="AE582" i="1"/>
  <c r="AK582" i="1"/>
  <c r="AQ582" i="1"/>
  <c r="AU582" i="1"/>
  <c r="AV582" i="1"/>
  <c r="AW582" i="1"/>
  <c r="AX582" i="1"/>
  <c r="AY582" i="1"/>
  <c r="AZ582" i="1"/>
  <c r="BA582" i="1"/>
  <c r="BC582" i="1"/>
  <c r="BD582" i="1"/>
  <c r="BE582" i="1"/>
  <c r="BF582" i="1"/>
  <c r="BG582" i="1"/>
  <c r="BH582" i="1"/>
  <c r="BI582" i="1"/>
  <c r="BJ582" i="1"/>
  <c r="BM582" i="1"/>
  <c r="CA582" i="1"/>
  <c r="CN582" i="1"/>
  <c r="CO582" i="1"/>
  <c r="CP582" i="1"/>
  <c r="CQ582" i="1"/>
  <c r="G33" i="1"/>
  <c r="U33" i="1"/>
  <c r="W33" i="1"/>
  <c r="AE33" i="1"/>
  <c r="AK33" i="1"/>
  <c r="AQ33" i="1"/>
  <c r="AU33" i="1"/>
  <c r="AV33" i="1"/>
  <c r="AW33" i="1"/>
  <c r="AX33" i="1"/>
  <c r="AY33" i="1"/>
  <c r="AZ33" i="1"/>
  <c r="BA33" i="1"/>
  <c r="BC33" i="1"/>
  <c r="BD33" i="1"/>
  <c r="BE33" i="1"/>
  <c r="BF33" i="1"/>
  <c r="BG33" i="1"/>
  <c r="BH33" i="1"/>
  <c r="BI33" i="1"/>
  <c r="BJ33" i="1"/>
  <c r="BM33" i="1"/>
  <c r="CA33" i="1"/>
  <c r="CN33" i="1"/>
  <c r="CO33" i="1"/>
  <c r="CP33" i="1"/>
  <c r="CQ33" i="1"/>
  <c r="G583" i="1"/>
  <c r="U583" i="1"/>
  <c r="W583" i="1"/>
  <c r="AE583" i="1"/>
  <c r="AK583" i="1"/>
  <c r="AQ583" i="1"/>
  <c r="AU583" i="1"/>
  <c r="AV583" i="1"/>
  <c r="AW583" i="1"/>
  <c r="AX583" i="1"/>
  <c r="AY583" i="1"/>
  <c r="AZ583" i="1"/>
  <c r="BA583" i="1"/>
  <c r="BC583" i="1"/>
  <c r="BD583" i="1"/>
  <c r="BE583" i="1"/>
  <c r="BF583" i="1"/>
  <c r="BG583" i="1"/>
  <c r="BH583" i="1"/>
  <c r="BI583" i="1"/>
  <c r="BJ583" i="1"/>
  <c r="BM583" i="1"/>
  <c r="CA583" i="1"/>
  <c r="CN583" i="1"/>
  <c r="CO583" i="1"/>
  <c r="CP583" i="1"/>
  <c r="CQ583" i="1"/>
  <c r="G584" i="1"/>
  <c r="U584" i="1"/>
  <c r="W584" i="1"/>
  <c r="AE584" i="1"/>
  <c r="AK584" i="1"/>
  <c r="AQ584" i="1"/>
  <c r="AU584" i="1"/>
  <c r="AV584" i="1"/>
  <c r="AW584" i="1"/>
  <c r="AX584" i="1"/>
  <c r="AY584" i="1"/>
  <c r="AZ584" i="1"/>
  <c r="BA584" i="1"/>
  <c r="BC584" i="1"/>
  <c r="BD584" i="1"/>
  <c r="BE584" i="1"/>
  <c r="BF584" i="1"/>
  <c r="BG584" i="1"/>
  <c r="BH584" i="1"/>
  <c r="BI584" i="1"/>
  <c r="BJ584" i="1"/>
  <c r="BM584" i="1"/>
  <c r="CA584" i="1"/>
  <c r="CN584" i="1"/>
  <c r="CO584" i="1"/>
  <c r="CP584" i="1"/>
  <c r="CQ584" i="1"/>
  <c r="G585" i="1"/>
  <c r="U585" i="1"/>
  <c r="W585" i="1"/>
  <c r="AE585" i="1"/>
  <c r="AK585" i="1"/>
  <c r="AQ585" i="1"/>
  <c r="AU585" i="1"/>
  <c r="AV585" i="1"/>
  <c r="AW585" i="1"/>
  <c r="AX585" i="1"/>
  <c r="AY585" i="1"/>
  <c r="AZ585" i="1"/>
  <c r="BA585" i="1"/>
  <c r="BC585" i="1"/>
  <c r="BD585" i="1"/>
  <c r="BE585" i="1"/>
  <c r="BF585" i="1"/>
  <c r="BG585" i="1"/>
  <c r="BH585" i="1"/>
  <c r="BI585" i="1"/>
  <c r="BJ585" i="1"/>
  <c r="BM585" i="1"/>
  <c r="CA585" i="1"/>
  <c r="CN585" i="1"/>
  <c r="CO585" i="1"/>
  <c r="CP585" i="1"/>
  <c r="CQ585" i="1"/>
  <c r="G1689" i="1"/>
  <c r="U1689" i="1"/>
  <c r="W1689" i="1"/>
  <c r="AE1689" i="1"/>
  <c r="AK1689" i="1"/>
  <c r="AQ1689" i="1"/>
  <c r="AU1689" i="1"/>
  <c r="AV1689" i="1"/>
  <c r="AW1689" i="1"/>
  <c r="AX1689" i="1"/>
  <c r="AY1689" i="1"/>
  <c r="AZ1689" i="1"/>
  <c r="BA1689" i="1"/>
  <c r="BC1689" i="1"/>
  <c r="BD1689" i="1"/>
  <c r="BE1689" i="1"/>
  <c r="BF1689" i="1"/>
  <c r="BG1689" i="1"/>
  <c r="BH1689" i="1"/>
  <c r="BI1689" i="1"/>
  <c r="BJ1689" i="1"/>
  <c r="BM1689" i="1"/>
  <c r="CA1689" i="1"/>
  <c r="CN1689" i="1"/>
  <c r="CO1689" i="1"/>
  <c r="CP1689" i="1"/>
  <c r="CQ1689" i="1"/>
  <c r="G1548" i="1"/>
  <c r="U1548" i="1"/>
  <c r="W1548" i="1"/>
  <c r="AE1548" i="1"/>
  <c r="AK1548" i="1"/>
  <c r="AQ1548" i="1"/>
  <c r="AU1548" i="1"/>
  <c r="AV1548" i="1"/>
  <c r="AW1548" i="1"/>
  <c r="AX1548" i="1"/>
  <c r="AY1548" i="1"/>
  <c r="AZ1548" i="1"/>
  <c r="BA1548" i="1"/>
  <c r="BC1548" i="1"/>
  <c r="BD1548" i="1"/>
  <c r="BE1548" i="1"/>
  <c r="BF1548" i="1"/>
  <c r="BG1548" i="1"/>
  <c r="BH1548" i="1"/>
  <c r="BI1548" i="1"/>
  <c r="BJ1548" i="1"/>
  <c r="BM1548" i="1"/>
  <c r="CA1548" i="1"/>
  <c r="CN1548" i="1"/>
  <c r="CO1548" i="1"/>
  <c r="CP1548" i="1"/>
  <c r="CQ1548" i="1"/>
  <c r="G34" i="1"/>
  <c r="U34" i="1"/>
  <c r="W34" i="1"/>
  <c r="AE34" i="1"/>
  <c r="AK34" i="1"/>
  <c r="AQ34" i="1"/>
  <c r="AU34" i="1"/>
  <c r="AV34" i="1"/>
  <c r="AW34" i="1"/>
  <c r="AX34" i="1"/>
  <c r="AY34" i="1"/>
  <c r="AZ34" i="1"/>
  <c r="BA34" i="1"/>
  <c r="BC34" i="1"/>
  <c r="BD34" i="1"/>
  <c r="BE34" i="1"/>
  <c r="BF34" i="1"/>
  <c r="BG34" i="1"/>
  <c r="BH34" i="1"/>
  <c r="BI34" i="1"/>
  <c r="BJ34" i="1"/>
  <c r="BM34" i="1"/>
  <c r="CA34" i="1"/>
  <c r="CN34" i="1"/>
  <c r="CO34" i="1"/>
  <c r="CP34" i="1"/>
  <c r="CQ34" i="1"/>
  <c r="G35" i="1"/>
  <c r="U35" i="1"/>
  <c r="W35" i="1"/>
  <c r="AE35" i="1"/>
  <c r="AK35" i="1"/>
  <c r="AQ35" i="1"/>
  <c r="AU35" i="1"/>
  <c r="AV35" i="1"/>
  <c r="AW35" i="1"/>
  <c r="AX35" i="1"/>
  <c r="AY35" i="1"/>
  <c r="AZ35" i="1"/>
  <c r="BA35" i="1"/>
  <c r="BC35" i="1"/>
  <c r="BD35" i="1"/>
  <c r="BE35" i="1"/>
  <c r="BF35" i="1"/>
  <c r="BG35" i="1"/>
  <c r="BH35" i="1"/>
  <c r="BI35" i="1"/>
  <c r="BJ35" i="1"/>
  <c r="BM35" i="1"/>
  <c r="CA35" i="1"/>
  <c r="CN35" i="1"/>
  <c r="CO35" i="1"/>
  <c r="CP35" i="1"/>
  <c r="CQ35" i="1"/>
  <c r="G36" i="1"/>
  <c r="U36" i="1"/>
  <c r="W36" i="1"/>
  <c r="AE36" i="1"/>
  <c r="AK36" i="1"/>
  <c r="AQ36" i="1"/>
  <c r="AU36" i="1"/>
  <c r="AV36" i="1"/>
  <c r="AW36" i="1"/>
  <c r="AX36" i="1"/>
  <c r="AY36" i="1"/>
  <c r="AZ36" i="1"/>
  <c r="BA36" i="1"/>
  <c r="BC36" i="1"/>
  <c r="BD36" i="1"/>
  <c r="BE36" i="1"/>
  <c r="BF36" i="1"/>
  <c r="BG36" i="1"/>
  <c r="BH36" i="1"/>
  <c r="BI36" i="1"/>
  <c r="BJ36" i="1"/>
  <c r="BM36" i="1"/>
  <c r="CA36" i="1"/>
  <c r="CN36" i="1"/>
  <c r="CO36" i="1"/>
  <c r="CP36" i="1"/>
  <c r="CQ36" i="1"/>
  <c r="G37" i="1"/>
  <c r="U37" i="1"/>
  <c r="W37" i="1"/>
  <c r="AE37" i="1"/>
  <c r="AK37" i="1"/>
  <c r="AQ37" i="1"/>
  <c r="AU37" i="1"/>
  <c r="AV37" i="1"/>
  <c r="AW37" i="1"/>
  <c r="AX37" i="1"/>
  <c r="AY37" i="1"/>
  <c r="AZ37" i="1"/>
  <c r="BA37" i="1"/>
  <c r="BC37" i="1"/>
  <c r="BD37" i="1"/>
  <c r="BE37" i="1"/>
  <c r="BF37" i="1"/>
  <c r="BG37" i="1"/>
  <c r="BH37" i="1"/>
  <c r="BI37" i="1"/>
  <c r="BJ37" i="1"/>
  <c r="BM37" i="1"/>
  <c r="CA37" i="1"/>
  <c r="CN37" i="1"/>
  <c r="CO37" i="1"/>
  <c r="CP37" i="1"/>
  <c r="CQ37" i="1"/>
  <c r="G1690" i="1"/>
  <c r="U1690" i="1"/>
  <c r="W1690" i="1"/>
  <c r="AE1690" i="1"/>
  <c r="AK1690" i="1"/>
  <c r="AQ1690" i="1"/>
  <c r="AU1690" i="1"/>
  <c r="AV1690" i="1"/>
  <c r="AW1690" i="1"/>
  <c r="AX1690" i="1"/>
  <c r="AY1690" i="1"/>
  <c r="AZ1690" i="1"/>
  <c r="BA1690" i="1"/>
  <c r="BC1690" i="1"/>
  <c r="BD1690" i="1"/>
  <c r="BE1690" i="1"/>
  <c r="BF1690" i="1"/>
  <c r="BG1690" i="1"/>
  <c r="BH1690" i="1"/>
  <c r="BI1690" i="1"/>
  <c r="BJ1690" i="1"/>
  <c r="BM1690" i="1"/>
  <c r="CA1690" i="1"/>
  <c r="CN1690" i="1"/>
  <c r="CO1690" i="1"/>
  <c r="CP1690" i="1"/>
  <c r="CQ1690" i="1"/>
  <c r="G1691" i="1"/>
  <c r="U1691" i="1"/>
  <c r="W1691" i="1"/>
  <c r="AE1691" i="1"/>
  <c r="AK1691" i="1"/>
  <c r="AQ1691" i="1"/>
  <c r="AU1691" i="1"/>
  <c r="AV1691" i="1"/>
  <c r="AW1691" i="1"/>
  <c r="AX1691" i="1"/>
  <c r="AY1691" i="1"/>
  <c r="AZ1691" i="1"/>
  <c r="BA1691" i="1"/>
  <c r="BC1691" i="1"/>
  <c r="BD1691" i="1"/>
  <c r="BE1691" i="1"/>
  <c r="BF1691" i="1"/>
  <c r="BG1691" i="1"/>
  <c r="BH1691" i="1"/>
  <c r="BI1691" i="1"/>
  <c r="BJ1691" i="1"/>
  <c r="BM1691" i="1"/>
  <c r="CA1691" i="1"/>
  <c r="CN1691" i="1"/>
  <c r="CO1691" i="1"/>
  <c r="CP1691" i="1"/>
  <c r="CQ1691" i="1"/>
  <c r="G1330" i="1"/>
  <c r="U1330" i="1"/>
  <c r="W1330" i="1"/>
  <c r="AE1330" i="1"/>
  <c r="AK1330" i="1"/>
  <c r="AQ1330" i="1"/>
  <c r="AU1330" i="1"/>
  <c r="AV1330" i="1"/>
  <c r="AW1330" i="1"/>
  <c r="AX1330" i="1"/>
  <c r="AY1330" i="1"/>
  <c r="AZ1330" i="1"/>
  <c r="BA1330" i="1"/>
  <c r="BC1330" i="1"/>
  <c r="BD1330" i="1"/>
  <c r="BE1330" i="1"/>
  <c r="BF1330" i="1"/>
  <c r="BG1330" i="1"/>
  <c r="BH1330" i="1"/>
  <c r="BI1330" i="1"/>
  <c r="BJ1330" i="1"/>
  <c r="BM1330" i="1"/>
  <c r="CA1330" i="1"/>
  <c r="CN1330" i="1"/>
  <c r="CO1330" i="1"/>
  <c r="CP1330" i="1"/>
  <c r="CQ1330" i="1"/>
  <c r="G1692" i="1"/>
  <c r="U1692" i="1"/>
  <c r="W1692" i="1"/>
  <c r="AE1692" i="1"/>
  <c r="AK1692" i="1"/>
  <c r="AQ1692" i="1"/>
  <c r="AU1692" i="1"/>
  <c r="AV1692" i="1"/>
  <c r="AW1692" i="1"/>
  <c r="AX1692" i="1"/>
  <c r="AY1692" i="1"/>
  <c r="AZ1692" i="1"/>
  <c r="BA1692" i="1"/>
  <c r="BC1692" i="1"/>
  <c r="BD1692" i="1"/>
  <c r="BE1692" i="1"/>
  <c r="BF1692" i="1"/>
  <c r="BG1692" i="1"/>
  <c r="BH1692" i="1"/>
  <c r="BI1692" i="1"/>
  <c r="BJ1692" i="1"/>
  <c r="BM1692" i="1"/>
  <c r="CA1692" i="1"/>
  <c r="CN1692" i="1"/>
  <c r="CO1692" i="1"/>
  <c r="CP1692" i="1"/>
  <c r="CQ1692" i="1"/>
  <c r="G1693" i="1"/>
  <c r="U1693" i="1"/>
  <c r="W1693" i="1"/>
  <c r="AE1693" i="1"/>
  <c r="AK1693" i="1"/>
  <c r="AQ1693" i="1"/>
  <c r="AU1693" i="1"/>
  <c r="AV1693" i="1"/>
  <c r="AW1693" i="1"/>
  <c r="AX1693" i="1"/>
  <c r="AY1693" i="1"/>
  <c r="AZ1693" i="1"/>
  <c r="BA1693" i="1"/>
  <c r="BC1693" i="1"/>
  <c r="BD1693" i="1"/>
  <c r="BE1693" i="1"/>
  <c r="BF1693" i="1"/>
  <c r="BG1693" i="1"/>
  <c r="BH1693" i="1"/>
  <c r="BI1693" i="1"/>
  <c r="BJ1693" i="1"/>
  <c r="BM1693" i="1"/>
  <c r="CA1693" i="1"/>
  <c r="CN1693" i="1"/>
  <c r="CO1693" i="1"/>
  <c r="CP1693" i="1"/>
  <c r="CQ1693" i="1"/>
  <c r="G586" i="1"/>
  <c r="U586" i="1"/>
  <c r="W586" i="1"/>
  <c r="AE586" i="1"/>
  <c r="AK586" i="1"/>
  <c r="AQ586" i="1"/>
  <c r="AU586" i="1"/>
  <c r="AV586" i="1"/>
  <c r="AW586" i="1"/>
  <c r="AX586" i="1"/>
  <c r="AY586" i="1"/>
  <c r="AZ586" i="1"/>
  <c r="BA586" i="1"/>
  <c r="BC586" i="1"/>
  <c r="BD586" i="1"/>
  <c r="BE586" i="1"/>
  <c r="BF586" i="1"/>
  <c r="BG586" i="1"/>
  <c r="BH586" i="1"/>
  <c r="BI586" i="1"/>
  <c r="BJ586" i="1"/>
  <c r="BM586" i="1"/>
  <c r="CA586" i="1"/>
  <c r="CN586" i="1"/>
  <c r="CO586" i="1"/>
  <c r="CP586" i="1"/>
  <c r="CQ586" i="1"/>
  <c r="G587" i="1"/>
  <c r="U587" i="1"/>
  <c r="W587" i="1"/>
  <c r="AE587" i="1"/>
  <c r="AK587" i="1"/>
  <c r="AQ587" i="1"/>
  <c r="AU587" i="1"/>
  <c r="AV587" i="1"/>
  <c r="AW587" i="1"/>
  <c r="AX587" i="1"/>
  <c r="AY587" i="1"/>
  <c r="AZ587" i="1"/>
  <c r="BA587" i="1"/>
  <c r="BC587" i="1"/>
  <c r="BD587" i="1"/>
  <c r="BE587" i="1"/>
  <c r="BF587" i="1"/>
  <c r="BG587" i="1"/>
  <c r="BH587" i="1"/>
  <c r="BI587" i="1"/>
  <c r="BJ587" i="1"/>
  <c r="BM587" i="1"/>
  <c r="CA587" i="1"/>
  <c r="CN587" i="1"/>
  <c r="CO587" i="1"/>
  <c r="CP587" i="1"/>
  <c r="CQ587" i="1"/>
  <c r="G1694" i="1"/>
  <c r="U1694" i="1"/>
  <c r="W1694" i="1"/>
  <c r="AE1694" i="1"/>
  <c r="AK1694" i="1"/>
  <c r="AQ1694" i="1"/>
  <c r="AU1694" i="1"/>
  <c r="AV1694" i="1"/>
  <c r="AW1694" i="1"/>
  <c r="AX1694" i="1"/>
  <c r="AY1694" i="1"/>
  <c r="AZ1694" i="1"/>
  <c r="BA1694" i="1"/>
  <c r="BC1694" i="1"/>
  <c r="BD1694" i="1"/>
  <c r="BE1694" i="1"/>
  <c r="BF1694" i="1"/>
  <c r="BG1694" i="1"/>
  <c r="BH1694" i="1"/>
  <c r="BI1694" i="1"/>
  <c r="BJ1694" i="1"/>
  <c r="BM1694" i="1"/>
  <c r="CA1694" i="1"/>
  <c r="CN1694" i="1"/>
  <c r="CO1694" i="1"/>
  <c r="CP1694" i="1"/>
  <c r="CQ1694" i="1"/>
  <c r="G588" i="1"/>
  <c r="U588" i="1"/>
  <c r="W588" i="1"/>
  <c r="AE588" i="1"/>
  <c r="AK588" i="1"/>
  <c r="AQ588" i="1"/>
  <c r="AU588" i="1"/>
  <c r="AV588" i="1"/>
  <c r="AW588" i="1"/>
  <c r="AX588" i="1"/>
  <c r="AY588" i="1"/>
  <c r="AZ588" i="1"/>
  <c r="BA588" i="1"/>
  <c r="BC588" i="1"/>
  <c r="BD588" i="1"/>
  <c r="BE588" i="1"/>
  <c r="BF588" i="1"/>
  <c r="BG588" i="1"/>
  <c r="BH588" i="1"/>
  <c r="BI588" i="1"/>
  <c r="BJ588" i="1"/>
  <c r="BM588" i="1"/>
  <c r="CA588" i="1"/>
  <c r="CN588" i="1"/>
  <c r="CO588" i="1"/>
  <c r="CP588" i="1"/>
  <c r="CQ588" i="1"/>
  <c r="G1331" i="1"/>
  <c r="U1331" i="1"/>
  <c r="W1331" i="1"/>
  <c r="AE1331" i="1"/>
  <c r="AK1331" i="1"/>
  <c r="AQ1331" i="1"/>
  <c r="AU1331" i="1"/>
  <c r="AV1331" i="1"/>
  <c r="AW1331" i="1"/>
  <c r="AX1331" i="1"/>
  <c r="AY1331" i="1"/>
  <c r="AZ1331" i="1"/>
  <c r="BA1331" i="1"/>
  <c r="BC1331" i="1"/>
  <c r="BD1331" i="1"/>
  <c r="BE1331" i="1"/>
  <c r="BF1331" i="1"/>
  <c r="BG1331" i="1"/>
  <c r="BH1331" i="1"/>
  <c r="BI1331" i="1"/>
  <c r="BJ1331" i="1"/>
  <c r="BM1331" i="1"/>
  <c r="CA1331" i="1"/>
  <c r="CN1331" i="1"/>
  <c r="CO1331" i="1"/>
  <c r="CP1331" i="1"/>
  <c r="CQ1331" i="1"/>
  <c r="G589" i="1"/>
  <c r="U589" i="1"/>
  <c r="W589" i="1"/>
  <c r="AE589" i="1"/>
  <c r="AK589" i="1"/>
  <c r="AQ589" i="1"/>
  <c r="AU589" i="1"/>
  <c r="AV589" i="1"/>
  <c r="AW589" i="1"/>
  <c r="AX589" i="1"/>
  <c r="AY589" i="1"/>
  <c r="AZ589" i="1"/>
  <c r="BA589" i="1"/>
  <c r="BC589" i="1"/>
  <c r="BD589" i="1"/>
  <c r="BE589" i="1"/>
  <c r="BF589" i="1"/>
  <c r="BG589" i="1"/>
  <c r="BH589" i="1"/>
  <c r="BI589" i="1"/>
  <c r="BJ589" i="1"/>
  <c r="BM589" i="1"/>
  <c r="CA589" i="1"/>
  <c r="CN589" i="1"/>
  <c r="CO589" i="1"/>
  <c r="CP589" i="1"/>
  <c r="CQ589" i="1"/>
  <c r="G38" i="1"/>
  <c r="U38" i="1"/>
  <c r="W38" i="1"/>
  <c r="AE38" i="1"/>
  <c r="AK38" i="1"/>
  <c r="AQ38" i="1"/>
  <c r="AU38" i="1"/>
  <c r="AV38" i="1"/>
  <c r="AW38" i="1"/>
  <c r="AX38" i="1"/>
  <c r="AY38" i="1"/>
  <c r="AZ38" i="1"/>
  <c r="BA38" i="1"/>
  <c r="BC38" i="1"/>
  <c r="BD38" i="1"/>
  <c r="BE38" i="1"/>
  <c r="BF38" i="1"/>
  <c r="BG38" i="1"/>
  <c r="BH38" i="1"/>
  <c r="BI38" i="1"/>
  <c r="BJ38" i="1"/>
  <c r="BM38" i="1"/>
  <c r="CA38" i="1"/>
  <c r="CN38" i="1"/>
  <c r="CO38" i="1"/>
  <c r="CP38" i="1"/>
  <c r="CQ38" i="1"/>
  <c r="G590" i="1"/>
  <c r="U590" i="1"/>
  <c r="W590" i="1"/>
  <c r="AE590" i="1"/>
  <c r="AK590" i="1"/>
  <c r="AQ590" i="1"/>
  <c r="AU590" i="1"/>
  <c r="AV590" i="1"/>
  <c r="AW590" i="1"/>
  <c r="AX590" i="1"/>
  <c r="AY590" i="1"/>
  <c r="AZ590" i="1"/>
  <c r="BA590" i="1"/>
  <c r="BC590" i="1"/>
  <c r="BD590" i="1"/>
  <c r="BE590" i="1"/>
  <c r="BF590" i="1"/>
  <c r="BG590" i="1"/>
  <c r="BH590" i="1"/>
  <c r="BI590" i="1"/>
  <c r="BJ590" i="1"/>
  <c r="BM590" i="1"/>
  <c r="CA590" i="1"/>
  <c r="CN590" i="1"/>
  <c r="CO590" i="1"/>
  <c r="CP590" i="1"/>
  <c r="CQ590" i="1"/>
  <c r="G1695" i="1"/>
  <c r="U1695" i="1"/>
  <c r="W1695" i="1"/>
  <c r="AE1695" i="1"/>
  <c r="AK1695" i="1"/>
  <c r="AQ1695" i="1"/>
  <c r="AU1695" i="1"/>
  <c r="AV1695" i="1"/>
  <c r="AW1695" i="1"/>
  <c r="AX1695" i="1"/>
  <c r="AY1695" i="1"/>
  <c r="AZ1695" i="1"/>
  <c r="BA1695" i="1"/>
  <c r="BC1695" i="1"/>
  <c r="BD1695" i="1"/>
  <c r="BE1695" i="1"/>
  <c r="BF1695" i="1"/>
  <c r="BG1695" i="1"/>
  <c r="BH1695" i="1"/>
  <c r="BI1695" i="1"/>
  <c r="BJ1695" i="1"/>
  <c r="BM1695" i="1"/>
  <c r="CA1695" i="1"/>
  <c r="CN1695" i="1"/>
  <c r="CO1695" i="1"/>
  <c r="CP1695" i="1"/>
  <c r="CQ1695" i="1"/>
  <c r="G1696" i="1"/>
  <c r="U1696" i="1"/>
  <c r="W1696" i="1"/>
  <c r="AE1696" i="1"/>
  <c r="AK1696" i="1"/>
  <c r="AQ1696" i="1"/>
  <c r="AU1696" i="1"/>
  <c r="AV1696" i="1"/>
  <c r="AW1696" i="1"/>
  <c r="AX1696" i="1"/>
  <c r="AY1696" i="1"/>
  <c r="AZ1696" i="1"/>
  <c r="BA1696" i="1"/>
  <c r="BC1696" i="1"/>
  <c r="BD1696" i="1"/>
  <c r="BE1696" i="1"/>
  <c r="BF1696" i="1"/>
  <c r="BG1696" i="1"/>
  <c r="BH1696" i="1"/>
  <c r="BI1696" i="1"/>
  <c r="BJ1696" i="1"/>
  <c r="BM1696" i="1"/>
  <c r="CA1696" i="1"/>
  <c r="CN1696" i="1"/>
  <c r="CO1696" i="1"/>
  <c r="CP1696" i="1"/>
  <c r="CQ1696" i="1"/>
  <c r="G1697" i="1"/>
  <c r="U1697" i="1"/>
  <c r="W1697" i="1"/>
  <c r="AE1697" i="1"/>
  <c r="AK1697" i="1"/>
  <c r="AQ1697" i="1"/>
  <c r="AU1697" i="1"/>
  <c r="AV1697" i="1"/>
  <c r="AW1697" i="1"/>
  <c r="AX1697" i="1"/>
  <c r="AY1697" i="1"/>
  <c r="AZ1697" i="1"/>
  <c r="BA1697" i="1"/>
  <c r="BC1697" i="1"/>
  <c r="BD1697" i="1"/>
  <c r="BE1697" i="1"/>
  <c r="BF1697" i="1"/>
  <c r="BG1697" i="1"/>
  <c r="BH1697" i="1"/>
  <c r="BI1697" i="1"/>
  <c r="BJ1697" i="1"/>
  <c r="BM1697" i="1"/>
  <c r="CA1697" i="1"/>
  <c r="CN1697" i="1"/>
  <c r="CO1697" i="1"/>
  <c r="CP1697" i="1"/>
  <c r="CQ1697" i="1"/>
  <c r="G39" i="1"/>
  <c r="U39" i="1"/>
  <c r="W39" i="1"/>
  <c r="AE39" i="1"/>
  <c r="AK39" i="1"/>
  <c r="AQ39" i="1"/>
  <c r="AU39" i="1"/>
  <c r="AV39" i="1"/>
  <c r="AW39" i="1"/>
  <c r="AX39" i="1"/>
  <c r="AY39" i="1"/>
  <c r="AZ39" i="1"/>
  <c r="BA39" i="1"/>
  <c r="BC39" i="1"/>
  <c r="BD39" i="1"/>
  <c r="BE39" i="1"/>
  <c r="BF39" i="1"/>
  <c r="BG39" i="1"/>
  <c r="BH39" i="1"/>
  <c r="BI39" i="1"/>
  <c r="BJ39" i="1"/>
  <c r="BM39" i="1"/>
  <c r="CA39" i="1"/>
  <c r="CN39" i="1"/>
  <c r="CO39" i="1"/>
  <c r="CP39" i="1"/>
  <c r="CQ39" i="1"/>
  <c r="G1698" i="1"/>
  <c r="U1698" i="1"/>
  <c r="W1698" i="1"/>
  <c r="AE1698" i="1"/>
  <c r="AK1698" i="1"/>
  <c r="AQ1698" i="1"/>
  <c r="AU1698" i="1"/>
  <c r="AV1698" i="1"/>
  <c r="AW1698" i="1"/>
  <c r="AX1698" i="1"/>
  <c r="AY1698" i="1"/>
  <c r="AZ1698" i="1"/>
  <c r="BA1698" i="1"/>
  <c r="BC1698" i="1"/>
  <c r="BD1698" i="1"/>
  <c r="BE1698" i="1"/>
  <c r="BF1698" i="1"/>
  <c r="BG1698" i="1"/>
  <c r="BH1698" i="1"/>
  <c r="BI1698" i="1"/>
  <c r="BJ1698" i="1"/>
  <c r="BM1698" i="1"/>
  <c r="CA1698" i="1"/>
  <c r="CN1698" i="1"/>
  <c r="CO1698" i="1"/>
  <c r="CP1698" i="1"/>
  <c r="CQ1698" i="1"/>
  <c r="G591" i="1"/>
  <c r="U591" i="1"/>
  <c r="W591" i="1"/>
  <c r="AE591" i="1"/>
  <c r="AK591" i="1"/>
  <c r="AQ591" i="1"/>
  <c r="AU591" i="1"/>
  <c r="AV591" i="1"/>
  <c r="AW591" i="1"/>
  <c r="AX591" i="1"/>
  <c r="AY591" i="1"/>
  <c r="AZ591" i="1"/>
  <c r="BA591" i="1"/>
  <c r="BC591" i="1"/>
  <c r="BD591" i="1"/>
  <c r="BE591" i="1"/>
  <c r="BF591" i="1"/>
  <c r="BG591" i="1"/>
  <c r="BH591" i="1"/>
  <c r="BI591" i="1"/>
  <c r="BJ591" i="1"/>
  <c r="BM591" i="1"/>
  <c r="CA591" i="1"/>
  <c r="CN591" i="1"/>
  <c r="CO591" i="1"/>
  <c r="CP591" i="1"/>
  <c r="CQ591" i="1"/>
  <c r="G1699" i="1"/>
  <c r="U1699" i="1"/>
  <c r="W1699" i="1"/>
  <c r="AE1699" i="1"/>
  <c r="AK1699" i="1"/>
  <c r="AQ1699" i="1"/>
  <c r="AU1699" i="1"/>
  <c r="AV1699" i="1"/>
  <c r="AW1699" i="1"/>
  <c r="AX1699" i="1"/>
  <c r="AY1699" i="1"/>
  <c r="AZ1699" i="1"/>
  <c r="BA1699" i="1"/>
  <c r="BC1699" i="1"/>
  <c r="BD1699" i="1"/>
  <c r="BE1699" i="1"/>
  <c r="BF1699" i="1"/>
  <c r="BG1699" i="1"/>
  <c r="BH1699" i="1"/>
  <c r="BI1699" i="1"/>
  <c r="BJ1699" i="1"/>
  <c r="BM1699" i="1"/>
  <c r="CA1699" i="1"/>
  <c r="CN1699" i="1"/>
  <c r="CO1699" i="1"/>
  <c r="CP1699" i="1"/>
  <c r="CQ1699" i="1"/>
  <c r="G1700" i="1"/>
  <c r="U1700" i="1"/>
  <c r="W1700" i="1"/>
  <c r="AE1700" i="1"/>
  <c r="AK1700" i="1"/>
  <c r="AQ1700" i="1"/>
  <c r="AU1700" i="1"/>
  <c r="AV1700" i="1"/>
  <c r="AW1700" i="1"/>
  <c r="AX1700" i="1"/>
  <c r="AY1700" i="1"/>
  <c r="AZ1700" i="1"/>
  <c r="BA1700" i="1"/>
  <c r="BC1700" i="1"/>
  <c r="BD1700" i="1"/>
  <c r="BE1700" i="1"/>
  <c r="BF1700" i="1"/>
  <c r="BG1700" i="1"/>
  <c r="BH1700" i="1"/>
  <c r="BI1700" i="1"/>
  <c r="BJ1700" i="1"/>
  <c r="BM1700" i="1"/>
  <c r="CA1700" i="1"/>
  <c r="CN1700" i="1"/>
  <c r="CO1700" i="1"/>
  <c r="CP1700" i="1"/>
  <c r="CQ1700" i="1"/>
  <c r="G1332" i="1"/>
  <c r="U1332" i="1"/>
  <c r="W1332" i="1"/>
  <c r="AE1332" i="1"/>
  <c r="AK1332" i="1"/>
  <c r="AQ1332" i="1"/>
  <c r="AU1332" i="1"/>
  <c r="AV1332" i="1"/>
  <c r="AW1332" i="1"/>
  <c r="AX1332" i="1"/>
  <c r="AY1332" i="1"/>
  <c r="AZ1332" i="1"/>
  <c r="BA1332" i="1"/>
  <c r="BC1332" i="1"/>
  <c r="BD1332" i="1"/>
  <c r="BE1332" i="1"/>
  <c r="BF1332" i="1"/>
  <c r="BG1332" i="1"/>
  <c r="BH1332" i="1"/>
  <c r="BI1332" i="1"/>
  <c r="BJ1332" i="1"/>
  <c r="BM1332" i="1"/>
  <c r="CA1332" i="1"/>
  <c r="CN1332" i="1"/>
  <c r="CO1332" i="1"/>
  <c r="CP1332" i="1"/>
  <c r="CQ1332" i="1"/>
  <c r="G1701" i="1"/>
  <c r="U1701" i="1"/>
  <c r="W1701" i="1"/>
  <c r="AE1701" i="1"/>
  <c r="AK1701" i="1"/>
  <c r="AQ1701" i="1"/>
  <c r="AU1701" i="1"/>
  <c r="AV1701" i="1"/>
  <c r="AW1701" i="1"/>
  <c r="AX1701" i="1"/>
  <c r="AY1701" i="1"/>
  <c r="AZ1701" i="1"/>
  <c r="BA1701" i="1"/>
  <c r="BC1701" i="1"/>
  <c r="BD1701" i="1"/>
  <c r="BE1701" i="1"/>
  <c r="BF1701" i="1"/>
  <c r="BG1701" i="1"/>
  <c r="BH1701" i="1"/>
  <c r="BI1701" i="1"/>
  <c r="BJ1701" i="1"/>
  <c r="BM1701" i="1"/>
  <c r="CA1701" i="1"/>
  <c r="CN1701" i="1"/>
  <c r="CO1701" i="1"/>
  <c r="CP1701" i="1"/>
  <c r="CQ1701" i="1"/>
  <c r="G592" i="1"/>
  <c r="U592" i="1"/>
  <c r="W592" i="1"/>
  <c r="AE592" i="1"/>
  <c r="AK592" i="1"/>
  <c r="AQ592" i="1"/>
  <c r="AU592" i="1"/>
  <c r="AV592" i="1"/>
  <c r="AW592" i="1"/>
  <c r="AX592" i="1"/>
  <c r="AY592" i="1"/>
  <c r="AZ592" i="1"/>
  <c r="BA592" i="1"/>
  <c r="BC592" i="1"/>
  <c r="BD592" i="1"/>
  <c r="BE592" i="1"/>
  <c r="BF592" i="1"/>
  <c r="BG592" i="1"/>
  <c r="BH592" i="1"/>
  <c r="BI592" i="1"/>
  <c r="BJ592" i="1"/>
  <c r="BM592" i="1"/>
  <c r="CA592" i="1"/>
  <c r="CN592" i="1"/>
  <c r="CO592" i="1"/>
  <c r="CP592" i="1"/>
  <c r="CQ592" i="1"/>
  <c r="G40" i="1"/>
  <c r="U40" i="1"/>
  <c r="W40" i="1"/>
  <c r="AE40" i="1"/>
  <c r="AK40" i="1"/>
  <c r="AQ40" i="1"/>
  <c r="AU40" i="1"/>
  <c r="AV40" i="1"/>
  <c r="AW40" i="1"/>
  <c r="AX40" i="1"/>
  <c r="AY40" i="1"/>
  <c r="AZ40" i="1"/>
  <c r="BA40" i="1"/>
  <c r="BC40" i="1"/>
  <c r="BD40" i="1"/>
  <c r="BE40" i="1"/>
  <c r="BF40" i="1"/>
  <c r="BG40" i="1"/>
  <c r="BH40" i="1"/>
  <c r="BI40" i="1"/>
  <c r="BJ40" i="1"/>
  <c r="BM40" i="1"/>
  <c r="CA40" i="1"/>
  <c r="CN40" i="1"/>
  <c r="CO40" i="1"/>
  <c r="CP40" i="1"/>
  <c r="CQ40" i="1"/>
  <c r="G593" i="1"/>
  <c r="U593" i="1"/>
  <c r="W593" i="1"/>
  <c r="AE593" i="1"/>
  <c r="AK593" i="1"/>
  <c r="AQ593" i="1"/>
  <c r="AU593" i="1"/>
  <c r="AV593" i="1"/>
  <c r="AW593" i="1"/>
  <c r="AX593" i="1"/>
  <c r="AY593" i="1"/>
  <c r="AZ593" i="1"/>
  <c r="BA593" i="1"/>
  <c r="BC593" i="1"/>
  <c r="BD593" i="1"/>
  <c r="BE593" i="1"/>
  <c r="BF593" i="1"/>
  <c r="BG593" i="1"/>
  <c r="BH593" i="1"/>
  <c r="BI593" i="1"/>
  <c r="BJ593" i="1"/>
  <c r="BM593" i="1"/>
  <c r="CA593" i="1"/>
  <c r="CN593" i="1"/>
  <c r="CO593" i="1"/>
  <c r="CP593" i="1"/>
  <c r="CQ593" i="1"/>
  <c r="G1702" i="1"/>
  <c r="U1702" i="1"/>
  <c r="W1702" i="1"/>
  <c r="AE1702" i="1"/>
  <c r="AK1702" i="1"/>
  <c r="AQ1702" i="1"/>
  <c r="AU1702" i="1"/>
  <c r="AV1702" i="1"/>
  <c r="AW1702" i="1"/>
  <c r="AX1702" i="1"/>
  <c r="AY1702" i="1"/>
  <c r="AZ1702" i="1"/>
  <c r="BA1702" i="1"/>
  <c r="BC1702" i="1"/>
  <c r="BD1702" i="1"/>
  <c r="BE1702" i="1"/>
  <c r="BF1702" i="1"/>
  <c r="BG1702" i="1"/>
  <c r="BH1702" i="1"/>
  <c r="BI1702" i="1"/>
  <c r="BJ1702" i="1"/>
  <c r="BM1702" i="1"/>
  <c r="CA1702" i="1"/>
  <c r="CN1702" i="1"/>
  <c r="CO1702" i="1"/>
  <c r="CP1702" i="1"/>
  <c r="CQ1702" i="1"/>
  <c r="G1703" i="1"/>
  <c r="U1703" i="1"/>
  <c r="W1703" i="1"/>
  <c r="AE1703" i="1"/>
  <c r="AK1703" i="1"/>
  <c r="AQ1703" i="1"/>
  <c r="AU1703" i="1"/>
  <c r="AV1703" i="1"/>
  <c r="AW1703" i="1"/>
  <c r="AX1703" i="1"/>
  <c r="AY1703" i="1"/>
  <c r="AZ1703" i="1"/>
  <c r="BA1703" i="1"/>
  <c r="BC1703" i="1"/>
  <c r="BD1703" i="1"/>
  <c r="BE1703" i="1"/>
  <c r="BF1703" i="1"/>
  <c r="BG1703" i="1"/>
  <c r="BH1703" i="1"/>
  <c r="BI1703" i="1"/>
  <c r="BJ1703" i="1"/>
  <c r="BM1703" i="1"/>
  <c r="CA1703" i="1"/>
  <c r="CN1703" i="1"/>
  <c r="CO1703" i="1"/>
  <c r="CP1703" i="1"/>
  <c r="CQ1703" i="1"/>
  <c r="G1333" i="1"/>
  <c r="U1333" i="1"/>
  <c r="W1333" i="1"/>
  <c r="AE1333" i="1"/>
  <c r="AK1333" i="1"/>
  <c r="AQ1333" i="1"/>
  <c r="AU1333" i="1"/>
  <c r="AV1333" i="1"/>
  <c r="AW1333" i="1"/>
  <c r="AX1333" i="1"/>
  <c r="AY1333" i="1"/>
  <c r="AZ1333" i="1"/>
  <c r="BA1333" i="1"/>
  <c r="BC1333" i="1"/>
  <c r="BD1333" i="1"/>
  <c r="BE1333" i="1"/>
  <c r="BF1333" i="1"/>
  <c r="BG1333" i="1"/>
  <c r="BH1333" i="1"/>
  <c r="BI1333" i="1"/>
  <c r="BJ1333" i="1"/>
  <c r="BM1333" i="1"/>
  <c r="CA1333" i="1"/>
  <c r="CN1333" i="1"/>
  <c r="CO1333" i="1"/>
  <c r="CP1333" i="1"/>
  <c r="CQ1333" i="1"/>
  <c r="G41" i="1"/>
  <c r="U41" i="1"/>
  <c r="W41" i="1"/>
  <c r="AE41" i="1"/>
  <c r="AK41" i="1"/>
  <c r="AQ41" i="1"/>
  <c r="AU41" i="1"/>
  <c r="AV41" i="1"/>
  <c r="AW41" i="1"/>
  <c r="AX41" i="1"/>
  <c r="AY41" i="1"/>
  <c r="AZ41" i="1"/>
  <c r="BA41" i="1"/>
  <c r="BC41" i="1"/>
  <c r="BD41" i="1"/>
  <c r="BE41" i="1"/>
  <c r="BF41" i="1"/>
  <c r="BG41" i="1"/>
  <c r="BH41" i="1"/>
  <c r="BI41" i="1"/>
  <c r="BJ41" i="1"/>
  <c r="BM41" i="1"/>
  <c r="CA41" i="1"/>
  <c r="CN41" i="1"/>
  <c r="CO41" i="1"/>
  <c r="CP41" i="1"/>
  <c r="CQ41" i="1"/>
  <c r="G367" i="1"/>
  <c r="U367" i="1"/>
  <c r="W367" i="1"/>
  <c r="AE367" i="1"/>
  <c r="AK367" i="1"/>
  <c r="AQ367" i="1"/>
  <c r="AU367" i="1"/>
  <c r="AV367" i="1"/>
  <c r="AW367" i="1"/>
  <c r="AX367" i="1"/>
  <c r="AY367" i="1"/>
  <c r="AZ367" i="1"/>
  <c r="BA367" i="1"/>
  <c r="BC367" i="1"/>
  <c r="BD367" i="1"/>
  <c r="BE367" i="1"/>
  <c r="BF367" i="1"/>
  <c r="BG367" i="1"/>
  <c r="BH367" i="1"/>
  <c r="BI367" i="1"/>
  <c r="BJ367" i="1"/>
  <c r="BM367" i="1"/>
  <c r="CA367" i="1"/>
  <c r="CN367" i="1"/>
  <c r="CO367" i="1"/>
  <c r="CP367" i="1"/>
  <c r="CQ367" i="1"/>
  <c r="G42" i="1"/>
  <c r="U42" i="1"/>
  <c r="W42" i="1"/>
  <c r="AE42" i="1"/>
  <c r="AK42" i="1"/>
  <c r="AQ42" i="1"/>
  <c r="AU42" i="1"/>
  <c r="AV42" i="1"/>
  <c r="AW42" i="1"/>
  <c r="AX42" i="1"/>
  <c r="AY42" i="1"/>
  <c r="AZ42" i="1"/>
  <c r="BA42" i="1"/>
  <c r="BC42" i="1"/>
  <c r="BD42" i="1"/>
  <c r="BE42" i="1"/>
  <c r="BF42" i="1"/>
  <c r="BG42" i="1"/>
  <c r="BH42" i="1"/>
  <c r="BI42" i="1"/>
  <c r="BJ42" i="1"/>
  <c r="BM42" i="1"/>
  <c r="CA42" i="1"/>
  <c r="CN42" i="1"/>
  <c r="CO42" i="1"/>
  <c r="CP42" i="1"/>
  <c r="CQ42" i="1"/>
  <c r="G594" i="1"/>
  <c r="U594" i="1"/>
  <c r="W594" i="1"/>
  <c r="AE594" i="1"/>
  <c r="AK594" i="1"/>
  <c r="AQ594" i="1"/>
  <c r="AU594" i="1"/>
  <c r="AV594" i="1"/>
  <c r="AW594" i="1"/>
  <c r="AX594" i="1"/>
  <c r="AY594" i="1"/>
  <c r="AZ594" i="1"/>
  <c r="BA594" i="1"/>
  <c r="BC594" i="1"/>
  <c r="BD594" i="1"/>
  <c r="BE594" i="1"/>
  <c r="BF594" i="1"/>
  <c r="BG594" i="1"/>
  <c r="BH594" i="1"/>
  <c r="BI594" i="1"/>
  <c r="BJ594" i="1"/>
  <c r="BM594" i="1"/>
  <c r="CA594" i="1"/>
  <c r="CN594" i="1"/>
  <c r="CO594" i="1"/>
  <c r="CP594" i="1"/>
  <c r="CQ594" i="1"/>
  <c r="G1704" i="1"/>
  <c r="U1704" i="1"/>
  <c r="W1704" i="1"/>
  <c r="AE1704" i="1"/>
  <c r="AK1704" i="1"/>
  <c r="AQ1704" i="1"/>
  <c r="AU1704" i="1"/>
  <c r="AV1704" i="1"/>
  <c r="AW1704" i="1"/>
  <c r="AX1704" i="1"/>
  <c r="AY1704" i="1"/>
  <c r="AZ1704" i="1"/>
  <c r="BA1704" i="1"/>
  <c r="BC1704" i="1"/>
  <c r="BD1704" i="1"/>
  <c r="BE1704" i="1"/>
  <c r="BF1704" i="1"/>
  <c r="BG1704" i="1"/>
  <c r="BH1704" i="1"/>
  <c r="BI1704" i="1"/>
  <c r="BJ1704" i="1"/>
  <c r="BM1704" i="1"/>
  <c r="CA1704" i="1"/>
  <c r="CN1704" i="1"/>
  <c r="CO1704" i="1"/>
  <c r="CP1704" i="1"/>
  <c r="CQ1704" i="1"/>
  <c r="G43" i="1"/>
  <c r="U43" i="1"/>
  <c r="W43" i="1"/>
  <c r="AE43" i="1"/>
  <c r="AK43" i="1"/>
  <c r="AQ43" i="1"/>
  <c r="AU43" i="1"/>
  <c r="AV43" i="1"/>
  <c r="AW43" i="1"/>
  <c r="AX43" i="1"/>
  <c r="AY43" i="1"/>
  <c r="AZ43" i="1"/>
  <c r="BA43" i="1"/>
  <c r="BC43" i="1"/>
  <c r="BD43" i="1"/>
  <c r="BE43" i="1"/>
  <c r="BF43" i="1"/>
  <c r="BG43" i="1"/>
  <c r="BH43" i="1"/>
  <c r="BI43" i="1"/>
  <c r="BJ43" i="1"/>
  <c r="BM43" i="1"/>
  <c r="CA43" i="1"/>
  <c r="CN43" i="1"/>
  <c r="CO43" i="1"/>
  <c r="CP43" i="1"/>
  <c r="CQ43" i="1"/>
  <c r="G595" i="1"/>
  <c r="U595" i="1"/>
  <c r="W595" i="1"/>
  <c r="AE595" i="1"/>
  <c r="AK595" i="1"/>
  <c r="AQ595" i="1"/>
  <c r="AU595" i="1"/>
  <c r="AV595" i="1"/>
  <c r="AW595" i="1"/>
  <c r="AX595" i="1"/>
  <c r="AY595" i="1"/>
  <c r="AZ595" i="1"/>
  <c r="BA595" i="1"/>
  <c r="BC595" i="1"/>
  <c r="BD595" i="1"/>
  <c r="BE595" i="1"/>
  <c r="BF595" i="1"/>
  <c r="BG595" i="1"/>
  <c r="BH595" i="1"/>
  <c r="BI595" i="1"/>
  <c r="BJ595" i="1"/>
  <c r="BM595" i="1"/>
  <c r="CA595" i="1"/>
  <c r="CN595" i="1"/>
  <c r="CO595" i="1"/>
  <c r="CP595" i="1"/>
  <c r="CQ595" i="1"/>
  <c r="G1705" i="1"/>
  <c r="U1705" i="1"/>
  <c r="W1705" i="1"/>
  <c r="AE1705" i="1"/>
  <c r="AK1705" i="1"/>
  <c r="AQ1705" i="1"/>
  <c r="AU1705" i="1"/>
  <c r="AV1705" i="1"/>
  <c r="AW1705" i="1"/>
  <c r="AX1705" i="1"/>
  <c r="AY1705" i="1"/>
  <c r="AZ1705" i="1"/>
  <c r="BA1705" i="1"/>
  <c r="BC1705" i="1"/>
  <c r="BD1705" i="1"/>
  <c r="BE1705" i="1"/>
  <c r="BF1705" i="1"/>
  <c r="BG1705" i="1"/>
  <c r="BH1705" i="1"/>
  <c r="BI1705" i="1"/>
  <c r="BJ1705" i="1"/>
  <c r="BM1705" i="1"/>
  <c r="CA1705" i="1"/>
  <c r="CN1705" i="1"/>
  <c r="CO1705" i="1"/>
  <c r="CP1705" i="1"/>
  <c r="CQ1705" i="1"/>
  <c r="G596" i="1"/>
  <c r="U596" i="1"/>
  <c r="W596" i="1"/>
  <c r="AE596" i="1"/>
  <c r="AK596" i="1"/>
  <c r="AQ596" i="1"/>
  <c r="AU596" i="1"/>
  <c r="AV596" i="1"/>
  <c r="AW596" i="1"/>
  <c r="AX596" i="1"/>
  <c r="AY596" i="1"/>
  <c r="AZ596" i="1"/>
  <c r="BA596" i="1"/>
  <c r="BC596" i="1"/>
  <c r="BD596" i="1"/>
  <c r="BE596" i="1"/>
  <c r="BF596" i="1"/>
  <c r="BG596" i="1"/>
  <c r="BH596" i="1"/>
  <c r="BI596" i="1"/>
  <c r="BJ596" i="1"/>
  <c r="BM596" i="1"/>
  <c r="CA596" i="1"/>
  <c r="CN596" i="1"/>
  <c r="CO596" i="1"/>
  <c r="CP596" i="1"/>
  <c r="CQ596" i="1"/>
  <c r="G1549" i="1"/>
  <c r="U1549" i="1"/>
  <c r="W1549" i="1"/>
  <c r="AE1549" i="1"/>
  <c r="AK1549" i="1"/>
  <c r="AQ1549" i="1"/>
  <c r="AU1549" i="1"/>
  <c r="AV1549" i="1"/>
  <c r="AW1549" i="1"/>
  <c r="AX1549" i="1"/>
  <c r="AY1549" i="1"/>
  <c r="AZ1549" i="1"/>
  <c r="BA1549" i="1"/>
  <c r="BC1549" i="1"/>
  <c r="BD1549" i="1"/>
  <c r="BE1549" i="1"/>
  <c r="BF1549" i="1"/>
  <c r="BG1549" i="1"/>
  <c r="BH1549" i="1"/>
  <c r="BI1549" i="1"/>
  <c r="BJ1549" i="1"/>
  <c r="BM1549" i="1"/>
  <c r="CA1549" i="1"/>
  <c r="CN1549" i="1"/>
  <c r="CO1549" i="1"/>
  <c r="CP1549" i="1"/>
  <c r="CQ1549" i="1"/>
  <c r="G1550" i="1"/>
  <c r="U1550" i="1"/>
  <c r="W1550" i="1"/>
  <c r="AE1550" i="1"/>
  <c r="AK1550" i="1"/>
  <c r="AQ1550" i="1"/>
  <c r="AU1550" i="1"/>
  <c r="AV1550" i="1"/>
  <c r="AW1550" i="1"/>
  <c r="AX1550" i="1"/>
  <c r="AY1550" i="1"/>
  <c r="AZ1550" i="1"/>
  <c r="BA1550" i="1"/>
  <c r="BC1550" i="1"/>
  <c r="BD1550" i="1"/>
  <c r="BE1550" i="1"/>
  <c r="BF1550" i="1"/>
  <c r="BG1550" i="1"/>
  <c r="BH1550" i="1"/>
  <c r="BI1550" i="1"/>
  <c r="BJ1550" i="1"/>
  <c r="BM1550" i="1"/>
  <c r="CA1550" i="1"/>
  <c r="CN1550" i="1"/>
  <c r="CO1550" i="1"/>
  <c r="CP1550" i="1"/>
  <c r="CQ1550" i="1"/>
  <c r="G597" i="1"/>
  <c r="U597" i="1"/>
  <c r="W597" i="1"/>
  <c r="AE597" i="1"/>
  <c r="AK597" i="1"/>
  <c r="AQ597" i="1"/>
  <c r="AU597" i="1"/>
  <c r="AV597" i="1"/>
  <c r="AW597" i="1"/>
  <c r="AX597" i="1"/>
  <c r="AY597" i="1"/>
  <c r="AZ597" i="1"/>
  <c r="BA597" i="1"/>
  <c r="BC597" i="1"/>
  <c r="BD597" i="1"/>
  <c r="BE597" i="1"/>
  <c r="BF597" i="1"/>
  <c r="BG597" i="1"/>
  <c r="BH597" i="1"/>
  <c r="BI597" i="1"/>
  <c r="BJ597" i="1"/>
  <c r="BM597" i="1"/>
  <c r="CA597" i="1"/>
  <c r="CN597" i="1"/>
  <c r="CO597" i="1"/>
  <c r="CP597" i="1"/>
  <c r="CQ597" i="1"/>
  <c r="G598" i="1"/>
  <c r="U598" i="1"/>
  <c r="W598" i="1"/>
  <c r="AE598" i="1"/>
  <c r="AK598" i="1"/>
  <c r="AQ598" i="1"/>
  <c r="AU598" i="1"/>
  <c r="AV598" i="1"/>
  <c r="AW598" i="1"/>
  <c r="AX598" i="1"/>
  <c r="AY598" i="1"/>
  <c r="AZ598" i="1"/>
  <c r="BA598" i="1"/>
  <c r="BC598" i="1"/>
  <c r="BD598" i="1"/>
  <c r="BE598" i="1"/>
  <c r="BF598" i="1"/>
  <c r="BG598" i="1"/>
  <c r="BH598" i="1"/>
  <c r="BI598" i="1"/>
  <c r="BJ598" i="1"/>
  <c r="BM598" i="1"/>
  <c r="CA598" i="1"/>
  <c r="CN598" i="1"/>
  <c r="CO598" i="1"/>
  <c r="CP598" i="1"/>
  <c r="CQ598" i="1"/>
  <c r="G44" i="1"/>
  <c r="U44" i="1"/>
  <c r="W44" i="1"/>
  <c r="AE44" i="1"/>
  <c r="AK44" i="1"/>
  <c r="AQ44" i="1"/>
  <c r="AU44" i="1"/>
  <c r="AV44" i="1"/>
  <c r="AW44" i="1"/>
  <c r="AX44" i="1"/>
  <c r="AY44" i="1"/>
  <c r="AZ44" i="1"/>
  <c r="BA44" i="1"/>
  <c r="BC44" i="1"/>
  <c r="BD44" i="1"/>
  <c r="BE44" i="1"/>
  <c r="BF44" i="1"/>
  <c r="BG44" i="1"/>
  <c r="BH44" i="1"/>
  <c r="BI44" i="1"/>
  <c r="BJ44" i="1"/>
  <c r="BM44" i="1"/>
  <c r="CA44" i="1"/>
  <c r="CN44" i="1"/>
  <c r="CO44" i="1"/>
  <c r="CP44" i="1"/>
  <c r="CQ44" i="1"/>
  <c r="G1706" i="1"/>
  <c r="U1706" i="1"/>
  <c r="W1706" i="1"/>
  <c r="AE1706" i="1"/>
  <c r="AK1706" i="1"/>
  <c r="AQ1706" i="1"/>
  <c r="AU1706" i="1"/>
  <c r="AV1706" i="1"/>
  <c r="AW1706" i="1"/>
  <c r="AX1706" i="1"/>
  <c r="AY1706" i="1"/>
  <c r="AZ1706" i="1"/>
  <c r="BA1706" i="1"/>
  <c r="BC1706" i="1"/>
  <c r="BD1706" i="1"/>
  <c r="BE1706" i="1"/>
  <c r="BF1706" i="1"/>
  <c r="BG1706" i="1"/>
  <c r="BH1706" i="1"/>
  <c r="BI1706" i="1"/>
  <c r="BJ1706" i="1"/>
  <c r="BM1706" i="1"/>
  <c r="CA1706" i="1"/>
  <c r="CN1706" i="1"/>
  <c r="CO1706" i="1"/>
  <c r="CP1706" i="1"/>
  <c r="CQ1706" i="1"/>
  <c r="G1707" i="1"/>
  <c r="U1707" i="1"/>
  <c r="W1707" i="1"/>
  <c r="AE1707" i="1"/>
  <c r="AK1707" i="1"/>
  <c r="AQ1707" i="1"/>
  <c r="AU1707" i="1"/>
  <c r="AV1707" i="1"/>
  <c r="AW1707" i="1"/>
  <c r="AX1707" i="1"/>
  <c r="AY1707" i="1"/>
  <c r="AZ1707" i="1"/>
  <c r="BA1707" i="1"/>
  <c r="BC1707" i="1"/>
  <c r="BD1707" i="1"/>
  <c r="BE1707" i="1"/>
  <c r="BF1707" i="1"/>
  <c r="BG1707" i="1"/>
  <c r="BH1707" i="1"/>
  <c r="BI1707" i="1"/>
  <c r="BJ1707" i="1"/>
  <c r="BM1707" i="1"/>
  <c r="CA1707" i="1"/>
  <c r="CN1707" i="1"/>
  <c r="CO1707" i="1"/>
  <c r="CP1707" i="1"/>
  <c r="CQ1707" i="1"/>
  <c r="G1708" i="1"/>
  <c r="U1708" i="1"/>
  <c r="W1708" i="1"/>
  <c r="AE1708" i="1"/>
  <c r="AK1708" i="1"/>
  <c r="AQ1708" i="1"/>
  <c r="AU1708" i="1"/>
  <c r="AV1708" i="1"/>
  <c r="AW1708" i="1"/>
  <c r="AX1708" i="1"/>
  <c r="AY1708" i="1"/>
  <c r="AZ1708" i="1"/>
  <c r="BA1708" i="1"/>
  <c r="BC1708" i="1"/>
  <c r="BD1708" i="1"/>
  <c r="BE1708" i="1"/>
  <c r="BF1708" i="1"/>
  <c r="BG1708" i="1"/>
  <c r="BH1708" i="1"/>
  <c r="BI1708" i="1"/>
  <c r="BJ1708" i="1"/>
  <c r="BM1708" i="1"/>
  <c r="CA1708" i="1"/>
  <c r="CN1708" i="1"/>
  <c r="CO1708" i="1"/>
  <c r="CP1708" i="1"/>
  <c r="CQ1708" i="1"/>
  <c r="G1709" i="1"/>
  <c r="U1709" i="1"/>
  <c r="W1709" i="1"/>
  <c r="AE1709" i="1"/>
  <c r="AK1709" i="1"/>
  <c r="AQ1709" i="1"/>
  <c r="AU1709" i="1"/>
  <c r="AV1709" i="1"/>
  <c r="AW1709" i="1"/>
  <c r="AX1709" i="1"/>
  <c r="AY1709" i="1"/>
  <c r="AZ1709" i="1"/>
  <c r="BA1709" i="1"/>
  <c r="BC1709" i="1"/>
  <c r="BD1709" i="1"/>
  <c r="BE1709" i="1"/>
  <c r="BF1709" i="1"/>
  <c r="BG1709" i="1"/>
  <c r="BH1709" i="1"/>
  <c r="BI1709" i="1"/>
  <c r="BJ1709" i="1"/>
  <c r="BM1709" i="1"/>
  <c r="CA1709" i="1"/>
  <c r="CN1709" i="1"/>
  <c r="CO1709" i="1"/>
  <c r="CP1709" i="1"/>
  <c r="CQ1709" i="1"/>
  <c r="G1334" i="1"/>
  <c r="U1334" i="1"/>
  <c r="W1334" i="1"/>
  <c r="AE1334" i="1"/>
  <c r="AK1334" i="1"/>
  <c r="AQ1334" i="1"/>
  <c r="AU1334" i="1"/>
  <c r="AV1334" i="1"/>
  <c r="AW1334" i="1"/>
  <c r="AX1334" i="1"/>
  <c r="AY1334" i="1"/>
  <c r="AZ1334" i="1"/>
  <c r="BA1334" i="1"/>
  <c r="BC1334" i="1"/>
  <c r="BD1334" i="1"/>
  <c r="BE1334" i="1"/>
  <c r="BF1334" i="1"/>
  <c r="BG1334" i="1"/>
  <c r="BH1334" i="1"/>
  <c r="BI1334" i="1"/>
  <c r="BJ1334" i="1"/>
  <c r="BM1334" i="1"/>
  <c r="CA1334" i="1"/>
  <c r="CN1334" i="1"/>
  <c r="CO1334" i="1"/>
  <c r="CP1334" i="1"/>
  <c r="CQ1334" i="1"/>
  <c r="G1335" i="1"/>
  <c r="U1335" i="1"/>
  <c r="W1335" i="1"/>
  <c r="AE1335" i="1"/>
  <c r="AK1335" i="1"/>
  <c r="AQ1335" i="1"/>
  <c r="AU1335" i="1"/>
  <c r="AV1335" i="1"/>
  <c r="AW1335" i="1"/>
  <c r="AX1335" i="1"/>
  <c r="AY1335" i="1"/>
  <c r="AZ1335" i="1"/>
  <c r="BA1335" i="1"/>
  <c r="BC1335" i="1"/>
  <c r="BD1335" i="1"/>
  <c r="BE1335" i="1"/>
  <c r="BF1335" i="1"/>
  <c r="BG1335" i="1"/>
  <c r="BH1335" i="1"/>
  <c r="BI1335" i="1"/>
  <c r="BJ1335" i="1"/>
  <c r="BM1335" i="1"/>
  <c r="CA1335" i="1"/>
  <c r="CN1335" i="1"/>
  <c r="CO1335" i="1"/>
  <c r="CP1335" i="1"/>
  <c r="CQ1335" i="1"/>
  <c r="G599" i="1"/>
  <c r="U599" i="1"/>
  <c r="W599" i="1"/>
  <c r="AE599" i="1"/>
  <c r="AK599" i="1"/>
  <c r="AQ599" i="1"/>
  <c r="AU599" i="1"/>
  <c r="AV599" i="1"/>
  <c r="AW599" i="1"/>
  <c r="AX599" i="1"/>
  <c r="AY599" i="1"/>
  <c r="AZ599" i="1"/>
  <c r="BA599" i="1"/>
  <c r="BC599" i="1"/>
  <c r="BD599" i="1"/>
  <c r="BE599" i="1"/>
  <c r="BF599" i="1"/>
  <c r="BG599" i="1"/>
  <c r="BH599" i="1"/>
  <c r="BI599" i="1"/>
  <c r="BJ599" i="1"/>
  <c r="BM599" i="1"/>
  <c r="CA599" i="1"/>
  <c r="CN599" i="1"/>
  <c r="CO599" i="1"/>
  <c r="CP599" i="1"/>
  <c r="CQ599" i="1"/>
  <c r="G600" i="1"/>
  <c r="U600" i="1"/>
  <c r="W600" i="1"/>
  <c r="AE600" i="1"/>
  <c r="AK600" i="1"/>
  <c r="AQ600" i="1"/>
  <c r="AU600" i="1"/>
  <c r="AV600" i="1"/>
  <c r="AW600" i="1"/>
  <c r="AX600" i="1"/>
  <c r="AY600" i="1"/>
  <c r="AZ600" i="1"/>
  <c r="BA600" i="1"/>
  <c r="BC600" i="1"/>
  <c r="BD600" i="1"/>
  <c r="BE600" i="1"/>
  <c r="BF600" i="1"/>
  <c r="BG600" i="1"/>
  <c r="BH600" i="1"/>
  <c r="BI600" i="1"/>
  <c r="BJ600" i="1"/>
  <c r="BM600" i="1"/>
  <c r="CA600" i="1"/>
  <c r="CN600" i="1"/>
  <c r="CO600" i="1"/>
  <c r="CP600" i="1"/>
  <c r="CQ600" i="1"/>
  <c r="G601" i="1"/>
  <c r="U601" i="1"/>
  <c r="W601" i="1"/>
  <c r="AE601" i="1"/>
  <c r="AK601" i="1"/>
  <c r="AQ601" i="1"/>
  <c r="AU601" i="1"/>
  <c r="AV601" i="1"/>
  <c r="AW601" i="1"/>
  <c r="AX601" i="1"/>
  <c r="AY601" i="1"/>
  <c r="AZ601" i="1"/>
  <c r="BA601" i="1"/>
  <c r="BC601" i="1"/>
  <c r="BD601" i="1"/>
  <c r="BE601" i="1"/>
  <c r="BF601" i="1"/>
  <c r="BG601" i="1"/>
  <c r="BH601" i="1"/>
  <c r="BI601" i="1"/>
  <c r="BJ601" i="1"/>
  <c r="BM601" i="1"/>
  <c r="CA601" i="1"/>
  <c r="CN601" i="1"/>
  <c r="CO601" i="1"/>
  <c r="CP601" i="1"/>
  <c r="CQ601" i="1"/>
  <c r="G45" i="1"/>
  <c r="U45" i="1"/>
  <c r="W45" i="1"/>
  <c r="AE45" i="1"/>
  <c r="AK45" i="1"/>
  <c r="AQ45" i="1"/>
  <c r="AU45" i="1"/>
  <c r="AV45" i="1"/>
  <c r="AW45" i="1"/>
  <c r="AX45" i="1"/>
  <c r="AY45" i="1"/>
  <c r="AZ45" i="1"/>
  <c r="BA45" i="1"/>
  <c r="BC45" i="1"/>
  <c r="BD45" i="1"/>
  <c r="BE45" i="1"/>
  <c r="BF45" i="1"/>
  <c r="BG45" i="1"/>
  <c r="BH45" i="1"/>
  <c r="BI45" i="1"/>
  <c r="BJ45" i="1"/>
  <c r="BM45" i="1"/>
  <c r="CA45" i="1"/>
  <c r="CN45" i="1"/>
  <c r="CO45" i="1"/>
  <c r="CP45" i="1"/>
  <c r="CQ45" i="1"/>
  <c r="G368" i="1"/>
  <c r="U368" i="1"/>
  <c r="W368" i="1"/>
  <c r="AE368" i="1"/>
  <c r="AK368" i="1"/>
  <c r="AQ368" i="1"/>
  <c r="AU368" i="1"/>
  <c r="AV368" i="1"/>
  <c r="AW368" i="1"/>
  <c r="AX368" i="1"/>
  <c r="AY368" i="1"/>
  <c r="AZ368" i="1"/>
  <c r="BA368" i="1"/>
  <c r="BC368" i="1"/>
  <c r="BD368" i="1"/>
  <c r="BE368" i="1"/>
  <c r="BF368" i="1"/>
  <c r="BG368" i="1"/>
  <c r="BH368" i="1"/>
  <c r="BI368" i="1"/>
  <c r="BJ368" i="1"/>
  <c r="BM368" i="1"/>
  <c r="CA368" i="1"/>
  <c r="CN368" i="1"/>
  <c r="CO368" i="1"/>
  <c r="CP368" i="1"/>
  <c r="CQ368" i="1"/>
  <c r="G1710" i="1"/>
  <c r="U1710" i="1"/>
  <c r="W1710" i="1"/>
  <c r="AE1710" i="1"/>
  <c r="AK1710" i="1"/>
  <c r="AQ1710" i="1"/>
  <c r="AU1710" i="1"/>
  <c r="AV1710" i="1"/>
  <c r="AW1710" i="1"/>
  <c r="AX1710" i="1"/>
  <c r="AY1710" i="1"/>
  <c r="AZ1710" i="1"/>
  <c r="BA1710" i="1"/>
  <c r="BC1710" i="1"/>
  <c r="BD1710" i="1"/>
  <c r="BE1710" i="1"/>
  <c r="BF1710" i="1"/>
  <c r="BG1710" i="1"/>
  <c r="BH1710" i="1"/>
  <c r="BI1710" i="1"/>
  <c r="BJ1710" i="1"/>
  <c r="BM1710" i="1"/>
  <c r="CA1710" i="1"/>
  <c r="CN1710" i="1"/>
  <c r="CO1710" i="1"/>
  <c r="CP1710" i="1"/>
  <c r="CQ1710" i="1"/>
  <c r="G1551" i="1"/>
  <c r="U1551" i="1"/>
  <c r="W1551" i="1"/>
  <c r="AE1551" i="1"/>
  <c r="AK1551" i="1"/>
  <c r="AQ1551" i="1"/>
  <c r="AU1551" i="1"/>
  <c r="AV1551" i="1"/>
  <c r="AW1551" i="1"/>
  <c r="AX1551" i="1"/>
  <c r="AY1551" i="1"/>
  <c r="AZ1551" i="1"/>
  <c r="BA1551" i="1"/>
  <c r="BC1551" i="1"/>
  <c r="BD1551" i="1"/>
  <c r="BE1551" i="1"/>
  <c r="BF1551" i="1"/>
  <c r="BG1551" i="1"/>
  <c r="BH1551" i="1"/>
  <c r="BI1551" i="1"/>
  <c r="BJ1551" i="1"/>
  <c r="BM1551" i="1"/>
  <c r="CA1551" i="1"/>
  <c r="CN1551" i="1"/>
  <c r="CO1551" i="1"/>
  <c r="CP1551" i="1"/>
  <c r="CQ1551" i="1"/>
  <c r="G602" i="1"/>
  <c r="U602" i="1"/>
  <c r="W602" i="1"/>
  <c r="AE602" i="1"/>
  <c r="AK602" i="1"/>
  <c r="AQ602" i="1"/>
  <c r="AU602" i="1"/>
  <c r="AV602" i="1"/>
  <c r="AW602" i="1"/>
  <c r="AX602" i="1"/>
  <c r="AY602" i="1"/>
  <c r="AZ602" i="1"/>
  <c r="BA602" i="1"/>
  <c r="BC602" i="1"/>
  <c r="BD602" i="1"/>
  <c r="BE602" i="1"/>
  <c r="BF602" i="1"/>
  <c r="BG602" i="1"/>
  <c r="BH602" i="1"/>
  <c r="BI602" i="1"/>
  <c r="BJ602" i="1"/>
  <c r="BM602" i="1"/>
  <c r="CA602" i="1"/>
  <c r="CN602" i="1"/>
  <c r="CO602" i="1"/>
  <c r="CP602" i="1"/>
  <c r="CQ602" i="1"/>
  <c r="G1711" i="1"/>
  <c r="U1711" i="1"/>
  <c r="W1711" i="1"/>
  <c r="AE1711" i="1"/>
  <c r="AK1711" i="1"/>
  <c r="AQ1711" i="1"/>
  <c r="AU1711" i="1"/>
  <c r="AV1711" i="1"/>
  <c r="AW1711" i="1"/>
  <c r="AX1711" i="1"/>
  <c r="AY1711" i="1"/>
  <c r="AZ1711" i="1"/>
  <c r="BA1711" i="1"/>
  <c r="BC1711" i="1"/>
  <c r="BD1711" i="1"/>
  <c r="BE1711" i="1"/>
  <c r="BF1711" i="1"/>
  <c r="BG1711" i="1"/>
  <c r="BH1711" i="1"/>
  <c r="BI1711" i="1"/>
  <c r="BJ1711" i="1"/>
  <c r="BM1711" i="1"/>
  <c r="CA1711" i="1"/>
  <c r="CN1711" i="1"/>
  <c r="CO1711" i="1"/>
  <c r="CP1711" i="1"/>
  <c r="CQ1711" i="1"/>
  <c r="G603" i="1"/>
  <c r="U603" i="1"/>
  <c r="W603" i="1"/>
  <c r="AE603" i="1"/>
  <c r="AK603" i="1"/>
  <c r="AQ603" i="1"/>
  <c r="AU603" i="1"/>
  <c r="AV603" i="1"/>
  <c r="AW603" i="1"/>
  <c r="AX603" i="1"/>
  <c r="AY603" i="1"/>
  <c r="AZ603" i="1"/>
  <c r="BA603" i="1"/>
  <c r="BC603" i="1"/>
  <c r="BD603" i="1"/>
  <c r="BE603" i="1"/>
  <c r="BF603" i="1"/>
  <c r="BG603" i="1"/>
  <c r="BH603" i="1"/>
  <c r="BI603" i="1"/>
  <c r="BJ603" i="1"/>
  <c r="BM603" i="1"/>
  <c r="CA603" i="1"/>
  <c r="CN603" i="1"/>
  <c r="CO603" i="1"/>
  <c r="CP603" i="1"/>
  <c r="CQ603" i="1"/>
  <c r="G369" i="1"/>
  <c r="U369" i="1"/>
  <c r="W369" i="1"/>
  <c r="AE369" i="1"/>
  <c r="AK369" i="1"/>
  <c r="AQ369" i="1"/>
  <c r="AU369" i="1"/>
  <c r="AV369" i="1"/>
  <c r="AW369" i="1"/>
  <c r="AX369" i="1"/>
  <c r="AY369" i="1"/>
  <c r="AZ369" i="1"/>
  <c r="BA369" i="1"/>
  <c r="BC369" i="1"/>
  <c r="BD369" i="1"/>
  <c r="BE369" i="1"/>
  <c r="BF369" i="1"/>
  <c r="BG369" i="1"/>
  <c r="BH369" i="1"/>
  <c r="BI369" i="1"/>
  <c r="BJ369" i="1"/>
  <c r="BM369" i="1"/>
  <c r="CA369" i="1"/>
  <c r="CN369" i="1"/>
  <c r="CO369" i="1"/>
  <c r="CP369" i="1"/>
  <c r="CQ369" i="1"/>
  <c r="G1712" i="1"/>
  <c r="U1712" i="1"/>
  <c r="W1712" i="1"/>
  <c r="AE1712" i="1"/>
  <c r="AK1712" i="1"/>
  <c r="AQ1712" i="1"/>
  <c r="AU1712" i="1"/>
  <c r="AV1712" i="1"/>
  <c r="AW1712" i="1"/>
  <c r="AX1712" i="1"/>
  <c r="AY1712" i="1"/>
  <c r="AZ1712" i="1"/>
  <c r="BA1712" i="1"/>
  <c r="BC1712" i="1"/>
  <c r="BD1712" i="1"/>
  <c r="BE1712" i="1"/>
  <c r="BF1712" i="1"/>
  <c r="BG1712" i="1"/>
  <c r="BH1712" i="1"/>
  <c r="BI1712" i="1"/>
  <c r="BJ1712" i="1"/>
  <c r="BM1712" i="1"/>
  <c r="CA1712" i="1"/>
  <c r="CN1712" i="1"/>
  <c r="CO1712" i="1"/>
  <c r="CP1712" i="1"/>
  <c r="CQ1712" i="1"/>
  <c r="G46" i="1"/>
  <c r="U46" i="1"/>
  <c r="W46" i="1"/>
  <c r="AE46" i="1"/>
  <c r="AK46" i="1"/>
  <c r="AQ46" i="1"/>
  <c r="AU46" i="1"/>
  <c r="AV46" i="1"/>
  <c r="AW46" i="1"/>
  <c r="AX46" i="1"/>
  <c r="AY46" i="1"/>
  <c r="AZ46" i="1"/>
  <c r="BA46" i="1"/>
  <c r="BC46" i="1"/>
  <c r="BD46" i="1"/>
  <c r="BE46" i="1"/>
  <c r="BF46" i="1"/>
  <c r="BG46" i="1"/>
  <c r="BH46" i="1"/>
  <c r="BI46" i="1"/>
  <c r="BJ46" i="1"/>
  <c r="BM46" i="1"/>
  <c r="CA46" i="1"/>
  <c r="CN46" i="1"/>
  <c r="CO46" i="1"/>
  <c r="CP46" i="1"/>
  <c r="CQ46" i="1"/>
  <c r="G604" i="1"/>
  <c r="U604" i="1"/>
  <c r="W604" i="1"/>
  <c r="AE604" i="1"/>
  <c r="AK604" i="1"/>
  <c r="AQ604" i="1"/>
  <c r="AU604" i="1"/>
  <c r="AV604" i="1"/>
  <c r="AW604" i="1"/>
  <c r="AX604" i="1"/>
  <c r="AY604" i="1"/>
  <c r="AZ604" i="1"/>
  <c r="BA604" i="1"/>
  <c r="BC604" i="1"/>
  <c r="BD604" i="1"/>
  <c r="BE604" i="1"/>
  <c r="BF604" i="1"/>
  <c r="BG604" i="1"/>
  <c r="BH604" i="1"/>
  <c r="BI604" i="1"/>
  <c r="BJ604" i="1"/>
  <c r="BM604" i="1"/>
  <c r="CA604" i="1"/>
  <c r="CN604" i="1"/>
  <c r="CO604" i="1"/>
  <c r="CP604" i="1"/>
  <c r="CQ604" i="1"/>
  <c r="G1713" i="1"/>
  <c r="U1713" i="1"/>
  <c r="W1713" i="1"/>
  <c r="AE1713" i="1"/>
  <c r="AK1713" i="1"/>
  <c r="AQ1713" i="1"/>
  <c r="AU1713" i="1"/>
  <c r="AV1713" i="1"/>
  <c r="AW1713" i="1"/>
  <c r="AX1713" i="1"/>
  <c r="AY1713" i="1"/>
  <c r="AZ1713" i="1"/>
  <c r="BA1713" i="1"/>
  <c r="BC1713" i="1"/>
  <c r="BD1713" i="1"/>
  <c r="BE1713" i="1"/>
  <c r="BF1713" i="1"/>
  <c r="BG1713" i="1"/>
  <c r="BH1713" i="1"/>
  <c r="BI1713" i="1"/>
  <c r="BJ1713" i="1"/>
  <c r="BM1713" i="1"/>
  <c r="CA1713" i="1"/>
  <c r="CN1713" i="1"/>
  <c r="CO1713" i="1"/>
  <c r="CP1713" i="1"/>
  <c r="CQ1713" i="1"/>
  <c r="G370" i="1"/>
  <c r="U370" i="1"/>
  <c r="W370" i="1"/>
  <c r="AE370" i="1"/>
  <c r="AK370" i="1"/>
  <c r="AQ370" i="1"/>
  <c r="AU370" i="1"/>
  <c r="AV370" i="1"/>
  <c r="AW370" i="1"/>
  <c r="AX370" i="1"/>
  <c r="AY370" i="1"/>
  <c r="AZ370" i="1"/>
  <c r="BA370" i="1"/>
  <c r="BC370" i="1"/>
  <c r="BD370" i="1"/>
  <c r="BE370" i="1"/>
  <c r="BF370" i="1"/>
  <c r="BG370" i="1"/>
  <c r="BH370" i="1"/>
  <c r="BI370" i="1"/>
  <c r="BJ370" i="1"/>
  <c r="BM370" i="1"/>
  <c r="CA370" i="1"/>
  <c r="CN370" i="1"/>
  <c r="CO370" i="1"/>
  <c r="CP370" i="1"/>
  <c r="CQ370" i="1"/>
  <c r="G1714" i="1"/>
  <c r="U1714" i="1"/>
  <c r="W1714" i="1"/>
  <c r="AE1714" i="1"/>
  <c r="AK1714" i="1"/>
  <c r="AQ1714" i="1"/>
  <c r="AU1714" i="1"/>
  <c r="AV1714" i="1"/>
  <c r="AW1714" i="1"/>
  <c r="AX1714" i="1"/>
  <c r="AY1714" i="1"/>
  <c r="AZ1714" i="1"/>
  <c r="BA1714" i="1"/>
  <c r="BC1714" i="1"/>
  <c r="BD1714" i="1"/>
  <c r="BE1714" i="1"/>
  <c r="BF1714" i="1"/>
  <c r="BG1714" i="1"/>
  <c r="BH1714" i="1"/>
  <c r="BI1714" i="1"/>
  <c r="BJ1714" i="1"/>
  <c r="BM1714" i="1"/>
  <c r="CA1714" i="1"/>
  <c r="CN1714" i="1"/>
  <c r="CO1714" i="1"/>
  <c r="CP1714" i="1"/>
  <c r="CQ1714" i="1"/>
  <c r="G1715" i="1"/>
  <c r="U1715" i="1"/>
  <c r="W1715" i="1"/>
  <c r="AE1715" i="1"/>
  <c r="AK1715" i="1"/>
  <c r="AQ1715" i="1"/>
  <c r="AU1715" i="1"/>
  <c r="AV1715" i="1"/>
  <c r="AW1715" i="1"/>
  <c r="AX1715" i="1"/>
  <c r="AY1715" i="1"/>
  <c r="AZ1715" i="1"/>
  <c r="BA1715" i="1"/>
  <c r="BC1715" i="1"/>
  <c r="BD1715" i="1"/>
  <c r="BE1715" i="1"/>
  <c r="BF1715" i="1"/>
  <c r="BG1715" i="1"/>
  <c r="BH1715" i="1"/>
  <c r="BI1715" i="1"/>
  <c r="BJ1715" i="1"/>
  <c r="BM1715" i="1"/>
  <c r="CA1715" i="1"/>
  <c r="CN1715" i="1"/>
  <c r="CO1715" i="1"/>
  <c r="CP1715" i="1"/>
  <c r="CQ1715" i="1"/>
  <c r="G605" i="1"/>
  <c r="U605" i="1"/>
  <c r="W605" i="1"/>
  <c r="AE605" i="1"/>
  <c r="AK605" i="1"/>
  <c r="AQ605" i="1"/>
  <c r="AU605" i="1"/>
  <c r="AV605" i="1"/>
  <c r="AW605" i="1"/>
  <c r="AX605" i="1"/>
  <c r="AY605" i="1"/>
  <c r="AZ605" i="1"/>
  <c r="BA605" i="1"/>
  <c r="BC605" i="1"/>
  <c r="BD605" i="1"/>
  <c r="BE605" i="1"/>
  <c r="BF605" i="1"/>
  <c r="BG605" i="1"/>
  <c r="BH605" i="1"/>
  <c r="BI605" i="1"/>
  <c r="BJ605" i="1"/>
  <c r="BM605" i="1"/>
  <c r="CA605" i="1"/>
  <c r="CN605" i="1"/>
  <c r="CO605" i="1"/>
  <c r="CP605" i="1"/>
  <c r="CQ605" i="1"/>
  <c r="G1336" i="1"/>
  <c r="U1336" i="1"/>
  <c r="W1336" i="1"/>
  <c r="AE1336" i="1"/>
  <c r="AK1336" i="1"/>
  <c r="AQ1336" i="1"/>
  <c r="AU1336" i="1"/>
  <c r="AV1336" i="1"/>
  <c r="AW1336" i="1"/>
  <c r="AX1336" i="1"/>
  <c r="AY1336" i="1"/>
  <c r="AZ1336" i="1"/>
  <c r="BA1336" i="1"/>
  <c r="BC1336" i="1"/>
  <c r="BD1336" i="1"/>
  <c r="BE1336" i="1"/>
  <c r="BF1336" i="1"/>
  <c r="BG1336" i="1"/>
  <c r="BH1336" i="1"/>
  <c r="BI1336" i="1"/>
  <c r="BJ1336" i="1"/>
  <c r="BM1336" i="1"/>
  <c r="CA1336" i="1"/>
  <c r="CN1336" i="1"/>
  <c r="CO1336" i="1"/>
  <c r="CP1336" i="1"/>
  <c r="CQ1336" i="1"/>
  <c r="G606" i="1"/>
  <c r="U606" i="1"/>
  <c r="W606" i="1"/>
  <c r="AE606" i="1"/>
  <c r="AK606" i="1"/>
  <c r="AQ606" i="1"/>
  <c r="AU606" i="1"/>
  <c r="AV606" i="1"/>
  <c r="AW606" i="1"/>
  <c r="AX606" i="1"/>
  <c r="AY606" i="1"/>
  <c r="AZ606" i="1"/>
  <c r="BA606" i="1"/>
  <c r="BC606" i="1"/>
  <c r="BD606" i="1"/>
  <c r="BE606" i="1"/>
  <c r="BF606" i="1"/>
  <c r="BG606" i="1"/>
  <c r="BH606" i="1"/>
  <c r="BI606" i="1"/>
  <c r="BJ606" i="1"/>
  <c r="BM606" i="1"/>
  <c r="CA606" i="1"/>
  <c r="CN606" i="1"/>
  <c r="CO606" i="1"/>
  <c r="CP606" i="1"/>
  <c r="CQ606" i="1"/>
  <c r="G1716" i="1"/>
  <c r="U1716" i="1"/>
  <c r="W1716" i="1"/>
  <c r="AE1716" i="1"/>
  <c r="AK1716" i="1"/>
  <c r="AQ1716" i="1"/>
  <c r="AU1716" i="1"/>
  <c r="AV1716" i="1"/>
  <c r="AW1716" i="1"/>
  <c r="AX1716" i="1"/>
  <c r="AY1716" i="1"/>
  <c r="AZ1716" i="1"/>
  <c r="BA1716" i="1"/>
  <c r="BC1716" i="1"/>
  <c r="BD1716" i="1"/>
  <c r="BE1716" i="1"/>
  <c r="BF1716" i="1"/>
  <c r="BG1716" i="1"/>
  <c r="BH1716" i="1"/>
  <c r="BI1716" i="1"/>
  <c r="BJ1716" i="1"/>
  <c r="BM1716" i="1"/>
  <c r="CA1716" i="1"/>
  <c r="CN1716" i="1"/>
  <c r="CO1716" i="1"/>
  <c r="CP1716" i="1"/>
  <c r="CQ1716" i="1"/>
  <c r="G607" i="1"/>
  <c r="U607" i="1"/>
  <c r="W607" i="1"/>
  <c r="AE607" i="1"/>
  <c r="AK607" i="1"/>
  <c r="AQ607" i="1"/>
  <c r="AU607" i="1"/>
  <c r="AV607" i="1"/>
  <c r="AW607" i="1"/>
  <c r="AX607" i="1"/>
  <c r="AY607" i="1"/>
  <c r="AZ607" i="1"/>
  <c r="BA607" i="1"/>
  <c r="BC607" i="1"/>
  <c r="BD607" i="1"/>
  <c r="BE607" i="1"/>
  <c r="BF607" i="1"/>
  <c r="BG607" i="1"/>
  <c r="BH607" i="1"/>
  <c r="BI607" i="1"/>
  <c r="BJ607" i="1"/>
  <c r="BM607" i="1"/>
  <c r="CA607" i="1"/>
  <c r="CN607" i="1"/>
  <c r="CO607" i="1"/>
  <c r="CP607" i="1"/>
  <c r="CQ607" i="1"/>
  <c r="G47" i="1"/>
  <c r="U47" i="1"/>
  <c r="W47" i="1"/>
  <c r="AE47" i="1"/>
  <c r="AK47" i="1"/>
  <c r="AQ47" i="1"/>
  <c r="AU47" i="1"/>
  <c r="AV47" i="1"/>
  <c r="AW47" i="1"/>
  <c r="AX47" i="1"/>
  <c r="AY47" i="1"/>
  <c r="AZ47" i="1"/>
  <c r="BA47" i="1"/>
  <c r="BC47" i="1"/>
  <c r="BD47" i="1"/>
  <c r="BE47" i="1"/>
  <c r="BF47" i="1"/>
  <c r="BG47" i="1"/>
  <c r="BH47" i="1"/>
  <c r="BI47" i="1"/>
  <c r="BJ47" i="1"/>
  <c r="BM47" i="1"/>
  <c r="CA47" i="1"/>
  <c r="CN47" i="1"/>
  <c r="CO47" i="1"/>
  <c r="CP47" i="1"/>
  <c r="CQ47" i="1"/>
  <c r="G1717" i="1"/>
  <c r="U1717" i="1"/>
  <c r="W1717" i="1"/>
  <c r="AE1717" i="1"/>
  <c r="AK1717" i="1"/>
  <c r="AQ1717" i="1"/>
  <c r="AU1717" i="1"/>
  <c r="AV1717" i="1"/>
  <c r="AW1717" i="1"/>
  <c r="AX1717" i="1"/>
  <c r="AY1717" i="1"/>
  <c r="AZ1717" i="1"/>
  <c r="BA1717" i="1"/>
  <c r="BC1717" i="1"/>
  <c r="BD1717" i="1"/>
  <c r="BE1717" i="1"/>
  <c r="BF1717" i="1"/>
  <c r="BG1717" i="1"/>
  <c r="BH1717" i="1"/>
  <c r="BI1717" i="1"/>
  <c r="BJ1717" i="1"/>
  <c r="BM1717" i="1"/>
  <c r="CA1717" i="1"/>
  <c r="CN1717" i="1"/>
  <c r="CO1717" i="1"/>
  <c r="CP1717" i="1"/>
  <c r="CQ1717" i="1"/>
  <c r="G1718" i="1"/>
  <c r="U1718" i="1"/>
  <c r="W1718" i="1"/>
  <c r="AE1718" i="1"/>
  <c r="AK1718" i="1"/>
  <c r="AQ1718" i="1"/>
  <c r="AU1718" i="1"/>
  <c r="AV1718" i="1"/>
  <c r="AW1718" i="1"/>
  <c r="AX1718" i="1"/>
  <c r="AY1718" i="1"/>
  <c r="AZ1718" i="1"/>
  <c r="BA1718" i="1"/>
  <c r="BC1718" i="1"/>
  <c r="BD1718" i="1"/>
  <c r="BE1718" i="1"/>
  <c r="BF1718" i="1"/>
  <c r="BG1718" i="1"/>
  <c r="BH1718" i="1"/>
  <c r="BI1718" i="1"/>
  <c r="BJ1718" i="1"/>
  <c r="BM1718" i="1"/>
  <c r="CA1718" i="1"/>
  <c r="CN1718" i="1"/>
  <c r="CO1718" i="1"/>
  <c r="CP1718" i="1"/>
  <c r="CQ1718" i="1"/>
  <c r="G608" i="1"/>
  <c r="U608" i="1"/>
  <c r="W608" i="1"/>
  <c r="AE608" i="1"/>
  <c r="AK608" i="1"/>
  <c r="AQ608" i="1"/>
  <c r="AU608" i="1"/>
  <c r="AV608" i="1"/>
  <c r="AW608" i="1"/>
  <c r="AX608" i="1"/>
  <c r="AY608" i="1"/>
  <c r="AZ608" i="1"/>
  <c r="BA608" i="1"/>
  <c r="BC608" i="1"/>
  <c r="BD608" i="1"/>
  <c r="BE608" i="1"/>
  <c r="BF608" i="1"/>
  <c r="BG608" i="1"/>
  <c r="BH608" i="1"/>
  <c r="BI608" i="1"/>
  <c r="BJ608" i="1"/>
  <c r="BM608" i="1"/>
  <c r="CA608" i="1"/>
  <c r="CN608" i="1"/>
  <c r="CO608" i="1"/>
  <c r="CP608" i="1"/>
  <c r="CQ608" i="1"/>
  <c r="G1337" i="1"/>
  <c r="U1337" i="1"/>
  <c r="W1337" i="1"/>
  <c r="AE1337" i="1"/>
  <c r="AK1337" i="1"/>
  <c r="AQ1337" i="1"/>
  <c r="AU1337" i="1"/>
  <c r="AV1337" i="1"/>
  <c r="AW1337" i="1"/>
  <c r="AX1337" i="1"/>
  <c r="AY1337" i="1"/>
  <c r="AZ1337" i="1"/>
  <c r="BA1337" i="1"/>
  <c r="BC1337" i="1"/>
  <c r="BD1337" i="1"/>
  <c r="BE1337" i="1"/>
  <c r="BF1337" i="1"/>
  <c r="BG1337" i="1"/>
  <c r="BH1337" i="1"/>
  <c r="BI1337" i="1"/>
  <c r="BJ1337" i="1"/>
  <c r="BM1337" i="1"/>
  <c r="CA1337" i="1"/>
  <c r="CN1337" i="1"/>
  <c r="CO1337" i="1"/>
  <c r="CP1337" i="1"/>
  <c r="CQ1337" i="1"/>
  <c r="G1719" i="1"/>
  <c r="U1719" i="1"/>
  <c r="W1719" i="1"/>
  <c r="AE1719" i="1"/>
  <c r="AK1719" i="1"/>
  <c r="AQ1719" i="1"/>
  <c r="AU1719" i="1"/>
  <c r="AV1719" i="1"/>
  <c r="AW1719" i="1"/>
  <c r="AX1719" i="1"/>
  <c r="AY1719" i="1"/>
  <c r="AZ1719" i="1"/>
  <c r="BA1719" i="1"/>
  <c r="BC1719" i="1"/>
  <c r="BD1719" i="1"/>
  <c r="BE1719" i="1"/>
  <c r="BF1719" i="1"/>
  <c r="BG1719" i="1"/>
  <c r="BH1719" i="1"/>
  <c r="BI1719" i="1"/>
  <c r="BJ1719" i="1"/>
  <c r="BM1719" i="1"/>
  <c r="CA1719" i="1"/>
  <c r="CN1719" i="1"/>
  <c r="CO1719" i="1"/>
  <c r="CP1719" i="1"/>
  <c r="CQ1719" i="1"/>
  <c r="G1720" i="1"/>
  <c r="U1720" i="1"/>
  <c r="W1720" i="1"/>
  <c r="AE1720" i="1"/>
  <c r="AK1720" i="1"/>
  <c r="AQ1720" i="1"/>
  <c r="AU1720" i="1"/>
  <c r="AV1720" i="1"/>
  <c r="AW1720" i="1"/>
  <c r="AX1720" i="1"/>
  <c r="AY1720" i="1"/>
  <c r="AZ1720" i="1"/>
  <c r="BA1720" i="1"/>
  <c r="BC1720" i="1"/>
  <c r="BD1720" i="1"/>
  <c r="BE1720" i="1"/>
  <c r="BF1720" i="1"/>
  <c r="BG1720" i="1"/>
  <c r="BH1720" i="1"/>
  <c r="BI1720" i="1"/>
  <c r="BJ1720" i="1"/>
  <c r="BM1720" i="1"/>
  <c r="CA1720" i="1"/>
  <c r="CN1720" i="1"/>
  <c r="CO1720" i="1"/>
  <c r="CP1720" i="1"/>
  <c r="CQ1720" i="1"/>
  <c r="G1721" i="1"/>
  <c r="U1721" i="1"/>
  <c r="W1721" i="1"/>
  <c r="AE1721" i="1"/>
  <c r="AK1721" i="1"/>
  <c r="AQ1721" i="1"/>
  <c r="AU1721" i="1"/>
  <c r="AV1721" i="1"/>
  <c r="AW1721" i="1"/>
  <c r="AX1721" i="1"/>
  <c r="AY1721" i="1"/>
  <c r="AZ1721" i="1"/>
  <c r="BA1721" i="1"/>
  <c r="BC1721" i="1"/>
  <c r="BD1721" i="1"/>
  <c r="BE1721" i="1"/>
  <c r="BF1721" i="1"/>
  <c r="BG1721" i="1"/>
  <c r="BH1721" i="1"/>
  <c r="BI1721" i="1"/>
  <c r="BJ1721" i="1"/>
  <c r="BM1721" i="1"/>
  <c r="CA1721" i="1"/>
  <c r="CN1721" i="1"/>
  <c r="CO1721" i="1"/>
  <c r="CP1721" i="1"/>
  <c r="CQ1721" i="1"/>
  <c r="G1722" i="1"/>
  <c r="U1722" i="1"/>
  <c r="W1722" i="1"/>
  <c r="AE1722" i="1"/>
  <c r="AK1722" i="1"/>
  <c r="AQ1722" i="1"/>
  <c r="AU1722" i="1"/>
  <c r="AV1722" i="1"/>
  <c r="AW1722" i="1"/>
  <c r="AX1722" i="1"/>
  <c r="AY1722" i="1"/>
  <c r="AZ1722" i="1"/>
  <c r="BA1722" i="1"/>
  <c r="BC1722" i="1"/>
  <c r="BD1722" i="1"/>
  <c r="BE1722" i="1"/>
  <c r="BF1722" i="1"/>
  <c r="BG1722" i="1"/>
  <c r="BH1722" i="1"/>
  <c r="BI1722" i="1"/>
  <c r="BJ1722" i="1"/>
  <c r="BM1722" i="1"/>
  <c r="CA1722" i="1"/>
  <c r="CN1722" i="1"/>
  <c r="CO1722" i="1"/>
  <c r="CP1722" i="1"/>
  <c r="CQ1722" i="1"/>
  <c r="G1723" i="1"/>
  <c r="U1723" i="1"/>
  <c r="W1723" i="1"/>
  <c r="AE1723" i="1"/>
  <c r="AK1723" i="1"/>
  <c r="AQ1723" i="1"/>
  <c r="AU1723" i="1"/>
  <c r="AV1723" i="1"/>
  <c r="AW1723" i="1"/>
  <c r="AX1723" i="1"/>
  <c r="AY1723" i="1"/>
  <c r="AZ1723" i="1"/>
  <c r="BA1723" i="1"/>
  <c r="BC1723" i="1"/>
  <c r="BD1723" i="1"/>
  <c r="BE1723" i="1"/>
  <c r="BF1723" i="1"/>
  <c r="BG1723" i="1"/>
  <c r="BH1723" i="1"/>
  <c r="BI1723" i="1"/>
  <c r="BJ1723" i="1"/>
  <c r="BM1723" i="1"/>
  <c r="CA1723" i="1"/>
  <c r="CN1723" i="1"/>
  <c r="CO1723" i="1"/>
  <c r="CP1723" i="1"/>
  <c r="CQ1723" i="1"/>
  <c r="G1338" i="1"/>
  <c r="U1338" i="1"/>
  <c r="W1338" i="1"/>
  <c r="AE1338" i="1"/>
  <c r="AK1338" i="1"/>
  <c r="AQ1338" i="1"/>
  <c r="AU1338" i="1"/>
  <c r="AV1338" i="1"/>
  <c r="AW1338" i="1"/>
  <c r="AX1338" i="1"/>
  <c r="AY1338" i="1"/>
  <c r="AZ1338" i="1"/>
  <c r="BA1338" i="1"/>
  <c r="BC1338" i="1"/>
  <c r="BD1338" i="1"/>
  <c r="BE1338" i="1"/>
  <c r="BF1338" i="1"/>
  <c r="BG1338" i="1"/>
  <c r="BH1338" i="1"/>
  <c r="BI1338" i="1"/>
  <c r="BJ1338" i="1"/>
  <c r="BM1338" i="1"/>
  <c r="CA1338" i="1"/>
  <c r="CN1338" i="1"/>
  <c r="CO1338" i="1"/>
  <c r="CP1338" i="1"/>
  <c r="CQ1338" i="1"/>
  <c r="G609" i="1"/>
  <c r="U609" i="1"/>
  <c r="W609" i="1"/>
  <c r="AE609" i="1"/>
  <c r="AK609" i="1"/>
  <c r="AQ609" i="1"/>
  <c r="AU609" i="1"/>
  <c r="AV609" i="1"/>
  <c r="AW609" i="1"/>
  <c r="AX609" i="1"/>
  <c r="AY609" i="1"/>
  <c r="AZ609" i="1"/>
  <c r="BA609" i="1"/>
  <c r="BC609" i="1"/>
  <c r="BD609" i="1"/>
  <c r="BE609" i="1"/>
  <c r="BF609" i="1"/>
  <c r="BG609" i="1"/>
  <c r="BH609" i="1"/>
  <c r="BI609" i="1"/>
  <c r="BJ609" i="1"/>
  <c r="BM609" i="1"/>
  <c r="CA609" i="1"/>
  <c r="CN609" i="1"/>
  <c r="CO609" i="1"/>
  <c r="CP609" i="1"/>
  <c r="CQ609" i="1"/>
  <c r="G1724" i="1"/>
  <c r="U1724" i="1"/>
  <c r="W1724" i="1"/>
  <c r="AE1724" i="1"/>
  <c r="AK1724" i="1"/>
  <c r="AQ1724" i="1"/>
  <c r="AU1724" i="1"/>
  <c r="AV1724" i="1"/>
  <c r="AW1724" i="1"/>
  <c r="AX1724" i="1"/>
  <c r="AY1724" i="1"/>
  <c r="AZ1724" i="1"/>
  <c r="BA1724" i="1"/>
  <c r="BC1724" i="1"/>
  <c r="BD1724" i="1"/>
  <c r="BE1724" i="1"/>
  <c r="BF1724" i="1"/>
  <c r="BG1724" i="1"/>
  <c r="BH1724" i="1"/>
  <c r="BI1724" i="1"/>
  <c r="BJ1724" i="1"/>
  <c r="BM1724" i="1"/>
  <c r="CA1724" i="1"/>
  <c r="CN1724" i="1"/>
  <c r="CO1724" i="1"/>
  <c r="CP1724" i="1"/>
  <c r="CQ1724" i="1"/>
  <c r="G48" i="1"/>
  <c r="U48" i="1"/>
  <c r="W48" i="1"/>
  <c r="AE48" i="1"/>
  <c r="AK48" i="1"/>
  <c r="AQ48" i="1"/>
  <c r="AU48" i="1"/>
  <c r="AV48" i="1"/>
  <c r="AW48" i="1"/>
  <c r="AX48" i="1"/>
  <c r="AY48" i="1"/>
  <c r="AZ48" i="1"/>
  <c r="BA48" i="1"/>
  <c r="BC48" i="1"/>
  <c r="BD48" i="1"/>
  <c r="BE48" i="1"/>
  <c r="BF48" i="1"/>
  <c r="BG48" i="1"/>
  <c r="BH48" i="1"/>
  <c r="BI48" i="1"/>
  <c r="BJ48" i="1"/>
  <c r="BM48" i="1"/>
  <c r="CA48" i="1"/>
  <c r="CN48" i="1"/>
  <c r="CO48" i="1"/>
  <c r="CP48" i="1"/>
  <c r="CQ48" i="1"/>
  <c r="G1725" i="1"/>
  <c r="U1725" i="1"/>
  <c r="W1725" i="1"/>
  <c r="AE1725" i="1"/>
  <c r="AK1725" i="1"/>
  <c r="AQ1725" i="1"/>
  <c r="AU1725" i="1"/>
  <c r="AV1725" i="1"/>
  <c r="AW1725" i="1"/>
  <c r="AX1725" i="1"/>
  <c r="AY1725" i="1"/>
  <c r="AZ1725" i="1"/>
  <c r="BA1725" i="1"/>
  <c r="BC1725" i="1"/>
  <c r="BD1725" i="1"/>
  <c r="BE1725" i="1"/>
  <c r="BF1725" i="1"/>
  <c r="BG1725" i="1"/>
  <c r="BH1725" i="1"/>
  <c r="BI1725" i="1"/>
  <c r="BJ1725" i="1"/>
  <c r="BM1725" i="1"/>
  <c r="CA1725" i="1"/>
  <c r="CN1725" i="1"/>
  <c r="CO1725" i="1"/>
  <c r="CP1725" i="1"/>
  <c r="CQ1725" i="1"/>
  <c r="G610" i="1"/>
  <c r="U610" i="1"/>
  <c r="W610" i="1"/>
  <c r="AE610" i="1"/>
  <c r="AK610" i="1"/>
  <c r="AQ610" i="1"/>
  <c r="AU610" i="1"/>
  <c r="AV610" i="1"/>
  <c r="AW610" i="1"/>
  <c r="AX610" i="1"/>
  <c r="AY610" i="1"/>
  <c r="AZ610" i="1"/>
  <c r="BA610" i="1"/>
  <c r="BC610" i="1"/>
  <c r="BD610" i="1"/>
  <c r="BE610" i="1"/>
  <c r="BF610" i="1"/>
  <c r="BG610" i="1"/>
  <c r="BH610" i="1"/>
  <c r="BI610" i="1"/>
  <c r="BJ610" i="1"/>
  <c r="BM610" i="1"/>
  <c r="CA610" i="1"/>
  <c r="CN610" i="1"/>
  <c r="CO610" i="1"/>
  <c r="CP610" i="1"/>
  <c r="CQ610" i="1"/>
  <c r="G1726" i="1"/>
  <c r="U1726" i="1"/>
  <c r="W1726" i="1"/>
  <c r="AE1726" i="1"/>
  <c r="AK1726" i="1"/>
  <c r="AQ1726" i="1"/>
  <c r="AU1726" i="1"/>
  <c r="AV1726" i="1"/>
  <c r="AW1726" i="1"/>
  <c r="AX1726" i="1"/>
  <c r="AY1726" i="1"/>
  <c r="AZ1726" i="1"/>
  <c r="BA1726" i="1"/>
  <c r="BC1726" i="1"/>
  <c r="BD1726" i="1"/>
  <c r="BE1726" i="1"/>
  <c r="BF1726" i="1"/>
  <c r="BG1726" i="1"/>
  <c r="BH1726" i="1"/>
  <c r="BI1726" i="1"/>
  <c r="BJ1726" i="1"/>
  <c r="BM1726" i="1"/>
  <c r="CA1726" i="1"/>
  <c r="CN1726" i="1"/>
  <c r="CO1726" i="1"/>
  <c r="CP1726" i="1"/>
  <c r="CQ1726" i="1"/>
  <c r="G49" i="1"/>
  <c r="U49" i="1"/>
  <c r="W49" i="1"/>
  <c r="AE49" i="1"/>
  <c r="AK49" i="1"/>
  <c r="AQ49" i="1"/>
  <c r="AU49" i="1"/>
  <c r="AV49" i="1"/>
  <c r="AW49" i="1"/>
  <c r="AX49" i="1"/>
  <c r="AY49" i="1"/>
  <c r="AZ49" i="1"/>
  <c r="BA49" i="1"/>
  <c r="BC49" i="1"/>
  <c r="BD49" i="1"/>
  <c r="BE49" i="1"/>
  <c r="BF49" i="1"/>
  <c r="BG49" i="1"/>
  <c r="BH49" i="1"/>
  <c r="BI49" i="1"/>
  <c r="BJ49" i="1"/>
  <c r="BM49" i="1"/>
  <c r="CA49" i="1"/>
  <c r="CN49" i="1"/>
  <c r="CO49" i="1"/>
  <c r="CP49" i="1"/>
  <c r="CQ49" i="1"/>
  <c r="G1727" i="1"/>
  <c r="U1727" i="1"/>
  <c r="W1727" i="1"/>
  <c r="AE1727" i="1"/>
  <c r="AK1727" i="1"/>
  <c r="AQ1727" i="1"/>
  <c r="AU1727" i="1"/>
  <c r="AV1727" i="1"/>
  <c r="AW1727" i="1"/>
  <c r="AX1727" i="1"/>
  <c r="AY1727" i="1"/>
  <c r="AZ1727" i="1"/>
  <c r="BA1727" i="1"/>
  <c r="BC1727" i="1"/>
  <c r="BD1727" i="1"/>
  <c r="BE1727" i="1"/>
  <c r="BF1727" i="1"/>
  <c r="BG1727" i="1"/>
  <c r="BH1727" i="1"/>
  <c r="BI1727" i="1"/>
  <c r="BJ1727" i="1"/>
  <c r="BM1727" i="1"/>
  <c r="CA1727" i="1"/>
  <c r="CN1727" i="1"/>
  <c r="CO1727" i="1"/>
  <c r="CP1727" i="1"/>
  <c r="CQ1727" i="1"/>
  <c r="G1728" i="1"/>
  <c r="U1728" i="1"/>
  <c r="W1728" i="1"/>
  <c r="AE1728" i="1"/>
  <c r="AK1728" i="1"/>
  <c r="AQ1728" i="1"/>
  <c r="AU1728" i="1"/>
  <c r="AV1728" i="1"/>
  <c r="AW1728" i="1"/>
  <c r="AX1728" i="1"/>
  <c r="AY1728" i="1"/>
  <c r="AZ1728" i="1"/>
  <c r="BA1728" i="1"/>
  <c r="BC1728" i="1"/>
  <c r="BD1728" i="1"/>
  <c r="BE1728" i="1"/>
  <c r="BF1728" i="1"/>
  <c r="BG1728" i="1"/>
  <c r="BH1728" i="1"/>
  <c r="BI1728" i="1"/>
  <c r="BJ1728" i="1"/>
  <c r="BM1728" i="1"/>
  <c r="CA1728" i="1"/>
  <c r="CN1728" i="1"/>
  <c r="CO1728" i="1"/>
  <c r="CP1728" i="1"/>
  <c r="CQ1728" i="1"/>
  <c r="G1729" i="1"/>
  <c r="U1729" i="1"/>
  <c r="W1729" i="1"/>
  <c r="AE1729" i="1"/>
  <c r="AK1729" i="1"/>
  <c r="AQ1729" i="1"/>
  <c r="AU1729" i="1"/>
  <c r="AV1729" i="1"/>
  <c r="AW1729" i="1"/>
  <c r="AX1729" i="1"/>
  <c r="AY1729" i="1"/>
  <c r="AZ1729" i="1"/>
  <c r="BA1729" i="1"/>
  <c r="BC1729" i="1"/>
  <c r="BD1729" i="1"/>
  <c r="BE1729" i="1"/>
  <c r="BF1729" i="1"/>
  <c r="BG1729" i="1"/>
  <c r="BH1729" i="1"/>
  <c r="BI1729" i="1"/>
  <c r="BJ1729" i="1"/>
  <c r="BM1729" i="1"/>
  <c r="CA1729" i="1"/>
  <c r="CN1729" i="1"/>
  <c r="CO1729" i="1"/>
  <c r="CP1729" i="1"/>
  <c r="CQ1729" i="1"/>
  <c r="G611" i="1"/>
  <c r="U611" i="1"/>
  <c r="W611" i="1"/>
  <c r="AE611" i="1"/>
  <c r="AK611" i="1"/>
  <c r="AQ611" i="1"/>
  <c r="AU611" i="1"/>
  <c r="AV611" i="1"/>
  <c r="AW611" i="1"/>
  <c r="AX611" i="1"/>
  <c r="AY611" i="1"/>
  <c r="AZ611" i="1"/>
  <c r="BA611" i="1"/>
  <c r="BC611" i="1"/>
  <c r="BD611" i="1"/>
  <c r="BE611" i="1"/>
  <c r="BF611" i="1"/>
  <c r="BG611" i="1"/>
  <c r="BH611" i="1"/>
  <c r="BI611" i="1"/>
  <c r="BJ611" i="1"/>
  <c r="BM611" i="1"/>
  <c r="CA611" i="1"/>
  <c r="CN611" i="1"/>
  <c r="CO611" i="1"/>
  <c r="CP611" i="1"/>
  <c r="CQ611" i="1"/>
  <c r="G612" i="1"/>
  <c r="U612" i="1"/>
  <c r="W612" i="1"/>
  <c r="AE612" i="1"/>
  <c r="AK612" i="1"/>
  <c r="AQ612" i="1"/>
  <c r="AU612" i="1"/>
  <c r="AV612" i="1"/>
  <c r="AW612" i="1"/>
  <c r="AX612" i="1"/>
  <c r="AY612" i="1"/>
  <c r="AZ612" i="1"/>
  <c r="BA612" i="1"/>
  <c r="BC612" i="1"/>
  <c r="BD612" i="1"/>
  <c r="BE612" i="1"/>
  <c r="BF612" i="1"/>
  <c r="BG612" i="1"/>
  <c r="BH612" i="1"/>
  <c r="BI612" i="1"/>
  <c r="BJ612" i="1"/>
  <c r="BM612" i="1"/>
  <c r="CA612" i="1"/>
  <c r="CN612" i="1"/>
  <c r="CO612" i="1"/>
  <c r="CP612" i="1"/>
  <c r="CQ612" i="1"/>
  <c r="G613" i="1"/>
  <c r="U613" i="1"/>
  <c r="W613" i="1"/>
  <c r="AE613" i="1"/>
  <c r="AK613" i="1"/>
  <c r="AQ613" i="1"/>
  <c r="AU613" i="1"/>
  <c r="AV613" i="1"/>
  <c r="AW613" i="1"/>
  <c r="AX613" i="1"/>
  <c r="AY613" i="1"/>
  <c r="AZ613" i="1"/>
  <c r="BA613" i="1"/>
  <c r="BC613" i="1"/>
  <c r="BD613" i="1"/>
  <c r="BE613" i="1"/>
  <c r="BF613" i="1"/>
  <c r="BG613" i="1"/>
  <c r="BH613" i="1"/>
  <c r="BI613" i="1"/>
  <c r="BJ613" i="1"/>
  <c r="BM613" i="1"/>
  <c r="CA613" i="1"/>
  <c r="CN613" i="1"/>
  <c r="CO613" i="1"/>
  <c r="CP613" i="1"/>
  <c r="CQ613" i="1"/>
  <c r="G1339" i="1"/>
  <c r="U1339" i="1"/>
  <c r="W1339" i="1"/>
  <c r="AE1339" i="1"/>
  <c r="AK1339" i="1"/>
  <c r="AQ1339" i="1"/>
  <c r="AU1339" i="1"/>
  <c r="AV1339" i="1"/>
  <c r="AW1339" i="1"/>
  <c r="AX1339" i="1"/>
  <c r="AY1339" i="1"/>
  <c r="AZ1339" i="1"/>
  <c r="BA1339" i="1"/>
  <c r="BC1339" i="1"/>
  <c r="BD1339" i="1"/>
  <c r="BE1339" i="1"/>
  <c r="BF1339" i="1"/>
  <c r="BG1339" i="1"/>
  <c r="BH1339" i="1"/>
  <c r="BI1339" i="1"/>
  <c r="BJ1339" i="1"/>
  <c r="BM1339" i="1"/>
  <c r="CA1339" i="1"/>
  <c r="CN1339" i="1"/>
  <c r="CO1339" i="1"/>
  <c r="CP1339" i="1"/>
  <c r="CQ1339" i="1"/>
  <c r="G1730" i="1"/>
  <c r="U1730" i="1"/>
  <c r="W1730" i="1"/>
  <c r="AE1730" i="1"/>
  <c r="AK1730" i="1"/>
  <c r="AQ1730" i="1"/>
  <c r="AU1730" i="1"/>
  <c r="AV1730" i="1"/>
  <c r="AW1730" i="1"/>
  <c r="AX1730" i="1"/>
  <c r="AY1730" i="1"/>
  <c r="AZ1730" i="1"/>
  <c r="BA1730" i="1"/>
  <c r="BC1730" i="1"/>
  <c r="BD1730" i="1"/>
  <c r="BE1730" i="1"/>
  <c r="BF1730" i="1"/>
  <c r="BG1730" i="1"/>
  <c r="BH1730" i="1"/>
  <c r="BI1730" i="1"/>
  <c r="BJ1730" i="1"/>
  <c r="BM1730" i="1"/>
  <c r="CA1730" i="1"/>
  <c r="CN1730" i="1"/>
  <c r="CO1730" i="1"/>
  <c r="CP1730" i="1"/>
  <c r="CQ1730" i="1"/>
  <c r="G1731" i="1"/>
  <c r="U1731" i="1"/>
  <c r="W1731" i="1"/>
  <c r="AE1731" i="1"/>
  <c r="AK1731" i="1"/>
  <c r="AQ1731" i="1"/>
  <c r="AU1731" i="1"/>
  <c r="AV1731" i="1"/>
  <c r="AW1731" i="1"/>
  <c r="AX1731" i="1"/>
  <c r="AY1731" i="1"/>
  <c r="AZ1731" i="1"/>
  <c r="BA1731" i="1"/>
  <c r="BC1731" i="1"/>
  <c r="BD1731" i="1"/>
  <c r="BE1731" i="1"/>
  <c r="BF1731" i="1"/>
  <c r="BG1731" i="1"/>
  <c r="BH1731" i="1"/>
  <c r="BI1731" i="1"/>
  <c r="BJ1731" i="1"/>
  <c r="BM1731" i="1"/>
  <c r="CA1731" i="1"/>
  <c r="CN1731" i="1"/>
  <c r="CO1731" i="1"/>
  <c r="CP1731" i="1"/>
  <c r="CQ1731" i="1"/>
  <c r="G371" i="1"/>
  <c r="U371" i="1"/>
  <c r="W371" i="1"/>
  <c r="AE371" i="1"/>
  <c r="AK371" i="1"/>
  <c r="AQ371" i="1"/>
  <c r="AU371" i="1"/>
  <c r="AV371" i="1"/>
  <c r="AW371" i="1"/>
  <c r="AX371" i="1"/>
  <c r="AY371" i="1"/>
  <c r="AZ371" i="1"/>
  <c r="BA371" i="1"/>
  <c r="BC371" i="1"/>
  <c r="BD371" i="1"/>
  <c r="BE371" i="1"/>
  <c r="BF371" i="1"/>
  <c r="BG371" i="1"/>
  <c r="BH371" i="1"/>
  <c r="BI371" i="1"/>
  <c r="BJ371" i="1"/>
  <c r="BM371" i="1"/>
  <c r="CA371" i="1"/>
  <c r="CN371" i="1"/>
  <c r="CO371" i="1"/>
  <c r="CP371" i="1"/>
  <c r="CQ371" i="1"/>
  <c r="G1732" i="1"/>
  <c r="U1732" i="1"/>
  <c r="W1732" i="1"/>
  <c r="AE1732" i="1"/>
  <c r="AK1732" i="1"/>
  <c r="AQ1732" i="1"/>
  <c r="AU1732" i="1"/>
  <c r="AV1732" i="1"/>
  <c r="AW1732" i="1"/>
  <c r="AX1732" i="1"/>
  <c r="AY1732" i="1"/>
  <c r="AZ1732" i="1"/>
  <c r="BA1732" i="1"/>
  <c r="BC1732" i="1"/>
  <c r="BD1732" i="1"/>
  <c r="BE1732" i="1"/>
  <c r="BF1732" i="1"/>
  <c r="BG1732" i="1"/>
  <c r="BH1732" i="1"/>
  <c r="BI1732" i="1"/>
  <c r="BJ1732" i="1"/>
  <c r="BM1732" i="1"/>
  <c r="CA1732" i="1"/>
  <c r="CN1732" i="1"/>
  <c r="CO1732" i="1"/>
  <c r="CP1732" i="1"/>
  <c r="CQ1732" i="1"/>
  <c r="G50" i="1"/>
  <c r="U50" i="1"/>
  <c r="W50" i="1"/>
  <c r="AE50" i="1"/>
  <c r="AK50" i="1"/>
  <c r="AQ50" i="1"/>
  <c r="AU50" i="1"/>
  <c r="AV50" i="1"/>
  <c r="AW50" i="1"/>
  <c r="AX50" i="1"/>
  <c r="AY50" i="1"/>
  <c r="AZ50" i="1"/>
  <c r="BA50" i="1"/>
  <c r="BC50" i="1"/>
  <c r="BD50" i="1"/>
  <c r="BE50" i="1"/>
  <c r="BF50" i="1"/>
  <c r="BG50" i="1"/>
  <c r="BH50" i="1"/>
  <c r="BI50" i="1"/>
  <c r="BJ50" i="1"/>
  <c r="BM50" i="1"/>
  <c r="CA50" i="1"/>
  <c r="CN50" i="1"/>
  <c r="CO50" i="1"/>
  <c r="CP50" i="1"/>
  <c r="CQ50" i="1"/>
  <c r="G1733" i="1"/>
  <c r="U1733" i="1"/>
  <c r="W1733" i="1"/>
  <c r="AE1733" i="1"/>
  <c r="AK1733" i="1"/>
  <c r="AQ1733" i="1"/>
  <c r="AU1733" i="1"/>
  <c r="AV1733" i="1"/>
  <c r="AW1733" i="1"/>
  <c r="AX1733" i="1"/>
  <c r="AY1733" i="1"/>
  <c r="AZ1733" i="1"/>
  <c r="BA1733" i="1"/>
  <c r="BC1733" i="1"/>
  <c r="BD1733" i="1"/>
  <c r="BE1733" i="1"/>
  <c r="BF1733" i="1"/>
  <c r="BG1733" i="1"/>
  <c r="BH1733" i="1"/>
  <c r="BI1733" i="1"/>
  <c r="BJ1733" i="1"/>
  <c r="BM1733" i="1"/>
  <c r="CA1733" i="1"/>
  <c r="CN1733" i="1"/>
  <c r="CO1733" i="1"/>
  <c r="CP1733" i="1"/>
  <c r="CQ1733" i="1"/>
  <c r="G614" i="1"/>
  <c r="U614" i="1"/>
  <c r="W614" i="1"/>
  <c r="AE614" i="1"/>
  <c r="AK614" i="1"/>
  <c r="AQ614" i="1"/>
  <c r="AU614" i="1"/>
  <c r="AV614" i="1"/>
  <c r="AW614" i="1"/>
  <c r="AX614" i="1"/>
  <c r="AY614" i="1"/>
  <c r="AZ614" i="1"/>
  <c r="BA614" i="1"/>
  <c r="BC614" i="1"/>
  <c r="BD614" i="1"/>
  <c r="BE614" i="1"/>
  <c r="BF614" i="1"/>
  <c r="BG614" i="1"/>
  <c r="BH614" i="1"/>
  <c r="BI614" i="1"/>
  <c r="BJ614" i="1"/>
  <c r="BM614" i="1"/>
  <c r="CA614" i="1"/>
  <c r="CN614" i="1"/>
  <c r="CO614" i="1"/>
  <c r="CP614" i="1"/>
  <c r="CQ614" i="1"/>
  <c r="G372" i="1"/>
  <c r="U372" i="1"/>
  <c r="W372" i="1"/>
  <c r="AE372" i="1"/>
  <c r="AK372" i="1"/>
  <c r="AQ372" i="1"/>
  <c r="AU372" i="1"/>
  <c r="AV372" i="1"/>
  <c r="AW372" i="1"/>
  <c r="AX372" i="1"/>
  <c r="AY372" i="1"/>
  <c r="AZ372" i="1"/>
  <c r="BA372" i="1"/>
  <c r="BC372" i="1"/>
  <c r="BD372" i="1"/>
  <c r="BE372" i="1"/>
  <c r="BF372" i="1"/>
  <c r="BG372" i="1"/>
  <c r="BH372" i="1"/>
  <c r="BI372" i="1"/>
  <c r="BJ372" i="1"/>
  <c r="BM372" i="1"/>
  <c r="CA372" i="1"/>
  <c r="CN372" i="1"/>
  <c r="CO372" i="1"/>
  <c r="CP372" i="1"/>
  <c r="CQ372" i="1"/>
  <c r="G1734" i="1"/>
  <c r="U1734" i="1"/>
  <c r="W1734" i="1"/>
  <c r="AE1734" i="1"/>
  <c r="AK1734" i="1"/>
  <c r="AQ1734" i="1"/>
  <c r="AU1734" i="1"/>
  <c r="AV1734" i="1"/>
  <c r="AW1734" i="1"/>
  <c r="AX1734" i="1"/>
  <c r="AY1734" i="1"/>
  <c r="AZ1734" i="1"/>
  <c r="BA1734" i="1"/>
  <c r="BC1734" i="1"/>
  <c r="BD1734" i="1"/>
  <c r="BE1734" i="1"/>
  <c r="BF1734" i="1"/>
  <c r="BG1734" i="1"/>
  <c r="BH1734" i="1"/>
  <c r="BI1734" i="1"/>
  <c r="BJ1734" i="1"/>
  <c r="BM1734" i="1"/>
  <c r="CA1734" i="1"/>
  <c r="CN1734" i="1"/>
  <c r="CO1734" i="1"/>
  <c r="CP1734" i="1"/>
  <c r="CQ1734" i="1"/>
  <c r="G1340" i="1"/>
  <c r="U1340" i="1"/>
  <c r="W1340" i="1"/>
  <c r="AE1340" i="1"/>
  <c r="AK1340" i="1"/>
  <c r="AQ1340" i="1"/>
  <c r="AU1340" i="1"/>
  <c r="AV1340" i="1"/>
  <c r="AW1340" i="1"/>
  <c r="AX1340" i="1"/>
  <c r="AY1340" i="1"/>
  <c r="AZ1340" i="1"/>
  <c r="BA1340" i="1"/>
  <c r="BC1340" i="1"/>
  <c r="BD1340" i="1"/>
  <c r="BE1340" i="1"/>
  <c r="BF1340" i="1"/>
  <c r="BG1340" i="1"/>
  <c r="BH1340" i="1"/>
  <c r="BI1340" i="1"/>
  <c r="BJ1340" i="1"/>
  <c r="BM1340" i="1"/>
  <c r="CA1340" i="1"/>
  <c r="CN1340" i="1"/>
  <c r="CO1340" i="1"/>
  <c r="CP1340" i="1"/>
  <c r="CQ1340" i="1"/>
  <c r="G1735" i="1"/>
  <c r="U1735" i="1"/>
  <c r="W1735" i="1"/>
  <c r="AE1735" i="1"/>
  <c r="AK1735" i="1"/>
  <c r="AQ1735" i="1"/>
  <c r="AU1735" i="1"/>
  <c r="AV1735" i="1"/>
  <c r="AW1735" i="1"/>
  <c r="AX1735" i="1"/>
  <c r="AY1735" i="1"/>
  <c r="AZ1735" i="1"/>
  <c r="BA1735" i="1"/>
  <c r="BC1735" i="1"/>
  <c r="BD1735" i="1"/>
  <c r="BE1735" i="1"/>
  <c r="BF1735" i="1"/>
  <c r="BG1735" i="1"/>
  <c r="BH1735" i="1"/>
  <c r="BI1735" i="1"/>
  <c r="BJ1735" i="1"/>
  <c r="BM1735" i="1"/>
  <c r="CA1735" i="1"/>
  <c r="CN1735" i="1"/>
  <c r="CO1735" i="1"/>
  <c r="CP1735" i="1"/>
  <c r="CQ1735" i="1"/>
  <c r="G615" i="1"/>
  <c r="U615" i="1"/>
  <c r="W615" i="1"/>
  <c r="AE615" i="1"/>
  <c r="AK615" i="1"/>
  <c r="AQ615" i="1"/>
  <c r="AU615" i="1"/>
  <c r="AV615" i="1"/>
  <c r="AW615" i="1"/>
  <c r="AX615" i="1"/>
  <c r="AY615" i="1"/>
  <c r="AZ615" i="1"/>
  <c r="BA615" i="1"/>
  <c r="BC615" i="1"/>
  <c r="BD615" i="1"/>
  <c r="BE615" i="1"/>
  <c r="BF615" i="1"/>
  <c r="BG615" i="1"/>
  <c r="BH615" i="1"/>
  <c r="BI615" i="1"/>
  <c r="BJ615" i="1"/>
  <c r="BM615" i="1"/>
  <c r="CA615" i="1"/>
  <c r="CN615" i="1"/>
  <c r="CO615" i="1"/>
  <c r="CP615" i="1"/>
  <c r="CQ615" i="1"/>
  <c r="G51" i="1"/>
  <c r="U51" i="1"/>
  <c r="W51" i="1"/>
  <c r="AE51" i="1"/>
  <c r="AK51" i="1"/>
  <c r="AQ51" i="1"/>
  <c r="AU51" i="1"/>
  <c r="AV51" i="1"/>
  <c r="AW51" i="1"/>
  <c r="AX51" i="1"/>
  <c r="AY51" i="1"/>
  <c r="AZ51" i="1"/>
  <c r="BA51" i="1"/>
  <c r="BC51" i="1"/>
  <c r="BD51" i="1"/>
  <c r="BE51" i="1"/>
  <c r="BF51" i="1"/>
  <c r="BG51" i="1"/>
  <c r="BH51" i="1"/>
  <c r="BI51" i="1"/>
  <c r="BJ51" i="1"/>
  <c r="BM51" i="1"/>
  <c r="CA51" i="1"/>
  <c r="CN51" i="1"/>
  <c r="CO51" i="1"/>
  <c r="CP51" i="1"/>
  <c r="CQ51" i="1"/>
  <c r="G616" i="1"/>
  <c r="U616" i="1"/>
  <c r="W616" i="1"/>
  <c r="AE616" i="1"/>
  <c r="AK616" i="1"/>
  <c r="AQ616" i="1"/>
  <c r="AU616" i="1"/>
  <c r="AV616" i="1"/>
  <c r="AW616" i="1"/>
  <c r="AX616" i="1"/>
  <c r="AY616" i="1"/>
  <c r="AZ616" i="1"/>
  <c r="BA616" i="1"/>
  <c r="BC616" i="1"/>
  <c r="BD616" i="1"/>
  <c r="BE616" i="1"/>
  <c r="BF616" i="1"/>
  <c r="BG616" i="1"/>
  <c r="BH616" i="1"/>
  <c r="BI616" i="1"/>
  <c r="BJ616" i="1"/>
  <c r="BM616" i="1"/>
  <c r="CA616" i="1"/>
  <c r="CN616" i="1"/>
  <c r="CO616" i="1"/>
  <c r="CP616" i="1"/>
  <c r="CQ616" i="1"/>
  <c r="G52" i="1"/>
  <c r="U52" i="1"/>
  <c r="W52" i="1"/>
  <c r="AE52" i="1"/>
  <c r="AK52" i="1"/>
  <c r="AQ52" i="1"/>
  <c r="AU52" i="1"/>
  <c r="AV52" i="1"/>
  <c r="AW52" i="1"/>
  <c r="AX52" i="1"/>
  <c r="AY52" i="1"/>
  <c r="AZ52" i="1"/>
  <c r="BA52" i="1"/>
  <c r="BC52" i="1"/>
  <c r="BD52" i="1"/>
  <c r="BE52" i="1"/>
  <c r="BF52" i="1"/>
  <c r="BG52" i="1"/>
  <c r="BH52" i="1"/>
  <c r="BI52" i="1"/>
  <c r="BJ52" i="1"/>
  <c r="BM52" i="1"/>
  <c r="CA52" i="1"/>
  <c r="CN52" i="1"/>
  <c r="CO52" i="1"/>
  <c r="CP52" i="1"/>
  <c r="CQ52" i="1"/>
  <c r="G617" i="1"/>
  <c r="U617" i="1"/>
  <c r="W617" i="1"/>
  <c r="AE617" i="1"/>
  <c r="AK617" i="1"/>
  <c r="AQ617" i="1"/>
  <c r="AU617" i="1"/>
  <c r="AV617" i="1"/>
  <c r="AW617" i="1"/>
  <c r="AX617" i="1"/>
  <c r="AY617" i="1"/>
  <c r="AZ617" i="1"/>
  <c r="BA617" i="1"/>
  <c r="BC617" i="1"/>
  <c r="BD617" i="1"/>
  <c r="BE617" i="1"/>
  <c r="BF617" i="1"/>
  <c r="BG617" i="1"/>
  <c r="BH617" i="1"/>
  <c r="BI617" i="1"/>
  <c r="BJ617" i="1"/>
  <c r="BM617" i="1"/>
  <c r="CA617" i="1"/>
  <c r="CN617" i="1"/>
  <c r="CO617" i="1"/>
  <c r="CP617" i="1"/>
  <c r="CQ617" i="1"/>
  <c r="G1341" i="1"/>
  <c r="U1341" i="1"/>
  <c r="W1341" i="1"/>
  <c r="AE1341" i="1"/>
  <c r="AK1341" i="1"/>
  <c r="AQ1341" i="1"/>
  <c r="AU1341" i="1"/>
  <c r="AV1341" i="1"/>
  <c r="AW1341" i="1"/>
  <c r="AX1341" i="1"/>
  <c r="AY1341" i="1"/>
  <c r="AZ1341" i="1"/>
  <c r="BA1341" i="1"/>
  <c r="BC1341" i="1"/>
  <c r="BD1341" i="1"/>
  <c r="BE1341" i="1"/>
  <c r="BF1341" i="1"/>
  <c r="BG1341" i="1"/>
  <c r="BH1341" i="1"/>
  <c r="BI1341" i="1"/>
  <c r="BJ1341" i="1"/>
  <c r="BM1341" i="1"/>
  <c r="CA1341" i="1"/>
  <c r="CN1341" i="1"/>
  <c r="CO1341" i="1"/>
  <c r="CP1341" i="1"/>
  <c r="CQ1341" i="1"/>
  <c r="G618" i="1"/>
  <c r="U618" i="1"/>
  <c r="W618" i="1"/>
  <c r="AE618" i="1"/>
  <c r="AK618" i="1"/>
  <c r="AQ618" i="1"/>
  <c r="AU618" i="1"/>
  <c r="AV618" i="1"/>
  <c r="AW618" i="1"/>
  <c r="AX618" i="1"/>
  <c r="AY618" i="1"/>
  <c r="AZ618" i="1"/>
  <c r="BA618" i="1"/>
  <c r="BC618" i="1"/>
  <c r="BD618" i="1"/>
  <c r="BE618" i="1"/>
  <c r="BF618" i="1"/>
  <c r="BG618" i="1"/>
  <c r="BH618" i="1"/>
  <c r="BI618" i="1"/>
  <c r="BJ618" i="1"/>
  <c r="BM618" i="1"/>
  <c r="CA618" i="1"/>
  <c r="CN618" i="1"/>
  <c r="CO618" i="1"/>
  <c r="CP618" i="1"/>
  <c r="CQ618" i="1"/>
  <c r="G619" i="1"/>
  <c r="U619" i="1"/>
  <c r="W619" i="1"/>
  <c r="AE619" i="1"/>
  <c r="AK619" i="1"/>
  <c r="AQ619" i="1"/>
  <c r="AU619" i="1"/>
  <c r="AV619" i="1"/>
  <c r="AW619" i="1"/>
  <c r="AX619" i="1"/>
  <c r="AY619" i="1"/>
  <c r="AZ619" i="1"/>
  <c r="BA619" i="1"/>
  <c r="BC619" i="1"/>
  <c r="BD619" i="1"/>
  <c r="BE619" i="1"/>
  <c r="BF619" i="1"/>
  <c r="BG619" i="1"/>
  <c r="BH619" i="1"/>
  <c r="BI619" i="1"/>
  <c r="BJ619" i="1"/>
  <c r="BM619" i="1"/>
  <c r="CA619" i="1"/>
  <c r="CN619" i="1"/>
  <c r="CO619" i="1"/>
  <c r="CP619" i="1"/>
  <c r="CQ619" i="1"/>
  <c r="G620" i="1"/>
  <c r="U620" i="1"/>
  <c r="W620" i="1"/>
  <c r="AE620" i="1"/>
  <c r="AK620" i="1"/>
  <c r="AQ620" i="1"/>
  <c r="AU620" i="1"/>
  <c r="AV620" i="1"/>
  <c r="AW620" i="1"/>
  <c r="AX620" i="1"/>
  <c r="AY620" i="1"/>
  <c r="AZ620" i="1"/>
  <c r="BA620" i="1"/>
  <c r="BC620" i="1"/>
  <c r="BD620" i="1"/>
  <c r="BE620" i="1"/>
  <c r="BF620" i="1"/>
  <c r="BG620" i="1"/>
  <c r="BH620" i="1"/>
  <c r="BI620" i="1"/>
  <c r="BJ620" i="1"/>
  <c r="BM620" i="1"/>
  <c r="CA620" i="1"/>
  <c r="CN620" i="1"/>
  <c r="CO620" i="1"/>
  <c r="CP620" i="1"/>
  <c r="CQ620" i="1"/>
  <c r="G1736" i="1"/>
  <c r="U1736" i="1"/>
  <c r="W1736" i="1"/>
  <c r="AE1736" i="1"/>
  <c r="AK1736" i="1"/>
  <c r="AQ1736" i="1"/>
  <c r="AU1736" i="1"/>
  <c r="AV1736" i="1"/>
  <c r="AW1736" i="1"/>
  <c r="AX1736" i="1"/>
  <c r="AY1736" i="1"/>
  <c r="AZ1736" i="1"/>
  <c r="BA1736" i="1"/>
  <c r="BC1736" i="1"/>
  <c r="BD1736" i="1"/>
  <c r="BE1736" i="1"/>
  <c r="BF1736" i="1"/>
  <c r="BG1736" i="1"/>
  <c r="BH1736" i="1"/>
  <c r="BI1736" i="1"/>
  <c r="BJ1736" i="1"/>
  <c r="BM1736" i="1"/>
  <c r="CA1736" i="1"/>
  <c r="CN1736" i="1"/>
  <c r="CO1736" i="1"/>
  <c r="CP1736" i="1"/>
  <c r="CQ1736" i="1"/>
  <c r="G621" i="1"/>
  <c r="U621" i="1"/>
  <c r="W621" i="1"/>
  <c r="AE621" i="1"/>
  <c r="AK621" i="1"/>
  <c r="AQ621" i="1"/>
  <c r="AU621" i="1"/>
  <c r="AV621" i="1"/>
  <c r="AW621" i="1"/>
  <c r="AX621" i="1"/>
  <c r="AY621" i="1"/>
  <c r="AZ621" i="1"/>
  <c r="BA621" i="1"/>
  <c r="BC621" i="1"/>
  <c r="BD621" i="1"/>
  <c r="BE621" i="1"/>
  <c r="BF621" i="1"/>
  <c r="BG621" i="1"/>
  <c r="BH621" i="1"/>
  <c r="BI621" i="1"/>
  <c r="BJ621" i="1"/>
  <c r="BM621" i="1"/>
  <c r="CA621" i="1"/>
  <c r="CN621" i="1"/>
  <c r="CO621" i="1"/>
  <c r="CP621" i="1"/>
  <c r="CQ621" i="1"/>
  <c r="G622" i="1"/>
  <c r="U622" i="1"/>
  <c r="W622" i="1"/>
  <c r="AE622" i="1"/>
  <c r="AK622" i="1"/>
  <c r="AQ622" i="1"/>
  <c r="AU622" i="1"/>
  <c r="AV622" i="1"/>
  <c r="AW622" i="1"/>
  <c r="AX622" i="1"/>
  <c r="AY622" i="1"/>
  <c r="AZ622" i="1"/>
  <c r="BA622" i="1"/>
  <c r="BC622" i="1"/>
  <c r="BD622" i="1"/>
  <c r="BE622" i="1"/>
  <c r="BF622" i="1"/>
  <c r="BG622" i="1"/>
  <c r="BH622" i="1"/>
  <c r="BI622" i="1"/>
  <c r="BJ622" i="1"/>
  <c r="BM622" i="1"/>
  <c r="CA622" i="1"/>
  <c r="CN622" i="1"/>
  <c r="CO622" i="1"/>
  <c r="CP622" i="1"/>
  <c r="CQ622" i="1"/>
  <c r="G623" i="1"/>
  <c r="U623" i="1"/>
  <c r="W623" i="1"/>
  <c r="AE623" i="1"/>
  <c r="AK623" i="1"/>
  <c r="AQ623" i="1"/>
  <c r="AU623" i="1"/>
  <c r="AV623" i="1"/>
  <c r="AW623" i="1"/>
  <c r="AX623" i="1"/>
  <c r="AY623" i="1"/>
  <c r="AZ623" i="1"/>
  <c r="BA623" i="1"/>
  <c r="BC623" i="1"/>
  <c r="BD623" i="1"/>
  <c r="BE623" i="1"/>
  <c r="BF623" i="1"/>
  <c r="BG623" i="1"/>
  <c r="BH623" i="1"/>
  <c r="BI623" i="1"/>
  <c r="BJ623" i="1"/>
  <c r="BM623" i="1"/>
  <c r="CA623" i="1"/>
  <c r="CN623" i="1"/>
  <c r="CO623" i="1"/>
  <c r="CP623" i="1"/>
  <c r="CQ623" i="1"/>
  <c r="G624" i="1"/>
  <c r="U624" i="1"/>
  <c r="W624" i="1"/>
  <c r="AE624" i="1"/>
  <c r="AK624" i="1"/>
  <c r="AQ624" i="1"/>
  <c r="AU624" i="1"/>
  <c r="AV624" i="1"/>
  <c r="AW624" i="1"/>
  <c r="AX624" i="1"/>
  <c r="AY624" i="1"/>
  <c r="AZ624" i="1"/>
  <c r="BA624" i="1"/>
  <c r="BC624" i="1"/>
  <c r="BD624" i="1"/>
  <c r="BE624" i="1"/>
  <c r="BF624" i="1"/>
  <c r="BG624" i="1"/>
  <c r="BH624" i="1"/>
  <c r="BI624" i="1"/>
  <c r="BJ624" i="1"/>
  <c r="BM624" i="1"/>
  <c r="CA624" i="1"/>
  <c r="CN624" i="1"/>
  <c r="CO624" i="1"/>
  <c r="CP624" i="1"/>
  <c r="CQ624" i="1"/>
  <c r="G53" i="1"/>
  <c r="U53" i="1"/>
  <c r="W53" i="1"/>
  <c r="AE53" i="1"/>
  <c r="AK53" i="1"/>
  <c r="AQ53" i="1"/>
  <c r="AU53" i="1"/>
  <c r="AV53" i="1"/>
  <c r="AW53" i="1"/>
  <c r="AX53" i="1"/>
  <c r="AY53" i="1"/>
  <c r="AZ53" i="1"/>
  <c r="BA53" i="1"/>
  <c r="BC53" i="1"/>
  <c r="BD53" i="1"/>
  <c r="BE53" i="1"/>
  <c r="BF53" i="1"/>
  <c r="BG53" i="1"/>
  <c r="BH53" i="1"/>
  <c r="BI53" i="1"/>
  <c r="BJ53" i="1"/>
  <c r="BM53" i="1"/>
  <c r="CA53" i="1"/>
  <c r="CN53" i="1"/>
  <c r="CO53" i="1"/>
  <c r="CP53" i="1"/>
  <c r="CQ53" i="1"/>
  <c r="G1737" i="1"/>
  <c r="U1737" i="1"/>
  <c r="W1737" i="1"/>
  <c r="AE1737" i="1"/>
  <c r="AK1737" i="1"/>
  <c r="AQ1737" i="1"/>
  <c r="AU1737" i="1"/>
  <c r="AV1737" i="1"/>
  <c r="AW1737" i="1"/>
  <c r="AX1737" i="1"/>
  <c r="AY1737" i="1"/>
  <c r="AZ1737" i="1"/>
  <c r="BA1737" i="1"/>
  <c r="BC1737" i="1"/>
  <c r="BD1737" i="1"/>
  <c r="BE1737" i="1"/>
  <c r="BF1737" i="1"/>
  <c r="BG1737" i="1"/>
  <c r="BH1737" i="1"/>
  <c r="BI1737" i="1"/>
  <c r="BJ1737" i="1"/>
  <c r="BM1737" i="1"/>
  <c r="CA1737" i="1"/>
  <c r="CN1737" i="1"/>
  <c r="CO1737" i="1"/>
  <c r="CP1737" i="1"/>
  <c r="CQ1737" i="1"/>
  <c r="G1738" i="1"/>
  <c r="U1738" i="1"/>
  <c r="W1738" i="1"/>
  <c r="AE1738" i="1"/>
  <c r="AK1738" i="1"/>
  <c r="AQ1738" i="1"/>
  <c r="AU1738" i="1"/>
  <c r="AV1738" i="1"/>
  <c r="AW1738" i="1"/>
  <c r="AX1738" i="1"/>
  <c r="AY1738" i="1"/>
  <c r="AZ1738" i="1"/>
  <c r="BA1738" i="1"/>
  <c r="BC1738" i="1"/>
  <c r="BD1738" i="1"/>
  <c r="BE1738" i="1"/>
  <c r="BF1738" i="1"/>
  <c r="BG1738" i="1"/>
  <c r="BH1738" i="1"/>
  <c r="BI1738" i="1"/>
  <c r="BJ1738" i="1"/>
  <c r="BM1738" i="1"/>
  <c r="CA1738" i="1"/>
  <c r="CN1738" i="1"/>
  <c r="CO1738" i="1"/>
  <c r="CP1738" i="1"/>
  <c r="CQ1738" i="1"/>
  <c r="G1739" i="1"/>
  <c r="U1739" i="1"/>
  <c r="W1739" i="1"/>
  <c r="AE1739" i="1"/>
  <c r="AK1739" i="1"/>
  <c r="AQ1739" i="1"/>
  <c r="AU1739" i="1"/>
  <c r="AV1739" i="1"/>
  <c r="AW1739" i="1"/>
  <c r="AX1739" i="1"/>
  <c r="AY1739" i="1"/>
  <c r="AZ1739" i="1"/>
  <c r="BA1739" i="1"/>
  <c r="BC1739" i="1"/>
  <c r="BD1739" i="1"/>
  <c r="BE1739" i="1"/>
  <c r="BF1739" i="1"/>
  <c r="BG1739" i="1"/>
  <c r="BH1739" i="1"/>
  <c r="BI1739" i="1"/>
  <c r="BJ1739" i="1"/>
  <c r="BM1739" i="1"/>
  <c r="CA1739" i="1"/>
  <c r="CN1739" i="1"/>
  <c r="CO1739" i="1"/>
  <c r="CP1739" i="1"/>
  <c r="CQ1739" i="1"/>
  <c r="G54" i="1"/>
  <c r="U54" i="1"/>
  <c r="W54" i="1"/>
  <c r="AE54" i="1"/>
  <c r="AK54" i="1"/>
  <c r="AQ54" i="1"/>
  <c r="AU54" i="1"/>
  <c r="AV54" i="1"/>
  <c r="AW54" i="1"/>
  <c r="AX54" i="1"/>
  <c r="AY54" i="1"/>
  <c r="AZ54" i="1"/>
  <c r="BA54" i="1"/>
  <c r="BC54" i="1"/>
  <c r="BD54" i="1"/>
  <c r="BE54" i="1"/>
  <c r="BF54" i="1"/>
  <c r="BG54" i="1"/>
  <c r="BH54" i="1"/>
  <c r="BI54" i="1"/>
  <c r="BJ54" i="1"/>
  <c r="BM54" i="1"/>
  <c r="CA54" i="1"/>
  <c r="CN54" i="1"/>
  <c r="CO54" i="1"/>
  <c r="CP54" i="1"/>
  <c r="CQ54" i="1"/>
  <c r="G373" i="1"/>
  <c r="U373" i="1"/>
  <c r="W373" i="1"/>
  <c r="AE373" i="1"/>
  <c r="AK373" i="1"/>
  <c r="AQ373" i="1"/>
  <c r="AU373" i="1"/>
  <c r="AV373" i="1"/>
  <c r="AW373" i="1"/>
  <c r="AX373" i="1"/>
  <c r="AY373" i="1"/>
  <c r="AZ373" i="1"/>
  <c r="BA373" i="1"/>
  <c r="BC373" i="1"/>
  <c r="BD373" i="1"/>
  <c r="BE373" i="1"/>
  <c r="BF373" i="1"/>
  <c r="BG373" i="1"/>
  <c r="BH373" i="1"/>
  <c r="BI373" i="1"/>
  <c r="BJ373" i="1"/>
  <c r="BM373" i="1"/>
  <c r="CA373" i="1"/>
  <c r="CN373" i="1"/>
  <c r="CO373" i="1"/>
  <c r="CP373" i="1"/>
  <c r="CQ373" i="1"/>
  <c r="G1740" i="1"/>
  <c r="U1740" i="1"/>
  <c r="W1740" i="1"/>
  <c r="AE1740" i="1"/>
  <c r="AK1740" i="1"/>
  <c r="AQ1740" i="1"/>
  <c r="AU1740" i="1"/>
  <c r="AV1740" i="1"/>
  <c r="AW1740" i="1"/>
  <c r="AX1740" i="1"/>
  <c r="AY1740" i="1"/>
  <c r="AZ1740" i="1"/>
  <c r="BA1740" i="1"/>
  <c r="BC1740" i="1"/>
  <c r="BD1740" i="1"/>
  <c r="BE1740" i="1"/>
  <c r="BF1740" i="1"/>
  <c r="BG1740" i="1"/>
  <c r="BH1740" i="1"/>
  <c r="BI1740" i="1"/>
  <c r="BJ1740" i="1"/>
  <c r="BM1740" i="1"/>
  <c r="CA1740" i="1"/>
  <c r="CN1740" i="1"/>
  <c r="CO1740" i="1"/>
  <c r="CP1740" i="1"/>
  <c r="CQ1740" i="1"/>
  <c r="G1342" i="1"/>
  <c r="U1342" i="1"/>
  <c r="W1342" i="1"/>
  <c r="AE1342" i="1"/>
  <c r="AK1342" i="1"/>
  <c r="AQ1342" i="1"/>
  <c r="AU1342" i="1"/>
  <c r="AV1342" i="1"/>
  <c r="AW1342" i="1"/>
  <c r="AX1342" i="1"/>
  <c r="AY1342" i="1"/>
  <c r="AZ1342" i="1"/>
  <c r="BA1342" i="1"/>
  <c r="BC1342" i="1"/>
  <c r="BD1342" i="1"/>
  <c r="BE1342" i="1"/>
  <c r="BF1342" i="1"/>
  <c r="BG1342" i="1"/>
  <c r="BH1342" i="1"/>
  <c r="BI1342" i="1"/>
  <c r="BJ1342" i="1"/>
  <c r="BM1342" i="1"/>
  <c r="CA1342" i="1"/>
  <c r="CN1342" i="1"/>
  <c r="CO1342" i="1"/>
  <c r="CP1342" i="1"/>
  <c r="CQ1342" i="1"/>
  <c r="G625" i="1"/>
  <c r="U625" i="1"/>
  <c r="W625" i="1"/>
  <c r="AE625" i="1"/>
  <c r="AK625" i="1"/>
  <c r="AQ625" i="1"/>
  <c r="AU625" i="1"/>
  <c r="AV625" i="1"/>
  <c r="AW625" i="1"/>
  <c r="AX625" i="1"/>
  <c r="AY625" i="1"/>
  <c r="AZ625" i="1"/>
  <c r="BA625" i="1"/>
  <c r="BC625" i="1"/>
  <c r="BD625" i="1"/>
  <c r="BE625" i="1"/>
  <c r="BF625" i="1"/>
  <c r="BG625" i="1"/>
  <c r="BH625" i="1"/>
  <c r="BI625" i="1"/>
  <c r="BJ625" i="1"/>
  <c r="BM625" i="1"/>
  <c r="CA625" i="1"/>
  <c r="CN625" i="1"/>
  <c r="CO625" i="1"/>
  <c r="CP625" i="1"/>
  <c r="CQ625" i="1"/>
  <c r="G1741" i="1"/>
  <c r="U1741" i="1"/>
  <c r="W1741" i="1"/>
  <c r="AE1741" i="1"/>
  <c r="AK1741" i="1"/>
  <c r="AQ1741" i="1"/>
  <c r="AU1741" i="1"/>
  <c r="AV1741" i="1"/>
  <c r="AW1741" i="1"/>
  <c r="AX1741" i="1"/>
  <c r="AY1741" i="1"/>
  <c r="AZ1741" i="1"/>
  <c r="BA1741" i="1"/>
  <c r="BC1741" i="1"/>
  <c r="BD1741" i="1"/>
  <c r="BE1741" i="1"/>
  <c r="BF1741" i="1"/>
  <c r="BG1741" i="1"/>
  <c r="BH1741" i="1"/>
  <c r="BI1741" i="1"/>
  <c r="BJ1741" i="1"/>
  <c r="BM1741" i="1"/>
  <c r="CA1741" i="1"/>
  <c r="CN1741" i="1"/>
  <c r="CO1741" i="1"/>
  <c r="CP1741" i="1"/>
  <c r="CQ1741" i="1"/>
  <c r="G1552" i="1"/>
  <c r="U1552" i="1"/>
  <c r="W1552" i="1"/>
  <c r="AE1552" i="1"/>
  <c r="AK1552" i="1"/>
  <c r="AQ1552" i="1"/>
  <c r="AU1552" i="1"/>
  <c r="AV1552" i="1"/>
  <c r="AW1552" i="1"/>
  <c r="AX1552" i="1"/>
  <c r="AY1552" i="1"/>
  <c r="AZ1552" i="1"/>
  <c r="BA1552" i="1"/>
  <c r="BC1552" i="1"/>
  <c r="BD1552" i="1"/>
  <c r="BE1552" i="1"/>
  <c r="BF1552" i="1"/>
  <c r="BG1552" i="1"/>
  <c r="BH1552" i="1"/>
  <c r="BI1552" i="1"/>
  <c r="BJ1552" i="1"/>
  <c r="BM1552" i="1"/>
  <c r="CA1552" i="1"/>
  <c r="CN1552" i="1"/>
  <c r="CO1552" i="1"/>
  <c r="CP1552" i="1"/>
  <c r="CQ1552" i="1"/>
  <c r="G626" i="1"/>
  <c r="U626" i="1"/>
  <c r="W626" i="1"/>
  <c r="AE626" i="1"/>
  <c r="AK626" i="1"/>
  <c r="AQ626" i="1"/>
  <c r="AU626" i="1"/>
  <c r="AV626" i="1"/>
  <c r="AW626" i="1"/>
  <c r="AX626" i="1"/>
  <c r="AY626" i="1"/>
  <c r="AZ626" i="1"/>
  <c r="BA626" i="1"/>
  <c r="BC626" i="1"/>
  <c r="BD626" i="1"/>
  <c r="BE626" i="1"/>
  <c r="BF626" i="1"/>
  <c r="BG626" i="1"/>
  <c r="BH626" i="1"/>
  <c r="BI626" i="1"/>
  <c r="BJ626" i="1"/>
  <c r="BM626" i="1"/>
  <c r="CA626" i="1"/>
  <c r="CN626" i="1"/>
  <c r="CO626" i="1"/>
  <c r="CP626" i="1"/>
  <c r="CQ626" i="1"/>
  <c r="G55" i="1"/>
  <c r="U55" i="1"/>
  <c r="W55" i="1"/>
  <c r="AE55" i="1"/>
  <c r="AK55" i="1"/>
  <c r="AQ55" i="1"/>
  <c r="AU55" i="1"/>
  <c r="AV55" i="1"/>
  <c r="AW55" i="1"/>
  <c r="AX55" i="1"/>
  <c r="AY55" i="1"/>
  <c r="AZ55" i="1"/>
  <c r="BA55" i="1"/>
  <c r="BC55" i="1"/>
  <c r="BD55" i="1"/>
  <c r="BE55" i="1"/>
  <c r="BF55" i="1"/>
  <c r="BG55" i="1"/>
  <c r="BH55" i="1"/>
  <c r="BI55" i="1"/>
  <c r="BJ55" i="1"/>
  <c r="BM55" i="1"/>
  <c r="CA55" i="1"/>
  <c r="CN55" i="1"/>
  <c r="CO55" i="1"/>
  <c r="CP55" i="1"/>
  <c r="CQ55" i="1"/>
  <c r="G627" i="1"/>
  <c r="U627" i="1"/>
  <c r="W627" i="1"/>
  <c r="AE627" i="1"/>
  <c r="AK627" i="1"/>
  <c r="AQ627" i="1"/>
  <c r="AU627" i="1"/>
  <c r="AV627" i="1"/>
  <c r="AW627" i="1"/>
  <c r="AX627" i="1"/>
  <c r="AY627" i="1"/>
  <c r="AZ627" i="1"/>
  <c r="BA627" i="1"/>
  <c r="BC627" i="1"/>
  <c r="BD627" i="1"/>
  <c r="BE627" i="1"/>
  <c r="BF627" i="1"/>
  <c r="BG627" i="1"/>
  <c r="BH627" i="1"/>
  <c r="BI627" i="1"/>
  <c r="BJ627" i="1"/>
  <c r="BM627" i="1"/>
  <c r="CA627" i="1"/>
  <c r="CN627" i="1"/>
  <c r="CO627" i="1"/>
  <c r="CP627" i="1"/>
  <c r="CQ627" i="1"/>
  <c r="G56" i="1"/>
  <c r="U56" i="1"/>
  <c r="W56" i="1"/>
  <c r="AE56" i="1"/>
  <c r="AK56" i="1"/>
  <c r="AQ56" i="1"/>
  <c r="AU56" i="1"/>
  <c r="AV56" i="1"/>
  <c r="AW56" i="1"/>
  <c r="AX56" i="1"/>
  <c r="AY56" i="1"/>
  <c r="AZ56" i="1"/>
  <c r="BA56" i="1"/>
  <c r="BC56" i="1"/>
  <c r="BD56" i="1"/>
  <c r="BE56" i="1"/>
  <c r="BF56" i="1"/>
  <c r="BG56" i="1"/>
  <c r="BH56" i="1"/>
  <c r="BI56" i="1"/>
  <c r="BJ56" i="1"/>
  <c r="BM56" i="1"/>
  <c r="CA56" i="1"/>
  <c r="CN56" i="1"/>
  <c r="CO56" i="1"/>
  <c r="CP56" i="1"/>
  <c r="CQ56" i="1"/>
  <c r="G1742" i="1"/>
  <c r="U1742" i="1"/>
  <c r="W1742" i="1"/>
  <c r="AE1742" i="1"/>
  <c r="AK1742" i="1"/>
  <c r="AQ1742" i="1"/>
  <c r="AU1742" i="1"/>
  <c r="AV1742" i="1"/>
  <c r="AW1742" i="1"/>
  <c r="AX1742" i="1"/>
  <c r="AY1742" i="1"/>
  <c r="AZ1742" i="1"/>
  <c r="BA1742" i="1"/>
  <c r="BC1742" i="1"/>
  <c r="BD1742" i="1"/>
  <c r="BE1742" i="1"/>
  <c r="BF1742" i="1"/>
  <c r="BG1742" i="1"/>
  <c r="BH1742" i="1"/>
  <c r="BI1742" i="1"/>
  <c r="BJ1742" i="1"/>
  <c r="BM1742" i="1"/>
  <c r="CA1742" i="1"/>
  <c r="CN1742" i="1"/>
  <c r="CO1742" i="1"/>
  <c r="CP1742" i="1"/>
  <c r="CQ1742" i="1"/>
  <c r="G1743" i="1"/>
  <c r="U1743" i="1"/>
  <c r="W1743" i="1"/>
  <c r="AE1743" i="1"/>
  <c r="AK1743" i="1"/>
  <c r="AQ1743" i="1"/>
  <c r="AU1743" i="1"/>
  <c r="AV1743" i="1"/>
  <c r="AW1743" i="1"/>
  <c r="AX1743" i="1"/>
  <c r="AY1743" i="1"/>
  <c r="AZ1743" i="1"/>
  <c r="BA1743" i="1"/>
  <c r="BC1743" i="1"/>
  <c r="BD1743" i="1"/>
  <c r="BE1743" i="1"/>
  <c r="BF1743" i="1"/>
  <c r="BG1743" i="1"/>
  <c r="BH1743" i="1"/>
  <c r="BI1743" i="1"/>
  <c r="BJ1743" i="1"/>
  <c r="BM1743" i="1"/>
  <c r="CA1743" i="1"/>
  <c r="CN1743" i="1"/>
  <c r="CO1743" i="1"/>
  <c r="CP1743" i="1"/>
  <c r="CQ1743" i="1"/>
  <c r="G628" i="1"/>
  <c r="U628" i="1"/>
  <c r="W628" i="1"/>
  <c r="AE628" i="1"/>
  <c r="AK628" i="1"/>
  <c r="AQ628" i="1"/>
  <c r="AU628" i="1"/>
  <c r="AV628" i="1"/>
  <c r="AW628" i="1"/>
  <c r="AX628" i="1"/>
  <c r="AY628" i="1"/>
  <c r="AZ628" i="1"/>
  <c r="BA628" i="1"/>
  <c r="BC628" i="1"/>
  <c r="BD628" i="1"/>
  <c r="BE628" i="1"/>
  <c r="BF628" i="1"/>
  <c r="BG628" i="1"/>
  <c r="BH628" i="1"/>
  <c r="BI628" i="1"/>
  <c r="BJ628" i="1"/>
  <c r="BM628" i="1"/>
  <c r="CA628" i="1"/>
  <c r="CN628" i="1"/>
  <c r="CO628" i="1"/>
  <c r="CP628" i="1"/>
  <c r="CQ628" i="1"/>
  <c r="G1744" i="1"/>
  <c r="U1744" i="1"/>
  <c r="W1744" i="1"/>
  <c r="AE1744" i="1"/>
  <c r="AK1744" i="1"/>
  <c r="AQ1744" i="1"/>
  <c r="AU1744" i="1"/>
  <c r="AV1744" i="1"/>
  <c r="AW1744" i="1"/>
  <c r="AX1744" i="1"/>
  <c r="AY1744" i="1"/>
  <c r="AZ1744" i="1"/>
  <c r="BA1744" i="1"/>
  <c r="BC1744" i="1"/>
  <c r="BD1744" i="1"/>
  <c r="BE1744" i="1"/>
  <c r="BF1744" i="1"/>
  <c r="BG1744" i="1"/>
  <c r="BH1744" i="1"/>
  <c r="BI1744" i="1"/>
  <c r="BJ1744" i="1"/>
  <c r="BM1744" i="1"/>
  <c r="CA1744" i="1"/>
  <c r="CN1744" i="1"/>
  <c r="CO1744" i="1"/>
  <c r="CP1744" i="1"/>
  <c r="CQ1744" i="1"/>
  <c r="G1745" i="1"/>
  <c r="U1745" i="1"/>
  <c r="W1745" i="1"/>
  <c r="AE1745" i="1"/>
  <c r="AK1745" i="1"/>
  <c r="AQ1745" i="1"/>
  <c r="AU1745" i="1"/>
  <c r="AV1745" i="1"/>
  <c r="AW1745" i="1"/>
  <c r="AX1745" i="1"/>
  <c r="AY1745" i="1"/>
  <c r="AZ1745" i="1"/>
  <c r="BA1745" i="1"/>
  <c r="BC1745" i="1"/>
  <c r="BD1745" i="1"/>
  <c r="BE1745" i="1"/>
  <c r="BF1745" i="1"/>
  <c r="BG1745" i="1"/>
  <c r="BH1745" i="1"/>
  <c r="BI1745" i="1"/>
  <c r="BJ1745" i="1"/>
  <c r="BM1745" i="1"/>
  <c r="CA1745" i="1"/>
  <c r="CN1745" i="1"/>
  <c r="CO1745" i="1"/>
  <c r="CP1745" i="1"/>
  <c r="CQ1745" i="1"/>
  <c r="G1746" i="1"/>
  <c r="U1746" i="1"/>
  <c r="W1746" i="1"/>
  <c r="AE1746" i="1"/>
  <c r="AK1746" i="1"/>
  <c r="AQ1746" i="1"/>
  <c r="AU1746" i="1"/>
  <c r="AV1746" i="1"/>
  <c r="AW1746" i="1"/>
  <c r="AX1746" i="1"/>
  <c r="AY1746" i="1"/>
  <c r="AZ1746" i="1"/>
  <c r="BA1746" i="1"/>
  <c r="BC1746" i="1"/>
  <c r="BD1746" i="1"/>
  <c r="BE1746" i="1"/>
  <c r="BF1746" i="1"/>
  <c r="BG1746" i="1"/>
  <c r="BH1746" i="1"/>
  <c r="BI1746" i="1"/>
  <c r="BJ1746" i="1"/>
  <c r="BM1746" i="1"/>
  <c r="CA1746" i="1"/>
  <c r="CN1746" i="1"/>
  <c r="CO1746" i="1"/>
  <c r="CP1746" i="1"/>
  <c r="CQ1746" i="1"/>
  <c r="G57" i="1"/>
  <c r="U57" i="1"/>
  <c r="W57" i="1"/>
  <c r="AE57" i="1"/>
  <c r="AK57" i="1"/>
  <c r="AQ57" i="1"/>
  <c r="AU57" i="1"/>
  <c r="AV57" i="1"/>
  <c r="AW57" i="1"/>
  <c r="AX57" i="1"/>
  <c r="AY57" i="1"/>
  <c r="AZ57" i="1"/>
  <c r="BA57" i="1"/>
  <c r="BC57" i="1"/>
  <c r="BD57" i="1"/>
  <c r="BE57" i="1"/>
  <c r="BF57" i="1"/>
  <c r="BG57" i="1"/>
  <c r="BH57" i="1"/>
  <c r="BI57" i="1"/>
  <c r="BJ57" i="1"/>
  <c r="BM57" i="1"/>
  <c r="CA57" i="1"/>
  <c r="CN57" i="1"/>
  <c r="CO57" i="1"/>
  <c r="CP57" i="1"/>
  <c r="CQ57" i="1"/>
  <c r="G1747" i="1"/>
  <c r="U1747" i="1"/>
  <c r="W1747" i="1"/>
  <c r="AE1747" i="1"/>
  <c r="AK1747" i="1"/>
  <c r="AQ1747" i="1"/>
  <c r="AU1747" i="1"/>
  <c r="AV1747" i="1"/>
  <c r="AW1747" i="1"/>
  <c r="AX1747" i="1"/>
  <c r="AY1747" i="1"/>
  <c r="AZ1747" i="1"/>
  <c r="BA1747" i="1"/>
  <c r="BC1747" i="1"/>
  <c r="BD1747" i="1"/>
  <c r="BE1747" i="1"/>
  <c r="BF1747" i="1"/>
  <c r="BG1747" i="1"/>
  <c r="BH1747" i="1"/>
  <c r="BI1747" i="1"/>
  <c r="BJ1747" i="1"/>
  <c r="BM1747" i="1"/>
  <c r="CA1747" i="1"/>
  <c r="CN1747" i="1"/>
  <c r="CO1747" i="1"/>
  <c r="CP1747" i="1"/>
  <c r="CQ1747" i="1"/>
  <c r="G58" i="1"/>
  <c r="U58" i="1"/>
  <c r="W58" i="1"/>
  <c r="AE58" i="1"/>
  <c r="AK58" i="1"/>
  <c r="AQ58" i="1"/>
  <c r="AU58" i="1"/>
  <c r="AV58" i="1"/>
  <c r="AW58" i="1"/>
  <c r="AX58" i="1"/>
  <c r="AY58" i="1"/>
  <c r="AZ58" i="1"/>
  <c r="BA58" i="1"/>
  <c r="BC58" i="1"/>
  <c r="BD58" i="1"/>
  <c r="BE58" i="1"/>
  <c r="BF58" i="1"/>
  <c r="BG58" i="1"/>
  <c r="BH58" i="1"/>
  <c r="BI58" i="1"/>
  <c r="BJ58" i="1"/>
  <c r="BM58" i="1"/>
  <c r="CA58" i="1"/>
  <c r="CN58" i="1"/>
  <c r="CO58" i="1"/>
  <c r="CP58" i="1"/>
  <c r="CQ58" i="1"/>
  <c r="G629" i="1"/>
  <c r="U629" i="1"/>
  <c r="W629" i="1"/>
  <c r="AE629" i="1"/>
  <c r="AK629" i="1"/>
  <c r="AQ629" i="1"/>
  <c r="AU629" i="1"/>
  <c r="AV629" i="1"/>
  <c r="AW629" i="1"/>
  <c r="AX629" i="1"/>
  <c r="AY629" i="1"/>
  <c r="AZ629" i="1"/>
  <c r="BA629" i="1"/>
  <c r="BC629" i="1"/>
  <c r="BD629" i="1"/>
  <c r="BE629" i="1"/>
  <c r="BF629" i="1"/>
  <c r="BG629" i="1"/>
  <c r="BH629" i="1"/>
  <c r="BI629" i="1"/>
  <c r="BJ629" i="1"/>
  <c r="BM629" i="1"/>
  <c r="CA629" i="1"/>
  <c r="CN629" i="1"/>
  <c r="CO629" i="1"/>
  <c r="CP629" i="1"/>
  <c r="CQ629" i="1"/>
  <c r="G59" i="1"/>
  <c r="U59" i="1"/>
  <c r="W59" i="1"/>
  <c r="AE59" i="1"/>
  <c r="AK59" i="1"/>
  <c r="AQ59" i="1"/>
  <c r="AU59" i="1"/>
  <c r="AV59" i="1"/>
  <c r="AW59" i="1"/>
  <c r="AX59" i="1"/>
  <c r="AY59" i="1"/>
  <c r="AZ59" i="1"/>
  <c r="BA59" i="1"/>
  <c r="BC59" i="1"/>
  <c r="BD59" i="1"/>
  <c r="BE59" i="1"/>
  <c r="BF59" i="1"/>
  <c r="BG59" i="1"/>
  <c r="BH59" i="1"/>
  <c r="BI59" i="1"/>
  <c r="BJ59" i="1"/>
  <c r="BM59" i="1"/>
  <c r="CA59" i="1"/>
  <c r="CN59" i="1"/>
  <c r="CO59" i="1"/>
  <c r="CP59" i="1"/>
  <c r="CQ59" i="1"/>
  <c r="G374" i="1"/>
  <c r="U374" i="1"/>
  <c r="W374" i="1"/>
  <c r="AE374" i="1"/>
  <c r="AK374" i="1"/>
  <c r="AQ374" i="1"/>
  <c r="AU374" i="1"/>
  <c r="AV374" i="1"/>
  <c r="AW374" i="1"/>
  <c r="AX374" i="1"/>
  <c r="AY374" i="1"/>
  <c r="AZ374" i="1"/>
  <c r="BA374" i="1"/>
  <c r="BC374" i="1"/>
  <c r="BD374" i="1"/>
  <c r="BE374" i="1"/>
  <c r="BF374" i="1"/>
  <c r="BG374" i="1"/>
  <c r="BH374" i="1"/>
  <c r="BI374" i="1"/>
  <c r="BJ374" i="1"/>
  <c r="BM374" i="1"/>
  <c r="CA374" i="1"/>
  <c r="CN374" i="1"/>
  <c r="CO374" i="1"/>
  <c r="CP374" i="1"/>
  <c r="CQ374" i="1"/>
  <c r="G630" i="1"/>
  <c r="U630" i="1"/>
  <c r="W630" i="1"/>
  <c r="AE630" i="1"/>
  <c r="AK630" i="1"/>
  <c r="AQ630" i="1"/>
  <c r="AU630" i="1"/>
  <c r="AV630" i="1"/>
  <c r="AW630" i="1"/>
  <c r="AX630" i="1"/>
  <c r="AY630" i="1"/>
  <c r="AZ630" i="1"/>
  <c r="BA630" i="1"/>
  <c r="BC630" i="1"/>
  <c r="BD630" i="1"/>
  <c r="BE630" i="1"/>
  <c r="BF630" i="1"/>
  <c r="BG630" i="1"/>
  <c r="BH630" i="1"/>
  <c r="BI630" i="1"/>
  <c r="BJ630" i="1"/>
  <c r="BM630" i="1"/>
  <c r="CA630" i="1"/>
  <c r="CN630" i="1"/>
  <c r="CO630" i="1"/>
  <c r="CP630" i="1"/>
  <c r="CQ630" i="1"/>
  <c r="G1748" i="1"/>
  <c r="U1748" i="1"/>
  <c r="W1748" i="1"/>
  <c r="AE1748" i="1"/>
  <c r="AK1748" i="1"/>
  <c r="AQ1748" i="1"/>
  <c r="AU1748" i="1"/>
  <c r="AV1748" i="1"/>
  <c r="AW1748" i="1"/>
  <c r="AX1748" i="1"/>
  <c r="AY1748" i="1"/>
  <c r="AZ1748" i="1"/>
  <c r="BA1748" i="1"/>
  <c r="BC1748" i="1"/>
  <c r="BD1748" i="1"/>
  <c r="BE1748" i="1"/>
  <c r="BF1748" i="1"/>
  <c r="BG1748" i="1"/>
  <c r="BH1748" i="1"/>
  <c r="BI1748" i="1"/>
  <c r="BJ1748" i="1"/>
  <c r="BM1748" i="1"/>
  <c r="CA1748" i="1"/>
  <c r="CN1748" i="1"/>
  <c r="CO1748" i="1"/>
  <c r="CP1748" i="1"/>
  <c r="CQ1748" i="1"/>
  <c r="G631" i="1"/>
  <c r="U631" i="1"/>
  <c r="W631" i="1"/>
  <c r="AE631" i="1"/>
  <c r="AK631" i="1"/>
  <c r="AQ631" i="1"/>
  <c r="AU631" i="1"/>
  <c r="AV631" i="1"/>
  <c r="AW631" i="1"/>
  <c r="AX631" i="1"/>
  <c r="AY631" i="1"/>
  <c r="AZ631" i="1"/>
  <c r="BA631" i="1"/>
  <c r="BC631" i="1"/>
  <c r="BD631" i="1"/>
  <c r="BE631" i="1"/>
  <c r="BF631" i="1"/>
  <c r="BG631" i="1"/>
  <c r="BH631" i="1"/>
  <c r="BI631" i="1"/>
  <c r="BJ631" i="1"/>
  <c r="BM631" i="1"/>
  <c r="CA631" i="1"/>
  <c r="CN631" i="1"/>
  <c r="CO631" i="1"/>
  <c r="CP631" i="1"/>
  <c r="CQ631" i="1"/>
  <c r="G632" i="1"/>
  <c r="U632" i="1"/>
  <c r="W632" i="1"/>
  <c r="AE632" i="1"/>
  <c r="AK632" i="1"/>
  <c r="AQ632" i="1"/>
  <c r="AU632" i="1"/>
  <c r="AV632" i="1"/>
  <c r="AW632" i="1"/>
  <c r="AX632" i="1"/>
  <c r="AY632" i="1"/>
  <c r="AZ632" i="1"/>
  <c r="BA632" i="1"/>
  <c r="BC632" i="1"/>
  <c r="BD632" i="1"/>
  <c r="BE632" i="1"/>
  <c r="BF632" i="1"/>
  <c r="BG632" i="1"/>
  <c r="BH632" i="1"/>
  <c r="BI632" i="1"/>
  <c r="BJ632" i="1"/>
  <c r="BM632" i="1"/>
  <c r="CA632" i="1"/>
  <c r="CN632" i="1"/>
  <c r="CO632" i="1"/>
  <c r="CP632" i="1"/>
  <c r="CQ632" i="1"/>
  <c r="G633" i="1"/>
  <c r="U633" i="1"/>
  <c r="W633" i="1"/>
  <c r="AE633" i="1"/>
  <c r="AK633" i="1"/>
  <c r="AQ633" i="1"/>
  <c r="AU633" i="1"/>
  <c r="AV633" i="1"/>
  <c r="AW633" i="1"/>
  <c r="AX633" i="1"/>
  <c r="AY633" i="1"/>
  <c r="AZ633" i="1"/>
  <c r="BA633" i="1"/>
  <c r="BC633" i="1"/>
  <c r="BD633" i="1"/>
  <c r="BE633" i="1"/>
  <c r="BF633" i="1"/>
  <c r="BG633" i="1"/>
  <c r="BH633" i="1"/>
  <c r="BI633" i="1"/>
  <c r="BJ633" i="1"/>
  <c r="BM633" i="1"/>
  <c r="CA633" i="1"/>
  <c r="CN633" i="1"/>
  <c r="CO633" i="1"/>
  <c r="CP633" i="1"/>
  <c r="CQ633" i="1"/>
  <c r="G1749" i="1"/>
  <c r="U1749" i="1"/>
  <c r="W1749" i="1"/>
  <c r="AE1749" i="1"/>
  <c r="AK1749" i="1"/>
  <c r="AQ1749" i="1"/>
  <c r="AU1749" i="1"/>
  <c r="AV1749" i="1"/>
  <c r="AW1749" i="1"/>
  <c r="AX1749" i="1"/>
  <c r="AY1749" i="1"/>
  <c r="AZ1749" i="1"/>
  <c r="BA1749" i="1"/>
  <c r="BC1749" i="1"/>
  <c r="BD1749" i="1"/>
  <c r="BE1749" i="1"/>
  <c r="BF1749" i="1"/>
  <c r="BG1749" i="1"/>
  <c r="BH1749" i="1"/>
  <c r="BI1749" i="1"/>
  <c r="BJ1749" i="1"/>
  <c r="BM1749" i="1"/>
  <c r="CA1749" i="1"/>
  <c r="CN1749" i="1"/>
  <c r="CO1749" i="1"/>
  <c r="CP1749" i="1"/>
  <c r="CQ1749" i="1"/>
  <c r="G1343" i="1"/>
  <c r="U1343" i="1"/>
  <c r="W1343" i="1"/>
  <c r="AE1343" i="1"/>
  <c r="AK1343" i="1"/>
  <c r="AQ1343" i="1"/>
  <c r="AU1343" i="1"/>
  <c r="AV1343" i="1"/>
  <c r="AW1343" i="1"/>
  <c r="AX1343" i="1"/>
  <c r="AY1343" i="1"/>
  <c r="AZ1343" i="1"/>
  <c r="BA1343" i="1"/>
  <c r="BC1343" i="1"/>
  <c r="BD1343" i="1"/>
  <c r="BE1343" i="1"/>
  <c r="BF1343" i="1"/>
  <c r="BG1343" i="1"/>
  <c r="BH1343" i="1"/>
  <c r="BI1343" i="1"/>
  <c r="BJ1343" i="1"/>
  <c r="BM1343" i="1"/>
  <c r="CA1343" i="1"/>
  <c r="CN1343" i="1"/>
  <c r="CO1343" i="1"/>
  <c r="CP1343" i="1"/>
  <c r="CQ1343" i="1"/>
  <c r="G1750" i="1"/>
  <c r="U1750" i="1"/>
  <c r="W1750" i="1"/>
  <c r="AE1750" i="1"/>
  <c r="AK1750" i="1"/>
  <c r="AQ1750" i="1"/>
  <c r="AU1750" i="1"/>
  <c r="AV1750" i="1"/>
  <c r="AW1750" i="1"/>
  <c r="AX1750" i="1"/>
  <c r="AY1750" i="1"/>
  <c r="AZ1750" i="1"/>
  <c r="BA1750" i="1"/>
  <c r="BC1750" i="1"/>
  <c r="BD1750" i="1"/>
  <c r="BE1750" i="1"/>
  <c r="BF1750" i="1"/>
  <c r="BG1750" i="1"/>
  <c r="BH1750" i="1"/>
  <c r="BI1750" i="1"/>
  <c r="BJ1750" i="1"/>
  <c r="BM1750" i="1"/>
  <c r="CA1750" i="1"/>
  <c r="CN1750" i="1"/>
  <c r="CO1750" i="1"/>
  <c r="CP1750" i="1"/>
  <c r="CQ1750" i="1"/>
  <c r="G634" i="1"/>
  <c r="U634" i="1"/>
  <c r="W634" i="1"/>
  <c r="AE634" i="1"/>
  <c r="AK634" i="1"/>
  <c r="AQ634" i="1"/>
  <c r="AU634" i="1"/>
  <c r="AV634" i="1"/>
  <c r="AW634" i="1"/>
  <c r="AX634" i="1"/>
  <c r="AY634" i="1"/>
  <c r="AZ634" i="1"/>
  <c r="BA634" i="1"/>
  <c r="BC634" i="1"/>
  <c r="BD634" i="1"/>
  <c r="BE634" i="1"/>
  <c r="BF634" i="1"/>
  <c r="BG634" i="1"/>
  <c r="BH634" i="1"/>
  <c r="BI634" i="1"/>
  <c r="BJ634" i="1"/>
  <c r="BM634" i="1"/>
  <c r="CA634" i="1"/>
  <c r="CN634" i="1"/>
  <c r="CO634" i="1"/>
  <c r="CP634" i="1"/>
  <c r="CQ634" i="1"/>
  <c r="G1751" i="1"/>
  <c r="U1751" i="1"/>
  <c r="W1751" i="1"/>
  <c r="AE1751" i="1"/>
  <c r="AK1751" i="1"/>
  <c r="AQ1751" i="1"/>
  <c r="AU1751" i="1"/>
  <c r="AV1751" i="1"/>
  <c r="AW1751" i="1"/>
  <c r="AX1751" i="1"/>
  <c r="AY1751" i="1"/>
  <c r="AZ1751" i="1"/>
  <c r="BA1751" i="1"/>
  <c r="BC1751" i="1"/>
  <c r="BD1751" i="1"/>
  <c r="BE1751" i="1"/>
  <c r="BF1751" i="1"/>
  <c r="BG1751" i="1"/>
  <c r="BH1751" i="1"/>
  <c r="BI1751" i="1"/>
  <c r="BJ1751" i="1"/>
  <c r="BM1751" i="1"/>
  <c r="CA1751" i="1"/>
  <c r="CN1751" i="1"/>
  <c r="CO1751" i="1"/>
  <c r="CP1751" i="1"/>
  <c r="CQ1751" i="1"/>
  <c r="G635" i="1"/>
  <c r="U635" i="1"/>
  <c r="W635" i="1"/>
  <c r="AE635" i="1"/>
  <c r="AK635" i="1"/>
  <c r="AQ635" i="1"/>
  <c r="AU635" i="1"/>
  <c r="AV635" i="1"/>
  <c r="AW635" i="1"/>
  <c r="AX635" i="1"/>
  <c r="AY635" i="1"/>
  <c r="AZ635" i="1"/>
  <c r="BA635" i="1"/>
  <c r="BC635" i="1"/>
  <c r="BD635" i="1"/>
  <c r="BE635" i="1"/>
  <c r="BF635" i="1"/>
  <c r="BG635" i="1"/>
  <c r="BH635" i="1"/>
  <c r="BI635" i="1"/>
  <c r="BJ635" i="1"/>
  <c r="BM635" i="1"/>
  <c r="CA635" i="1"/>
  <c r="CN635" i="1"/>
  <c r="CO635" i="1"/>
  <c r="CP635" i="1"/>
  <c r="CQ635" i="1"/>
  <c r="G60" i="1"/>
  <c r="U60" i="1"/>
  <c r="W60" i="1"/>
  <c r="AE60" i="1"/>
  <c r="AK60" i="1"/>
  <c r="AQ60" i="1"/>
  <c r="AU60" i="1"/>
  <c r="AV60" i="1"/>
  <c r="AW60" i="1"/>
  <c r="AX60" i="1"/>
  <c r="AY60" i="1"/>
  <c r="AZ60" i="1"/>
  <c r="BA60" i="1"/>
  <c r="BC60" i="1"/>
  <c r="BD60" i="1"/>
  <c r="BE60" i="1"/>
  <c r="BF60" i="1"/>
  <c r="BG60" i="1"/>
  <c r="BH60" i="1"/>
  <c r="BI60" i="1"/>
  <c r="BJ60" i="1"/>
  <c r="BM60" i="1"/>
  <c r="CA60" i="1"/>
  <c r="CN60" i="1"/>
  <c r="CO60" i="1"/>
  <c r="CP60" i="1"/>
  <c r="CQ60" i="1"/>
  <c r="G1752" i="1"/>
  <c r="U1752" i="1"/>
  <c r="W1752" i="1"/>
  <c r="AE1752" i="1"/>
  <c r="AK1752" i="1"/>
  <c r="AQ1752" i="1"/>
  <c r="AU1752" i="1"/>
  <c r="AV1752" i="1"/>
  <c r="AW1752" i="1"/>
  <c r="AX1752" i="1"/>
  <c r="AY1752" i="1"/>
  <c r="AZ1752" i="1"/>
  <c r="BA1752" i="1"/>
  <c r="BC1752" i="1"/>
  <c r="BD1752" i="1"/>
  <c r="BE1752" i="1"/>
  <c r="BF1752" i="1"/>
  <c r="BG1752" i="1"/>
  <c r="BH1752" i="1"/>
  <c r="BI1752" i="1"/>
  <c r="BJ1752" i="1"/>
  <c r="BM1752" i="1"/>
  <c r="CA1752" i="1"/>
  <c r="CN1752" i="1"/>
  <c r="CO1752" i="1"/>
  <c r="CP1752" i="1"/>
  <c r="CQ1752" i="1"/>
  <c r="G636" i="1"/>
  <c r="U636" i="1"/>
  <c r="W636" i="1"/>
  <c r="AE636" i="1"/>
  <c r="AK636" i="1"/>
  <c r="AQ636" i="1"/>
  <c r="AU636" i="1"/>
  <c r="AV636" i="1"/>
  <c r="AW636" i="1"/>
  <c r="AX636" i="1"/>
  <c r="AY636" i="1"/>
  <c r="AZ636" i="1"/>
  <c r="BA636" i="1"/>
  <c r="BC636" i="1"/>
  <c r="BD636" i="1"/>
  <c r="BE636" i="1"/>
  <c r="BF636" i="1"/>
  <c r="BG636" i="1"/>
  <c r="BH636" i="1"/>
  <c r="BI636" i="1"/>
  <c r="BJ636" i="1"/>
  <c r="BM636" i="1"/>
  <c r="CA636" i="1"/>
  <c r="CN636" i="1"/>
  <c r="CO636" i="1"/>
  <c r="CP636" i="1"/>
  <c r="CQ636" i="1"/>
  <c r="G1753" i="1"/>
  <c r="U1753" i="1"/>
  <c r="W1753" i="1"/>
  <c r="AE1753" i="1"/>
  <c r="AK1753" i="1"/>
  <c r="AQ1753" i="1"/>
  <c r="AU1753" i="1"/>
  <c r="AV1753" i="1"/>
  <c r="AW1753" i="1"/>
  <c r="AX1753" i="1"/>
  <c r="AY1753" i="1"/>
  <c r="AZ1753" i="1"/>
  <c r="BA1753" i="1"/>
  <c r="BC1753" i="1"/>
  <c r="BD1753" i="1"/>
  <c r="BE1753" i="1"/>
  <c r="BF1753" i="1"/>
  <c r="BG1753" i="1"/>
  <c r="BH1753" i="1"/>
  <c r="BI1753" i="1"/>
  <c r="BJ1753" i="1"/>
  <c r="BM1753" i="1"/>
  <c r="CA1753" i="1"/>
  <c r="CN1753" i="1"/>
  <c r="CO1753" i="1"/>
  <c r="CP1753" i="1"/>
  <c r="CQ1753" i="1"/>
  <c r="G637" i="1"/>
  <c r="U637" i="1"/>
  <c r="W637" i="1"/>
  <c r="AE637" i="1"/>
  <c r="AK637" i="1"/>
  <c r="AQ637" i="1"/>
  <c r="AU637" i="1"/>
  <c r="AV637" i="1"/>
  <c r="AW637" i="1"/>
  <c r="AX637" i="1"/>
  <c r="AY637" i="1"/>
  <c r="AZ637" i="1"/>
  <c r="BA637" i="1"/>
  <c r="BC637" i="1"/>
  <c r="BD637" i="1"/>
  <c r="BE637" i="1"/>
  <c r="BF637" i="1"/>
  <c r="BG637" i="1"/>
  <c r="BH637" i="1"/>
  <c r="BI637" i="1"/>
  <c r="BJ637" i="1"/>
  <c r="BM637" i="1"/>
  <c r="CA637" i="1"/>
  <c r="CN637" i="1"/>
  <c r="CO637" i="1"/>
  <c r="CP637" i="1"/>
  <c r="CQ637" i="1"/>
  <c r="G1553" i="1"/>
  <c r="U1553" i="1"/>
  <c r="W1553" i="1"/>
  <c r="AE1553" i="1"/>
  <c r="AK1553" i="1"/>
  <c r="AQ1553" i="1"/>
  <c r="AU1553" i="1"/>
  <c r="AV1553" i="1"/>
  <c r="AW1553" i="1"/>
  <c r="AX1553" i="1"/>
  <c r="AY1553" i="1"/>
  <c r="AZ1553" i="1"/>
  <c r="BA1553" i="1"/>
  <c r="BC1553" i="1"/>
  <c r="BD1553" i="1"/>
  <c r="BE1553" i="1"/>
  <c r="BF1553" i="1"/>
  <c r="BG1553" i="1"/>
  <c r="BH1553" i="1"/>
  <c r="BI1553" i="1"/>
  <c r="BJ1553" i="1"/>
  <c r="BM1553" i="1"/>
  <c r="CA1553" i="1"/>
  <c r="CN1553" i="1"/>
  <c r="CO1553" i="1"/>
  <c r="CP1553" i="1"/>
  <c r="CQ1553" i="1"/>
  <c r="G638" i="1"/>
  <c r="U638" i="1"/>
  <c r="W638" i="1"/>
  <c r="AE638" i="1"/>
  <c r="AK638" i="1"/>
  <c r="AQ638" i="1"/>
  <c r="AU638" i="1"/>
  <c r="AV638" i="1"/>
  <c r="AW638" i="1"/>
  <c r="AX638" i="1"/>
  <c r="AY638" i="1"/>
  <c r="AZ638" i="1"/>
  <c r="BA638" i="1"/>
  <c r="BC638" i="1"/>
  <c r="BD638" i="1"/>
  <c r="BE638" i="1"/>
  <c r="BF638" i="1"/>
  <c r="BG638" i="1"/>
  <c r="BH638" i="1"/>
  <c r="BI638" i="1"/>
  <c r="BJ638" i="1"/>
  <c r="BM638" i="1"/>
  <c r="CA638" i="1"/>
  <c r="CN638" i="1"/>
  <c r="CO638" i="1"/>
  <c r="CP638" i="1"/>
  <c r="CQ638" i="1"/>
  <c r="G1754" i="1"/>
  <c r="U1754" i="1"/>
  <c r="W1754" i="1"/>
  <c r="AE1754" i="1"/>
  <c r="AK1754" i="1"/>
  <c r="AQ1754" i="1"/>
  <c r="AU1754" i="1"/>
  <c r="AV1754" i="1"/>
  <c r="AW1754" i="1"/>
  <c r="AX1754" i="1"/>
  <c r="AY1754" i="1"/>
  <c r="AZ1754" i="1"/>
  <c r="BA1754" i="1"/>
  <c r="BC1754" i="1"/>
  <c r="BD1754" i="1"/>
  <c r="BE1754" i="1"/>
  <c r="BF1754" i="1"/>
  <c r="BG1754" i="1"/>
  <c r="BH1754" i="1"/>
  <c r="BI1754" i="1"/>
  <c r="BJ1754" i="1"/>
  <c r="BM1754" i="1"/>
  <c r="CA1754" i="1"/>
  <c r="CN1754" i="1"/>
  <c r="CO1754" i="1"/>
  <c r="CP1754" i="1"/>
  <c r="CQ1754" i="1"/>
  <c r="G375" i="1"/>
  <c r="U375" i="1"/>
  <c r="W375" i="1"/>
  <c r="AE375" i="1"/>
  <c r="AK375" i="1"/>
  <c r="AQ375" i="1"/>
  <c r="AU375" i="1"/>
  <c r="AV375" i="1"/>
  <c r="AW375" i="1"/>
  <c r="AX375" i="1"/>
  <c r="AY375" i="1"/>
  <c r="AZ375" i="1"/>
  <c r="BA375" i="1"/>
  <c r="BC375" i="1"/>
  <c r="BD375" i="1"/>
  <c r="BE375" i="1"/>
  <c r="BF375" i="1"/>
  <c r="BG375" i="1"/>
  <c r="BH375" i="1"/>
  <c r="BI375" i="1"/>
  <c r="BJ375" i="1"/>
  <c r="BM375" i="1"/>
  <c r="CA375" i="1"/>
  <c r="CN375" i="1"/>
  <c r="CO375" i="1"/>
  <c r="CP375" i="1"/>
  <c r="CQ375" i="1"/>
  <c r="G639" i="1"/>
  <c r="U639" i="1"/>
  <c r="W639" i="1"/>
  <c r="AE639" i="1"/>
  <c r="AK639" i="1"/>
  <c r="AQ639" i="1"/>
  <c r="AU639" i="1"/>
  <c r="AV639" i="1"/>
  <c r="AW639" i="1"/>
  <c r="AX639" i="1"/>
  <c r="AY639" i="1"/>
  <c r="AZ639" i="1"/>
  <c r="BA639" i="1"/>
  <c r="BC639" i="1"/>
  <c r="BD639" i="1"/>
  <c r="BE639" i="1"/>
  <c r="BF639" i="1"/>
  <c r="BG639" i="1"/>
  <c r="BH639" i="1"/>
  <c r="BI639" i="1"/>
  <c r="BJ639" i="1"/>
  <c r="BM639" i="1"/>
  <c r="CA639" i="1"/>
  <c r="CN639" i="1"/>
  <c r="CO639" i="1"/>
  <c r="CP639" i="1"/>
  <c r="CQ639" i="1"/>
  <c r="G376" i="1"/>
  <c r="U376" i="1"/>
  <c r="W376" i="1"/>
  <c r="AE376" i="1"/>
  <c r="AK376" i="1"/>
  <c r="AQ376" i="1"/>
  <c r="AU376" i="1"/>
  <c r="AV376" i="1"/>
  <c r="AW376" i="1"/>
  <c r="AX376" i="1"/>
  <c r="AY376" i="1"/>
  <c r="AZ376" i="1"/>
  <c r="BA376" i="1"/>
  <c r="BC376" i="1"/>
  <c r="BD376" i="1"/>
  <c r="BE376" i="1"/>
  <c r="BF376" i="1"/>
  <c r="BG376" i="1"/>
  <c r="BH376" i="1"/>
  <c r="BI376" i="1"/>
  <c r="BJ376" i="1"/>
  <c r="BM376" i="1"/>
  <c r="CA376" i="1"/>
  <c r="CN376" i="1"/>
  <c r="CO376" i="1"/>
  <c r="CP376" i="1"/>
  <c r="CQ376" i="1"/>
  <c r="G640" i="1"/>
  <c r="U640" i="1"/>
  <c r="W640" i="1"/>
  <c r="AE640" i="1"/>
  <c r="AK640" i="1"/>
  <c r="AQ640" i="1"/>
  <c r="AU640" i="1"/>
  <c r="AV640" i="1"/>
  <c r="AW640" i="1"/>
  <c r="AX640" i="1"/>
  <c r="AY640" i="1"/>
  <c r="AZ640" i="1"/>
  <c r="BA640" i="1"/>
  <c r="BC640" i="1"/>
  <c r="BD640" i="1"/>
  <c r="BE640" i="1"/>
  <c r="BF640" i="1"/>
  <c r="BG640" i="1"/>
  <c r="BH640" i="1"/>
  <c r="BI640" i="1"/>
  <c r="BJ640" i="1"/>
  <c r="BM640" i="1"/>
  <c r="CA640" i="1"/>
  <c r="CN640" i="1"/>
  <c r="CO640" i="1"/>
  <c r="CP640" i="1"/>
  <c r="CQ640" i="1"/>
  <c r="G1755" i="1"/>
  <c r="U1755" i="1"/>
  <c r="W1755" i="1"/>
  <c r="AE1755" i="1"/>
  <c r="AK1755" i="1"/>
  <c r="AQ1755" i="1"/>
  <c r="AU1755" i="1"/>
  <c r="AV1755" i="1"/>
  <c r="AW1755" i="1"/>
  <c r="AX1755" i="1"/>
  <c r="AY1755" i="1"/>
  <c r="AZ1755" i="1"/>
  <c r="BA1755" i="1"/>
  <c r="BC1755" i="1"/>
  <c r="BD1755" i="1"/>
  <c r="BE1755" i="1"/>
  <c r="BF1755" i="1"/>
  <c r="BG1755" i="1"/>
  <c r="BH1755" i="1"/>
  <c r="BI1755" i="1"/>
  <c r="BJ1755" i="1"/>
  <c r="BM1755" i="1"/>
  <c r="CA1755" i="1"/>
  <c r="CN1755" i="1"/>
  <c r="CO1755" i="1"/>
  <c r="CP1755" i="1"/>
  <c r="CQ1755" i="1"/>
  <c r="G1344" i="1"/>
  <c r="U1344" i="1"/>
  <c r="W1344" i="1"/>
  <c r="AE1344" i="1"/>
  <c r="AK1344" i="1"/>
  <c r="AQ1344" i="1"/>
  <c r="AU1344" i="1"/>
  <c r="AV1344" i="1"/>
  <c r="AW1344" i="1"/>
  <c r="AX1344" i="1"/>
  <c r="AY1344" i="1"/>
  <c r="AZ1344" i="1"/>
  <c r="BA1344" i="1"/>
  <c r="BC1344" i="1"/>
  <c r="BD1344" i="1"/>
  <c r="BE1344" i="1"/>
  <c r="BF1344" i="1"/>
  <c r="BG1344" i="1"/>
  <c r="BH1344" i="1"/>
  <c r="BI1344" i="1"/>
  <c r="BJ1344" i="1"/>
  <c r="BM1344" i="1"/>
  <c r="CA1344" i="1"/>
  <c r="CN1344" i="1"/>
  <c r="CO1344" i="1"/>
  <c r="CP1344" i="1"/>
  <c r="CQ1344" i="1"/>
  <c r="G641" i="1"/>
  <c r="U641" i="1"/>
  <c r="W641" i="1"/>
  <c r="AE641" i="1"/>
  <c r="AK641" i="1"/>
  <c r="AQ641" i="1"/>
  <c r="AU641" i="1"/>
  <c r="AV641" i="1"/>
  <c r="AW641" i="1"/>
  <c r="AX641" i="1"/>
  <c r="AY641" i="1"/>
  <c r="AZ641" i="1"/>
  <c r="BA641" i="1"/>
  <c r="BC641" i="1"/>
  <c r="BD641" i="1"/>
  <c r="BE641" i="1"/>
  <c r="BF641" i="1"/>
  <c r="BG641" i="1"/>
  <c r="BH641" i="1"/>
  <c r="BI641" i="1"/>
  <c r="BJ641" i="1"/>
  <c r="BM641" i="1"/>
  <c r="CA641" i="1"/>
  <c r="CN641" i="1"/>
  <c r="CO641" i="1"/>
  <c r="CP641" i="1"/>
  <c r="CQ641" i="1"/>
  <c r="G642" i="1"/>
  <c r="U642" i="1"/>
  <c r="W642" i="1"/>
  <c r="AE642" i="1"/>
  <c r="AK642" i="1"/>
  <c r="AQ642" i="1"/>
  <c r="AU642" i="1"/>
  <c r="AV642" i="1"/>
  <c r="AW642" i="1"/>
  <c r="AX642" i="1"/>
  <c r="AY642" i="1"/>
  <c r="AZ642" i="1"/>
  <c r="BA642" i="1"/>
  <c r="BC642" i="1"/>
  <c r="BD642" i="1"/>
  <c r="BE642" i="1"/>
  <c r="BF642" i="1"/>
  <c r="BG642" i="1"/>
  <c r="BH642" i="1"/>
  <c r="BI642" i="1"/>
  <c r="BJ642" i="1"/>
  <c r="BM642" i="1"/>
  <c r="CA642" i="1"/>
  <c r="CN642" i="1"/>
  <c r="CO642" i="1"/>
  <c r="CP642" i="1"/>
  <c r="CQ642" i="1"/>
  <c r="G1345" i="1"/>
  <c r="U1345" i="1"/>
  <c r="W1345" i="1"/>
  <c r="AE1345" i="1"/>
  <c r="AK1345" i="1"/>
  <c r="AQ1345" i="1"/>
  <c r="AU1345" i="1"/>
  <c r="AV1345" i="1"/>
  <c r="AW1345" i="1"/>
  <c r="AX1345" i="1"/>
  <c r="AY1345" i="1"/>
  <c r="AZ1345" i="1"/>
  <c r="BA1345" i="1"/>
  <c r="BC1345" i="1"/>
  <c r="BD1345" i="1"/>
  <c r="BE1345" i="1"/>
  <c r="BF1345" i="1"/>
  <c r="BG1345" i="1"/>
  <c r="BH1345" i="1"/>
  <c r="BI1345" i="1"/>
  <c r="BJ1345" i="1"/>
  <c r="BM1345" i="1"/>
  <c r="CA1345" i="1"/>
  <c r="CN1345" i="1"/>
  <c r="CO1345" i="1"/>
  <c r="CP1345" i="1"/>
  <c r="CQ1345" i="1"/>
  <c r="G61" i="1"/>
  <c r="U61" i="1"/>
  <c r="W61" i="1"/>
  <c r="AE61" i="1"/>
  <c r="AK61" i="1"/>
  <c r="AQ61" i="1"/>
  <c r="AU61" i="1"/>
  <c r="AV61" i="1"/>
  <c r="AW61" i="1"/>
  <c r="AX61" i="1"/>
  <c r="AY61" i="1"/>
  <c r="AZ61" i="1"/>
  <c r="BA61" i="1"/>
  <c r="BC61" i="1"/>
  <c r="BD61" i="1"/>
  <c r="BE61" i="1"/>
  <c r="BF61" i="1"/>
  <c r="BG61" i="1"/>
  <c r="BH61" i="1"/>
  <c r="BI61" i="1"/>
  <c r="BJ61" i="1"/>
  <c r="BM61" i="1"/>
  <c r="CA61" i="1"/>
  <c r="CN61" i="1"/>
  <c r="CO61" i="1"/>
  <c r="CP61" i="1"/>
  <c r="CQ61" i="1"/>
  <c r="G643" i="1"/>
  <c r="U643" i="1"/>
  <c r="W643" i="1"/>
  <c r="AE643" i="1"/>
  <c r="AK643" i="1"/>
  <c r="AQ643" i="1"/>
  <c r="AU643" i="1"/>
  <c r="AV643" i="1"/>
  <c r="AW643" i="1"/>
  <c r="AX643" i="1"/>
  <c r="AY643" i="1"/>
  <c r="AZ643" i="1"/>
  <c r="BA643" i="1"/>
  <c r="BC643" i="1"/>
  <c r="BD643" i="1"/>
  <c r="BE643" i="1"/>
  <c r="BF643" i="1"/>
  <c r="BG643" i="1"/>
  <c r="BH643" i="1"/>
  <c r="BI643" i="1"/>
  <c r="BJ643" i="1"/>
  <c r="BM643" i="1"/>
  <c r="CA643" i="1"/>
  <c r="CN643" i="1"/>
  <c r="CO643" i="1"/>
  <c r="CP643" i="1"/>
  <c r="CQ643" i="1"/>
  <c r="G1756" i="1"/>
  <c r="U1756" i="1"/>
  <c r="W1756" i="1"/>
  <c r="AE1756" i="1"/>
  <c r="AK1756" i="1"/>
  <c r="AQ1756" i="1"/>
  <c r="AU1756" i="1"/>
  <c r="AV1756" i="1"/>
  <c r="AW1756" i="1"/>
  <c r="AX1756" i="1"/>
  <c r="AY1756" i="1"/>
  <c r="AZ1756" i="1"/>
  <c r="BA1756" i="1"/>
  <c r="BC1756" i="1"/>
  <c r="BD1756" i="1"/>
  <c r="BE1756" i="1"/>
  <c r="BF1756" i="1"/>
  <c r="BG1756" i="1"/>
  <c r="BH1756" i="1"/>
  <c r="BI1756" i="1"/>
  <c r="BJ1756" i="1"/>
  <c r="BM1756" i="1"/>
  <c r="CA1756" i="1"/>
  <c r="CN1756" i="1"/>
  <c r="CO1756" i="1"/>
  <c r="CP1756" i="1"/>
  <c r="CQ1756" i="1"/>
  <c r="G377" i="1"/>
  <c r="U377" i="1"/>
  <c r="W377" i="1"/>
  <c r="AE377" i="1"/>
  <c r="AK377" i="1"/>
  <c r="AQ377" i="1"/>
  <c r="AU377" i="1"/>
  <c r="AV377" i="1"/>
  <c r="AW377" i="1"/>
  <c r="AX377" i="1"/>
  <c r="AY377" i="1"/>
  <c r="AZ377" i="1"/>
  <c r="BA377" i="1"/>
  <c r="BC377" i="1"/>
  <c r="BD377" i="1"/>
  <c r="BE377" i="1"/>
  <c r="BF377" i="1"/>
  <c r="BG377" i="1"/>
  <c r="BH377" i="1"/>
  <c r="BI377" i="1"/>
  <c r="BJ377" i="1"/>
  <c r="BM377" i="1"/>
  <c r="CA377" i="1"/>
  <c r="CN377" i="1"/>
  <c r="CO377" i="1"/>
  <c r="CP377" i="1"/>
  <c r="CQ377" i="1"/>
  <c r="G1757" i="1"/>
  <c r="U1757" i="1"/>
  <c r="W1757" i="1"/>
  <c r="AE1757" i="1"/>
  <c r="AK1757" i="1"/>
  <c r="AQ1757" i="1"/>
  <c r="AU1757" i="1"/>
  <c r="AV1757" i="1"/>
  <c r="AW1757" i="1"/>
  <c r="AX1757" i="1"/>
  <c r="AY1757" i="1"/>
  <c r="AZ1757" i="1"/>
  <c r="BA1757" i="1"/>
  <c r="BC1757" i="1"/>
  <c r="BD1757" i="1"/>
  <c r="BE1757" i="1"/>
  <c r="BF1757" i="1"/>
  <c r="BG1757" i="1"/>
  <c r="BH1757" i="1"/>
  <c r="BI1757" i="1"/>
  <c r="BJ1757" i="1"/>
  <c r="BM1757" i="1"/>
  <c r="CA1757" i="1"/>
  <c r="CN1757" i="1"/>
  <c r="CO1757" i="1"/>
  <c r="CP1757" i="1"/>
  <c r="CQ1757" i="1"/>
  <c r="G1758" i="1"/>
  <c r="U1758" i="1"/>
  <c r="W1758" i="1"/>
  <c r="AE1758" i="1"/>
  <c r="AK1758" i="1"/>
  <c r="AQ1758" i="1"/>
  <c r="AU1758" i="1"/>
  <c r="AV1758" i="1"/>
  <c r="AW1758" i="1"/>
  <c r="AX1758" i="1"/>
  <c r="AY1758" i="1"/>
  <c r="AZ1758" i="1"/>
  <c r="BA1758" i="1"/>
  <c r="BC1758" i="1"/>
  <c r="BD1758" i="1"/>
  <c r="BE1758" i="1"/>
  <c r="BF1758" i="1"/>
  <c r="BG1758" i="1"/>
  <c r="BH1758" i="1"/>
  <c r="BI1758" i="1"/>
  <c r="BJ1758" i="1"/>
  <c r="BM1758" i="1"/>
  <c r="CA1758" i="1"/>
  <c r="CN1758" i="1"/>
  <c r="CO1758" i="1"/>
  <c r="CP1758" i="1"/>
  <c r="CQ1758" i="1"/>
  <c r="G644" i="1"/>
  <c r="U644" i="1"/>
  <c r="W644" i="1"/>
  <c r="AE644" i="1"/>
  <c r="AK644" i="1"/>
  <c r="AQ644" i="1"/>
  <c r="AU644" i="1"/>
  <c r="AV644" i="1"/>
  <c r="AW644" i="1"/>
  <c r="AX644" i="1"/>
  <c r="AY644" i="1"/>
  <c r="AZ644" i="1"/>
  <c r="BA644" i="1"/>
  <c r="BC644" i="1"/>
  <c r="BD644" i="1"/>
  <c r="BE644" i="1"/>
  <c r="BF644" i="1"/>
  <c r="BG644" i="1"/>
  <c r="BH644" i="1"/>
  <c r="BI644" i="1"/>
  <c r="BJ644" i="1"/>
  <c r="BM644" i="1"/>
  <c r="CA644" i="1"/>
  <c r="CN644" i="1"/>
  <c r="CO644" i="1"/>
  <c r="CP644" i="1"/>
  <c r="CQ644" i="1"/>
  <c r="G62" i="1"/>
  <c r="U62" i="1"/>
  <c r="W62" i="1"/>
  <c r="AE62" i="1"/>
  <c r="AK62" i="1"/>
  <c r="AQ62" i="1"/>
  <c r="AU62" i="1"/>
  <c r="AV62" i="1"/>
  <c r="AW62" i="1"/>
  <c r="AX62" i="1"/>
  <c r="AY62" i="1"/>
  <c r="AZ62" i="1"/>
  <c r="BA62" i="1"/>
  <c r="BC62" i="1"/>
  <c r="BD62" i="1"/>
  <c r="BE62" i="1"/>
  <c r="BF62" i="1"/>
  <c r="BG62" i="1"/>
  <c r="BH62" i="1"/>
  <c r="BI62" i="1"/>
  <c r="BJ62" i="1"/>
  <c r="BM62" i="1"/>
  <c r="CA62" i="1"/>
  <c r="CN62" i="1"/>
  <c r="CO62" i="1"/>
  <c r="CP62" i="1"/>
  <c r="CQ62" i="1"/>
  <c r="G645" i="1"/>
  <c r="U645" i="1"/>
  <c r="W645" i="1"/>
  <c r="AE645" i="1"/>
  <c r="AK645" i="1"/>
  <c r="AQ645" i="1"/>
  <c r="AU645" i="1"/>
  <c r="AV645" i="1"/>
  <c r="AW645" i="1"/>
  <c r="AX645" i="1"/>
  <c r="AY645" i="1"/>
  <c r="AZ645" i="1"/>
  <c r="BA645" i="1"/>
  <c r="BC645" i="1"/>
  <c r="BD645" i="1"/>
  <c r="BE645" i="1"/>
  <c r="BF645" i="1"/>
  <c r="BG645" i="1"/>
  <c r="BH645" i="1"/>
  <c r="BI645" i="1"/>
  <c r="BJ645" i="1"/>
  <c r="BM645" i="1"/>
  <c r="CA645" i="1"/>
  <c r="CN645" i="1"/>
  <c r="CO645" i="1"/>
  <c r="CP645" i="1"/>
  <c r="CQ645" i="1"/>
  <c r="G1346" i="1"/>
  <c r="U1346" i="1"/>
  <c r="W1346" i="1"/>
  <c r="AE1346" i="1"/>
  <c r="AK1346" i="1"/>
  <c r="AQ1346" i="1"/>
  <c r="AU1346" i="1"/>
  <c r="AV1346" i="1"/>
  <c r="AW1346" i="1"/>
  <c r="AX1346" i="1"/>
  <c r="AY1346" i="1"/>
  <c r="AZ1346" i="1"/>
  <c r="BA1346" i="1"/>
  <c r="BC1346" i="1"/>
  <c r="BD1346" i="1"/>
  <c r="BE1346" i="1"/>
  <c r="BF1346" i="1"/>
  <c r="BG1346" i="1"/>
  <c r="BH1346" i="1"/>
  <c r="BI1346" i="1"/>
  <c r="BJ1346" i="1"/>
  <c r="BM1346" i="1"/>
  <c r="CA1346" i="1"/>
  <c r="CN1346" i="1"/>
  <c r="CO1346" i="1"/>
  <c r="CP1346" i="1"/>
  <c r="CQ1346" i="1"/>
  <c r="G646" i="1"/>
  <c r="U646" i="1"/>
  <c r="W646" i="1"/>
  <c r="AE646" i="1"/>
  <c r="AK646" i="1"/>
  <c r="AQ646" i="1"/>
  <c r="AU646" i="1"/>
  <c r="AV646" i="1"/>
  <c r="AW646" i="1"/>
  <c r="AX646" i="1"/>
  <c r="AY646" i="1"/>
  <c r="AZ646" i="1"/>
  <c r="BA646" i="1"/>
  <c r="BC646" i="1"/>
  <c r="BD646" i="1"/>
  <c r="BE646" i="1"/>
  <c r="BF646" i="1"/>
  <c r="BG646" i="1"/>
  <c r="BH646" i="1"/>
  <c r="BI646" i="1"/>
  <c r="BJ646" i="1"/>
  <c r="BM646" i="1"/>
  <c r="CA646" i="1"/>
  <c r="CN646" i="1"/>
  <c r="CO646" i="1"/>
  <c r="CP646" i="1"/>
  <c r="CQ646" i="1"/>
  <c r="G63" i="1"/>
  <c r="U63" i="1"/>
  <c r="W63" i="1"/>
  <c r="AE63" i="1"/>
  <c r="AK63" i="1"/>
  <c r="AQ63" i="1"/>
  <c r="AU63" i="1"/>
  <c r="AV63" i="1"/>
  <c r="AW63" i="1"/>
  <c r="AX63" i="1"/>
  <c r="AY63" i="1"/>
  <c r="AZ63" i="1"/>
  <c r="BA63" i="1"/>
  <c r="BC63" i="1"/>
  <c r="BD63" i="1"/>
  <c r="BE63" i="1"/>
  <c r="BF63" i="1"/>
  <c r="BG63" i="1"/>
  <c r="BH63" i="1"/>
  <c r="BI63" i="1"/>
  <c r="BJ63" i="1"/>
  <c r="BM63" i="1"/>
  <c r="CA63" i="1"/>
  <c r="CN63" i="1"/>
  <c r="CO63" i="1"/>
  <c r="CP63" i="1"/>
  <c r="CQ63" i="1"/>
  <c r="G647" i="1"/>
  <c r="U647" i="1"/>
  <c r="W647" i="1"/>
  <c r="AE647" i="1"/>
  <c r="AK647" i="1"/>
  <c r="AQ647" i="1"/>
  <c r="AU647" i="1"/>
  <c r="AV647" i="1"/>
  <c r="AW647" i="1"/>
  <c r="AX647" i="1"/>
  <c r="AY647" i="1"/>
  <c r="AZ647" i="1"/>
  <c r="BA647" i="1"/>
  <c r="BC647" i="1"/>
  <c r="BD647" i="1"/>
  <c r="BE647" i="1"/>
  <c r="BF647" i="1"/>
  <c r="BG647" i="1"/>
  <c r="BH647" i="1"/>
  <c r="BI647" i="1"/>
  <c r="BJ647" i="1"/>
  <c r="BM647" i="1"/>
  <c r="CA647" i="1"/>
  <c r="CN647" i="1"/>
  <c r="CO647" i="1"/>
  <c r="CP647" i="1"/>
  <c r="CQ647" i="1"/>
  <c r="G648" i="1"/>
  <c r="U648" i="1"/>
  <c r="W648" i="1"/>
  <c r="AE648" i="1"/>
  <c r="AK648" i="1"/>
  <c r="AQ648" i="1"/>
  <c r="AU648" i="1"/>
  <c r="AV648" i="1"/>
  <c r="AW648" i="1"/>
  <c r="AX648" i="1"/>
  <c r="AY648" i="1"/>
  <c r="AZ648" i="1"/>
  <c r="BA648" i="1"/>
  <c r="BC648" i="1"/>
  <c r="BD648" i="1"/>
  <c r="BE648" i="1"/>
  <c r="BF648" i="1"/>
  <c r="BG648" i="1"/>
  <c r="BH648" i="1"/>
  <c r="BI648" i="1"/>
  <c r="BJ648" i="1"/>
  <c r="BM648" i="1"/>
  <c r="CA648" i="1"/>
  <c r="CN648" i="1"/>
  <c r="CO648" i="1"/>
  <c r="CP648" i="1"/>
  <c r="CQ648" i="1"/>
  <c r="G649" i="1"/>
  <c r="U649" i="1"/>
  <c r="W649" i="1"/>
  <c r="AE649" i="1"/>
  <c r="AK649" i="1"/>
  <c r="AQ649" i="1"/>
  <c r="AU649" i="1"/>
  <c r="AV649" i="1"/>
  <c r="AW649" i="1"/>
  <c r="AX649" i="1"/>
  <c r="AY649" i="1"/>
  <c r="AZ649" i="1"/>
  <c r="BA649" i="1"/>
  <c r="BC649" i="1"/>
  <c r="BD649" i="1"/>
  <c r="BE649" i="1"/>
  <c r="BF649" i="1"/>
  <c r="BG649" i="1"/>
  <c r="BH649" i="1"/>
  <c r="BI649" i="1"/>
  <c r="BJ649" i="1"/>
  <c r="BM649" i="1"/>
  <c r="CA649" i="1"/>
  <c r="CN649" i="1"/>
  <c r="CO649" i="1"/>
  <c r="CP649" i="1"/>
  <c r="CQ649" i="1"/>
  <c r="G1347" i="1"/>
  <c r="U1347" i="1"/>
  <c r="W1347" i="1"/>
  <c r="AE1347" i="1"/>
  <c r="AK1347" i="1"/>
  <c r="AQ1347" i="1"/>
  <c r="AU1347" i="1"/>
  <c r="AV1347" i="1"/>
  <c r="AW1347" i="1"/>
  <c r="AX1347" i="1"/>
  <c r="AY1347" i="1"/>
  <c r="AZ1347" i="1"/>
  <c r="BA1347" i="1"/>
  <c r="BC1347" i="1"/>
  <c r="BD1347" i="1"/>
  <c r="BE1347" i="1"/>
  <c r="BF1347" i="1"/>
  <c r="BG1347" i="1"/>
  <c r="BH1347" i="1"/>
  <c r="BI1347" i="1"/>
  <c r="BJ1347" i="1"/>
  <c r="BM1347" i="1"/>
  <c r="CA1347" i="1"/>
  <c r="CN1347" i="1"/>
  <c r="CO1347" i="1"/>
  <c r="CP1347" i="1"/>
  <c r="CQ1347" i="1"/>
  <c r="G64" i="1"/>
  <c r="U64" i="1"/>
  <c r="W64" i="1"/>
  <c r="AE64" i="1"/>
  <c r="AK64" i="1"/>
  <c r="AQ64" i="1"/>
  <c r="AU64" i="1"/>
  <c r="AV64" i="1"/>
  <c r="AW64" i="1"/>
  <c r="AX64" i="1"/>
  <c r="AY64" i="1"/>
  <c r="AZ64" i="1"/>
  <c r="BA64" i="1"/>
  <c r="BC64" i="1"/>
  <c r="BD64" i="1"/>
  <c r="BE64" i="1"/>
  <c r="BF64" i="1"/>
  <c r="BG64" i="1"/>
  <c r="BH64" i="1"/>
  <c r="BI64" i="1"/>
  <c r="BJ64" i="1"/>
  <c r="BM64" i="1"/>
  <c r="CA64" i="1"/>
  <c r="CN64" i="1"/>
  <c r="CO64" i="1"/>
  <c r="CP64" i="1"/>
  <c r="CQ64" i="1"/>
  <c r="G1348" i="1"/>
  <c r="U1348" i="1"/>
  <c r="W1348" i="1"/>
  <c r="AE1348" i="1"/>
  <c r="AK1348" i="1"/>
  <c r="AQ1348" i="1"/>
  <c r="AU1348" i="1"/>
  <c r="AV1348" i="1"/>
  <c r="AW1348" i="1"/>
  <c r="AX1348" i="1"/>
  <c r="AY1348" i="1"/>
  <c r="AZ1348" i="1"/>
  <c r="BA1348" i="1"/>
  <c r="BC1348" i="1"/>
  <c r="BD1348" i="1"/>
  <c r="BE1348" i="1"/>
  <c r="BF1348" i="1"/>
  <c r="BG1348" i="1"/>
  <c r="BH1348" i="1"/>
  <c r="BI1348" i="1"/>
  <c r="BJ1348" i="1"/>
  <c r="BM1348" i="1"/>
  <c r="CA1348" i="1"/>
  <c r="CN1348" i="1"/>
  <c r="CO1348" i="1"/>
  <c r="CP1348" i="1"/>
  <c r="CQ1348" i="1"/>
  <c r="G1349" i="1"/>
  <c r="U1349" i="1"/>
  <c r="W1349" i="1"/>
  <c r="AE1349" i="1"/>
  <c r="AK1349" i="1"/>
  <c r="AQ1349" i="1"/>
  <c r="AU1349" i="1"/>
  <c r="AV1349" i="1"/>
  <c r="AW1349" i="1"/>
  <c r="AX1349" i="1"/>
  <c r="AY1349" i="1"/>
  <c r="AZ1349" i="1"/>
  <c r="BA1349" i="1"/>
  <c r="BC1349" i="1"/>
  <c r="BD1349" i="1"/>
  <c r="BE1349" i="1"/>
  <c r="BF1349" i="1"/>
  <c r="BG1349" i="1"/>
  <c r="BH1349" i="1"/>
  <c r="BI1349" i="1"/>
  <c r="BJ1349" i="1"/>
  <c r="BM1349" i="1"/>
  <c r="CA1349" i="1"/>
  <c r="CN1349" i="1"/>
  <c r="CO1349" i="1"/>
  <c r="CP1349" i="1"/>
  <c r="CQ1349" i="1"/>
  <c r="G1759" i="1"/>
  <c r="U1759" i="1"/>
  <c r="W1759" i="1"/>
  <c r="AE1759" i="1"/>
  <c r="AK1759" i="1"/>
  <c r="AQ1759" i="1"/>
  <c r="AU1759" i="1"/>
  <c r="AV1759" i="1"/>
  <c r="AW1759" i="1"/>
  <c r="AX1759" i="1"/>
  <c r="AY1759" i="1"/>
  <c r="AZ1759" i="1"/>
  <c r="BA1759" i="1"/>
  <c r="BC1759" i="1"/>
  <c r="BD1759" i="1"/>
  <c r="BE1759" i="1"/>
  <c r="BF1759" i="1"/>
  <c r="BG1759" i="1"/>
  <c r="BH1759" i="1"/>
  <c r="BI1759" i="1"/>
  <c r="BJ1759" i="1"/>
  <c r="BM1759" i="1"/>
  <c r="CA1759" i="1"/>
  <c r="CN1759" i="1"/>
  <c r="CO1759" i="1"/>
  <c r="CP1759" i="1"/>
  <c r="CQ1759" i="1"/>
  <c r="G65" i="1"/>
  <c r="U65" i="1"/>
  <c r="W65" i="1"/>
  <c r="AE65" i="1"/>
  <c r="AK65" i="1"/>
  <c r="AQ65" i="1"/>
  <c r="AU65" i="1"/>
  <c r="AV65" i="1"/>
  <c r="AW65" i="1"/>
  <c r="AX65" i="1"/>
  <c r="AY65" i="1"/>
  <c r="AZ65" i="1"/>
  <c r="BA65" i="1"/>
  <c r="BC65" i="1"/>
  <c r="BD65" i="1"/>
  <c r="BE65" i="1"/>
  <c r="BF65" i="1"/>
  <c r="BG65" i="1"/>
  <c r="BH65" i="1"/>
  <c r="BI65" i="1"/>
  <c r="BJ65" i="1"/>
  <c r="BM65" i="1"/>
  <c r="CA65" i="1"/>
  <c r="CN65" i="1"/>
  <c r="CO65" i="1"/>
  <c r="CP65" i="1"/>
  <c r="CQ65" i="1"/>
  <c r="G1760" i="1"/>
  <c r="U1760" i="1"/>
  <c r="W1760" i="1"/>
  <c r="AE1760" i="1"/>
  <c r="AK1760" i="1"/>
  <c r="AQ1760" i="1"/>
  <c r="AU1760" i="1"/>
  <c r="AV1760" i="1"/>
  <c r="AW1760" i="1"/>
  <c r="AX1760" i="1"/>
  <c r="AY1760" i="1"/>
  <c r="AZ1760" i="1"/>
  <c r="BA1760" i="1"/>
  <c r="BC1760" i="1"/>
  <c r="BD1760" i="1"/>
  <c r="BE1760" i="1"/>
  <c r="BF1760" i="1"/>
  <c r="BG1760" i="1"/>
  <c r="BH1760" i="1"/>
  <c r="BI1760" i="1"/>
  <c r="BJ1760" i="1"/>
  <c r="BM1760" i="1"/>
  <c r="CA1760" i="1"/>
  <c r="CN1760" i="1"/>
  <c r="CO1760" i="1"/>
  <c r="CP1760" i="1"/>
  <c r="CQ1760" i="1"/>
  <c r="G650" i="1"/>
  <c r="U650" i="1"/>
  <c r="W650" i="1"/>
  <c r="AE650" i="1"/>
  <c r="AK650" i="1"/>
  <c r="AQ650" i="1"/>
  <c r="AU650" i="1"/>
  <c r="AV650" i="1"/>
  <c r="AW650" i="1"/>
  <c r="AX650" i="1"/>
  <c r="AY650" i="1"/>
  <c r="AZ650" i="1"/>
  <c r="BA650" i="1"/>
  <c r="BC650" i="1"/>
  <c r="BD650" i="1"/>
  <c r="BE650" i="1"/>
  <c r="BF650" i="1"/>
  <c r="BG650" i="1"/>
  <c r="BH650" i="1"/>
  <c r="BI650" i="1"/>
  <c r="BJ650" i="1"/>
  <c r="BM650" i="1"/>
  <c r="CA650" i="1"/>
  <c r="CN650" i="1"/>
  <c r="CO650" i="1"/>
  <c r="CP650" i="1"/>
  <c r="CQ650" i="1"/>
  <c r="G66" i="1"/>
  <c r="U66" i="1"/>
  <c r="W66" i="1"/>
  <c r="AE66" i="1"/>
  <c r="AK66" i="1"/>
  <c r="AQ66" i="1"/>
  <c r="AU66" i="1"/>
  <c r="AV66" i="1"/>
  <c r="AW66" i="1"/>
  <c r="AX66" i="1"/>
  <c r="AY66" i="1"/>
  <c r="AZ66" i="1"/>
  <c r="BA66" i="1"/>
  <c r="BC66" i="1"/>
  <c r="BD66" i="1"/>
  <c r="BE66" i="1"/>
  <c r="BF66" i="1"/>
  <c r="BG66" i="1"/>
  <c r="BH66" i="1"/>
  <c r="BI66" i="1"/>
  <c r="BJ66" i="1"/>
  <c r="BM66" i="1"/>
  <c r="CA66" i="1"/>
  <c r="CN66" i="1"/>
  <c r="CO66" i="1"/>
  <c r="CP66" i="1"/>
  <c r="CQ66" i="1"/>
  <c r="G67" i="1"/>
  <c r="U67" i="1"/>
  <c r="W67" i="1"/>
  <c r="AE67" i="1"/>
  <c r="AK67" i="1"/>
  <c r="AQ67" i="1"/>
  <c r="AU67" i="1"/>
  <c r="AV67" i="1"/>
  <c r="AW67" i="1"/>
  <c r="AX67" i="1"/>
  <c r="AY67" i="1"/>
  <c r="AZ67" i="1"/>
  <c r="BA67" i="1"/>
  <c r="BC67" i="1"/>
  <c r="BD67" i="1"/>
  <c r="BE67" i="1"/>
  <c r="BF67" i="1"/>
  <c r="BG67" i="1"/>
  <c r="BH67" i="1"/>
  <c r="BI67" i="1"/>
  <c r="BJ67" i="1"/>
  <c r="BM67" i="1"/>
  <c r="CA67" i="1"/>
  <c r="CN67" i="1"/>
  <c r="CO67" i="1"/>
  <c r="CP67" i="1"/>
  <c r="CQ67" i="1"/>
  <c r="G1761" i="1"/>
  <c r="U1761" i="1"/>
  <c r="W1761" i="1"/>
  <c r="AE1761" i="1"/>
  <c r="AK1761" i="1"/>
  <c r="AQ1761" i="1"/>
  <c r="AU1761" i="1"/>
  <c r="AV1761" i="1"/>
  <c r="AW1761" i="1"/>
  <c r="AX1761" i="1"/>
  <c r="AY1761" i="1"/>
  <c r="AZ1761" i="1"/>
  <c r="BA1761" i="1"/>
  <c r="BC1761" i="1"/>
  <c r="BD1761" i="1"/>
  <c r="BE1761" i="1"/>
  <c r="BF1761" i="1"/>
  <c r="BG1761" i="1"/>
  <c r="BH1761" i="1"/>
  <c r="BI1761" i="1"/>
  <c r="BJ1761" i="1"/>
  <c r="BM1761" i="1"/>
  <c r="CA1761" i="1"/>
  <c r="CN1761" i="1"/>
  <c r="CO1761" i="1"/>
  <c r="CP1761" i="1"/>
  <c r="CQ1761" i="1"/>
  <c r="G1762" i="1"/>
  <c r="U1762" i="1"/>
  <c r="W1762" i="1"/>
  <c r="AE1762" i="1"/>
  <c r="AK1762" i="1"/>
  <c r="AQ1762" i="1"/>
  <c r="AU1762" i="1"/>
  <c r="AV1762" i="1"/>
  <c r="AW1762" i="1"/>
  <c r="AX1762" i="1"/>
  <c r="AY1762" i="1"/>
  <c r="AZ1762" i="1"/>
  <c r="BA1762" i="1"/>
  <c r="BC1762" i="1"/>
  <c r="BD1762" i="1"/>
  <c r="BE1762" i="1"/>
  <c r="BF1762" i="1"/>
  <c r="BG1762" i="1"/>
  <c r="BH1762" i="1"/>
  <c r="BI1762" i="1"/>
  <c r="BJ1762" i="1"/>
  <c r="BM1762" i="1"/>
  <c r="CA1762" i="1"/>
  <c r="CN1762" i="1"/>
  <c r="CO1762" i="1"/>
  <c r="CP1762" i="1"/>
  <c r="CQ1762" i="1"/>
  <c r="G1763" i="1"/>
  <c r="U1763" i="1"/>
  <c r="W1763" i="1"/>
  <c r="AE1763" i="1"/>
  <c r="AK1763" i="1"/>
  <c r="AQ1763" i="1"/>
  <c r="AU1763" i="1"/>
  <c r="AV1763" i="1"/>
  <c r="AW1763" i="1"/>
  <c r="AX1763" i="1"/>
  <c r="AY1763" i="1"/>
  <c r="AZ1763" i="1"/>
  <c r="BA1763" i="1"/>
  <c r="BC1763" i="1"/>
  <c r="BD1763" i="1"/>
  <c r="BE1763" i="1"/>
  <c r="BF1763" i="1"/>
  <c r="BG1763" i="1"/>
  <c r="BH1763" i="1"/>
  <c r="BI1763" i="1"/>
  <c r="BJ1763" i="1"/>
  <c r="BM1763" i="1"/>
  <c r="CA1763" i="1"/>
  <c r="CN1763" i="1"/>
  <c r="CO1763" i="1"/>
  <c r="CP1763" i="1"/>
  <c r="CQ1763" i="1"/>
  <c r="G651" i="1"/>
  <c r="U651" i="1"/>
  <c r="W651" i="1"/>
  <c r="AE651" i="1"/>
  <c r="AK651" i="1"/>
  <c r="AQ651" i="1"/>
  <c r="AU651" i="1"/>
  <c r="AV651" i="1"/>
  <c r="AW651" i="1"/>
  <c r="AX651" i="1"/>
  <c r="AY651" i="1"/>
  <c r="AZ651" i="1"/>
  <c r="BA651" i="1"/>
  <c r="BC651" i="1"/>
  <c r="BD651" i="1"/>
  <c r="BE651" i="1"/>
  <c r="BF651" i="1"/>
  <c r="BG651" i="1"/>
  <c r="BH651" i="1"/>
  <c r="BI651" i="1"/>
  <c r="BJ651" i="1"/>
  <c r="BM651" i="1"/>
  <c r="CA651" i="1"/>
  <c r="CN651" i="1"/>
  <c r="CO651" i="1"/>
  <c r="CP651" i="1"/>
  <c r="CQ651" i="1"/>
  <c r="G652" i="1"/>
  <c r="U652" i="1"/>
  <c r="W652" i="1"/>
  <c r="AE652" i="1"/>
  <c r="AK652" i="1"/>
  <c r="AQ652" i="1"/>
  <c r="AU652" i="1"/>
  <c r="AV652" i="1"/>
  <c r="AW652" i="1"/>
  <c r="AX652" i="1"/>
  <c r="AY652" i="1"/>
  <c r="AZ652" i="1"/>
  <c r="BA652" i="1"/>
  <c r="BC652" i="1"/>
  <c r="BD652" i="1"/>
  <c r="BE652" i="1"/>
  <c r="BF652" i="1"/>
  <c r="BG652" i="1"/>
  <c r="BH652" i="1"/>
  <c r="BI652" i="1"/>
  <c r="BJ652" i="1"/>
  <c r="BM652" i="1"/>
  <c r="CA652" i="1"/>
  <c r="CN652" i="1"/>
  <c r="CO652" i="1"/>
  <c r="CP652" i="1"/>
  <c r="CQ652" i="1"/>
  <c r="G653" i="1"/>
  <c r="U653" i="1"/>
  <c r="W653" i="1"/>
  <c r="AE653" i="1"/>
  <c r="AK653" i="1"/>
  <c r="AQ653" i="1"/>
  <c r="AU653" i="1"/>
  <c r="AV653" i="1"/>
  <c r="AW653" i="1"/>
  <c r="AX653" i="1"/>
  <c r="AY653" i="1"/>
  <c r="AZ653" i="1"/>
  <c r="BA653" i="1"/>
  <c r="BC653" i="1"/>
  <c r="BD653" i="1"/>
  <c r="BE653" i="1"/>
  <c r="BF653" i="1"/>
  <c r="BG653" i="1"/>
  <c r="BH653" i="1"/>
  <c r="BI653" i="1"/>
  <c r="BJ653" i="1"/>
  <c r="BM653" i="1"/>
  <c r="CA653" i="1"/>
  <c r="CN653" i="1"/>
  <c r="CO653" i="1"/>
  <c r="CP653" i="1"/>
  <c r="CQ653" i="1"/>
  <c r="G654" i="1"/>
  <c r="U654" i="1"/>
  <c r="W654" i="1"/>
  <c r="AE654" i="1"/>
  <c r="AK654" i="1"/>
  <c r="AQ654" i="1"/>
  <c r="AU654" i="1"/>
  <c r="AV654" i="1"/>
  <c r="AW654" i="1"/>
  <c r="AX654" i="1"/>
  <c r="AY654" i="1"/>
  <c r="AZ654" i="1"/>
  <c r="BA654" i="1"/>
  <c r="BC654" i="1"/>
  <c r="BD654" i="1"/>
  <c r="BE654" i="1"/>
  <c r="BF654" i="1"/>
  <c r="BG654" i="1"/>
  <c r="BH654" i="1"/>
  <c r="BI654" i="1"/>
  <c r="BJ654" i="1"/>
  <c r="BM654" i="1"/>
  <c r="CA654" i="1"/>
  <c r="CN654" i="1"/>
  <c r="CO654" i="1"/>
  <c r="CP654" i="1"/>
  <c r="CQ654" i="1"/>
  <c r="G655" i="1"/>
  <c r="U655" i="1"/>
  <c r="W655" i="1"/>
  <c r="AE655" i="1"/>
  <c r="AK655" i="1"/>
  <c r="AQ655" i="1"/>
  <c r="AU655" i="1"/>
  <c r="AV655" i="1"/>
  <c r="AW655" i="1"/>
  <c r="AX655" i="1"/>
  <c r="AY655" i="1"/>
  <c r="AZ655" i="1"/>
  <c r="BA655" i="1"/>
  <c r="BC655" i="1"/>
  <c r="BD655" i="1"/>
  <c r="BE655" i="1"/>
  <c r="BF655" i="1"/>
  <c r="BG655" i="1"/>
  <c r="BH655" i="1"/>
  <c r="BI655" i="1"/>
  <c r="BJ655" i="1"/>
  <c r="BM655" i="1"/>
  <c r="CA655" i="1"/>
  <c r="CN655" i="1"/>
  <c r="CO655" i="1"/>
  <c r="CP655" i="1"/>
  <c r="CQ655" i="1"/>
  <c r="G656" i="1"/>
  <c r="U656" i="1"/>
  <c r="W656" i="1"/>
  <c r="AE656" i="1"/>
  <c r="AK656" i="1"/>
  <c r="AQ656" i="1"/>
  <c r="AU656" i="1"/>
  <c r="AV656" i="1"/>
  <c r="AW656" i="1"/>
  <c r="AX656" i="1"/>
  <c r="AY656" i="1"/>
  <c r="AZ656" i="1"/>
  <c r="BA656" i="1"/>
  <c r="BC656" i="1"/>
  <c r="BD656" i="1"/>
  <c r="BE656" i="1"/>
  <c r="BF656" i="1"/>
  <c r="BG656" i="1"/>
  <c r="BH656" i="1"/>
  <c r="BI656" i="1"/>
  <c r="BJ656" i="1"/>
  <c r="BM656" i="1"/>
  <c r="CA656" i="1"/>
  <c r="CN656" i="1"/>
  <c r="CO656" i="1"/>
  <c r="CP656" i="1"/>
  <c r="CQ656" i="1"/>
  <c r="G68" i="1"/>
  <c r="U68" i="1"/>
  <c r="W68" i="1"/>
  <c r="AE68" i="1"/>
  <c r="AK68" i="1"/>
  <c r="AQ68" i="1"/>
  <c r="AU68" i="1"/>
  <c r="AV68" i="1"/>
  <c r="AW68" i="1"/>
  <c r="AX68" i="1"/>
  <c r="AY68" i="1"/>
  <c r="AZ68" i="1"/>
  <c r="BA68" i="1"/>
  <c r="BC68" i="1"/>
  <c r="BD68" i="1"/>
  <c r="BE68" i="1"/>
  <c r="BF68" i="1"/>
  <c r="BG68" i="1"/>
  <c r="BH68" i="1"/>
  <c r="BI68" i="1"/>
  <c r="BJ68" i="1"/>
  <c r="BM68" i="1"/>
  <c r="CA68" i="1"/>
  <c r="CN68" i="1"/>
  <c r="CO68" i="1"/>
  <c r="CP68" i="1"/>
  <c r="CQ68" i="1"/>
  <c r="G1764" i="1"/>
  <c r="U1764" i="1"/>
  <c r="W1764" i="1"/>
  <c r="AE1764" i="1"/>
  <c r="AK1764" i="1"/>
  <c r="AQ1764" i="1"/>
  <c r="AU1764" i="1"/>
  <c r="AV1764" i="1"/>
  <c r="AW1764" i="1"/>
  <c r="AX1764" i="1"/>
  <c r="AY1764" i="1"/>
  <c r="AZ1764" i="1"/>
  <c r="BA1764" i="1"/>
  <c r="BC1764" i="1"/>
  <c r="BD1764" i="1"/>
  <c r="BE1764" i="1"/>
  <c r="BF1764" i="1"/>
  <c r="BG1764" i="1"/>
  <c r="BH1764" i="1"/>
  <c r="BI1764" i="1"/>
  <c r="BJ1764" i="1"/>
  <c r="BM1764" i="1"/>
  <c r="CA1764" i="1"/>
  <c r="CN1764" i="1"/>
  <c r="CO1764" i="1"/>
  <c r="CP1764" i="1"/>
  <c r="CQ1764" i="1"/>
  <c r="G657" i="1"/>
  <c r="U657" i="1"/>
  <c r="W657" i="1"/>
  <c r="AE657" i="1"/>
  <c r="AK657" i="1"/>
  <c r="AQ657" i="1"/>
  <c r="AU657" i="1"/>
  <c r="AV657" i="1"/>
  <c r="AW657" i="1"/>
  <c r="AX657" i="1"/>
  <c r="AY657" i="1"/>
  <c r="AZ657" i="1"/>
  <c r="BA657" i="1"/>
  <c r="BC657" i="1"/>
  <c r="BD657" i="1"/>
  <c r="BE657" i="1"/>
  <c r="BF657" i="1"/>
  <c r="BG657" i="1"/>
  <c r="BH657" i="1"/>
  <c r="BI657" i="1"/>
  <c r="BJ657" i="1"/>
  <c r="BM657" i="1"/>
  <c r="CA657" i="1"/>
  <c r="CN657" i="1"/>
  <c r="CO657" i="1"/>
  <c r="CP657" i="1"/>
  <c r="CQ657" i="1"/>
  <c r="G1554" i="1"/>
  <c r="U1554" i="1"/>
  <c r="W1554" i="1"/>
  <c r="AE1554" i="1"/>
  <c r="AK1554" i="1"/>
  <c r="AQ1554" i="1"/>
  <c r="AU1554" i="1"/>
  <c r="AV1554" i="1"/>
  <c r="AW1554" i="1"/>
  <c r="AX1554" i="1"/>
  <c r="AY1554" i="1"/>
  <c r="AZ1554" i="1"/>
  <c r="BA1554" i="1"/>
  <c r="BC1554" i="1"/>
  <c r="BD1554" i="1"/>
  <c r="BE1554" i="1"/>
  <c r="BF1554" i="1"/>
  <c r="BG1554" i="1"/>
  <c r="BH1554" i="1"/>
  <c r="BI1554" i="1"/>
  <c r="BJ1554" i="1"/>
  <c r="BM1554" i="1"/>
  <c r="CA1554" i="1"/>
  <c r="CN1554" i="1"/>
  <c r="CO1554" i="1"/>
  <c r="CP1554" i="1"/>
  <c r="CQ1554" i="1"/>
  <c r="G1765" i="1"/>
  <c r="U1765" i="1"/>
  <c r="W1765" i="1"/>
  <c r="AE1765" i="1"/>
  <c r="AK1765" i="1"/>
  <c r="AQ1765" i="1"/>
  <c r="AU1765" i="1"/>
  <c r="AV1765" i="1"/>
  <c r="AW1765" i="1"/>
  <c r="AX1765" i="1"/>
  <c r="AY1765" i="1"/>
  <c r="AZ1765" i="1"/>
  <c r="BA1765" i="1"/>
  <c r="BC1765" i="1"/>
  <c r="BD1765" i="1"/>
  <c r="BE1765" i="1"/>
  <c r="BF1765" i="1"/>
  <c r="BG1765" i="1"/>
  <c r="BH1765" i="1"/>
  <c r="BI1765" i="1"/>
  <c r="BJ1765" i="1"/>
  <c r="BM1765" i="1"/>
  <c r="CA1765" i="1"/>
  <c r="CN1765" i="1"/>
  <c r="CO1765" i="1"/>
  <c r="CP1765" i="1"/>
  <c r="CQ1765" i="1"/>
  <c r="G658" i="1"/>
  <c r="U658" i="1"/>
  <c r="W658" i="1"/>
  <c r="AE658" i="1"/>
  <c r="AK658" i="1"/>
  <c r="AQ658" i="1"/>
  <c r="AU658" i="1"/>
  <c r="AV658" i="1"/>
  <c r="AW658" i="1"/>
  <c r="AX658" i="1"/>
  <c r="AY658" i="1"/>
  <c r="AZ658" i="1"/>
  <c r="BA658" i="1"/>
  <c r="BC658" i="1"/>
  <c r="BD658" i="1"/>
  <c r="BE658" i="1"/>
  <c r="BF658" i="1"/>
  <c r="BG658" i="1"/>
  <c r="BH658" i="1"/>
  <c r="BI658" i="1"/>
  <c r="BJ658" i="1"/>
  <c r="BM658" i="1"/>
  <c r="CA658" i="1"/>
  <c r="CN658" i="1"/>
  <c r="CO658" i="1"/>
  <c r="CP658" i="1"/>
  <c r="CQ658" i="1"/>
  <c r="G1766" i="1"/>
  <c r="U1766" i="1"/>
  <c r="W1766" i="1"/>
  <c r="AE1766" i="1"/>
  <c r="AK1766" i="1"/>
  <c r="AQ1766" i="1"/>
  <c r="AU1766" i="1"/>
  <c r="AV1766" i="1"/>
  <c r="AW1766" i="1"/>
  <c r="AX1766" i="1"/>
  <c r="AY1766" i="1"/>
  <c r="AZ1766" i="1"/>
  <c r="BA1766" i="1"/>
  <c r="BC1766" i="1"/>
  <c r="BD1766" i="1"/>
  <c r="BE1766" i="1"/>
  <c r="BF1766" i="1"/>
  <c r="BG1766" i="1"/>
  <c r="BH1766" i="1"/>
  <c r="BI1766" i="1"/>
  <c r="BJ1766" i="1"/>
  <c r="BM1766" i="1"/>
  <c r="CA1766" i="1"/>
  <c r="CN1766" i="1"/>
  <c r="CO1766" i="1"/>
  <c r="CP1766" i="1"/>
  <c r="CQ1766" i="1"/>
  <c r="G659" i="1"/>
  <c r="U659" i="1"/>
  <c r="W659" i="1"/>
  <c r="AE659" i="1"/>
  <c r="AK659" i="1"/>
  <c r="AQ659" i="1"/>
  <c r="AU659" i="1"/>
  <c r="AV659" i="1"/>
  <c r="AW659" i="1"/>
  <c r="AX659" i="1"/>
  <c r="AY659" i="1"/>
  <c r="AZ659" i="1"/>
  <c r="BA659" i="1"/>
  <c r="BC659" i="1"/>
  <c r="BD659" i="1"/>
  <c r="BE659" i="1"/>
  <c r="BF659" i="1"/>
  <c r="BG659" i="1"/>
  <c r="BH659" i="1"/>
  <c r="BI659" i="1"/>
  <c r="BJ659" i="1"/>
  <c r="BM659" i="1"/>
  <c r="CA659" i="1"/>
  <c r="CN659" i="1"/>
  <c r="CO659" i="1"/>
  <c r="CP659" i="1"/>
  <c r="CQ659" i="1"/>
  <c r="G69" i="1"/>
  <c r="U69" i="1"/>
  <c r="W69" i="1"/>
  <c r="AE69" i="1"/>
  <c r="AK69" i="1"/>
  <c r="AQ69" i="1"/>
  <c r="AU69" i="1"/>
  <c r="AV69" i="1"/>
  <c r="AW69" i="1"/>
  <c r="AX69" i="1"/>
  <c r="AY69" i="1"/>
  <c r="AZ69" i="1"/>
  <c r="BA69" i="1"/>
  <c r="BC69" i="1"/>
  <c r="BD69" i="1"/>
  <c r="BE69" i="1"/>
  <c r="BF69" i="1"/>
  <c r="BG69" i="1"/>
  <c r="BH69" i="1"/>
  <c r="BI69" i="1"/>
  <c r="BJ69" i="1"/>
  <c r="BM69" i="1"/>
  <c r="CA69" i="1"/>
  <c r="CN69" i="1"/>
  <c r="CO69" i="1"/>
  <c r="CP69" i="1"/>
  <c r="CQ69" i="1"/>
  <c r="G660" i="1"/>
  <c r="U660" i="1"/>
  <c r="W660" i="1"/>
  <c r="AE660" i="1"/>
  <c r="AK660" i="1"/>
  <c r="AQ660" i="1"/>
  <c r="AU660" i="1"/>
  <c r="AV660" i="1"/>
  <c r="AW660" i="1"/>
  <c r="AX660" i="1"/>
  <c r="AY660" i="1"/>
  <c r="AZ660" i="1"/>
  <c r="BA660" i="1"/>
  <c r="BC660" i="1"/>
  <c r="BD660" i="1"/>
  <c r="BE660" i="1"/>
  <c r="BF660" i="1"/>
  <c r="BG660" i="1"/>
  <c r="BH660" i="1"/>
  <c r="BI660" i="1"/>
  <c r="BJ660" i="1"/>
  <c r="BM660" i="1"/>
  <c r="CA660" i="1"/>
  <c r="CN660" i="1"/>
  <c r="CO660" i="1"/>
  <c r="CP660" i="1"/>
  <c r="CQ660" i="1"/>
  <c r="G70" i="1"/>
  <c r="U70" i="1"/>
  <c r="W70" i="1"/>
  <c r="AE70" i="1"/>
  <c r="AK70" i="1"/>
  <c r="AQ70" i="1"/>
  <c r="AU70" i="1"/>
  <c r="AV70" i="1"/>
  <c r="AW70" i="1"/>
  <c r="AX70" i="1"/>
  <c r="AY70" i="1"/>
  <c r="AZ70" i="1"/>
  <c r="BA70" i="1"/>
  <c r="BC70" i="1"/>
  <c r="BD70" i="1"/>
  <c r="BE70" i="1"/>
  <c r="BF70" i="1"/>
  <c r="BG70" i="1"/>
  <c r="BH70" i="1"/>
  <c r="BI70" i="1"/>
  <c r="BJ70" i="1"/>
  <c r="BM70" i="1"/>
  <c r="CA70" i="1"/>
  <c r="CN70" i="1"/>
  <c r="CO70" i="1"/>
  <c r="CP70" i="1"/>
  <c r="CQ70" i="1"/>
  <c r="G1767" i="1"/>
  <c r="U1767" i="1"/>
  <c r="W1767" i="1"/>
  <c r="AE1767" i="1"/>
  <c r="AK1767" i="1"/>
  <c r="AQ1767" i="1"/>
  <c r="AU1767" i="1"/>
  <c r="AV1767" i="1"/>
  <c r="AW1767" i="1"/>
  <c r="AX1767" i="1"/>
  <c r="AY1767" i="1"/>
  <c r="AZ1767" i="1"/>
  <c r="BA1767" i="1"/>
  <c r="BC1767" i="1"/>
  <c r="BD1767" i="1"/>
  <c r="BE1767" i="1"/>
  <c r="BF1767" i="1"/>
  <c r="BG1767" i="1"/>
  <c r="BH1767" i="1"/>
  <c r="BI1767" i="1"/>
  <c r="BJ1767" i="1"/>
  <c r="BM1767" i="1"/>
  <c r="CA1767" i="1"/>
  <c r="CN1767" i="1"/>
  <c r="CO1767" i="1"/>
  <c r="CP1767" i="1"/>
  <c r="CQ1767" i="1"/>
  <c r="G71" i="1"/>
  <c r="U71" i="1"/>
  <c r="W71" i="1"/>
  <c r="AE71" i="1"/>
  <c r="AK71" i="1"/>
  <c r="AQ71" i="1"/>
  <c r="AU71" i="1"/>
  <c r="AV71" i="1"/>
  <c r="AW71" i="1"/>
  <c r="AX71" i="1"/>
  <c r="AY71" i="1"/>
  <c r="AZ71" i="1"/>
  <c r="BA71" i="1"/>
  <c r="BC71" i="1"/>
  <c r="BD71" i="1"/>
  <c r="BE71" i="1"/>
  <c r="BF71" i="1"/>
  <c r="BG71" i="1"/>
  <c r="BH71" i="1"/>
  <c r="BI71" i="1"/>
  <c r="BJ71" i="1"/>
  <c r="BM71" i="1"/>
  <c r="CA71" i="1"/>
  <c r="CN71" i="1"/>
  <c r="CO71" i="1"/>
  <c r="CP71" i="1"/>
  <c r="CQ71" i="1"/>
  <c r="G1768" i="1"/>
  <c r="U1768" i="1"/>
  <c r="W1768" i="1"/>
  <c r="AE1768" i="1"/>
  <c r="AK1768" i="1"/>
  <c r="AQ1768" i="1"/>
  <c r="AU1768" i="1"/>
  <c r="AV1768" i="1"/>
  <c r="AW1768" i="1"/>
  <c r="AX1768" i="1"/>
  <c r="AY1768" i="1"/>
  <c r="AZ1768" i="1"/>
  <c r="BA1768" i="1"/>
  <c r="BC1768" i="1"/>
  <c r="BD1768" i="1"/>
  <c r="BE1768" i="1"/>
  <c r="BF1768" i="1"/>
  <c r="BG1768" i="1"/>
  <c r="BH1768" i="1"/>
  <c r="BI1768" i="1"/>
  <c r="BJ1768" i="1"/>
  <c r="BM1768" i="1"/>
  <c r="CA1768" i="1"/>
  <c r="CN1768" i="1"/>
  <c r="CO1768" i="1"/>
  <c r="CP1768" i="1"/>
  <c r="CQ1768" i="1"/>
  <c r="G1769" i="1"/>
  <c r="U1769" i="1"/>
  <c r="W1769" i="1"/>
  <c r="AE1769" i="1"/>
  <c r="AK1769" i="1"/>
  <c r="AQ1769" i="1"/>
  <c r="AU1769" i="1"/>
  <c r="AV1769" i="1"/>
  <c r="AW1769" i="1"/>
  <c r="AX1769" i="1"/>
  <c r="AY1769" i="1"/>
  <c r="AZ1769" i="1"/>
  <c r="BA1769" i="1"/>
  <c r="BC1769" i="1"/>
  <c r="BD1769" i="1"/>
  <c r="BE1769" i="1"/>
  <c r="BF1769" i="1"/>
  <c r="BG1769" i="1"/>
  <c r="BH1769" i="1"/>
  <c r="BI1769" i="1"/>
  <c r="BJ1769" i="1"/>
  <c r="BM1769" i="1"/>
  <c r="CA1769" i="1"/>
  <c r="CN1769" i="1"/>
  <c r="CO1769" i="1"/>
  <c r="CP1769" i="1"/>
  <c r="CQ1769" i="1"/>
  <c r="G1555" i="1"/>
  <c r="U1555" i="1"/>
  <c r="W1555" i="1"/>
  <c r="AE1555" i="1"/>
  <c r="AK1555" i="1"/>
  <c r="AQ1555" i="1"/>
  <c r="AU1555" i="1"/>
  <c r="AV1555" i="1"/>
  <c r="AW1555" i="1"/>
  <c r="AX1555" i="1"/>
  <c r="AY1555" i="1"/>
  <c r="AZ1555" i="1"/>
  <c r="BA1555" i="1"/>
  <c r="BC1555" i="1"/>
  <c r="BD1555" i="1"/>
  <c r="BE1555" i="1"/>
  <c r="BF1555" i="1"/>
  <c r="BG1555" i="1"/>
  <c r="BH1555" i="1"/>
  <c r="BI1555" i="1"/>
  <c r="BJ1555" i="1"/>
  <c r="BM1555" i="1"/>
  <c r="CA1555" i="1"/>
  <c r="CN1555" i="1"/>
  <c r="CO1555" i="1"/>
  <c r="CP1555" i="1"/>
  <c r="CQ1555" i="1"/>
  <c r="G661" i="1"/>
  <c r="U661" i="1"/>
  <c r="W661" i="1"/>
  <c r="AE661" i="1"/>
  <c r="AK661" i="1"/>
  <c r="AQ661" i="1"/>
  <c r="AU661" i="1"/>
  <c r="AV661" i="1"/>
  <c r="AW661" i="1"/>
  <c r="AX661" i="1"/>
  <c r="AY661" i="1"/>
  <c r="AZ661" i="1"/>
  <c r="BA661" i="1"/>
  <c r="BC661" i="1"/>
  <c r="BD661" i="1"/>
  <c r="BE661" i="1"/>
  <c r="BF661" i="1"/>
  <c r="BG661" i="1"/>
  <c r="BH661" i="1"/>
  <c r="BI661" i="1"/>
  <c r="BJ661" i="1"/>
  <c r="BM661" i="1"/>
  <c r="CA661" i="1"/>
  <c r="CN661" i="1"/>
  <c r="CO661" i="1"/>
  <c r="CP661" i="1"/>
  <c r="CQ661" i="1"/>
  <c r="G662" i="1"/>
  <c r="U662" i="1"/>
  <c r="W662" i="1"/>
  <c r="AE662" i="1"/>
  <c r="AK662" i="1"/>
  <c r="AQ662" i="1"/>
  <c r="AU662" i="1"/>
  <c r="AV662" i="1"/>
  <c r="AW662" i="1"/>
  <c r="AX662" i="1"/>
  <c r="AY662" i="1"/>
  <c r="AZ662" i="1"/>
  <c r="BA662" i="1"/>
  <c r="BC662" i="1"/>
  <c r="BD662" i="1"/>
  <c r="BE662" i="1"/>
  <c r="BF662" i="1"/>
  <c r="BG662" i="1"/>
  <c r="BH662" i="1"/>
  <c r="BI662" i="1"/>
  <c r="BJ662" i="1"/>
  <c r="BM662" i="1"/>
  <c r="CA662" i="1"/>
  <c r="CN662" i="1"/>
  <c r="CO662" i="1"/>
  <c r="CP662" i="1"/>
  <c r="CQ662" i="1"/>
  <c r="G1770" i="1"/>
  <c r="U1770" i="1"/>
  <c r="W1770" i="1"/>
  <c r="AE1770" i="1"/>
  <c r="AK1770" i="1"/>
  <c r="AQ1770" i="1"/>
  <c r="AU1770" i="1"/>
  <c r="AV1770" i="1"/>
  <c r="AW1770" i="1"/>
  <c r="AX1770" i="1"/>
  <c r="AY1770" i="1"/>
  <c r="AZ1770" i="1"/>
  <c r="BA1770" i="1"/>
  <c r="BC1770" i="1"/>
  <c r="BD1770" i="1"/>
  <c r="BE1770" i="1"/>
  <c r="BF1770" i="1"/>
  <c r="BG1770" i="1"/>
  <c r="BH1770" i="1"/>
  <c r="BI1770" i="1"/>
  <c r="BJ1770" i="1"/>
  <c r="BM1770" i="1"/>
  <c r="CA1770" i="1"/>
  <c r="CN1770" i="1"/>
  <c r="CO1770" i="1"/>
  <c r="CP1770" i="1"/>
  <c r="CQ1770" i="1"/>
  <c r="G663" i="1"/>
  <c r="U663" i="1"/>
  <c r="W663" i="1"/>
  <c r="AE663" i="1"/>
  <c r="AK663" i="1"/>
  <c r="AQ663" i="1"/>
  <c r="AU663" i="1"/>
  <c r="AV663" i="1"/>
  <c r="AW663" i="1"/>
  <c r="AX663" i="1"/>
  <c r="AY663" i="1"/>
  <c r="AZ663" i="1"/>
  <c r="BA663" i="1"/>
  <c r="BC663" i="1"/>
  <c r="BD663" i="1"/>
  <c r="BE663" i="1"/>
  <c r="BF663" i="1"/>
  <c r="BG663" i="1"/>
  <c r="BH663" i="1"/>
  <c r="BI663" i="1"/>
  <c r="BJ663" i="1"/>
  <c r="BM663" i="1"/>
  <c r="CA663" i="1"/>
  <c r="CN663" i="1"/>
  <c r="CO663" i="1"/>
  <c r="CP663" i="1"/>
  <c r="CQ663" i="1"/>
  <c r="G664" i="1"/>
  <c r="U664" i="1"/>
  <c r="W664" i="1"/>
  <c r="AE664" i="1"/>
  <c r="AK664" i="1"/>
  <c r="AQ664" i="1"/>
  <c r="AU664" i="1"/>
  <c r="AV664" i="1"/>
  <c r="AW664" i="1"/>
  <c r="AX664" i="1"/>
  <c r="AY664" i="1"/>
  <c r="AZ664" i="1"/>
  <c r="BA664" i="1"/>
  <c r="BC664" i="1"/>
  <c r="BD664" i="1"/>
  <c r="BE664" i="1"/>
  <c r="BF664" i="1"/>
  <c r="BG664" i="1"/>
  <c r="BH664" i="1"/>
  <c r="BI664" i="1"/>
  <c r="BJ664" i="1"/>
  <c r="BM664" i="1"/>
  <c r="CA664" i="1"/>
  <c r="CN664" i="1"/>
  <c r="CO664" i="1"/>
  <c r="CP664" i="1"/>
  <c r="CQ664" i="1"/>
  <c r="G378" i="1"/>
  <c r="U378" i="1"/>
  <c r="W378" i="1"/>
  <c r="AE378" i="1"/>
  <c r="AK378" i="1"/>
  <c r="AQ378" i="1"/>
  <c r="AU378" i="1"/>
  <c r="AV378" i="1"/>
  <c r="AW378" i="1"/>
  <c r="AX378" i="1"/>
  <c r="AY378" i="1"/>
  <c r="AZ378" i="1"/>
  <c r="BA378" i="1"/>
  <c r="BC378" i="1"/>
  <c r="BD378" i="1"/>
  <c r="BE378" i="1"/>
  <c r="BF378" i="1"/>
  <c r="BG378" i="1"/>
  <c r="BH378" i="1"/>
  <c r="BI378" i="1"/>
  <c r="BJ378" i="1"/>
  <c r="BM378" i="1"/>
  <c r="CA378" i="1"/>
  <c r="CN378" i="1"/>
  <c r="CO378" i="1"/>
  <c r="CP378" i="1"/>
  <c r="CQ378" i="1"/>
  <c r="G665" i="1"/>
  <c r="U665" i="1"/>
  <c r="W665" i="1"/>
  <c r="AE665" i="1"/>
  <c r="AK665" i="1"/>
  <c r="AQ665" i="1"/>
  <c r="AU665" i="1"/>
  <c r="AV665" i="1"/>
  <c r="AW665" i="1"/>
  <c r="AX665" i="1"/>
  <c r="AY665" i="1"/>
  <c r="AZ665" i="1"/>
  <c r="BA665" i="1"/>
  <c r="BC665" i="1"/>
  <c r="BD665" i="1"/>
  <c r="BE665" i="1"/>
  <c r="BF665" i="1"/>
  <c r="BG665" i="1"/>
  <c r="BH665" i="1"/>
  <c r="BI665" i="1"/>
  <c r="BJ665" i="1"/>
  <c r="BM665" i="1"/>
  <c r="CA665" i="1"/>
  <c r="CN665" i="1"/>
  <c r="CO665" i="1"/>
  <c r="CP665" i="1"/>
  <c r="CQ665" i="1"/>
  <c r="G1771" i="1"/>
  <c r="U1771" i="1"/>
  <c r="W1771" i="1"/>
  <c r="AE1771" i="1"/>
  <c r="AK1771" i="1"/>
  <c r="AQ1771" i="1"/>
  <c r="AU1771" i="1"/>
  <c r="AV1771" i="1"/>
  <c r="AW1771" i="1"/>
  <c r="AX1771" i="1"/>
  <c r="AY1771" i="1"/>
  <c r="AZ1771" i="1"/>
  <c r="BA1771" i="1"/>
  <c r="BC1771" i="1"/>
  <c r="BD1771" i="1"/>
  <c r="BE1771" i="1"/>
  <c r="BF1771" i="1"/>
  <c r="BG1771" i="1"/>
  <c r="BH1771" i="1"/>
  <c r="BI1771" i="1"/>
  <c r="BJ1771" i="1"/>
  <c r="BM1771" i="1"/>
  <c r="CA1771" i="1"/>
  <c r="CN1771" i="1"/>
  <c r="CO1771" i="1"/>
  <c r="CP1771" i="1"/>
  <c r="CQ1771" i="1"/>
  <c r="G1772" i="1"/>
  <c r="U1772" i="1"/>
  <c r="W1772" i="1"/>
  <c r="AE1772" i="1"/>
  <c r="AK1772" i="1"/>
  <c r="AQ1772" i="1"/>
  <c r="AU1772" i="1"/>
  <c r="AV1772" i="1"/>
  <c r="AW1772" i="1"/>
  <c r="AX1772" i="1"/>
  <c r="AY1772" i="1"/>
  <c r="AZ1772" i="1"/>
  <c r="BA1772" i="1"/>
  <c r="BC1772" i="1"/>
  <c r="BD1772" i="1"/>
  <c r="BE1772" i="1"/>
  <c r="BF1772" i="1"/>
  <c r="BG1772" i="1"/>
  <c r="BH1772" i="1"/>
  <c r="BI1772" i="1"/>
  <c r="BJ1772" i="1"/>
  <c r="BM1772" i="1"/>
  <c r="CA1772" i="1"/>
  <c r="CN1772" i="1"/>
  <c r="CO1772" i="1"/>
  <c r="CP1772" i="1"/>
  <c r="CQ1772" i="1"/>
  <c r="G1773" i="1"/>
  <c r="U1773" i="1"/>
  <c r="W1773" i="1"/>
  <c r="AE1773" i="1"/>
  <c r="AK1773" i="1"/>
  <c r="AQ1773" i="1"/>
  <c r="AU1773" i="1"/>
  <c r="AV1773" i="1"/>
  <c r="AW1773" i="1"/>
  <c r="AX1773" i="1"/>
  <c r="AY1773" i="1"/>
  <c r="AZ1773" i="1"/>
  <c r="BA1773" i="1"/>
  <c r="BC1773" i="1"/>
  <c r="BD1773" i="1"/>
  <c r="BE1773" i="1"/>
  <c r="BF1773" i="1"/>
  <c r="BG1773" i="1"/>
  <c r="BH1773" i="1"/>
  <c r="BI1773" i="1"/>
  <c r="BJ1773" i="1"/>
  <c r="BM1773" i="1"/>
  <c r="CA1773" i="1"/>
  <c r="CN1773" i="1"/>
  <c r="CO1773" i="1"/>
  <c r="CP1773" i="1"/>
  <c r="CQ1773" i="1"/>
  <c r="G1774" i="1"/>
  <c r="U1774" i="1"/>
  <c r="W1774" i="1"/>
  <c r="AE1774" i="1"/>
  <c r="AK1774" i="1"/>
  <c r="AQ1774" i="1"/>
  <c r="AU1774" i="1"/>
  <c r="AV1774" i="1"/>
  <c r="AW1774" i="1"/>
  <c r="AX1774" i="1"/>
  <c r="AY1774" i="1"/>
  <c r="AZ1774" i="1"/>
  <c r="BA1774" i="1"/>
  <c r="BC1774" i="1"/>
  <c r="BD1774" i="1"/>
  <c r="BE1774" i="1"/>
  <c r="BF1774" i="1"/>
  <c r="BG1774" i="1"/>
  <c r="BH1774" i="1"/>
  <c r="BI1774" i="1"/>
  <c r="BJ1774" i="1"/>
  <c r="BM1774" i="1"/>
  <c r="CA1774" i="1"/>
  <c r="CN1774" i="1"/>
  <c r="CO1774" i="1"/>
  <c r="CP1774" i="1"/>
  <c r="CQ1774" i="1"/>
  <c r="G666" i="1"/>
  <c r="U666" i="1"/>
  <c r="W666" i="1"/>
  <c r="AE666" i="1"/>
  <c r="AK666" i="1"/>
  <c r="AQ666" i="1"/>
  <c r="AU666" i="1"/>
  <c r="AV666" i="1"/>
  <c r="AW666" i="1"/>
  <c r="AX666" i="1"/>
  <c r="AY666" i="1"/>
  <c r="AZ666" i="1"/>
  <c r="BA666" i="1"/>
  <c r="BC666" i="1"/>
  <c r="BD666" i="1"/>
  <c r="BE666" i="1"/>
  <c r="BF666" i="1"/>
  <c r="BG666" i="1"/>
  <c r="BH666" i="1"/>
  <c r="BI666" i="1"/>
  <c r="BJ666" i="1"/>
  <c r="BM666" i="1"/>
  <c r="CA666" i="1"/>
  <c r="CN666" i="1"/>
  <c r="CO666" i="1"/>
  <c r="CP666" i="1"/>
  <c r="CQ666" i="1"/>
  <c r="G667" i="1"/>
  <c r="U667" i="1"/>
  <c r="W667" i="1"/>
  <c r="AE667" i="1"/>
  <c r="AK667" i="1"/>
  <c r="AQ667" i="1"/>
  <c r="AU667" i="1"/>
  <c r="AV667" i="1"/>
  <c r="AW667" i="1"/>
  <c r="AX667" i="1"/>
  <c r="AY667" i="1"/>
  <c r="AZ667" i="1"/>
  <c r="BA667" i="1"/>
  <c r="BC667" i="1"/>
  <c r="BD667" i="1"/>
  <c r="BE667" i="1"/>
  <c r="BF667" i="1"/>
  <c r="BG667" i="1"/>
  <c r="BH667" i="1"/>
  <c r="BI667" i="1"/>
  <c r="BJ667" i="1"/>
  <c r="BM667" i="1"/>
  <c r="CA667" i="1"/>
  <c r="CN667" i="1"/>
  <c r="CO667" i="1"/>
  <c r="CP667" i="1"/>
  <c r="CQ667" i="1"/>
  <c r="G668" i="1"/>
  <c r="U668" i="1"/>
  <c r="W668" i="1"/>
  <c r="AE668" i="1"/>
  <c r="AK668" i="1"/>
  <c r="AQ668" i="1"/>
  <c r="AU668" i="1"/>
  <c r="AV668" i="1"/>
  <c r="AW668" i="1"/>
  <c r="AX668" i="1"/>
  <c r="AY668" i="1"/>
  <c r="AZ668" i="1"/>
  <c r="BA668" i="1"/>
  <c r="BC668" i="1"/>
  <c r="BD668" i="1"/>
  <c r="BE668" i="1"/>
  <c r="BF668" i="1"/>
  <c r="BG668" i="1"/>
  <c r="BH668" i="1"/>
  <c r="BI668" i="1"/>
  <c r="BJ668" i="1"/>
  <c r="BM668" i="1"/>
  <c r="CA668" i="1"/>
  <c r="CN668" i="1"/>
  <c r="CO668" i="1"/>
  <c r="CP668" i="1"/>
  <c r="CQ668" i="1"/>
  <c r="G1775" i="1"/>
  <c r="U1775" i="1"/>
  <c r="W1775" i="1"/>
  <c r="AE1775" i="1"/>
  <c r="AK1775" i="1"/>
  <c r="AQ1775" i="1"/>
  <c r="AU1775" i="1"/>
  <c r="AV1775" i="1"/>
  <c r="AW1775" i="1"/>
  <c r="AX1775" i="1"/>
  <c r="AY1775" i="1"/>
  <c r="AZ1775" i="1"/>
  <c r="BA1775" i="1"/>
  <c r="BC1775" i="1"/>
  <c r="BD1775" i="1"/>
  <c r="BE1775" i="1"/>
  <c r="BF1775" i="1"/>
  <c r="BG1775" i="1"/>
  <c r="BH1775" i="1"/>
  <c r="BI1775" i="1"/>
  <c r="BJ1775" i="1"/>
  <c r="BM1775" i="1"/>
  <c r="CA1775" i="1"/>
  <c r="CN1775" i="1"/>
  <c r="CO1775" i="1"/>
  <c r="CP1775" i="1"/>
  <c r="CQ1775" i="1"/>
  <c r="G1556" i="1"/>
  <c r="U1556" i="1"/>
  <c r="W1556" i="1"/>
  <c r="AE1556" i="1"/>
  <c r="AK1556" i="1"/>
  <c r="AQ1556" i="1"/>
  <c r="AU1556" i="1"/>
  <c r="AV1556" i="1"/>
  <c r="AW1556" i="1"/>
  <c r="AX1556" i="1"/>
  <c r="AY1556" i="1"/>
  <c r="AZ1556" i="1"/>
  <c r="BA1556" i="1"/>
  <c r="BC1556" i="1"/>
  <c r="BD1556" i="1"/>
  <c r="BE1556" i="1"/>
  <c r="BF1556" i="1"/>
  <c r="BG1556" i="1"/>
  <c r="BH1556" i="1"/>
  <c r="BI1556" i="1"/>
  <c r="BJ1556" i="1"/>
  <c r="BM1556" i="1"/>
  <c r="CA1556" i="1"/>
  <c r="CN1556" i="1"/>
  <c r="CO1556" i="1"/>
  <c r="CP1556" i="1"/>
  <c r="CQ1556" i="1"/>
  <c r="G72" i="1"/>
  <c r="U72" i="1"/>
  <c r="W72" i="1"/>
  <c r="AE72" i="1"/>
  <c r="AK72" i="1"/>
  <c r="AQ72" i="1"/>
  <c r="AU72" i="1"/>
  <c r="AV72" i="1"/>
  <c r="AW72" i="1"/>
  <c r="AX72" i="1"/>
  <c r="AY72" i="1"/>
  <c r="AZ72" i="1"/>
  <c r="BA72" i="1"/>
  <c r="BC72" i="1"/>
  <c r="BD72" i="1"/>
  <c r="BE72" i="1"/>
  <c r="BF72" i="1"/>
  <c r="BG72" i="1"/>
  <c r="BH72" i="1"/>
  <c r="BI72" i="1"/>
  <c r="BJ72" i="1"/>
  <c r="BM72" i="1"/>
  <c r="CA72" i="1"/>
  <c r="CN72" i="1"/>
  <c r="CO72" i="1"/>
  <c r="CP72" i="1"/>
  <c r="CQ72" i="1"/>
  <c r="G669" i="1"/>
  <c r="U669" i="1"/>
  <c r="W669" i="1"/>
  <c r="AE669" i="1"/>
  <c r="AK669" i="1"/>
  <c r="AQ669" i="1"/>
  <c r="AU669" i="1"/>
  <c r="AV669" i="1"/>
  <c r="AW669" i="1"/>
  <c r="AX669" i="1"/>
  <c r="AY669" i="1"/>
  <c r="AZ669" i="1"/>
  <c r="BA669" i="1"/>
  <c r="BC669" i="1"/>
  <c r="BD669" i="1"/>
  <c r="BE669" i="1"/>
  <c r="BF669" i="1"/>
  <c r="BG669" i="1"/>
  <c r="BH669" i="1"/>
  <c r="BI669" i="1"/>
  <c r="BJ669" i="1"/>
  <c r="BM669" i="1"/>
  <c r="CA669" i="1"/>
  <c r="CN669" i="1"/>
  <c r="CO669" i="1"/>
  <c r="CP669" i="1"/>
  <c r="CQ669" i="1"/>
  <c r="G73" i="1"/>
  <c r="U73" i="1"/>
  <c r="W73" i="1"/>
  <c r="AE73" i="1"/>
  <c r="AK73" i="1"/>
  <c r="AQ73" i="1"/>
  <c r="AU73" i="1"/>
  <c r="AV73" i="1"/>
  <c r="AW73" i="1"/>
  <c r="AX73" i="1"/>
  <c r="AY73" i="1"/>
  <c r="AZ73" i="1"/>
  <c r="BA73" i="1"/>
  <c r="BC73" i="1"/>
  <c r="BD73" i="1"/>
  <c r="BE73" i="1"/>
  <c r="BF73" i="1"/>
  <c r="BG73" i="1"/>
  <c r="BH73" i="1"/>
  <c r="BI73" i="1"/>
  <c r="BJ73" i="1"/>
  <c r="BM73" i="1"/>
  <c r="CA73" i="1"/>
  <c r="CN73" i="1"/>
  <c r="CO73" i="1"/>
  <c r="CP73" i="1"/>
  <c r="CQ73" i="1"/>
  <c r="G1776" i="1"/>
  <c r="U1776" i="1"/>
  <c r="W1776" i="1"/>
  <c r="AE1776" i="1"/>
  <c r="AK1776" i="1"/>
  <c r="AQ1776" i="1"/>
  <c r="AU1776" i="1"/>
  <c r="AV1776" i="1"/>
  <c r="AW1776" i="1"/>
  <c r="AX1776" i="1"/>
  <c r="AY1776" i="1"/>
  <c r="AZ1776" i="1"/>
  <c r="BA1776" i="1"/>
  <c r="BC1776" i="1"/>
  <c r="BD1776" i="1"/>
  <c r="BE1776" i="1"/>
  <c r="BF1776" i="1"/>
  <c r="BG1776" i="1"/>
  <c r="BH1776" i="1"/>
  <c r="BI1776" i="1"/>
  <c r="BJ1776" i="1"/>
  <c r="BM1776" i="1"/>
  <c r="CA1776" i="1"/>
  <c r="CN1776" i="1"/>
  <c r="CO1776" i="1"/>
  <c r="CP1776" i="1"/>
  <c r="CQ1776" i="1"/>
  <c r="G1777" i="1"/>
  <c r="U1777" i="1"/>
  <c r="W1777" i="1"/>
  <c r="AE1777" i="1"/>
  <c r="AK1777" i="1"/>
  <c r="AQ1777" i="1"/>
  <c r="AU1777" i="1"/>
  <c r="AV1777" i="1"/>
  <c r="AW1777" i="1"/>
  <c r="AX1777" i="1"/>
  <c r="AY1777" i="1"/>
  <c r="AZ1777" i="1"/>
  <c r="BA1777" i="1"/>
  <c r="BC1777" i="1"/>
  <c r="BD1777" i="1"/>
  <c r="BE1777" i="1"/>
  <c r="BF1777" i="1"/>
  <c r="BG1777" i="1"/>
  <c r="BH1777" i="1"/>
  <c r="BI1777" i="1"/>
  <c r="BJ1777" i="1"/>
  <c r="BM1777" i="1"/>
  <c r="CA1777" i="1"/>
  <c r="CN1777" i="1"/>
  <c r="CO1777" i="1"/>
  <c r="CP1777" i="1"/>
  <c r="CQ1777" i="1"/>
  <c r="G1778" i="1"/>
  <c r="U1778" i="1"/>
  <c r="W1778" i="1"/>
  <c r="AE1778" i="1"/>
  <c r="AK1778" i="1"/>
  <c r="AQ1778" i="1"/>
  <c r="AU1778" i="1"/>
  <c r="AV1778" i="1"/>
  <c r="AW1778" i="1"/>
  <c r="AX1778" i="1"/>
  <c r="AY1778" i="1"/>
  <c r="AZ1778" i="1"/>
  <c r="BA1778" i="1"/>
  <c r="BC1778" i="1"/>
  <c r="BD1778" i="1"/>
  <c r="BE1778" i="1"/>
  <c r="BF1778" i="1"/>
  <c r="BG1778" i="1"/>
  <c r="BH1778" i="1"/>
  <c r="BI1778" i="1"/>
  <c r="BJ1778" i="1"/>
  <c r="BM1778" i="1"/>
  <c r="CA1778" i="1"/>
  <c r="CN1778" i="1"/>
  <c r="CO1778" i="1"/>
  <c r="CP1778" i="1"/>
  <c r="CQ1778" i="1"/>
  <c r="G1779" i="1"/>
  <c r="U1779" i="1"/>
  <c r="W1779" i="1"/>
  <c r="AE1779" i="1"/>
  <c r="AK1779" i="1"/>
  <c r="AQ1779" i="1"/>
  <c r="AU1779" i="1"/>
  <c r="AV1779" i="1"/>
  <c r="AW1779" i="1"/>
  <c r="AX1779" i="1"/>
  <c r="AY1779" i="1"/>
  <c r="AZ1779" i="1"/>
  <c r="BA1779" i="1"/>
  <c r="BC1779" i="1"/>
  <c r="BD1779" i="1"/>
  <c r="BE1779" i="1"/>
  <c r="BF1779" i="1"/>
  <c r="BG1779" i="1"/>
  <c r="BH1779" i="1"/>
  <c r="BI1779" i="1"/>
  <c r="BJ1779" i="1"/>
  <c r="BM1779" i="1"/>
  <c r="CA1779" i="1"/>
  <c r="CN1779" i="1"/>
  <c r="CO1779" i="1"/>
  <c r="CP1779" i="1"/>
  <c r="CQ1779" i="1"/>
  <c r="G1780" i="1"/>
  <c r="U1780" i="1"/>
  <c r="W1780" i="1"/>
  <c r="AE1780" i="1"/>
  <c r="AK1780" i="1"/>
  <c r="AQ1780" i="1"/>
  <c r="AU1780" i="1"/>
  <c r="AV1780" i="1"/>
  <c r="AW1780" i="1"/>
  <c r="AX1780" i="1"/>
  <c r="AY1780" i="1"/>
  <c r="AZ1780" i="1"/>
  <c r="BA1780" i="1"/>
  <c r="BC1780" i="1"/>
  <c r="BD1780" i="1"/>
  <c r="BE1780" i="1"/>
  <c r="BF1780" i="1"/>
  <c r="BG1780" i="1"/>
  <c r="BH1780" i="1"/>
  <c r="BI1780" i="1"/>
  <c r="BJ1780" i="1"/>
  <c r="BM1780" i="1"/>
  <c r="CA1780" i="1"/>
  <c r="CN1780" i="1"/>
  <c r="CO1780" i="1"/>
  <c r="CP1780" i="1"/>
  <c r="CQ1780" i="1"/>
  <c r="G670" i="1"/>
  <c r="U670" i="1"/>
  <c r="W670" i="1"/>
  <c r="AE670" i="1"/>
  <c r="AK670" i="1"/>
  <c r="AQ670" i="1"/>
  <c r="AU670" i="1"/>
  <c r="AV670" i="1"/>
  <c r="AW670" i="1"/>
  <c r="AX670" i="1"/>
  <c r="AY670" i="1"/>
  <c r="AZ670" i="1"/>
  <c r="BA670" i="1"/>
  <c r="BC670" i="1"/>
  <c r="BD670" i="1"/>
  <c r="BE670" i="1"/>
  <c r="BF670" i="1"/>
  <c r="BG670" i="1"/>
  <c r="BH670" i="1"/>
  <c r="BI670" i="1"/>
  <c r="BJ670" i="1"/>
  <c r="BM670" i="1"/>
  <c r="CA670" i="1"/>
  <c r="CN670" i="1"/>
  <c r="CO670" i="1"/>
  <c r="CP670" i="1"/>
  <c r="CQ670" i="1"/>
  <c r="G671" i="1"/>
  <c r="U671" i="1"/>
  <c r="W671" i="1"/>
  <c r="AE671" i="1"/>
  <c r="AK671" i="1"/>
  <c r="AQ671" i="1"/>
  <c r="AU671" i="1"/>
  <c r="AV671" i="1"/>
  <c r="AW671" i="1"/>
  <c r="AX671" i="1"/>
  <c r="AY671" i="1"/>
  <c r="AZ671" i="1"/>
  <c r="BA671" i="1"/>
  <c r="BC671" i="1"/>
  <c r="BD671" i="1"/>
  <c r="BE671" i="1"/>
  <c r="BF671" i="1"/>
  <c r="BG671" i="1"/>
  <c r="BH671" i="1"/>
  <c r="BI671" i="1"/>
  <c r="BJ671" i="1"/>
  <c r="BM671" i="1"/>
  <c r="CA671" i="1"/>
  <c r="CN671" i="1"/>
  <c r="CO671" i="1"/>
  <c r="CP671" i="1"/>
  <c r="CQ671" i="1"/>
  <c r="G1781" i="1"/>
  <c r="U1781" i="1"/>
  <c r="W1781" i="1"/>
  <c r="AE1781" i="1"/>
  <c r="AK1781" i="1"/>
  <c r="AQ1781" i="1"/>
  <c r="AU1781" i="1"/>
  <c r="AV1781" i="1"/>
  <c r="AW1781" i="1"/>
  <c r="AX1781" i="1"/>
  <c r="AY1781" i="1"/>
  <c r="AZ1781" i="1"/>
  <c r="BA1781" i="1"/>
  <c r="BC1781" i="1"/>
  <c r="BD1781" i="1"/>
  <c r="BE1781" i="1"/>
  <c r="BF1781" i="1"/>
  <c r="BG1781" i="1"/>
  <c r="BH1781" i="1"/>
  <c r="BI1781" i="1"/>
  <c r="BJ1781" i="1"/>
  <c r="BM1781" i="1"/>
  <c r="CA1781" i="1"/>
  <c r="CN1781" i="1"/>
  <c r="CO1781" i="1"/>
  <c r="CP1781" i="1"/>
  <c r="CQ1781" i="1"/>
  <c r="G74" i="1"/>
  <c r="U74" i="1"/>
  <c r="W74" i="1"/>
  <c r="AE74" i="1"/>
  <c r="AK74" i="1"/>
  <c r="AQ74" i="1"/>
  <c r="AU74" i="1"/>
  <c r="AV74" i="1"/>
  <c r="AW74" i="1"/>
  <c r="AX74" i="1"/>
  <c r="AY74" i="1"/>
  <c r="AZ74" i="1"/>
  <c r="BA74" i="1"/>
  <c r="BC74" i="1"/>
  <c r="BD74" i="1"/>
  <c r="BE74" i="1"/>
  <c r="BF74" i="1"/>
  <c r="BG74" i="1"/>
  <c r="BH74" i="1"/>
  <c r="BI74" i="1"/>
  <c r="BJ74" i="1"/>
  <c r="BM74" i="1"/>
  <c r="CA74" i="1"/>
  <c r="CN74" i="1"/>
  <c r="CO74" i="1"/>
  <c r="CP74" i="1"/>
  <c r="CQ74" i="1"/>
  <c r="G1782" i="1"/>
  <c r="U1782" i="1"/>
  <c r="W1782" i="1"/>
  <c r="AE1782" i="1"/>
  <c r="AK1782" i="1"/>
  <c r="AQ1782" i="1"/>
  <c r="AU1782" i="1"/>
  <c r="AV1782" i="1"/>
  <c r="AW1782" i="1"/>
  <c r="AX1782" i="1"/>
  <c r="AY1782" i="1"/>
  <c r="AZ1782" i="1"/>
  <c r="BA1782" i="1"/>
  <c r="BC1782" i="1"/>
  <c r="BD1782" i="1"/>
  <c r="BE1782" i="1"/>
  <c r="BF1782" i="1"/>
  <c r="BG1782" i="1"/>
  <c r="BH1782" i="1"/>
  <c r="BI1782" i="1"/>
  <c r="BJ1782" i="1"/>
  <c r="BM1782" i="1"/>
  <c r="CA1782" i="1"/>
  <c r="CN1782" i="1"/>
  <c r="CO1782" i="1"/>
  <c r="CP1782" i="1"/>
  <c r="CQ1782" i="1"/>
  <c r="G75" i="1"/>
  <c r="U75" i="1"/>
  <c r="W75" i="1"/>
  <c r="AE75" i="1"/>
  <c r="AK75" i="1"/>
  <c r="AQ75" i="1"/>
  <c r="AU75" i="1"/>
  <c r="AV75" i="1"/>
  <c r="AW75" i="1"/>
  <c r="AX75" i="1"/>
  <c r="AY75" i="1"/>
  <c r="AZ75" i="1"/>
  <c r="BA75" i="1"/>
  <c r="BC75" i="1"/>
  <c r="BD75" i="1"/>
  <c r="BE75" i="1"/>
  <c r="BF75" i="1"/>
  <c r="BG75" i="1"/>
  <c r="BH75" i="1"/>
  <c r="BI75" i="1"/>
  <c r="BJ75" i="1"/>
  <c r="BM75" i="1"/>
  <c r="CA75" i="1"/>
  <c r="CN75" i="1"/>
  <c r="CO75" i="1"/>
  <c r="CP75" i="1"/>
  <c r="CQ75" i="1"/>
  <c r="G1783" i="1"/>
  <c r="U1783" i="1"/>
  <c r="W1783" i="1"/>
  <c r="AE1783" i="1"/>
  <c r="AK1783" i="1"/>
  <c r="AQ1783" i="1"/>
  <c r="AU1783" i="1"/>
  <c r="AV1783" i="1"/>
  <c r="AW1783" i="1"/>
  <c r="AX1783" i="1"/>
  <c r="AY1783" i="1"/>
  <c r="AZ1783" i="1"/>
  <c r="BA1783" i="1"/>
  <c r="BC1783" i="1"/>
  <c r="BD1783" i="1"/>
  <c r="BE1783" i="1"/>
  <c r="BF1783" i="1"/>
  <c r="BG1783" i="1"/>
  <c r="BH1783" i="1"/>
  <c r="BI1783" i="1"/>
  <c r="BJ1783" i="1"/>
  <c r="BM1783" i="1"/>
  <c r="CA1783" i="1"/>
  <c r="CN1783" i="1"/>
  <c r="CO1783" i="1"/>
  <c r="CP1783" i="1"/>
  <c r="CQ1783" i="1"/>
  <c r="G672" i="1"/>
  <c r="U672" i="1"/>
  <c r="W672" i="1"/>
  <c r="AE672" i="1"/>
  <c r="AK672" i="1"/>
  <c r="AQ672" i="1"/>
  <c r="AU672" i="1"/>
  <c r="AV672" i="1"/>
  <c r="AW672" i="1"/>
  <c r="AX672" i="1"/>
  <c r="AY672" i="1"/>
  <c r="AZ672" i="1"/>
  <c r="BA672" i="1"/>
  <c r="BC672" i="1"/>
  <c r="BD672" i="1"/>
  <c r="BE672" i="1"/>
  <c r="BF672" i="1"/>
  <c r="BG672" i="1"/>
  <c r="BH672" i="1"/>
  <c r="BI672" i="1"/>
  <c r="BJ672" i="1"/>
  <c r="BM672" i="1"/>
  <c r="CA672" i="1"/>
  <c r="CN672" i="1"/>
  <c r="CO672" i="1"/>
  <c r="CP672" i="1"/>
  <c r="CQ672" i="1"/>
  <c r="G1784" i="1"/>
  <c r="U1784" i="1"/>
  <c r="W1784" i="1"/>
  <c r="AE1784" i="1"/>
  <c r="AK1784" i="1"/>
  <c r="AQ1784" i="1"/>
  <c r="AU1784" i="1"/>
  <c r="AV1784" i="1"/>
  <c r="AW1784" i="1"/>
  <c r="AX1784" i="1"/>
  <c r="AY1784" i="1"/>
  <c r="AZ1784" i="1"/>
  <c r="BA1784" i="1"/>
  <c r="BC1784" i="1"/>
  <c r="BD1784" i="1"/>
  <c r="BE1784" i="1"/>
  <c r="BF1784" i="1"/>
  <c r="BG1784" i="1"/>
  <c r="BH1784" i="1"/>
  <c r="BI1784" i="1"/>
  <c r="BJ1784" i="1"/>
  <c r="BM1784" i="1"/>
  <c r="CA1784" i="1"/>
  <c r="CN1784" i="1"/>
  <c r="CO1784" i="1"/>
  <c r="CP1784" i="1"/>
  <c r="CQ1784" i="1"/>
  <c r="G1785" i="1"/>
  <c r="U1785" i="1"/>
  <c r="W1785" i="1"/>
  <c r="AE1785" i="1"/>
  <c r="AK1785" i="1"/>
  <c r="AQ1785" i="1"/>
  <c r="AU1785" i="1"/>
  <c r="AV1785" i="1"/>
  <c r="AW1785" i="1"/>
  <c r="AX1785" i="1"/>
  <c r="AY1785" i="1"/>
  <c r="AZ1785" i="1"/>
  <c r="BA1785" i="1"/>
  <c r="BC1785" i="1"/>
  <c r="BD1785" i="1"/>
  <c r="BE1785" i="1"/>
  <c r="BF1785" i="1"/>
  <c r="BG1785" i="1"/>
  <c r="BH1785" i="1"/>
  <c r="BI1785" i="1"/>
  <c r="BJ1785" i="1"/>
  <c r="BM1785" i="1"/>
  <c r="CA1785" i="1"/>
  <c r="CN1785" i="1"/>
  <c r="CO1785" i="1"/>
  <c r="CP1785" i="1"/>
  <c r="CQ1785" i="1"/>
  <c r="G673" i="1"/>
  <c r="U673" i="1"/>
  <c r="W673" i="1"/>
  <c r="AE673" i="1"/>
  <c r="AK673" i="1"/>
  <c r="AQ673" i="1"/>
  <c r="AU673" i="1"/>
  <c r="AV673" i="1"/>
  <c r="AW673" i="1"/>
  <c r="AX673" i="1"/>
  <c r="AY673" i="1"/>
  <c r="AZ673" i="1"/>
  <c r="BA673" i="1"/>
  <c r="BC673" i="1"/>
  <c r="BD673" i="1"/>
  <c r="BE673" i="1"/>
  <c r="BF673" i="1"/>
  <c r="BG673" i="1"/>
  <c r="BH673" i="1"/>
  <c r="BI673" i="1"/>
  <c r="BJ673" i="1"/>
  <c r="BM673" i="1"/>
  <c r="CA673" i="1"/>
  <c r="CN673" i="1"/>
  <c r="CO673" i="1"/>
  <c r="CP673" i="1"/>
  <c r="CQ673" i="1"/>
  <c r="G1786" i="1"/>
  <c r="U1786" i="1"/>
  <c r="W1786" i="1"/>
  <c r="AE1786" i="1"/>
  <c r="AK1786" i="1"/>
  <c r="AQ1786" i="1"/>
  <c r="AU1786" i="1"/>
  <c r="AV1786" i="1"/>
  <c r="AW1786" i="1"/>
  <c r="AX1786" i="1"/>
  <c r="AY1786" i="1"/>
  <c r="AZ1786" i="1"/>
  <c r="BA1786" i="1"/>
  <c r="BC1786" i="1"/>
  <c r="BD1786" i="1"/>
  <c r="BE1786" i="1"/>
  <c r="BF1786" i="1"/>
  <c r="BG1786" i="1"/>
  <c r="BH1786" i="1"/>
  <c r="BI1786" i="1"/>
  <c r="BJ1786" i="1"/>
  <c r="BM1786" i="1"/>
  <c r="CA1786" i="1"/>
  <c r="CN1786" i="1"/>
  <c r="CO1786" i="1"/>
  <c r="CP1786" i="1"/>
  <c r="CQ1786" i="1"/>
  <c r="G1787" i="1"/>
  <c r="U1787" i="1"/>
  <c r="W1787" i="1"/>
  <c r="AE1787" i="1"/>
  <c r="AK1787" i="1"/>
  <c r="AQ1787" i="1"/>
  <c r="AU1787" i="1"/>
  <c r="AV1787" i="1"/>
  <c r="AW1787" i="1"/>
  <c r="AX1787" i="1"/>
  <c r="AY1787" i="1"/>
  <c r="AZ1787" i="1"/>
  <c r="BA1787" i="1"/>
  <c r="BC1787" i="1"/>
  <c r="BD1787" i="1"/>
  <c r="BE1787" i="1"/>
  <c r="BF1787" i="1"/>
  <c r="BG1787" i="1"/>
  <c r="BH1787" i="1"/>
  <c r="BI1787" i="1"/>
  <c r="BJ1787" i="1"/>
  <c r="BM1787" i="1"/>
  <c r="CA1787" i="1"/>
  <c r="CN1787" i="1"/>
  <c r="CO1787" i="1"/>
  <c r="CP1787" i="1"/>
  <c r="CQ1787" i="1"/>
  <c r="G674" i="1"/>
  <c r="U674" i="1"/>
  <c r="W674" i="1"/>
  <c r="AE674" i="1"/>
  <c r="AK674" i="1"/>
  <c r="AQ674" i="1"/>
  <c r="AU674" i="1"/>
  <c r="AV674" i="1"/>
  <c r="AW674" i="1"/>
  <c r="AX674" i="1"/>
  <c r="AY674" i="1"/>
  <c r="AZ674" i="1"/>
  <c r="BA674" i="1"/>
  <c r="BC674" i="1"/>
  <c r="BD674" i="1"/>
  <c r="BE674" i="1"/>
  <c r="BF674" i="1"/>
  <c r="BG674" i="1"/>
  <c r="BH674" i="1"/>
  <c r="BI674" i="1"/>
  <c r="BJ674" i="1"/>
  <c r="BM674" i="1"/>
  <c r="CA674" i="1"/>
  <c r="CN674" i="1"/>
  <c r="CO674" i="1"/>
  <c r="CP674" i="1"/>
  <c r="CQ674" i="1"/>
  <c r="G675" i="1"/>
  <c r="U675" i="1"/>
  <c r="W675" i="1"/>
  <c r="AE675" i="1"/>
  <c r="AK675" i="1"/>
  <c r="AQ675" i="1"/>
  <c r="AU675" i="1"/>
  <c r="AV675" i="1"/>
  <c r="AW675" i="1"/>
  <c r="AX675" i="1"/>
  <c r="AY675" i="1"/>
  <c r="AZ675" i="1"/>
  <c r="BA675" i="1"/>
  <c r="BC675" i="1"/>
  <c r="BD675" i="1"/>
  <c r="BE675" i="1"/>
  <c r="BF675" i="1"/>
  <c r="BG675" i="1"/>
  <c r="BH675" i="1"/>
  <c r="BI675" i="1"/>
  <c r="BJ675" i="1"/>
  <c r="BM675" i="1"/>
  <c r="CA675" i="1"/>
  <c r="CN675" i="1"/>
  <c r="CO675" i="1"/>
  <c r="CP675" i="1"/>
  <c r="CQ675" i="1"/>
  <c r="G676" i="1"/>
  <c r="U676" i="1"/>
  <c r="W676" i="1"/>
  <c r="AE676" i="1"/>
  <c r="AK676" i="1"/>
  <c r="AQ676" i="1"/>
  <c r="AU676" i="1"/>
  <c r="AV676" i="1"/>
  <c r="AW676" i="1"/>
  <c r="AX676" i="1"/>
  <c r="AY676" i="1"/>
  <c r="AZ676" i="1"/>
  <c r="BA676" i="1"/>
  <c r="BC676" i="1"/>
  <c r="BD676" i="1"/>
  <c r="BE676" i="1"/>
  <c r="BF676" i="1"/>
  <c r="BG676" i="1"/>
  <c r="BH676" i="1"/>
  <c r="BI676" i="1"/>
  <c r="BJ676" i="1"/>
  <c r="BM676" i="1"/>
  <c r="CA676" i="1"/>
  <c r="CN676" i="1"/>
  <c r="CO676" i="1"/>
  <c r="CP676" i="1"/>
  <c r="CQ676" i="1"/>
  <c r="G76" i="1"/>
  <c r="U76" i="1"/>
  <c r="W76" i="1"/>
  <c r="AE76" i="1"/>
  <c r="AK76" i="1"/>
  <c r="AQ76" i="1"/>
  <c r="AU76" i="1"/>
  <c r="AV76" i="1"/>
  <c r="AW76" i="1"/>
  <c r="AX76" i="1"/>
  <c r="AY76" i="1"/>
  <c r="AZ76" i="1"/>
  <c r="BA76" i="1"/>
  <c r="BC76" i="1"/>
  <c r="BD76" i="1"/>
  <c r="BE76" i="1"/>
  <c r="BF76" i="1"/>
  <c r="BG76" i="1"/>
  <c r="BH76" i="1"/>
  <c r="BI76" i="1"/>
  <c r="BJ76" i="1"/>
  <c r="BM76" i="1"/>
  <c r="CA76" i="1"/>
  <c r="CN76" i="1"/>
  <c r="CO76" i="1"/>
  <c r="CP76" i="1"/>
  <c r="CQ76" i="1"/>
  <c r="G77" i="1"/>
  <c r="U77" i="1"/>
  <c r="W77" i="1"/>
  <c r="AE77" i="1"/>
  <c r="AK77" i="1"/>
  <c r="AQ77" i="1"/>
  <c r="AU77" i="1"/>
  <c r="AV77" i="1"/>
  <c r="AW77" i="1"/>
  <c r="AX77" i="1"/>
  <c r="AY77" i="1"/>
  <c r="AZ77" i="1"/>
  <c r="BA77" i="1"/>
  <c r="BC77" i="1"/>
  <c r="BD77" i="1"/>
  <c r="BE77" i="1"/>
  <c r="BF77" i="1"/>
  <c r="BG77" i="1"/>
  <c r="BH77" i="1"/>
  <c r="BI77" i="1"/>
  <c r="BJ77" i="1"/>
  <c r="BM77" i="1"/>
  <c r="CA77" i="1"/>
  <c r="CN77" i="1"/>
  <c r="CO77" i="1"/>
  <c r="CP77" i="1"/>
  <c r="CQ77" i="1"/>
  <c r="G1350" i="1"/>
  <c r="U1350" i="1"/>
  <c r="W1350" i="1"/>
  <c r="AE1350" i="1"/>
  <c r="AK1350" i="1"/>
  <c r="AQ1350" i="1"/>
  <c r="AU1350" i="1"/>
  <c r="AV1350" i="1"/>
  <c r="AW1350" i="1"/>
  <c r="AX1350" i="1"/>
  <c r="AY1350" i="1"/>
  <c r="AZ1350" i="1"/>
  <c r="BA1350" i="1"/>
  <c r="BC1350" i="1"/>
  <c r="BD1350" i="1"/>
  <c r="BE1350" i="1"/>
  <c r="BF1350" i="1"/>
  <c r="BG1350" i="1"/>
  <c r="BH1350" i="1"/>
  <c r="BI1350" i="1"/>
  <c r="BJ1350" i="1"/>
  <c r="BM1350" i="1"/>
  <c r="CA1350" i="1"/>
  <c r="CN1350" i="1"/>
  <c r="CO1350" i="1"/>
  <c r="CP1350" i="1"/>
  <c r="CQ1350" i="1"/>
  <c r="G1788" i="1"/>
  <c r="U1788" i="1"/>
  <c r="W1788" i="1"/>
  <c r="AE1788" i="1"/>
  <c r="AK1788" i="1"/>
  <c r="AQ1788" i="1"/>
  <c r="AU1788" i="1"/>
  <c r="AV1788" i="1"/>
  <c r="AW1788" i="1"/>
  <c r="AX1788" i="1"/>
  <c r="AY1788" i="1"/>
  <c r="AZ1788" i="1"/>
  <c r="BA1788" i="1"/>
  <c r="BC1788" i="1"/>
  <c r="BD1788" i="1"/>
  <c r="BE1788" i="1"/>
  <c r="BF1788" i="1"/>
  <c r="BG1788" i="1"/>
  <c r="BH1788" i="1"/>
  <c r="BI1788" i="1"/>
  <c r="BJ1788" i="1"/>
  <c r="BM1788" i="1"/>
  <c r="CA1788" i="1"/>
  <c r="CN1788" i="1"/>
  <c r="CO1788" i="1"/>
  <c r="CP1788" i="1"/>
  <c r="CQ1788" i="1"/>
  <c r="G1789" i="1"/>
  <c r="U1789" i="1"/>
  <c r="W1789" i="1"/>
  <c r="AE1789" i="1"/>
  <c r="AK1789" i="1"/>
  <c r="AQ1789" i="1"/>
  <c r="AU1789" i="1"/>
  <c r="AV1789" i="1"/>
  <c r="AW1789" i="1"/>
  <c r="AX1789" i="1"/>
  <c r="AY1789" i="1"/>
  <c r="AZ1789" i="1"/>
  <c r="BA1789" i="1"/>
  <c r="BC1789" i="1"/>
  <c r="BD1789" i="1"/>
  <c r="BE1789" i="1"/>
  <c r="BF1789" i="1"/>
  <c r="BG1789" i="1"/>
  <c r="BH1789" i="1"/>
  <c r="BI1789" i="1"/>
  <c r="BJ1789" i="1"/>
  <c r="BM1789" i="1"/>
  <c r="CA1789" i="1"/>
  <c r="CN1789" i="1"/>
  <c r="CO1789" i="1"/>
  <c r="CP1789" i="1"/>
  <c r="CQ1789" i="1"/>
  <c r="G677" i="1"/>
  <c r="U677" i="1"/>
  <c r="W677" i="1"/>
  <c r="AE677" i="1"/>
  <c r="AK677" i="1"/>
  <c r="AQ677" i="1"/>
  <c r="AU677" i="1"/>
  <c r="AV677" i="1"/>
  <c r="AW677" i="1"/>
  <c r="AX677" i="1"/>
  <c r="AY677" i="1"/>
  <c r="AZ677" i="1"/>
  <c r="BA677" i="1"/>
  <c r="BC677" i="1"/>
  <c r="BD677" i="1"/>
  <c r="BE677" i="1"/>
  <c r="BF677" i="1"/>
  <c r="BG677" i="1"/>
  <c r="BH677" i="1"/>
  <c r="BI677" i="1"/>
  <c r="BJ677" i="1"/>
  <c r="BM677" i="1"/>
  <c r="CA677" i="1"/>
  <c r="CN677" i="1"/>
  <c r="CO677" i="1"/>
  <c r="CP677" i="1"/>
  <c r="CQ677" i="1"/>
  <c r="G678" i="1"/>
  <c r="U678" i="1"/>
  <c r="W678" i="1"/>
  <c r="AE678" i="1"/>
  <c r="AK678" i="1"/>
  <c r="AQ678" i="1"/>
  <c r="AU678" i="1"/>
  <c r="AV678" i="1"/>
  <c r="AW678" i="1"/>
  <c r="AX678" i="1"/>
  <c r="AY678" i="1"/>
  <c r="AZ678" i="1"/>
  <c r="BA678" i="1"/>
  <c r="BC678" i="1"/>
  <c r="BD678" i="1"/>
  <c r="BE678" i="1"/>
  <c r="BF678" i="1"/>
  <c r="BG678" i="1"/>
  <c r="BH678" i="1"/>
  <c r="BI678" i="1"/>
  <c r="BJ678" i="1"/>
  <c r="BM678" i="1"/>
  <c r="CA678" i="1"/>
  <c r="CN678" i="1"/>
  <c r="CO678" i="1"/>
  <c r="CP678" i="1"/>
  <c r="CQ678" i="1"/>
  <c r="G679" i="1"/>
  <c r="U679" i="1"/>
  <c r="W679" i="1"/>
  <c r="AE679" i="1"/>
  <c r="AK679" i="1"/>
  <c r="AQ679" i="1"/>
  <c r="AU679" i="1"/>
  <c r="AV679" i="1"/>
  <c r="AW679" i="1"/>
  <c r="AX679" i="1"/>
  <c r="AY679" i="1"/>
  <c r="AZ679" i="1"/>
  <c r="BA679" i="1"/>
  <c r="BC679" i="1"/>
  <c r="BD679" i="1"/>
  <c r="BE679" i="1"/>
  <c r="BF679" i="1"/>
  <c r="BG679" i="1"/>
  <c r="BH679" i="1"/>
  <c r="BI679" i="1"/>
  <c r="BJ679" i="1"/>
  <c r="BM679" i="1"/>
  <c r="CA679" i="1"/>
  <c r="CN679" i="1"/>
  <c r="CO679" i="1"/>
  <c r="CP679" i="1"/>
  <c r="CQ679" i="1"/>
  <c r="G680" i="1"/>
  <c r="U680" i="1"/>
  <c r="W680" i="1"/>
  <c r="AE680" i="1"/>
  <c r="AK680" i="1"/>
  <c r="AQ680" i="1"/>
  <c r="AU680" i="1"/>
  <c r="AV680" i="1"/>
  <c r="AW680" i="1"/>
  <c r="AX680" i="1"/>
  <c r="AY680" i="1"/>
  <c r="AZ680" i="1"/>
  <c r="BA680" i="1"/>
  <c r="BC680" i="1"/>
  <c r="BD680" i="1"/>
  <c r="BE680" i="1"/>
  <c r="BF680" i="1"/>
  <c r="BG680" i="1"/>
  <c r="BH680" i="1"/>
  <c r="BI680" i="1"/>
  <c r="BJ680" i="1"/>
  <c r="BM680" i="1"/>
  <c r="CA680" i="1"/>
  <c r="CN680" i="1"/>
  <c r="CO680" i="1"/>
  <c r="CP680" i="1"/>
  <c r="CQ680" i="1"/>
  <c r="G379" i="1"/>
  <c r="U379" i="1"/>
  <c r="W379" i="1"/>
  <c r="AE379" i="1"/>
  <c r="AK379" i="1"/>
  <c r="AQ379" i="1"/>
  <c r="AU379" i="1"/>
  <c r="AV379" i="1"/>
  <c r="AW379" i="1"/>
  <c r="AX379" i="1"/>
  <c r="AY379" i="1"/>
  <c r="AZ379" i="1"/>
  <c r="BA379" i="1"/>
  <c r="BC379" i="1"/>
  <c r="BD379" i="1"/>
  <c r="BE379" i="1"/>
  <c r="BF379" i="1"/>
  <c r="BG379" i="1"/>
  <c r="BH379" i="1"/>
  <c r="BI379" i="1"/>
  <c r="BJ379" i="1"/>
  <c r="BM379" i="1"/>
  <c r="CA379" i="1"/>
  <c r="CN379" i="1"/>
  <c r="CO379" i="1"/>
  <c r="CP379" i="1"/>
  <c r="CQ379" i="1"/>
  <c r="G1790" i="1"/>
  <c r="U1790" i="1"/>
  <c r="W1790" i="1"/>
  <c r="AE1790" i="1"/>
  <c r="AK1790" i="1"/>
  <c r="AQ1790" i="1"/>
  <c r="AU1790" i="1"/>
  <c r="AV1790" i="1"/>
  <c r="AW1790" i="1"/>
  <c r="AX1790" i="1"/>
  <c r="AY1790" i="1"/>
  <c r="AZ1790" i="1"/>
  <c r="BA1790" i="1"/>
  <c r="BC1790" i="1"/>
  <c r="BD1790" i="1"/>
  <c r="BE1790" i="1"/>
  <c r="BF1790" i="1"/>
  <c r="BG1790" i="1"/>
  <c r="BH1790" i="1"/>
  <c r="BI1790" i="1"/>
  <c r="BJ1790" i="1"/>
  <c r="BM1790" i="1"/>
  <c r="CA1790" i="1"/>
  <c r="CN1790" i="1"/>
  <c r="CO1790" i="1"/>
  <c r="CP1790" i="1"/>
  <c r="CQ1790" i="1"/>
  <c r="G1791" i="1"/>
  <c r="U1791" i="1"/>
  <c r="W1791" i="1"/>
  <c r="AE1791" i="1"/>
  <c r="AK1791" i="1"/>
  <c r="AQ1791" i="1"/>
  <c r="AU1791" i="1"/>
  <c r="AV1791" i="1"/>
  <c r="AW1791" i="1"/>
  <c r="AX1791" i="1"/>
  <c r="AY1791" i="1"/>
  <c r="AZ1791" i="1"/>
  <c r="BA1791" i="1"/>
  <c r="BC1791" i="1"/>
  <c r="BD1791" i="1"/>
  <c r="BE1791" i="1"/>
  <c r="BF1791" i="1"/>
  <c r="BG1791" i="1"/>
  <c r="BH1791" i="1"/>
  <c r="BI1791" i="1"/>
  <c r="BJ1791" i="1"/>
  <c r="BM1791" i="1"/>
  <c r="CA1791" i="1"/>
  <c r="CN1791" i="1"/>
  <c r="CO1791" i="1"/>
  <c r="CP1791" i="1"/>
  <c r="CQ1791" i="1"/>
  <c r="G681" i="1"/>
  <c r="U681" i="1"/>
  <c r="W681" i="1"/>
  <c r="AE681" i="1"/>
  <c r="AK681" i="1"/>
  <c r="AQ681" i="1"/>
  <c r="AU681" i="1"/>
  <c r="AV681" i="1"/>
  <c r="AW681" i="1"/>
  <c r="AX681" i="1"/>
  <c r="AY681" i="1"/>
  <c r="AZ681" i="1"/>
  <c r="BA681" i="1"/>
  <c r="BC681" i="1"/>
  <c r="BD681" i="1"/>
  <c r="BE681" i="1"/>
  <c r="BF681" i="1"/>
  <c r="BG681" i="1"/>
  <c r="BH681" i="1"/>
  <c r="BI681" i="1"/>
  <c r="BJ681" i="1"/>
  <c r="BM681" i="1"/>
  <c r="CA681" i="1"/>
  <c r="CN681" i="1"/>
  <c r="CO681" i="1"/>
  <c r="CP681" i="1"/>
  <c r="CQ681" i="1"/>
  <c r="G1557" i="1"/>
  <c r="U1557" i="1"/>
  <c r="W1557" i="1"/>
  <c r="AE1557" i="1"/>
  <c r="AK1557" i="1"/>
  <c r="AQ1557" i="1"/>
  <c r="AU1557" i="1"/>
  <c r="AV1557" i="1"/>
  <c r="AW1557" i="1"/>
  <c r="AX1557" i="1"/>
  <c r="AY1557" i="1"/>
  <c r="AZ1557" i="1"/>
  <c r="BA1557" i="1"/>
  <c r="BC1557" i="1"/>
  <c r="BD1557" i="1"/>
  <c r="BE1557" i="1"/>
  <c r="BF1557" i="1"/>
  <c r="BG1557" i="1"/>
  <c r="BH1557" i="1"/>
  <c r="BI1557" i="1"/>
  <c r="BJ1557" i="1"/>
  <c r="BM1557" i="1"/>
  <c r="CA1557" i="1"/>
  <c r="CN1557" i="1"/>
  <c r="CO1557" i="1"/>
  <c r="CP1557" i="1"/>
  <c r="CQ1557" i="1"/>
  <c r="G682" i="1"/>
  <c r="U682" i="1"/>
  <c r="W682" i="1"/>
  <c r="AE682" i="1"/>
  <c r="AK682" i="1"/>
  <c r="AQ682" i="1"/>
  <c r="AU682" i="1"/>
  <c r="AV682" i="1"/>
  <c r="AW682" i="1"/>
  <c r="AX682" i="1"/>
  <c r="AY682" i="1"/>
  <c r="AZ682" i="1"/>
  <c r="BA682" i="1"/>
  <c r="BC682" i="1"/>
  <c r="BD682" i="1"/>
  <c r="BE682" i="1"/>
  <c r="BF682" i="1"/>
  <c r="BG682" i="1"/>
  <c r="BH682" i="1"/>
  <c r="BI682" i="1"/>
  <c r="BJ682" i="1"/>
  <c r="BM682" i="1"/>
  <c r="CA682" i="1"/>
  <c r="CN682" i="1"/>
  <c r="CO682" i="1"/>
  <c r="CP682" i="1"/>
  <c r="CQ682" i="1"/>
  <c r="G1558" i="1"/>
  <c r="U1558" i="1"/>
  <c r="W1558" i="1"/>
  <c r="AE1558" i="1"/>
  <c r="AK1558" i="1"/>
  <c r="AQ1558" i="1"/>
  <c r="AU1558" i="1"/>
  <c r="AV1558" i="1"/>
  <c r="AW1558" i="1"/>
  <c r="AX1558" i="1"/>
  <c r="AY1558" i="1"/>
  <c r="AZ1558" i="1"/>
  <c r="BA1558" i="1"/>
  <c r="BC1558" i="1"/>
  <c r="BD1558" i="1"/>
  <c r="BE1558" i="1"/>
  <c r="BF1558" i="1"/>
  <c r="BG1558" i="1"/>
  <c r="BH1558" i="1"/>
  <c r="BI1558" i="1"/>
  <c r="BJ1558" i="1"/>
  <c r="BM1558" i="1"/>
  <c r="CA1558" i="1"/>
  <c r="CN1558" i="1"/>
  <c r="CO1558" i="1"/>
  <c r="CP1558" i="1"/>
  <c r="CQ1558" i="1"/>
  <c r="G78" i="1"/>
  <c r="U78" i="1"/>
  <c r="W78" i="1"/>
  <c r="AE78" i="1"/>
  <c r="AK78" i="1"/>
  <c r="AQ78" i="1"/>
  <c r="AU78" i="1"/>
  <c r="AV78" i="1"/>
  <c r="AW78" i="1"/>
  <c r="AX78" i="1"/>
  <c r="AY78" i="1"/>
  <c r="AZ78" i="1"/>
  <c r="BA78" i="1"/>
  <c r="BC78" i="1"/>
  <c r="BD78" i="1"/>
  <c r="BE78" i="1"/>
  <c r="BF78" i="1"/>
  <c r="BG78" i="1"/>
  <c r="BH78" i="1"/>
  <c r="BI78" i="1"/>
  <c r="BJ78" i="1"/>
  <c r="BM78" i="1"/>
  <c r="CA78" i="1"/>
  <c r="CN78" i="1"/>
  <c r="CO78" i="1"/>
  <c r="CP78" i="1"/>
  <c r="CQ78" i="1"/>
  <c r="G683" i="1"/>
  <c r="U683" i="1"/>
  <c r="W683" i="1"/>
  <c r="AE683" i="1"/>
  <c r="AK683" i="1"/>
  <c r="AQ683" i="1"/>
  <c r="AU683" i="1"/>
  <c r="AV683" i="1"/>
  <c r="AW683" i="1"/>
  <c r="AX683" i="1"/>
  <c r="AY683" i="1"/>
  <c r="AZ683" i="1"/>
  <c r="BA683" i="1"/>
  <c r="BC683" i="1"/>
  <c r="BD683" i="1"/>
  <c r="BE683" i="1"/>
  <c r="BF683" i="1"/>
  <c r="BG683" i="1"/>
  <c r="BH683" i="1"/>
  <c r="BI683" i="1"/>
  <c r="BJ683" i="1"/>
  <c r="BM683" i="1"/>
  <c r="CA683" i="1"/>
  <c r="CN683" i="1"/>
  <c r="CO683" i="1"/>
  <c r="CP683" i="1"/>
  <c r="CQ683" i="1"/>
  <c r="G684" i="1"/>
  <c r="U684" i="1"/>
  <c r="W684" i="1"/>
  <c r="AE684" i="1"/>
  <c r="AK684" i="1"/>
  <c r="AQ684" i="1"/>
  <c r="AU684" i="1"/>
  <c r="AV684" i="1"/>
  <c r="AW684" i="1"/>
  <c r="AX684" i="1"/>
  <c r="AY684" i="1"/>
  <c r="AZ684" i="1"/>
  <c r="BA684" i="1"/>
  <c r="BC684" i="1"/>
  <c r="BD684" i="1"/>
  <c r="BE684" i="1"/>
  <c r="BF684" i="1"/>
  <c r="BG684" i="1"/>
  <c r="BH684" i="1"/>
  <c r="BI684" i="1"/>
  <c r="BJ684" i="1"/>
  <c r="BM684" i="1"/>
  <c r="CA684" i="1"/>
  <c r="CN684" i="1"/>
  <c r="CO684" i="1"/>
  <c r="CP684" i="1"/>
  <c r="CQ684" i="1"/>
  <c r="G685" i="1"/>
  <c r="U685" i="1"/>
  <c r="W685" i="1"/>
  <c r="AE685" i="1"/>
  <c r="AK685" i="1"/>
  <c r="AQ685" i="1"/>
  <c r="AU685" i="1"/>
  <c r="AV685" i="1"/>
  <c r="AW685" i="1"/>
  <c r="AX685" i="1"/>
  <c r="AY685" i="1"/>
  <c r="AZ685" i="1"/>
  <c r="BA685" i="1"/>
  <c r="BC685" i="1"/>
  <c r="BD685" i="1"/>
  <c r="BE685" i="1"/>
  <c r="BF685" i="1"/>
  <c r="BG685" i="1"/>
  <c r="BH685" i="1"/>
  <c r="BI685" i="1"/>
  <c r="BJ685" i="1"/>
  <c r="BM685" i="1"/>
  <c r="CA685" i="1"/>
  <c r="CN685" i="1"/>
  <c r="CO685" i="1"/>
  <c r="CP685" i="1"/>
  <c r="CQ685" i="1"/>
  <c r="G1792" i="1"/>
  <c r="U1792" i="1"/>
  <c r="W1792" i="1"/>
  <c r="AE1792" i="1"/>
  <c r="AK1792" i="1"/>
  <c r="AQ1792" i="1"/>
  <c r="AU1792" i="1"/>
  <c r="AV1792" i="1"/>
  <c r="AW1792" i="1"/>
  <c r="AX1792" i="1"/>
  <c r="AY1792" i="1"/>
  <c r="AZ1792" i="1"/>
  <c r="BA1792" i="1"/>
  <c r="BC1792" i="1"/>
  <c r="BD1792" i="1"/>
  <c r="BE1792" i="1"/>
  <c r="BF1792" i="1"/>
  <c r="BG1792" i="1"/>
  <c r="BH1792" i="1"/>
  <c r="BI1792" i="1"/>
  <c r="BJ1792" i="1"/>
  <c r="BM1792" i="1"/>
  <c r="CA1792" i="1"/>
  <c r="CN1792" i="1"/>
  <c r="CO1792" i="1"/>
  <c r="CP1792" i="1"/>
  <c r="CQ1792" i="1"/>
  <c r="G1793" i="1"/>
  <c r="U1793" i="1"/>
  <c r="W1793" i="1"/>
  <c r="AE1793" i="1"/>
  <c r="AK1793" i="1"/>
  <c r="AQ1793" i="1"/>
  <c r="AU1793" i="1"/>
  <c r="AV1793" i="1"/>
  <c r="AW1793" i="1"/>
  <c r="AX1793" i="1"/>
  <c r="AY1793" i="1"/>
  <c r="AZ1793" i="1"/>
  <c r="BA1793" i="1"/>
  <c r="BC1793" i="1"/>
  <c r="BD1793" i="1"/>
  <c r="BE1793" i="1"/>
  <c r="BF1793" i="1"/>
  <c r="BG1793" i="1"/>
  <c r="BH1793" i="1"/>
  <c r="BI1793" i="1"/>
  <c r="BJ1793" i="1"/>
  <c r="BM1793" i="1"/>
  <c r="CA1793" i="1"/>
  <c r="CN1793" i="1"/>
  <c r="CO1793" i="1"/>
  <c r="CP1793" i="1"/>
  <c r="CQ1793" i="1"/>
  <c r="G79" i="1"/>
  <c r="U79" i="1"/>
  <c r="W79" i="1"/>
  <c r="AE79" i="1"/>
  <c r="AK79" i="1"/>
  <c r="AQ79" i="1"/>
  <c r="AU79" i="1"/>
  <c r="AV79" i="1"/>
  <c r="AW79" i="1"/>
  <c r="AX79" i="1"/>
  <c r="AY79" i="1"/>
  <c r="AZ79" i="1"/>
  <c r="BA79" i="1"/>
  <c r="BC79" i="1"/>
  <c r="BD79" i="1"/>
  <c r="BE79" i="1"/>
  <c r="BF79" i="1"/>
  <c r="BG79" i="1"/>
  <c r="BH79" i="1"/>
  <c r="BI79" i="1"/>
  <c r="BJ79" i="1"/>
  <c r="BM79" i="1"/>
  <c r="CA79" i="1"/>
  <c r="CN79" i="1"/>
  <c r="CO79" i="1"/>
  <c r="CP79" i="1"/>
  <c r="CQ79" i="1"/>
  <c r="G1794" i="1"/>
  <c r="U1794" i="1"/>
  <c r="W1794" i="1"/>
  <c r="AE1794" i="1"/>
  <c r="AK1794" i="1"/>
  <c r="AQ1794" i="1"/>
  <c r="AU1794" i="1"/>
  <c r="AV1794" i="1"/>
  <c r="AW1794" i="1"/>
  <c r="AX1794" i="1"/>
  <c r="AY1794" i="1"/>
  <c r="AZ1794" i="1"/>
  <c r="BA1794" i="1"/>
  <c r="BC1794" i="1"/>
  <c r="BD1794" i="1"/>
  <c r="BE1794" i="1"/>
  <c r="BF1794" i="1"/>
  <c r="BG1794" i="1"/>
  <c r="BH1794" i="1"/>
  <c r="BI1794" i="1"/>
  <c r="BJ1794" i="1"/>
  <c r="BM1794" i="1"/>
  <c r="CA1794" i="1"/>
  <c r="CN1794" i="1"/>
  <c r="CO1794" i="1"/>
  <c r="CP1794" i="1"/>
  <c r="CQ1794" i="1"/>
  <c r="G80" i="1"/>
  <c r="U80" i="1"/>
  <c r="W80" i="1"/>
  <c r="AE80" i="1"/>
  <c r="AK80" i="1"/>
  <c r="AQ80" i="1"/>
  <c r="AU80" i="1"/>
  <c r="AV80" i="1"/>
  <c r="AW80" i="1"/>
  <c r="AX80" i="1"/>
  <c r="AY80" i="1"/>
  <c r="AZ80" i="1"/>
  <c r="BA80" i="1"/>
  <c r="BC80" i="1"/>
  <c r="BD80" i="1"/>
  <c r="BE80" i="1"/>
  <c r="BF80" i="1"/>
  <c r="BG80" i="1"/>
  <c r="BH80" i="1"/>
  <c r="BI80" i="1"/>
  <c r="BJ80" i="1"/>
  <c r="BM80" i="1"/>
  <c r="CA80" i="1"/>
  <c r="CN80" i="1"/>
  <c r="CO80" i="1"/>
  <c r="CP80" i="1"/>
  <c r="CQ80" i="1"/>
  <c r="G1795" i="1"/>
  <c r="U1795" i="1"/>
  <c r="W1795" i="1"/>
  <c r="AE1795" i="1"/>
  <c r="AK1795" i="1"/>
  <c r="AQ1795" i="1"/>
  <c r="AU1795" i="1"/>
  <c r="AV1795" i="1"/>
  <c r="AW1795" i="1"/>
  <c r="AX1795" i="1"/>
  <c r="AY1795" i="1"/>
  <c r="AZ1795" i="1"/>
  <c r="BA1795" i="1"/>
  <c r="BC1795" i="1"/>
  <c r="BD1795" i="1"/>
  <c r="BE1795" i="1"/>
  <c r="BF1795" i="1"/>
  <c r="BG1795" i="1"/>
  <c r="BH1795" i="1"/>
  <c r="BI1795" i="1"/>
  <c r="BJ1795" i="1"/>
  <c r="BM1795" i="1"/>
  <c r="CA1795" i="1"/>
  <c r="CN1795" i="1"/>
  <c r="CO1795" i="1"/>
  <c r="CP1795" i="1"/>
  <c r="CQ1795" i="1"/>
  <c r="G1796" i="1"/>
  <c r="U1796" i="1"/>
  <c r="W1796" i="1"/>
  <c r="AE1796" i="1"/>
  <c r="AK1796" i="1"/>
  <c r="AQ1796" i="1"/>
  <c r="AU1796" i="1"/>
  <c r="AV1796" i="1"/>
  <c r="AW1796" i="1"/>
  <c r="AX1796" i="1"/>
  <c r="AY1796" i="1"/>
  <c r="AZ1796" i="1"/>
  <c r="BA1796" i="1"/>
  <c r="BC1796" i="1"/>
  <c r="BD1796" i="1"/>
  <c r="BE1796" i="1"/>
  <c r="BF1796" i="1"/>
  <c r="BG1796" i="1"/>
  <c r="BH1796" i="1"/>
  <c r="BI1796" i="1"/>
  <c r="BJ1796" i="1"/>
  <c r="BM1796" i="1"/>
  <c r="CA1796" i="1"/>
  <c r="CN1796" i="1"/>
  <c r="CO1796" i="1"/>
  <c r="CP1796" i="1"/>
  <c r="CQ1796" i="1"/>
  <c r="G1797" i="1"/>
  <c r="U1797" i="1"/>
  <c r="W1797" i="1"/>
  <c r="AE1797" i="1"/>
  <c r="AK1797" i="1"/>
  <c r="AQ1797" i="1"/>
  <c r="AU1797" i="1"/>
  <c r="AV1797" i="1"/>
  <c r="AW1797" i="1"/>
  <c r="AX1797" i="1"/>
  <c r="AY1797" i="1"/>
  <c r="AZ1797" i="1"/>
  <c r="BA1797" i="1"/>
  <c r="BC1797" i="1"/>
  <c r="BD1797" i="1"/>
  <c r="BE1797" i="1"/>
  <c r="BF1797" i="1"/>
  <c r="BG1797" i="1"/>
  <c r="BH1797" i="1"/>
  <c r="BI1797" i="1"/>
  <c r="BJ1797" i="1"/>
  <c r="BM1797" i="1"/>
  <c r="CA1797" i="1"/>
  <c r="CN1797" i="1"/>
  <c r="CO1797" i="1"/>
  <c r="CP1797" i="1"/>
  <c r="CQ1797" i="1"/>
  <c r="G686" i="1"/>
  <c r="U686" i="1"/>
  <c r="W686" i="1"/>
  <c r="AE686" i="1"/>
  <c r="AK686" i="1"/>
  <c r="AQ686" i="1"/>
  <c r="AU686" i="1"/>
  <c r="AV686" i="1"/>
  <c r="AW686" i="1"/>
  <c r="AX686" i="1"/>
  <c r="AY686" i="1"/>
  <c r="AZ686" i="1"/>
  <c r="BA686" i="1"/>
  <c r="BC686" i="1"/>
  <c r="BD686" i="1"/>
  <c r="BE686" i="1"/>
  <c r="BF686" i="1"/>
  <c r="BG686" i="1"/>
  <c r="BH686" i="1"/>
  <c r="BI686" i="1"/>
  <c r="BJ686" i="1"/>
  <c r="BM686" i="1"/>
  <c r="CA686" i="1"/>
  <c r="CN686" i="1"/>
  <c r="CO686" i="1"/>
  <c r="CP686" i="1"/>
  <c r="CQ686" i="1"/>
  <c r="G81" i="1"/>
  <c r="U81" i="1"/>
  <c r="W81" i="1"/>
  <c r="AE81" i="1"/>
  <c r="AK81" i="1"/>
  <c r="AQ81" i="1"/>
  <c r="AU81" i="1"/>
  <c r="AV81" i="1"/>
  <c r="AW81" i="1"/>
  <c r="AX81" i="1"/>
  <c r="AY81" i="1"/>
  <c r="AZ81" i="1"/>
  <c r="BA81" i="1"/>
  <c r="BC81" i="1"/>
  <c r="BD81" i="1"/>
  <c r="BE81" i="1"/>
  <c r="BF81" i="1"/>
  <c r="BG81" i="1"/>
  <c r="BH81" i="1"/>
  <c r="BI81" i="1"/>
  <c r="BJ81" i="1"/>
  <c r="BM81" i="1"/>
  <c r="CA81" i="1"/>
  <c r="CN81" i="1"/>
  <c r="CO81" i="1"/>
  <c r="CP81" i="1"/>
  <c r="CQ81" i="1"/>
  <c r="G1798" i="1"/>
  <c r="U1798" i="1"/>
  <c r="W1798" i="1"/>
  <c r="AE1798" i="1"/>
  <c r="AK1798" i="1"/>
  <c r="AQ1798" i="1"/>
  <c r="AU1798" i="1"/>
  <c r="AV1798" i="1"/>
  <c r="AW1798" i="1"/>
  <c r="AX1798" i="1"/>
  <c r="AY1798" i="1"/>
  <c r="AZ1798" i="1"/>
  <c r="BA1798" i="1"/>
  <c r="BC1798" i="1"/>
  <c r="BD1798" i="1"/>
  <c r="BE1798" i="1"/>
  <c r="BF1798" i="1"/>
  <c r="BG1798" i="1"/>
  <c r="BH1798" i="1"/>
  <c r="BI1798" i="1"/>
  <c r="BJ1798" i="1"/>
  <c r="BM1798" i="1"/>
  <c r="CA1798" i="1"/>
  <c r="CN1798" i="1"/>
  <c r="CO1798" i="1"/>
  <c r="CP1798" i="1"/>
  <c r="CQ1798" i="1"/>
  <c r="G380" i="1"/>
  <c r="U380" i="1"/>
  <c r="W380" i="1"/>
  <c r="AE380" i="1"/>
  <c r="AK380" i="1"/>
  <c r="AQ380" i="1"/>
  <c r="AU380" i="1"/>
  <c r="AV380" i="1"/>
  <c r="AW380" i="1"/>
  <c r="AX380" i="1"/>
  <c r="AY380" i="1"/>
  <c r="AZ380" i="1"/>
  <c r="BA380" i="1"/>
  <c r="BC380" i="1"/>
  <c r="BD380" i="1"/>
  <c r="BE380" i="1"/>
  <c r="BF380" i="1"/>
  <c r="BG380" i="1"/>
  <c r="BH380" i="1"/>
  <c r="BI380" i="1"/>
  <c r="BJ380" i="1"/>
  <c r="BM380" i="1"/>
  <c r="CA380" i="1"/>
  <c r="CN380" i="1"/>
  <c r="CO380" i="1"/>
  <c r="CP380" i="1"/>
  <c r="CQ380" i="1"/>
  <c r="G1351" i="1"/>
  <c r="U1351" i="1"/>
  <c r="W1351" i="1"/>
  <c r="AE1351" i="1"/>
  <c r="AK1351" i="1"/>
  <c r="AQ1351" i="1"/>
  <c r="AU1351" i="1"/>
  <c r="AV1351" i="1"/>
  <c r="AW1351" i="1"/>
  <c r="AX1351" i="1"/>
  <c r="AY1351" i="1"/>
  <c r="AZ1351" i="1"/>
  <c r="BA1351" i="1"/>
  <c r="BC1351" i="1"/>
  <c r="BD1351" i="1"/>
  <c r="BE1351" i="1"/>
  <c r="BF1351" i="1"/>
  <c r="BG1351" i="1"/>
  <c r="BH1351" i="1"/>
  <c r="BI1351" i="1"/>
  <c r="BJ1351" i="1"/>
  <c r="BM1351" i="1"/>
  <c r="CA1351" i="1"/>
  <c r="CN1351" i="1"/>
  <c r="CO1351" i="1"/>
  <c r="CP1351" i="1"/>
  <c r="CQ1351" i="1"/>
  <c r="G1799" i="1"/>
  <c r="U1799" i="1"/>
  <c r="W1799" i="1"/>
  <c r="AE1799" i="1"/>
  <c r="AK1799" i="1"/>
  <c r="AQ1799" i="1"/>
  <c r="AU1799" i="1"/>
  <c r="AV1799" i="1"/>
  <c r="AW1799" i="1"/>
  <c r="AX1799" i="1"/>
  <c r="AY1799" i="1"/>
  <c r="AZ1799" i="1"/>
  <c r="BA1799" i="1"/>
  <c r="BC1799" i="1"/>
  <c r="BD1799" i="1"/>
  <c r="BE1799" i="1"/>
  <c r="BF1799" i="1"/>
  <c r="BG1799" i="1"/>
  <c r="BH1799" i="1"/>
  <c r="BI1799" i="1"/>
  <c r="BJ1799" i="1"/>
  <c r="BM1799" i="1"/>
  <c r="CA1799" i="1"/>
  <c r="CN1799" i="1"/>
  <c r="CO1799" i="1"/>
  <c r="CP1799" i="1"/>
  <c r="CQ1799" i="1"/>
  <c r="G687" i="1"/>
  <c r="U687" i="1"/>
  <c r="W687" i="1"/>
  <c r="AE687" i="1"/>
  <c r="AK687" i="1"/>
  <c r="AQ687" i="1"/>
  <c r="AU687" i="1"/>
  <c r="AV687" i="1"/>
  <c r="AW687" i="1"/>
  <c r="AX687" i="1"/>
  <c r="AY687" i="1"/>
  <c r="AZ687" i="1"/>
  <c r="BA687" i="1"/>
  <c r="BC687" i="1"/>
  <c r="BD687" i="1"/>
  <c r="BE687" i="1"/>
  <c r="BF687" i="1"/>
  <c r="BG687" i="1"/>
  <c r="BH687" i="1"/>
  <c r="BI687" i="1"/>
  <c r="BJ687" i="1"/>
  <c r="BM687" i="1"/>
  <c r="CA687" i="1"/>
  <c r="CN687" i="1"/>
  <c r="CO687" i="1"/>
  <c r="CP687" i="1"/>
  <c r="CQ687" i="1"/>
  <c r="G1800" i="1"/>
  <c r="U1800" i="1"/>
  <c r="W1800" i="1"/>
  <c r="AE1800" i="1"/>
  <c r="AK1800" i="1"/>
  <c r="AQ1800" i="1"/>
  <c r="AU1800" i="1"/>
  <c r="AV1800" i="1"/>
  <c r="AW1800" i="1"/>
  <c r="AX1800" i="1"/>
  <c r="AY1800" i="1"/>
  <c r="AZ1800" i="1"/>
  <c r="BA1800" i="1"/>
  <c r="BC1800" i="1"/>
  <c r="BD1800" i="1"/>
  <c r="BE1800" i="1"/>
  <c r="BF1800" i="1"/>
  <c r="BG1800" i="1"/>
  <c r="BH1800" i="1"/>
  <c r="BI1800" i="1"/>
  <c r="BJ1800" i="1"/>
  <c r="BM1800" i="1"/>
  <c r="CA1800" i="1"/>
  <c r="CN1800" i="1"/>
  <c r="CO1800" i="1"/>
  <c r="CP1800" i="1"/>
  <c r="CQ1800" i="1"/>
  <c r="G1801" i="1"/>
  <c r="U1801" i="1"/>
  <c r="W1801" i="1"/>
  <c r="AE1801" i="1"/>
  <c r="AK1801" i="1"/>
  <c r="AQ1801" i="1"/>
  <c r="AU1801" i="1"/>
  <c r="AV1801" i="1"/>
  <c r="AW1801" i="1"/>
  <c r="AX1801" i="1"/>
  <c r="AY1801" i="1"/>
  <c r="AZ1801" i="1"/>
  <c r="BA1801" i="1"/>
  <c r="BC1801" i="1"/>
  <c r="BD1801" i="1"/>
  <c r="BE1801" i="1"/>
  <c r="BF1801" i="1"/>
  <c r="BG1801" i="1"/>
  <c r="BH1801" i="1"/>
  <c r="BI1801" i="1"/>
  <c r="BJ1801" i="1"/>
  <c r="BM1801" i="1"/>
  <c r="CA1801" i="1"/>
  <c r="CN1801" i="1"/>
  <c r="CO1801" i="1"/>
  <c r="CP1801" i="1"/>
  <c r="CQ1801" i="1"/>
  <c r="G1802" i="1"/>
  <c r="U1802" i="1"/>
  <c r="W1802" i="1"/>
  <c r="AE1802" i="1"/>
  <c r="AK1802" i="1"/>
  <c r="AQ1802" i="1"/>
  <c r="AU1802" i="1"/>
  <c r="AV1802" i="1"/>
  <c r="AW1802" i="1"/>
  <c r="AX1802" i="1"/>
  <c r="AY1802" i="1"/>
  <c r="AZ1802" i="1"/>
  <c r="BA1802" i="1"/>
  <c r="BC1802" i="1"/>
  <c r="BD1802" i="1"/>
  <c r="BE1802" i="1"/>
  <c r="BF1802" i="1"/>
  <c r="BG1802" i="1"/>
  <c r="BH1802" i="1"/>
  <c r="BI1802" i="1"/>
  <c r="BJ1802" i="1"/>
  <c r="BM1802" i="1"/>
  <c r="CA1802" i="1"/>
  <c r="CN1802" i="1"/>
  <c r="CO1802" i="1"/>
  <c r="CP1802" i="1"/>
  <c r="CQ1802" i="1"/>
  <c r="G688" i="1"/>
  <c r="U688" i="1"/>
  <c r="W688" i="1"/>
  <c r="AE688" i="1"/>
  <c r="AK688" i="1"/>
  <c r="AQ688" i="1"/>
  <c r="AU688" i="1"/>
  <c r="AV688" i="1"/>
  <c r="AW688" i="1"/>
  <c r="AX688" i="1"/>
  <c r="AY688" i="1"/>
  <c r="AZ688" i="1"/>
  <c r="BA688" i="1"/>
  <c r="BC688" i="1"/>
  <c r="BD688" i="1"/>
  <c r="BE688" i="1"/>
  <c r="BF688" i="1"/>
  <c r="BG688" i="1"/>
  <c r="BH688" i="1"/>
  <c r="BI688" i="1"/>
  <c r="BJ688" i="1"/>
  <c r="BM688" i="1"/>
  <c r="CA688" i="1"/>
  <c r="CN688" i="1"/>
  <c r="CO688" i="1"/>
  <c r="CP688" i="1"/>
  <c r="CQ688" i="1"/>
  <c r="G689" i="1"/>
  <c r="U689" i="1"/>
  <c r="W689" i="1"/>
  <c r="AE689" i="1"/>
  <c r="AK689" i="1"/>
  <c r="AQ689" i="1"/>
  <c r="AU689" i="1"/>
  <c r="AV689" i="1"/>
  <c r="AW689" i="1"/>
  <c r="AX689" i="1"/>
  <c r="AY689" i="1"/>
  <c r="AZ689" i="1"/>
  <c r="BA689" i="1"/>
  <c r="BC689" i="1"/>
  <c r="BD689" i="1"/>
  <c r="BE689" i="1"/>
  <c r="BF689" i="1"/>
  <c r="BG689" i="1"/>
  <c r="BH689" i="1"/>
  <c r="BI689" i="1"/>
  <c r="BJ689" i="1"/>
  <c r="BM689" i="1"/>
  <c r="CA689" i="1"/>
  <c r="CN689" i="1"/>
  <c r="CO689" i="1"/>
  <c r="CP689" i="1"/>
  <c r="CQ689" i="1"/>
  <c r="G1559" i="1"/>
  <c r="U1559" i="1"/>
  <c r="W1559" i="1"/>
  <c r="AE1559" i="1"/>
  <c r="AK1559" i="1"/>
  <c r="AQ1559" i="1"/>
  <c r="AU1559" i="1"/>
  <c r="AV1559" i="1"/>
  <c r="AW1559" i="1"/>
  <c r="AX1559" i="1"/>
  <c r="AY1559" i="1"/>
  <c r="AZ1559" i="1"/>
  <c r="BA1559" i="1"/>
  <c r="BC1559" i="1"/>
  <c r="BD1559" i="1"/>
  <c r="BE1559" i="1"/>
  <c r="BF1559" i="1"/>
  <c r="BG1559" i="1"/>
  <c r="BH1559" i="1"/>
  <c r="BI1559" i="1"/>
  <c r="BJ1559" i="1"/>
  <c r="BM1559" i="1"/>
  <c r="CA1559" i="1"/>
  <c r="CN1559" i="1"/>
  <c r="CO1559" i="1"/>
  <c r="CP1559" i="1"/>
  <c r="CQ1559" i="1"/>
  <c r="G690" i="1"/>
  <c r="U690" i="1"/>
  <c r="W690" i="1"/>
  <c r="AE690" i="1"/>
  <c r="AK690" i="1"/>
  <c r="AQ690" i="1"/>
  <c r="AU690" i="1"/>
  <c r="AV690" i="1"/>
  <c r="AW690" i="1"/>
  <c r="AX690" i="1"/>
  <c r="AY690" i="1"/>
  <c r="AZ690" i="1"/>
  <c r="BA690" i="1"/>
  <c r="BC690" i="1"/>
  <c r="BD690" i="1"/>
  <c r="BE690" i="1"/>
  <c r="BF690" i="1"/>
  <c r="BG690" i="1"/>
  <c r="BH690" i="1"/>
  <c r="BI690" i="1"/>
  <c r="BJ690" i="1"/>
  <c r="BM690" i="1"/>
  <c r="CA690" i="1"/>
  <c r="CN690" i="1"/>
  <c r="CO690" i="1"/>
  <c r="CP690" i="1"/>
  <c r="CQ690" i="1"/>
  <c r="G691" i="1"/>
  <c r="U691" i="1"/>
  <c r="W691" i="1"/>
  <c r="AE691" i="1"/>
  <c r="AK691" i="1"/>
  <c r="AQ691" i="1"/>
  <c r="AU691" i="1"/>
  <c r="AV691" i="1"/>
  <c r="AW691" i="1"/>
  <c r="AX691" i="1"/>
  <c r="AY691" i="1"/>
  <c r="AZ691" i="1"/>
  <c r="BA691" i="1"/>
  <c r="BC691" i="1"/>
  <c r="BD691" i="1"/>
  <c r="BE691" i="1"/>
  <c r="BF691" i="1"/>
  <c r="BG691" i="1"/>
  <c r="BH691" i="1"/>
  <c r="BI691" i="1"/>
  <c r="BJ691" i="1"/>
  <c r="BM691" i="1"/>
  <c r="CA691" i="1"/>
  <c r="CN691" i="1"/>
  <c r="CO691" i="1"/>
  <c r="CP691" i="1"/>
  <c r="CQ691" i="1"/>
  <c r="G1803" i="1"/>
  <c r="U1803" i="1"/>
  <c r="W1803" i="1"/>
  <c r="AE1803" i="1"/>
  <c r="AK1803" i="1"/>
  <c r="AQ1803" i="1"/>
  <c r="AU1803" i="1"/>
  <c r="AV1803" i="1"/>
  <c r="AW1803" i="1"/>
  <c r="AX1803" i="1"/>
  <c r="AY1803" i="1"/>
  <c r="AZ1803" i="1"/>
  <c r="BA1803" i="1"/>
  <c r="BC1803" i="1"/>
  <c r="BD1803" i="1"/>
  <c r="BE1803" i="1"/>
  <c r="BF1803" i="1"/>
  <c r="BG1803" i="1"/>
  <c r="BH1803" i="1"/>
  <c r="BI1803" i="1"/>
  <c r="BJ1803" i="1"/>
  <c r="BM1803" i="1"/>
  <c r="CA1803" i="1"/>
  <c r="CN1803" i="1"/>
  <c r="CO1803" i="1"/>
  <c r="CP1803" i="1"/>
  <c r="CQ1803" i="1"/>
  <c r="G1352" i="1"/>
  <c r="U1352" i="1"/>
  <c r="W1352" i="1"/>
  <c r="AE1352" i="1"/>
  <c r="AK1352" i="1"/>
  <c r="AQ1352" i="1"/>
  <c r="AU1352" i="1"/>
  <c r="AV1352" i="1"/>
  <c r="AW1352" i="1"/>
  <c r="AX1352" i="1"/>
  <c r="AY1352" i="1"/>
  <c r="AZ1352" i="1"/>
  <c r="BA1352" i="1"/>
  <c r="BC1352" i="1"/>
  <c r="BD1352" i="1"/>
  <c r="BE1352" i="1"/>
  <c r="BF1352" i="1"/>
  <c r="BG1352" i="1"/>
  <c r="BH1352" i="1"/>
  <c r="BI1352" i="1"/>
  <c r="BJ1352" i="1"/>
  <c r="BM1352" i="1"/>
  <c r="CA1352" i="1"/>
  <c r="CN1352" i="1"/>
  <c r="CO1352" i="1"/>
  <c r="CP1352" i="1"/>
  <c r="CQ1352" i="1"/>
  <c r="G692" i="1"/>
  <c r="U692" i="1"/>
  <c r="W692" i="1"/>
  <c r="AE692" i="1"/>
  <c r="AK692" i="1"/>
  <c r="AQ692" i="1"/>
  <c r="AU692" i="1"/>
  <c r="AV692" i="1"/>
  <c r="AW692" i="1"/>
  <c r="AX692" i="1"/>
  <c r="AY692" i="1"/>
  <c r="AZ692" i="1"/>
  <c r="BA692" i="1"/>
  <c r="BC692" i="1"/>
  <c r="BD692" i="1"/>
  <c r="BE692" i="1"/>
  <c r="BF692" i="1"/>
  <c r="BG692" i="1"/>
  <c r="BH692" i="1"/>
  <c r="BI692" i="1"/>
  <c r="BJ692" i="1"/>
  <c r="BM692" i="1"/>
  <c r="CA692" i="1"/>
  <c r="CN692" i="1"/>
  <c r="CO692" i="1"/>
  <c r="CP692" i="1"/>
  <c r="CQ692" i="1"/>
  <c r="G1560" i="1"/>
  <c r="U1560" i="1"/>
  <c r="W1560" i="1"/>
  <c r="AE1560" i="1"/>
  <c r="AK1560" i="1"/>
  <c r="AQ1560" i="1"/>
  <c r="AU1560" i="1"/>
  <c r="AV1560" i="1"/>
  <c r="AW1560" i="1"/>
  <c r="AX1560" i="1"/>
  <c r="AY1560" i="1"/>
  <c r="AZ1560" i="1"/>
  <c r="BA1560" i="1"/>
  <c r="BC1560" i="1"/>
  <c r="BD1560" i="1"/>
  <c r="BE1560" i="1"/>
  <c r="BF1560" i="1"/>
  <c r="BG1560" i="1"/>
  <c r="BH1560" i="1"/>
  <c r="BI1560" i="1"/>
  <c r="BJ1560" i="1"/>
  <c r="BM1560" i="1"/>
  <c r="CA1560" i="1"/>
  <c r="CN1560" i="1"/>
  <c r="CO1560" i="1"/>
  <c r="CP1560" i="1"/>
  <c r="CQ1560" i="1"/>
  <c r="G693" i="1"/>
  <c r="U693" i="1"/>
  <c r="W693" i="1"/>
  <c r="AE693" i="1"/>
  <c r="AK693" i="1"/>
  <c r="AQ693" i="1"/>
  <c r="AU693" i="1"/>
  <c r="AV693" i="1"/>
  <c r="AW693" i="1"/>
  <c r="AX693" i="1"/>
  <c r="AY693" i="1"/>
  <c r="AZ693" i="1"/>
  <c r="BA693" i="1"/>
  <c r="BC693" i="1"/>
  <c r="BD693" i="1"/>
  <c r="BE693" i="1"/>
  <c r="BF693" i="1"/>
  <c r="BG693" i="1"/>
  <c r="BH693" i="1"/>
  <c r="BI693" i="1"/>
  <c r="BJ693" i="1"/>
  <c r="BM693" i="1"/>
  <c r="CA693" i="1"/>
  <c r="CN693" i="1"/>
  <c r="CO693" i="1"/>
  <c r="CP693" i="1"/>
  <c r="CQ693" i="1"/>
  <c r="G82" i="1"/>
  <c r="U82" i="1"/>
  <c r="W82" i="1"/>
  <c r="AE82" i="1"/>
  <c r="AK82" i="1"/>
  <c r="AQ82" i="1"/>
  <c r="AU82" i="1"/>
  <c r="AV82" i="1"/>
  <c r="AW82" i="1"/>
  <c r="AX82" i="1"/>
  <c r="AY82" i="1"/>
  <c r="AZ82" i="1"/>
  <c r="BA82" i="1"/>
  <c r="BC82" i="1"/>
  <c r="BD82" i="1"/>
  <c r="BE82" i="1"/>
  <c r="BF82" i="1"/>
  <c r="BG82" i="1"/>
  <c r="BH82" i="1"/>
  <c r="BI82" i="1"/>
  <c r="BJ82" i="1"/>
  <c r="BM82" i="1"/>
  <c r="CA82" i="1"/>
  <c r="CN82" i="1"/>
  <c r="CO82" i="1"/>
  <c r="CP82" i="1"/>
  <c r="CQ82" i="1"/>
  <c r="G381" i="1"/>
  <c r="U381" i="1"/>
  <c r="W381" i="1"/>
  <c r="AE381" i="1"/>
  <c r="AK381" i="1"/>
  <c r="AQ381" i="1"/>
  <c r="AU381" i="1"/>
  <c r="AV381" i="1"/>
  <c r="AW381" i="1"/>
  <c r="AX381" i="1"/>
  <c r="AY381" i="1"/>
  <c r="AZ381" i="1"/>
  <c r="BA381" i="1"/>
  <c r="BC381" i="1"/>
  <c r="BD381" i="1"/>
  <c r="BE381" i="1"/>
  <c r="BF381" i="1"/>
  <c r="BG381" i="1"/>
  <c r="BH381" i="1"/>
  <c r="BI381" i="1"/>
  <c r="BJ381" i="1"/>
  <c r="BM381" i="1"/>
  <c r="CA381" i="1"/>
  <c r="CN381" i="1"/>
  <c r="CO381" i="1"/>
  <c r="CP381" i="1"/>
  <c r="CQ381" i="1"/>
  <c r="G1804" i="1"/>
  <c r="U1804" i="1"/>
  <c r="W1804" i="1"/>
  <c r="AE1804" i="1"/>
  <c r="AK1804" i="1"/>
  <c r="AQ1804" i="1"/>
  <c r="AU1804" i="1"/>
  <c r="AV1804" i="1"/>
  <c r="AW1804" i="1"/>
  <c r="AX1804" i="1"/>
  <c r="AY1804" i="1"/>
  <c r="AZ1804" i="1"/>
  <c r="BA1804" i="1"/>
  <c r="BC1804" i="1"/>
  <c r="BD1804" i="1"/>
  <c r="BE1804" i="1"/>
  <c r="BF1804" i="1"/>
  <c r="BG1804" i="1"/>
  <c r="BH1804" i="1"/>
  <c r="BI1804" i="1"/>
  <c r="BJ1804" i="1"/>
  <c r="BM1804" i="1"/>
  <c r="CA1804" i="1"/>
  <c r="CN1804" i="1"/>
  <c r="CO1804" i="1"/>
  <c r="CP1804" i="1"/>
  <c r="CQ1804" i="1"/>
  <c r="G83" i="1"/>
  <c r="U83" i="1"/>
  <c r="W83" i="1"/>
  <c r="AE83" i="1"/>
  <c r="AK83" i="1"/>
  <c r="AQ83" i="1"/>
  <c r="AU83" i="1"/>
  <c r="AV83" i="1"/>
  <c r="AW83" i="1"/>
  <c r="AX83" i="1"/>
  <c r="AY83" i="1"/>
  <c r="AZ83" i="1"/>
  <c r="BA83" i="1"/>
  <c r="BC83" i="1"/>
  <c r="BD83" i="1"/>
  <c r="BE83" i="1"/>
  <c r="BF83" i="1"/>
  <c r="BG83" i="1"/>
  <c r="BH83" i="1"/>
  <c r="BI83" i="1"/>
  <c r="BJ83" i="1"/>
  <c r="BM83" i="1"/>
  <c r="CA83" i="1"/>
  <c r="CN83" i="1"/>
  <c r="CO83" i="1"/>
  <c r="CP83" i="1"/>
  <c r="CQ83" i="1"/>
  <c r="G1353" i="1"/>
  <c r="U1353" i="1"/>
  <c r="W1353" i="1"/>
  <c r="AE1353" i="1"/>
  <c r="AK1353" i="1"/>
  <c r="AQ1353" i="1"/>
  <c r="AU1353" i="1"/>
  <c r="AV1353" i="1"/>
  <c r="AW1353" i="1"/>
  <c r="AX1353" i="1"/>
  <c r="AY1353" i="1"/>
  <c r="AZ1353" i="1"/>
  <c r="BA1353" i="1"/>
  <c r="BC1353" i="1"/>
  <c r="BD1353" i="1"/>
  <c r="BE1353" i="1"/>
  <c r="BF1353" i="1"/>
  <c r="BG1353" i="1"/>
  <c r="BH1353" i="1"/>
  <c r="BI1353" i="1"/>
  <c r="BJ1353" i="1"/>
  <c r="BM1353" i="1"/>
  <c r="CA1353" i="1"/>
  <c r="CN1353" i="1"/>
  <c r="CO1353" i="1"/>
  <c r="CP1353" i="1"/>
  <c r="CQ1353" i="1"/>
  <c r="G1805" i="1"/>
  <c r="U1805" i="1"/>
  <c r="W1805" i="1"/>
  <c r="AE1805" i="1"/>
  <c r="AK1805" i="1"/>
  <c r="AQ1805" i="1"/>
  <c r="AU1805" i="1"/>
  <c r="AV1805" i="1"/>
  <c r="AW1805" i="1"/>
  <c r="AX1805" i="1"/>
  <c r="AY1805" i="1"/>
  <c r="AZ1805" i="1"/>
  <c r="BA1805" i="1"/>
  <c r="BC1805" i="1"/>
  <c r="BD1805" i="1"/>
  <c r="BE1805" i="1"/>
  <c r="BF1805" i="1"/>
  <c r="BG1805" i="1"/>
  <c r="BH1805" i="1"/>
  <c r="BI1805" i="1"/>
  <c r="BJ1805" i="1"/>
  <c r="BM1805" i="1"/>
  <c r="CA1805" i="1"/>
  <c r="CN1805" i="1"/>
  <c r="CO1805" i="1"/>
  <c r="CP1805" i="1"/>
  <c r="CQ1805" i="1"/>
  <c r="G694" i="1"/>
  <c r="U694" i="1"/>
  <c r="W694" i="1"/>
  <c r="AE694" i="1"/>
  <c r="AK694" i="1"/>
  <c r="AQ694" i="1"/>
  <c r="AU694" i="1"/>
  <c r="AV694" i="1"/>
  <c r="AW694" i="1"/>
  <c r="AX694" i="1"/>
  <c r="AY694" i="1"/>
  <c r="AZ694" i="1"/>
  <c r="BA694" i="1"/>
  <c r="BC694" i="1"/>
  <c r="BD694" i="1"/>
  <c r="BE694" i="1"/>
  <c r="BF694" i="1"/>
  <c r="BG694" i="1"/>
  <c r="BH694" i="1"/>
  <c r="BI694" i="1"/>
  <c r="BJ694" i="1"/>
  <c r="BM694" i="1"/>
  <c r="CA694" i="1"/>
  <c r="CN694" i="1"/>
  <c r="CO694" i="1"/>
  <c r="CP694" i="1"/>
  <c r="CQ694" i="1"/>
  <c r="G1806" i="1"/>
  <c r="U1806" i="1"/>
  <c r="W1806" i="1"/>
  <c r="AE1806" i="1"/>
  <c r="AK1806" i="1"/>
  <c r="AQ1806" i="1"/>
  <c r="AU1806" i="1"/>
  <c r="AV1806" i="1"/>
  <c r="AW1806" i="1"/>
  <c r="AX1806" i="1"/>
  <c r="AY1806" i="1"/>
  <c r="AZ1806" i="1"/>
  <c r="BA1806" i="1"/>
  <c r="BC1806" i="1"/>
  <c r="BD1806" i="1"/>
  <c r="BE1806" i="1"/>
  <c r="BF1806" i="1"/>
  <c r="BG1806" i="1"/>
  <c r="BH1806" i="1"/>
  <c r="BI1806" i="1"/>
  <c r="BJ1806" i="1"/>
  <c r="BM1806" i="1"/>
  <c r="CA1806" i="1"/>
  <c r="CN1806" i="1"/>
  <c r="CO1806" i="1"/>
  <c r="CP1806" i="1"/>
  <c r="CQ1806" i="1"/>
  <c r="G695" i="1"/>
  <c r="U695" i="1"/>
  <c r="W695" i="1"/>
  <c r="AE695" i="1"/>
  <c r="AK695" i="1"/>
  <c r="AQ695" i="1"/>
  <c r="AU695" i="1"/>
  <c r="AV695" i="1"/>
  <c r="AW695" i="1"/>
  <c r="AX695" i="1"/>
  <c r="AY695" i="1"/>
  <c r="AZ695" i="1"/>
  <c r="BA695" i="1"/>
  <c r="BC695" i="1"/>
  <c r="BD695" i="1"/>
  <c r="BE695" i="1"/>
  <c r="BF695" i="1"/>
  <c r="BG695" i="1"/>
  <c r="BH695" i="1"/>
  <c r="BI695" i="1"/>
  <c r="BJ695" i="1"/>
  <c r="BM695" i="1"/>
  <c r="CA695" i="1"/>
  <c r="CN695" i="1"/>
  <c r="CO695" i="1"/>
  <c r="CP695" i="1"/>
  <c r="CQ695" i="1"/>
  <c r="G1807" i="1"/>
  <c r="U1807" i="1"/>
  <c r="W1807" i="1"/>
  <c r="AE1807" i="1"/>
  <c r="AK1807" i="1"/>
  <c r="AQ1807" i="1"/>
  <c r="AU1807" i="1"/>
  <c r="AV1807" i="1"/>
  <c r="AW1807" i="1"/>
  <c r="AX1807" i="1"/>
  <c r="AY1807" i="1"/>
  <c r="AZ1807" i="1"/>
  <c r="BA1807" i="1"/>
  <c r="BC1807" i="1"/>
  <c r="BD1807" i="1"/>
  <c r="BE1807" i="1"/>
  <c r="BF1807" i="1"/>
  <c r="BG1807" i="1"/>
  <c r="BH1807" i="1"/>
  <c r="BI1807" i="1"/>
  <c r="BJ1807" i="1"/>
  <c r="BM1807" i="1"/>
  <c r="CA1807" i="1"/>
  <c r="CN1807" i="1"/>
  <c r="CO1807" i="1"/>
  <c r="CP1807" i="1"/>
  <c r="CQ1807" i="1"/>
  <c r="G696" i="1"/>
  <c r="U696" i="1"/>
  <c r="W696" i="1"/>
  <c r="AE696" i="1"/>
  <c r="AK696" i="1"/>
  <c r="AQ696" i="1"/>
  <c r="AU696" i="1"/>
  <c r="AV696" i="1"/>
  <c r="AW696" i="1"/>
  <c r="AX696" i="1"/>
  <c r="AY696" i="1"/>
  <c r="AZ696" i="1"/>
  <c r="BA696" i="1"/>
  <c r="BC696" i="1"/>
  <c r="BD696" i="1"/>
  <c r="BE696" i="1"/>
  <c r="BF696" i="1"/>
  <c r="BG696" i="1"/>
  <c r="BH696" i="1"/>
  <c r="BI696" i="1"/>
  <c r="BJ696" i="1"/>
  <c r="BM696" i="1"/>
  <c r="CA696" i="1"/>
  <c r="CN696" i="1"/>
  <c r="CO696" i="1"/>
  <c r="CP696" i="1"/>
  <c r="CQ696" i="1"/>
  <c r="G1808" i="1"/>
  <c r="U1808" i="1"/>
  <c r="W1808" i="1"/>
  <c r="AE1808" i="1"/>
  <c r="AK1808" i="1"/>
  <c r="AQ1808" i="1"/>
  <c r="AU1808" i="1"/>
  <c r="AV1808" i="1"/>
  <c r="AW1808" i="1"/>
  <c r="AX1808" i="1"/>
  <c r="AY1808" i="1"/>
  <c r="AZ1808" i="1"/>
  <c r="BA1808" i="1"/>
  <c r="BC1808" i="1"/>
  <c r="BD1808" i="1"/>
  <c r="BE1808" i="1"/>
  <c r="BF1808" i="1"/>
  <c r="BG1808" i="1"/>
  <c r="BH1808" i="1"/>
  <c r="BI1808" i="1"/>
  <c r="BJ1808" i="1"/>
  <c r="BM1808" i="1"/>
  <c r="CA1808" i="1"/>
  <c r="CN1808" i="1"/>
  <c r="CO1808" i="1"/>
  <c r="CP1808" i="1"/>
  <c r="CQ1808" i="1"/>
  <c r="G1809" i="1"/>
  <c r="U1809" i="1"/>
  <c r="W1809" i="1"/>
  <c r="AE1809" i="1"/>
  <c r="AK1809" i="1"/>
  <c r="AQ1809" i="1"/>
  <c r="AU1809" i="1"/>
  <c r="AV1809" i="1"/>
  <c r="AW1809" i="1"/>
  <c r="AX1809" i="1"/>
  <c r="AY1809" i="1"/>
  <c r="AZ1809" i="1"/>
  <c r="BA1809" i="1"/>
  <c r="BC1809" i="1"/>
  <c r="BD1809" i="1"/>
  <c r="BE1809" i="1"/>
  <c r="BF1809" i="1"/>
  <c r="BG1809" i="1"/>
  <c r="BH1809" i="1"/>
  <c r="BI1809" i="1"/>
  <c r="BJ1809" i="1"/>
  <c r="BM1809" i="1"/>
  <c r="CA1809" i="1"/>
  <c r="CN1809" i="1"/>
  <c r="CO1809" i="1"/>
  <c r="CP1809" i="1"/>
  <c r="CQ1809" i="1"/>
  <c r="G697" i="1"/>
  <c r="U697" i="1"/>
  <c r="W697" i="1"/>
  <c r="AE697" i="1"/>
  <c r="AK697" i="1"/>
  <c r="AQ697" i="1"/>
  <c r="AU697" i="1"/>
  <c r="AV697" i="1"/>
  <c r="AW697" i="1"/>
  <c r="AX697" i="1"/>
  <c r="AY697" i="1"/>
  <c r="AZ697" i="1"/>
  <c r="BA697" i="1"/>
  <c r="BC697" i="1"/>
  <c r="BD697" i="1"/>
  <c r="BE697" i="1"/>
  <c r="BF697" i="1"/>
  <c r="BG697" i="1"/>
  <c r="BH697" i="1"/>
  <c r="BI697" i="1"/>
  <c r="BJ697" i="1"/>
  <c r="BM697" i="1"/>
  <c r="CA697" i="1"/>
  <c r="CN697" i="1"/>
  <c r="CO697" i="1"/>
  <c r="CP697" i="1"/>
  <c r="CQ697" i="1"/>
  <c r="G84" i="1"/>
  <c r="U84" i="1"/>
  <c r="W84" i="1"/>
  <c r="AE84" i="1"/>
  <c r="AK84" i="1"/>
  <c r="AQ84" i="1"/>
  <c r="AU84" i="1"/>
  <c r="AV84" i="1"/>
  <c r="AW84" i="1"/>
  <c r="AX84" i="1"/>
  <c r="AY84" i="1"/>
  <c r="AZ84" i="1"/>
  <c r="BA84" i="1"/>
  <c r="BC84" i="1"/>
  <c r="BD84" i="1"/>
  <c r="BE84" i="1"/>
  <c r="BF84" i="1"/>
  <c r="BG84" i="1"/>
  <c r="BH84" i="1"/>
  <c r="BI84" i="1"/>
  <c r="BJ84" i="1"/>
  <c r="BM84" i="1"/>
  <c r="CA84" i="1"/>
  <c r="CN84" i="1"/>
  <c r="CO84" i="1"/>
  <c r="CP84" i="1"/>
  <c r="CQ84" i="1"/>
  <c r="G85" i="1"/>
  <c r="U85" i="1"/>
  <c r="W85" i="1"/>
  <c r="AE85" i="1"/>
  <c r="AK85" i="1"/>
  <c r="AQ85" i="1"/>
  <c r="AU85" i="1"/>
  <c r="AV85" i="1"/>
  <c r="AW85" i="1"/>
  <c r="AX85" i="1"/>
  <c r="AY85" i="1"/>
  <c r="AZ85" i="1"/>
  <c r="BA85" i="1"/>
  <c r="BC85" i="1"/>
  <c r="BD85" i="1"/>
  <c r="BE85" i="1"/>
  <c r="BF85" i="1"/>
  <c r="BG85" i="1"/>
  <c r="BH85" i="1"/>
  <c r="BI85" i="1"/>
  <c r="BJ85" i="1"/>
  <c r="BM85" i="1"/>
  <c r="CA85" i="1"/>
  <c r="CN85" i="1"/>
  <c r="CO85" i="1"/>
  <c r="CP85" i="1"/>
  <c r="CQ85" i="1"/>
  <c r="G698" i="1"/>
  <c r="U698" i="1"/>
  <c r="W698" i="1"/>
  <c r="AE698" i="1"/>
  <c r="AK698" i="1"/>
  <c r="AQ698" i="1"/>
  <c r="AU698" i="1"/>
  <c r="AV698" i="1"/>
  <c r="AW698" i="1"/>
  <c r="AX698" i="1"/>
  <c r="AY698" i="1"/>
  <c r="AZ698" i="1"/>
  <c r="BA698" i="1"/>
  <c r="BC698" i="1"/>
  <c r="BD698" i="1"/>
  <c r="BE698" i="1"/>
  <c r="BF698" i="1"/>
  <c r="BG698" i="1"/>
  <c r="BH698" i="1"/>
  <c r="BI698" i="1"/>
  <c r="BJ698" i="1"/>
  <c r="BM698" i="1"/>
  <c r="CA698" i="1"/>
  <c r="CN698" i="1"/>
  <c r="CO698" i="1"/>
  <c r="CP698" i="1"/>
  <c r="CQ698" i="1"/>
  <c r="G1810" i="1"/>
  <c r="U1810" i="1"/>
  <c r="W1810" i="1"/>
  <c r="AE1810" i="1"/>
  <c r="AK1810" i="1"/>
  <c r="AQ1810" i="1"/>
  <c r="AU1810" i="1"/>
  <c r="AV1810" i="1"/>
  <c r="AW1810" i="1"/>
  <c r="AX1810" i="1"/>
  <c r="AY1810" i="1"/>
  <c r="AZ1810" i="1"/>
  <c r="BA1810" i="1"/>
  <c r="BC1810" i="1"/>
  <c r="BD1810" i="1"/>
  <c r="BE1810" i="1"/>
  <c r="BF1810" i="1"/>
  <c r="BG1810" i="1"/>
  <c r="BH1810" i="1"/>
  <c r="BI1810" i="1"/>
  <c r="BJ1810" i="1"/>
  <c r="BM1810" i="1"/>
  <c r="CA1810" i="1"/>
  <c r="CN1810" i="1"/>
  <c r="CO1810" i="1"/>
  <c r="CP1810" i="1"/>
  <c r="CQ1810" i="1"/>
  <c r="G699" i="1"/>
  <c r="U699" i="1"/>
  <c r="W699" i="1"/>
  <c r="AE699" i="1"/>
  <c r="AK699" i="1"/>
  <c r="AQ699" i="1"/>
  <c r="AU699" i="1"/>
  <c r="AV699" i="1"/>
  <c r="AW699" i="1"/>
  <c r="AX699" i="1"/>
  <c r="AY699" i="1"/>
  <c r="AZ699" i="1"/>
  <c r="BA699" i="1"/>
  <c r="BC699" i="1"/>
  <c r="BD699" i="1"/>
  <c r="BE699" i="1"/>
  <c r="BF699" i="1"/>
  <c r="BG699" i="1"/>
  <c r="BH699" i="1"/>
  <c r="BI699" i="1"/>
  <c r="BJ699" i="1"/>
  <c r="BM699" i="1"/>
  <c r="CA699" i="1"/>
  <c r="CN699" i="1"/>
  <c r="CO699" i="1"/>
  <c r="CP699" i="1"/>
  <c r="CQ699" i="1"/>
  <c r="G382" i="1"/>
  <c r="U382" i="1"/>
  <c r="W382" i="1"/>
  <c r="AE382" i="1"/>
  <c r="AK382" i="1"/>
  <c r="AQ382" i="1"/>
  <c r="AU382" i="1"/>
  <c r="AV382" i="1"/>
  <c r="AW382" i="1"/>
  <c r="AX382" i="1"/>
  <c r="AY382" i="1"/>
  <c r="AZ382" i="1"/>
  <c r="BA382" i="1"/>
  <c r="BC382" i="1"/>
  <c r="BD382" i="1"/>
  <c r="BE382" i="1"/>
  <c r="BF382" i="1"/>
  <c r="BG382" i="1"/>
  <c r="BH382" i="1"/>
  <c r="BI382" i="1"/>
  <c r="BJ382" i="1"/>
  <c r="BM382" i="1"/>
  <c r="CA382" i="1"/>
  <c r="CN382" i="1"/>
  <c r="CO382" i="1"/>
  <c r="CP382" i="1"/>
  <c r="CQ382" i="1"/>
  <c r="G1811" i="1"/>
  <c r="U1811" i="1"/>
  <c r="W1811" i="1"/>
  <c r="AE1811" i="1"/>
  <c r="AK1811" i="1"/>
  <c r="AQ1811" i="1"/>
  <c r="AU1811" i="1"/>
  <c r="AV1811" i="1"/>
  <c r="AW1811" i="1"/>
  <c r="AX1811" i="1"/>
  <c r="AY1811" i="1"/>
  <c r="AZ1811" i="1"/>
  <c r="BA1811" i="1"/>
  <c r="BC1811" i="1"/>
  <c r="BD1811" i="1"/>
  <c r="BE1811" i="1"/>
  <c r="BF1811" i="1"/>
  <c r="BG1811" i="1"/>
  <c r="BH1811" i="1"/>
  <c r="BI1811" i="1"/>
  <c r="BJ1811" i="1"/>
  <c r="BM1811" i="1"/>
  <c r="CA1811" i="1"/>
  <c r="CN1811" i="1"/>
  <c r="CO1811" i="1"/>
  <c r="CP1811" i="1"/>
  <c r="CQ1811" i="1"/>
  <c r="G700" i="1"/>
  <c r="U700" i="1"/>
  <c r="W700" i="1"/>
  <c r="AE700" i="1"/>
  <c r="AK700" i="1"/>
  <c r="AQ700" i="1"/>
  <c r="AU700" i="1"/>
  <c r="AV700" i="1"/>
  <c r="AW700" i="1"/>
  <c r="AX700" i="1"/>
  <c r="AY700" i="1"/>
  <c r="AZ700" i="1"/>
  <c r="BA700" i="1"/>
  <c r="BC700" i="1"/>
  <c r="BD700" i="1"/>
  <c r="BE700" i="1"/>
  <c r="BF700" i="1"/>
  <c r="BG700" i="1"/>
  <c r="BH700" i="1"/>
  <c r="BI700" i="1"/>
  <c r="BJ700" i="1"/>
  <c r="BM700" i="1"/>
  <c r="CA700" i="1"/>
  <c r="CN700" i="1"/>
  <c r="CO700" i="1"/>
  <c r="CP700" i="1"/>
  <c r="CQ700" i="1"/>
  <c r="G1561" i="1"/>
  <c r="U1561" i="1"/>
  <c r="W1561" i="1"/>
  <c r="AE1561" i="1"/>
  <c r="AK1561" i="1"/>
  <c r="AQ1561" i="1"/>
  <c r="AU1561" i="1"/>
  <c r="AV1561" i="1"/>
  <c r="AW1561" i="1"/>
  <c r="AX1561" i="1"/>
  <c r="AY1561" i="1"/>
  <c r="AZ1561" i="1"/>
  <c r="BA1561" i="1"/>
  <c r="BC1561" i="1"/>
  <c r="BD1561" i="1"/>
  <c r="BE1561" i="1"/>
  <c r="BF1561" i="1"/>
  <c r="BG1561" i="1"/>
  <c r="BH1561" i="1"/>
  <c r="BI1561" i="1"/>
  <c r="BJ1561" i="1"/>
  <c r="BM1561" i="1"/>
  <c r="CA1561" i="1"/>
  <c r="CN1561" i="1"/>
  <c r="CO1561" i="1"/>
  <c r="CP1561" i="1"/>
  <c r="CQ1561" i="1"/>
  <c r="G701" i="1"/>
  <c r="U701" i="1"/>
  <c r="W701" i="1"/>
  <c r="AE701" i="1"/>
  <c r="AK701" i="1"/>
  <c r="AQ701" i="1"/>
  <c r="AU701" i="1"/>
  <c r="AV701" i="1"/>
  <c r="AW701" i="1"/>
  <c r="AX701" i="1"/>
  <c r="AY701" i="1"/>
  <c r="AZ701" i="1"/>
  <c r="BA701" i="1"/>
  <c r="BC701" i="1"/>
  <c r="BD701" i="1"/>
  <c r="BE701" i="1"/>
  <c r="BF701" i="1"/>
  <c r="BG701" i="1"/>
  <c r="BH701" i="1"/>
  <c r="BI701" i="1"/>
  <c r="BJ701" i="1"/>
  <c r="BM701" i="1"/>
  <c r="CA701" i="1"/>
  <c r="CN701" i="1"/>
  <c r="CO701" i="1"/>
  <c r="CP701" i="1"/>
  <c r="CQ701" i="1"/>
  <c r="G1812" i="1"/>
  <c r="U1812" i="1"/>
  <c r="W1812" i="1"/>
  <c r="AE1812" i="1"/>
  <c r="AK1812" i="1"/>
  <c r="AQ1812" i="1"/>
  <c r="AU1812" i="1"/>
  <c r="AV1812" i="1"/>
  <c r="AW1812" i="1"/>
  <c r="AX1812" i="1"/>
  <c r="AY1812" i="1"/>
  <c r="AZ1812" i="1"/>
  <c r="BA1812" i="1"/>
  <c r="BC1812" i="1"/>
  <c r="BD1812" i="1"/>
  <c r="BE1812" i="1"/>
  <c r="BF1812" i="1"/>
  <c r="BG1812" i="1"/>
  <c r="BH1812" i="1"/>
  <c r="BI1812" i="1"/>
  <c r="BJ1812" i="1"/>
  <c r="BM1812" i="1"/>
  <c r="CA1812" i="1"/>
  <c r="CN1812" i="1"/>
  <c r="CO1812" i="1"/>
  <c r="CP1812" i="1"/>
  <c r="CQ1812" i="1"/>
  <c r="G702" i="1"/>
  <c r="U702" i="1"/>
  <c r="W702" i="1"/>
  <c r="AE702" i="1"/>
  <c r="AK702" i="1"/>
  <c r="AQ702" i="1"/>
  <c r="AU702" i="1"/>
  <c r="AV702" i="1"/>
  <c r="AW702" i="1"/>
  <c r="AX702" i="1"/>
  <c r="AY702" i="1"/>
  <c r="AZ702" i="1"/>
  <c r="BA702" i="1"/>
  <c r="BC702" i="1"/>
  <c r="BD702" i="1"/>
  <c r="BE702" i="1"/>
  <c r="BF702" i="1"/>
  <c r="BG702" i="1"/>
  <c r="BH702" i="1"/>
  <c r="BI702" i="1"/>
  <c r="BJ702" i="1"/>
  <c r="BM702" i="1"/>
  <c r="CA702" i="1"/>
  <c r="CN702" i="1"/>
  <c r="CO702" i="1"/>
  <c r="CP702" i="1"/>
  <c r="CQ702" i="1"/>
  <c r="G1813" i="1"/>
  <c r="U1813" i="1"/>
  <c r="W1813" i="1"/>
  <c r="AE1813" i="1"/>
  <c r="AK1813" i="1"/>
  <c r="AQ1813" i="1"/>
  <c r="AU1813" i="1"/>
  <c r="AV1813" i="1"/>
  <c r="AW1813" i="1"/>
  <c r="AX1813" i="1"/>
  <c r="AY1813" i="1"/>
  <c r="AZ1813" i="1"/>
  <c r="BA1813" i="1"/>
  <c r="BC1813" i="1"/>
  <c r="BD1813" i="1"/>
  <c r="BE1813" i="1"/>
  <c r="BF1813" i="1"/>
  <c r="BG1813" i="1"/>
  <c r="BH1813" i="1"/>
  <c r="BI1813" i="1"/>
  <c r="BJ1813" i="1"/>
  <c r="BM1813" i="1"/>
  <c r="CA1813" i="1"/>
  <c r="CN1813" i="1"/>
  <c r="CO1813" i="1"/>
  <c r="CP1813" i="1"/>
  <c r="CQ1813" i="1"/>
  <c r="G703" i="1"/>
  <c r="U703" i="1"/>
  <c r="W703" i="1"/>
  <c r="AE703" i="1"/>
  <c r="AK703" i="1"/>
  <c r="AQ703" i="1"/>
  <c r="AU703" i="1"/>
  <c r="AV703" i="1"/>
  <c r="AW703" i="1"/>
  <c r="AX703" i="1"/>
  <c r="AY703" i="1"/>
  <c r="AZ703" i="1"/>
  <c r="BA703" i="1"/>
  <c r="BC703" i="1"/>
  <c r="BD703" i="1"/>
  <c r="BE703" i="1"/>
  <c r="BF703" i="1"/>
  <c r="BG703" i="1"/>
  <c r="BH703" i="1"/>
  <c r="BI703" i="1"/>
  <c r="BJ703" i="1"/>
  <c r="BM703" i="1"/>
  <c r="CA703" i="1"/>
  <c r="CN703" i="1"/>
  <c r="CO703" i="1"/>
  <c r="CP703" i="1"/>
  <c r="CQ703" i="1"/>
  <c r="G1354" i="1"/>
  <c r="U1354" i="1"/>
  <c r="W1354" i="1"/>
  <c r="AE1354" i="1"/>
  <c r="AK1354" i="1"/>
  <c r="AQ1354" i="1"/>
  <c r="AU1354" i="1"/>
  <c r="AV1354" i="1"/>
  <c r="AW1354" i="1"/>
  <c r="AX1354" i="1"/>
  <c r="AY1354" i="1"/>
  <c r="AZ1354" i="1"/>
  <c r="BA1354" i="1"/>
  <c r="BC1354" i="1"/>
  <c r="BD1354" i="1"/>
  <c r="BE1354" i="1"/>
  <c r="BF1354" i="1"/>
  <c r="BG1354" i="1"/>
  <c r="BH1354" i="1"/>
  <c r="BI1354" i="1"/>
  <c r="BJ1354" i="1"/>
  <c r="BM1354" i="1"/>
  <c r="CA1354" i="1"/>
  <c r="CN1354" i="1"/>
  <c r="CO1354" i="1"/>
  <c r="CP1354" i="1"/>
  <c r="CQ1354" i="1"/>
  <c r="G1814" i="1"/>
  <c r="U1814" i="1"/>
  <c r="W1814" i="1"/>
  <c r="AE1814" i="1"/>
  <c r="AK1814" i="1"/>
  <c r="AQ1814" i="1"/>
  <c r="AU1814" i="1"/>
  <c r="AV1814" i="1"/>
  <c r="AW1814" i="1"/>
  <c r="AX1814" i="1"/>
  <c r="AY1814" i="1"/>
  <c r="AZ1814" i="1"/>
  <c r="BA1814" i="1"/>
  <c r="BC1814" i="1"/>
  <c r="BD1814" i="1"/>
  <c r="BE1814" i="1"/>
  <c r="BF1814" i="1"/>
  <c r="BG1814" i="1"/>
  <c r="BH1814" i="1"/>
  <c r="BI1814" i="1"/>
  <c r="BJ1814" i="1"/>
  <c r="BM1814" i="1"/>
  <c r="CA1814" i="1"/>
  <c r="CN1814" i="1"/>
  <c r="CO1814" i="1"/>
  <c r="CP1814" i="1"/>
  <c r="CQ1814" i="1"/>
  <c r="G1815" i="1"/>
  <c r="U1815" i="1"/>
  <c r="W1815" i="1"/>
  <c r="AE1815" i="1"/>
  <c r="AK1815" i="1"/>
  <c r="AQ1815" i="1"/>
  <c r="AU1815" i="1"/>
  <c r="AV1815" i="1"/>
  <c r="AW1815" i="1"/>
  <c r="AX1815" i="1"/>
  <c r="AY1815" i="1"/>
  <c r="AZ1815" i="1"/>
  <c r="BA1815" i="1"/>
  <c r="BC1815" i="1"/>
  <c r="BD1815" i="1"/>
  <c r="BE1815" i="1"/>
  <c r="BF1815" i="1"/>
  <c r="BG1815" i="1"/>
  <c r="BH1815" i="1"/>
  <c r="BI1815" i="1"/>
  <c r="BJ1815" i="1"/>
  <c r="BM1815" i="1"/>
  <c r="CA1815" i="1"/>
  <c r="CN1815" i="1"/>
  <c r="CO1815" i="1"/>
  <c r="CP1815" i="1"/>
  <c r="CQ1815" i="1"/>
  <c r="G1355" i="1"/>
  <c r="U1355" i="1"/>
  <c r="W1355" i="1"/>
  <c r="AE1355" i="1"/>
  <c r="AK1355" i="1"/>
  <c r="AQ1355" i="1"/>
  <c r="AU1355" i="1"/>
  <c r="AV1355" i="1"/>
  <c r="AW1355" i="1"/>
  <c r="AX1355" i="1"/>
  <c r="AY1355" i="1"/>
  <c r="AZ1355" i="1"/>
  <c r="BA1355" i="1"/>
  <c r="BC1355" i="1"/>
  <c r="BD1355" i="1"/>
  <c r="BE1355" i="1"/>
  <c r="BF1355" i="1"/>
  <c r="BG1355" i="1"/>
  <c r="BH1355" i="1"/>
  <c r="BI1355" i="1"/>
  <c r="BJ1355" i="1"/>
  <c r="BM1355" i="1"/>
  <c r="CA1355" i="1"/>
  <c r="CN1355" i="1"/>
  <c r="CO1355" i="1"/>
  <c r="CP1355" i="1"/>
  <c r="CQ1355" i="1"/>
  <c r="G704" i="1"/>
  <c r="U704" i="1"/>
  <c r="W704" i="1"/>
  <c r="AE704" i="1"/>
  <c r="AK704" i="1"/>
  <c r="AQ704" i="1"/>
  <c r="AU704" i="1"/>
  <c r="AV704" i="1"/>
  <c r="AW704" i="1"/>
  <c r="AX704" i="1"/>
  <c r="AY704" i="1"/>
  <c r="AZ704" i="1"/>
  <c r="BA704" i="1"/>
  <c r="BC704" i="1"/>
  <c r="BD704" i="1"/>
  <c r="BE704" i="1"/>
  <c r="BF704" i="1"/>
  <c r="BG704" i="1"/>
  <c r="BH704" i="1"/>
  <c r="BI704" i="1"/>
  <c r="BJ704" i="1"/>
  <c r="BM704" i="1"/>
  <c r="CA704" i="1"/>
  <c r="CN704" i="1"/>
  <c r="CO704" i="1"/>
  <c r="CP704" i="1"/>
  <c r="CQ704" i="1"/>
  <c r="G1356" i="1"/>
  <c r="U1356" i="1"/>
  <c r="W1356" i="1"/>
  <c r="AE1356" i="1"/>
  <c r="AK1356" i="1"/>
  <c r="AQ1356" i="1"/>
  <c r="AU1356" i="1"/>
  <c r="AV1356" i="1"/>
  <c r="AW1356" i="1"/>
  <c r="AX1356" i="1"/>
  <c r="AY1356" i="1"/>
  <c r="AZ1356" i="1"/>
  <c r="BA1356" i="1"/>
  <c r="BC1356" i="1"/>
  <c r="BD1356" i="1"/>
  <c r="BE1356" i="1"/>
  <c r="BF1356" i="1"/>
  <c r="BG1356" i="1"/>
  <c r="BH1356" i="1"/>
  <c r="BI1356" i="1"/>
  <c r="BJ1356" i="1"/>
  <c r="BM1356" i="1"/>
  <c r="CA1356" i="1"/>
  <c r="CN1356" i="1"/>
  <c r="CO1356" i="1"/>
  <c r="CP1356" i="1"/>
  <c r="CQ1356" i="1"/>
  <c r="G705" i="1"/>
  <c r="U705" i="1"/>
  <c r="W705" i="1"/>
  <c r="AE705" i="1"/>
  <c r="AK705" i="1"/>
  <c r="AQ705" i="1"/>
  <c r="AU705" i="1"/>
  <c r="AV705" i="1"/>
  <c r="AW705" i="1"/>
  <c r="AX705" i="1"/>
  <c r="AY705" i="1"/>
  <c r="AZ705" i="1"/>
  <c r="BA705" i="1"/>
  <c r="BC705" i="1"/>
  <c r="BD705" i="1"/>
  <c r="BE705" i="1"/>
  <c r="BF705" i="1"/>
  <c r="BG705" i="1"/>
  <c r="BH705" i="1"/>
  <c r="BI705" i="1"/>
  <c r="BJ705" i="1"/>
  <c r="BM705" i="1"/>
  <c r="CA705" i="1"/>
  <c r="CN705" i="1"/>
  <c r="CO705" i="1"/>
  <c r="CP705" i="1"/>
  <c r="CQ705" i="1"/>
  <c r="G706" i="1"/>
  <c r="U706" i="1"/>
  <c r="W706" i="1"/>
  <c r="AE706" i="1"/>
  <c r="AK706" i="1"/>
  <c r="AQ706" i="1"/>
  <c r="AU706" i="1"/>
  <c r="AV706" i="1"/>
  <c r="AW706" i="1"/>
  <c r="AX706" i="1"/>
  <c r="AY706" i="1"/>
  <c r="AZ706" i="1"/>
  <c r="BA706" i="1"/>
  <c r="BC706" i="1"/>
  <c r="BD706" i="1"/>
  <c r="BE706" i="1"/>
  <c r="BF706" i="1"/>
  <c r="BG706" i="1"/>
  <c r="BH706" i="1"/>
  <c r="BI706" i="1"/>
  <c r="BJ706" i="1"/>
  <c r="BM706" i="1"/>
  <c r="CA706" i="1"/>
  <c r="CN706" i="1"/>
  <c r="CO706" i="1"/>
  <c r="CP706" i="1"/>
  <c r="CQ706" i="1"/>
  <c r="G86" i="1"/>
  <c r="U86" i="1"/>
  <c r="W86" i="1"/>
  <c r="AE86" i="1"/>
  <c r="AK86" i="1"/>
  <c r="AQ86" i="1"/>
  <c r="AU86" i="1"/>
  <c r="AV86" i="1"/>
  <c r="AW86" i="1"/>
  <c r="AX86" i="1"/>
  <c r="AY86" i="1"/>
  <c r="AZ86" i="1"/>
  <c r="BA86" i="1"/>
  <c r="BC86" i="1"/>
  <c r="BD86" i="1"/>
  <c r="BE86" i="1"/>
  <c r="BF86" i="1"/>
  <c r="BG86" i="1"/>
  <c r="BH86" i="1"/>
  <c r="BI86" i="1"/>
  <c r="BJ86" i="1"/>
  <c r="BM86" i="1"/>
  <c r="CA86" i="1"/>
  <c r="CN86" i="1"/>
  <c r="CO86" i="1"/>
  <c r="CP86" i="1"/>
  <c r="CQ86" i="1"/>
  <c r="G1816" i="1"/>
  <c r="U1816" i="1"/>
  <c r="W1816" i="1"/>
  <c r="AE1816" i="1"/>
  <c r="AK1816" i="1"/>
  <c r="AQ1816" i="1"/>
  <c r="AU1816" i="1"/>
  <c r="AV1816" i="1"/>
  <c r="AW1816" i="1"/>
  <c r="AX1816" i="1"/>
  <c r="AY1816" i="1"/>
  <c r="AZ1816" i="1"/>
  <c r="BA1816" i="1"/>
  <c r="BC1816" i="1"/>
  <c r="BD1816" i="1"/>
  <c r="BE1816" i="1"/>
  <c r="BF1816" i="1"/>
  <c r="BG1816" i="1"/>
  <c r="BH1816" i="1"/>
  <c r="BI1816" i="1"/>
  <c r="BJ1816" i="1"/>
  <c r="BM1816" i="1"/>
  <c r="CA1816" i="1"/>
  <c r="CN1816" i="1"/>
  <c r="CO1816" i="1"/>
  <c r="CP1816" i="1"/>
  <c r="CQ1816" i="1"/>
  <c r="G1817" i="1"/>
  <c r="U1817" i="1"/>
  <c r="W1817" i="1"/>
  <c r="AE1817" i="1"/>
  <c r="AK1817" i="1"/>
  <c r="AQ1817" i="1"/>
  <c r="AU1817" i="1"/>
  <c r="AV1817" i="1"/>
  <c r="AW1817" i="1"/>
  <c r="AX1817" i="1"/>
  <c r="AY1817" i="1"/>
  <c r="AZ1817" i="1"/>
  <c r="BA1817" i="1"/>
  <c r="BC1817" i="1"/>
  <c r="BD1817" i="1"/>
  <c r="BE1817" i="1"/>
  <c r="BF1817" i="1"/>
  <c r="BG1817" i="1"/>
  <c r="BH1817" i="1"/>
  <c r="BI1817" i="1"/>
  <c r="BJ1817" i="1"/>
  <c r="BM1817" i="1"/>
  <c r="CA1817" i="1"/>
  <c r="CN1817" i="1"/>
  <c r="CO1817" i="1"/>
  <c r="CP1817" i="1"/>
  <c r="CQ1817" i="1"/>
  <c r="G707" i="1"/>
  <c r="U707" i="1"/>
  <c r="W707" i="1"/>
  <c r="AE707" i="1"/>
  <c r="AK707" i="1"/>
  <c r="AQ707" i="1"/>
  <c r="AU707" i="1"/>
  <c r="AV707" i="1"/>
  <c r="AW707" i="1"/>
  <c r="AX707" i="1"/>
  <c r="AY707" i="1"/>
  <c r="AZ707" i="1"/>
  <c r="BA707" i="1"/>
  <c r="BC707" i="1"/>
  <c r="BD707" i="1"/>
  <c r="BE707" i="1"/>
  <c r="BF707" i="1"/>
  <c r="BG707" i="1"/>
  <c r="BH707" i="1"/>
  <c r="BI707" i="1"/>
  <c r="BJ707" i="1"/>
  <c r="BM707" i="1"/>
  <c r="CA707" i="1"/>
  <c r="CN707" i="1"/>
  <c r="CO707" i="1"/>
  <c r="CP707" i="1"/>
  <c r="CQ707" i="1"/>
  <c r="G1357" i="1"/>
  <c r="U1357" i="1"/>
  <c r="W1357" i="1"/>
  <c r="AE1357" i="1"/>
  <c r="AK1357" i="1"/>
  <c r="AQ1357" i="1"/>
  <c r="AU1357" i="1"/>
  <c r="AV1357" i="1"/>
  <c r="AW1357" i="1"/>
  <c r="AX1357" i="1"/>
  <c r="AY1357" i="1"/>
  <c r="AZ1357" i="1"/>
  <c r="BA1357" i="1"/>
  <c r="BC1357" i="1"/>
  <c r="BD1357" i="1"/>
  <c r="BE1357" i="1"/>
  <c r="BF1357" i="1"/>
  <c r="BG1357" i="1"/>
  <c r="BH1357" i="1"/>
  <c r="BI1357" i="1"/>
  <c r="BJ1357" i="1"/>
  <c r="BM1357" i="1"/>
  <c r="CA1357" i="1"/>
  <c r="CN1357" i="1"/>
  <c r="CO1357" i="1"/>
  <c r="CP1357" i="1"/>
  <c r="CQ1357" i="1"/>
  <c r="G708" i="1"/>
  <c r="U708" i="1"/>
  <c r="W708" i="1"/>
  <c r="AE708" i="1"/>
  <c r="AK708" i="1"/>
  <c r="AQ708" i="1"/>
  <c r="AU708" i="1"/>
  <c r="AV708" i="1"/>
  <c r="AW708" i="1"/>
  <c r="AX708" i="1"/>
  <c r="AY708" i="1"/>
  <c r="AZ708" i="1"/>
  <c r="BA708" i="1"/>
  <c r="BC708" i="1"/>
  <c r="BD708" i="1"/>
  <c r="BE708" i="1"/>
  <c r="BF708" i="1"/>
  <c r="BG708" i="1"/>
  <c r="BH708" i="1"/>
  <c r="BI708" i="1"/>
  <c r="BJ708" i="1"/>
  <c r="BM708" i="1"/>
  <c r="CA708" i="1"/>
  <c r="CN708" i="1"/>
  <c r="CO708" i="1"/>
  <c r="CP708" i="1"/>
  <c r="CQ708" i="1"/>
  <c r="G1818" i="1"/>
  <c r="U1818" i="1"/>
  <c r="W1818" i="1"/>
  <c r="AE1818" i="1"/>
  <c r="AK1818" i="1"/>
  <c r="AQ1818" i="1"/>
  <c r="AU1818" i="1"/>
  <c r="AV1818" i="1"/>
  <c r="AW1818" i="1"/>
  <c r="AX1818" i="1"/>
  <c r="AY1818" i="1"/>
  <c r="AZ1818" i="1"/>
  <c r="BA1818" i="1"/>
  <c r="BC1818" i="1"/>
  <c r="BD1818" i="1"/>
  <c r="BE1818" i="1"/>
  <c r="BF1818" i="1"/>
  <c r="BG1818" i="1"/>
  <c r="BH1818" i="1"/>
  <c r="BI1818" i="1"/>
  <c r="BJ1818" i="1"/>
  <c r="BM1818" i="1"/>
  <c r="CA1818" i="1"/>
  <c r="CN1818" i="1"/>
  <c r="CO1818" i="1"/>
  <c r="CP1818" i="1"/>
  <c r="CQ1818" i="1"/>
  <c r="G709" i="1"/>
  <c r="U709" i="1"/>
  <c r="W709" i="1"/>
  <c r="AE709" i="1"/>
  <c r="AK709" i="1"/>
  <c r="AQ709" i="1"/>
  <c r="AU709" i="1"/>
  <c r="AV709" i="1"/>
  <c r="AW709" i="1"/>
  <c r="AX709" i="1"/>
  <c r="AY709" i="1"/>
  <c r="AZ709" i="1"/>
  <c r="BA709" i="1"/>
  <c r="BC709" i="1"/>
  <c r="BD709" i="1"/>
  <c r="BE709" i="1"/>
  <c r="BF709" i="1"/>
  <c r="BG709" i="1"/>
  <c r="BH709" i="1"/>
  <c r="BI709" i="1"/>
  <c r="BJ709" i="1"/>
  <c r="BM709" i="1"/>
  <c r="CA709" i="1"/>
  <c r="CN709" i="1"/>
  <c r="CO709" i="1"/>
  <c r="CP709" i="1"/>
  <c r="CQ709" i="1"/>
  <c r="G710" i="1"/>
  <c r="U710" i="1"/>
  <c r="W710" i="1"/>
  <c r="AE710" i="1"/>
  <c r="AK710" i="1"/>
  <c r="AQ710" i="1"/>
  <c r="AU710" i="1"/>
  <c r="AV710" i="1"/>
  <c r="AW710" i="1"/>
  <c r="AX710" i="1"/>
  <c r="AY710" i="1"/>
  <c r="AZ710" i="1"/>
  <c r="BA710" i="1"/>
  <c r="BC710" i="1"/>
  <c r="BD710" i="1"/>
  <c r="BE710" i="1"/>
  <c r="BF710" i="1"/>
  <c r="BG710" i="1"/>
  <c r="BH710" i="1"/>
  <c r="BI710" i="1"/>
  <c r="BJ710" i="1"/>
  <c r="BM710" i="1"/>
  <c r="CA710" i="1"/>
  <c r="CN710" i="1"/>
  <c r="CO710" i="1"/>
  <c r="CP710" i="1"/>
  <c r="CQ710" i="1"/>
  <c r="G711" i="1"/>
  <c r="U711" i="1"/>
  <c r="W711" i="1"/>
  <c r="AE711" i="1"/>
  <c r="AK711" i="1"/>
  <c r="AQ711" i="1"/>
  <c r="AU711" i="1"/>
  <c r="AV711" i="1"/>
  <c r="AW711" i="1"/>
  <c r="AX711" i="1"/>
  <c r="AY711" i="1"/>
  <c r="AZ711" i="1"/>
  <c r="BA711" i="1"/>
  <c r="BC711" i="1"/>
  <c r="BD711" i="1"/>
  <c r="BE711" i="1"/>
  <c r="BF711" i="1"/>
  <c r="BG711" i="1"/>
  <c r="BH711" i="1"/>
  <c r="BI711" i="1"/>
  <c r="BJ711" i="1"/>
  <c r="BM711" i="1"/>
  <c r="CA711" i="1"/>
  <c r="CN711" i="1"/>
  <c r="CO711" i="1"/>
  <c r="CP711" i="1"/>
  <c r="CQ711" i="1"/>
  <c r="G712" i="1"/>
  <c r="U712" i="1"/>
  <c r="W712" i="1"/>
  <c r="AE712" i="1"/>
  <c r="AK712" i="1"/>
  <c r="AQ712" i="1"/>
  <c r="AU712" i="1"/>
  <c r="AV712" i="1"/>
  <c r="AW712" i="1"/>
  <c r="AX712" i="1"/>
  <c r="AY712" i="1"/>
  <c r="AZ712" i="1"/>
  <c r="BA712" i="1"/>
  <c r="BC712" i="1"/>
  <c r="BD712" i="1"/>
  <c r="BE712" i="1"/>
  <c r="BF712" i="1"/>
  <c r="BG712" i="1"/>
  <c r="BH712" i="1"/>
  <c r="BI712" i="1"/>
  <c r="BJ712" i="1"/>
  <c r="BM712" i="1"/>
  <c r="CA712" i="1"/>
  <c r="CN712" i="1"/>
  <c r="CO712" i="1"/>
  <c r="CP712" i="1"/>
  <c r="CQ712" i="1"/>
  <c r="G713" i="1"/>
  <c r="U713" i="1"/>
  <c r="W713" i="1"/>
  <c r="AE713" i="1"/>
  <c r="AK713" i="1"/>
  <c r="AQ713" i="1"/>
  <c r="AU713" i="1"/>
  <c r="AV713" i="1"/>
  <c r="AW713" i="1"/>
  <c r="AX713" i="1"/>
  <c r="AY713" i="1"/>
  <c r="AZ713" i="1"/>
  <c r="BA713" i="1"/>
  <c r="BC713" i="1"/>
  <c r="BD713" i="1"/>
  <c r="BE713" i="1"/>
  <c r="BF713" i="1"/>
  <c r="BG713" i="1"/>
  <c r="BH713" i="1"/>
  <c r="BI713" i="1"/>
  <c r="BJ713" i="1"/>
  <c r="BM713" i="1"/>
  <c r="CA713" i="1"/>
  <c r="CN713" i="1"/>
  <c r="CO713" i="1"/>
  <c r="CP713" i="1"/>
  <c r="CQ713" i="1"/>
  <c r="G1819" i="1"/>
  <c r="U1819" i="1"/>
  <c r="W1819" i="1"/>
  <c r="AE1819" i="1"/>
  <c r="AK1819" i="1"/>
  <c r="AQ1819" i="1"/>
  <c r="AU1819" i="1"/>
  <c r="AV1819" i="1"/>
  <c r="AW1819" i="1"/>
  <c r="AX1819" i="1"/>
  <c r="AY1819" i="1"/>
  <c r="AZ1819" i="1"/>
  <c r="BA1819" i="1"/>
  <c r="BC1819" i="1"/>
  <c r="BD1819" i="1"/>
  <c r="BE1819" i="1"/>
  <c r="BF1819" i="1"/>
  <c r="BG1819" i="1"/>
  <c r="BH1819" i="1"/>
  <c r="BI1819" i="1"/>
  <c r="BJ1819" i="1"/>
  <c r="BM1819" i="1"/>
  <c r="CA1819" i="1"/>
  <c r="CN1819" i="1"/>
  <c r="CO1819" i="1"/>
  <c r="CP1819" i="1"/>
  <c r="CQ1819" i="1"/>
  <c r="G714" i="1"/>
  <c r="U714" i="1"/>
  <c r="W714" i="1"/>
  <c r="AE714" i="1"/>
  <c r="AK714" i="1"/>
  <c r="AQ714" i="1"/>
  <c r="AU714" i="1"/>
  <c r="AV714" i="1"/>
  <c r="AW714" i="1"/>
  <c r="AX714" i="1"/>
  <c r="AY714" i="1"/>
  <c r="AZ714" i="1"/>
  <c r="BA714" i="1"/>
  <c r="BC714" i="1"/>
  <c r="BD714" i="1"/>
  <c r="BE714" i="1"/>
  <c r="BF714" i="1"/>
  <c r="BG714" i="1"/>
  <c r="BH714" i="1"/>
  <c r="BI714" i="1"/>
  <c r="BJ714" i="1"/>
  <c r="BM714" i="1"/>
  <c r="CA714" i="1"/>
  <c r="CN714" i="1"/>
  <c r="CO714" i="1"/>
  <c r="CP714" i="1"/>
  <c r="CQ714" i="1"/>
  <c r="G87" i="1"/>
  <c r="U87" i="1"/>
  <c r="W87" i="1"/>
  <c r="AE87" i="1"/>
  <c r="AK87" i="1"/>
  <c r="AQ87" i="1"/>
  <c r="AU87" i="1"/>
  <c r="AV87" i="1"/>
  <c r="AW87" i="1"/>
  <c r="AX87" i="1"/>
  <c r="AY87" i="1"/>
  <c r="AZ87" i="1"/>
  <c r="BA87" i="1"/>
  <c r="BC87" i="1"/>
  <c r="BD87" i="1"/>
  <c r="BE87" i="1"/>
  <c r="BF87" i="1"/>
  <c r="BG87" i="1"/>
  <c r="BH87" i="1"/>
  <c r="BI87" i="1"/>
  <c r="BJ87" i="1"/>
  <c r="BM87" i="1"/>
  <c r="CA87" i="1"/>
  <c r="CN87" i="1"/>
  <c r="CO87" i="1"/>
  <c r="CP87" i="1"/>
  <c r="CQ87" i="1"/>
  <c r="G1820" i="1"/>
  <c r="U1820" i="1"/>
  <c r="W1820" i="1"/>
  <c r="AE1820" i="1"/>
  <c r="AK1820" i="1"/>
  <c r="AQ1820" i="1"/>
  <c r="AU1820" i="1"/>
  <c r="AV1820" i="1"/>
  <c r="AW1820" i="1"/>
  <c r="AX1820" i="1"/>
  <c r="AY1820" i="1"/>
  <c r="AZ1820" i="1"/>
  <c r="BA1820" i="1"/>
  <c r="BC1820" i="1"/>
  <c r="BD1820" i="1"/>
  <c r="BE1820" i="1"/>
  <c r="BF1820" i="1"/>
  <c r="BG1820" i="1"/>
  <c r="BH1820" i="1"/>
  <c r="BI1820" i="1"/>
  <c r="BJ1820" i="1"/>
  <c r="BM1820" i="1"/>
  <c r="CA1820" i="1"/>
  <c r="CN1820" i="1"/>
  <c r="CO1820" i="1"/>
  <c r="CP1820" i="1"/>
  <c r="CQ1820" i="1"/>
  <c r="G1821" i="1"/>
  <c r="U1821" i="1"/>
  <c r="W1821" i="1"/>
  <c r="AE1821" i="1"/>
  <c r="AK1821" i="1"/>
  <c r="AQ1821" i="1"/>
  <c r="AU1821" i="1"/>
  <c r="AV1821" i="1"/>
  <c r="AW1821" i="1"/>
  <c r="AX1821" i="1"/>
  <c r="AY1821" i="1"/>
  <c r="AZ1821" i="1"/>
  <c r="BA1821" i="1"/>
  <c r="BC1821" i="1"/>
  <c r="BD1821" i="1"/>
  <c r="BE1821" i="1"/>
  <c r="BF1821" i="1"/>
  <c r="BG1821" i="1"/>
  <c r="BH1821" i="1"/>
  <c r="BI1821" i="1"/>
  <c r="BJ1821" i="1"/>
  <c r="BM1821" i="1"/>
  <c r="CA1821" i="1"/>
  <c r="CN1821" i="1"/>
  <c r="CO1821" i="1"/>
  <c r="CP1821" i="1"/>
  <c r="CQ1821" i="1"/>
  <c r="G1822" i="1"/>
  <c r="U1822" i="1"/>
  <c r="W1822" i="1"/>
  <c r="AE1822" i="1"/>
  <c r="AK1822" i="1"/>
  <c r="AQ1822" i="1"/>
  <c r="AU1822" i="1"/>
  <c r="AV1822" i="1"/>
  <c r="AW1822" i="1"/>
  <c r="AX1822" i="1"/>
  <c r="AY1822" i="1"/>
  <c r="AZ1822" i="1"/>
  <c r="BA1822" i="1"/>
  <c r="BC1822" i="1"/>
  <c r="BD1822" i="1"/>
  <c r="BE1822" i="1"/>
  <c r="BF1822" i="1"/>
  <c r="BG1822" i="1"/>
  <c r="BH1822" i="1"/>
  <c r="BI1822" i="1"/>
  <c r="BJ1822" i="1"/>
  <c r="BM1822" i="1"/>
  <c r="CA1822" i="1"/>
  <c r="CN1822" i="1"/>
  <c r="CO1822" i="1"/>
  <c r="CP1822" i="1"/>
  <c r="CQ1822" i="1"/>
  <c r="G88" i="1"/>
  <c r="U88" i="1"/>
  <c r="W88" i="1"/>
  <c r="AE88" i="1"/>
  <c r="AK88" i="1"/>
  <c r="AQ88" i="1"/>
  <c r="AU88" i="1"/>
  <c r="AV88" i="1"/>
  <c r="AW88" i="1"/>
  <c r="AX88" i="1"/>
  <c r="AY88" i="1"/>
  <c r="AZ88" i="1"/>
  <c r="BA88" i="1"/>
  <c r="BC88" i="1"/>
  <c r="BD88" i="1"/>
  <c r="BE88" i="1"/>
  <c r="BF88" i="1"/>
  <c r="BG88" i="1"/>
  <c r="BH88" i="1"/>
  <c r="BI88" i="1"/>
  <c r="BJ88" i="1"/>
  <c r="BM88" i="1"/>
  <c r="CA88" i="1"/>
  <c r="CN88" i="1"/>
  <c r="CO88" i="1"/>
  <c r="CP88" i="1"/>
  <c r="CQ88" i="1"/>
  <c r="G1823" i="1"/>
  <c r="U1823" i="1"/>
  <c r="W1823" i="1"/>
  <c r="AE1823" i="1"/>
  <c r="AK1823" i="1"/>
  <c r="AQ1823" i="1"/>
  <c r="AU1823" i="1"/>
  <c r="AV1823" i="1"/>
  <c r="AW1823" i="1"/>
  <c r="AX1823" i="1"/>
  <c r="AY1823" i="1"/>
  <c r="AZ1823" i="1"/>
  <c r="BA1823" i="1"/>
  <c r="BC1823" i="1"/>
  <c r="BD1823" i="1"/>
  <c r="BE1823" i="1"/>
  <c r="BF1823" i="1"/>
  <c r="BG1823" i="1"/>
  <c r="BH1823" i="1"/>
  <c r="BI1823" i="1"/>
  <c r="BJ1823" i="1"/>
  <c r="BM1823" i="1"/>
  <c r="CA1823" i="1"/>
  <c r="CN1823" i="1"/>
  <c r="CO1823" i="1"/>
  <c r="CP1823" i="1"/>
  <c r="CQ1823" i="1"/>
  <c r="G715" i="1"/>
  <c r="U715" i="1"/>
  <c r="W715" i="1"/>
  <c r="AE715" i="1"/>
  <c r="AK715" i="1"/>
  <c r="AQ715" i="1"/>
  <c r="AU715" i="1"/>
  <c r="AV715" i="1"/>
  <c r="AW715" i="1"/>
  <c r="AX715" i="1"/>
  <c r="AY715" i="1"/>
  <c r="AZ715" i="1"/>
  <c r="BA715" i="1"/>
  <c r="BC715" i="1"/>
  <c r="BD715" i="1"/>
  <c r="BE715" i="1"/>
  <c r="BF715" i="1"/>
  <c r="BG715" i="1"/>
  <c r="BH715" i="1"/>
  <c r="BI715" i="1"/>
  <c r="BJ715" i="1"/>
  <c r="BM715" i="1"/>
  <c r="CA715" i="1"/>
  <c r="CN715" i="1"/>
  <c r="CO715" i="1"/>
  <c r="CP715" i="1"/>
  <c r="CQ715" i="1"/>
  <c r="G716" i="1"/>
  <c r="U716" i="1"/>
  <c r="W716" i="1"/>
  <c r="AE716" i="1"/>
  <c r="AK716" i="1"/>
  <c r="AQ716" i="1"/>
  <c r="AU716" i="1"/>
  <c r="AV716" i="1"/>
  <c r="AW716" i="1"/>
  <c r="AX716" i="1"/>
  <c r="AY716" i="1"/>
  <c r="AZ716" i="1"/>
  <c r="BA716" i="1"/>
  <c r="BC716" i="1"/>
  <c r="BD716" i="1"/>
  <c r="BE716" i="1"/>
  <c r="BF716" i="1"/>
  <c r="BG716" i="1"/>
  <c r="BH716" i="1"/>
  <c r="BI716" i="1"/>
  <c r="BJ716" i="1"/>
  <c r="BM716" i="1"/>
  <c r="CA716" i="1"/>
  <c r="CN716" i="1"/>
  <c r="CO716" i="1"/>
  <c r="CP716" i="1"/>
  <c r="CQ716" i="1"/>
  <c r="G1562" i="1"/>
  <c r="U1562" i="1"/>
  <c r="W1562" i="1"/>
  <c r="AE1562" i="1"/>
  <c r="AK1562" i="1"/>
  <c r="AQ1562" i="1"/>
  <c r="AU1562" i="1"/>
  <c r="AV1562" i="1"/>
  <c r="AW1562" i="1"/>
  <c r="AX1562" i="1"/>
  <c r="AY1562" i="1"/>
  <c r="AZ1562" i="1"/>
  <c r="BA1562" i="1"/>
  <c r="BC1562" i="1"/>
  <c r="BD1562" i="1"/>
  <c r="BE1562" i="1"/>
  <c r="BF1562" i="1"/>
  <c r="BG1562" i="1"/>
  <c r="BH1562" i="1"/>
  <c r="BI1562" i="1"/>
  <c r="BJ1562" i="1"/>
  <c r="BM1562" i="1"/>
  <c r="CA1562" i="1"/>
  <c r="CN1562" i="1"/>
  <c r="CO1562" i="1"/>
  <c r="CP1562" i="1"/>
  <c r="CQ1562" i="1"/>
  <c r="G1824" i="1"/>
  <c r="U1824" i="1"/>
  <c r="W1824" i="1"/>
  <c r="AE1824" i="1"/>
  <c r="AK1824" i="1"/>
  <c r="AQ1824" i="1"/>
  <c r="AU1824" i="1"/>
  <c r="AV1824" i="1"/>
  <c r="AW1824" i="1"/>
  <c r="AX1824" i="1"/>
  <c r="AY1824" i="1"/>
  <c r="AZ1824" i="1"/>
  <c r="BA1824" i="1"/>
  <c r="BC1824" i="1"/>
  <c r="BD1824" i="1"/>
  <c r="BE1824" i="1"/>
  <c r="BF1824" i="1"/>
  <c r="BG1824" i="1"/>
  <c r="BH1824" i="1"/>
  <c r="BI1824" i="1"/>
  <c r="BJ1824" i="1"/>
  <c r="BM1824" i="1"/>
  <c r="CA1824" i="1"/>
  <c r="CN1824" i="1"/>
  <c r="CO1824" i="1"/>
  <c r="CP1824" i="1"/>
  <c r="CQ1824" i="1"/>
  <c r="G1825" i="1"/>
  <c r="U1825" i="1"/>
  <c r="W1825" i="1"/>
  <c r="AE1825" i="1"/>
  <c r="AK1825" i="1"/>
  <c r="AQ1825" i="1"/>
  <c r="AU1825" i="1"/>
  <c r="AV1825" i="1"/>
  <c r="AW1825" i="1"/>
  <c r="AX1825" i="1"/>
  <c r="AY1825" i="1"/>
  <c r="AZ1825" i="1"/>
  <c r="BA1825" i="1"/>
  <c r="BC1825" i="1"/>
  <c r="BD1825" i="1"/>
  <c r="BE1825" i="1"/>
  <c r="BF1825" i="1"/>
  <c r="BG1825" i="1"/>
  <c r="BH1825" i="1"/>
  <c r="BI1825" i="1"/>
  <c r="BJ1825" i="1"/>
  <c r="BM1825" i="1"/>
  <c r="CA1825" i="1"/>
  <c r="CN1825" i="1"/>
  <c r="CO1825" i="1"/>
  <c r="CP1825" i="1"/>
  <c r="CQ1825" i="1"/>
  <c r="G717" i="1"/>
  <c r="U717" i="1"/>
  <c r="W717" i="1"/>
  <c r="AE717" i="1"/>
  <c r="AK717" i="1"/>
  <c r="AQ717" i="1"/>
  <c r="AU717" i="1"/>
  <c r="AV717" i="1"/>
  <c r="AW717" i="1"/>
  <c r="AX717" i="1"/>
  <c r="AY717" i="1"/>
  <c r="AZ717" i="1"/>
  <c r="BA717" i="1"/>
  <c r="BC717" i="1"/>
  <c r="BD717" i="1"/>
  <c r="BE717" i="1"/>
  <c r="BF717" i="1"/>
  <c r="BG717" i="1"/>
  <c r="BH717" i="1"/>
  <c r="BI717" i="1"/>
  <c r="BJ717" i="1"/>
  <c r="BM717" i="1"/>
  <c r="CA717" i="1"/>
  <c r="CN717" i="1"/>
  <c r="CO717" i="1"/>
  <c r="CP717" i="1"/>
  <c r="CQ717" i="1"/>
  <c r="G1826" i="1"/>
  <c r="U1826" i="1"/>
  <c r="W1826" i="1"/>
  <c r="AE1826" i="1"/>
  <c r="AK1826" i="1"/>
  <c r="AQ1826" i="1"/>
  <c r="AU1826" i="1"/>
  <c r="AV1826" i="1"/>
  <c r="AW1826" i="1"/>
  <c r="AX1826" i="1"/>
  <c r="AY1826" i="1"/>
  <c r="AZ1826" i="1"/>
  <c r="BA1826" i="1"/>
  <c r="BC1826" i="1"/>
  <c r="BD1826" i="1"/>
  <c r="BE1826" i="1"/>
  <c r="BF1826" i="1"/>
  <c r="BG1826" i="1"/>
  <c r="BH1826" i="1"/>
  <c r="BI1826" i="1"/>
  <c r="BJ1826" i="1"/>
  <c r="BM1826" i="1"/>
  <c r="CA1826" i="1"/>
  <c r="CN1826" i="1"/>
  <c r="CO1826" i="1"/>
  <c r="CP1826" i="1"/>
  <c r="CQ1826" i="1"/>
  <c r="G718" i="1"/>
  <c r="U718" i="1"/>
  <c r="W718" i="1"/>
  <c r="AE718" i="1"/>
  <c r="AK718" i="1"/>
  <c r="AQ718" i="1"/>
  <c r="AU718" i="1"/>
  <c r="AV718" i="1"/>
  <c r="AW718" i="1"/>
  <c r="AX718" i="1"/>
  <c r="AY718" i="1"/>
  <c r="AZ718" i="1"/>
  <c r="BA718" i="1"/>
  <c r="BC718" i="1"/>
  <c r="BD718" i="1"/>
  <c r="BE718" i="1"/>
  <c r="BF718" i="1"/>
  <c r="BG718" i="1"/>
  <c r="BH718" i="1"/>
  <c r="BI718" i="1"/>
  <c r="BJ718" i="1"/>
  <c r="BM718" i="1"/>
  <c r="CA718" i="1"/>
  <c r="CN718" i="1"/>
  <c r="CO718" i="1"/>
  <c r="CP718" i="1"/>
  <c r="CQ718" i="1"/>
  <c r="G89" i="1"/>
  <c r="U89" i="1"/>
  <c r="W89" i="1"/>
  <c r="AE89" i="1"/>
  <c r="AK89" i="1"/>
  <c r="AQ89" i="1"/>
  <c r="AU89" i="1"/>
  <c r="AV89" i="1"/>
  <c r="AW89" i="1"/>
  <c r="AX89" i="1"/>
  <c r="AY89" i="1"/>
  <c r="AZ89" i="1"/>
  <c r="BA89" i="1"/>
  <c r="BC89" i="1"/>
  <c r="BD89" i="1"/>
  <c r="BE89" i="1"/>
  <c r="BF89" i="1"/>
  <c r="BG89" i="1"/>
  <c r="BH89" i="1"/>
  <c r="BI89" i="1"/>
  <c r="BJ89" i="1"/>
  <c r="BM89" i="1"/>
  <c r="CA89" i="1"/>
  <c r="CN89" i="1"/>
  <c r="CO89" i="1"/>
  <c r="CP89" i="1"/>
  <c r="CQ89" i="1"/>
  <c r="G719" i="1"/>
  <c r="U719" i="1"/>
  <c r="W719" i="1"/>
  <c r="AE719" i="1"/>
  <c r="AK719" i="1"/>
  <c r="AQ719" i="1"/>
  <c r="AU719" i="1"/>
  <c r="AV719" i="1"/>
  <c r="AW719" i="1"/>
  <c r="AX719" i="1"/>
  <c r="AY719" i="1"/>
  <c r="AZ719" i="1"/>
  <c r="BA719" i="1"/>
  <c r="BC719" i="1"/>
  <c r="BD719" i="1"/>
  <c r="BE719" i="1"/>
  <c r="BF719" i="1"/>
  <c r="BG719" i="1"/>
  <c r="BH719" i="1"/>
  <c r="BI719" i="1"/>
  <c r="BJ719" i="1"/>
  <c r="BM719" i="1"/>
  <c r="CA719" i="1"/>
  <c r="CN719" i="1"/>
  <c r="CO719" i="1"/>
  <c r="CP719" i="1"/>
  <c r="CQ719" i="1"/>
  <c r="G90" i="1"/>
  <c r="U90" i="1"/>
  <c r="W90" i="1"/>
  <c r="AE90" i="1"/>
  <c r="AK90" i="1"/>
  <c r="AQ90" i="1"/>
  <c r="AU90" i="1"/>
  <c r="AV90" i="1"/>
  <c r="AW90" i="1"/>
  <c r="AX90" i="1"/>
  <c r="AY90" i="1"/>
  <c r="AZ90" i="1"/>
  <c r="BA90" i="1"/>
  <c r="BC90" i="1"/>
  <c r="BD90" i="1"/>
  <c r="BE90" i="1"/>
  <c r="BF90" i="1"/>
  <c r="BG90" i="1"/>
  <c r="BH90" i="1"/>
  <c r="BI90" i="1"/>
  <c r="BJ90" i="1"/>
  <c r="BM90" i="1"/>
  <c r="CA90" i="1"/>
  <c r="CN90" i="1"/>
  <c r="CO90" i="1"/>
  <c r="CP90" i="1"/>
  <c r="CQ90" i="1"/>
  <c r="G1358" i="1"/>
  <c r="U1358" i="1"/>
  <c r="W1358" i="1"/>
  <c r="AE1358" i="1"/>
  <c r="AK1358" i="1"/>
  <c r="AQ1358" i="1"/>
  <c r="AU1358" i="1"/>
  <c r="AV1358" i="1"/>
  <c r="AW1358" i="1"/>
  <c r="AX1358" i="1"/>
  <c r="AY1358" i="1"/>
  <c r="AZ1358" i="1"/>
  <c r="BA1358" i="1"/>
  <c r="BC1358" i="1"/>
  <c r="BD1358" i="1"/>
  <c r="BE1358" i="1"/>
  <c r="BF1358" i="1"/>
  <c r="BG1358" i="1"/>
  <c r="BH1358" i="1"/>
  <c r="BI1358" i="1"/>
  <c r="BJ1358" i="1"/>
  <c r="BM1358" i="1"/>
  <c r="CA1358" i="1"/>
  <c r="CN1358" i="1"/>
  <c r="CO1358" i="1"/>
  <c r="CP1358" i="1"/>
  <c r="CQ1358" i="1"/>
  <c r="G1827" i="1"/>
  <c r="U1827" i="1"/>
  <c r="W1827" i="1"/>
  <c r="AE1827" i="1"/>
  <c r="AK1827" i="1"/>
  <c r="AQ1827" i="1"/>
  <c r="AU1827" i="1"/>
  <c r="AV1827" i="1"/>
  <c r="AW1827" i="1"/>
  <c r="AX1827" i="1"/>
  <c r="AY1827" i="1"/>
  <c r="AZ1827" i="1"/>
  <c r="BA1827" i="1"/>
  <c r="BC1827" i="1"/>
  <c r="BD1827" i="1"/>
  <c r="BE1827" i="1"/>
  <c r="BF1827" i="1"/>
  <c r="BG1827" i="1"/>
  <c r="BH1827" i="1"/>
  <c r="BI1827" i="1"/>
  <c r="BJ1827" i="1"/>
  <c r="BM1827" i="1"/>
  <c r="CA1827" i="1"/>
  <c r="CN1827" i="1"/>
  <c r="CO1827" i="1"/>
  <c r="CP1827" i="1"/>
  <c r="CQ1827" i="1"/>
  <c r="G1828" i="1"/>
  <c r="U1828" i="1"/>
  <c r="W1828" i="1"/>
  <c r="AE1828" i="1"/>
  <c r="AK1828" i="1"/>
  <c r="AQ1828" i="1"/>
  <c r="AU1828" i="1"/>
  <c r="AV1828" i="1"/>
  <c r="AW1828" i="1"/>
  <c r="AX1828" i="1"/>
  <c r="AY1828" i="1"/>
  <c r="AZ1828" i="1"/>
  <c r="BA1828" i="1"/>
  <c r="BC1828" i="1"/>
  <c r="BD1828" i="1"/>
  <c r="BE1828" i="1"/>
  <c r="BF1828" i="1"/>
  <c r="BG1828" i="1"/>
  <c r="BH1828" i="1"/>
  <c r="BI1828" i="1"/>
  <c r="BJ1828" i="1"/>
  <c r="BM1828" i="1"/>
  <c r="CA1828" i="1"/>
  <c r="CN1828" i="1"/>
  <c r="CO1828" i="1"/>
  <c r="CP1828" i="1"/>
  <c r="CQ1828" i="1"/>
  <c r="G720" i="1"/>
  <c r="U720" i="1"/>
  <c r="W720" i="1"/>
  <c r="AE720" i="1"/>
  <c r="AK720" i="1"/>
  <c r="AQ720" i="1"/>
  <c r="AU720" i="1"/>
  <c r="AV720" i="1"/>
  <c r="AW720" i="1"/>
  <c r="AX720" i="1"/>
  <c r="AY720" i="1"/>
  <c r="AZ720" i="1"/>
  <c r="BA720" i="1"/>
  <c r="BC720" i="1"/>
  <c r="BD720" i="1"/>
  <c r="BE720" i="1"/>
  <c r="BF720" i="1"/>
  <c r="BG720" i="1"/>
  <c r="BH720" i="1"/>
  <c r="BI720" i="1"/>
  <c r="BJ720" i="1"/>
  <c r="BM720" i="1"/>
  <c r="CA720" i="1"/>
  <c r="CN720" i="1"/>
  <c r="CO720" i="1"/>
  <c r="CP720" i="1"/>
  <c r="CQ720" i="1"/>
  <c r="G1829" i="1"/>
  <c r="U1829" i="1"/>
  <c r="W1829" i="1"/>
  <c r="AE1829" i="1"/>
  <c r="AK1829" i="1"/>
  <c r="AQ1829" i="1"/>
  <c r="AU1829" i="1"/>
  <c r="AV1829" i="1"/>
  <c r="AW1829" i="1"/>
  <c r="AX1829" i="1"/>
  <c r="AY1829" i="1"/>
  <c r="AZ1829" i="1"/>
  <c r="BA1829" i="1"/>
  <c r="BC1829" i="1"/>
  <c r="BD1829" i="1"/>
  <c r="BE1829" i="1"/>
  <c r="BF1829" i="1"/>
  <c r="BG1829" i="1"/>
  <c r="BH1829" i="1"/>
  <c r="BI1829" i="1"/>
  <c r="BJ1829" i="1"/>
  <c r="BM1829" i="1"/>
  <c r="CA1829" i="1"/>
  <c r="CN1829" i="1"/>
  <c r="CO1829" i="1"/>
  <c r="CP1829" i="1"/>
  <c r="CQ1829" i="1"/>
  <c r="G1563" i="1"/>
  <c r="U1563" i="1"/>
  <c r="W1563" i="1"/>
  <c r="AE1563" i="1"/>
  <c r="AK1563" i="1"/>
  <c r="AQ1563" i="1"/>
  <c r="AU1563" i="1"/>
  <c r="AV1563" i="1"/>
  <c r="AW1563" i="1"/>
  <c r="AX1563" i="1"/>
  <c r="AY1563" i="1"/>
  <c r="AZ1563" i="1"/>
  <c r="BA1563" i="1"/>
  <c r="BC1563" i="1"/>
  <c r="BD1563" i="1"/>
  <c r="BE1563" i="1"/>
  <c r="BF1563" i="1"/>
  <c r="BG1563" i="1"/>
  <c r="BH1563" i="1"/>
  <c r="BI1563" i="1"/>
  <c r="BJ1563" i="1"/>
  <c r="BM1563" i="1"/>
  <c r="CA1563" i="1"/>
  <c r="CN1563" i="1"/>
  <c r="CO1563" i="1"/>
  <c r="CP1563" i="1"/>
  <c r="CQ1563" i="1"/>
  <c r="G91" i="1"/>
  <c r="U91" i="1"/>
  <c r="W91" i="1"/>
  <c r="AE91" i="1"/>
  <c r="AK91" i="1"/>
  <c r="AQ91" i="1"/>
  <c r="AU91" i="1"/>
  <c r="AV91" i="1"/>
  <c r="AW91" i="1"/>
  <c r="AX91" i="1"/>
  <c r="AY91" i="1"/>
  <c r="AZ91" i="1"/>
  <c r="BA91" i="1"/>
  <c r="BC91" i="1"/>
  <c r="BD91" i="1"/>
  <c r="BE91" i="1"/>
  <c r="BF91" i="1"/>
  <c r="BG91" i="1"/>
  <c r="BH91" i="1"/>
  <c r="BI91" i="1"/>
  <c r="BJ91" i="1"/>
  <c r="BM91" i="1"/>
  <c r="CA91" i="1"/>
  <c r="CN91" i="1"/>
  <c r="CO91" i="1"/>
  <c r="CP91" i="1"/>
  <c r="CQ91" i="1"/>
  <c r="G721" i="1"/>
  <c r="U721" i="1"/>
  <c r="W721" i="1"/>
  <c r="AE721" i="1"/>
  <c r="AK721" i="1"/>
  <c r="AQ721" i="1"/>
  <c r="AU721" i="1"/>
  <c r="AV721" i="1"/>
  <c r="AW721" i="1"/>
  <c r="AX721" i="1"/>
  <c r="AY721" i="1"/>
  <c r="AZ721" i="1"/>
  <c r="BA721" i="1"/>
  <c r="BC721" i="1"/>
  <c r="BD721" i="1"/>
  <c r="BE721" i="1"/>
  <c r="BF721" i="1"/>
  <c r="BG721" i="1"/>
  <c r="BH721" i="1"/>
  <c r="BI721" i="1"/>
  <c r="BJ721" i="1"/>
  <c r="BM721" i="1"/>
  <c r="CA721" i="1"/>
  <c r="CN721" i="1"/>
  <c r="CO721" i="1"/>
  <c r="CP721" i="1"/>
  <c r="CQ721" i="1"/>
  <c r="G722" i="1"/>
  <c r="U722" i="1"/>
  <c r="W722" i="1"/>
  <c r="AE722" i="1"/>
  <c r="AK722" i="1"/>
  <c r="AQ722" i="1"/>
  <c r="AU722" i="1"/>
  <c r="AV722" i="1"/>
  <c r="AW722" i="1"/>
  <c r="AX722" i="1"/>
  <c r="AY722" i="1"/>
  <c r="AZ722" i="1"/>
  <c r="BA722" i="1"/>
  <c r="BC722" i="1"/>
  <c r="BD722" i="1"/>
  <c r="BE722" i="1"/>
  <c r="BF722" i="1"/>
  <c r="BG722" i="1"/>
  <c r="BH722" i="1"/>
  <c r="BI722" i="1"/>
  <c r="BJ722" i="1"/>
  <c r="BM722" i="1"/>
  <c r="CA722" i="1"/>
  <c r="CN722" i="1"/>
  <c r="CO722" i="1"/>
  <c r="CP722" i="1"/>
  <c r="CQ722" i="1"/>
  <c r="G723" i="1"/>
  <c r="U723" i="1"/>
  <c r="W723" i="1"/>
  <c r="AE723" i="1"/>
  <c r="AK723" i="1"/>
  <c r="AQ723" i="1"/>
  <c r="AU723" i="1"/>
  <c r="AV723" i="1"/>
  <c r="AW723" i="1"/>
  <c r="AX723" i="1"/>
  <c r="AY723" i="1"/>
  <c r="AZ723" i="1"/>
  <c r="BA723" i="1"/>
  <c r="BC723" i="1"/>
  <c r="BD723" i="1"/>
  <c r="BE723" i="1"/>
  <c r="BF723" i="1"/>
  <c r="BG723" i="1"/>
  <c r="BH723" i="1"/>
  <c r="BI723" i="1"/>
  <c r="BJ723" i="1"/>
  <c r="BM723" i="1"/>
  <c r="CA723" i="1"/>
  <c r="CN723" i="1"/>
  <c r="CO723" i="1"/>
  <c r="CP723" i="1"/>
  <c r="CQ723" i="1"/>
  <c r="G92" i="1"/>
  <c r="U92" i="1"/>
  <c r="W92" i="1"/>
  <c r="AE92" i="1"/>
  <c r="AK92" i="1"/>
  <c r="AQ92" i="1"/>
  <c r="AU92" i="1"/>
  <c r="AV92" i="1"/>
  <c r="AW92" i="1"/>
  <c r="AX92" i="1"/>
  <c r="AY92" i="1"/>
  <c r="AZ92" i="1"/>
  <c r="BA92" i="1"/>
  <c r="BC92" i="1"/>
  <c r="BD92" i="1"/>
  <c r="BE92" i="1"/>
  <c r="BF92" i="1"/>
  <c r="BG92" i="1"/>
  <c r="BH92" i="1"/>
  <c r="BI92" i="1"/>
  <c r="BJ92" i="1"/>
  <c r="BM92" i="1"/>
  <c r="CA92" i="1"/>
  <c r="CN92" i="1"/>
  <c r="CO92" i="1"/>
  <c r="CP92" i="1"/>
  <c r="CQ92" i="1"/>
  <c r="G1830" i="1"/>
  <c r="U1830" i="1"/>
  <c r="W1830" i="1"/>
  <c r="AE1830" i="1"/>
  <c r="AK1830" i="1"/>
  <c r="AQ1830" i="1"/>
  <c r="AU1830" i="1"/>
  <c r="AV1830" i="1"/>
  <c r="AW1830" i="1"/>
  <c r="AX1830" i="1"/>
  <c r="AY1830" i="1"/>
  <c r="AZ1830" i="1"/>
  <c r="BA1830" i="1"/>
  <c r="BC1830" i="1"/>
  <c r="BD1830" i="1"/>
  <c r="BE1830" i="1"/>
  <c r="BF1830" i="1"/>
  <c r="BG1830" i="1"/>
  <c r="BH1830" i="1"/>
  <c r="BI1830" i="1"/>
  <c r="BJ1830" i="1"/>
  <c r="BM1830" i="1"/>
  <c r="CA1830" i="1"/>
  <c r="CN1830" i="1"/>
  <c r="CO1830" i="1"/>
  <c r="CP1830" i="1"/>
  <c r="CQ1830" i="1"/>
  <c r="G1831" i="1"/>
  <c r="U1831" i="1"/>
  <c r="W1831" i="1"/>
  <c r="AE1831" i="1"/>
  <c r="AK1831" i="1"/>
  <c r="AQ1831" i="1"/>
  <c r="AU1831" i="1"/>
  <c r="AV1831" i="1"/>
  <c r="AW1831" i="1"/>
  <c r="AX1831" i="1"/>
  <c r="AY1831" i="1"/>
  <c r="AZ1831" i="1"/>
  <c r="BA1831" i="1"/>
  <c r="BC1831" i="1"/>
  <c r="BD1831" i="1"/>
  <c r="BE1831" i="1"/>
  <c r="BF1831" i="1"/>
  <c r="BG1831" i="1"/>
  <c r="BH1831" i="1"/>
  <c r="BI1831" i="1"/>
  <c r="BJ1831" i="1"/>
  <c r="BM1831" i="1"/>
  <c r="CA1831" i="1"/>
  <c r="CN1831" i="1"/>
  <c r="CO1831" i="1"/>
  <c r="CP1831" i="1"/>
  <c r="CQ1831" i="1"/>
  <c r="G1832" i="1"/>
  <c r="U1832" i="1"/>
  <c r="W1832" i="1"/>
  <c r="AE1832" i="1"/>
  <c r="AK1832" i="1"/>
  <c r="AQ1832" i="1"/>
  <c r="AU1832" i="1"/>
  <c r="AV1832" i="1"/>
  <c r="AW1832" i="1"/>
  <c r="AX1832" i="1"/>
  <c r="AY1832" i="1"/>
  <c r="AZ1832" i="1"/>
  <c r="BA1832" i="1"/>
  <c r="BC1832" i="1"/>
  <c r="BD1832" i="1"/>
  <c r="BE1832" i="1"/>
  <c r="BF1832" i="1"/>
  <c r="BG1832" i="1"/>
  <c r="BH1832" i="1"/>
  <c r="BI1832" i="1"/>
  <c r="BJ1832" i="1"/>
  <c r="BM1832" i="1"/>
  <c r="CA1832" i="1"/>
  <c r="CN1832" i="1"/>
  <c r="CO1832" i="1"/>
  <c r="CP1832" i="1"/>
  <c r="CQ1832" i="1"/>
  <c r="G724" i="1"/>
  <c r="U724" i="1"/>
  <c r="W724" i="1"/>
  <c r="AE724" i="1"/>
  <c r="AK724" i="1"/>
  <c r="AQ724" i="1"/>
  <c r="AU724" i="1"/>
  <c r="AV724" i="1"/>
  <c r="AW724" i="1"/>
  <c r="AX724" i="1"/>
  <c r="AY724" i="1"/>
  <c r="AZ724" i="1"/>
  <c r="BA724" i="1"/>
  <c r="BC724" i="1"/>
  <c r="BD724" i="1"/>
  <c r="BE724" i="1"/>
  <c r="BF724" i="1"/>
  <c r="BG724" i="1"/>
  <c r="BH724" i="1"/>
  <c r="BI724" i="1"/>
  <c r="BJ724" i="1"/>
  <c r="BM724" i="1"/>
  <c r="CA724" i="1"/>
  <c r="CN724" i="1"/>
  <c r="CO724" i="1"/>
  <c r="CP724" i="1"/>
  <c r="CQ724" i="1"/>
  <c r="G93" i="1"/>
  <c r="U93" i="1"/>
  <c r="W93" i="1"/>
  <c r="AE93" i="1"/>
  <c r="AK93" i="1"/>
  <c r="AQ93" i="1"/>
  <c r="AU93" i="1"/>
  <c r="AV93" i="1"/>
  <c r="AW93" i="1"/>
  <c r="AX93" i="1"/>
  <c r="AY93" i="1"/>
  <c r="AZ93" i="1"/>
  <c r="BA93" i="1"/>
  <c r="BC93" i="1"/>
  <c r="BD93" i="1"/>
  <c r="BE93" i="1"/>
  <c r="BF93" i="1"/>
  <c r="BG93" i="1"/>
  <c r="BH93" i="1"/>
  <c r="BI93" i="1"/>
  <c r="BJ93" i="1"/>
  <c r="BM93" i="1"/>
  <c r="CA93" i="1"/>
  <c r="CN93" i="1"/>
  <c r="CO93" i="1"/>
  <c r="CP93" i="1"/>
  <c r="CQ93" i="1"/>
  <c r="G725" i="1"/>
  <c r="U725" i="1"/>
  <c r="W725" i="1"/>
  <c r="AE725" i="1"/>
  <c r="AK725" i="1"/>
  <c r="AQ725" i="1"/>
  <c r="AU725" i="1"/>
  <c r="AV725" i="1"/>
  <c r="AW725" i="1"/>
  <c r="AX725" i="1"/>
  <c r="AY725" i="1"/>
  <c r="AZ725" i="1"/>
  <c r="BA725" i="1"/>
  <c r="BC725" i="1"/>
  <c r="BD725" i="1"/>
  <c r="BE725" i="1"/>
  <c r="BF725" i="1"/>
  <c r="BG725" i="1"/>
  <c r="BH725" i="1"/>
  <c r="BI725" i="1"/>
  <c r="BJ725" i="1"/>
  <c r="BM725" i="1"/>
  <c r="CA725" i="1"/>
  <c r="CN725" i="1"/>
  <c r="CO725" i="1"/>
  <c r="CP725" i="1"/>
  <c r="CQ725" i="1"/>
  <c r="G1833" i="1"/>
  <c r="U1833" i="1"/>
  <c r="W1833" i="1"/>
  <c r="AE1833" i="1"/>
  <c r="AK1833" i="1"/>
  <c r="AQ1833" i="1"/>
  <c r="AU1833" i="1"/>
  <c r="AV1833" i="1"/>
  <c r="AW1833" i="1"/>
  <c r="AX1833" i="1"/>
  <c r="AY1833" i="1"/>
  <c r="AZ1833" i="1"/>
  <c r="BA1833" i="1"/>
  <c r="BC1833" i="1"/>
  <c r="BD1833" i="1"/>
  <c r="BE1833" i="1"/>
  <c r="BF1833" i="1"/>
  <c r="BG1833" i="1"/>
  <c r="BH1833" i="1"/>
  <c r="BI1833" i="1"/>
  <c r="BJ1833" i="1"/>
  <c r="BM1833" i="1"/>
  <c r="CA1833" i="1"/>
  <c r="CN1833" i="1"/>
  <c r="CO1833" i="1"/>
  <c r="CP1833" i="1"/>
  <c r="CQ1833" i="1"/>
  <c r="G726" i="1"/>
  <c r="U726" i="1"/>
  <c r="W726" i="1"/>
  <c r="AE726" i="1"/>
  <c r="AK726" i="1"/>
  <c r="AQ726" i="1"/>
  <c r="AU726" i="1"/>
  <c r="AV726" i="1"/>
  <c r="AW726" i="1"/>
  <c r="AX726" i="1"/>
  <c r="AY726" i="1"/>
  <c r="AZ726" i="1"/>
  <c r="BA726" i="1"/>
  <c r="BC726" i="1"/>
  <c r="BD726" i="1"/>
  <c r="BE726" i="1"/>
  <c r="BF726" i="1"/>
  <c r="BG726" i="1"/>
  <c r="BH726" i="1"/>
  <c r="BI726" i="1"/>
  <c r="BJ726" i="1"/>
  <c r="BM726" i="1"/>
  <c r="CA726" i="1"/>
  <c r="CN726" i="1"/>
  <c r="CO726" i="1"/>
  <c r="CP726" i="1"/>
  <c r="CQ726" i="1"/>
  <c r="G727" i="1"/>
  <c r="U727" i="1"/>
  <c r="W727" i="1"/>
  <c r="AE727" i="1"/>
  <c r="AK727" i="1"/>
  <c r="AQ727" i="1"/>
  <c r="AU727" i="1"/>
  <c r="AV727" i="1"/>
  <c r="AW727" i="1"/>
  <c r="AX727" i="1"/>
  <c r="AY727" i="1"/>
  <c r="AZ727" i="1"/>
  <c r="BA727" i="1"/>
  <c r="BC727" i="1"/>
  <c r="BD727" i="1"/>
  <c r="BE727" i="1"/>
  <c r="BF727" i="1"/>
  <c r="BG727" i="1"/>
  <c r="BH727" i="1"/>
  <c r="BI727" i="1"/>
  <c r="BJ727" i="1"/>
  <c r="BM727" i="1"/>
  <c r="CA727" i="1"/>
  <c r="CN727" i="1"/>
  <c r="CO727" i="1"/>
  <c r="CP727" i="1"/>
  <c r="CQ727" i="1"/>
  <c r="G728" i="1"/>
  <c r="U728" i="1"/>
  <c r="W728" i="1"/>
  <c r="AE728" i="1"/>
  <c r="AK728" i="1"/>
  <c r="AQ728" i="1"/>
  <c r="AU728" i="1"/>
  <c r="AV728" i="1"/>
  <c r="AW728" i="1"/>
  <c r="AX728" i="1"/>
  <c r="AY728" i="1"/>
  <c r="AZ728" i="1"/>
  <c r="BA728" i="1"/>
  <c r="BC728" i="1"/>
  <c r="BD728" i="1"/>
  <c r="BE728" i="1"/>
  <c r="BF728" i="1"/>
  <c r="BG728" i="1"/>
  <c r="BH728" i="1"/>
  <c r="BI728" i="1"/>
  <c r="BJ728" i="1"/>
  <c r="BM728" i="1"/>
  <c r="CA728" i="1"/>
  <c r="CN728" i="1"/>
  <c r="CO728" i="1"/>
  <c r="CP728" i="1"/>
  <c r="CQ728" i="1"/>
  <c r="G1834" i="1"/>
  <c r="U1834" i="1"/>
  <c r="W1834" i="1"/>
  <c r="AE1834" i="1"/>
  <c r="AK1834" i="1"/>
  <c r="AQ1834" i="1"/>
  <c r="AU1834" i="1"/>
  <c r="AV1834" i="1"/>
  <c r="AW1834" i="1"/>
  <c r="AX1834" i="1"/>
  <c r="AY1834" i="1"/>
  <c r="AZ1834" i="1"/>
  <c r="BA1834" i="1"/>
  <c r="BC1834" i="1"/>
  <c r="BD1834" i="1"/>
  <c r="BE1834" i="1"/>
  <c r="BF1834" i="1"/>
  <c r="BG1834" i="1"/>
  <c r="BH1834" i="1"/>
  <c r="BI1834" i="1"/>
  <c r="BJ1834" i="1"/>
  <c r="BM1834" i="1"/>
  <c r="CA1834" i="1"/>
  <c r="CN1834" i="1"/>
  <c r="CO1834" i="1"/>
  <c r="CP1834" i="1"/>
  <c r="CQ1834" i="1"/>
  <c r="G1564" i="1"/>
  <c r="U1564" i="1"/>
  <c r="W1564" i="1"/>
  <c r="AE1564" i="1"/>
  <c r="AK1564" i="1"/>
  <c r="AQ1564" i="1"/>
  <c r="AU1564" i="1"/>
  <c r="AV1564" i="1"/>
  <c r="AW1564" i="1"/>
  <c r="AX1564" i="1"/>
  <c r="AY1564" i="1"/>
  <c r="AZ1564" i="1"/>
  <c r="BA1564" i="1"/>
  <c r="BC1564" i="1"/>
  <c r="BD1564" i="1"/>
  <c r="BE1564" i="1"/>
  <c r="BF1564" i="1"/>
  <c r="BG1564" i="1"/>
  <c r="BH1564" i="1"/>
  <c r="BI1564" i="1"/>
  <c r="BJ1564" i="1"/>
  <c r="BM1564" i="1"/>
  <c r="CA1564" i="1"/>
  <c r="CN1564" i="1"/>
  <c r="CO1564" i="1"/>
  <c r="CP1564" i="1"/>
  <c r="CQ1564" i="1"/>
  <c r="G1835" i="1"/>
  <c r="U1835" i="1"/>
  <c r="W1835" i="1"/>
  <c r="AE1835" i="1"/>
  <c r="AK1835" i="1"/>
  <c r="AQ1835" i="1"/>
  <c r="AU1835" i="1"/>
  <c r="AV1835" i="1"/>
  <c r="AW1835" i="1"/>
  <c r="AX1835" i="1"/>
  <c r="AY1835" i="1"/>
  <c r="AZ1835" i="1"/>
  <c r="BA1835" i="1"/>
  <c r="BC1835" i="1"/>
  <c r="BD1835" i="1"/>
  <c r="BE1835" i="1"/>
  <c r="BF1835" i="1"/>
  <c r="BG1835" i="1"/>
  <c r="BH1835" i="1"/>
  <c r="BI1835" i="1"/>
  <c r="BJ1835" i="1"/>
  <c r="BM1835" i="1"/>
  <c r="CA1835" i="1"/>
  <c r="CN1835" i="1"/>
  <c r="CO1835" i="1"/>
  <c r="CP1835" i="1"/>
  <c r="CQ1835" i="1"/>
  <c r="G94" i="1"/>
  <c r="U94" i="1"/>
  <c r="W94" i="1"/>
  <c r="AE94" i="1"/>
  <c r="AK94" i="1"/>
  <c r="AQ94" i="1"/>
  <c r="AU94" i="1"/>
  <c r="AV94" i="1"/>
  <c r="AW94" i="1"/>
  <c r="AX94" i="1"/>
  <c r="AY94" i="1"/>
  <c r="AZ94" i="1"/>
  <c r="BA94" i="1"/>
  <c r="BC94" i="1"/>
  <c r="BD94" i="1"/>
  <c r="BE94" i="1"/>
  <c r="BF94" i="1"/>
  <c r="BG94" i="1"/>
  <c r="BH94" i="1"/>
  <c r="BI94" i="1"/>
  <c r="BJ94" i="1"/>
  <c r="BM94" i="1"/>
  <c r="CA94" i="1"/>
  <c r="CN94" i="1"/>
  <c r="CO94" i="1"/>
  <c r="CP94" i="1"/>
  <c r="CQ94" i="1"/>
  <c r="G1836" i="1"/>
  <c r="U1836" i="1"/>
  <c r="W1836" i="1"/>
  <c r="AE1836" i="1"/>
  <c r="AK1836" i="1"/>
  <c r="AQ1836" i="1"/>
  <c r="AU1836" i="1"/>
  <c r="AV1836" i="1"/>
  <c r="AW1836" i="1"/>
  <c r="AX1836" i="1"/>
  <c r="AY1836" i="1"/>
  <c r="AZ1836" i="1"/>
  <c r="BA1836" i="1"/>
  <c r="BC1836" i="1"/>
  <c r="BD1836" i="1"/>
  <c r="BE1836" i="1"/>
  <c r="BF1836" i="1"/>
  <c r="BG1836" i="1"/>
  <c r="BH1836" i="1"/>
  <c r="BI1836" i="1"/>
  <c r="BJ1836" i="1"/>
  <c r="BM1836" i="1"/>
  <c r="CA1836" i="1"/>
  <c r="CN1836" i="1"/>
  <c r="CO1836" i="1"/>
  <c r="CP1836" i="1"/>
  <c r="CQ1836" i="1"/>
  <c r="G729" i="1"/>
  <c r="U729" i="1"/>
  <c r="W729" i="1"/>
  <c r="AE729" i="1"/>
  <c r="AK729" i="1"/>
  <c r="AQ729" i="1"/>
  <c r="AU729" i="1"/>
  <c r="AV729" i="1"/>
  <c r="AW729" i="1"/>
  <c r="AX729" i="1"/>
  <c r="AY729" i="1"/>
  <c r="AZ729" i="1"/>
  <c r="BA729" i="1"/>
  <c r="BC729" i="1"/>
  <c r="BD729" i="1"/>
  <c r="BE729" i="1"/>
  <c r="BF729" i="1"/>
  <c r="BG729" i="1"/>
  <c r="BH729" i="1"/>
  <c r="BI729" i="1"/>
  <c r="BJ729" i="1"/>
  <c r="BM729" i="1"/>
  <c r="CA729" i="1"/>
  <c r="CN729" i="1"/>
  <c r="CO729" i="1"/>
  <c r="CP729" i="1"/>
  <c r="CQ729" i="1"/>
  <c r="G95" i="1"/>
  <c r="U95" i="1"/>
  <c r="W95" i="1"/>
  <c r="AE95" i="1"/>
  <c r="AK95" i="1"/>
  <c r="AQ95" i="1"/>
  <c r="AU95" i="1"/>
  <c r="AV95" i="1"/>
  <c r="AW95" i="1"/>
  <c r="AX95" i="1"/>
  <c r="AY95" i="1"/>
  <c r="AZ95" i="1"/>
  <c r="BA95" i="1"/>
  <c r="BC95" i="1"/>
  <c r="BD95" i="1"/>
  <c r="BE95" i="1"/>
  <c r="BF95" i="1"/>
  <c r="BG95" i="1"/>
  <c r="BH95" i="1"/>
  <c r="BI95" i="1"/>
  <c r="BJ95" i="1"/>
  <c r="BM95" i="1"/>
  <c r="CA95" i="1"/>
  <c r="CN95" i="1"/>
  <c r="CO95" i="1"/>
  <c r="CP95" i="1"/>
  <c r="CQ95" i="1"/>
  <c r="G1837" i="1"/>
  <c r="U1837" i="1"/>
  <c r="W1837" i="1"/>
  <c r="AE1837" i="1"/>
  <c r="AK1837" i="1"/>
  <c r="AQ1837" i="1"/>
  <c r="AU1837" i="1"/>
  <c r="AV1837" i="1"/>
  <c r="AW1837" i="1"/>
  <c r="AX1837" i="1"/>
  <c r="AY1837" i="1"/>
  <c r="AZ1837" i="1"/>
  <c r="BA1837" i="1"/>
  <c r="BC1837" i="1"/>
  <c r="BD1837" i="1"/>
  <c r="BE1837" i="1"/>
  <c r="BF1837" i="1"/>
  <c r="BG1837" i="1"/>
  <c r="BH1837" i="1"/>
  <c r="BI1837" i="1"/>
  <c r="BJ1837" i="1"/>
  <c r="BM1837" i="1"/>
  <c r="CA1837" i="1"/>
  <c r="CN1837" i="1"/>
  <c r="CO1837" i="1"/>
  <c r="CP1837" i="1"/>
  <c r="CQ1837" i="1"/>
  <c r="G730" i="1"/>
  <c r="U730" i="1"/>
  <c r="W730" i="1"/>
  <c r="AE730" i="1"/>
  <c r="AK730" i="1"/>
  <c r="AQ730" i="1"/>
  <c r="AU730" i="1"/>
  <c r="AV730" i="1"/>
  <c r="AW730" i="1"/>
  <c r="AX730" i="1"/>
  <c r="AY730" i="1"/>
  <c r="AZ730" i="1"/>
  <c r="BA730" i="1"/>
  <c r="BC730" i="1"/>
  <c r="BD730" i="1"/>
  <c r="BE730" i="1"/>
  <c r="BF730" i="1"/>
  <c r="BG730" i="1"/>
  <c r="BH730" i="1"/>
  <c r="BI730" i="1"/>
  <c r="BJ730" i="1"/>
  <c r="BM730" i="1"/>
  <c r="CA730" i="1"/>
  <c r="CN730" i="1"/>
  <c r="CO730" i="1"/>
  <c r="CP730" i="1"/>
  <c r="CQ730" i="1"/>
  <c r="G731" i="1"/>
  <c r="U731" i="1"/>
  <c r="W731" i="1"/>
  <c r="AE731" i="1"/>
  <c r="AK731" i="1"/>
  <c r="AQ731" i="1"/>
  <c r="AU731" i="1"/>
  <c r="AV731" i="1"/>
  <c r="AW731" i="1"/>
  <c r="AX731" i="1"/>
  <c r="AY731" i="1"/>
  <c r="AZ731" i="1"/>
  <c r="BA731" i="1"/>
  <c r="BC731" i="1"/>
  <c r="BD731" i="1"/>
  <c r="BE731" i="1"/>
  <c r="BF731" i="1"/>
  <c r="BG731" i="1"/>
  <c r="BH731" i="1"/>
  <c r="BI731" i="1"/>
  <c r="BJ731" i="1"/>
  <c r="BM731" i="1"/>
  <c r="CA731" i="1"/>
  <c r="CN731" i="1"/>
  <c r="CO731" i="1"/>
  <c r="CP731" i="1"/>
  <c r="CQ731" i="1"/>
  <c r="G732" i="1"/>
  <c r="U732" i="1"/>
  <c r="W732" i="1"/>
  <c r="AE732" i="1"/>
  <c r="AK732" i="1"/>
  <c r="AQ732" i="1"/>
  <c r="AU732" i="1"/>
  <c r="AV732" i="1"/>
  <c r="AW732" i="1"/>
  <c r="AX732" i="1"/>
  <c r="AY732" i="1"/>
  <c r="AZ732" i="1"/>
  <c r="BA732" i="1"/>
  <c r="BC732" i="1"/>
  <c r="BD732" i="1"/>
  <c r="BE732" i="1"/>
  <c r="BF732" i="1"/>
  <c r="BG732" i="1"/>
  <c r="BH732" i="1"/>
  <c r="BI732" i="1"/>
  <c r="BJ732" i="1"/>
  <c r="BM732" i="1"/>
  <c r="CA732" i="1"/>
  <c r="CN732" i="1"/>
  <c r="CO732" i="1"/>
  <c r="CP732" i="1"/>
  <c r="CQ732" i="1"/>
  <c r="G96" i="1"/>
  <c r="U96" i="1"/>
  <c r="W96" i="1"/>
  <c r="AE96" i="1"/>
  <c r="AK96" i="1"/>
  <c r="AQ96" i="1"/>
  <c r="AU96" i="1"/>
  <c r="AV96" i="1"/>
  <c r="AW96" i="1"/>
  <c r="AX96" i="1"/>
  <c r="AY96" i="1"/>
  <c r="AZ96" i="1"/>
  <c r="BA96" i="1"/>
  <c r="BC96" i="1"/>
  <c r="BD96" i="1"/>
  <c r="BE96" i="1"/>
  <c r="BF96" i="1"/>
  <c r="BG96" i="1"/>
  <c r="BH96" i="1"/>
  <c r="BI96" i="1"/>
  <c r="BJ96" i="1"/>
  <c r="BM96" i="1"/>
  <c r="CA96" i="1"/>
  <c r="CN96" i="1"/>
  <c r="CO96" i="1"/>
  <c r="CP96" i="1"/>
  <c r="CQ96" i="1"/>
  <c r="G733" i="1"/>
  <c r="U733" i="1"/>
  <c r="W733" i="1"/>
  <c r="AE733" i="1"/>
  <c r="AK733" i="1"/>
  <c r="AQ733" i="1"/>
  <c r="AU733" i="1"/>
  <c r="AV733" i="1"/>
  <c r="AW733" i="1"/>
  <c r="AX733" i="1"/>
  <c r="AY733" i="1"/>
  <c r="AZ733" i="1"/>
  <c r="BA733" i="1"/>
  <c r="BC733" i="1"/>
  <c r="BD733" i="1"/>
  <c r="BE733" i="1"/>
  <c r="BF733" i="1"/>
  <c r="BG733" i="1"/>
  <c r="BH733" i="1"/>
  <c r="BI733" i="1"/>
  <c r="BJ733" i="1"/>
  <c r="BM733" i="1"/>
  <c r="CA733" i="1"/>
  <c r="CN733" i="1"/>
  <c r="CO733" i="1"/>
  <c r="CP733" i="1"/>
  <c r="CQ733" i="1"/>
  <c r="G1565" i="1"/>
  <c r="U1565" i="1"/>
  <c r="W1565" i="1"/>
  <c r="AE1565" i="1"/>
  <c r="AK1565" i="1"/>
  <c r="AQ1565" i="1"/>
  <c r="AU1565" i="1"/>
  <c r="AV1565" i="1"/>
  <c r="AW1565" i="1"/>
  <c r="AX1565" i="1"/>
  <c r="AY1565" i="1"/>
  <c r="AZ1565" i="1"/>
  <c r="BA1565" i="1"/>
  <c r="BC1565" i="1"/>
  <c r="BD1565" i="1"/>
  <c r="BE1565" i="1"/>
  <c r="BF1565" i="1"/>
  <c r="BG1565" i="1"/>
  <c r="BH1565" i="1"/>
  <c r="BI1565" i="1"/>
  <c r="BJ1565" i="1"/>
  <c r="BM1565" i="1"/>
  <c r="CA1565" i="1"/>
  <c r="CN1565" i="1"/>
  <c r="CO1565" i="1"/>
  <c r="CP1565" i="1"/>
  <c r="CQ1565" i="1"/>
  <c r="G734" i="1"/>
  <c r="U734" i="1"/>
  <c r="W734" i="1"/>
  <c r="AE734" i="1"/>
  <c r="AK734" i="1"/>
  <c r="AQ734" i="1"/>
  <c r="AU734" i="1"/>
  <c r="AV734" i="1"/>
  <c r="AW734" i="1"/>
  <c r="AX734" i="1"/>
  <c r="AY734" i="1"/>
  <c r="AZ734" i="1"/>
  <c r="BA734" i="1"/>
  <c r="BC734" i="1"/>
  <c r="BD734" i="1"/>
  <c r="BE734" i="1"/>
  <c r="BF734" i="1"/>
  <c r="BG734" i="1"/>
  <c r="BH734" i="1"/>
  <c r="BI734" i="1"/>
  <c r="BJ734" i="1"/>
  <c r="BM734" i="1"/>
  <c r="CA734" i="1"/>
  <c r="CN734" i="1"/>
  <c r="CO734" i="1"/>
  <c r="CP734" i="1"/>
  <c r="CQ734" i="1"/>
  <c r="G1566" i="1"/>
  <c r="U1566" i="1"/>
  <c r="W1566" i="1"/>
  <c r="AE1566" i="1"/>
  <c r="AK1566" i="1"/>
  <c r="AQ1566" i="1"/>
  <c r="AU1566" i="1"/>
  <c r="AV1566" i="1"/>
  <c r="AW1566" i="1"/>
  <c r="AX1566" i="1"/>
  <c r="AY1566" i="1"/>
  <c r="AZ1566" i="1"/>
  <c r="BA1566" i="1"/>
  <c r="BC1566" i="1"/>
  <c r="BD1566" i="1"/>
  <c r="BE1566" i="1"/>
  <c r="BF1566" i="1"/>
  <c r="BG1566" i="1"/>
  <c r="BH1566" i="1"/>
  <c r="BI1566" i="1"/>
  <c r="BJ1566" i="1"/>
  <c r="BM1566" i="1"/>
  <c r="CA1566" i="1"/>
  <c r="CN1566" i="1"/>
  <c r="CO1566" i="1"/>
  <c r="CP1566" i="1"/>
  <c r="CQ1566" i="1"/>
  <c r="G97" i="1"/>
  <c r="U97" i="1"/>
  <c r="W97" i="1"/>
  <c r="AE97" i="1"/>
  <c r="AK97" i="1"/>
  <c r="AQ97" i="1"/>
  <c r="AU97" i="1"/>
  <c r="AV97" i="1"/>
  <c r="AW97" i="1"/>
  <c r="AX97" i="1"/>
  <c r="AY97" i="1"/>
  <c r="AZ97" i="1"/>
  <c r="BA97" i="1"/>
  <c r="BC97" i="1"/>
  <c r="BD97" i="1"/>
  <c r="BE97" i="1"/>
  <c r="BF97" i="1"/>
  <c r="BG97" i="1"/>
  <c r="BH97" i="1"/>
  <c r="BI97" i="1"/>
  <c r="BJ97" i="1"/>
  <c r="BM97" i="1"/>
  <c r="CA97" i="1"/>
  <c r="CN97" i="1"/>
  <c r="CO97" i="1"/>
  <c r="CP97" i="1"/>
  <c r="CQ97" i="1"/>
  <c r="G735" i="1"/>
  <c r="U735" i="1"/>
  <c r="W735" i="1"/>
  <c r="AE735" i="1"/>
  <c r="AK735" i="1"/>
  <c r="AQ735" i="1"/>
  <c r="AU735" i="1"/>
  <c r="AV735" i="1"/>
  <c r="AW735" i="1"/>
  <c r="AX735" i="1"/>
  <c r="AY735" i="1"/>
  <c r="AZ735" i="1"/>
  <c r="BA735" i="1"/>
  <c r="BC735" i="1"/>
  <c r="BD735" i="1"/>
  <c r="BE735" i="1"/>
  <c r="BF735" i="1"/>
  <c r="BG735" i="1"/>
  <c r="BH735" i="1"/>
  <c r="BI735" i="1"/>
  <c r="BJ735" i="1"/>
  <c r="BM735" i="1"/>
  <c r="CA735" i="1"/>
  <c r="CN735" i="1"/>
  <c r="CO735" i="1"/>
  <c r="CP735" i="1"/>
  <c r="CQ735" i="1"/>
  <c r="G1359" i="1"/>
  <c r="U1359" i="1"/>
  <c r="W1359" i="1"/>
  <c r="AE1359" i="1"/>
  <c r="AK1359" i="1"/>
  <c r="AQ1359" i="1"/>
  <c r="AU1359" i="1"/>
  <c r="AV1359" i="1"/>
  <c r="AW1359" i="1"/>
  <c r="AX1359" i="1"/>
  <c r="AY1359" i="1"/>
  <c r="AZ1359" i="1"/>
  <c r="BA1359" i="1"/>
  <c r="BC1359" i="1"/>
  <c r="BD1359" i="1"/>
  <c r="BE1359" i="1"/>
  <c r="BF1359" i="1"/>
  <c r="BG1359" i="1"/>
  <c r="BH1359" i="1"/>
  <c r="BI1359" i="1"/>
  <c r="BJ1359" i="1"/>
  <c r="BM1359" i="1"/>
  <c r="CA1359" i="1"/>
  <c r="CN1359" i="1"/>
  <c r="CO1359" i="1"/>
  <c r="CP1359" i="1"/>
  <c r="CQ1359" i="1"/>
  <c r="G736" i="1"/>
  <c r="U736" i="1"/>
  <c r="W736" i="1"/>
  <c r="AE736" i="1"/>
  <c r="AK736" i="1"/>
  <c r="AQ736" i="1"/>
  <c r="AU736" i="1"/>
  <c r="AV736" i="1"/>
  <c r="AW736" i="1"/>
  <c r="AX736" i="1"/>
  <c r="AY736" i="1"/>
  <c r="AZ736" i="1"/>
  <c r="BA736" i="1"/>
  <c r="BC736" i="1"/>
  <c r="BD736" i="1"/>
  <c r="BE736" i="1"/>
  <c r="BF736" i="1"/>
  <c r="BG736" i="1"/>
  <c r="BH736" i="1"/>
  <c r="BI736" i="1"/>
  <c r="BJ736" i="1"/>
  <c r="BM736" i="1"/>
  <c r="CA736" i="1"/>
  <c r="CN736" i="1"/>
  <c r="CO736" i="1"/>
  <c r="CP736" i="1"/>
  <c r="CQ736" i="1"/>
  <c r="G1838" i="1"/>
  <c r="U1838" i="1"/>
  <c r="W1838" i="1"/>
  <c r="AE1838" i="1"/>
  <c r="AK1838" i="1"/>
  <c r="AQ1838" i="1"/>
  <c r="AU1838" i="1"/>
  <c r="AV1838" i="1"/>
  <c r="AW1838" i="1"/>
  <c r="AX1838" i="1"/>
  <c r="AY1838" i="1"/>
  <c r="AZ1838" i="1"/>
  <c r="BA1838" i="1"/>
  <c r="BC1838" i="1"/>
  <c r="BD1838" i="1"/>
  <c r="BE1838" i="1"/>
  <c r="BF1838" i="1"/>
  <c r="BG1838" i="1"/>
  <c r="BH1838" i="1"/>
  <c r="BI1838" i="1"/>
  <c r="BJ1838" i="1"/>
  <c r="BM1838" i="1"/>
  <c r="CA1838" i="1"/>
  <c r="CN1838" i="1"/>
  <c r="CO1838" i="1"/>
  <c r="CP1838" i="1"/>
  <c r="CQ1838" i="1"/>
  <c r="G1567" i="1"/>
  <c r="U1567" i="1"/>
  <c r="W1567" i="1"/>
  <c r="AE1567" i="1"/>
  <c r="AK1567" i="1"/>
  <c r="AQ1567" i="1"/>
  <c r="AU1567" i="1"/>
  <c r="AV1567" i="1"/>
  <c r="AW1567" i="1"/>
  <c r="AX1567" i="1"/>
  <c r="AY1567" i="1"/>
  <c r="AZ1567" i="1"/>
  <c r="BA1567" i="1"/>
  <c r="BC1567" i="1"/>
  <c r="BD1567" i="1"/>
  <c r="BE1567" i="1"/>
  <c r="BF1567" i="1"/>
  <c r="BG1567" i="1"/>
  <c r="BH1567" i="1"/>
  <c r="BI1567" i="1"/>
  <c r="BJ1567" i="1"/>
  <c r="BM1567" i="1"/>
  <c r="CA1567" i="1"/>
  <c r="CN1567" i="1"/>
  <c r="CO1567" i="1"/>
  <c r="CP1567" i="1"/>
  <c r="CQ1567" i="1"/>
  <c r="G1360" i="1"/>
  <c r="U1360" i="1"/>
  <c r="W1360" i="1"/>
  <c r="AE1360" i="1"/>
  <c r="AK1360" i="1"/>
  <c r="AQ1360" i="1"/>
  <c r="AU1360" i="1"/>
  <c r="AV1360" i="1"/>
  <c r="AW1360" i="1"/>
  <c r="AX1360" i="1"/>
  <c r="AY1360" i="1"/>
  <c r="AZ1360" i="1"/>
  <c r="BA1360" i="1"/>
  <c r="BC1360" i="1"/>
  <c r="BD1360" i="1"/>
  <c r="BE1360" i="1"/>
  <c r="BF1360" i="1"/>
  <c r="BG1360" i="1"/>
  <c r="BH1360" i="1"/>
  <c r="BI1360" i="1"/>
  <c r="BJ1360" i="1"/>
  <c r="BM1360" i="1"/>
  <c r="CA1360" i="1"/>
  <c r="CN1360" i="1"/>
  <c r="CO1360" i="1"/>
  <c r="CP1360" i="1"/>
  <c r="CQ1360" i="1"/>
  <c r="G383" i="1"/>
  <c r="U383" i="1"/>
  <c r="W383" i="1"/>
  <c r="AE383" i="1"/>
  <c r="AK383" i="1"/>
  <c r="AQ383" i="1"/>
  <c r="AU383" i="1"/>
  <c r="AV383" i="1"/>
  <c r="AW383" i="1"/>
  <c r="AX383" i="1"/>
  <c r="AY383" i="1"/>
  <c r="AZ383" i="1"/>
  <c r="BA383" i="1"/>
  <c r="BC383" i="1"/>
  <c r="BD383" i="1"/>
  <c r="BE383" i="1"/>
  <c r="BF383" i="1"/>
  <c r="BG383" i="1"/>
  <c r="BH383" i="1"/>
  <c r="BI383" i="1"/>
  <c r="BJ383" i="1"/>
  <c r="BM383" i="1"/>
  <c r="CA383" i="1"/>
  <c r="CN383" i="1"/>
  <c r="CO383" i="1"/>
  <c r="CP383" i="1"/>
  <c r="CQ383" i="1"/>
  <c r="G737" i="1"/>
  <c r="U737" i="1"/>
  <c r="W737" i="1"/>
  <c r="AE737" i="1"/>
  <c r="AK737" i="1"/>
  <c r="AQ737" i="1"/>
  <c r="AU737" i="1"/>
  <c r="AV737" i="1"/>
  <c r="AW737" i="1"/>
  <c r="AX737" i="1"/>
  <c r="AY737" i="1"/>
  <c r="AZ737" i="1"/>
  <c r="BA737" i="1"/>
  <c r="BC737" i="1"/>
  <c r="BD737" i="1"/>
  <c r="BE737" i="1"/>
  <c r="BF737" i="1"/>
  <c r="BG737" i="1"/>
  <c r="BH737" i="1"/>
  <c r="BI737" i="1"/>
  <c r="BJ737" i="1"/>
  <c r="BM737" i="1"/>
  <c r="CA737" i="1"/>
  <c r="CN737" i="1"/>
  <c r="CO737" i="1"/>
  <c r="CP737" i="1"/>
  <c r="CQ737" i="1"/>
  <c r="G1839" i="1"/>
  <c r="U1839" i="1"/>
  <c r="W1839" i="1"/>
  <c r="AE1839" i="1"/>
  <c r="AK1839" i="1"/>
  <c r="AQ1839" i="1"/>
  <c r="AU1839" i="1"/>
  <c r="AV1839" i="1"/>
  <c r="AW1839" i="1"/>
  <c r="AX1839" i="1"/>
  <c r="AY1839" i="1"/>
  <c r="AZ1839" i="1"/>
  <c r="BA1839" i="1"/>
  <c r="BC1839" i="1"/>
  <c r="BD1839" i="1"/>
  <c r="BE1839" i="1"/>
  <c r="BF1839" i="1"/>
  <c r="BG1839" i="1"/>
  <c r="BH1839" i="1"/>
  <c r="BI1839" i="1"/>
  <c r="BJ1839" i="1"/>
  <c r="BM1839" i="1"/>
  <c r="CA1839" i="1"/>
  <c r="CN1839" i="1"/>
  <c r="CO1839" i="1"/>
  <c r="CP1839" i="1"/>
  <c r="CQ1839" i="1"/>
  <c r="G738" i="1"/>
  <c r="U738" i="1"/>
  <c r="W738" i="1"/>
  <c r="AE738" i="1"/>
  <c r="AK738" i="1"/>
  <c r="AQ738" i="1"/>
  <c r="AU738" i="1"/>
  <c r="AV738" i="1"/>
  <c r="AW738" i="1"/>
  <c r="AX738" i="1"/>
  <c r="AY738" i="1"/>
  <c r="AZ738" i="1"/>
  <c r="BA738" i="1"/>
  <c r="BC738" i="1"/>
  <c r="BD738" i="1"/>
  <c r="BE738" i="1"/>
  <c r="BF738" i="1"/>
  <c r="BG738" i="1"/>
  <c r="BH738" i="1"/>
  <c r="BI738" i="1"/>
  <c r="BJ738" i="1"/>
  <c r="BM738" i="1"/>
  <c r="CA738" i="1"/>
  <c r="CN738" i="1"/>
  <c r="CO738" i="1"/>
  <c r="CP738" i="1"/>
  <c r="CQ738" i="1"/>
  <c r="G1361" i="1"/>
  <c r="U1361" i="1"/>
  <c r="W1361" i="1"/>
  <c r="AE1361" i="1"/>
  <c r="AK1361" i="1"/>
  <c r="AQ1361" i="1"/>
  <c r="AU1361" i="1"/>
  <c r="AV1361" i="1"/>
  <c r="AW1361" i="1"/>
  <c r="AX1361" i="1"/>
  <c r="AY1361" i="1"/>
  <c r="AZ1361" i="1"/>
  <c r="BA1361" i="1"/>
  <c r="BC1361" i="1"/>
  <c r="BD1361" i="1"/>
  <c r="BE1361" i="1"/>
  <c r="BF1361" i="1"/>
  <c r="BG1361" i="1"/>
  <c r="BH1361" i="1"/>
  <c r="BI1361" i="1"/>
  <c r="BJ1361" i="1"/>
  <c r="BM1361" i="1"/>
  <c r="CA1361" i="1"/>
  <c r="CN1361" i="1"/>
  <c r="CO1361" i="1"/>
  <c r="CP1361" i="1"/>
  <c r="CQ1361" i="1"/>
  <c r="G1840" i="1"/>
  <c r="U1840" i="1"/>
  <c r="W1840" i="1"/>
  <c r="AE1840" i="1"/>
  <c r="AK1840" i="1"/>
  <c r="AQ1840" i="1"/>
  <c r="AU1840" i="1"/>
  <c r="AV1840" i="1"/>
  <c r="AW1840" i="1"/>
  <c r="AX1840" i="1"/>
  <c r="AY1840" i="1"/>
  <c r="AZ1840" i="1"/>
  <c r="BA1840" i="1"/>
  <c r="BC1840" i="1"/>
  <c r="BD1840" i="1"/>
  <c r="BE1840" i="1"/>
  <c r="BF1840" i="1"/>
  <c r="BG1840" i="1"/>
  <c r="BH1840" i="1"/>
  <c r="BI1840" i="1"/>
  <c r="BJ1840" i="1"/>
  <c r="BM1840" i="1"/>
  <c r="CA1840" i="1"/>
  <c r="CN1840" i="1"/>
  <c r="CO1840" i="1"/>
  <c r="CP1840" i="1"/>
  <c r="CQ1840" i="1"/>
  <c r="G1841" i="1"/>
  <c r="U1841" i="1"/>
  <c r="W1841" i="1"/>
  <c r="AE1841" i="1"/>
  <c r="AK1841" i="1"/>
  <c r="AQ1841" i="1"/>
  <c r="AU1841" i="1"/>
  <c r="AV1841" i="1"/>
  <c r="AW1841" i="1"/>
  <c r="AX1841" i="1"/>
  <c r="AY1841" i="1"/>
  <c r="AZ1841" i="1"/>
  <c r="BA1841" i="1"/>
  <c r="BC1841" i="1"/>
  <c r="BD1841" i="1"/>
  <c r="BE1841" i="1"/>
  <c r="BF1841" i="1"/>
  <c r="BG1841" i="1"/>
  <c r="BH1841" i="1"/>
  <c r="BI1841" i="1"/>
  <c r="BJ1841" i="1"/>
  <c r="BM1841" i="1"/>
  <c r="CA1841" i="1"/>
  <c r="CN1841" i="1"/>
  <c r="CO1841" i="1"/>
  <c r="CP1841" i="1"/>
  <c r="CQ1841" i="1"/>
  <c r="G739" i="1"/>
  <c r="U739" i="1"/>
  <c r="W739" i="1"/>
  <c r="AE739" i="1"/>
  <c r="AK739" i="1"/>
  <c r="AQ739" i="1"/>
  <c r="AU739" i="1"/>
  <c r="AV739" i="1"/>
  <c r="AW739" i="1"/>
  <c r="AX739" i="1"/>
  <c r="AY739" i="1"/>
  <c r="AZ739" i="1"/>
  <c r="BA739" i="1"/>
  <c r="BC739" i="1"/>
  <c r="BD739" i="1"/>
  <c r="BE739" i="1"/>
  <c r="BF739" i="1"/>
  <c r="BG739" i="1"/>
  <c r="BH739" i="1"/>
  <c r="BI739" i="1"/>
  <c r="BJ739" i="1"/>
  <c r="BM739" i="1"/>
  <c r="CA739" i="1"/>
  <c r="CN739" i="1"/>
  <c r="CO739" i="1"/>
  <c r="CP739" i="1"/>
  <c r="CQ739" i="1"/>
  <c r="G384" i="1"/>
  <c r="U384" i="1"/>
  <c r="W384" i="1"/>
  <c r="AE384" i="1"/>
  <c r="AK384" i="1"/>
  <c r="AQ384" i="1"/>
  <c r="AU384" i="1"/>
  <c r="AV384" i="1"/>
  <c r="AW384" i="1"/>
  <c r="AX384" i="1"/>
  <c r="AY384" i="1"/>
  <c r="AZ384" i="1"/>
  <c r="BA384" i="1"/>
  <c r="BC384" i="1"/>
  <c r="BD384" i="1"/>
  <c r="BE384" i="1"/>
  <c r="BF384" i="1"/>
  <c r="BG384" i="1"/>
  <c r="BH384" i="1"/>
  <c r="BI384" i="1"/>
  <c r="BJ384" i="1"/>
  <c r="BM384" i="1"/>
  <c r="CA384" i="1"/>
  <c r="CN384" i="1"/>
  <c r="CO384" i="1"/>
  <c r="CP384" i="1"/>
  <c r="CQ384" i="1"/>
  <c r="G98" i="1"/>
  <c r="U98" i="1"/>
  <c r="W98" i="1"/>
  <c r="AE98" i="1"/>
  <c r="AK98" i="1"/>
  <c r="AQ98" i="1"/>
  <c r="AU98" i="1"/>
  <c r="AV98" i="1"/>
  <c r="AW98" i="1"/>
  <c r="AX98" i="1"/>
  <c r="AY98" i="1"/>
  <c r="AZ98" i="1"/>
  <c r="BA98" i="1"/>
  <c r="BC98" i="1"/>
  <c r="BD98" i="1"/>
  <c r="BE98" i="1"/>
  <c r="BF98" i="1"/>
  <c r="BG98" i="1"/>
  <c r="BH98" i="1"/>
  <c r="BI98" i="1"/>
  <c r="BJ98" i="1"/>
  <c r="BM98" i="1"/>
  <c r="CA98" i="1"/>
  <c r="CN98" i="1"/>
  <c r="CO98" i="1"/>
  <c r="CP98" i="1"/>
  <c r="CQ98" i="1"/>
  <c r="G740" i="1"/>
  <c r="U740" i="1"/>
  <c r="W740" i="1"/>
  <c r="AE740" i="1"/>
  <c r="AK740" i="1"/>
  <c r="AQ740" i="1"/>
  <c r="AU740" i="1"/>
  <c r="AV740" i="1"/>
  <c r="AW740" i="1"/>
  <c r="AX740" i="1"/>
  <c r="AY740" i="1"/>
  <c r="AZ740" i="1"/>
  <c r="BA740" i="1"/>
  <c r="BC740" i="1"/>
  <c r="BD740" i="1"/>
  <c r="BE740" i="1"/>
  <c r="BF740" i="1"/>
  <c r="BG740" i="1"/>
  <c r="BH740" i="1"/>
  <c r="BI740" i="1"/>
  <c r="BJ740" i="1"/>
  <c r="BM740" i="1"/>
  <c r="CA740" i="1"/>
  <c r="CN740" i="1"/>
  <c r="CO740" i="1"/>
  <c r="CP740" i="1"/>
  <c r="CQ740" i="1"/>
  <c r="G1842" i="1"/>
  <c r="U1842" i="1"/>
  <c r="W1842" i="1"/>
  <c r="AE1842" i="1"/>
  <c r="AK1842" i="1"/>
  <c r="AQ1842" i="1"/>
  <c r="AU1842" i="1"/>
  <c r="AV1842" i="1"/>
  <c r="AW1842" i="1"/>
  <c r="AX1842" i="1"/>
  <c r="AY1842" i="1"/>
  <c r="AZ1842" i="1"/>
  <c r="BA1842" i="1"/>
  <c r="BC1842" i="1"/>
  <c r="BD1842" i="1"/>
  <c r="BE1842" i="1"/>
  <c r="BF1842" i="1"/>
  <c r="BG1842" i="1"/>
  <c r="BH1842" i="1"/>
  <c r="BI1842" i="1"/>
  <c r="BJ1842" i="1"/>
  <c r="BM1842" i="1"/>
  <c r="CA1842" i="1"/>
  <c r="CN1842" i="1"/>
  <c r="CO1842" i="1"/>
  <c r="CP1842" i="1"/>
  <c r="CQ1842" i="1"/>
  <c r="G99" i="1"/>
  <c r="U99" i="1"/>
  <c r="W99" i="1"/>
  <c r="AE99" i="1"/>
  <c r="AK99" i="1"/>
  <c r="AQ99" i="1"/>
  <c r="AU99" i="1"/>
  <c r="AV99" i="1"/>
  <c r="AW99" i="1"/>
  <c r="AX99" i="1"/>
  <c r="AY99" i="1"/>
  <c r="AZ99" i="1"/>
  <c r="BA99" i="1"/>
  <c r="BC99" i="1"/>
  <c r="BD99" i="1"/>
  <c r="BE99" i="1"/>
  <c r="BF99" i="1"/>
  <c r="BG99" i="1"/>
  <c r="BH99" i="1"/>
  <c r="BI99" i="1"/>
  <c r="BJ99" i="1"/>
  <c r="BM99" i="1"/>
  <c r="CA99" i="1"/>
  <c r="CN99" i="1"/>
  <c r="CO99" i="1"/>
  <c r="CP99" i="1"/>
  <c r="CQ99" i="1"/>
  <c r="G741" i="1"/>
  <c r="U741" i="1"/>
  <c r="W741" i="1"/>
  <c r="AE741" i="1"/>
  <c r="AK741" i="1"/>
  <c r="AQ741" i="1"/>
  <c r="AU741" i="1"/>
  <c r="AV741" i="1"/>
  <c r="AW741" i="1"/>
  <c r="AX741" i="1"/>
  <c r="AY741" i="1"/>
  <c r="AZ741" i="1"/>
  <c r="BA741" i="1"/>
  <c r="BC741" i="1"/>
  <c r="BD741" i="1"/>
  <c r="BE741" i="1"/>
  <c r="BF741" i="1"/>
  <c r="BG741" i="1"/>
  <c r="BH741" i="1"/>
  <c r="BI741" i="1"/>
  <c r="BJ741" i="1"/>
  <c r="BM741" i="1"/>
  <c r="CA741" i="1"/>
  <c r="CN741" i="1"/>
  <c r="CO741" i="1"/>
  <c r="CP741" i="1"/>
  <c r="CQ741" i="1"/>
  <c r="G1843" i="1"/>
  <c r="U1843" i="1"/>
  <c r="W1843" i="1"/>
  <c r="AE1843" i="1"/>
  <c r="AK1843" i="1"/>
  <c r="AQ1843" i="1"/>
  <c r="AU1843" i="1"/>
  <c r="AV1843" i="1"/>
  <c r="AW1843" i="1"/>
  <c r="AX1843" i="1"/>
  <c r="AY1843" i="1"/>
  <c r="AZ1843" i="1"/>
  <c r="BA1843" i="1"/>
  <c r="BC1843" i="1"/>
  <c r="BD1843" i="1"/>
  <c r="BE1843" i="1"/>
  <c r="BF1843" i="1"/>
  <c r="BG1843" i="1"/>
  <c r="BH1843" i="1"/>
  <c r="BI1843" i="1"/>
  <c r="BJ1843" i="1"/>
  <c r="BM1843" i="1"/>
  <c r="CA1843" i="1"/>
  <c r="CN1843" i="1"/>
  <c r="CO1843" i="1"/>
  <c r="CP1843" i="1"/>
  <c r="CQ1843" i="1"/>
  <c r="G742" i="1"/>
  <c r="U742" i="1"/>
  <c r="W742" i="1"/>
  <c r="AE742" i="1"/>
  <c r="AK742" i="1"/>
  <c r="AQ742" i="1"/>
  <c r="AU742" i="1"/>
  <c r="AV742" i="1"/>
  <c r="AW742" i="1"/>
  <c r="AX742" i="1"/>
  <c r="AY742" i="1"/>
  <c r="AZ742" i="1"/>
  <c r="BA742" i="1"/>
  <c r="BC742" i="1"/>
  <c r="BD742" i="1"/>
  <c r="BE742" i="1"/>
  <c r="BF742" i="1"/>
  <c r="BG742" i="1"/>
  <c r="BH742" i="1"/>
  <c r="BI742" i="1"/>
  <c r="BJ742" i="1"/>
  <c r="BM742" i="1"/>
  <c r="CA742" i="1"/>
  <c r="CN742" i="1"/>
  <c r="CO742" i="1"/>
  <c r="CP742" i="1"/>
  <c r="CQ742" i="1"/>
  <c r="G743" i="1"/>
  <c r="U743" i="1"/>
  <c r="W743" i="1"/>
  <c r="AE743" i="1"/>
  <c r="AK743" i="1"/>
  <c r="AQ743" i="1"/>
  <c r="AU743" i="1"/>
  <c r="AV743" i="1"/>
  <c r="AW743" i="1"/>
  <c r="AX743" i="1"/>
  <c r="AY743" i="1"/>
  <c r="AZ743" i="1"/>
  <c r="BA743" i="1"/>
  <c r="BC743" i="1"/>
  <c r="BD743" i="1"/>
  <c r="BE743" i="1"/>
  <c r="BF743" i="1"/>
  <c r="BG743" i="1"/>
  <c r="BH743" i="1"/>
  <c r="BI743" i="1"/>
  <c r="BJ743" i="1"/>
  <c r="BM743" i="1"/>
  <c r="CA743" i="1"/>
  <c r="CN743" i="1"/>
  <c r="CO743" i="1"/>
  <c r="CP743" i="1"/>
  <c r="CQ743" i="1"/>
  <c r="G1844" i="1"/>
  <c r="U1844" i="1"/>
  <c r="W1844" i="1"/>
  <c r="AE1844" i="1"/>
  <c r="AK1844" i="1"/>
  <c r="AQ1844" i="1"/>
  <c r="AU1844" i="1"/>
  <c r="AV1844" i="1"/>
  <c r="AW1844" i="1"/>
  <c r="AX1844" i="1"/>
  <c r="AY1844" i="1"/>
  <c r="AZ1844" i="1"/>
  <c r="BA1844" i="1"/>
  <c r="BC1844" i="1"/>
  <c r="BD1844" i="1"/>
  <c r="BE1844" i="1"/>
  <c r="BF1844" i="1"/>
  <c r="BG1844" i="1"/>
  <c r="BH1844" i="1"/>
  <c r="BI1844" i="1"/>
  <c r="BJ1844" i="1"/>
  <c r="BM1844" i="1"/>
  <c r="CA1844" i="1"/>
  <c r="CN1844" i="1"/>
  <c r="CO1844" i="1"/>
  <c r="CP1844" i="1"/>
  <c r="CQ1844" i="1"/>
  <c r="G1362" i="1"/>
  <c r="U1362" i="1"/>
  <c r="W1362" i="1"/>
  <c r="AE1362" i="1"/>
  <c r="AK1362" i="1"/>
  <c r="AQ1362" i="1"/>
  <c r="AU1362" i="1"/>
  <c r="AV1362" i="1"/>
  <c r="AW1362" i="1"/>
  <c r="AX1362" i="1"/>
  <c r="AY1362" i="1"/>
  <c r="AZ1362" i="1"/>
  <c r="BA1362" i="1"/>
  <c r="BC1362" i="1"/>
  <c r="BD1362" i="1"/>
  <c r="BE1362" i="1"/>
  <c r="BF1362" i="1"/>
  <c r="BG1362" i="1"/>
  <c r="BH1362" i="1"/>
  <c r="BI1362" i="1"/>
  <c r="BJ1362" i="1"/>
  <c r="BM1362" i="1"/>
  <c r="CA1362" i="1"/>
  <c r="CN1362" i="1"/>
  <c r="CO1362" i="1"/>
  <c r="CP1362" i="1"/>
  <c r="CQ1362" i="1"/>
  <c r="G1845" i="1"/>
  <c r="U1845" i="1"/>
  <c r="W1845" i="1"/>
  <c r="AE1845" i="1"/>
  <c r="AK1845" i="1"/>
  <c r="AQ1845" i="1"/>
  <c r="AU1845" i="1"/>
  <c r="AV1845" i="1"/>
  <c r="AW1845" i="1"/>
  <c r="AX1845" i="1"/>
  <c r="AY1845" i="1"/>
  <c r="AZ1845" i="1"/>
  <c r="BA1845" i="1"/>
  <c r="BC1845" i="1"/>
  <c r="BD1845" i="1"/>
  <c r="BE1845" i="1"/>
  <c r="BF1845" i="1"/>
  <c r="BG1845" i="1"/>
  <c r="BH1845" i="1"/>
  <c r="BI1845" i="1"/>
  <c r="BJ1845" i="1"/>
  <c r="BM1845" i="1"/>
  <c r="CA1845" i="1"/>
  <c r="CN1845" i="1"/>
  <c r="CO1845" i="1"/>
  <c r="CP1845" i="1"/>
  <c r="CQ1845" i="1"/>
  <c r="G1846" i="1"/>
  <c r="U1846" i="1"/>
  <c r="W1846" i="1"/>
  <c r="AE1846" i="1"/>
  <c r="AK1846" i="1"/>
  <c r="AQ1846" i="1"/>
  <c r="AU1846" i="1"/>
  <c r="AV1846" i="1"/>
  <c r="AW1846" i="1"/>
  <c r="AX1846" i="1"/>
  <c r="AY1846" i="1"/>
  <c r="AZ1846" i="1"/>
  <c r="BA1846" i="1"/>
  <c r="BC1846" i="1"/>
  <c r="BD1846" i="1"/>
  <c r="BE1846" i="1"/>
  <c r="BF1846" i="1"/>
  <c r="BG1846" i="1"/>
  <c r="BH1846" i="1"/>
  <c r="BI1846" i="1"/>
  <c r="BJ1846" i="1"/>
  <c r="BM1846" i="1"/>
  <c r="CA1846" i="1"/>
  <c r="CN1846" i="1"/>
  <c r="CO1846" i="1"/>
  <c r="CP1846" i="1"/>
  <c r="CQ1846" i="1"/>
  <c r="G744" i="1"/>
  <c r="U744" i="1"/>
  <c r="W744" i="1"/>
  <c r="AE744" i="1"/>
  <c r="AK744" i="1"/>
  <c r="AQ744" i="1"/>
  <c r="AU744" i="1"/>
  <c r="AV744" i="1"/>
  <c r="AW744" i="1"/>
  <c r="AX744" i="1"/>
  <c r="AY744" i="1"/>
  <c r="AZ744" i="1"/>
  <c r="BA744" i="1"/>
  <c r="BC744" i="1"/>
  <c r="BD744" i="1"/>
  <c r="BE744" i="1"/>
  <c r="BF744" i="1"/>
  <c r="BG744" i="1"/>
  <c r="BH744" i="1"/>
  <c r="BI744" i="1"/>
  <c r="BJ744" i="1"/>
  <c r="BM744" i="1"/>
  <c r="CA744" i="1"/>
  <c r="CN744" i="1"/>
  <c r="CO744" i="1"/>
  <c r="CP744" i="1"/>
  <c r="CQ744" i="1"/>
  <c r="G1847" i="1"/>
  <c r="U1847" i="1"/>
  <c r="W1847" i="1"/>
  <c r="AE1847" i="1"/>
  <c r="AK1847" i="1"/>
  <c r="AQ1847" i="1"/>
  <c r="AU1847" i="1"/>
  <c r="AV1847" i="1"/>
  <c r="AW1847" i="1"/>
  <c r="AX1847" i="1"/>
  <c r="AY1847" i="1"/>
  <c r="AZ1847" i="1"/>
  <c r="BA1847" i="1"/>
  <c r="BC1847" i="1"/>
  <c r="BD1847" i="1"/>
  <c r="BE1847" i="1"/>
  <c r="BF1847" i="1"/>
  <c r="BG1847" i="1"/>
  <c r="BH1847" i="1"/>
  <c r="BI1847" i="1"/>
  <c r="BJ1847" i="1"/>
  <c r="BM1847" i="1"/>
  <c r="CA1847" i="1"/>
  <c r="CN1847" i="1"/>
  <c r="CO1847" i="1"/>
  <c r="CP1847" i="1"/>
  <c r="CQ1847" i="1"/>
  <c r="G1848" i="1"/>
  <c r="U1848" i="1"/>
  <c r="W1848" i="1"/>
  <c r="AE1848" i="1"/>
  <c r="AK1848" i="1"/>
  <c r="AQ1848" i="1"/>
  <c r="AU1848" i="1"/>
  <c r="AV1848" i="1"/>
  <c r="AW1848" i="1"/>
  <c r="AX1848" i="1"/>
  <c r="AY1848" i="1"/>
  <c r="AZ1848" i="1"/>
  <c r="BA1848" i="1"/>
  <c r="BC1848" i="1"/>
  <c r="BD1848" i="1"/>
  <c r="BE1848" i="1"/>
  <c r="BF1848" i="1"/>
  <c r="BG1848" i="1"/>
  <c r="BH1848" i="1"/>
  <c r="BI1848" i="1"/>
  <c r="BJ1848" i="1"/>
  <c r="BM1848" i="1"/>
  <c r="CA1848" i="1"/>
  <c r="CN1848" i="1"/>
  <c r="CO1848" i="1"/>
  <c r="CP1848" i="1"/>
  <c r="CQ1848" i="1"/>
  <c r="G745" i="1"/>
  <c r="U745" i="1"/>
  <c r="W745" i="1"/>
  <c r="AE745" i="1"/>
  <c r="AK745" i="1"/>
  <c r="AQ745" i="1"/>
  <c r="AU745" i="1"/>
  <c r="AV745" i="1"/>
  <c r="AW745" i="1"/>
  <c r="AX745" i="1"/>
  <c r="AY745" i="1"/>
  <c r="AZ745" i="1"/>
  <c r="BA745" i="1"/>
  <c r="BC745" i="1"/>
  <c r="BD745" i="1"/>
  <c r="BE745" i="1"/>
  <c r="BF745" i="1"/>
  <c r="BG745" i="1"/>
  <c r="BH745" i="1"/>
  <c r="BI745" i="1"/>
  <c r="BJ745" i="1"/>
  <c r="BM745" i="1"/>
  <c r="CA745" i="1"/>
  <c r="CN745" i="1"/>
  <c r="CO745" i="1"/>
  <c r="CP745" i="1"/>
  <c r="CQ745" i="1"/>
  <c r="G746" i="1"/>
  <c r="U746" i="1"/>
  <c r="W746" i="1"/>
  <c r="AE746" i="1"/>
  <c r="AK746" i="1"/>
  <c r="AQ746" i="1"/>
  <c r="AU746" i="1"/>
  <c r="AV746" i="1"/>
  <c r="AW746" i="1"/>
  <c r="AX746" i="1"/>
  <c r="AY746" i="1"/>
  <c r="AZ746" i="1"/>
  <c r="BA746" i="1"/>
  <c r="BC746" i="1"/>
  <c r="BD746" i="1"/>
  <c r="BE746" i="1"/>
  <c r="BF746" i="1"/>
  <c r="BG746" i="1"/>
  <c r="BH746" i="1"/>
  <c r="BI746" i="1"/>
  <c r="BJ746" i="1"/>
  <c r="BM746" i="1"/>
  <c r="CA746" i="1"/>
  <c r="CN746" i="1"/>
  <c r="CO746" i="1"/>
  <c r="CP746" i="1"/>
  <c r="CQ746" i="1"/>
  <c r="G747" i="1"/>
  <c r="U747" i="1"/>
  <c r="W747" i="1"/>
  <c r="AE747" i="1"/>
  <c r="AK747" i="1"/>
  <c r="AQ747" i="1"/>
  <c r="AU747" i="1"/>
  <c r="AV747" i="1"/>
  <c r="AW747" i="1"/>
  <c r="AX747" i="1"/>
  <c r="AY747" i="1"/>
  <c r="AZ747" i="1"/>
  <c r="BA747" i="1"/>
  <c r="BC747" i="1"/>
  <c r="BD747" i="1"/>
  <c r="BE747" i="1"/>
  <c r="BF747" i="1"/>
  <c r="BG747" i="1"/>
  <c r="BH747" i="1"/>
  <c r="BI747" i="1"/>
  <c r="BJ747" i="1"/>
  <c r="BM747" i="1"/>
  <c r="CA747" i="1"/>
  <c r="CN747" i="1"/>
  <c r="CO747" i="1"/>
  <c r="CP747" i="1"/>
  <c r="CQ747" i="1"/>
  <c r="G1363" i="1"/>
  <c r="U1363" i="1"/>
  <c r="W1363" i="1"/>
  <c r="AE1363" i="1"/>
  <c r="AK1363" i="1"/>
  <c r="AQ1363" i="1"/>
  <c r="AU1363" i="1"/>
  <c r="AV1363" i="1"/>
  <c r="AW1363" i="1"/>
  <c r="AX1363" i="1"/>
  <c r="AY1363" i="1"/>
  <c r="AZ1363" i="1"/>
  <c r="BA1363" i="1"/>
  <c r="BC1363" i="1"/>
  <c r="BD1363" i="1"/>
  <c r="BE1363" i="1"/>
  <c r="BF1363" i="1"/>
  <c r="BG1363" i="1"/>
  <c r="BH1363" i="1"/>
  <c r="BI1363" i="1"/>
  <c r="BJ1363" i="1"/>
  <c r="BM1363" i="1"/>
  <c r="CA1363" i="1"/>
  <c r="CN1363" i="1"/>
  <c r="CO1363" i="1"/>
  <c r="CP1363" i="1"/>
  <c r="CQ1363" i="1"/>
  <c r="G748" i="1"/>
  <c r="U748" i="1"/>
  <c r="W748" i="1"/>
  <c r="AE748" i="1"/>
  <c r="AK748" i="1"/>
  <c r="AQ748" i="1"/>
  <c r="AU748" i="1"/>
  <c r="AV748" i="1"/>
  <c r="AW748" i="1"/>
  <c r="AX748" i="1"/>
  <c r="AY748" i="1"/>
  <c r="AZ748" i="1"/>
  <c r="BA748" i="1"/>
  <c r="BC748" i="1"/>
  <c r="BD748" i="1"/>
  <c r="BE748" i="1"/>
  <c r="BF748" i="1"/>
  <c r="BG748" i="1"/>
  <c r="BH748" i="1"/>
  <c r="BI748" i="1"/>
  <c r="BJ748" i="1"/>
  <c r="BM748" i="1"/>
  <c r="CA748" i="1"/>
  <c r="CN748" i="1"/>
  <c r="CO748" i="1"/>
  <c r="CP748" i="1"/>
  <c r="CQ748" i="1"/>
  <c r="G1849" i="1"/>
  <c r="U1849" i="1"/>
  <c r="W1849" i="1"/>
  <c r="AE1849" i="1"/>
  <c r="AK1849" i="1"/>
  <c r="AQ1849" i="1"/>
  <c r="AU1849" i="1"/>
  <c r="AV1849" i="1"/>
  <c r="AW1849" i="1"/>
  <c r="AX1849" i="1"/>
  <c r="AY1849" i="1"/>
  <c r="AZ1849" i="1"/>
  <c r="BA1849" i="1"/>
  <c r="BC1849" i="1"/>
  <c r="BD1849" i="1"/>
  <c r="BE1849" i="1"/>
  <c r="BF1849" i="1"/>
  <c r="BG1849" i="1"/>
  <c r="BH1849" i="1"/>
  <c r="BI1849" i="1"/>
  <c r="BJ1849" i="1"/>
  <c r="BM1849" i="1"/>
  <c r="CA1849" i="1"/>
  <c r="CN1849" i="1"/>
  <c r="CO1849" i="1"/>
  <c r="CP1849" i="1"/>
  <c r="CQ1849" i="1"/>
  <c r="G1364" i="1"/>
  <c r="U1364" i="1"/>
  <c r="W1364" i="1"/>
  <c r="AE1364" i="1"/>
  <c r="AK1364" i="1"/>
  <c r="AQ1364" i="1"/>
  <c r="AU1364" i="1"/>
  <c r="AV1364" i="1"/>
  <c r="AW1364" i="1"/>
  <c r="AX1364" i="1"/>
  <c r="AY1364" i="1"/>
  <c r="AZ1364" i="1"/>
  <c r="BA1364" i="1"/>
  <c r="BC1364" i="1"/>
  <c r="BD1364" i="1"/>
  <c r="BE1364" i="1"/>
  <c r="BF1364" i="1"/>
  <c r="BG1364" i="1"/>
  <c r="BH1364" i="1"/>
  <c r="BI1364" i="1"/>
  <c r="BJ1364" i="1"/>
  <c r="BM1364" i="1"/>
  <c r="CA1364" i="1"/>
  <c r="CN1364" i="1"/>
  <c r="CO1364" i="1"/>
  <c r="CP1364" i="1"/>
  <c r="CQ1364" i="1"/>
  <c r="G100" i="1"/>
  <c r="U100" i="1"/>
  <c r="W100" i="1"/>
  <c r="AE100" i="1"/>
  <c r="AK100" i="1"/>
  <c r="AQ100" i="1"/>
  <c r="AU100" i="1"/>
  <c r="AV100" i="1"/>
  <c r="AW100" i="1"/>
  <c r="AX100" i="1"/>
  <c r="AY100" i="1"/>
  <c r="AZ100" i="1"/>
  <c r="BA100" i="1"/>
  <c r="BC100" i="1"/>
  <c r="BD100" i="1"/>
  <c r="BE100" i="1"/>
  <c r="BF100" i="1"/>
  <c r="BG100" i="1"/>
  <c r="BH100" i="1"/>
  <c r="BI100" i="1"/>
  <c r="BJ100" i="1"/>
  <c r="BM100" i="1"/>
  <c r="CA100" i="1"/>
  <c r="CN100" i="1"/>
  <c r="CO100" i="1"/>
  <c r="CP100" i="1"/>
  <c r="CQ100" i="1"/>
  <c r="G1850" i="1"/>
  <c r="U1850" i="1"/>
  <c r="W1850" i="1"/>
  <c r="AE1850" i="1"/>
  <c r="AK1850" i="1"/>
  <c r="AQ1850" i="1"/>
  <c r="AU1850" i="1"/>
  <c r="AV1850" i="1"/>
  <c r="AW1850" i="1"/>
  <c r="AX1850" i="1"/>
  <c r="AY1850" i="1"/>
  <c r="AZ1850" i="1"/>
  <c r="BA1850" i="1"/>
  <c r="BC1850" i="1"/>
  <c r="BD1850" i="1"/>
  <c r="BE1850" i="1"/>
  <c r="BF1850" i="1"/>
  <c r="BG1850" i="1"/>
  <c r="BH1850" i="1"/>
  <c r="BI1850" i="1"/>
  <c r="BJ1850" i="1"/>
  <c r="BM1850" i="1"/>
  <c r="CA1850" i="1"/>
  <c r="CN1850" i="1"/>
  <c r="CO1850" i="1"/>
  <c r="CP1850" i="1"/>
  <c r="CQ1850" i="1"/>
  <c r="G101" i="1"/>
  <c r="U101" i="1"/>
  <c r="W101" i="1"/>
  <c r="AE101" i="1"/>
  <c r="AK101" i="1"/>
  <c r="AQ101" i="1"/>
  <c r="AU101" i="1"/>
  <c r="AV101" i="1"/>
  <c r="AW101" i="1"/>
  <c r="AX101" i="1"/>
  <c r="AY101" i="1"/>
  <c r="AZ101" i="1"/>
  <c r="BA101" i="1"/>
  <c r="BC101" i="1"/>
  <c r="BD101" i="1"/>
  <c r="BE101" i="1"/>
  <c r="BF101" i="1"/>
  <c r="BG101" i="1"/>
  <c r="BH101" i="1"/>
  <c r="BI101" i="1"/>
  <c r="BJ101" i="1"/>
  <c r="BM101" i="1"/>
  <c r="CA101" i="1"/>
  <c r="CN101" i="1"/>
  <c r="CO101" i="1"/>
  <c r="CP101" i="1"/>
  <c r="CQ101" i="1"/>
  <c r="G749" i="1"/>
  <c r="U749" i="1"/>
  <c r="W749" i="1"/>
  <c r="AE749" i="1"/>
  <c r="AK749" i="1"/>
  <c r="AQ749" i="1"/>
  <c r="AU749" i="1"/>
  <c r="AV749" i="1"/>
  <c r="AW749" i="1"/>
  <c r="AX749" i="1"/>
  <c r="AY749" i="1"/>
  <c r="AZ749" i="1"/>
  <c r="BA749" i="1"/>
  <c r="BC749" i="1"/>
  <c r="BD749" i="1"/>
  <c r="BE749" i="1"/>
  <c r="BF749" i="1"/>
  <c r="BG749" i="1"/>
  <c r="BH749" i="1"/>
  <c r="BI749" i="1"/>
  <c r="BJ749" i="1"/>
  <c r="BM749" i="1"/>
  <c r="CA749" i="1"/>
  <c r="CN749" i="1"/>
  <c r="CO749" i="1"/>
  <c r="CP749" i="1"/>
  <c r="CQ749" i="1"/>
  <c r="G1851" i="1"/>
  <c r="U1851" i="1"/>
  <c r="W1851" i="1"/>
  <c r="AE1851" i="1"/>
  <c r="AK1851" i="1"/>
  <c r="AQ1851" i="1"/>
  <c r="AU1851" i="1"/>
  <c r="AV1851" i="1"/>
  <c r="AW1851" i="1"/>
  <c r="AX1851" i="1"/>
  <c r="AY1851" i="1"/>
  <c r="AZ1851" i="1"/>
  <c r="BA1851" i="1"/>
  <c r="BC1851" i="1"/>
  <c r="BD1851" i="1"/>
  <c r="BE1851" i="1"/>
  <c r="BF1851" i="1"/>
  <c r="BG1851" i="1"/>
  <c r="BH1851" i="1"/>
  <c r="BI1851" i="1"/>
  <c r="BJ1851" i="1"/>
  <c r="BM1851" i="1"/>
  <c r="CA1851" i="1"/>
  <c r="CN1851" i="1"/>
  <c r="CO1851" i="1"/>
  <c r="CP1851" i="1"/>
  <c r="CQ1851" i="1"/>
  <c r="G102" i="1"/>
  <c r="U102" i="1"/>
  <c r="W102" i="1"/>
  <c r="AE102" i="1"/>
  <c r="AK102" i="1"/>
  <c r="AQ102" i="1"/>
  <c r="AU102" i="1"/>
  <c r="AV102" i="1"/>
  <c r="AW102" i="1"/>
  <c r="AX102" i="1"/>
  <c r="AY102" i="1"/>
  <c r="AZ102" i="1"/>
  <c r="BA102" i="1"/>
  <c r="BC102" i="1"/>
  <c r="BD102" i="1"/>
  <c r="BE102" i="1"/>
  <c r="BF102" i="1"/>
  <c r="BG102" i="1"/>
  <c r="BH102" i="1"/>
  <c r="BI102" i="1"/>
  <c r="BJ102" i="1"/>
  <c r="BM102" i="1"/>
  <c r="CA102" i="1"/>
  <c r="CN102" i="1"/>
  <c r="CO102" i="1"/>
  <c r="CP102" i="1"/>
  <c r="CQ102" i="1"/>
  <c r="G1365" i="1"/>
  <c r="U1365" i="1"/>
  <c r="W1365" i="1"/>
  <c r="AE1365" i="1"/>
  <c r="AK1365" i="1"/>
  <c r="AQ1365" i="1"/>
  <c r="AU1365" i="1"/>
  <c r="AV1365" i="1"/>
  <c r="AW1365" i="1"/>
  <c r="AX1365" i="1"/>
  <c r="AY1365" i="1"/>
  <c r="AZ1365" i="1"/>
  <c r="BA1365" i="1"/>
  <c r="BC1365" i="1"/>
  <c r="BD1365" i="1"/>
  <c r="BE1365" i="1"/>
  <c r="BF1365" i="1"/>
  <c r="BG1365" i="1"/>
  <c r="BH1365" i="1"/>
  <c r="BI1365" i="1"/>
  <c r="BJ1365" i="1"/>
  <c r="BM1365" i="1"/>
  <c r="CA1365" i="1"/>
  <c r="CN1365" i="1"/>
  <c r="CO1365" i="1"/>
  <c r="CP1365" i="1"/>
  <c r="CQ1365" i="1"/>
  <c r="G750" i="1"/>
  <c r="U750" i="1"/>
  <c r="W750" i="1"/>
  <c r="AE750" i="1"/>
  <c r="AK750" i="1"/>
  <c r="AQ750" i="1"/>
  <c r="AU750" i="1"/>
  <c r="AV750" i="1"/>
  <c r="AW750" i="1"/>
  <c r="AX750" i="1"/>
  <c r="AY750" i="1"/>
  <c r="AZ750" i="1"/>
  <c r="BA750" i="1"/>
  <c r="BC750" i="1"/>
  <c r="BD750" i="1"/>
  <c r="BE750" i="1"/>
  <c r="BF750" i="1"/>
  <c r="BG750" i="1"/>
  <c r="BH750" i="1"/>
  <c r="BI750" i="1"/>
  <c r="BJ750" i="1"/>
  <c r="BM750" i="1"/>
  <c r="CA750" i="1"/>
  <c r="CN750" i="1"/>
  <c r="CO750" i="1"/>
  <c r="CP750" i="1"/>
  <c r="CQ750" i="1"/>
  <c r="G1852" i="1"/>
  <c r="U1852" i="1"/>
  <c r="W1852" i="1"/>
  <c r="AE1852" i="1"/>
  <c r="AK1852" i="1"/>
  <c r="AQ1852" i="1"/>
  <c r="AU1852" i="1"/>
  <c r="AV1852" i="1"/>
  <c r="AW1852" i="1"/>
  <c r="AX1852" i="1"/>
  <c r="AY1852" i="1"/>
  <c r="AZ1852" i="1"/>
  <c r="BA1852" i="1"/>
  <c r="BC1852" i="1"/>
  <c r="BD1852" i="1"/>
  <c r="BE1852" i="1"/>
  <c r="BF1852" i="1"/>
  <c r="BG1852" i="1"/>
  <c r="BH1852" i="1"/>
  <c r="BI1852" i="1"/>
  <c r="BJ1852" i="1"/>
  <c r="BM1852" i="1"/>
  <c r="CA1852" i="1"/>
  <c r="CN1852" i="1"/>
  <c r="CO1852" i="1"/>
  <c r="CP1852" i="1"/>
  <c r="CQ1852" i="1"/>
  <c r="G103" i="1"/>
  <c r="U103" i="1"/>
  <c r="W103" i="1"/>
  <c r="AE103" i="1"/>
  <c r="AK103" i="1"/>
  <c r="AQ103" i="1"/>
  <c r="AU103" i="1"/>
  <c r="AV103" i="1"/>
  <c r="AW103" i="1"/>
  <c r="AX103" i="1"/>
  <c r="AY103" i="1"/>
  <c r="AZ103" i="1"/>
  <c r="BA103" i="1"/>
  <c r="BC103" i="1"/>
  <c r="BD103" i="1"/>
  <c r="BE103" i="1"/>
  <c r="BF103" i="1"/>
  <c r="BG103" i="1"/>
  <c r="BH103" i="1"/>
  <c r="BI103" i="1"/>
  <c r="BJ103" i="1"/>
  <c r="BM103" i="1"/>
  <c r="CA103" i="1"/>
  <c r="CN103" i="1"/>
  <c r="CO103" i="1"/>
  <c r="CP103" i="1"/>
  <c r="CQ103" i="1"/>
  <c r="G104" i="1"/>
  <c r="U104" i="1"/>
  <c r="W104" i="1"/>
  <c r="AE104" i="1"/>
  <c r="AK104" i="1"/>
  <c r="AQ104" i="1"/>
  <c r="AU104" i="1"/>
  <c r="AV104" i="1"/>
  <c r="AW104" i="1"/>
  <c r="AX104" i="1"/>
  <c r="AY104" i="1"/>
  <c r="AZ104" i="1"/>
  <c r="BA104" i="1"/>
  <c r="BC104" i="1"/>
  <c r="BD104" i="1"/>
  <c r="BE104" i="1"/>
  <c r="BF104" i="1"/>
  <c r="BG104" i="1"/>
  <c r="BH104" i="1"/>
  <c r="BI104" i="1"/>
  <c r="BJ104" i="1"/>
  <c r="BM104" i="1"/>
  <c r="CA104" i="1"/>
  <c r="CN104" i="1"/>
  <c r="CO104" i="1"/>
  <c r="CP104" i="1"/>
  <c r="CQ104" i="1"/>
  <c r="G751" i="1"/>
  <c r="U751" i="1"/>
  <c r="W751" i="1"/>
  <c r="AE751" i="1"/>
  <c r="AK751" i="1"/>
  <c r="AQ751" i="1"/>
  <c r="AU751" i="1"/>
  <c r="AV751" i="1"/>
  <c r="AW751" i="1"/>
  <c r="AX751" i="1"/>
  <c r="AY751" i="1"/>
  <c r="AZ751" i="1"/>
  <c r="BA751" i="1"/>
  <c r="BC751" i="1"/>
  <c r="BD751" i="1"/>
  <c r="BE751" i="1"/>
  <c r="BF751" i="1"/>
  <c r="BG751" i="1"/>
  <c r="BH751" i="1"/>
  <c r="BI751" i="1"/>
  <c r="BJ751" i="1"/>
  <c r="BM751" i="1"/>
  <c r="CA751" i="1"/>
  <c r="CN751" i="1"/>
  <c r="CO751" i="1"/>
  <c r="CP751" i="1"/>
  <c r="CQ751" i="1"/>
  <c r="G1853" i="1"/>
  <c r="U1853" i="1"/>
  <c r="W1853" i="1"/>
  <c r="AE1853" i="1"/>
  <c r="AK1853" i="1"/>
  <c r="AQ1853" i="1"/>
  <c r="AU1853" i="1"/>
  <c r="AV1853" i="1"/>
  <c r="AW1853" i="1"/>
  <c r="AX1853" i="1"/>
  <c r="AY1853" i="1"/>
  <c r="AZ1853" i="1"/>
  <c r="BA1853" i="1"/>
  <c r="BC1853" i="1"/>
  <c r="BD1853" i="1"/>
  <c r="BE1853" i="1"/>
  <c r="BF1853" i="1"/>
  <c r="BG1853" i="1"/>
  <c r="BH1853" i="1"/>
  <c r="BI1853" i="1"/>
  <c r="BJ1853" i="1"/>
  <c r="BM1853" i="1"/>
  <c r="CA1853" i="1"/>
  <c r="CN1853" i="1"/>
  <c r="CO1853" i="1"/>
  <c r="CP1853" i="1"/>
  <c r="CQ1853" i="1"/>
  <c r="G1366" i="1"/>
  <c r="U1366" i="1"/>
  <c r="W1366" i="1"/>
  <c r="AE1366" i="1"/>
  <c r="AK1366" i="1"/>
  <c r="AQ1366" i="1"/>
  <c r="AU1366" i="1"/>
  <c r="AV1366" i="1"/>
  <c r="AW1366" i="1"/>
  <c r="AX1366" i="1"/>
  <c r="AY1366" i="1"/>
  <c r="AZ1366" i="1"/>
  <c r="BA1366" i="1"/>
  <c r="BC1366" i="1"/>
  <c r="BD1366" i="1"/>
  <c r="BE1366" i="1"/>
  <c r="BF1366" i="1"/>
  <c r="BG1366" i="1"/>
  <c r="BH1366" i="1"/>
  <c r="BI1366" i="1"/>
  <c r="BJ1366" i="1"/>
  <c r="BM1366" i="1"/>
  <c r="CA1366" i="1"/>
  <c r="CN1366" i="1"/>
  <c r="CO1366" i="1"/>
  <c r="CP1366" i="1"/>
  <c r="CQ1366" i="1"/>
  <c r="G105" i="1"/>
  <c r="U105" i="1"/>
  <c r="W105" i="1"/>
  <c r="AE105" i="1"/>
  <c r="AK105" i="1"/>
  <c r="AQ105" i="1"/>
  <c r="AU105" i="1"/>
  <c r="AV105" i="1"/>
  <c r="AW105" i="1"/>
  <c r="AX105" i="1"/>
  <c r="AY105" i="1"/>
  <c r="AZ105" i="1"/>
  <c r="BA105" i="1"/>
  <c r="BC105" i="1"/>
  <c r="BD105" i="1"/>
  <c r="BE105" i="1"/>
  <c r="BF105" i="1"/>
  <c r="BG105" i="1"/>
  <c r="BH105" i="1"/>
  <c r="BI105" i="1"/>
  <c r="BJ105" i="1"/>
  <c r="BM105" i="1"/>
  <c r="CA105" i="1"/>
  <c r="CN105" i="1"/>
  <c r="CO105" i="1"/>
  <c r="CP105" i="1"/>
  <c r="CQ105" i="1"/>
  <c r="G1367" i="1"/>
  <c r="U1367" i="1"/>
  <c r="W1367" i="1"/>
  <c r="AE1367" i="1"/>
  <c r="AK1367" i="1"/>
  <c r="AQ1367" i="1"/>
  <c r="AU1367" i="1"/>
  <c r="AV1367" i="1"/>
  <c r="AW1367" i="1"/>
  <c r="AX1367" i="1"/>
  <c r="AY1367" i="1"/>
  <c r="AZ1367" i="1"/>
  <c r="BA1367" i="1"/>
  <c r="BC1367" i="1"/>
  <c r="BD1367" i="1"/>
  <c r="BE1367" i="1"/>
  <c r="BF1367" i="1"/>
  <c r="BG1367" i="1"/>
  <c r="BH1367" i="1"/>
  <c r="BI1367" i="1"/>
  <c r="BJ1367" i="1"/>
  <c r="BM1367" i="1"/>
  <c r="CA1367" i="1"/>
  <c r="CN1367" i="1"/>
  <c r="CO1367" i="1"/>
  <c r="CP1367" i="1"/>
  <c r="CQ1367" i="1"/>
  <c r="G752" i="1"/>
  <c r="U752" i="1"/>
  <c r="W752" i="1"/>
  <c r="AE752" i="1"/>
  <c r="AK752" i="1"/>
  <c r="AQ752" i="1"/>
  <c r="AU752" i="1"/>
  <c r="AV752" i="1"/>
  <c r="AW752" i="1"/>
  <c r="AX752" i="1"/>
  <c r="AY752" i="1"/>
  <c r="AZ752" i="1"/>
  <c r="BA752" i="1"/>
  <c r="BC752" i="1"/>
  <c r="BD752" i="1"/>
  <c r="BE752" i="1"/>
  <c r="BF752" i="1"/>
  <c r="BG752" i="1"/>
  <c r="BH752" i="1"/>
  <c r="BI752" i="1"/>
  <c r="BJ752" i="1"/>
  <c r="BM752" i="1"/>
  <c r="CA752" i="1"/>
  <c r="CN752" i="1"/>
  <c r="CO752" i="1"/>
  <c r="CP752" i="1"/>
  <c r="CQ752" i="1"/>
  <c r="G753" i="1"/>
  <c r="U753" i="1"/>
  <c r="W753" i="1"/>
  <c r="AE753" i="1"/>
  <c r="AK753" i="1"/>
  <c r="AQ753" i="1"/>
  <c r="AU753" i="1"/>
  <c r="AV753" i="1"/>
  <c r="AW753" i="1"/>
  <c r="AX753" i="1"/>
  <c r="AY753" i="1"/>
  <c r="AZ753" i="1"/>
  <c r="BA753" i="1"/>
  <c r="BC753" i="1"/>
  <c r="BD753" i="1"/>
  <c r="BE753" i="1"/>
  <c r="BF753" i="1"/>
  <c r="BG753" i="1"/>
  <c r="BH753" i="1"/>
  <c r="BI753" i="1"/>
  <c r="BJ753" i="1"/>
  <c r="BM753" i="1"/>
  <c r="CA753" i="1"/>
  <c r="CN753" i="1"/>
  <c r="CO753" i="1"/>
  <c r="CP753" i="1"/>
  <c r="CQ753" i="1"/>
  <c r="G754" i="1"/>
  <c r="U754" i="1"/>
  <c r="W754" i="1"/>
  <c r="AE754" i="1"/>
  <c r="AK754" i="1"/>
  <c r="AQ754" i="1"/>
  <c r="AU754" i="1"/>
  <c r="AV754" i="1"/>
  <c r="AW754" i="1"/>
  <c r="AX754" i="1"/>
  <c r="AY754" i="1"/>
  <c r="AZ754" i="1"/>
  <c r="BA754" i="1"/>
  <c r="BC754" i="1"/>
  <c r="BD754" i="1"/>
  <c r="BE754" i="1"/>
  <c r="BF754" i="1"/>
  <c r="BG754" i="1"/>
  <c r="BH754" i="1"/>
  <c r="BI754" i="1"/>
  <c r="BJ754" i="1"/>
  <c r="BM754" i="1"/>
  <c r="CA754" i="1"/>
  <c r="CN754" i="1"/>
  <c r="CO754" i="1"/>
  <c r="CP754" i="1"/>
  <c r="CQ754" i="1"/>
  <c r="G755" i="1"/>
  <c r="U755" i="1"/>
  <c r="W755" i="1"/>
  <c r="AE755" i="1"/>
  <c r="AK755" i="1"/>
  <c r="AQ755" i="1"/>
  <c r="AU755" i="1"/>
  <c r="AV755" i="1"/>
  <c r="AW755" i="1"/>
  <c r="AX755" i="1"/>
  <c r="AY755" i="1"/>
  <c r="AZ755" i="1"/>
  <c r="BA755" i="1"/>
  <c r="BC755" i="1"/>
  <c r="BD755" i="1"/>
  <c r="BE755" i="1"/>
  <c r="BF755" i="1"/>
  <c r="BG755" i="1"/>
  <c r="BH755" i="1"/>
  <c r="BI755" i="1"/>
  <c r="BJ755" i="1"/>
  <c r="BM755" i="1"/>
  <c r="CA755" i="1"/>
  <c r="CN755" i="1"/>
  <c r="CO755" i="1"/>
  <c r="CP755" i="1"/>
  <c r="CQ755" i="1"/>
  <c r="G385" i="1"/>
  <c r="U385" i="1"/>
  <c r="W385" i="1"/>
  <c r="AE385" i="1"/>
  <c r="AK385" i="1"/>
  <c r="AQ385" i="1"/>
  <c r="AU385" i="1"/>
  <c r="AV385" i="1"/>
  <c r="AW385" i="1"/>
  <c r="AX385" i="1"/>
  <c r="AY385" i="1"/>
  <c r="AZ385" i="1"/>
  <c r="BA385" i="1"/>
  <c r="BC385" i="1"/>
  <c r="BD385" i="1"/>
  <c r="BE385" i="1"/>
  <c r="BF385" i="1"/>
  <c r="BG385" i="1"/>
  <c r="BH385" i="1"/>
  <c r="BI385" i="1"/>
  <c r="BJ385" i="1"/>
  <c r="BM385" i="1"/>
  <c r="CA385" i="1"/>
  <c r="CN385" i="1"/>
  <c r="CO385" i="1"/>
  <c r="CP385" i="1"/>
  <c r="CQ385" i="1"/>
  <c r="G1568" i="1"/>
  <c r="U1568" i="1"/>
  <c r="W1568" i="1"/>
  <c r="AE1568" i="1"/>
  <c r="AK1568" i="1"/>
  <c r="AQ1568" i="1"/>
  <c r="AU1568" i="1"/>
  <c r="AV1568" i="1"/>
  <c r="AW1568" i="1"/>
  <c r="AX1568" i="1"/>
  <c r="AY1568" i="1"/>
  <c r="AZ1568" i="1"/>
  <c r="BA1568" i="1"/>
  <c r="BC1568" i="1"/>
  <c r="BD1568" i="1"/>
  <c r="BE1568" i="1"/>
  <c r="BF1568" i="1"/>
  <c r="BG1568" i="1"/>
  <c r="BH1568" i="1"/>
  <c r="BI1568" i="1"/>
  <c r="BJ1568" i="1"/>
  <c r="BM1568" i="1"/>
  <c r="CA1568" i="1"/>
  <c r="CN1568" i="1"/>
  <c r="CO1568" i="1"/>
  <c r="CP1568" i="1"/>
  <c r="CQ1568" i="1"/>
  <c r="G756" i="1"/>
  <c r="U756" i="1"/>
  <c r="W756" i="1"/>
  <c r="AE756" i="1"/>
  <c r="AK756" i="1"/>
  <c r="AQ756" i="1"/>
  <c r="AU756" i="1"/>
  <c r="AV756" i="1"/>
  <c r="AW756" i="1"/>
  <c r="AX756" i="1"/>
  <c r="AY756" i="1"/>
  <c r="AZ756" i="1"/>
  <c r="BA756" i="1"/>
  <c r="BC756" i="1"/>
  <c r="BD756" i="1"/>
  <c r="BE756" i="1"/>
  <c r="BF756" i="1"/>
  <c r="BG756" i="1"/>
  <c r="BH756" i="1"/>
  <c r="BI756" i="1"/>
  <c r="BJ756" i="1"/>
  <c r="BM756" i="1"/>
  <c r="CA756" i="1"/>
  <c r="CN756" i="1"/>
  <c r="CO756" i="1"/>
  <c r="CP756" i="1"/>
  <c r="CQ756" i="1"/>
  <c r="G1854" i="1"/>
  <c r="U1854" i="1"/>
  <c r="W1854" i="1"/>
  <c r="AE1854" i="1"/>
  <c r="AK1854" i="1"/>
  <c r="AQ1854" i="1"/>
  <c r="AU1854" i="1"/>
  <c r="AV1854" i="1"/>
  <c r="AW1854" i="1"/>
  <c r="AX1854" i="1"/>
  <c r="AY1854" i="1"/>
  <c r="AZ1854" i="1"/>
  <c r="BA1854" i="1"/>
  <c r="BC1854" i="1"/>
  <c r="BD1854" i="1"/>
  <c r="BE1854" i="1"/>
  <c r="BF1854" i="1"/>
  <c r="BG1854" i="1"/>
  <c r="BH1854" i="1"/>
  <c r="BI1854" i="1"/>
  <c r="BJ1854" i="1"/>
  <c r="BM1854" i="1"/>
  <c r="CA1854" i="1"/>
  <c r="CN1854" i="1"/>
  <c r="CO1854" i="1"/>
  <c r="CP1854" i="1"/>
  <c r="CQ1854" i="1"/>
  <c r="G757" i="1"/>
  <c r="U757" i="1"/>
  <c r="W757" i="1"/>
  <c r="AE757" i="1"/>
  <c r="AK757" i="1"/>
  <c r="AQ757" i="1"/>
  <c r="AU757" i="1"/>
  <c r="AV757" i="1"/>
  <c r="AW757" i="1"/>
  <c r="AX757" i="1"/>
  <c r="AY757" i="1"/>
  <c r="AZ757" i="1"/>
  <c r="BA757" i="1"/>
  <c r="BC757" i="1"/>
  <c r="BD757" i="1"/>
  <c r="BE757" i="1"/>
  <c r="BF757" i="1"/>
  <c r="BG757" i="1"/>
  <c r="BH757" i="1"/>
  <c r="BI757" i="1"/>
  <c r="BJ757" i="1"/>
  <c r="BM757" i="1"/>
  <c r="CA757" i="1"/>
  <c r="CN757" i="1"/>
  <c r="CO757" i="1"/>
  <c r="CP757" i="1"/>
  <c r="CQ757" i="1"/>
  <c r="G758" i="1"/>
  <c r="U758" i="1"/>
  <c r="W758" i="1"/>
  <c r="AE758" i="1"/>
  <c r="AK758" i="1"/>
  <c r="AQ758" i="1"/>
  <c r="AU758" i="1"/>
  <c r="AV758" i="1"/>
  <c r="AW758" i="1"/>
  <c r="AX758" i="1"/>
  <c r="AY758" i="1"/>
  <c r="AZ758" i="1"/>
  <c r="BA758" i="1"/>
  <c r="BC758" i="1"/>
  <c r="BD758" i="1"/>
  <c r="BE758" i="1"/>
  <c r="BF758" i="1"/>
  <c r="BG758" i="1"/>
  <c r="BH758" i="1"/>
  <c r="BI758" i="1"/>
  <c r="BJ758" i="1"/>
  <c r="BM758" i="1"/>
  <c r="CA758" i="1"/>
  <c r="CN758" i="1"/>
  <c r="CO758" i="1"/>
  <c r="CP758" i="1"/>
  <c r="CQ758" i="1"/>
  <c r="G759" i="1"/>
  <c r="U759" i="1"/>
  <c r="W759" i="1"/>
  <c r="AE759" i="1"/>
  <c r="AK759" i="1"/>
  <c r="AQ759" i="1"/>
  <c r="AU759" i="1"/>
  <c r="AV759" i="1"/>
  <c r="AW759" i="1"/>
  <c r="AX759" i="1"/>
  <c r="AY759" i="1"/>
  <c r="AZ759" i="1"/>
  <c r="BA759" i="1"/>
  <c r="BC759" i="1"/>
  <c r="BD759" i="1"/>
  <c r="BE759" i="1"/>
  <c r="BF759" i="1"/>
  <c r="BG759" i="1"/>
  <c r="BH759" i="1"/>
  <c r="BI759" i="1"/>
  <c r="BJ759" i="1"/>
  <c r="BM759" i="1"/>
  <c r="CA759" i="1"/>
  <c r="CN759" i="1"/>
  <c r="CO759" i="1"/>
  <c r="CP759" i="1"/>
  <c r="CQ759" i="1"/>
  <c r="G1368" i="1"/>
  <c r="U1368" i="1"/>
  <c r="W1368" i="1"/>
  <c r="AE1368" i="1"/>
  <c r="AK1368" i="1"/>
  <c r="AQ1368" i="1"/>
  <c r="AU1368" i="1"/>
  <c r="AV1368" i="1"/>
  <c r="AW1368" i="1"/>
  <c r="AX1368" i="1"/>
  <c r="AY1368" i="1"/>
  <c r="AZ1368" i="1"/>
  <c r="BA1368" i="1"/>
  <c r="BC1368" i="1"/>
  <c r="BD1368" i="1"/>
  <c r="BE1368" i="1"/>
  <c r="BF1368" i="1"/>
  <c r="BG1368" i="1"/>
  <c r="BH1368" i="1"/>
  <c r="BI1368" i="1"/>
  <c r="BJ1368" i="1"/>
  <c r="BM1368" i="1"/>
  <c r="CA1368" i="1"/>
  <c r="CN1368" i="1"/>
  <c r="CO1368" i="1"/>
  <c r="CP1368" i="1"/>
  <c r="CQ1368" i="1"/>
  <c r="G106" i="1"/>
  <c r="U106" i="1"/>
  <c r="W106" i="1"/>
  <c r="AE106" i="1"/>
  <c r="AK106" i="1"/>
  <c r="AQ106" i="1"/>
  <c r="AU106" i="1"/>
  <c r="AV106" i="1"/>
  <c r="AW106" i="1"/>
  <c r="AX106" i="1"/>
  <c r="AY106" i="1"/>
  <c r="AZ106" i="1"/>
  <c r="BA106" i="1"/>
  <c r="BC106" i="1"/>
  <c r="BD106" i="1"/>
  <c r="BE106" i="1"/>
  <c r="BF106" i="1"/>
  <c r="BG106" i="1"/>
  <c r="BH106" i="1"/>
  <c r="BI106" i="1"/>
  <c r="BJ106" i="1"/>
  <c r="BM106" i="1"/>
  <c r="CA106" i="1"/>
  <c r="CN106" i="1"/>
  <c r="CO106" i="1"/>
  <c r="CP106" i="1"/>
  <c r="CQ106" i="1"/>
  <c r="G107" i="1"/>
  <c r="U107" i="1"/>
  <c r="W107" i="1"/>
  <c r="AE107" i="1"/>
  <c r="AK107" i="1"/>
  <c r="AQ107" i="1"/>
  <c r="AU107" i="1"/>
  <c r="AV107" i="1"/>
  <c r="AW107" i="1"/>
  <c r="AX107" i="1"/>
  <c r="AY107" i="1"/>
  <c r="AZ107" i="1"/>
  <c r="BA107" i="1"/>
  <c r="BC107" i="1"/>
  <c r="BD107" i="1"/>
  <c r="BE107" i="1"/>
  <c r="BF107" i="1"/>
  <c r="BG107" i="1"/>
  <c r="BH107" i="1"/>
  <c r="BI107" i="1"/>
  <c r="BJ107" i="1"/>
  <c r="BM107" i="1"/>
  <c r="CA107" i="1"/>
  <c r="CN107" i="1"/>
  <c r="CO107" i="1"/>
  <c r="CP107" i="1"/>
  <c r="CQ107" i="1"/>
  <c r="G1369" i="1"/>
  <c r="U1369" i="1"/>
  <c r="W1369" i="1"/>
  <c r="AE1369" i="1"/>
  <c r="AK1369" i="1"/>
  <c r="AQ1369" i="1"/>
  <c r="AU1369" i="1"/>
  <c r="AV1369" i="1"/>
  <c r="AW1369" i="1"/>
  <c r="AX1369" i="1"/>
  <c r="AY1369" i="1"/>
  <c r="AZ1369" i="1"/>
  <c r="BA1369" i="1"/>
  <c r="BC1369" i="1"/>
  <c r="BD1369" i="1"/>
  <c r="BE1369" i="1"/>
  <c r="BF1369" i="1"/>
  <c r="BG1369" i="1"/>
  <c r="BH1369" i="1"/>
  <c r="BI1369" i="1"/>
  <c r="BJ1369" i="1"/>
  <c r="BM1369" i="1"/>
  <c r="CA1369" i="1"/>
  <c r="CN1369" i="1"/>
  <c r="CO1369" i="1"/>
  <c r="CP1369" i="1"/>
  <c r="CQ1369" i="1"/>
  <c r="G1855" i="1"/>
  <c r="U1855" i="1"/>
  <c r="W1855" i="1"/>
  <c r="AE1855" i="1"/>
  <c r="AK1855" i="1"/>
  <c r="AQ1855" i="1"/>
  <c r="AU1855" i="1"/>
  <c r="AV1855" i="1"/>
  <c r="AW1855" i="1"/>
  <c r="AX1855" i="1"/>
  <c r="AY1855" i="1"/>
  <c r="AZ1855" i="1"/>
  <c r="BA1855" i="1"/>
  <c r="BC1855" i="1"/>
  <c r="BD1855" i="1"/>
  <c r="BE1855" i="1"/>
  <c r="BF1855" i="1"/>
  <c r="BG1855" i="1"/>
  <c r="BH1855" i="1"/>
  <c r="BI1855" i="1"/>
  <c r="BJ1855" i="1"/>
  <c r="BM1855" i="1"/>
  <c r="CA1855" i="1"/>
  <c r="CN1855" i="1"/>
  <c r="CO1855" i="1"/>
  <c r="CP1855" i="1"/>
  <c r="CQ1855" i="1"/>
  <c r="G386" i="1"/>
  <c r="U386" i="1"/>
  <c r="W386" i="1"/>
  <c r="AE386" i="1"/>
  <c r="AK386" i="1"/>
  <c r="AQ386" i="1"/>
  <c r="AU386" i="1"/>
  <c r="AV386" i="1"/>
  <c r="AW386" i="1"/>
  <c r="AX386" i="1"/>
  <c r="AY386" i="1"/>
  <c r="AZ386" i="1"/>
  <c r="BA386" i="1"/>
  <c r="BC386" i="1"/>
  <c r="BD386" i="1"/>
  <c r="BE386" i="1"/>
  <c r="BF386" i="1"/>
  <c r="BG386" i="1"/>
  <c r="BH386" i="1"/>
  <c r="BI386" i="1"/>
  <c r="BJ386" i="1"/>
  <c r="BM386" i="1"/>
  <c r="CA386" i="1"/>
  <c r="CN386" i="1"/>
  <c r="CO386" i="1"/>
  <c r="CP386" i="1"/>
  <c r="CQ386" i="1"/>
  <c r="G760" i="1"/>
  <c r="U760" i="1"/>
  <c r="W760" i="1"/>
  <c r="AE760" i="1"/>
  <c r="AK760" i="1"/>
  <c r="AQ760" i="1"/>
  <c r="AU760" i="1"/>
  <c r="AV760" i="1"/>
  <c r="AW760" i="1"/>
  <c r="AX760" i="1"/>
  <c r="AY760" i="1"/>
  <c r="AZ760" i="1"/>
  <c r="BA760" i="1"/>
  <c r="BC760" i="1"/>
  <c r="BD760" i="1"/>
  <c r="BE760" i="1"/>
  <c r="BF760" i="1"/>
  <c r="BG760" i="1"/>
  <c r="BH760" i="1"/>
  <c r="BI760" i="1"/>
  <c r="BJ760" i="1"/>
  <c r="BM760" i="1"/>
  <c r="CA760" i="1"/>
  <c r="CN760" i="1"/>
  <c r="CO760" i="1"/>
  <c r="CP760" i="1"/>
  <c r="CQ760" i="1"/>
  <c r="G1856" i="1"/>
  <c r="U1856" i="1"/>
  <c r="W1856" i="1"/>
  <c r="AE1856" i="1"/>
  <c r="AK1856" i="1"/>
  <c r="AQ1856" i="1"/>
  <c r="AU1856" i="1"/>
  <c r="AV1856" i="1"/>
  <c r="AW1856" i="1"/>
  <c r="AX1856" i="1"/>
  <c r="AY1856" i="1"/>
  <c r="AZ1856" i="1"/>
  <c r="BA1856" i="1"/>
  <c r="BC1856" i="1"/>
  <c r="BD1856" i="1"/>
  <c r="BE1856" i="1"/>
  <c r="BF1856" i="1"/>
  <c r="BG1856" i="1"/>
  <c r="BH1856" i="1"/>
  <c r="BI1856" i="1"/>
  <c r="BJ1856" i="1"/>
  <c r="BM1856" i="1"/>
  <c r="CA1856" i="1"/>
  <c r="CN1856" i="1"/>
  <c r="CO1856" i="1"/>
  <c r="CP1856" i="1"/>
  <c r="CQ1856" i="1"/>
  <c r="G1370" i="1"/>
  <c r="U1370" i="1"/>
  <c r="W1370" i="1"/>
  <c r="AE1370" i="1"/>
  <c r="AK1370" i="1"/>
  <c r="AQ1370" i="1"/>
  <c r="AU1370" i="1"/>
  <c r="AV1370" i="1"/>
  <c r="AW1370" i="1"/>
  <c r="AX1370" i="1"/>
  <c r="AY1370" i="1"/>
  <c r="AZ1370" i="1"/>
  <c r="BA1370" i="1"/>
  <c r="BC1370" i="1"/>
  <c r="BD1370" i="1"/>
  <c r="BE1370" i="1"/>
  <c r="BF1370" i="1"/>
  <c r="BG1370" i="1"/>
  <c r="BH1370" i="1"/>
  <c r="BI1370" i="1"/>
  <c r="BJ1370" i="1"/>
  <c r="BM1370" i="1"/>
  <c r="CA1370" i="1"/>
  <c r="CN1370" i="1"/>
  <c r="CO1370" i="1"/>
  <c r="CP1370" i="1"/>
  <c r="CQ1370" i="1"/>
  <c r="G761" i="1"/>
  <c r="U761" i="1"/>
  <c r="W761" i="1"/>
  <c r="AE761" i="1"/>
  <c r="AK761" i="1"/>
  <c r="AQ761" i="1"/>
  <c r="AU761" i="1"/>
  <c r="AV761" i="1"/>
  <c r="AW761" i="1"/>
  <c r="AX761" i="1"/>
  <c r="AY761" i="1"/>
  <c r="AZ761" i="1"/>
  <c r="BA761" i="1"/>
  <c r="BC761" i="1"/>
  <c r="BD761" i="1"/>
  <c r="BE761" i="1"/>
  <c r="BF761" i="1"/>
  <c r="BG761" i="1"/>
  <c r="BH761" i="1"/>
  <c r="BI761" i="1"/>
  <c r="BJ761" i="1"/>
  <c r="BM761" i="1"/>
  <c r="CA761" i="1"/>
  <c r="CN761" i="1"/>
  <c r="CO761" i="1"/>
  <c r="CP761" i="1"/>
  <c r="CQ761" i="1"/>
  <c r="G762" i="1"/>
  <c r="U762" i="1"/>
  <c r="W762" i="1"/>
  <c r="AE762" i="1"/>
  <c r="AK762" i="1"/>
  <c r="AQ762" i="1"/>
  <c r="AU762" i="1"/>
  <c r="AV762" i="1"/>
  <c r="AW762" i="1"/>
  <c r="AX762" i="1"/>
  <c r="AY762" i="1"/>
  <c r="AZ762" i="1"/>
  <c r="BA762" i="1"/>
  <c r="BC762" i="1"/>
  <c r="BD762" i="1"/>
  <c r="BE762" i="1"/>
  <c r="BF762" i="1"/>
  <c r="BG762" i="1"/>
  <c r="BH762" i="1"/>
  <c r="BI762" i="1"/>
  <c r="BJ762" i="1"/>
  <c r="BM762" i="1"/>
  <c r="CA762" i="1"/>
  <c r="CN762" i="1"/>
  <c r="CO762" i="1"/>
  <c r="CP762" i="1"/>
  <c r="CQ762" i="1"/>
  <c r="G387" i="1"/>
  <c r="U387" i="1"/>
  <c r="W387" i="1"/>
  <c r="AE387" i="1"/>
  <c r="AK387" i="1"/>
  <c r="AQ387" i="1"/>
  <c r="AU387" i="1"/>
  <c r="AV387" i="1"/>
  <c r="AW387" i="1"/>
  <c r="AX387" i="1"/>
  <c r="AY387" i="1"/>
  <c r="AZ387" i="1"/>
  <c r="BA387" i="1"/>
  <c r="BC387" i="1"/>
  <c r="BD387" i="1"/>
  <c r="BE387" i="1"/>
  <c r="BF387" i="1"/>
  <c r="BG387" i="1"/>
  <c r="BH387" i="1"/>
  <c r="BI387" i="1"/>
  <c r="BJ387" i="1"/>
  <c r="BM387" i="1"/>
  <c r="CA387" i="1"/>
  <c r="CN387" i="1"/>
  <c r="CO387" i="1"/>
  <c r="CP387" i="1"/>
  <c r="CQ387" i="1"/>
  <c r="G1857" i="1"/>
  <c r="U1857" i="1"/>
  <c r="W1857" i="1"/>
  <c r="AE1857" i="1"/>
  <c r="AK1857" i="1"/>
  <c r="AQ1857" i="1"/>
  <c r="AU1857" i="1"/>
  <c r="AV1857" i="1"/>
  <c r="AW1857" i="1"/>
  <c r="AX1857" i="1"/>
  <c r="AY1857" i="1"/>
  <c r="AZ1857" i="1"/>
  <c r="BA1857" i="1"/>
  <c r="BC1857" i="1"/>
  <c r="BD1857" i="1"/>
  <c r="BE1857" i="1"/>
  <c r="BF1857" i="1"/>
  <c r="BG1857" i="1"/>
  <c r="BH1857" i="1"/>
  <c r="BI1857" i="1"/>
  <c r="BJ1857" i="1"/>
  <c r="BM1857" i="1"/>
  <c r="CA1857" i="1"/>
  <c r="CN1857" i="1"/>
  <c r="CO1857" i="1"/>
  <c r="CP1857" i="1"/>
  <c r="CQ1857" i="1"/>
  <c r="G763" i="1"/>
  <c r="U763" i="1"/>
  <c r="W763" i="1"/>
  <c r="AE763" i="1"/>
  <c r="AK763" i="1"/>
  <c r="AQ763" i="1"/>
  <c r="AU763" i="1"/>
  <c r="AV763" i="1"/>
  <c r="AW763" i="1"/>
  <c r="AX763" i="1"/>
  <c r="AY763" i="1"/>
  <c r="AZ763" i="1"/>
  <c r="BA763" i="1"/>
  <c r="BC763" i="1"/>
  <c r="BD763" i="1"/>
  <c r="BE763" i="1"/>
  <c r="BF763" i="1"/>
  <c r="BG763" i="1"/>
  <c r="BH763" i="1"/>
  <c r="BI763" i="1"/>
  <c r="BJ763" i="1"/>
  <c r="BM763" i="1"/>
  <c r="CA763" i="1"/>
  <c r="CN763" i="1"/>
  <c r="CO763" i="1"/>
  <c r="CP763" i="1"/>
  <c r="CQ763" i="1"/>
  <c r="G1858" i="1"/>
  <c r="U1858" i="1"/>
  <c r="W1858" i="1"/>
  <c r="AE1858" i="1"/>
  <c r="AK1858" i="1"/>
  <c r="AQ1858" i="1"/>
  <c r="AU1858" i="1"/>
  <c r="AV1858" i="1"/>
  <c r="AW1858" i="1"/>
  <c r="AX1858" i="1"/>
  <c r="AY1858" i="1"/>
  <c r="AZ1858" i="1"/>
  <c r="BA1858" i="1"/>
  <c r="BC1858" i="1"/>
  <c r="BD1858" i="1"/>
  <c r="BE1858" i="1"/>
  <c r="BF1858" i="1"/>
  <c r="BG1858" i="1"/>
  <c r="BH1858" i="1"/>
  <c r="BI1858" i="1"/>
  <c r="BJ1858" i="1"/>
  <c r="BM1858" i="1"/>
  <c r="CA1858" i="1"/>
  <c r="CN1858" i="1"/>
  <c r="CO1858" i="1"/>
  <c r="CP1858" i="1"/>
  <c r="CQ1858" i="1"/>
  <c r="G764" i="1"/>
  <c r="U764" i="1"/>
  <c r="W764" i="1"/>
  <c r="AE764" i="1"/>
  <c r="AK764" i="1"/>
  <c r="AQ764" i="1"/>
  <c r="AU764" i="1"/>
  <c r="AV764" i="1"/>
  <c r="AW764" i="1"/>
  <c r="AX764" i="1"/>
  <c r="AY764" i="1"/>
  <c r="AZ764" i="1"/>
  <c r="BA764" i="1"/>
  <c r="BC764" i="1"/>
  <c r="BD764" i="1"/>
  <c r="BE764" i="1"/>
  <c r="BF764" i="1"/>
  <c r="BG764" i="1"/>
  <c r="BH764" i="1"/>
  <c r="BI764" i="1"/>
  <c r="BJ764" i="1"/>
  <c r="BM764" i="1"/>
  <c r="CA764" i="1"/>
  <c r="CN764" i="1"/>
  <c r="CO764" i="1"/>
  <c r="CP764" i="1"/>
  <c r="CQ764" i="1"/>
  <c r="G108" i="1"/>
  <c r="U108" i="1"/>
  <c r="W108" i="1"/>
  <c r="AE108" i="1"/>
  <c r="AK108" i="1"/>
  <c r="AQ108" i="1"/>
  <c r="AU108" i="1"/>
  <c r="AV108" i="1"/>
  <c r="AW108" i="1"/>
  <c r="AX108" i="1"/>
  <c r="AY108" i="1"/>
  <c r="AZ108" i="1"/>
  <c r="BA108" i="1"/>
  <c r="BC108" i="1"/>
  <c r="BD108" i="1"/>
  <c r="BE108" i="1"/>
  <c r="BF108" i="1"/>
  <c r="BG108" i="1"/>
  <c r="BH108" i="1"/>
  <c r="BI108" i="1"/>
  <c r="BJ108" i="1"/>
  <c r="BM108" i="1"/>
  <c r="CA108" i="1"/>
  <c r="CN108" i="1"/>
  <c r="CO108" i="1"/>
  <c r="CP108" i="1"/>
  <c r="CQ108" i="1"/>
  <c r="G765" i="1"/>
  <c r="U765" i="1"/>
  <c r="W765" i="1"/>
  <c r="AE765" i="1"/>
  <c r="AK765" i="1"/>
  <c r="AQ765" i="1"/>
  <c r="AU765" i="1"/>
  <c r="AV765" i="1"/>
  <c r="AW765" i="1"/>
  <c r="AX765" i="1"/>
  <c r="AY765" i="1"/>
  <c r="AZ765" i="1"/>
  <c r="BA765" i="1"/>
  <c r="BC765" i="1"/>
  <c r="BD765" i="1"/>
  <c r="BE765" i="1"/>
  <c r="BF765" i="1"/>
  <c r="BG765" i="1"/>
  <c r="BH765" i="1"/>
  <c r="BI765" i="1"/>
  <c r="BJ765" i="1"/>
  <c r="BM765" i="1"/>
  <c r="CA765" i="1"/>
  <c r="CN765" i="1"/>
  <c r="CO765" i="1"/>
  <c r="CP765" i="1"/>
  <c r="CQ765" i="1"/>
  <c r="G766" i="1"/>
  <c r="U766" i="1"/>
  <c r="W766" i="1"/>
  <c r="AE766" i="1"/>
  <c r="AK766" i="1"/>
  <c r="AQ766" i="1"/>
  <c r="AU766" i="1"/>
  <c r="AV766" i="1"/>
  <c r="AW766" i="1"/>
  <c r="AX766" i="1"/>
  <c r="AY766" i="1"/>
  <c r="AZ766" i="1"/>
  <c r="BA766" i="1"/>
  <c r="BC766" i="1"/>
  <c r="BD766" i="1"/>
  <c r="BE766" i="1"/>
  <c r="BF766" i="1"/>
  <c r="BG766" i="1"/>
  <c r="BH766" i="1"/>
  <c r="BI766" i="1"/>
  <c r="BJ766" i="1"/>
  <c r="BM766" i="1"/>
  <c r="CA766" i="1"/>
  <c r="CN766" i="1"/>
  <c r="CO766" i="1"/>
  <c r="CP766" i="1"/>
  <c r="CQ766" i="1"/>
  <c r="G1569" i="1"/>
  <c r="U1569" i="1"/>
  <c r="W1569" i="1"/>
  <c r="AE1569" i="1"/>
  <c r="AK1569" i="1"/>
  <c r="AQ1569" i="1"/>
  <c r="AU1569" i="1"/>
  <c r="AV1569" i="1"/>
  <c r="AW1569" i="1"/>
  <c r="AX1569" i="1"/>
  <c r="AY1569" i="1"/>
  <c r="AZ1569" i="1"/>
  <c r="BA1569" i="1"/>
  <c r="BC1569" i="1"/>
  <c r="BD1569" i="1"/>
  <c r="BE1569" i="1"/>
  <c r="BF1569" i="1"/>
  <c r="BG1569" i="1"/>
  <c r="BH1569" i="1"/>
  <c r="BI1569" i="1"/>
  <c r="BJ1569" i="1"/>
  <c r="BM1569" i="1"/>
  <c r="CA1569" i="1"/>
  <c r="CN1569" i="1"/>
  <c r="CO1569" i="1"/>
  <c r="CP1569" i="1"/>
  <c r="CQ1569" i="1"/>
  <c r="G1371" i="1"/>
  <c r="U1371" i="1"/>
  <c r="W1371" i="1"/>
  <c r="AE1371" i="1"/>
  <c r="AK1371" i="1"/>
  <c r="AQ1371" i="1"/>
  <c r="AU1371" i="1"/>
  <c r="AV1371" i="1"/>
  <c r="AW1371" i="1"/>
  <c r="AX1371" i="1"/>
  <c r="AY1371" i="1"/>
  <c r="AZ1371" i="1"/>
  <c r="BA1371" i="1"/>
  <c r="BC1371" i="1"/>
  <c r="BD1371" i="1"/>
  <c r="BE1371" i="1"/>
  <c r="BF1371" i="1"/>
  <c r="BG1371" i="1"/>
  <c r="BH1371" i="1"/>
  <c r="BI1371" i="1"/>
  <c r="BJ1371" i="1"/>
  <c r="BM1371" i="1"/>
  <c r="CA1371" i="1"/>
  <c r="CN1371" i="1"/>
  <c r="CO1371" i="1"/>
  <c r="CP1371" i="1"/>
  <c r="CQ1371" i="1"/>
  <c r="G1372" i="1"/>
  <c r="U1372" i="1"/>
  <c r="W1372" i="1"/>
  <c r="AE1372" i="1"/>
  <c r="AK1372" i="1"/>
  <c r="AQ1372" i="1"/>
  <c r="AU1372" i="1"/>
  <c r="AV1372" i="1"/>
  <c r="AW1372" i="1"/>
  <c r="AX1372" i="1"/>
  <c r="AY1372" i="1"/>
  <c r="AZ1372" i="1"/>
  <c r="BA1372" i="1"/>
  <c r="BC1372" i="1"/>
  <c r="BD1372" i="1"/>
  <c r="BE1372" i="1"/>
  <c r="BF1372" i="1"/>
  <c r="BG1372" i="1"/>
  <c r="BH1372" i="1"/>
  <c r="BI1372" i="1"/>
  <c r="BJ1372" i="1"/>
  <c r="BM1372" i="1"/>
  <c r="CA1372" i="1"/>
  <c r="CN1372" i="1"/>
  <c r="CO1372" i="1"/>
  <c r="CP1372" i="1"/>
  <c r="CQ1372" i="1"/>
  <c r="G1373" i="1"/>
  <c r="U1373" i="1"/>
  <c r="W1373" i="1"/>
  <c r="AE1373" i="1"/>
  <c r="AK1373" i="1"/>
  <c r="AQ1373" i="1"/>
  <c r="AU1373" i="1"/>
  <c r="AV1373" i="1"/>
  <c r="AW1373" i="1"/>
  <c r="AX1373" i="1"/>
  <c r="AY1373" i="1"/>
  <c r="AZ1373" i="1"/>
  <c r="BA1373" i="1"/>
  <c r="BC1373" i="1"/>
  <c r="BD1373" i="1"/>
  <c r="BE1373" i="1"/>
  <c r="BF1373" i="1"/>
  <c r="BG1373" i="1"/>
  <c r="BH1373" i="1"/>
  <c r="BI1373" i="1"/>
  <c r="BJ1373" i="1"/>
  <c r="BM1373" i="1"/>
  <c r="CA1373" i="1"/>
  <c r="CN1373" i="1"/>
  <c r="CO1373" i="1"/>
  <c r="CP1373" i="1"/>
  <c r="CQ1373" i="1"/>
  <c r="G1374" i="1"/>
  <c r="U1374" i="1"/>
  <c r="W1374" i="1"/>
  <c r="AE1374" i="1"/>
  <c r="AK1374" i="1"/>
  <c r="AQ1374" i="1"/>
  <c r="AU1374" i="1"/>
  <c r="AV1374" i="1"/>
  <c r="AW1374" i="1"/>
  <c r="AX1374" i="1"/>
  <c r="AY1374" i="1"/>
  <c r="AZ1374" i="1"/>
  <c r="BA1374" i="1"/>
  <c r="BC1374" i="1"/>
  <c r="BD1374" i="1"/>
  <c r="BE1374" i="1"/>
  <c r="BF1374" i="1"/>
  <c r="BG1374" i="1"/>
  <c r="BH1374" i="1"/>
  <c r="BI1374" i="1"/>
  <c r="BJ1374" i="1"/>
  <c r="BM1374" i="1"/>
  <c r="CA1374" i="1"/>
  <c r="CN1374" i="1"/>
  <c r="CO1374" i="1"/>
  <c r="CP1374" i="1"/>
  <c r="CQ1374" i="1"/>
  <c r="G767" i="1"/>
  <c r="U767" i="1"/>
  <c r="W767" i="1"/>
  <c r="AE767" i="1"/>
  <c r="AK767" i="1"/>
  <c r="AQ767" i="1"/>
  <c r="AU767" i="1"/>
  <c r="AV767" i="1"/>
  <c r="AW767" i="1"/>
  <c r="AX767" i="1"/>
  <c r="AY767" i="1"/>
  <c r="AZ767" i="1"/>
  <c r="BA767" i="1"/>
  <c r="BC767" i="1"/>
  <c r="BD767" i="1"/>
  <c r="BE767" i="1"/>
  <c r="BF767" i="1"/>
  <c r="BG767" i="1"/>
  <c r="BH767" i="1"/>
  <c r="BI767" i="1"/>
  <c r="BJ767" i="1"/>
  <c r="BM767" i="1"/>
  <c r="CA767" i="1"/>
  <c r="CN767" i="1"/>
  <c r="CO767" i="1"/>
  <c r="CP767" i="1"/>
  <c r="CQ767" i="1"/>
  <c r="G768" i="1"/>
  <c r="U768" i="1"/>
  <c r="W768" i="1"/>
  <c r="AE768" i="1"/>
  <c r="AK768" i="1"/>
  <c r="AQ768" i="1"/>
  <c r="AU768" i="1"/>
  <c r="AV768" i="1"/>
  <c r="AW768" i="1"/>
  <c r="AX768" i="1"/>
  <c r="AY768" i="1"/>
  <c r="AZ768" i="1"/>
  <c r="BA768" i="1"/>
  <c r="BC768" i="1"/>
  <c r="BD768" i="1"/>
  <c r="BE768" i="1"/>
  <c r="BF768" i="1"/>
  <c r="BG768" i="1"/>
  <c r="BH768" i="1"/>
  <c r="BI768" i="1"/>
  <c r="BJ768" i="1"/>
  <c r="BM768" i="1"/>
  <c r="CA768" i="1"/>
  <c r="CN768" i="1"/>
  <c r="CO768" i="1"/>
  <c r="CP768" i="1"/>
  <c r="CQ768" i="1"/>
  <c r="G109" i="1"/>
  <c r="U109" i="1"/>
  <c r="W109" i="1"/>
  <c r="AE109" i="1"/>
  <c r="AK109" i="1"/>
  <c r="AQ109" i="1"/>
  <c r="AU109" i="1"/>
  <c r="AV109" i="1"/>
  <c r="AW109" i="1"/>
  <c r="AX109" i="1"/>
  <c r="AY109" i="1"/>
  <c r="AZ109" i="1"/>
  <c r="BA109" i="1"/>
  <c r="BC109" i="1"/>
  <c r="BD109" i="1"/>
  <c r="BE109" i="1"/>
  <c r="BF109" i="1"/>
  <c r="BG109" i="1"/>
  <c r="BH109" i="1"/>
  <c r="BI109" i="1"/>
  <c r="BJ109" i="1"/>
  <c r="BM109" i="1"/>
  <c r="CA109" i="1"/>
  <c r="CN109" i="1"/>
  <c r="CO109" i="1"/>
  <c r="CP109" i="1"/>
  <c r="CQ109" i="1"/>
  <c r="G1859" i="1"/>
  <c r="U1859" i="1"/>
  <c r="W1859" i="1"/>
  <c r="AE1859" i="1"/>
  <c r="AK1859" i="1"/>
  <c r="AQ1859" i="1"/>
  <c r="AU1859" i="1"/>
  <c r="AV1859" i="1"/>
  <c r="AW1859" i="1"/>
  <c r="AX1859" i="1"/>
  <c r="AY1859" i="1"/>
  <c r="AZ1859" i="1"/>
  <c r="BA1859" i="1"/>
  <c r="BC1859" i="1"/>
  <c r="BD1859" i="1"/>
  <c r="BE1859" i="1"/>
  <c r="BF1859" i="1"/>
  <c r="BG1859" i="1"/>
  <c r="BH1859" i="1"/>
  <c r="BI1859" i="1"/>
  <c r="BJ1859" i="1"/>
  <c r="BM1859" i="1"/>
  <c r="CA1859" i="1"/>
  <c r="CN1859" i="1"/>
  <c r="CO1859" i="1"/>
  <c r="CP1859" i="1"/>
  <c r="CQ1859" i="1"/>
  <c r="G388" i="1"/>
  <c r="U388" i="1"/>
  <c r="W388" i="1"/>
  <c r="AE388" i="1"/>
  <c r="AK388" i="1"/>
  <c r="AQ388" i="1"/>
  <c r="AU388" i="1"/>
  <c r="AV388" i="1"/>
  <c r="AW388" i="1"/>
  <c r="AX388" i="1"/>
  <c r="AY388" i="1"/>
  <c r="AZ388" i="1"/>
  <c r="BA388" i="1"/>
  <c r="BC388" i="1"/>
  <c r="BD388" i="1"/>
  <c r="BE388" i="1"/>
  <c r="BF388" i="1"/>
  <c r="BG388" i="1"/>
  <c r="BH388" i="1"/>
  <c r="BI388" i="1"/>
  <c r="BJ388" i="1"/>
  <c r="BM388" i="1"/>
  <c r="CA388" i="1"/>
  <c r="CN388" i="1"/>
  <c r="CO388" i="1"/>
  <c r="CP388" i="1"/>
  <c r="CQ388" i="1"/>
  <c r="G769" i="1"/>
  <c r="U769" i="1"/>
  <c r="W769" i="1"/>
  <c r="AE769" i="1"/>
  <c r="AK769" i="1"/>
  <c r="AQ769" i="1"/>
  <c r="AU769" i="1"/>
  <c r="AV769" i="1"/>
  <c r="AW769" i="1"/>
  <c r="AX769" i="1"/>
  <c r="AY769" i="1"/>
  <c r="AZ769" i="1"/>
  <c r="BA769" i="1"/>
  <c r="BC769" i="1"/>
  <c r="BD769" i="1"/>
  <c r="BE769" i="1"/>
  <c r="BF769" i="1"/>
  <c r="BG769" i="1"/>
  <c r="BH769" i="1"/>
  <c r="BI769" i="1"/>
  <c r="BJ769" i="1"/>
  <c r="BM769" i="1"/>
  <c r="CA769" i="1"/>
  <c r="CN769" i="1"/>
  <c r="CO769" i="1"/>
  <c r="CP769" i="1"/>
  <c r="CQ769" i="1"/>
  <c r="G1375" i="1"/>
  <c r="U1375" i="1"/>
  <c r="W1375" i="1"/>
  <c r="AE1375" i="1"/>
  <c r="AK1375" i="1"/>
  <c r="AQ1375" i="1"/>
  <c r="AU1375" i="1"/>
  <c r="AV1375" i="1"/>
  <c r="AW1375" i="1"/>
  <c r="AX1375" i="1"/>
  <c r="AY1375" i="1"/>
  <c r="AZ1375" i="1"/>
  <c r="BA1375" i="1"/>
  <c r="BC1375" i="1"/>
  <c r="BD1375" i="1"/>
  <c r="BE1375" i="1"/>
  <c r="BF1375" i="1"/>
  <c r="BG1375" i="1"/>
  <c r="BH1375" i="1"/>
  <c r="BI1375" i="1"/>
  <c r="BJ1375" i="1"/>
  <c r="BM1375" i="1"/>
  <c r="CA1375" i="1"/>
  <c r="CN1375" i="1"/>
  <c r="CO1375" i="1"/>
  <c r="CP1375" i="1"/>
  <c r="CQ1375" i="1"/>
  <c r="G770" i="1"/>
  <c r="U770" i="1"/>
  <c r="W770" i="1"/>
  <c r="AE770" i="1"/>
  <c r="AK770" i="1"/>
  <c r="AQ770" i="1"/>
  <c r="AU770" i="1"/>
  <c r="AV770" i="1"/>
  <c r="AW770" i="1"/>
  <c r="AX770" i="1"/>
  <c r="AY770" i="1"/>
  <c r="AZ770" i="1"/>
  <c r="BA770" i="1"/>
  <c r="BC770" i="1"/>
  <c r="BD770" i="1"/>
  <c r="BE770" i="1"/>
  <c r="BF770" i="1"/>
  <c r="BG770" i="1"/>
  <c r="BH770" i="1"/>
  <c r="BI770" i="1"/>
  <c r="BJ770" i="1"/>
  <c r="BM770" i="1"/>
  <c r="CA770" i="1"/>
  <c r="CN770" i="1"/>
  <c r="CO770" i="1"/>
  <c r="CP770" i="1"/>
  <c r="CQ770" i="1"/>
  <c r="G771" i="1"/>
  <c r="U771" i="1"/>
  <c r="W771" i="1"/>
  <c r="AE771" i="1"/>
  <c r="AK771" i="1"/>
  <c r="AQ771" i="1"/>
  <c r="AU771" i="1"/>
  <c r="AV771" i="1"/>
  <c r="AW771" i="1"/>
  <c r="AX771" i="1"/>
  <c r="AY771" i="1"/>
  <c r="AZ771" i="1"/>
  <c r="BA771" i="1"/>
  <c r="BC771" i="1"/>
  <c r="BD771" i="1"/>
  <c r="BE771" i="1"/>
  <c r="BF771" i="1"/>
  <c r="BG771" i="1"/>
  <c r="BH771" i="1"/>
  <c r="BI771" i="1"/>
  <c r="BJ771" i="1"/>
  <c r="BM771" i="1"/>
  <c r="CA771" i="1"/>
  <c r="CN771" i="1"/>
  <c r="CO771" i="1"/>
  <c r="CP771" i="1"/>
  <c r="CQ771" i="1"/>
  <c r="G110" i="1"/>
  <c r="U110" i="1"/>
  <c r="W110" i="1"/>
  <c r="AE110" i="1"/>
  <c r="AK110" i="1"/>
  <c r="AQ110" i="1"/>
  <c r="AU110" i="1"/>
  <c r="AV110" i="1"/>
  <c r="AW110" i="1"/>
  <c r="AX110" i="1"/>
  <c r="AY110" i="1"/>
  <c r="AZ110" i="1"/>
  <c r="BA110" i="1"/>
  <c r="BC110" i="1"/>
  <c r="BD110" i="1"/>
  <c r="BE110" i="1"/>
  <c r="BF110" i="1"/>
  <c r="BG110" i="1"/>
  <c r="BH110" i="1"/>
  <c r="BI110" i="1"/>
  <c r="BJ110" i="1"/>
  <c r="BM110" i="1"/>
  <c r="CA110" i="1"/>
  <c r="CN110" i="1"/>
  <c r="CO110" i="1"/>
  <c r="CP110" i="1"/>
  <c r="CQ110" i="1"/>
  <c r="G111" i="1"/>
  <c r="U111" i="1"/>
  <c r="W111" i="1"/>
  <c r="AE111" i="1"/>
  <c r="AK111" i="1"/>
  <c r="AQ111" i="1"/>
  <c r="AU111" i="1"/>
  <c r="AV111" i="1"/>
  <c r="AW111" i="1"/>
  <c r="AX111" i="1"/>
  <c r="AY111" i="1"/>
  <c r="AZ111" i="1"/>
  <c r="BA111" i="1"/>
  <c r="BC111" i="1"/>
  <c r="BD111" i="1"/>
  <c r="BE111" i="1"/>
  <c r="BF111" i="1"/>
  <c r="BG111" i="1"/>
  <c r="BH111" i="1"/>
  <c r="BI111" i="1"/>
  <c r="BJ111" i="1"/>
  <c r="BM111" i="1"/>
  <c r="CA111" i="1"/>
  <c r="CN111" i="1"/>
  <c r="CO111" i="1"/>
  <c r="CP111" i="1"/>
  <c r="CQ111" i="1"/>
  <c r="G772" i="1"/>
  <c r="U772" i="1"/>
  <c r="W772" i="1"/>
  <c r="AE772" i="1"/>
  <c r="AK772" i="1"/>
  <c r="AQ772" i="1"/>
  <c r="AU772" i="1"/>
  <c r="AV772" i="1"/>
  <c r="AW772" i="1"/>
  <c r="AX772" i="1"/>
  <c r="AY772" i="1"/>
  <c r="AZ772" i="1"/>
  <c r="BA772" i="1"/>
  <c r="BC772" i="1"/>
  <c r="BD772" i="1"/>
  <c r="BE772" i="1"/>
  <c r="BF772" i="1"/>
  <c r="BG772" i="1"/>
  <c r="BH772" i="1"/>
  <c r="BI772" i="1"/>
  <c r="BJ772" i="1"/>
  <c r="BM772" i="1"/>
  <c r="CA772" i="1"/>
  <c r="CN772" i="1"/>
  <c r="CO772" i="1"/>
  <c r="CP772" i="1"/>
  <c r="CQ772" i="1"/>
  <c r="G112" i="1"/>
  <c r="U112" i="1"/>
  <c r="W112" i="1"/>
  <c r="AE112" i="1"/>
  <c r="AK112" i="1"/>
  <c r="AQ112" i="1"/>
  <c r="AU112" i="1"/>
  <c r="AV112" i="1"/>
  <c r="AW112" i="1"/>
  <c r="AX112" i="1"/>
  <c r="AY112" i="1"/>
  <c r="AZ112" i="1"/>
  <c r="BA112" i="1"/>
  <c r="BC112" i="1"/>
  <c r="BD112" i="1"/>
  <c r="BE112" i="1"/>
  <c r="BF112" i="1"/>
  <c r="BG112" i="1"/>
  <c r="BH112" i="1"/>
  <c r="BI112" i="1"/>
  <c r="BJ112" i="1"/>
  <c r="BM112" i="1"/>
  <c r="CA112" i="1"/>
  <c r="CN112" i="1"/>
  <c r="CO112" i="1"/>
  <c r="CP112" i="1"/>
  <c r="CQ112" i="1"/>
  <c r="G389" i="1"/>
  <c r="U389" i="1"/>
  <c r="W389" i="1"/>
  <c r="AE389" i="1"/>
  <c r="AK389" i="1"/>
  <c r="AQ389" i="1"/>
  <c r="AU389" i="1"/>
  <c r="AV389" i="1"/>
  <c r="AW389" i="1"/>
  <c r="AX389" i="1"/>
  <c r="AY389" i="1"/>
  <c r="AZ389" i="1"/>
  <c r="BA389" i="1"/>
  <c r="BC389" i="1"/>
  <c r="BD389" i="1"/>
  <c r="BE389" i="1"/>
  <c r="BF389" i="1"/>
  <c r="BG389" i="1"/>
  <c r="BH389" i="1"/>
  <c r="BI389" i="1"/>
  <c r="BJ389" i="1"/>
  <c r="BM389" i="1"/>
  <c r="CA389" i="1"/>
  <c r="CN389" i="1"/>
  <c r="CO389" i="1"/>
  <c r="CP389" i="1"/>
  <c r="CQ389" i="1"/>
  <c r="G113" i="1"/>
  <c r="U113" i="1"/>
  <c r="W113" i="1"/>
  <c r="AE113" i="1"/>
  <c r="AK113" i="1"/>
  <c r="AQ113" i="1"/>
  <c r="AU113" i="1"/>
  <c r="AV113" i="1"/>
  <c r="AW113" i="1"/>
  <c r="AX113" i="1"/>
  <c r="AY113" i="1"/>
  <c r="AZ113" i="1"/>
  <c r="BA113" i="1"/>
  <c r="BC113" i="1"/>
  <c r="BD113" i="1"/>
  <c r="BE113" i="1"/>
  <c r="BF113" i="1"/>
  <c r="BG113" i="1"/>
  <c r="BH113" i="1"/>
  <c r="BI113" i="1"/>
  <c r="BJ113" i="1"/>
  <c r="BM113" i="1"/>
  <c r="CA113" i="1"/>
  <c r="CN113" i="1"/>
  <c r="CO113" i="1"/>
  <c r="CP113" i="1"/>
  <c r="CQ113" i="1"/>
  <c r="G114" i="1"/>
  <c r="U114" i="1"/>
  <c r="W114" i="1"/>
  <c r="AE114" i="1"/>
  <c r="AK114" i="1"/>
  <c r="AQ114" i="1"/>
  <c r="AU114" i="1"/>
  <c r="AV114" i="1"/>
  <c r="AW114" i="1"/>
  <c r="AX114" i="1"/>
  <c r="AY114" i="1"/>
  <c r="AZ114" i="1"/>
  <c r="BA114" i="1"/>
  <c r="BC114" i="1"/>
  <c r="BD114" i="1"/>
  <c r="BE114" i="1"/>
  <c r="BF114" i="1"/>
  <c r="BG114" i="1"/>
  <c r="BH114" i="1"/>
  <c r="BI114" i="1"/>
  <c r="BJ114" i="1"/>
  <c r="BM114" i="1"/>
  <c r="CA114" i="1"/>
  <c r="CN114" i="1"/>
  <c r="CO114" i="1"/>
  <c r="CP114" i="1"/>
  <c r="CQ114" i="1"/>
  <c r="G1376" i="1"/>
  <c r="U1376" i="1"/>
  <c r="W1376" i="1"/>
  <c r="AE1376" i="1"/>
  <c r="AK1376" i="1"/>
  <c r="AQ1376" i="1"/>
  <c r="AU1376" i="1"/>
  <c r="AV1376" i="1"/>
  <c r="AW1376" i="1"/>
  <c r="AX1376" i="1"/>
  <c r="AY1376" i="1"/>
  <c r="AZ1376" i="1"/>
  <c r="BA1376" i="1"/>
  <c r="BC1376" i="1"/>
  <c r="BD1376" i="1"/>
  <c r="BE1376" i="1"/>
  <c r="BF1376" i="1"/>
  <c r="BG1376" i="1"/>
  <c r="BH1376" i="1"/>
  <c r="BI1376" i="1"/>
  <c r="BJ1376" i="1"/>
  <c r="BM1376" i="1"/>
  <c r="CA1376" i="1"/>
  <c r="CN1376" i="1"/>
  <c r="CO1376" i="1"/>
  <c r="CP1376" i="1"/>
  <c r="CQ1376" i="1"/>
  <c r="G1860" i="1"/>
  <c r="U1860" i="1"/>
  <c r="W1860" i="1"/>
  <c r="AE1860" i="1"/>
  <c r="AK1860" i="1"/>
  <c r="AQ1860" i="1"/>
  <c r="AU1860" i="1"/>
  <c r="AV1860" i="1"/>
  <c r="AW1860" i="1"/>
  <c r="AX1860" i="1"/>
  <c r="AY1860" i="1"/>
  <c r="AZ1860" i="1"/>
  <c r="BA1860" i="1"/>
  <c r="BC1860" i="1"/>
  <c r="BD1860" i="1"/>
  <c r="BE1860" i="1"/>
  <c r="BF1860" i="1"/>
  <c r="BG1860" i="1"/>
  <c r="BH1860" i="1"/>
  <c r="BI1860" i="1"/>
  <c r="BJ1860" i="1"/>
  <c r="BM1860" i="1"/>
  <c r="CA1860" i="1"/>
  <c r="CN1860" i="1"/>
  <c r="CO1860" i="1"/>
  <c r="CP1860" i="1"/>
  <c r="CQ1860" i="1"/>
  <c r="G115" i="1"/>
  <c r="U115" i="1"/>
  <c r="W115" i="1"/>
  <c r="AE115" i="1"/>
  <c r="AK115" i="1"/>
  <c r="AQ115" i="1"/>
  <c r="AU115" i="1"/>
  <c r="AV115" i="1"/>
  <c r="AW115" i="1"/>
  <c r="AX115" i="1"/>
  <c r="AY115" i="1"/>
  <c r="AZ115" i="1"/>
  <c r="BA115" i="1"/>
  <c r="BC115" i="1"/>
  <c r="BD115" i="1"/>
  <c r="BE115" i="1"/>
  <c r="BF115" i="1"/>
  <c r="BG115" i="1"/>
  <c r="BH115" i="1"/>
  <c r="BI115" i="1"/>
  <c r="BJ115" i="1"/>
  <c r="BM115" i="1"/>
  <c r="CA115" i="1"/>
  <c r="CN115" i="1"/>
  <c r="CO115" i="1"/>
  <c r="CP115" i="1"/>
  <c r="CQ115" i="1"/>
  <c r="G1861" i="1"/>
  <c r="U1861" i="1"/>
  <c r="W1861" i="1"/>
  <c r="AE1861" i="1"/>
  <c r="AK1861" i="1"/>
  <c r="AQ1861" i="1"/>
  <c r="AU1861" i="1"/>
  <c r="AV1861" i="1"/>
  <c r="AW1861" i="1"/>
  <c r="AX1861" i="1"/>
  <c r="AY1861" i="1"/>
  <c r="AZ1861" i="1"/>
  <c r="BA1861" i="1"/>
  <c r="BC1861" i="1"/>
  <c r="BD1861" i="1"/>
  <c r="BE1861" i="1"/>
  <c r="BF1861" i="1"/>
  <c r="BG1861" i="1"/>
  <c r="BH1861" i="1"/>
  <c r="BI1861" i="1"/>
  <c r="BJ1861" i="1"/>
  <c r="BM1861" i="1"/>
  <c r="CA1861" i="1"/>
  <c r="CN1861" i="1"/>
  <c r="CO1861" i="1"/>
  <c r="CP1861" i="1"/>
  <c r="CQ1861" i="1"/>
  <c r="G1862" i="1"/>
  <c r="U1862" i="1"/>
  <c r="W1862" i="1"/>
  <c r="AE1862" i="1"/>
  <c r="AK1862" i="1"/>
  <c r="AQ1862" i="1"/>
  <c r="AU1862" i="1"/>
  <c r="AV1862" i="1"/>
  <c r="AW1862" i="1"/>
  <c r="AX1862" i="1"/>
  <c r="AY1862" i="1"/>
  <c r="AZ1862" i="1"/>
  <c r="BA1862" i="1"/>
  <c r="BC1862" i="1"/>
  <c r="BD1862" i="1"/>
  <c r="BE1862" i="1"/>
  <c r="BF1862" i="1"/>
  <c r="BG1862" i="1"/>
  <c r="BH1862" i="1"/>
  <c r="BI1862" i="1"/>
  <c r="BJ1862" i="1"/>
  <c r="BM1862" i="1"/>
  <c r="CA1862" i="1"/>
  <c r="CN1862" i="1"/>
  <c r="CO1862" i="1"/>
  <c r="CP1862" i="1"/>
  <c r="CQ1862" i="1"/>
  <c r="G1377" i="1"/>
  <c r="U1377" i="1"/>
  <c r="W1377" i="1"/>
  <c r="AE1377" i="1"/>
  <c r="AK1377" i="1"/>
  <c r="AQ1377" i="1"/>
  <c r="AU1377" i="1"/>
  <c r="AV1377" i="1"/>
  <c r="AW1377" i="1"/>
  <c r="AX1377" i="1"/>
  <c r="AY1377" i="1"/>
  <c r="AZ1377" i="1"/>
  <c r="BA1377" i="1"/>
  <c r="BC1377" i="1"/>
  <c r="BD1377" i="1"/>
  <c r="BE1377" i="1"/>
  <c r="BF1377" i="1"/>
  <c r="BG1377" i="1"/>
  <c r="BH1377" i="1"/>
  <c r="BI1377" i="1"/>
  <c r="BJ1377" i="1"/>
  <c r="BM1377" i="1"/>
  <c r="CA1377" i="1"/>
  <c r="CN1377" i="1"/>
  <c r="CO1377" i="1"/>
  <c r="CP1377" i="1"/>
  <c r="CQ1377" i="1"/>
  <c r="G773" i="1"/>
  <c r="U773" i="1"/>
  <c r="W773" i="1"/>
  <c r="AE773" i="1"/>
  <c r="AK773" i="1"/>
  <c r="AQ773" i="1"/>
  <c r="AU773" i="1"/>
  <c r="AV773" i="1"/>
  <c r="AW773" i="1"/>
  <c r="AX773" i="1"/>
  <c r="AY773" i="1"/>
  <c r="AZ773" i="1"/>
  <c r="BA773" i="1"/>
  <c r="BC773" i="1"/>
  <c r="BD773" i="1"/>
  <c r="BE773" i="1"/>
  <c r="BF773" i="1"/>
  <c r="BG773" i="1"/>
  <c r="BH773" i="1"/>
  <c r="BI773" i="1"/>
  <c r="BJ773" i="1"/>
  <c r="BM773" i="1"/>
  <c r="CA773" i="1"/>
  <c r="CN773" i="1"/>
  <c r="CO773" i="1"/>
  <c r="CP773" i="1"/>
  <c r="CQ773" i="1"/>
  <c r="G1570" i="1"/>
  <c r="U1570" i="1"/>
  <c r="W1570" i="1"/>
  <c r="AE1570" i="1"/>
  <c r="AK1570" i="1"/>
  <c r="AQ1570" i="1"/>
  <c r="AU1570" i="1"/>
  <c r="AV1570" i="1"/>
  <c r="AW1570" i="1"/>
  <c r="AX1570" i="1"/>
  <c r="AY1570" i="1"/>
  <c r="AZ1570" i="1"/>
  <c r="BA1570" i="1"/>
  <c r="BC1570" i="1"/>
  <c r="BD1570" i="1"/>
  <c r="BE1570" i="1"/>
  <c r="BF1570" i="1"/>
  <c r="BG1570" i="1"/>
  <c r="BH1570" i="1"/>
  <c r="BI1570" i="1"/>
  <c r="BJ1570" i="1"/>
  <c r="BM1570" i="1"/>
  <c r="CA1570" i="1"/>
  <c r="CN1570" i="1"/>
  <c r="CO1570" i="1"/>
  <c r="CP1570" i="1"/>
  <c r="CQ1570" i="1"/>
  <c r="G116" i="1"/>
  <c r="U116" i="1"/>
  <c r="W116" i="1"/>
  <c r="AE116" i="1"/>
  <c r="AK116" i="1"/>
  <c r="AQ116" i="1"/>
  <c r="AU116" i="1"/>
  <c r="AV116" i="1"/>
  <c r="AW116" i="1"/>
  <c r="AX116" i="1"/>
  <c r="AY116" i="1"/>
  <c r="AZ116" i="1"/>
  <c r="BA116" i="1"/>
  <c r="BC116" i="1"/>
  <c r="BD116" i="1"/>
  <c r="BE116" i="1"/>
  <c r="BF116" i="1"/>
  <c r="BG116" i="1"/>
  <c r="BH116" i="1"/>
  <c r="BI116" i="1"/>
  <c r="BJ116" i="1"/>
  <c r="BM116" i="1"/>
  <c r="CA116" i="1"/>
  <c r="CN116" i="1"/>
  <c r="CO116" i="1"/>
  <c r="CP116" i="1"/>
  <c r="CQ116" i="1"/>
  <c r="G774" i="1"/>
  <c r="U774" i="1"/>
  <c r="W774" i="1"/>
  <c r="AE774" i="1"/>
  <c r="AK774" i="1"/>
  <c r="AQ774" i="1"/>
  <c r="AU774" i="1"/>
  <c r="AV774" i="1"/>
  <c r="AW774" i="1"/>
  <c r="AX774" i="1"/>
  <c r="AY774" i="1"/>
  <c r="AZ774" i="1"/>
  <c r="BA774" i="1"/>
  <c r="BC774" i="1"/>
  <c r="BD774" i="1"/>
  <c r="BE774" i="1"/>
  <c r="BF774" i="1"/>
  <c r="BG774" i="1"/>
  <c r="BH774" i="1"/>
  <c r="BI774" i="1"/>
  <c r="BJ774" i="1"/>
  <c r="BM774" i="1"/>
  <c r="CA774" i="1"/>
  <c r="CN774" i="1"/>
  <c r="CO774" i="1"/>
  <c r="CP774" i="1"/>
  <c r="CQ774" i="1"/>
  <c r="G117" i="1"/>
  <c r="U117" i="1"/>
  <c r="W117" i="1"/>
  <c r="AE117" i="1"/>
  <c r="AK117" i="1"/>
  <c r="AQ117" i="1"/>
  <c r="AU117" i="1"/>
  <c r="AV117" i="1"/>
  <c r="AW117" i="1"/>
  <c r="AX117" i="1"/>
  <c r="AY117" i="1"/>
  <c r="AZ117" i="1"/>
  <c r="BA117" i="1"/>
  <c r="BC117" i="1"/>
  <c r="BD117" i="1"/>
  <c r="BE117" i="1"/>
  <c r="BF117" i="1"/>
  <c r="BG117" i="1"/>
  <c r="BH117" i="1"/>
  <c r="BI117" i="1"/>
  <c r="BJ117" i="1"/>
  <c r="BM117" i="1"/>
  <c r="CA117" i="1"/>
  <c r="CN117" i="1"/>
  <c r="CO117" i="1"/>
  <c r="CP117" i="1"/>
  <c r="CQ117" i="1"/>
  <c r="G1863" i="1"/>
  <c r="U1863" i="1"/>
  <c r="W1863" i="1"/>
  <c r="AE1863" i="1"/>
  <c r="AK1863" i="1"/>
  <c r="AQ1863" i="1"/>
  <c r="AU1863" i="1"/>
  <c r="AV1863" i="1"/>
  <c r="AW1863" i="1"/>
  <c r="AX1863" i="1"/>
  <c r="AY1863" i="1"/>
  <c r="AZ1863" i="1"/>
  <c r="BA1863" i="1"/>
  <c r="BC1863" i="1"/>
  <c r="BD1863" i="1"/>
  <c r="BE1863" i="1"/>
  <c r="BF1863" i="1"/>
  <c r="BG1863" i="1"/>
  <c r="BH1863" i="1"/>
  <c r="BI1863" i="1"/>
  <c r="BJ1863" i="1"/>
  <c r="BM1863" i="1"/>
  <c r="CA1863" i="1"/>
  <c r="CN1863" i="1"/>
  <c r="CO1863" i="1"/>
  <c r="CP1863" i="1"/>
  <c r="CQ1863" i="1"/>
  <c r="G1571" i="1"/>
  <c r="U1571" i="1"/>
  <c r="W1571" i="1"/>
  <c r="AE1571" i="1"/>
  <c r="AK1571" i="1"/>
  <c r="AQ1571" i="1"/>
  <c r="AU1571" i="1"/>
  <c r="AV1571" i="1"/>
  <c r="AW1571" i="1"/>
  <c r="AX1571" i="1"/>
  <c r="AY1571" i="1"/>
  <c r="AZ1571" i="1"/>
  <c r="BA1571" i="1"/>
  <c r="BC1571" i="1"/>
  <c r="BD1571" i="1"/>
  <c r="BE1571" i="1"/>
  <c r="BF1571" i="1"/>
  <c r="BG1571" i="1"/>
  <c r="BH1571" i="1"/>
  <c r="BI1571" i="1"/>
  <c r="BJ1571" i="1"/>
  <c r="BM1571" i="1"/>
  <c r="CA1571" i="1"/>
  <c r="CN1571" i="1"/>
  <c r="CO1571" i="1"/>
  <c r="CP1571" i="1"/>
  <c r="CQ1571" i="1"/>
  <c r="G390" i="1"/>
  <c r="U390" i="1"/>
  <c r="W390" i="1"/>
  <c r="AE390" i="1"/>
  <c r="AK390" i="1"/>
  <c r="AQ390" i="1"/>
  <c r="AU390" i="1"/>
  <c r="AV390" i="1"/>
  <c r="AW390" i="1"/>
  <c r="AX390" i="1"/>
  <c r="AY390" i="1"/>
  <c r="AZ390" i="1"/>
  <c r="BA390" i="1"/>
  <c r="BC390" i="1"/>
  <c r="BD390" i="1"/>
  <c r="BE390" i="1"/>
  <c r="BF390" i="1"/>
  <c r="BG390" i="1"/>
  <c r="BH390" i="1"/>
  <c r="BI390" i="1"/>
  <c r="BJ390" i="1"/>
  <c r="BM390" i="1"/>
  <c r="CA390" i="1"/>
  <c r="CN390" i="1"/>
  <c r="CO390" i="1"/>
  <c r="CP390" i="1"/>
  <c r="CQ390" i="1"/>
  <c r="G775" i="1"/>
  <c r="U775" i="1"/>
  <c r="W775" i="1"/>
  <c r="AE775" i="1"/>
  <c r="AK775" i="1"/>
  <c r="AQ775" i="1"/>
  <c r="AU775" i="1"/>
  <c r="AV775" i="1"/>
  <c r="AW775" i="1"/>
  <c r="AX775" i="1"/>
  <c r="AY775" i="1"/>
  <c r="AZ775" i="1"/>
  <c r="BA775" i="1"/>
  <c r="BC775" i="1"/>
  <c r="BD775" i="1"/>
  <c r="BE775" i="1"/>
  <c r="BF775" i="1"/>
  <c r="BG775" i="1"/>
  <c r="BH775" i="1"/>
  <c r="BI775" i="1"/>
  <c r="BJ775" i="1"/>
  <c r="BM775" i="1"/>
  <c r="CA775" i="1"/>
  <c r="CN775" i="1"/>
  <c r="CO775" i="1"/>
  <c r="CP775" i="1"/>
  <c r="CQ775" i="1"/>
  <c r="G1864" i="1"/>
  <c r="U1864" i="1"/>
  <c r="W1864" i="1"/>
  <c r="AE1864" i="1"/>
  <c r="AK1864" i="1"/>
  <c r="AQ1864" i="1"/>
  <c r="AU1864" i="1"/>
  <c r="AV1864" i="1"/>
  <c r="AW1864" i="1"/>
  <c r="AX1864" i="1"/>
  <c r="AY1864" i="1"/>
  <c r="AZ1864" i="1"/>
  <c r="BA1864" i="1"/>
  <c r="BC1864" i="1"/>
  <c r="BD1864" i="1"/>
  <c r="BE1864" i="1"/>
  <c r="BF1864" i="1"/>
  <c r="BG1864" i="1"/>
  <c r="BH1864" i="1"/>
  <c r="BI1864" i="1"/>
  <c r="BJ1864" i="1"/>
  <c r="BM1864" i="1"/>
  <c r="CA1864" i="1"/>
  <c r="CN1864" i="1"/>
  <c r="CO1864" i="1"/>
  <c r="CP1864" i="1"/>
  <c r="CQ1864" i="1"/>
  <c r="G1865" i="1"/>
  <c r="U1865" i="1"/>
  <c r="W1865" i="1"/>
  <c r="AE1865" i="1"/>
  <c r="AK1865" i="1"/>
  <c r="AQ1865" i="1"/>
  <c r="AU1865" i="1"/>
  <c r="AV1865" i="1"/>
  <c r="AW1865" i="1"/>
  <c r="AX1865" i="1"/>
  <c r="AY1865" i="1"/>
  <c r="AZ1865" i="1"/>
  <c r="BA1865" i="1"/>
  <c r="BC1865" i="1"/>
  <c r="BD1865" i="1"/>
  <c r="BE1865" i="1"/>
  <c r="BF1865" i="1"/>
  <c r="BG1865" i="1"/>
  <c r="BH1865" i="1"/>
  <c r="BI1865" i="1"/>
  <c r="BJ1865" i="1"/>
  <c r="BM1865" i="1"/>
  <c r="CA1865" i="1"/>
  <c r="CN1865" i="1"/>
  <c r="CO1865" i="1"/>
  <c r="CP1865" i="1"/>
  <c r="CQ1865" i="1"/>
  <c r="G1378" i="1"/>
  <c r="U1378" i="1"/>
  <c r="W1378" i="1"/>
  <c r="AE1378" i="1"/>
  <c r="AK1378" i="1"/>
  <c r="AQ1378" i="1"/>
  <c r="AU1378" i="1"/>
  <c r="AV1378" i="1"/>
  <c r="AW1378" i="1"/>
  <c r="AX1378" i="1"/>
  <c r="AY1378" i="1"/>
  <c r="AZ1378" i="1"/>
  <c r="BA1378" i="1"/>
  <c r="BC1378" i="1"/>
  <c r="BD1378" i="1"/>
  <c r="BE1378" i="1"/>
  <c r="BF1378" i="1"/>
  <c r="BG1378" i="1"/>
  <c r="BH1378" i="1"/>
  <c r="BI1378" i="1"/>
  <c r="BJ1378" i="1"/>
  <c r="BM1378" i="1"/>
  <c r="CA1378" i="1"/>
  <c r="CN1378" i="1"/>
  <c r="CO1378" i="1"/>
  <c r="CP1378" i="1"/>
  <c r="CQ1378" i="1"/>
  <c r="G1866" i="1"/>
  <c r="U1866" i="1"/>
  <c r="W1866" i="1"/>
  <c r="AE1866" i="1"/>
  <c r="AK1866" i="1"/>
  <c r="AQ1866" i="1"/>
  <c r="AU1866" i="1"/>
  <c r="AV1866" i="1"/>
  <c r="AW1866" i="1"/>
  <c r="AX1866" i="1"/>
  <c r="AY1866" i="1"/>
  <c r="AZ1866" i="1"/>
  <c r="BA1866" i="1"/>
  <c r="BC1866" i="1"/>
  <c r="BD1866" i="1"/>
  <c r="BE1866" i="1"/>
  <c r="BF1866" i="1"/>
  <c r="BG1866" i="1"/>
  <c r="BH1866" i="1"/>
  <c r="BI1866" i="1"/>
  <c r="BJ1866" i="1"/>
  <c r="BM1866" i="1"/>
  <c r="CA1866" i="1"/>
  <c r="CN1866" i="1"/>
  <c r="CO1866" i="1"/>
  <c r="CP1866" i="1"/>
  <c r="CQ1866" i="1"/>
  <c r="G1867" i="1"/>
  <c r="U1867" i="1"/>
  <c r="W1867" i="1"/>
  <c r="AE1867" i="1"/>
  <c r="AK1867" i="1"/>
  <c r="AQ1867" i="1"/>
  <c r="AU1867" i="1"/>
  <c r="AV1867" i="1"/>
  <c r="AW1867" i="1"/>
  <c r="AX1867" i="1"/>
  <c r="AY1867" i="1"/>
  <c r="AZ1867" i="1"/>
  <c r="BA1867" i="1"/>
  <c r="BC1867" i="1"/>
  <c r="BD1867" i="1"/>
  <c r="BE1867" i="1"/>
  <c r="BF1867" i="1"/>
  <c r="BG1867" i="1"/>
  <c r="BH1867" i="1"/>
  <c r="BI1867" i="1"/>
  <c r="BJ1867" i="1"/>
  <c r="BM1867" i="1"/>
  <c r="CA1867" i="1"/>
  <c r="CN1867" i="1"/>
  <c r="CO1867" i="1"/>
  <c r="CP1867" i="1"/>
  <c r="CQ1867" i="1"/>
  <c r="G391" i="1"/>
  <c r="U391" i="1"/>
  <c r="W391" i="1"/>
  <c r="AE391" i="1"/>
  <c r="AK391" i="1"/>
  <c r="AQ391" i="1"/>
  <c r="AU391" i="1"/>
  <c r="AV391" i="1"/>
  <c r="AW391" i="1"/>
  <c r="AX391" i="1"/>
  <c r="AY391" i="1"/>
  <c r="AZ391" i="1"/>
  <c r="BA391" i="1"/>
  <c r="BC391" i="1"/>
  <c r="BD391" i="1"/>
  <c r="BE391" i="1"/>
  <c r="BF391" i="1"/>
  <c r="BG391" i="1"/>
  <c r="BH391" i="1"/>
  <c r="BI391" i="1"/>
  <c r="BJ391" i="1"/>
  <c r="BM391" i="1"/>
  <c r="CA391" i="1"/>
  <c r="CN391" i="1"/>
  <c r="CO391" i="1"/>
  <c r="CP391" i="1"/>
  <c r="CQ391" i="1"/>
  <c r="G1868" i="1"/>
  <c r="U1868" i="1"/>
  <c r="W1868" i="1"/>
  <c r="AE1868" i="1"/>
  <c r="AK1868" i="1"/>
  <c r="AQ1868" i="1"/>
  <c r="AU1868" i="1"/>
  <c r="AV1868" i="1"/>
  <c r="AW1868" i="1"/>
  <c r="AX1868" i="1"/>
  <c r="AY1868" i="1"/>
  <c r="AZ1868" i="1"/>
  <c r="BA1868" i="1"/>
  <c r="BC1868" i="1"/>
  <c r="BD1868" i="1"/>
  <c r="BE1868" i="1"/>
  <c r="BF1868" i="1"/>
  <c r="BG1868" i="1"/>
  <c r="BH1868" i="1"/>
  <c r="BI1868" i="1"/>
  <c r="BJ1868" i="1"/>
  <c r="BM1868" i="1"/>
  <c r="CA1868" i="1"/>
  <c r="CN1868" i="1"/>
  <c r="CO1868" i="1"/>
  <c r="CP1868" i="1"/>
  <c r="CQ1868" i="1"/>
  <c r="G1379" i="1"/>
  <c r="U1379" i="1"/>
  <c r="W1379" i="1"/>
  <c r="AE1379" i="1"/>
  <c r="AK1379" i="1"/>
  <c r="AQ1379" i="1"/>
  <c r="AU1379" i="1"/>
  <c r="AV1379" i="1"/>
  <c r="AW1379" i="1"/>
  <c r="AX1379" i="1"/>
  <c r="AY1379" i="1"/>
  <c r="AZ1379" i="1"/>
  <c r="BA1379" i="1"/>
  <c r="BC1379" i="1"/>
  <c r="BD1379" i="1"/>
  <c r="BE1379" i="1"/>
  <c r="BF1379" i="1"/>
  <c r="BG1379" i="1"/>
  <c r="BH1379" i="1"/>
  <c r="BI1379" i="1"/>
  <c r="BJ1379" i="1"/>
  <c r="BM1379" i="1"/>
  <c r="CA1379" i="1"/>
  <c r="CN1379" i="1"/>
  <c r="CO1379" i="1"/>
  <c r="CP1379" i="1"/>
  <c r="CQ1379" i="1"/>
  <c r="G1618" i="1"/>
  <c r="U1618" i="1"/>
  <c r="W1618" i="1"/>
  <c r="AE1618" i="1"/>
  <c r="AK1618" i="1"/>
  <c r="AQ1618" i="1"/>
  <c r="AU1618" i="1"/>
  <c r="AV1618" i="1"/>
  <c r="AW1618" i="1"/>
  <c r="AX1618" i="1"/>
  <c r="AY1618" i="1"/>
  <c r="AZ1618" i="1"/>
  <c r="BA1618" i="1"/>
  <c r="BC1618" i="1"/>
  <c r="BD1618" i="1"/>
  <c r="BE1618" i="1"/>
  <c r="BF1618" i="1"/>
  <c r="BG1618" i="1"/>
  <c r="BH1618" i="1"/>
  <c r="BI1618" i="1"/>
  <c r="BJ1618" i="1"/>
  <c r="BM1618" i="1"/>
  <c r="CA1618" i="1"/>
  <c r="CN1618" i="1"/>
  <c r="CO1618" i="1"/>
  <c r="CP1618" i="1"/>
  <c r="CQ1618" i="1"/>
  <c r="G118" i="1"/>
  <c r="U118" i="1"/>
  <c r="W118" i="1"/>
  <c r="AE118" i="1"/>
  <c r="AK118" i="1"/>
  <c r="AQ118" i="1"/>
  <c r="AU118" i="1"/>
  <c r="AV118" i="1"/>
  <c r="AW118" i="1"/>
  <c r="AX118" i="1"/>
  <c r="AY118" i="1"/>
  <c r="AZ118" i="1"/>
  <c r="BA118" i="1"/>
  <c r="BC118" i="1"/>
  <c r="BD118" i="1"/>
  <c r="BE118" i="1"/>
  <c r="BF118" i="1"/>
  <c r="BG118" i="1"/>
  <c r="BH118" i="1"/>
  <c r="BI118" i="1"/>
  <c r="BJ118" i="1"/>
  <c r="BM118" i="1"/>
  <c r="CA118" i="1"/>
  <c r="CN118" i="1"/>
  <c r="CO118" i="1"/>
  <c r="CP118" i="1"/>
  <c r="CQ118" i="1"/>
  <c r="G776" i="1"/>
  <c r="U776" i="1"/>
  <c r="W776" i="1"/>
  <c r="AE776" i="1"/>
  <c r="AK776" i="1"/>
  <c r="AQ776" i="1"/>
  <c r="AU776" i="1"/>
  <c r="AV776" i="1"/>
  <c r="AW776" i="1"/>
  <c r="AX776" i="1"/>
  <c r="AY776" i="1"/>
  <c r="AZ776" i="1"/>
  <c r="BA776" i="1"/>
  <c r="BC776" i="1"/>
  <c r="BD776" i="1"/>
  <c r="BE776" i="1"/>
  <c r="BF776" i="1"/>
  <c r="BG776" i="1"/>
  <c r="BH776" i="1"/>
  <c r="BI776" i="1"/>
  <c r="BJ776" i="1"/>
  <c r="BM776" i="1"/>
  <c r="CA776" i="1"/>
  <c r="CN776" i="1"/>
  <c r="CO776" i="1"/>
  <c r="CP776" i="1"/>
  <c r="CQ776" i="1"/>
  <c r="G119" i="1"/>
  <c r="U119" i="1"/>
  <c r="W119" i="1"/>
  <c r="AE119" i="1"/>
  <c r="AK119" i="1"/>
  <c r="AQ119" i="1"/>
  <c r="AU119" i="1"/>
  <c r="AV119" i="1"/>
  <c r="AW119" i="1"/>
  <c r="AX119" i="1"/>
  <c r="AY119" i="1"/>
  <c r="AZ119" i="1"/>
  <c r="BA119" i="1"/>
  <c r="BC119" i="1"/>
  <c r="BD119" i="1"/>
  <c r="BE119" i="1"/>
  <c r="BF119" i="1"/>
  <c r="BG119" i="1"/>
  <c r="BH119" i="1"/>
  <c r="BI119" i="1"/>
  <c r="BJ119" i="1"/>
  <c r="BM119" i="1"/>
  <c r="CA119" i="1"/>
  <c r="CN119" i="1"/>
  <c r="CO119" i="1"/>
  <c r="CP119" i="1"/>
  <c r="CQ119" i="1"/>
  <c r="G777" i="1"/>
  <c r="U777" i="1"/>
  <c r="W777" i="1"/>
  <c r="AE777" i="1"/>
  <c r="AK777" i="1"/>
  <c r="AQ777" i="1"/>
  <c r="AU777" i="1"/>
  <c r="AV777" i="1"/>
  <c r="AW777" i="1"/>
  <c r="AX777" i="1"/>
  <c r="AY777" i="1"/>
  <c r="AZ777" i="1"/>
  <c r="BA777" i="1"/>
  <c r="BC777" i="1"/>
  <c r="BD777" i="1"/>
  <c r="BE777" i="1"/>
  <c r="BF777" i="1"/>
  <c r="BG777" i="1"/>
  <c r="BH777" i="1"/>
  <c r="BI777" i="1"/>
  <c r="BJ777" i="1"/>
  <c r="BM777" i="1"/>
  <c r="CA777" i="1"/>
  <c r="CN777" i="1"/>
  <c r="CO777" i="1"/>
  <c r="CP777" i="1"/>
  <c r="CQ777" i="1"/>
  <c r="G120" i="1"/>
  <c r="U120" i="1"/>
  <c r="W120" i="1"/>
  <c r="AE120" i="1"/>
  <c r="AK120" i="1"/>
  <c r="AQ120" i="1"/>
  <c r="AU120" i="1"/>
  <c r="AV120" i="1"/>
  <c r="AW120" i="1"/>
  <c r="AX120" i="1"/>
  <c r="AY120" i="1"/>
  <c r="AZ120" i="1"/>
  <c r="BA120" i="1"/>
  <c r="BC120" i="1"/>
  <c r="BD120" i="1"/>
  <c r="BE120" i="1"/>
  <c r="BF120" i="1"/>
  <c r="BG120" i="1"/>
  <c r="BH120" i="1"/>
  <c r="BI120" i="1"/>
  <c r="BJ120" i="1"/>
  <c r="BM120" i="1"/>
  <c r="CA120" i="1"/>
  <c r="CN120" i="1"/>
  <c r="CO120" i="1"/>
  <c r="CP120" i="1"/>
  <c r="CQ120" i="1"/>
  <c r="G778" i="1"/>
  <c r="U778" i="1"/>
  <c r="W778" i="1"/>
  <c r="AE778" i="1"/>
  <c r="AK778" i="1"/>
  <c r="AQ778" i="1"/>
  <c r="AU778" i="1"/>
  <c r="AV778" i="1"/>
  <c r="AW778" i="1"/>
  <c r="AX778" i="1"/>
  <c r="AY778" i="1"/>
  <c r="AZ778" i="1"/>
  <c r="BA778" i="1"/>
  <c r="BC778" i="1"/>
  <c r="BD778" i="1"/>
  <c r="BE778" i="1"/>
  <c r="BF778" i="1"/>
  <c r="BG778" i="1"/>
  <c r="BH778" i="1"/>
  <c r="BI778" i="1"/>
  <c r="BJ778" i="1"/>
  <c r="BM778" i="1"/>
  <c r="CA778" i="1"/>
  <c r="CN778" i="1"/>
  <c r="CO778" i="1"/>
  <c r="CP778" i="1"/>
  <c r="CQ778" i="1"/>
  <c r="G1869" i="1"/>
  <c r="U1869" i="1"/>
  <c r="W1869" i="1"/>
  <c r="AE1869" i="1"/>
  <c r="AK1869" i="1"/>
  <c r="AQ1869" i="1"/>
  <c r="AU1869" i="1"/>
  <c r="AV1869" i="1"/>
  <c r="AW1869" i="1"/>
  <c r="AX1869" i="1"/>
  <c r="AY1869" i="1"/>
  <c r="AZ1869" i="1"/>
  <c r="BA1869" i="1"/>
  <c r="BC1869" i="1"/>
  <c r="BD1869" i="1"/>
  <c r="BE1869" i="1"/>
  <c r="BF1869" i="1"/>
  <c r="BG1869" i="1"/>
  <c r="BH1869" i="1"/>
  <c r="BI1869" i="1"/>
  <c r="BJ1869" i="1"/>
  <c r="BM1869" i="1"/>
  <c r="CA1869" i="1"/>
  <c r="CN1869" i="1"/>
  <c r="CO1869" i="1"/>
  <c r="CP1869" i="1"/>
  <c r="CQ1869" i="1"/>
  <c r="G1870" i="1"/>
  <c r="U1870" i="1"/>
  <c r="W1870" i="1"/>
  <c r="AE1870" i="1"/>
  <c r="AK1870" i="1"/>
  <c r="AQ1870" i="1"/>
  <c r="AU1870" i="1"/>
  <c r="AV1870" i="1"/>
  <c r="AW1870" i="1"/>
  <c r="AX1870" i="1"/>
  <c r="AY1870" i="1"/>
  <c r="AZ1870" i="1"/>
  <c r="BA1870" i="1"/>
  <c r="BC1870" i="1"/>
  <c r="BD1870" i="1"/>
  <c r="BE1870" i="1"/>
  <c r="BF1870" i="1"/>
  <c r="BG1870" i="1"/>
  <c r="BH1870" i="1"/>
  <c r="BI1870" i="1"/>
  <c r="BJ1870" i="1"/>
  <c r="BM1870" i="1"/>
  <c r="CA1870" i="1"/>
  <c r="CN1870" i="1"/>
  <c r="CO1870" i="1"/>
  <c r="CP1870" i="1"/>
  <c r="CQ1870" i="1"/>
  <c r="G1871" i="1"/>
  <c r="U1871" i="1"/>
  <c r="W1871" i="1"/>
  <c r="AE1871" i="1"/>
  <c r="AK1871" i="1"/>
  <c r="AQ1871" i="1"/>
  <c r="AU1871" i="1"/>
  <c r="AV1871" i="1"/>
  <c r="AW1871" i="1"/>
  <c r="AX1871" i="1"/>
  <c r="AY1871" i="1"/>
  <c r="AZ1871" i="1"/>
  <c r="BA1871" i="1"/>
  <c r="BC1871" i="1"/>
  <c r="BD1871" i="1"/>
  <c r="BE1871" i="1"/>
  <c r="BF1871" i="1"/>
  <c r="BG1871" i="1"/>
  <c r="BH1871" i="1"/>
  <c r="BI1871" i="1"/>
  <c r="BJ1871" i="1"/>
  <c r="BM1871" i="1"/>
  <c r="CA1871" i="1"/>
  <c r="CN1871" i="1"/>
  <c r="CO1871" i="1"/>
  <c r="CP1871" i="1"/>
  <c r="CQ1871" i="1"/>
  <c r="G779" i="1"/>
  <c r="U779" i="1"/>
  <c r="W779" i="1"/>
  <c r="AE779" i="1"/>
  <c r="AK779" i="1"/>
  <c r="AQ779" i="1"/>
  <c r="AU779" i="1"/>
  <c r="AV779" i="1"/>
  <c r="AW779" i="1"/>
  <c r="AX779" i="1"/>
  <c r="AY779" i="1"/>
  <c r="AZ779" i="1"/>
  <c r="BA779" i="1"/>
  <c r="BC779" i="1"/>
  <c r="BD779" i="1"/>
  <c r="BE779" i="1"/>
  <c r="BF779" i="1"/>
  <c r="BG779" i="1"/>
  <c r="BH779" i="1"/>
  <c r="BI779" i="1"/>
  <c r="BJ779" i="1"/>
  <c r="BM779" i="1"/>
  <c r="CA779" i="1"/>
  <c r="CN779" i="1"/>
  <c r="CO779" i="1"/>
  <c r="CP779" i="1"/>
  <c r="CQ779" i="1"/>
  <c r="G392" i="1"/>
  <c r="U392" i="1"/>
  <c r="W392" i="1"/>
  <c r="AE392" i="1"/>
  <c r="AK392" i="1"/>
  <c r="AQ392" i="1"/>
  <c r="AU392" i="1"/>
  <c r="AV392" i="1"/>
  <c r="AW392" i="1"/>
  <c r="AX392" i="1"/>
  <c r="AY392" i="1"/>
  <c r="AZ392" i="1"/>
  <c r="BA392" i="1"/>
  <c r="BC392" i="1"/>
  <c r="BD392" i="1"/>
  <c r="BE392" i="1"/>
  <c r="BF392" i="1"/>
  <c r="BG392" i="1"/>
  <c r="BH392" i="1"/>
  <c r="BI392" i="1"/>
  <c r="BJ392" i="1"/>
  <c r="BM392" i="1"/>
  <c r="CA392" i="1"/>
  <c r="CN392" i="1"/>
  <c r="CO392" i="1"/>
  <c r="CP392" i="1"/>
  <c r="CQ392" i="1"/>
  <c r="G1572" i="1"/>
  <c r="U1572" i="1"/>
  <c r="W1572" i="1"/>
  <c r="AE1572" i="1"/>
  <c r="AK1572" i="1"/>
  <c r="AQ1572" i="1"/>
  <c r="AU1572" i="1"/>
  <c r="AV1572" i="1"/>
  <c r="AW1572" i="1"/>
  <c r="AX1572" i="1"/>
  <c r="AY1572" i="1"/>
  <c r="AZ1572" i="1"/>
  <c r="BA1572" i="1"/>
  <c r="BC1572" i="1"/>
  <c r="BD1572" i="1"/>
  <c r="BE1572" i="1"/>
  <c r="BF1572" i="1"/>
  <c r="BG1572" i="1"/>
  <c r="BH1572" i="1"/>
  <c r="BI1572" i="1"/>
  <c r="BJ1572" i="1"/>
  <c r="BM1572" i="1"/>
  <c r="CA1572" i="1"/>
  <c r="CN1572" i="1"/>
  <c r="CO1572" i="1"/>
  <c r="CP1572" i="1"/>
  <c r="CQ1572" i="1"/>
  <c r="G1380" i="1"/>
  <c r="U1380" i="1"/>
  <c r="W1380" i="1"/>
  <c r="AE1380" i="1"/>
  <c r="AK1380" i="1"/>
  <c r="AQ1380" i="1"/>
  <c r="AU1380" i="1"/>
  <c r="AV1380" i="1"/>
  <c r="AW1380" i="1"/>
  <c r="AX1380" i="1"/>
  <c r="AY1380" i="1"/>
  <c r="AZ1380" i="1"/>
  <c r="BA1380" i="1"/>
  <c r="BC1380" i="1"/>
  <c r="BD1380" i="1"/>
  <c r="BE1380" i="1"/>
  <c r="BF1380" i="1"/>
  <c r="BG1380" i="1"/>
  <c r="BH1380" i="1"/>
  <c r="BI1380" i="1"/>
  <c r="BJ1380" i="1"/>
  <c r="BM1380" i="1"/>
  <c r="CA1380" i="1"/>
  <c r="CN1380" i="1"/>
  <c r="CO1380" i="1"/>
  <c r="CP1380" i="1"/>
  <c r="CQ1380" i="1"/>
  <c r="G780" i="1"/>
  <c r="U780" i="1"/>
  <c r="W780" i="1"/>
  <c r="AE780" i="1"/>
  <c r="AK780" i="1"/>
  <c r="AQ780" i="1"/>
  <c r="AU780" i="1"/>
  <c r="AV780" i="1"/>
  <c r="AW780" i="1"/>
  <c r="AX780" i="1"/>
  <c r="AY780" i="1"/>
  <c r="AZ780" i="1"/>
  <c r="BA780" i="1"/>
  <c r="BC780" i="1"/>
  <c r="BD780" i="1"/>
  <c r="BE780" i="1"/>
  <c r="BF780" i="1"/>
  <c r="BG780" i="1"/>
  <c r="BH780" i="1"/>
  <c r="BI780" i="1"/>
  <c r="BJ780" i="1"/>
  <c r="BM780" i="1"/>
  <c r="CA780" i="1"/>
  <c r="CN780" i="1"/>
  <c r="CO780" i="1"/>
  <c r="CP780" i="1"/>
  <c r="CQ780" i="1"/>
  <c r="G1872" i="1"/>
  <c r="U1872" i="1"/>
  <c r="W1872" i="1"/>
  <c r="AE1872" i="1"/>
  <c r="AK1872" i="1"/>
  <c r="AQ1872" i="1"/>
  <c r="AU1872" i="1"/>
  <c r="AV1872" i="1"/>
  <c r="AW1872" i="1"/>
  <c r="AX1872" i="1"/>
  <c r="AY1872" i="1"/>
  <c r="AZ1872" i="1"/>
  <c r="BA1872" i="1"/>
  <c r="BC1872" i="1"/>
  <c r="BD1872" i="1"/>
  <c r="BE1872" i="1"/>
  <c r="BF1872" i="1"/>
  <c r="BG1872" i="1"/>
  <c r="BH1872" i="1"/>
  <c r="BI1872" i="1"/>
  <c r="BJ1872" i="1"/>
  <c r="BM1872" i="1"/>
  <c r="CA1872" i="1"/>
  <c r="CN1872" i="1"/>
  <c r="CO1872" i="1"/>
  <c r="CP1872" i="1"/>
  <c r="CQ1872" i="1"/>
  <c r="G1873" i="1"/>
  <c r="U1873" i="1"/>
  <c r="W1873" i="1"/>
  <c r="AE1873" i="1"/>
  <c r="AK1873" i="1"/>
  <c r="AQ1873" i="1"/>
  <c r="AU1873" i="1"/>
  <c r="AV1873" i="1"/>
  <c r="AW1873" i="1"/>
  <c r="AX1873" i="1"/>
  <c r="AY1873" i="1"/>
  <c r="AZ1873" i="1"/>
  <c r="BA1873" i="1"/>
  <c r="BC1873" i="1"/>
  <c r="BD1873" i="1"/>
  <c r="BE1873" i="1"/>
  <c r="BF1873" i="1"/>
  <c r="BG1873" i="1"/>
  <c r="BH1873" i="1"/>
  <c r="BI1873" i="1"/>
  <c r="BJ1873" i="1"/>
  <c r="BM1873" i="1"/>
  <c r="CA1873" i="1"/>
  <c r="CN1873" i="1"/>
  <c r="CO1873" i="1"/>
  <c r="CP1873" i="1"/>
  <c r="CQ1873" i="1"/>
  <c r="G781" i="1"/>
  <c r="U781" i="1"/>
  <c r="W781" i="1"/>
  <c r="AE781" i="1"/>
  <c r="AK781" i="1"/>
  <c r="AQ781" i="1"/>
  <c r="AU781" i="1"/>
  <c r="AV781" i="1"/>
  <c r="AW781" i="1"/>
  <c r="AX781" i="1"/>
  <c r="AY781" i="1"/>
  <c r="AZ781" i="1"/>
  <c r="BA781" i="1"/>
  <c r="BC781" i="1"/>
  <c r="BD781" i="1"/>
  <c r="BE781" i="1"/>
  <c r="BF781" i="1"/>
  <c r="BG781" i="1"/>
  <c r="BH781" i="1"/>
  <c r="BI781" i="1"/>
  <c r="BJ781" i="1"/>
  <c r="BM781" i="1"/>
  <c r="CA781" i="1"/>
  <c r="CN781" i="1"/>
  <c r="CO781" i="1"/>
  <c r="CP781" i="1"/>
  <c r="CQ781" i="1"/>
  <c r="G121" i="1"/>
  <c r="U121" i="1"/>
  <c r="W121" i="1"/>
  <c r="AE121" i="1"/>
  <c r="AK121" i="1"/>
  <c r="AQ121" i="1"/>
  <c r="AU121" i="1"/>
  <c r="AV121" i="1"/>
  <c r="AW121" i="1"/>
  <c r="AX121" i="1"/>
  <c r="AY121" i="1"/>
  <c r="AZ121" i="1"/>
  <c r="BA121" i="1"/>
  <c r="BC121" i="1"/>
  <c r="BD121" i="1"/>
  <c r="BE121" i="1"/>
  <c r="BF121" i="1"/>
  <c r="BG121" i="1"/>
  <c r="BH121" i="1"/>
  <c r="BI121" i="1"/>
  <c r="BJ121" i="1"/>
  <c r="BM121" i="1"/>
  <c r="CA121" i="1"/>
  <c r="CN121" i="1"/>
  <c r="CO121" i="1"/>
  <c r="CP121" i="1"/>
  <c r="CQ121" i="1"/>
  <c r="G1874" i="1"/>
  <c r="U1874" i="1"/>
  <c r="W1874" i="1"/>
  <c r="AE1874" i="1"/>
  <c r="AK1874" i="1"/>
  <c r="AQ1874" i="1"/>
  <c r="AU1874" i="1"/>
  <c r="AV1874" i="1"/>
  <c r="AW1874" i="1"/>
  <c r="AX1874" i="1"/>
  <c r="AY1874" i="1"/>
  <c r="AZ1874" i="1"/>
  <c r="BA1874" i="1"/>
  <c r="BC1874" i="1"/>
  <c r="BD1874" i="1"/>
  <c r="BE1874" i="1"/>
  <c r="BF1874" i="1"/>
  <c r="BG1874" i="1"/>
  <c r="BH1874" i="1"/>
  <c r="BI1874" i="1"/>
  <c r="BJ1874" i="1"/>
  <c r="BM1874" i="1"/>
  <c r="CA1874" i="1"/>
  <c r="CN1874" i="1"/>
  <c r="CO1874" i="1"/>
  <c r="CP1874" i="1"/>
  <c r="CQ1874" i="1"/>
  <c r="G782" i="1"/>
  <c r="U782" i="1"/>
  <c r="W782" i="1"/>
  <c r="AE782" i="1"/>
  <c r="AK782" i="1"/>
  <c r="AQ782" i="1"/>
  <c r="AU782" i="1"/>
  <c r="AV782" i="1"/>
  <c r="AW782" i="1"/>
  <c r="AX782" i="1"/>
  <c r="AY782" i="1"/>
  <c r="AZ782" i="1"/>
  <c r="BA782" i="1"/>
  <c r="BC782" i="1"/>
  <c r="BD782" i="1"/>
  <c r="BE782" i="1"/>
  <c r="BF782" i="1"/>
  <c r="BG782" i="1"/>
  <c r="BH782" i="1"/>
  <c r="BI782" i="1"/>
  <c r="BJ782" i="1"/>
  <c r="BM782" i="1"/>
  <c r="CA782" i="1"/>
  <c r="CN782" i="1"/>
  <c r="CO782" i="1"/>
  <c r="CP782" i="1"/>
  <c r="CQ782" i="1"/>
  <c r="G1875" i="1"/>
  <c r="U1875" i="1"/>
  <c r="W1875" i="1"/>
  <c r="AE1875" i="1"/>
  <c r="AK1875" i="1"/>
  <c r="AQ1875" i="1"/>
  <c r="AU1875" i="1"/>
  <c r="AV1875" i="1"/>
  <c r="AW1875" i="1"/>
  <c r="AX1875" i="1"/>
  <c r="AY1875" i="1"/>
  <c r="AZ1875" i="1"/>
  <c r="BA1875" i="1"/>
  <c r="BC1875" i="1"/>
  <c r="BD1875" i="1"/>
  <c r="BE1875" i="1"/>
  <c r="BF1875" i="1"/>
  <c r="BG1875" i="1"/>
  <c r="BH1875" i="1"/>
  <c r="BI1875" i="1"/>
  <c r="BJ1875" i="1"/>
  <c r="BM1875" i="1"/>
  <c r="CA1875" i="1"/>
  <c r="CN1875" i="1"/>
  <c r="CO1875" i="1"/>
  <c r="CP1875" i="1"/>
  <c r="CQ1875" i="1"/>
  <c r="G783" i="1"/>
  <c r="U783" i="1"/>
  <c r="W783" i="1"/>
  <c r="AE783" i="1"/>
  <c r="AK783" i="1"/>
  <c r="AQ783" i="1"/>
  <c r="AU783" i="1"/>
  <c r="AV783" i="1"/>
  <c r="AW783" i="1"/>
  <c r="AX783" i="1"/>
  <c r="AY783" i="1"/>
  <c r="AZ783" i="1"/>
  <c r="BA783" i="1"/>
  <c r="BC783" i="1"/>
  <c r="BD783" i="1"/>
  <c r="BE783" i="1"/>
  <c r="BF783" i="1"/>
  <c r="BG783" i="1"/>
  <c r="BH783" i="1"/>
  <c r="BI783" i="1"/>
  <c r="BJ783" i="1"/>
  <c r="BM783" i="1"/>
  <c r="CA783" i="1"/>
  <c r="CN783" i="1"/>
  <c r="CO783" i="1"/>
  <c r="CP783" i="1"/>
  <c r="CQ783" i="1"/>
  <c r="G122" i="1"/>
  <c r="U122" i="1"/>
  <c r="W122" i="1"/>
  <c r="AE122" i="1"/>
  <c r="AK122" i="1"/>
  <c r="AQ122" i="1"/>
  <c r="AU122" i="1"/>
  <c r="AV122" i="1"/>
  <c r="AW122" i="1"/>
  <c r="AX122" i="1"/>
  <c r="AY122" i="1"/>
  <c r="AZ122" i="1"/>
  <c r="BA122" i="1"/>
  <c r="BC122" i="1"/>
  <c r="BD122" i="1"/>
  <c r="BE122" i="1"/>
  <c r="BF122" i="1"/>
  <c r="BG122" i="1"/>
  <c r="BH122" i="1"/>
  <c r="BI122" i="1"/>
  <c r="BJ122" i="1"/>
  <c r="BM122" i="1"/>
  <c r="CA122" i="1"/>
  <c r="CN122" i="1"/>
  <c r="CO122" i="1"/>
  <c r="CP122" i="1"/>
  <c r="CQ122" i="1"/>
  <c r="G1876" i="1"/>
  <c r="U1876" i="1"/>
  <c r="W1876" i="1"/>
  <c r="AE1876" i="1"/>
  <c r="AK1876" i="1"/>
  <c r="AQ1876" i="1"/>
  <c r="AU1876" i="1"/>
  <c r="AV1876" i="1"/>
  <c r="AW1876" i="1"/>
  <c r="AX1876" i="1"/>
  <c r="AY1876" i="1"/>
  <c r="AZ1876" i="1"/>
  <c r="BA1876" i="1"/>
  <c r="BC1876" i="1"/>
  <c r="BD1876" i="1"/>
  <c r="BE1876" i="1"/>
  <c r="BF1876" i="1"/>
  <c r="BG1876" i="1"/>
  <c r="BH1876" i="1"/>
  <c r="BI1876" i="1"/>
  <c r="BJ1876" i="1"/>
  <c r="BM1876" i="1"/>
  <c r="CA1876" i="1"/>
  <c r="CN1876" i="1"/>
  <c r="CO1876" i="1"/>
  <c r="CP1876" i="1"/>
  <c r="CQ1876" i="1"/>
  <c r="G1381" i="1"/>
  <c r="U1381" i="1"/>
  <c r="W1381" i="1"/>
  <c r="AE1381" i="1"/>
  <c r="AK1381" i="1"/>
  <c r="AQ1381" i="1"/>
  <c r="AU1381" i="1"/>
  <c r="AV1381" i="1"/>
  <c r="AW1381" i="1"/>
  <c r="AX1381" i="1"/>
  <c r="AY1381" i="1"/>
  <c r="AZ1381" i="1"/>
  <c r="BA1381" i="1"/>
  <c r="BC1381" i="1"/>
  <c r="BD1381" i="1"/>
  <c r="BE1381" i="1"/>
  <c r="BF1381" i="1"/>
  <c r="BG1381" i="1"/>
  <c r="BH1381" i="1"/>
  <c r="BI1381" i="1"/>
  <c r="BJ1381" i="1"/>
  <c r="BM1381" i="1"/>
  <c r="CA1381" i="1"/>
  <c r="CN1381" i="1"/>
  <c r="CO1381" i="1"/>
  <c r="CP1381" i="1"/>
  <c r="CQ1381" i="1"/>
  <c r="G784" i="1"/>
  <c r="U784" i="1"/>
  <c r="W784" i="1"/>
  <c r="AE784" i="1"/>
  <c r="AK784" i="1"/>
  <c r="AQ784" i="1"/>
  <c r="AU784" i="1"/>
  <c r="AV784" i="1"/>
  <c r="AW784" i="1"/>
  <c r="AX784" i="1"/>
  <c r="AY784" i="1"/>
  <c r="AZ784" i="1"/>
  <c r="BA784" i="1"/>
  <c r="BC784" i="1"/>
  <c r="BD784" i="1"/>
  <c r="BE784" i="1"/>
  <c r="BF784" i="1"/>
  <c r="BG784" i="1"/>
  <c r="BH784" i="1"/>
  <c r="BI784" i="1"/>
  <c r="BJ784" i="1"/>
  <c r="BM784" i="1"/>
  <c r="CA784" i="1"/>
  <c r="CN784" i="1"/>
  <c r="CO784" i="1"/>
  <c r="CP784" i="1"/>
  <c r="CQ784" i="1"/>
  <c r="G785" i="1"/>
  <c r="U785" i="1"/>
  <c r="W785" i="1"/>
  <c r="AE785" i="1"/>
  <c r="AK785" i="1"/>
  <c r="AQ785" i="1"/>
  <c r="AU785" i="1"/>
  <c r="AV785" i="1"/>
  <c r="AW785" i="1"/>
  <c r="AX785" i="1"/>
  <c r="AY785" i="1"/>
  <c r="AZ785" i="1"/>
  <c r="BA785" i="1"/>
  <c r="BC785" i="1"/>
  <c r="BD785" i="1"/>
  <c r="BE785" i="1"/>
  <c r="BF785" i="1"/>
  <c r="BG785" i="1"/>
  <c r="BH785" i="1"/>
  <c r="BI785" i="1"/>
  <c r="BJ785" i="1"/>
  <c r="BM785" i="1"/>
  <c r="CA785" i="1"/>
  <c r="CN785" i="1"/>
  <c r="CO785" i="1"/>
  <c r="CP785" i="1"/>
  <c r="CQ785" i="1"/>
  <c r="G786" i="1"/>
  <c r="U786" i="1"/>
  <c r="W786" i="1"/>
  <c r="AE786" i="1"/>
  <c r="AK786" i="1"/>
  <c r="AQ786" i="1"/>
  <c r="AU786" i="1"/>
  <c r="AV786" i="1"/>
  <c r="AW786" i="1"/>
  <c r="AX786" i="1"/>
  <c r="AY786" i="1"/>
  <c r="AZ786" i="1"/>
  <c r="BA786" i="1"/>
  <c r="BC786" i="1"/>
  <c r="BD786" i="1"/>
  <c r="BE786" i="1"/>
  <c r="BF786" i="1"/>
  <c r="BG786" i="1"/>
  <c r="BH786" i="1"/>
  <c r="BI786" i="1"/>
  <c r="BJ786" i="1"/>
  <c r="BM786" i="1"/>
  <c r="CA786" i="1"/>
  <c r="CN786" i="1"/>
  <c r="CO786" i="1"/>
  <c r="CP786" i="1"/>
  <c r="CQ786" i="1"/>
  <c r="G787" i="1"/>
  <c r="U787" i="1"/>
  <c r="W787" i="1"/>
  <c r="AE787" i="1"/>
  <c r="AK787" i="1"/>
  <c r="AQ787" i="1"/>
  <c r="AU787" i="1"/>
  <c r="AV787" i="1"/>
  <c r="AW787" i="1"/>
  <c r="AX787" i="1"/>
  <c r="AY787" i="1"/>
  <c r="AZ787" i="1"/>
  <c r="BA787" i="1"/>
  <c r="BC787" i="1"/>
  <c r="BD787" i="1"/>
  <c r="BE787" i="1"/>
  <c r="BF787" i="1"/>
  <c r="BG787" i="1"/>
  <c r="BH787" i="1"/>
  <c r="BI787" i="1"/>
  <c r="BJ787" i="1"/>
  <c r="BM787" i="1"/>
  <c r="CA787" i="1"/>
  <c r="CN787" i="1"/>
  <c r="CO787" i="1"/>
  <c r="CP787" i="1"/>
  <c r="CQ787" i="1"/>
  <c r="G788" i="1"/>
  <c r="U788" i="1"/>
  <c r="W788" i="1"/>
  <c r="AE788" i="1"/>
  <c r="AK788" i="1"/>
  <c r="AQ788" i="1"/>
  <c r="AU788" i="1"/>
  <c r="AV788" i="1"/>
  <c r="AW788" i="1"/>
  <c r="AX788" i="1"/>
  <c r="AY788" i="1"/>
  <c r="AZ788" i="1"/>
  <c r="BA788" i="1"/>
  <c r="BC788" i="1"/>
  <c r="BD788" i="1"/>
  <c r="BE788" i="1"/>
  <c r="BF788" i="1"/>
  <c r="BG788" i="1"/>
  <c r="BH788" i="1"/>
  <c r="BI788" i="1"/>
  <c r="BJ788" i="1"/>
  <c r="BM788" i="1"/>
  <c r="CA788" i="1"/>
  <c r="CN788" i="1"/>
  <c r="CO788" i="1"/>
  <c r="CP788" i="1"/>
  <c r="CQ788" i="1"/>
  <c r="G1382" i="1"/>
  <c r="U1382" i="1"/>
  <c r="W1382" i="1"/>
  <c r="AE1382" i="1"/>
  <c r="AK1382" i="1"/>
  <c r="AQ1382" i="1"/>
  <c r="AU1382" i="1"/>
  <c r="AV1382" i="1"/>
  <c r="AW1382" i="1"/>
  <c r="AX1382" i="1"/>
  <c r="AY1382" i="1"/>
  <c r="AZ1382" i="1"/>
  <c r="BA1382" i="1"/>
  <c r="BC1382" i="1"/>
  <c r="BD1382" i="1"/>
  <c r="BE1382" i="1"/>
  <c r="BF1382" i="1"/>
  <c r="BG1382" i="1"/>
  <c r="BH1382" i="1"/>
  <c r="BI1382" i="1"/>
  <c r="BJ1382" i="1"/>
  <c r="BM1382" i="1"/>
  <c r="CA1382" i="1"/>
  <c r="CN1382" i="1"/>
  <c r="CO1382" i="1"/>
  <c r="CP1382" i="1"/>
  <c r="CQ1382" i="1"/>
  <c r="G123" i="1"/>
  <c r="U123" i="1"/>
  <c r="W123" i="1"/>
  <c r="AE123" i="1"/>
  <c r="AK123" i="1"/>
  <c r="AQ123" i="1"/>
  <c r="AU123" i="1"/>
  <c r="AV123" i="1"/>
  <c r="AW123" i="1"/>
  <c r="AX123" i="1"/>
  <c r="AY123" i="1"/>
  <c r="AZ123" i="1"/>
  <c r="BA123" i="1"/>
  <c r="BC123" i="1"/>
  <c r="BD123" i="1"/>
  <c r="BE123" i="1"/>
  <c r="BF123" i="1"/>
  <c r="BG123" i="1"/>
  <c r="BH123" i="1"/>
  <c r="BI123" i="1"/>
  <c r="BJ123" i="1"/>
  <c r="BM123" i="1"/>
  <c r="CA123" i="1"/>
  <c r="CN123" i="1"/>
  <c r="CO123" i="1"/>
  <c r="CP123" i="1"/>
  <c r="CQ123" i="1"/>
  <c r="G1877" i="1"/>
  <c r="U1877" i="1"/>
  <c r="W1877" i="1"/>
  <c r="AE1877" i="1"/>
  <c r="AK1877" i="1"/>
  <c r="AQ1877" i="1"/>
  <c r="AU1877" i="1"/>
  <c r="AV1877" i="1"/>
  <c r="AW1877" i="1"/>
  <c r="AX1877" i="1"/>
  <c r="AY1877" i="1"/>
  <c r="AZ1877" i="1"/>
  <c r="BA1877" i="1"/>
  <c r="BC1877" i="1"/>
  <c r="BD1877" i="1"/>
  <c r="BE1877" i="1"/>
  <c r="BF1877" i="1"/>
  <c r="BG1877" i="1"/>
  <c r="BH1877" i="1"/>
  <c r="BI1877" i="1"/>
  <c r="BJ1877" i="1"/>
  <c r="BM1877" i="1"/>
  <c r="CA1877" i="1"/>
  <c r="CN1877" i="1"/>
  <c r="CO1877" i="1"/>
  <c r="CP1877" i="1"/>
  <c r="CQ1877" i="1"/>
  <c r="G1878" i="1"/>
  <c r="U1878" i="1"/>
  <c r="W1878" i="1"/>
  <c r="AE1878" i="1"/>
  <c r="AK1878" i="1"/>
  <c r="AQ1878" i="1"/>
  <c r="AU1878" i="1"/>
  <c r="AV1878" i="1"/>
  <c r="AW1878" i="1"/>
  <c r="AX1878" i="1"/>
  <c r="AY1878" i="1"/>
  <c r="AZ1878" i="1"/>
  <c r="BA1878" i="1"/>
  <c r="BC1878" i="1"/>
  <c r="BD1878" i="1"/>
  <c r="BE1878" i="1"/>
  <c r="BF1878" i="1"/>
  <c r="BG1878" i="1"/>
  <c r="BH1878" i="1"/>
  <c r="BI1878" i="1"/>
  <c r="BJ1878" i="1"/>
  <c r="BM1878" i="1"/>
  <c r="CA1878" i="1"/>
  <c r="CN1878" i="1"/>
  <c r="CO1878" i="1"/>
  <c r="CP1878" i="1"/>
  <c r="CQ1878" i="1"/>
  <c r="G124" i="1"/>
  <c r="U124" i="1"/>
  <c r="W124" i="1"/>
  <c r="AE124" i="1"/>
  <c r="AK124" i="1"/>
  <c r="AQ124" i="1"/>
  <c r="AU124" i="1"/>
  <c r="AV124" i="1"/>
  <c r="AW124" i="1"/>
  <c r="AX124" i="1"/>
  <c r="AY124" i="1"/>
  <c r="AZ124" i="1"/>
  <c r="BA124" i="1"/>
  <c r="BC124" i="1"/>
  <c r="BD124" i="1"/>
  <c r="BE124" i="1"/>
  <c r="BF124" i="1"/>
  <c r="BG124" i="1"/>
  <c r="BH124" i="1"/>
  <c r="BI124" i="1"/>
  <c r="BJ124" i="1"/>
  <c r="BM124" i="1"/>
  <c r="CA124" i="1"/>
  <c r="CN124" i="1"/>
  <c r="CO124" i="1"/>
  <c r="CP124" i="1"/>
  <c r="CQ124" i="1"/>
  <c r="G393" i="1"/>
  <c r="U393" i="1"/>
  <c r="W393" i="1"/>
  <c r="AE393" i="1"/>
  <c r="AK393" i="1"/>
  <c r="AQ393" i="1"/>
  <c r="AU393" i="1"/>
  <c r="AV393" i="1"/>
  <c r="AW393" i="1"/>
  <c r="AX393" i="1"/>
  <c r="AY393" i="1"/>
  <c r="AZ393" i="1"/>
  <c r="BA393" i="1"/>
  <c r="BC393" i="1"/>
  <c r="BD393" i="1"/>
  <c r="BE393" i="1"/>
  <c r="BF393" i="1"/>
  <c r="BG393" i="1"/>
  <c r="BH393" i="1"/>
  <c r="BI393" i="1"/>
  <c r="BJ393" i="1"/>
  <c r="BM393" i="1"/>
  <c r="CA393" i="1"/>
  <c r="CN393" i="1"/>
  <c r="CO393" i="1"/>
  <c r="CP393" i="1"/>
  <c r="CQ393" i="1"/>
  <c r="G125" i="1"/>
  <c r="U125" i="1"/>
  <c r="W125" i="1"/>
  <c r="AE125" i="1"/>
  <c r="AK125" i="1"/>
  <c r="AQ125" i="1"/>
  <c r="AU125" i="1"/>
  <c r="AV125" i="1"/>
  <c r="AW125" i="1"/>
  <c r="AX125" i="1"/>
  <c r="AY125" i="1"/>
  <c r="AZ125" i="1"/>
  <c r="BA125" i="1"/>
  <c r="BC125" i="1"/>
  <c r="BD125" i="1"/>
  <c r="BE125" i="1"/>
  <c r="BF125" i="1"/>
  <c r="BG125" i="1"/>
  <c r="BH125" i="1"/>
  <c r="BI125" i="1"/>
  <c r="BJ125" i="1"/>
  <c r="BM125" i="1"/>
  <c r="CA125" i="1"/>
  <c r="CN125" i="1"/>
  <c r="CO125" i="1"/>
  <c r="CP125" i="1"/>
  <c r="CQ125" i="1"/>
  <c r="G1879" i="1"/>
  <c r="U1879" i="1"/>
  <c r="W1879" i="1"/>
  <c r="AE1879" i="1"/>
  <c r="AK1879" i="1"/>
  <c r="AQ1879" i="1"/>
  <c r="AU1879" i="1"/>
  <c r="AV1879" i="1"/>
  <c r="AW1879" i="1"/>
  <c r="AX1879" i="1"/>
  <c r="AY1879" i="1"/>
  <c r="AZ1879" i="1"/>
  <c r="BA1879" i="1"/>
  <c r="BC1879" i="1"/>
  <c r="BD1879" i="1"/>
  <c r="BE1879" i="1"/>
  <c r="BF1879" i="1"/>
  <c r="BG1879" i="1"/>
  <c r="BH1879" i="1"/>
  <c r="BI1879" i="1"/>
  <c r="BJ1879" i="1"/>
  <c r="BM1879" i="1"/>
  <c r="CA1879" i="1"/>
  <c r="CN1879" i="1"/>
  <c r="CO1879" i="1"/>
  <c r="CP1879" i="1"/>
  <c r="CQ1879" i="1"/>
  <c r="G126" i="1"/>
  <c r="U126" i="1"/>
  <c r="W126" i="1"/>
  <c r="AE126" i="1"/>
  <c r="AK126" i="1"/>
  <c r="AQ126" i="1"/>
  <c r="AU126" i="1"/>
  <c r="AV126" i="1"/>
  <c r="AW126" i="1"/>
  <c r="AX126" i="1"/>
  <c r="AY126" i="1"/>
  <c r="AZ126" i="1"/>
  <c r="BA126" i="1"/>
  <c r="BC126" i="1"/>
  <c r="BD126" i="1"/>
  <c r="BE126" i="1"/>
  <c r="BF126" i="1"/>
  <c r="BG126" i="1"/>
  <c r="BH126" i="1"/>
  <c r="BI126" i="1"/>
  <c r="BJ126" i="1"/>
  <c r="BM126" i="1"/>
  <c r="CA126" i="1"/>
  <c r="CN126" i="1"/>
  <c r="CO126" i="1"/>
  <c r="CP126" i="1"/>
  <c r="CQ126" i="1"/>
  <c r="G127" i="1"/>
  <c r="U127" i="1"/>
  <c r="W127" i="1"/>
  <c r="AE127" i="1"/>
  <c r="AK127" i="1"/>
  <c r="AQ127" i="1"/>
  <c r="AU127" i="1"/>
  <c r="AV127" i="1"/>
  <c r="AW127" i="1"/>
  <c r="AX127" i="1"/>
  <c r="AY127" i="1"/>
  <c r="AZ127" i="1"/>
  <c r="BA127" i="1"/>
  <c r="BC127" i="1"/>
  <c r="BD127" i="1"/>
  <c r="BE127" i="1"/>
  <c r="BF127" i="1"/>
  <c r="BG127" i="1"/>
  <c r="BH127" i="1"/>
  <c r="BI127" i="1"/>
  <c r="BJ127" i="1"/>
  <c r="BM127" i="1"/>
  <c r="CA127" i="1"/>
  <c r="CN127" i="1"/>
  <c r="CO127" i="1"/>
  <c r="CP127" i="1"/>
  <c r="CQ127" i="1"/>
  <c r="G1880" i="1"/>
  <c r="U1880" i="1"/>
  <c r="W1880" i="1"/>
  <c r="AE1880" i="1"/>
  <c r="AK1880" i="1"/>
  <c r="AQ1880" i="1"/>
  <c r="AU1880" i="1"/>
  <c r="AV1880" i="1"/>
  <c r="AW1880" i="1"/>
  <c r="AX1880" i="1"/>
  <c r="AY1880" i="1"/>
  <c r="AZ1880" i="1"/>
  <c r="BA1880" i="1"/>
  <c r="BC1880" i="1"/>
  <c r="BD1880" i="1"/>
  <c r="BE1880" i="1"/>
  <c r="BF1880" i="1"/>
  <c r="BG1880" i="1"/>
  <c r="BH1880" i="1"/>
  <c r="BI1880" i="1"/>
  <c r="BJ1880" i="1"/>
  <c r="BM1880" i="1"/>
  <c r="CA1880" i="1"/>
  <c r="CN1880" i="1"/>
  <c r="CO1880" i="1"/>
  <c r="CP1880" i="1"/>
  <c r="CQ1880" i="1"/>
  <c r="G394" i="1"/>
  <c r="U394" i="1"/>
  <c r="W394" i="1"/>
  <c r="AE394" i="1"/>
  <c r="AK394" i="1"/>
  <c r="AQ394" i="1"/>
  <c r="AU394" i="1"/>
  <c r="AV394" i="1"/>
  <c r="AW394" i="1"/>
  <c r="AX394" i="1"/>
  <c r="AY394" i="1"/>
  <c r="AZ394" i="1"/>
  <c r="BA394" i="1"/>
  <c r="BC394" i="1"/>
  <c r="BD394" i="1"/>
  <c r="BE394" i="1"/>
  <c r="BF394" i="1"/>
  <c r="BG394" i="1"/>
  <c r="BH394" i="1"/>
  <c r="BI394" i="1"/>
  <c r="BJ394" i="1"/>
  <c r="BM394" i="1"/>
  <c r="CA394" i="1"/>
  <c r="CN394" i="1"/>
  <c r="CO394" i="1"/>
  <c r="CP394" i="1"/>
  <c r="CQ394" i="1"/>
  <c r="G1881" i="1"/>
  <c r="U1881" i="1"/>
  <c r="W1881" i="1"/>
  <c r="AE1881" i="1"/>
  <c r="AK1881" i="1"/>
  <c r="AQ1881" i="1"/>
  <c r="AU1881" i="1"/>
  <c r="AV1881" i="1"/>
  <c r="AW1881" i="1"/>
  <c r="AX1881" i="1"/>
  <c r="AY1881" i="1"/>
  <c r="AZ1881" i="1"/>
  <c r="BA1881" i="1"/>
  <c r="BC1881" i="1"/>
  <c r="BD1881" i="1"/>
  <c r="BE1881" i="1"/>
  <c r="BF1881" i="1"/>
  <c r="BG1881" i="1"/>
  <c r="BH1881" i="1"/>
  <c r="BI1881" i="1"/>
  <c r="BJ1881" i="1"/>
  <c r="BM1881" i="1"/>
  <c r="CA1881" i="1"/>
  <c r="CN1881" i="1"/>
  <c r="CO1881" i="1"/>
  <c r="CP1881" i="1"/>
  <c r="CQ1881" i="1"/>
  <c r="G1882" i="1"/>
  <c r="U1882" i="1"/>
  <c r="W1882" i="1"/>
  <c r="AE1882" i="1"/>
  <c r="AK1882" i="1"/>
  <c r="AQ1882" i="1"/>
  <c r="AU1882" i="1"/>
  <c r="AV1882" i="1"/>
  <c r="AW1882" i="1"/>
  <c r="AX1882" i="1"/>
  <c r="AY1882" i="1"/>
  <c r="AZ1882" i="1"/>
  <c r="BA1882" i="1"/>
  <c r="BC1882" i="1"/>
  <c r="BD1882" i="1"/>
  <c r="BE1882" i="1"/>
  <c r="BF1882" i="1"/>
  <c r="BG1882" i="1"/>
  <c r="BH1882" i="1"/>
  <c r="BI1882" i="1"/>
  <c r="BJ1882" i="1"/>
  <c r="BM1882" i="1"/>
  <c r="CA1882" i="1"/>
  <c r="CN1882" i="1"/>
  <c r="CO1882" i="1"/>
  <c r="CP1882" i="1"/>
  <c r="CQ1882" i="1"/>
  <c r="G1573" i="1"/>
  <c r="U1573" i="1"/>
  <c r="W1573" i="1"/>
  <c r="AE1573" i="1"/>
  <c r="AK1573" i="1"/>
  <c r="AQ1573" i="1"/>
  <c r="AU1573" i="1"/>
  <c r="AV1573" i="1"/>
  <c r="AW1573" i="1"/>
  <c r="AX1573" i="1"/>
  <c r="AY1573" i="1"/>
  <c r="AZ1573" i="1"/>
  <c r="BA1573" i="1"/>
  <c r="BC1573" i="1"/>
  <c r="BD1573" i="1"/>
  <c r="BE1573" i="1"/>
  <c r="BF1573" i="1"/>
  <c r="BG1573" i="1"/>
  <c r="BH1573" i="1"/>
  <c r="BI1573" i="1"/>
  <c r="BJ1573" i="1"/>
  <c r="BM1573" i="1"/>
  <c r="CA1573" i="1"/>
  <c r="CN1573" i="1"/>
  <c r="CO1573" i="1"/>
  <c r="CP1573" i="1"/>
  <c r="CQ1573" i="1"/>
  <c r="G1883" i="1"/>
  <c r="U1883" i="1"/>
  <c r="W1883" i="1"/>
  <c r="AE1883" i="1"/>
  <c r="AK1883" i="1"/>
  <c r="AQ1883" i="1"/>
  <c r="AU1883" i="1"/>
  <c r="AV1883" i="1"/>
  <c r="AW1883" i="1"/>
  <c r="AX1883" i="1"/>
  <c r="AY1883" i="1"/>
  <c r="AZ1883" i="1"/>
  <c r="BA1883" i="1"/>
  <c r="BC1883" i="1"/>
  <c r="BD1883" i="1"/>
  <c r="BE1883" i="1"/>
  <c r="BF1883" i="1"/>
  <c r="BG1883" i="1"/>
  <c r="BH1883" i="1"/>
  <c r="BI1883" i="1"/>
  <c r="BJ1883" i="1"/>
  <c r="BM1883" i="1"/>
  <c r="CA1883" i="1"/>
  <c r="CN1883" i="1"/>
  <c r="CO1883" i="1"/>
  <c r="CP1883" i="1"/>
  <c r="CQ1883" i="1"/>
  <c r="G1884" i="1"/>
  <c r="U1884" i="1"/>
  <c r="W1884" i="1"/>
  <c r="AE1884" i="1"/>
  <c r="AK1884" i="1"/>
  <c r="AQ1884" i="1"/>
  <c r="AU1884" i="1"/>
  <c r="AV1884" i="1"/>
  <c r="AW1884" i="1"/>
  <c r="AX1884" i="1"/>
  <c r="AY1884" i="1"/>
  <c r="AZ1884" i="1"/>
  <c r="BA1884" i="1"/>
  <c r="BC1884" i="1"/>
  <c r="BD1884" i="1"/>
  <c r="BE1884" i="1"/>
  <c r="BF1884" i="1"/>
  <c r="BG1884" i="1"/>
  <c r="BH1884" i="1"/>
  <c r="BI1884" i="1"/>
  <c r="BJ1884" i="1"/>
  <c r="BM1884" i="1"/>
  <c r="CA1884" i="1"/>
  <c r="CN1884" i="1"/>
  <c r="CO1884" i="1"/>
  <c r="CP1884" i="1"/>
  <c r="CQ1884" i="1"/>
  <c r="G128" i="1"/>
  <c r="U128" i="1"/>
  <c r="W128" i="1"/>
  <c r="AE128" i="1"/>
  <c r="AK128" i="1"/>
  <c r="AQ128" i="1"/>
  <c r="AU128" i="1"/>
  <c r="AV128" i="1"/>
  <c r="AW128" i="1"/>
  <c r="AX128" i="1"/>
  <c r="AY128" i="1"/>
  <c r="AZ128" i="1"/>
  <c r="BA128" i="1"/>
  <c r="BC128" i="1"/>
  <c r="BD128" i="1"/>
  <c r="BE128" i="1"/>
  <c r="BF128" i="1"/>
  <c r="BG128" i="1"/>
  <c r="BH128" i="1"/>
  <c r="BI128" i="1"/>
  <c r="BJ128" i="1"/>
  <c r="BM128" i="1"/>
  <c r="CA128" i="1"/>
  <c r="CN128" i="1"/>
  <c r="CO128" i="1"/>
  <c r="CP128" i="1"/>
  <c r="CQ128" i="1"/>
  <c r="G1885" i="1"/>
  <c r="U1885" i="1"/>
  <c r="W1885" i="1"/>
  <c r="AE1885" i="1"/>
  <c r="AK1885" i="1"/>
  <c r="AQ1885" i="1"/>
  <c r="AU1885" i="1"/>
  <c r="AV1885" i="1"/>
  <c r="AW1885" i="1"/>
  <c r="AX1885" i="1"/>
  <c r="AY1885" i="1"/>
  <c r="AZ1885" i="1"/>
  <c r="BA1885" i="1"/>
  <c r="BC1885" i="1"/>
  <c r="BD1885" i="1"/>
  <c r="BE1885" i="1"/>
  <c r="BF1885" i="1"/>
  <c r="BG1885" i="1"/>
  <c r="BH1885" i="1"/>
  <c r="BI1885" i="1"/>
  <c r="BJ1885" i="1"/>
  <c r="BM1885" i="1"/>
  <c r="CA1885" i="1"/>
  <c r="CN1885" i="1"/>
  <c r="CO1885" i="1"/>
  <c r="CP1885" i="1"/>
  <c r="CQ1885" i="1"/>
  <c r="G1886" i="1"/>
  <c r="U1886" i="1"/>
  <c r="W1886" i="1"/>
  <c r="AE1886" i="1"/>
  <c r="AK1886" i="1"/>
  <c r="AQ1886" i="1"/>
  <c r="AU1886" i="1"/>
  <c r="AV1886" i="1"/>
  <c r="AW1886" i="1"/>
  <c r="AX1886" i="1"/>
  <c r="AY1886" i="1"/>
  <c r="AZ1886" i="1"/>
  <c r="BA1886" i="1"/>
  <c r="BC1886" i="1"/>
  <c r="BD1886" i="1"/>
  <c r="BE1886" i="1"/>
  <c r="BF1886" i="1"/>
  <c r="BG1886" i="1"/>
  <c r="BH1886" i="1"/>
  <c r="BI1886" i="1"/>
  <c r="BJ1886" i="1"/>
  <c r="BM1886" i="1"/>
  <c r="CA1886" i="1"/>
  <c r="CN1886" i="1"/>
  <c r="CO1886" i="1"/>
  <c r="CP1886" i="1"/>
  <c r="CQ1886" i="1"/>
  <c r="G395" i="1"/>
  <c r="U395" i="1"/>
  <c r="W395" i="1"/>
  <c r="AE395" i="1"/>
  <c r="AK395" i="1"/>
  <c r="AQ395" i="1"/>
  <c r="AU395" i="1"/>
  <c r="AV395" i="1"/>
  <c r="AW395" i="1"/>
  <c r="AX395" i="1"/>
  <c r="AY395" i="1"/>
  <c r="AZ395" i="1"/>
  <c r="BA395" i="1"/>
  <c r="BC395" i="1"/>
  <c r="BD395" i="1"/>
  <c r="BE395" i="1"/>
  <c r="BF395" i="1"/>
  <c r="BG395" i="1"/>
  <c r="BH395" i="1"/>
  <c r="BI395" i="1"/>
  <c r="BJ395" i="1"/>
  <c r="BM395" i="1"/>
  <c r="CA395" i="1"/>
  <c r="CN395" i="1"/>
  <c r="CO395" i="1"/>
  <c r="CP395" i="1"/>
  <c r="CQ395" i="1"/>
  <c r="G129" i="1"/>
  <c r="U129" i="1"/>
  <c r="W129" i="1"/>
  <c r="AE129" i="1"/>
  <c r="AK129" i="1"/>
  <c r="AQ129" i="1"/>
  <c r="AU129" i="1"/>
  <c r="AV129" i="1"/>
  <c r="AW129" i="1"/>
  <c r="AX129" i="1"/>
  <c r="AY129" i="1"/>
  <c r="AZ129" i="1"/>
  <c r="BA129" i="1"/>
  <c r="BC129" i="1"/>
  <c r="BD129" i="1"/>
  <c r="BE129" i="1"/>
  <c r="BF129" i="1"/>
  <c r="BG129" i="1"/>
  <c r="BH129" i="1"/>
  <c r="BI129" i="1"/>
  <c r="BJ129" i="1"/>
  <c r="BM129" i="1"/>
  <c r="CA129" i="1"/>
  <c r="CN129" i="1"/>
  <c r="CO129" i="1"/>
  <c r="CP129" i="1"/>
  <c r="CQ129" i="1"/>
  <c r="G1887" i="1"/>
  <c r="U1887" i="1"/>
  <c r="W1887" i="1"/>
  <c r="AE1887" i="1"/>
  <c r="AK1887" i="1"/>
  <c r="AQ1887" i="1"/>
  <c r="AU1887" i="1"/>
  <c r="AV1887" i="1"/>
  <c r="AW1887" i="1"/>
  <c r="AX1887" i="1"/>
  <c r="AY1887" i="1"/>
  <c r="AZ1887" i="1"/>
  <c r="BA1887" i="1"/>
  <c r="BC1887" i="1"/>
  <c r="BD1887" i="1"/>
  <c r="BE1887" i="1"/>
  <c r="BF1887" i="1"/>
  <c r="BG1887" i="1"/>
  <c r="BH1887" i="1"/>
  <c r="BI1887" i="1"/>
  <c r="BJ1887" i="1"/>
  <c r="BM1887" i="1"/>
  <c r="CA1887" i="1"/>
  <c r="CN1887" i="1"/>
  <c r="CO1887" i="1"/>
  <c r="CP1887" i="1"/>
  <c r="CQ1887" i="1"/>
  <c r="G789" i="1"/>
  <c r="U789" i="1"/>
  <c r="W789" i="1"/>
  <c r="AE789" i="1"/>
  <c r="AK789" i="1"/>
  <c r="AQ789" i="1"/>
  <c r="AU789" i="1"/>
  <c r="AV789" i="1"/>
  <c r="AW789" i="1"/>
  <c r="AX789" i="1"/>
  <c r="AY789" i="1"/>
  <c r="AZ789" i="1"/>
  <c r="BA789" i="1"/>
  <c r="BC789" i="1"/>
  <c r="BD789" i="1"/>
  <c r="BE789" i="1"/>
  <c r="BF789" i="1"/>
  <c r="BG789" i="1"/>
  <c r="BH789" i="1"/>
  <c r="BI789" i="1"/>
  <c r="BJ789" i="1"/>
  <c r="BM789" i="1"/>
  <c r="CA789" i="1"/>
  <c r="CN789" i="1"/>
  <c r="CO789" i="1"/>
  <c r="CP789" i="1"/>
  <c r="CQ789" i="1"/>
  <c r="G1888" i="1"/>
  <c r="U1888" i="1"/>
  <c r="W1888" i="1"/>
  <c r="AE1888" i="1"/>
  <c r="AK1888" i="1"/>
  <c r="AQ1888" i="1"/>
  <c r="AU1888" i="1"/>
  <c r="AV1888" i="1"/>
  <c r="AW1888" i="1"/>
  <c r="AX1888" i="1"/>
  <c r="AY1888" i="1"/>
  <c r="AZ1888" i="1"/>
  <c r="BA1888" i="1"/>
  <c r="BC1888" i="1"/>
  <c r="BD1888" i="1"/>
  <c r="BE1888" i="1"/>
  <c r="BF1888" i="1"/>
  <c r="BG1888" i="1"/>
  <c r="BH1888" i="1"/>
  <c r="BI1888" i="1"/>
  <c r="BJ1888" i="1"/>
  <c r="BM1888" i="1"/>
  <c r="CA1888" i="1"/>
  <c r="CN1888" i="1"/>
  <c r="CO1888" i="1"/>
  <c r="CP1888" i="1"/>
  <c r="CQ1888" i="1"/>
  <c r="G396" i="1"/>
  <c r="U396" i="1"/>
  <c r="W396" i="1"/>
  <c r="AE396" i="1"/>
  <c r="AK396" i="1"/>
  <c r="AQ396" i="1"/>
  <c r="AU396" i="1"/>
  <c r="AV396" i="1"/>
  <c r="AW396" i="1"/>
  <c r="AX396" i="1"/>
  <c r="AY396" i="1"/>
  <c r="AZ396" i="1"/>
  <c r="BA396" i="1"/>
  <c r="BC396" i="1"/>
  <c r="BD396" i="1"/>
  <c r="BE396" i="1"/>
  <c r="BF396" i="1"/>
  <c r="BG396" i="1"/>
  <c r="BH396" i="1"/>
  <c r="BI396" i="1"/>
  <c r="BJ396" i="1"/>
  <c r="BM396" i="1"/>
  <c r="CA396" i="1"/>
  <c r="CN396" i="1"/>
  <c r="CO396" i="1"/>
  <c r="CP396" i="1"/>
  <c r="CQ396" i="1"/>
  <c r="G790" i="1"/>
  <c r="U790" i="1"/>
  <c r="W790" i="1"/>
  <c r="AE790" i="1"/>
  <c r="AK790" i="1"/>
  <c r="AQ790" i="1"/>
  <c r="AU790" i="1"/>
  <c r="AV790" i="1"/>
  <c r="AW790" i="1"/>
  <c r="AX790" i="1"/>
  <c r="AY790" i="1"/>
  <c r="AZ790" i="1"/>
  <c r="BA790" i="1"/>
  <c r="BC790" i="1"/>
  <c r="BD790" i="1"/>
  <c r="BE790" i="1"/>
  <c r="BF790" i="1"/>
  <c r="BG790" i="1"/>
  <c r="BH790" i="1"/>
  <c r="BI790" i="1"/>
  <c r="BJ790" i="1"/>
  <c r="BM790" i="1"/>
  <c r="CA790" i="1"/>
  <c r="CN790" i="1"/>
  <c r="CO790" i="1"/>
  <c r="CP790" i="1"/>
  <c r="CQ790" i="1"/>
  <c r="G791" i="1"/>
  <c r="U791" i="1"/>
  <c r="W791" i="1"/>
  <c r="AE791" i="1"/>
  <c r="AK791" i="1"/>
  <c r="AQ791" i="1"/>
  <c r="AU791" i="1"/>
  <c r="AV791" i="1"/>
  <c r="AW791" i="1"/>
  <c r="AX791" i="1"/>
  <c r="AY791" i="1"/>
  <c r="AZ791" i="1"/>
  <c r="BA791" i="1"/>
  <c r="BC791" i="1"/>
  <c r="BD791" i="1"/>
  <c r="BE791" i="1"/>
  <c r="BF791" i="1"/>
  <c r="BG791" i="1"/>
  <c r="BH791" i="1"/>
  <c r="BI791" i="1"/>
  <c r="BJ791" i="1"/>
  <c r="BM791" i="1"/>
  <c r="CA791" i="1"/>
  <c r="CN791" i="1"/>
  <c r="CO791" i="1"/>
  <c r="CP791" i="1"/>
  <c r="CQ791" i="1"/>
  <c r="G130" i="1"/>
  <c r="U130" i="1"/>
  <c r="W130" i="1"/>
  <c r="AE130" i="1"/>
  <c r="AK130" i="1"/>
  <c r="AQ130" i="1"/>
  <c r="AU130" i="1"/>
  <c r="AV130" i="1"/>
  <c r="AW130" i="1"/>
  <c r="AX130" i="1"/>
  <c r="AY130" i="1"/>
  <c r="AZ130" i="1"/>
  <c r="BA130" i="1"/>
  <c r="BC130" i="1"/>
  <c r="BD130" i="1"/>
  <c r="BE130" i="1"/>
  <c r="BF130" i="1"/>
  <c r="BG130" i="1"/>
  <c r="BH130" i="1"/>
  <c r="BI130" i="1"/>
  <c r="BJ130" i="1"/>
  <c r="BM130" i="1"/>
  <c r="CA130" i="1"/>
  <c r="CN130" i="1"/>
  <c r="CO130" i="1"/>
  <c r="CP130" i="1"/>
  <c r="CQ130" i="1"/>
  <c r="G1889" i="1"/>
  <c r="U1889" i="1"/>
  <c r="W1889" i="1"/>
  <c r="AE1889" i="1"/>
  <c r="AK1889" i="1"/>
  <c r="AQ1889" i="1"/>
  <c r="AU1889" i="1"/>
  <c r="AV1889" i="1"/>
  <c r="AW1889" i="1"/>
  <c r="AX1889" i="1"/>
  <c r="AY1889" i="1"/>
  <c r="AZ1889" i="1"/>
  <c r="BA1889" i="1"/>
  <c r="BC1889" i="1"/>
  <c r="BD1889" i="1"/>
  <c r="BE1889" i="1"/>
  <c r="BF1889" i="1"/>
  <c r="BG1889" i="1"/>
  <c r="BH1889" i="1"/>
  <c r="BI1889" i="1"/>
  <c r="BJ1889" i="1"/>
  <c r="BM1889" i="1"/>
  <c r="CA1889" i="1"/>
  <c r="CN1889" i="1"/>
  <c r="CO1889" i="1"/>
  <c r="CP1889" i="1"/>
  <c r="CQ1889" i="1"/>
  <c r="G131" i="1"/>
  <c r="U131" i="1"/>
  <c r="W131" i="1"/>
  <c r="AE131" i="1"/>
  <c r="AK131" i="1"/>
  <c r="AQ131" i="1"/>
  <c r="AU131" i="1"/>
  <c r="AV131" i="1"/>
  <c r="AW131" i="1"/>
  <c r="AX131" i="1"/>
  <c r="AY131" i="1"/>
  <c r="AZ131" i="1"/>
  <c r="BA131" i="1"/>
  <c r="BC131" i="1"/>
  <c r="BD131" i="1"/>
  <c r="BE131" i="1"/>
  <c r="BF131" i="1"/>
  <c r="BG131" i="1"/>
  <c r="BH131" i="1"/>
  <c r="BI131" i="1"/>
  <c r="BJ131" i="1"/>
  <c r="BM131" i="1"/>
  <c r="CA131" i="1"/>
  <c r="CN131" i="1"/>
  <c r="CO131" i="1"/>
  <c r="CP131" i="1"/>
  <c r="CQ131" i="1"/>
  <c r="G792" i="1"/>
  <c r="U792" i="1"/>
  <c r="W792" i="1"/>
  <c r="AE792" i="1"/>
  <c r="AK792" i="1"/>
  <c r="AQ792" i="1"/>
  <c r="AU792" i="1"/>
  <c r="AV792" i="1"/>
  <c r="AW792" i="1"/>
  <c r="AX792" i="1"/>
  <c r="AY792" i="1"/>
  <c r="AZ792" i="1"/>
  <c r="BA792" i="1"/>
  <c r="BC792" i="1"/>
  <c r="BD792" i="1"/>
  <c r="BE792" i="1"/>
  <c r="BF792" i="1"/>
  <c r="BG792" i="1"/>
  <c r="BH792" i="1"/>
  <c r="BI792" i="1"/>
  <c r="BJ792" i="1"/>
  <c r="BM792" i="1"/>
  <c r="CA792" i="1"/>
  <c r="CN792" i="1"/>
  <c r="CO792" i="1"/>
  <c r="CP792" i="1"/>
  <c r="CQ792" i="1"/>
  <c r="G1383" i="1"/>
  <c r="U1383" i="1"/>
  <c r="W1383" i="1"/>
  <c r="AE1383" i="1"/>
  <c r="AK1383" i="1"/>
  <c r="AQ1383" i="1"/>
  <c r="AU1383" i="1"/>
  <c r="AV1383" i="1"/>
  <c r="AW1383" i="1"/>
  <c r="AX1383" i="1"/>
  <c r="AY1383" i="1"/>
  <c r="AZ1383" i="1"/>
  <c r="BA1383" i="1"/>
  <c r="BC1383" i="1"/>
  <c r="BD1383" i="1"/>
  <c r="BE1383" i="1"/>
  <c r="BF1383" i="1"/>
  <c r="BG1383" i="1"/>
  <c r="BH1383" i="1"/>
  <c r="BI1383" i="1"/>
  <c r="BJ1383" i="1"/>
  <c r="BM1383" i="1"/>
  <c r="CA1383" i="1"/>
  <c r="CN1383" i="1"/>
  <c r="CO1383" i="1"/>
  <c r="CP1383" i="1"/>
  <c r="CQ1383" i="1"/>
  <c r="G793" i="1"/>
  <c r="U793" i="1"/>
  <c r="W793" i="1"/>
  <c r="AE793" i="1"/>
  <c r="AK793" i="1"/>
  <c r="AQ793" i="1"/>
  <c r="AU793" i="1"/>
  <c r="AV793" i="1"/>
  <c r="AW793" i="1"/>
  <c r="AX793" i="1"/>
  <c r="AY793" i="1"/>
  <c r="AZ793" i="1"/>
  <c r="BA793" i="1"/>
  <c r="BC793" i="1"/>
  <c r="BD793" i="1"/>
  <c r="BE793" i="1"/>
  <c r="BF793" i="1"/>
  <c r="BG793" i="1"/>
  <c r="BH793" i="1"/>
  <c r="BI793" i="1"/>
  <c r="BJ793" i="1"/>
  <c r="BM793" i="1"/>
  <c r="CA793" i="1"/>
  <c r="CN793" i="1"/>
  <c r="CO793" i="1"/>
  <c r="CP793" i="1"/>
  <c r="CQ793" i="1"/>
  <c r="G1890" i="1"/>
  <c r="U1890" i="1"/>
  <c r="W1890" i="1"/>
  <c r="AE1890" i="1"/>
  <c r="AK1890" i="1"/>
  <c r="AQ1890" i="1"/>
  <c r="AU1890" i="1"/>
  <c r="AV1890" i="1"/>
  <c r="AW1890" i="1"/>
  <c r="AX1890" i="1"/>
  <c r="AY1890" i="1"/>
  <c r="AZ1890" i="1"/>
  <c r="BA1890" i="1"/>
  <c r="BC1890" i="1"/>
  <c r="BD1890" i="1"/>
  <c r="BE1890" i="1"/>
  <c r="BF1890" i="1"/>
  <c r="BG1890" i="1"/>
  <c r="BH1890" i="1"/>
  <c r="BI1890" i="1"/>
  <c r="BJ1890" i="1"/>
  <c r="BM1890" i="1"/>
  <c r="CA1890" i="1"/>
  <c r="CN1890" i="1"/>
  <c r="CO1890" i="1"/>
  <c r="CP1890" i="1"/>
  <c r="CQ1890" i="1"/>
  <c r="G1891" i="1"/>
  <c r="U1891" i="1"/>
  <c r="W1891" i="1"/>
  <c r="AE1891" i="1"/>
  <c r="AK1891" i="1"/>
  <c r="AQ1891" i="1"/>
  <c r="AU1891" i="1"/>
  <c r="AV1891" i="1"/>
  <c r="AW1891" i="1"/>
  <c r="AX1891" i="1"/>
  <c r="AY1891" i="1"/>
  <c r="AZ1891" i="1"/>
  <c r="BA1891" i="1"/>
  <c r="BC1891" i="1"/>
  <c r="BD1891" i="1"/>
  <c r="BE1891" i="1"/>
  <c r="BF1891" i="1"/>
  <c r="BG1891" i="1"/>
  <c r="BH1891" i="1"/>
  <c r="BI1891" i="1"/>
  <c r="BJ1891" i="1"/>
  <c r="BM1891" i="1"/>
  <c r="CA1891" i="1"/>
  <c r="CN1891" i="1"/>
  <c r="CO1891" i="1"/>
  <c r="CP1891" i="1"/>
  <c r="CQ1891" i="1"/>
  <c r="G1892" i="1"/>
  <c r="U1892" i="1"/>
  <c r="W1892" i="1"/>
  <c r="AE1892" i="1"/>
  <c r="AK1892" i="1"/>
  <c r="AQ1892" i="1"/>
  <c r="AU1892" i="1"/>
  <c r="AV1892" i="1"/>
  <c r="AW1892" i="1"/>
  <c r="AX1892" i="1"/>
  <c r="AY1892" i="1"/>
  <c r="AZ1892" i="1"/>
  <c r="BA1892" i="1"/>
  <c r="BC1892" i="1"/>
  <c r="BD1892" i="1"/>
  <c r="BE1892" i="1"/>
  <c r="BF1892" i="1"/>
  <c r="BG1892" i="1"/>
  <c r="BH1892" i="1"/>
  <c r="BI1892" i="1"/>
  <c r="BJ1892" i="1"/>
  <c r="BM1892" i="1"/>
  <c r="CA1892" i="1"/>
  <c r="CN1892" i="1"/>
  <c r="CO1892" i="1"/>
  <c r="CP1892" i="1"/>
  <c r="CQ1892" i="1"/>
  <c r="G794" i="1"/>
  <c r="U794" i="1"/>
  <c r="W794" i="1"/>
  <c r="AE794" i="1"/>
  <c r="AK794" i="1"/>
  <c r="AQ794" i="1"/>
  <c r="AU794" i="1"/>
  <c r="AV794" i="1"/>
  <c r="AW794" i="1"/>
  <c r="AX794" i="1"/>
  <c r="AY794" i="1"/>
  <c r="AZ794" i="1"/>
  <c r="BA794" i="1"/>
  <c r="BC794" i="1"/>
  <c r="BD794" i="1"/>
  <c r="BE794" i="1"/>
  <c r="BF794" i="1"/>
  <c r="BG794" i="1"/>
  <c r="BH794" i="1"/>
  <c r="BI794" i="1"/>
  <c r="BJ794" i="1"/>
  <c r="BM794" i="1"/>
  <c r="CA794" i="1"/>
  <c r="CN794" i="1"/>
  <c r="CO794" i="1"/>
  <c r="CP794" i="1"/>
  <c r="CQ794" i="1"/>
  <c r="G1893" i="1"/>
  <c r="U1893" i="1"/>
  <c r="W1893" i="1"/>
  <c r="AE1893" i="1"/>
  <c r="AK1893" i="1"/>
  <c r="AQ1893" i="1"/>
  <c r="AU1893" i="1"/>
  <c r="AV1893" i="1"/>
  <c r="AW1893" i="1"/>
  <c r="AX1893" i="1"/>
  <c r="AY1893" i="1"/>
  <c r="AZ1893" i="1"/>
  <c r="BA1893" i="1"/>
  <c r="BC1893" i="1"/>
  <c r="BD1893" i="1"/>
  <c r="BE1893" i="1"/>
  <c r="BF1893" i="1"/>
  <c r="BG1893" i="1"/>
  <c r="BH1893" i="1"/>
  <c r="BI1893" i="1"/>
  <c r="BJ1893" i="1"/>
  <c r="BM1893" i="1"/>
  <c r="CA1893" i="1"/>
  <c r="CN1893" i="1"/>
  <c r="CO1893" i="1"/>
  <c r="CP1893" i="1"/>
  <c r="CQ1893" i="1"/>
  <c r="G795" i="1"/>
  <c r="U795" i="1"/>
  <c r="W795" i="1"/>
  <c r="AE795" i="1"/>
  <c r="AK795" i="1"/>
  <c r="AQ795" i="1"/>
  <c r="AU795" i="1"/>
  <c r="AV795" i="1"/>
  <c r="AW795" i="1"/>
  <c r="AX795" i="1"/>
  <c r="AY795" i="1"/>
  <c r="AZ795" i="1"/>
  <c r="BA795" i="1"/>
  <c r="BC795" i="1"/>
  <c r="BD795" i="1"/>
  <c r="BE795" i="1"/>
  <c r="BF795" i="1"/>
  <c r="BG795" i="1"/>
  <c r="BH795" i="1"/>
  <c r="BI795" i="1"/>
  <c r="BJ795" i="1"/>
  <c r="BM795" i="1"/>
  <c r="CA795" i="1"/>
  <c r="CN795" i="1"/>
  <c r="CO795" i="1"/>
  <c r="CP795" i="1"/>
  <c r="CQ795" i="1"/>
  <c r="G1894" i="1"/>
  <c r="U1894" i="1"/>
  <c r="W1894" i="1"/>
  <c r="AE1894" i="1"/>
  <c r="AK1894" i="1"/>
  <c r="AQ1894" i="1"/>
  <c r="AU1894" i="1"/>
  <c r="AV1894" i="1"/>
  <c r="AW1894" i="1"/>
  <c r="AX1894" i="1"/>
  <c r="AY1894" i="1"/>
  <c r="AZ1894" i="1"/>
  <c r="BA1894" i="1"/>
  <c r="BC1894" i="1"/>
  <c r="BD1894" i="1"/>
  <c r="BE1894" i="1"/>
  <c r="BF1894" i="1"/>
  <c r="BG1894" i="1"/>
  <c r="BH1894" i="1"/>
  <c r="BI1894" i="1"/>
  <c r="BJ1894" i="1"/>
  <c r="BM1894" i="1"/>
  <c r="CA1894" i="1"/>
  <c r="CN1894" i="1"/>
  <c r="CO1894" i="1"/>
  <c r="CP1894" i="1"/>
  <c r="CQ1894" i="1"/>
  <c r="G1384" i="1"/>
  <c r="U1384" i="1"/>
  <c r="W1384" i="1"/>
  <c r="AE1384" i="1"/>
  <c r="AK1384" i="1"/>
  <c r="AQ1384" i="1"/>
  <c r="AU1384" i="1"/>
  <c r="AV1384" i="1"/>
  <c r="AW1384" i="1"/>
  <c r="AX1384" i="1"/>
  <c r="AY1384" i="1"/>
  <c r="AZ1384" i="1"/>
  <c r="BA1384" i="1"/>
  <c r="BC1384" i="1"/>
  <c r="BD1384" i="1"/>
  <c r="BE1384" i="1"/>
  <c r="BF1384" i="1"/>
  <c r="BG1384" i="1"/>
  <c r="BH1384" i="1"/>
  <c r="BI1384" i="1"/>
  <c r="BJ1384" i="1"/>
  <c r="BM1384" i="1"/>
  <c r="CA1384" i="1"/>
  <c r="CN1384" i="1"/>
  <c r="CO1384" i="1"/>
  <c r="CP1384" i="1"/>
  <c r="CQ1384" i="1"/>
  <c r="G796" i="1"/>
  <c r="U796" i="1"/>
  <c r="W796" i="1"/>
  <c r="AE796" i="1"/>
  <c r="AK796" i="1"/>
  <c r="AQ796" i="1"/>
  <c r="AU796" i="1"/>
  <c r="AV796" i="1"/>
  <c r="AW796" i="1"/>
  <c r="AX796" i="1"/>
  <c r="AY796" i="1"/>
  <c r="AZ796" i="1"/>
  <c r="BA796" i="1"/>
  <c r="BC796" i="1"/>
  <c r="BD796" i="1"/>
  <c r="BE796" i="1"/>
  <c r="BF796" i="1"/>
  <c r="BG796" i="1"/>
  <c r="BH796" i="1"/>
  <c r="BI796" i="1"/>
  <c r="BJ796" i="1"/>
  <c r="BM796" i="1"/>
  <c r="CA796" i="1"/>
  <c r="CN796" i="1"/>
  <c r="CO796" i="1"/>
  <c r="CP796" i="1"/>
  <c r="CQ796" i="1"/>
  <c r="G132" i="1"/>
  <c r="U132" i="1"/>
  <c r="W132" i="1"/>
  <c r="AE132" i="1"/>
  <c r="AK132" i="1"/>
  <c r="AQ132" i="1"/>
  <c r="AU132" i="1"/>
  <c r="AV132" i="1"/>
  <c r="AW132" i="1"/>
  <c r="AX132" i="1"/>
  <c r="AY132" i="1"/>
  <c r="AZ132" i="1"/>
  <c r="BA132" i="1"/>
  <c r="BC132" i="1"/>
  <c r="BD132" i="1"/>
  <c r="BE132" i="1"/>
  <c r="BF132" i="1"/>
  <c r="BG132" i="1"/>
  <c r="BH132" i="1"/>
  <c r="BI132" i="1"/>
  <c r="BJ132" i="1"/>
  <c r="BM132" i="1"/>
  <c r="CA132" i="1"/>
  <c r="CN132" i="1"/>
  <c r="CO132" i="1"/>
  <c r="CP132" i="1"/>
  <c r="CQ132" i="1"/>
  <c r="G133" i="1"/>
  <c r="U133" i="1"/>
  <c r="W133" i="1"/>
  <c r="AE133" i="1"/>
  <c r="AK133" i="1"/>
  <c r="AQ133" i="1"/>
  <c r="AU133" i="1"/>
  <c r="AV133" i="1"/>
  <c r="AW133" i="1"/>
  <c r="AX133" i="1"/>
  <c r="AY133" i="1"/>
  <c r="AZ133" i="1"/>
  <c r="BA133" i="1"/>
  <c r="BC133" i="1"/>
  <c r="BD133" i="1"/>
  <c r="BE133" i="1"/>
  <c r="BF133" i="1"/>
  <c r="BG133" i="1"/>
  <c r="BH133" i="1"/>
  <c r="BI133" i="1"/>
  <c r="BJ133" i="1"/>
  <c r="BM133" i="1"/>
  <c r="CA133" i="1"/>
  <c r="CN133" i="1"/>
  <c r="CO133" i="1"/>
  <c r="CP133" i="1"/>
  <c r="CQ133" i="1"/>
  <c r="G134" i="1"/>
  <c r="U134" i="1"/>
  <c r="W134" i="1"/>
  <c r="AE134" i="1"/>
  <c r="AK134" i="1"/>
  <c r="AQ134" i="1"/>
  <c r="AU134" i="1"/>
  <c r="AV134" i="1"/>
  <c r="AW134" i="1"/>
  <c r="AX134" i="1"/>
  <c r="AY134" i="1"/>
  <c r="AZ134" i="1"/>
  <c r="BA134" i="1"/>
  <c r="BC134" i="1"/>
  <c r="BD134" i="1"/>
  <c r="BE134" i="1"/>
  <c r="BF134" i="1"/>
  <c r="BG134" i="1"/>
  <c r="BH134" i="1"/>
  <c r="BI134" i="1"/>
  <c r="BJ134" i="1"/>
  <c r="BM134" i="1"/>
  <c r="CA134" i="1"/>
  <c r="CN134" i="1"/>
  <c r="CO134" i="1"/>
  <c r="CP134" i="1"/>
  <c r="CQ134" i="1"/>
  <c r="G797" i="1"/>
  <c r="U797" i="1"/>
  <c r="W797" i="1"/>
  <c r="AE797" i="1"/>
  <c r="AK797" i="1"/>
  <c r="AQ797" i="1"/>
  <c r="AU797" i="1"/>
  <c r="AV797" i="1"/>
  <c r="AW797" i="1"/>
  <c r="AX797" i="1"/>
  <c r="AY797" i="1"/>
  <c r="AZ797" i="1"/>
  <c r="BA797" i="1"/>
  <c r="BC797" i="1"/>
  <c r="BD797" i="1"/>
  <c r="BE797" i="1"/>
  <c r="BF797" i="1"/>
  <c r="BG797" i="1"/>
  <c r="BH797" i="1"/>
  <c r="BI797" i="1"/>
  <c r="BJ797" i="1"/>
  <c r="BM797" i="1"/>
  <c r="CA797" i="1"/>
  <c r="CN797" i="1"/>
  <c r="CO797" i="1"/>
  <c r="CP797" i="1"/>
  <c r="CQ797" i="1"/>
  <c r="G1385" i="1"/>
  <c r="U1385" i="1"/>
  <c r="W1385" i="1"/>
  <c r="AE1385" i="1"/>
  <c r="AK1385" i="1"/>
  <c r="AQ1385" i="1"/>
  <c r="AU1385" i="1"/>
  <c r="AV1385" i="1"/>
  <c r="AW1385" i="1"/>
  <c r="AX1385" i="1"/>
  <c r="AY1385" i="1"/>
  <c r="AZ1385" i="1"/>
  <c r="BA1385" i="1"/>
  <c r="BC1385" i="1"/>
  <c r="BD1385" i="1"/>
  <c r="BE1385" i="1"/>
  <c r="BF1385" i="1"/>
  <c r="BG1385" i="1"/>
  <c r="BH1385" i="1"/>
  <c r="BI1385" i="1"/>
  <c r="BJ1385" i="1"/>
  <c r="BM1385" i="1"/>
  <c r="CA1385" i="1"/>
  <c r="CN1385" i="1"/>
  <c r="CO1385" i="1"/>
  <c r="CP1385" i="1"/>
  <c r="CQ1385" i="1"/>
  <c r="G135" i="1"/>
  <c r="U135" i="1"/>
  <c r="W135" i="1"/>
  <c r="AE135" i="1"/>
  <c r="AK135" i="1"/>
  <c r="AQ135" i="1"/>
  <c r="AU135" i="1"/>
  <c r="AV135" i="1"/>
  <c r="AW135" i="1"/>
  <c r="AX135" i="1"/>
  <c r="AY135" i="1"/>
  <c r="AZ135" i="1"/>
  <c r="BA135" i="1"/>
  <c r="BC135" i="1"/>
  <c r="BD135" i="1"/>
  <c r="BE135" i="1"/>
  <c r="BF135" i="1"/>
  <c r="BG135" i="1"/>
  <c r="BH135" i="1"/>
  <c r="BI135" i="1"/>
  <c r="BJ135" i="1"/>
  <c r="BM135" i="1"/>
  <c r="CA135" i="1"/>
  <c r="CN135" i="1"/>
  <c r="CO135" i="1"/>
  <c r="CP135" i="1"/>
  <c r="CQ135" i="1"/>
  <c r="G136" i="1"/>
  <c r="U136" i="1"/>
  <c r="W136" i="1"/>
  <c r="AE136" i="1"/>
  <c r="AK136" i="1"/>
  <c r="AQ136" i="1"/>
  <c r="AU136" i="1"/>
  <c r="AV136" i="1"/>
  <c r="AW136" i="1"/>
  <c r="AX136" i="1"/>
  <c r="AY136" i="1"/>
  <c r="AZ136" i="1"/>
  <c r="BA136" i="1"/>
  <c r="BC136" i="1"/>
  <c r="BD136" i="1"/>
  <c r="BE136" i="1"/>
  <c r="BF136" i="1"/>
  <c r="BG136" i="1"/>
  <c r="BH136" i="1"/>
  <c r="BI136" i="1"/>
  <c r="BJ136" i="1"/>
  <c r="BM136" i="1"/>
  <c r="CA136" i="1"/>
  <c r="CN136" i="1"/>
  <c r="CO136" i="1"/>
  <c r="CP136" i="1"/>
  <c r="CQ136" i="1"/>
  <c r="G1895" i="1"/>
  <c r="U1895" i="1"/>
  <c r="W1895" i="1"/>
  <c r="AE1895" i="1"/>
  <c r="AK1895" i="1"/>
  <c r="AQ1895" i="1"/>
  <c r="AU1895" i="1"/>
  <c r="AV1895" i="1"/>
  <c r="AW1895" i="1"/>
  <c r="AX1895" i="1"/>
  <c r="AY1895" i="1"/>
  <c r="AZ1895" i="1"/>
  <c r="BA1895" i="1"/>
  <c r="BC1895" i="1"/>
  <c r="BD1895" i="1"/>
  <c r="BE1895" i="1"/>
  <c r="BF1895" i="1"/>
  <c r="BG1895" i="1"/>
  <c r="BH1895" i="1"/>
  <c r="BI1895" i="1"/>
  <c r="BJ1895" i="1"/>
  <c r="BM1895" i="1"/>
  <c r="CA1895" i="1"/>
  <c r="CN1895" i="1"/>
  <c r="CO1895" i="1"/>
  <c r="CP1895" i="1"/>
  <c r="CQ1895" i="1"/>
  <c r="G798" i="1"/>
  <c r="U798" i="1"/>
  <c r="W798" i="1"/>
  <c r="AE798" i="1"/>
  <c r="AK798" i="1"/>
  <c r="AQ798" i="1"/>
  <c r="AU798" i="1"/>
  <c r="AV798" i="1"/>
  <c r="AW798" i="1"/>
  <c r="AX798" i="1"/>
  <c r="AY798" i="1"/>
  <c r="AZ798" i="1"/>
  <c r="BA798" i="1"/>
  <c r="BC798" i="1"/>
  <c r="BD798" i="1"/>
  <c r="BE798" i="1"/>
  <c r="BF798" i="1"/>
  <c r="BG798" i="1"/>
  <c r="BH798" i="1"/>
  <c r="BI798" i="1"/>
  <c r="BJ798" i="1"/>
  <c r="BM798" i="1"/>
  <c r="CA798" i="1"/>
  <c r="CN798" i="1"/>
  <c r="CO798" i="1"/>
  <c r="CP798" i="1"/>
  <c r="CQ798" i="1"/>
  <c r="G1896" i="1"/>
  <c r="U1896" i="1"/>
  <c r="W1896" i="1"/>
  <c r="AE1896" i="1"/>
  <c r="AK1896" i="1"/>
  <c r="AQ1896" i="1"/>
  <c r="AU1896" i="1"/>
  <c r="AV1896" i="1"/>
  <c r="AW1896" i="1"/>
  <c r="AX1896" i="1"/>
  <c r="AY1896" i="1"/>
  <c r="AZ1896" i="1"/>
  <c r="BA1896" i="1"/>
  <c r="BC1896" i="1"/>
  <c r="BD1896" i="1"/>
  <c r="BE1896" i="1"/>
  <c r="BF1896" i="1"/>
  <c r="BG1896" i="1"/>
  <c r="BH1896" i="1"/>
  <c r="BI1896" i="1"/>
  <c r="BJ1896" i="1"/>
  <c r="BM1896" i="1"/>
  <c r="CA1896" i="1"/>
  <c r="CN1896" i="1"/>
  <c r="CO1896" i="1"/>
  <c r="CP1896" i="1"/>
  <c r="CQ1896" i="1"/>
  <c r="G799" i="1"/>
  <c r="U799" i="1"/>
  <c r="W799" i="1"/>
  <c r="AE799" i="1"/>
  <c r="AK799" i="1"/>
  <c r="AQ799" i="1"/>
  <c r="AU799" i="1"/>
  <c r="AV799" i="1"/>
  <c r="AW799" i="1"/>
  <c r="AX799" i="1"/>
  <c r="AY799" i="1"/>
  <c r="AZ799" i="1"/>
  <c r="BA799" i="1"/>
  <c r="BC799" i="1"/>
  <c r="BD799" i="1"/>
  <c r="BE799" i="1"/>
  <c r="BF799" i="1"/>
  <c r="BG799" i="1"/>
  <c r="BH799" i="1"/>
  <c r="BI799" i="1"/>
  <c r="BJ799" i="1"/>
  <c r="BM799" i="1"/>
  <c r="CA799" i="1"/>
  <c r="CN799" i="1"/>
  <c r="CO799" i="1"/>
  <c r="CP799" i="1"/>
  <c r="CQ799" i="1"/>
  <c r="G1897" i="1"/>
  <c r="U1897" i="1"/>
  <c r="W1897" i="1"/>
  <c r="AE1897" i="1"/>
  <c r="AK1897" i="1"/>
  <c r="AQ1897" i="1"/>
  <c r="AU1897" i="1"/>
  <c r="AV1897" i="1"/>
  <c r="AW1897" i="1"/>
  <c r="AX1897" i="1"/>
  <c r="AY1897" i="1"/>
  <c r="AZ1897" i="1"/>
  <c r="BA1897" i="1"/>
  <c r="BC1897" i="1"/>
  <c r="BD1897" i="1"/>
  <c r="BE1897" i="1"/>
  <c r="BF1897" i="1"/>
  <c r="BG1897" i="1"/>
  <c r="BH1897" i="1"/>
  <c r="BI1897" i="1"/>
  <c r="BJ1897" i="1"/>
  <c r="BM1897" i="1"/>
  <c r="CA1897" i="1"/>
  <c r="CN1897" i="1"/>
  <c r="CO1897" i="1"/>
  <c r="CP1897" i="1"/>
  <c r="CQ1897" i="1"/>
  <c r="G1898" i="1"/>
  <c r="U1898" i="1"/>
  <c r="W1898" i="1"/>
  <c r="AE1898" i="1"/>
  <c r="AK1898" i="1"/>
  <c r="AQ1898" i="1"/>
  <c r="AU1898" i="1"/>
  <c r="AV1898" i="1"/>
  <c r="AW1898" i="1"/>
  <c r="AX1898" i="1"/>
  <c r="AY1898" i="1"/>
  <c r="AZ1898" i="1"/>
  <c r="BA1898" i="1"/>
  <c r="BC1898" i="1"/>
  <c r="BD1898" i="1"/>
  <c r="BE1898" i="1"/>
  <c r="BF1898" i="1"/>
  <c r="BG1898" i="1"/>
  <c r="BH1898" i="1"/>
  <c r="BI1898" i="1"/>
  <c r="BJ1898" i="1"/>
  <c r="BM1898" i="1"/>
  <c r="CA1898" i="1"/>
  <c r="CN1898" i="1"/>
  <c r="CO1898" i="1"/>
  <c r="CP1898" i="1"/>
  <c r="CQ1898" i="1"/>
  <c r="G1386" i="1"/>
  <c r="U1386" i="1"/>
  <c r="W1386" i="1"/>
  <c r="AE1386" i="1"/>
  <c r="AK1386" i="1"/>
  <c r="AQ1386" i="1"/>
  <c r="AU1386" i="1"/>
  <c r="AV1386" i="1"/>
  <c r="AW1386" i="1"/>
  <c r="AX1386" i="1"/>
  <c r="AY1386" i="1"/>
  <c r="AZ1386" i="1"/>
  <c r="BA1386" i="1"/>
  <c r="BC1386" i="1"/>
  <c r="BD1386" i="1"/>
  <c r="BE1386" i="1"/>
  <c r="BF1386" i="1"/>
  <c r="BG1386" i="1"/>
  <c r="BH1386" i="1"/>
  <c r="BI1386" i="1"/>
  <c r="BJ1386" i="1"/>
  <c r="BM1386" i="1"/>
  <c r="CA1386" i="1"/>
  <c r="CN1386" i="1"/>
  <c r="CO1386" i="1"/>
  <c r="CP1386" i="1"/>
  <c r="CQ1386" i="1"/>
  <c r="G1899" i="1"/>
  <c r="U1899" i="1"/>
  <c r="W1899" i="1"/>
  <c r="AE1899" i="1"/>
  <c r="AK1899" i="1"/>
  <c r="AQ1899" i="1"/>
  <c r="AU1899" i="1"/>
  <c r="AV1899" i="1"/>
  <c r="AW1899" i="1"/>
  <c r="AX1899" i="1"/>
  <c r="AY1899" i="1"/>
  <c r="AZ1899" i="1"/>
  <c r="BA1899" i="1"/>
  <c r="BC1899" i="1"/>
  <c r="BD1899" i="1"/>
  <c r="BE1899" i="1"/>
  <c r="BF1899" i="1"/>
  <c r="BG1899" i="1"/>
  <c r="BH1899" i="1"/>
  <c r="BI1899" i="1"/>
  <c r="BJ1899" i="1"/>
  <c r="BM1899" i="1"/>
  <c r="CA1899" i="1"/>
  <c r="CN1899" i="1"/>
  <c r="CO1899" i="1"/>
  <c r="CP1899" i="1"/>
  <c r="CQ1899" i="1"/>
  <c r="G1900" i="1"/>
  <c r="U1900" i="1"/>
  <c r="W1900" i="1"/>
  <c r="AE1900" i="1"/>
  <c r="AK1900" i="1"/>
  <c r="AQ1900" i="1"/>
  <c r="AU1900" i="1"/>
  <c r="AV1900" i="1"/>
  <c r="AW1900" i="1"/>
  <c r="AX1900" i="1"/>
  <c r="AY1900" i="1"/>
  <c r="AZ1900" i="1"/>
  <c r="BA1900" i="1"/>
  <c r="BC1900" i="1"/>
  <c r="BD1900" i="1"/>
  <c r="BE1900" i="1"/>
  <c r="BF1900" i="1"/>
  <c r="BG1900" i="1"/>
  <c r="BH1900" i="1"/>
  <c r="BI1900" i="1"/>
  <c r="BJ1900" i="1"/>
  <c r="BM1900" i="1"/>
  <c r="CA1900" i="1"/>
  <c r="CN1900" i="1"/>
  <c r="CO1900" i="1"/>
  <c r="CP1900" i="1"/>
  <c r="CQ1900" i="1"/>
  <c r="G1901" i="1"/>
  <c r="U1901" i="1"/>
  <c r="W1901" i="1"/>
  <c r="AE1901" i="1"/>
  <c r="AK1901" i="1"/>
  <c r="AQ1901" i="1"/>
  <c r="AU1901" i="1"/>
  <c r="AV1901" i="1"/>
  <c r="AW1901" i="1"/>
  <c r="AX1901" i="1"/>
  <c r="AY1901" i="1"/>
  <c r="AZ1901" i="1"/>
  <c r="BA1901" i="1"/>
  <c r="BC1901" i="1"/>
  <c r="BD1901" i="1"/>
  <c r="BE1901" i="1"/>
  <c r="BF1901" i="1"/>
  <c r="BG1901" i="1"/>
  <c r="BH1901" i="1"/>
  <c r="BI1901" i="1"/>
  <c r="BJ1901" i="1"/>
  <c r="BM1901" i="1"/>
  <c r="CA1901" i="1"/>
  <c r="CN1901" i="1"/>
  <c r="CO1901" i="1"/>
  <c r="CP1901" i="1"/>
  <c r="CQ1901" i="1"/>
  <c r="G1902" i="1"/>
  <c r="U1902" i="1"/>
  <c r="W1902" i="1"/>
  <c r="AE1902" i="1"/>
  <c r="AK1902" i="1"/>
  <c r="AQ1902" i="1"/>
  <c r="AU1902" i="1"/>
  <c r="AV1902" i="1"/>
  <c r="AW1902" i="1"/>
  <c r="AX1902" i="1"/>
  <c r="AY1902" i="1"/>
  <c r="AZ1902" i="1"/>
  <c r="BA1902" i="1"/>
  <c r="BC1902" i="1"/>
  <c r="BD1902" i="1"/>
  <c r="BE1902" i="1"/>
  <c r="BF1902" i="1"/>
  <c r="BG1902" i="1"/>
  <c r="BH1902" i="1"/>
  <c r="BI1902" i="1"/>
  <c r="BJ1902" i="1"/>
  <c r="BM1902" i="1"/>
  <c r="CA1902" i="1"/>
  <c r="CN1902" i="1"/>
  <c r="CO1902" i="1"/>
  <c r="CP1902" i="1"/>
  <c r="CQ1902" i="1"/>
  <c r="G1903" i="1"/>
  <c r="U1903" i="1"/>
  <c r="W1903" i="1"/>
  <c r="AE1903" i="1"/>
  <c r="AK1903" i="1"/>
  <c r="AQ1903" i="1"/>
  <c r="AU1903" i="1"/>
  <c r="AV1903" i="1"/>
  <c r="AW1903" i="1"/>
  <c r="AX1903" i="1"/>
  <c r="AY1903" i="1"/>
  <c r="AZ1903" i="1"/>
  <c r="BA1903" i="1"/>
  <c r="BC1903" i="1"/>
  <c r="BD1903" i="1"/>
  <c r="BE1903" i="1"/>
  <c r="BF1903" i="1"/>
  <c r="BG1903" i="1"/>
  <c r="BH1903" i="1"/>
  <c r="BI1903" i="1"/>
  <c r="BJ1903" i="1"/>
  <c r="BM1903" i="1"/>
  <c r="CA1903" i="1"/>
  <c r="CN1903" i="1"/>
  <c r="CO1903" i="1"/>
  <c r="CP1903" i="1"/>
  <c r="CQ1903" i="1"/>
  <c r="G137" i="1"/>
  <c r="U137" i="1"/>
  <c r="W137" i="1"/>
  <c r="AE137" i="1"/>
  <c r="AK137" i="1"/>
  <c r="AQ137" i="1"/>
  <c r="AU137" i="1"/>
  <c r="AV137" i="1"/>
  <c r="AW137" i="1"/>
  <c r="AX137" i="1"/>
  <c r="AY137" i="1"/>
  <c r="AZ137" i="1"/>
  <c r="BA137" i="1"/>
  <c r="BC137" i="1"/>
  <c r="BD137" i="1"/>
  <c r="BE137" i="1"/>
  <c r="BF137" i="1"/>
  <c r="BG137" i="1"/>
  <c r="BH137" i="1"/>
  <c r="BI137" i="1"/>
  <c r="BJ137" i="1"/>
  <c r="BM137" i="1"/>
  <c r="CA137" i="1"/>
  <c r="CN137" i="1"/>
  <c r="CO137" i="1"/>
  <c r="CP137" i="1"/>
  <c r="CQ137" i="1"/>
  <c r="G1904" i="1"/>
  <c r="U1904" i="1"/>
  <c r="W1904" i="1"/>
  <c r="AE1904" i="1"/>
  <c r="AK1904" i="1"/>
  <c r="AQ1904" i="1"/>
  <c r="AU1904" i="1"/>
  <c r="AV1904" i="1"/>
  <c r="AW1904" i="1"/>
  <c r="AX1904" i="1"/>
  <c r="AY1904" i="1"/>
  <c r="AZ1904" i="1"/>
  <c r="BA1904" i="1"/>
  <c r="BC1904" i="1"/>
  <c r="BD1904" i="1"/>
  <c r="BE1904" i="1"/>
  <c r="BF1904" i="1"/>
  <c r="BG1904" i="1"/>
  <c r="BH1904" i="1"/>
  <c r="BI1904" i="1"/>
  <c r="BJ1904" i="1"/>
  <c r="BM1904" i="1"/>
  <c r="CA1904" i="1"/>
  <c r="CN1904" i="1"/>
  <c r="CO1904" i="1"/>
  <c r="CP1904" i="1"/>
  <c r="CQ1904" i="1"/>
  <c r="G397" i="1"/>
  <c r="U397" i="1"/>
  <c r="W397" i="1"/>
  <c r="AE397" i="1"/>
  <c r="AK397" i="1"/>
  <c r="AQ397" i="1"/>
  <c r="AU397" i="1"/>
  <c r="AV397" i="1"/>
  <c r="AW397" i="1"/>
  <c r="AX397" i="1"/>
  <c r="AY397" i="1"/>
  <c r="AZ397" i="1"/>
  <c r="BA397" i="1"/>
  <c r="BC397" i="1"/>
  <c r="BD397" i="1"/>
  <c r="BE397" i="1"/>
  <c r="BF397" i="1"/>
  <c r="BG397" i="1"/>
  <c r="BH397" i="1"/>
  <c r="BI397" i="1"/>
  <c r="BJ397" i="1"/>
  <c r="BM397" i="1"/>
  <c r="CA397" i="1"/>
  <c r="CN397" i="1"/>
  <c r="CO397" i="1"/>
  <c r="CP397" i="1"/>
  <c r="CQ397" i="1"/>
  <c r="G800" i="1"/>
  <c r="U800" i="1"/>
  <c r="W800" i="1"/>
  <c r="AE800" i="1"/>
  <c r="AK800" i="1"/>
  <c r="AQ800" i="1"/>
  <c r="AU800" i="1"/>
  <c r="AV800" i="1"/>
  <c r="AW800" i="1"/>
  <c r="AX800" i="1"/>
  <c r="AY800" i="1"/>
  <c r="AZ800" i="1"/>
  <c r="BA800" i="1"/>
  <c r="BC800" i="1"/>
  <c r="BD800" i="1"/>
  <c r="BE800" i="1"/>
  <c r="BF800" i="1"/>
  <c r="BG800" i="1"/>
  <c r="BH800" i="1"/>
  <c r="BI800" i="1"/>
  <c r="BJ800" i="1"/>
  <c r="BM800" i="1"/>
  <c r="CA800" i="1"/>
  <c r="CN800" i="1"/>
  <c r="CO800" i="1"/>
  <c r="CP800" i="1"/>
  <c r="CQ800" i="1"/>
  <c r="G1905" i="1"/>
  <c r="U1905" i="1"/>
  <c r="W1905" i="1"/>
  <c r="AE1905" i="1"/>
  <c r="AK1905" i="1"/>
  <c r="AQ1905" i="1"/>
  <c r="AU1905" i="1"/>
  <c r="AV1905" i="1"/>
  <c r="AW1905" i="1"/>
  <c r="AX1905" i="1"/>
  <c r="AY1905" i="1"/>
  <c r="AZ1905" i="1"/>
  <c r="BA1905" i="1"/>
  <c r="BC1905" i="1"/>
  <c r="BD1905" i="1"/>
  <c r="BE1905" i="1"/>
  <c r="BF1905" i="1"/>
  <c r="BG1905" i="1"/>
  <c r="BH1905" i="1"/>
  <c r="BI1905" i="1"/>
  <c r="BJ1905" i="1"/>
  <c r="BM1905" i="1"/>
  <c r="CA1905" i="1"/>
  <c r="CN1905" i="1"/>
  <c r="CO1905" i="1"/>
  <c r="CP1905" i="1"/>
  <c r="CQ1905" i="1"/>
  <c r="G801" i="1"/>
  <c r="U801" i="1"/>
  <c r="W801" i="1"/>
  <c r="AE801" i="1"/>
  <c r="AK801" i="1"/>
  <c r="AQ801" i="1"/>
  <c r="AU801" i="1"/>
  <c r="AV801" i="1"/>
  <c r="AW801" i="1"/>
  <c r="AX801" i="1"/>
  <c r="AY801" i="1"/>
  <c r="AZ801" i="1"/>
  <c r="BA801" i="1"/>
  <c r="BC801" i="1"/>
  <c r="BD801" i="1"/>
  <c r="BE801" i="1"/>
  <c r="BF801" i="1"/>
  <c r="BG801" i="1"/>
  <c r="BH801" i="1"/>
  <c r="BI801" i="1"/>
  <c r="BJ801" i="1"/>
  <c r="BM801" i="1"/>
  <c r="CA801" i="1"/>
  <c r="CN801" i="1"/>
  <c r="CO801" i="1"/>
  <c r="CP801" i="1"/>
  <c r="CQ801" i="1"/>
  <c r="G1387" i="1"/>
  <c r="U1387" i="1"/>
  <c r="W1387" i="1"/>
  <c r="AE1387" i="1"/>
  <c r="AK1387" i="1"/>
  <c r="AQ1387" i="1"/>
  <c r="AU1387" i="1"/>
  <c r="AV1387" i="1"/>
  <c r="AW1387" i="1"/>
  <c r="AX1387" i="1"/>
  <c r="AY1387" i="1"/>
  <c r="AZ1387" i="1"/>
  <c r="BA1387" i="1"/>
  <c r="BC1387" i="1"/>
  <c r="BD1387" i="1"/>
  <c r="BE1387" i="1"/>
  <c r="BF1387" i="1"/>
  <c r="BG1387" i="1"/>
  <c r="BH1387" i="1"/>
  <c r="BI1387" i="1"/>
  <c r="BJ1387" i="1"/>
  <c r="BM1387" i="1"/>
  <c r="CA1387" i="1"/>
  <c r="CN1387" i="1"/>
  <c r="CO1387" i="1"/>
  <c r="CP1387" i="1"/>
  <c r="CQ1387" i="1"/>
  <c r="G802" i="1"/>
  <c r="U802" i="1"/>
  <c r="W802" i="1"/>
  <c r="AE802" i="1"/>
  <c r="AK802" i="1"/>
  <c r="AQ802" i="1"/>
  <c r="AU802" i="1"/>
  <c r="AV802" i="1"/>
  <c r="AW802" i="1"/>
  <c r="AX802" i="1"/>
  <c r="AY802" i="1"/>
  <c r="AZ802" i="1"/>
  <c r="BA802" i="1"/>
  <c r="BC802" i="1"/>
  <c r="BD802" i="1"/>
  <c r="BE802" i="1"/>
  <c r="BF802" i="1"/>
  <c r="BG802" i="1"/>
  <c r="BH802" i="1"/>
  <c r="BI802" i="1"/>
  <c r="BJ802" i="1"/>
  <c r="BM802" i="1"/>
  <c r="CA802" i="1"/>
  <c r="CN802" i="1"/>
  <c r="CO802" i="1"/>
  <c r="CP802" i="1"/>
  <c r="CQ802" i="1"/>
  <c r="G138" i="1"/>
  <c r="U138" i="1"/>
  <c r="W138" i="1"/>
  <c r="AE138" i="1"/>
  <c r="AK138" i="1"/>
  <c r="AQ138" i="1"/>
  <c r="AU138" i="1"/>
  <c r="AV138" i="1"/>
  <c r="AW138" i="1"/>
  <c r="AX138" i="1"/>
  <c r="AY138" i="1"/>
  <c r="AZ138" i="1"/>
  <c r="BA138" i="1"/>
  <c r="BC138" i="1"/>
  <c r="BD138" i="1"/>
  <c r="BE138" i="1"/>
  <c r="BF138" i="1"/>
  <c r="BG138" i="1"/>
  <c r="BH138" i="1"/>
  <c r="BI138" i="1"/>
  <c r="BJ138" i="1"/>
  <c r="BM138" i="1"/>
  <c r="CA138" i="1"/>
  <c r="CN138" i="1"/>
  <c r="CO138" i="1"/>
  <c r="CP138" i="1"/>
  <c r="CQ138" i="1"/>
  <c r="G803" i="1"/>
  <c r="U803" i="1"/>
  <c r="W803" i="1"/>
  <c r="AE803" i="1"/>
  <c r="AK803" i="1"/>
  <c r="AQ803" i="1"/>
  <c r="AU803" i="1"/>
  <c r="AV803" i="1"/>
  <c r="AW803" i="1"/>
  <c r="AX803" i="1"/>
  <c r="AY803" i="1"/>
  <c r="AZ803" i="1"/>
  <c r="BA803" i="1"/>
  <c r="BC803" i="1"/>
  <c r="BD803" i="1"/>
  <c r="BE803" i="1"/>
  <c r="BF803" i="1"/>
  <c r="BG803" i="1"/>
  <c r="BH803" i="1"/>
  <c r="BI803" i="1"/>
  <c r="BJ803" i="1"/>
  <c r="BM803" i="1"/>
  <c r="CA803" i="1"/>
  <c r="CN803" i="1"/>
  <c r="CO803" i="1"/>
  <c r="CP803" i="1"/>
  <c r="CQ803" i="1"/>
  <c r="G1906" i="1"/>
  <c r="U1906" i="1"/>
  <c r="W1906" i="1"/>
  <c r="AE1906" i="1"/>
  <c r="AK1906" i="1"/>
  <c r="AQ1906" i="1"/>
  <c r="AU1906" i="1"/>
  <c r="AV1906" i="1"/>
  <c r="AW1906" i="1"/>
  <c r="AX1906" i="1"/>
  <c r="AY1906" i="1"/>
  <c r="AZ1906" i="1"/>
  <c r="BA1906" i="1"/>
  <c r="BC1906" i="1"/>
  <c r="BD1906" i="1"/>
  <c r="BE1906" i="1"/>
  <c r="BF1906" i="1"/>
  <c r="BG1906" i="1"/>
  <c r="BH1906" i="1"/>
  <c r="BI1906" i="1"/>
  <c r="BJ1906" i="1"/>
  <c r="BM1906" i="1"/>
  <c r="CA1906" i="1"/>
  <c r="CN1906" i="1"/>
  <c r="CO1906" i="1"/>
  <c r="CP1906" i="1"/>
  <c r="CQ1906" i="1"/>
  <c r="G139" i="1"/>
  <c r="U139" i="1"/>
  <c r="W139" i="1"/>
  <c r="AE139" i="1"/>
  <c r="AK139" i="1"/>
  <c r="AQ139" i="1"/>
  <c r="AU139" i="1"/>
  <c r="AV139" i="1"/>
  <c r="AW139" i="1"/>
  <c r="AX139" i="1"/>
  <c r="AY139" i="1"/>
  <c r="AZ139" i="1"/>
  <c r="BA139" i="1"/>
  <c r="BC139" i="1"/>
  <c r="BD139" i="1"/>
  <c r="BE139" i="1"/>
  <c r="BF139" i="1"/>
  <c r="BG139" i="1"/>
  <c r="BH139" i="1"/>
  <c r="BI139" i="1"/>
  <c r="BJ139" i="1"/>
  <c r="BM139" i="1"/>
  <c r="CA139" i="1"/>
  <c r="CN139" i="1"/>
  <c r="CO139" i="1"/>
  <c r="CP139" i="1"/>
  <c r="CQ139" i="1"/>
  <c r="G140" i="1"/>
  <c r="U140" i="1"/>
  <c r="W140" i="1"/>
  <c r="AE140" i="1"/>
  <c r="AK140" i="1"/>
  <c r="AQ140" i="1"/>
  <c r="AU140" i="1"/>
  <c r="AV140" i="1"/>
  <c r="AW140" i="1"/>
  <c r="AX140" i="1"/>
  <c r="AY140" i="1"/>
  <c r="AZ140" i="1"/>
  <c r="BA140" i="1"/>
  <c r="BC140" i="1"/>
  <c r="BD140" i="1"/>
  <c r="BE140" i="1"/>
  <c r="BF140" i="1"/>
  <c r="BG140" i="1"/>
  <c r="BH140" i="1"/>
  <c r="BI140" i="1"/>
  <c r="BJ140" i="1"/>
  <c r="BM140" i="1"/>
  <c r="CA140" i="1"/>
  <c r="CN140" i="1"/>
  <c r="CO140" i="1"/>
  <c r="CP140" i="1"/>
  <c r="CQ140" i="1"/>
  <c r="G804" i="1"/>
  <c r="U804" i="1"/>
  <c r="W804" i="1"/>
  <c r="AE804" i="1"/>
  <c r="AK804" i="1"/>
  <c r="AQ804" i="1"/>
  <c r="AU804" i="1"/>
  <c r="AV804" i="1"/>
  <c r="AW804" i="1"/>
  <c r="AX804" i="1"/>
  <c r="AY804" i="1"/>
  <c r="AZ804" i="1"/>
  <c r="BA804" i="1"/>
  <c r="BC804" i="1"/>
  <c r="BD804" i="1"/>
  <c r="BE804" i="1"/>
  <c r="BF804" i="1"/>
  <c r="BG804" i="1"/>
  <c r="BH804" i="1"/>
  <c r="BI804" i="1"/>
  <c r="BJ804" i="1"/>
  <c r="BM804" i="1"/>
  <c r="CA804" i="1"/>
  <c r="CN804" i="1"/>
  <c r="CO804" i="1"/>
  <c r="CP804" i="1"/>
  <c r="CQ804" i="1"/>
  <c r="G1388" i="1"/>
  <c r="U1388" i="1"/>
  <c r="W1388" i="1"/>
  <c r="AE1388" i="1"/>
  <c r="AK1388" i="1"/>
  <c r="AQ1388" i="1"/>
  <c r="AU1388" i="1"/>
  <c r="AV1388" i="1"/>
  <c r="AW1388" i="1"/>
  <c r="AX1388" i="1"/>
  <c r="AY1388" i="1"/>
  <c r="AZ1388" i="1"/>
  <c r="BA1388" i="1"/>
  <c r="BC1388" i="1"/>
  <c r="BD1388" i="1"/>
  <c r="BE1388" i="1"/>
  <c r="BF1388" i="1"/>
  <c r="BG1388" i="1"/>
  <c r="BH1388" i="1"/>
  <c r="BI1388" i="1"/>
  <c r="BJ1388" i="1"/>
  <c r="BM1388" i="1"/>
  <c r="CA1388" i="1"/>
  <c r="CN1388" i="1"/>
  <c r="CO1388" i="1"/>
  <c r="CP1388" i="1"/>
  <c r="CQ1388" i="1"/>
  <c r="G1907" i="1"/>
  <c r="U1907" i="1"/>
  <c r="W1907" i="1"/>
  <c r="AE1907" i="1"/>
  <c r="AK1907" i="1"/>
  <c r="AQ1907" i="1"/>
  <c r="AU1907" i="1"/>
  <c r="AV1907" i="1"/>
  <c r="AW1907" i="1"/>
  <c r="AX1907" i="1"/>
  <c r="AY1907" i="1"/>
  <c r="AZ1907" i="1"/>
  <c r="BA1907" i="1"/>
  <c r="BC1907" i="1"/>
  <c r="BD1907" i="1"/>
  <c r="BE1907" i="1"/>
  <c r="BF1907" i="1"/>
  <c r="BG1907" i="1"/>
  <c r="BH1907" i="1"/>
  <c r="BI1907" i="1"/>
  <c r="BJ1907" i="1"/>
  <c r="BM1907" i="1"/>
  <c r="CA1907" i="1"/>
  <c r="CN1907" i="1"/>
  <c r="CO1907" i="1"/>
  <c r="CP1907" i="1"/>
  <c r="CQ1907" i="1"/>
  <c r="G805" i="1"/>
  <c r="U805" i="1"/>
  <c r="W805" i="1"/>
  <c r="AE805" i="1"/>
  <c r="AK805" i="1"/>
  <c r="AQ805" i="1"/>
  <c r="AU805" i="1"/>
  <c r="AV805" i="1"/>
  <c r="AW805" i="1"/>
  <c r="AX805" i="1"/>
  <c r="AY805" i="1"/>
  <c r="AZ805" i="1"/>
  <c r="BA805" i="1"/>
  <c r="BC805" i="1"/>
  <c r="BD805" i="1"/>
  <c r="BE805" i="1"/>
  <c r="BF805" i="1"/>
  <c r="BG805" i="1"/>
  <c r="BH805" i="1"/>
  <c r="BI805" i="1"/>
  <c r="BJ805" i="1"/>
  <c r="BM805" i="1"/>
  <c r="CA805" i="1"/>
  <c r="CN805" i="1"/>
  <c r="CO805" i="1"/>
  <c r="CP805" i="1"/>
  <c r="CQ805" i="1"/>
  <c r="G806" i="1"/>
  <c r="U806" i="1"/>
  <c r="W806" i="1"/>
  <c r="AE806" i="1"/>
  <c r="AK806" i="1"/>
  <c r="AQ806" i="1"/>
  <c r="AU806" i="1"/>
  <c r="AV806" i="1"/>
  <c r="AW806" i="1"/>
  <c r="AX806" i="1"/>
  <c r="AY806" i="1"/>
  <c r="AZ806" i="1"/>
  <c r="BA806" i="1"/>
  <c r="BC806" i="1"/>
  <c r="BD806" i="1"/>
  <c r="BE806" i="1"/>
  <c r="BF806" i="1"/>
  <c r="BG806" i="1"/>
  <c r="BH806" i="1"/>
  <c r="BI806" i="1"/>
  <c r="BJ806" i="1"/>
  <c r="BM806" i="1"/>
  <c r="CA806" i="1"/>
  <c r="CN806" i="1"/>
  <c r="CO806" i="1"/>
  <c r="CP806" i="1"/>
  <c r="CQ806" i="1"/>
  <c r="G807" i="1"/>
  <c r="U807" i="1"/>
  <c r="W807" i="1"/>
  <c r="AE807" i="1"/>
  <c r="AK807" i="1"/>
  <c r="AQ807" i="1"/>
  <c r="AU807" i="1"/>
  <c r="AV807" i="1"/>
  <c r="AW807" i="1"/>
  <c r="AX807" i="1"/>
  <c r="AY807" i="1"/>
  <c r="AZ807" i="1"/>
  <c r="BA807" i="1"/>
  <c r="BC807" i="1"/>
  <c r="BD807" i="1"/>
  <c r="BE807" i="1"/>
  <c r="BF807" i="1"/>
  <c r="BG807" i="1"/>
  <c r="BH807" i="1"/>
  <c r="BI807" i="1"/>
  <c r="BJ807" i="1"/>
  <c r="BM807" i="1"/>
  <c r="CA807" i="1"/>
  <c r="CN807" i="1"/>
  <c r="CO807" i="1"/>
  <c r="CP807" i="1"/>
  <c r="CQ807" i="1"/>
  <c r="G398" i="1"/>
  <c r="U398" i="1"/>
  <c r="W398" i="1"/>
  <c r="AE398" i="1"/>
  <c r="AK398" i="1"/>
  <c r="AQ398" i="1"/>
  <c r="AU398" i="1"/>
  <c r="AV398" i="1"/>
  <c r="AW398" i="1"/>
  <c r="AX398" i="1"/>
  <c r="AY398" i="1"/>
  <c r="AZ398" i="1"/>
  <c r="BA398" i="1"/>
  <c r="BC398" i="1"/>
  <c r="BD398" i="1"/>
  <c r="BE398" i="1"/>
  <c r="BF398" i="1"/>
  <c r="BG398" i="1"/>
  <c r="BH398" i="1"/>
  <c r="BI398" i="1"/>
  <c r="BJ398" i="1"/>
  <c r="BM398" i="1"/>
  <c r="CA398" i="1"/>
  <c r="CN398" i="1"/>
  <c r="CO398" i="1"/>
  <c r="CP398" i="1"/>
  <c r="CQ398" i="1"/>
  <c r="G808" i="1"/>
  <c r="U808" i="1"/>
  <c r="W808" i="1"/>
  <c r="AE808" i="1"/>
  <c r="AK808" i="1"/>
  <c r="AQ808" i="1"/>
  <c r="AU808" i="1"/>
  <c r="AV808" i="1"/>
  <c r="AW808" i="1"/>
  <c r="AX808" i="1"/>
  <c r="AY808" i="1"/>
  <c r="AZ808" i="1"/>
  <c r="BA808" i="1"/>
  <c r="BC808" i="1"/>
  <c r="BD808" i="1"/>
  <c r="BE808" i="1"/>
  <c r="BF808" i="1"/>
  <c r="BG808" i="1"/>
  <c r="BH808" i="1"/>
  <c r="BI808" i="1"/>
  <c r="BJ808" i="1"/>
  <c r="BM808" i="1"/>
  <c r="CA808" i="1"/>
  <c r="CN808" i="1"/>
  <c r="CO808" i="1"/>
  <c r="CP808" i="1"/>
  <c r="CQ808" i="1"/>
  <c r="G1908" i="1"/>
  <c r="U1908" i="1"/>
  <c r="W1908" i="1"/>
  <c r="AE1908" i="1"/>
  <c r="AK1908" i="1"/>
  <c r="AQ1908" i="1"/>
  <c r="AU1908" i="1"/>
  <c r="AV1908" i="1"/>
  <c r="AW1908" i="1"/>
  <c r="AX1908" i="1"/>
  <c r="AY1908" i="1"/>
  <c r="AZ1908" i="1"/>
  <c r="BA1908" i="1"/>
  <c r="BC1908" i="1"/>
  <c r="BD1908" i="1"/>
  <c r="BE1908" i="1"/>
  <c r="BF1908" i="1"/>
  <c r="BG1908" i="1"/>
  <c r="BH1908" i="1"/>
  <c r="BI1908" i="1"/>
  <c r="BJ1908" i="1"/>
  <c r="BM1908" i="1"/>
  <c r="CA1908" i="1"/>
  <c r="CN1908" i="1"/>
  <c r="CO1908" i="1"/>
  <c r="CP1908" i="1"/>
  <c r="CQ1908" i="1"/>
  <c r="G1909" i="1"/>
  <c r="U1909" i="1"/>
  <c r="W1909" i="1"/>
  <c r="AE1909" i="1"/>
  <c r="AK1909" i="1"/>
  <c r="AQ1909" i="1"/>
  <c r="AU1909" i="1"/>
  <c r="AV1909" i="1"/>
  <c r="AW1909" i="1"/>
  <c r="AX1909" i="1"/>
  <c r="AY1909" i="1"/>
  <c r="AZ1909" i="1"/>
  <c r="BA1909" i="1"/>
  <c r="BC1909" i="1"/>
  <c r="BD1909" i="1"/>
  <c r="BE1909" i="1"/>
  <c r="BF1909" i="1"/>
  <c r="BG1909" i="1"/>
  <c r="BH1909" i="1"/>
  <c r="BI1909" i="1"/>
  <c r="BJ1909" i="1"/>
  <c r="BM1909" i="1"/>
  <c r="CA1909" i="1"/>
  <c r="CN1909" i="1"/>
  <c r="CO1909" i="1"/>
  <c r="CP1909" i="1"/>
  <c r="CQ1909" i="1"/>
  <c r="G1389" i="1"/>
  <c r="U1389" i="1"/>
  <c r="W1389" i="1"/>
  <c r="AE1389" i="1"/>
  <c r="AK1389" i="1"/>
  <c r="AQ1389" i="1"/>
  <c r="AU1389" i="1"/>
  <c r="AV1389" i="1"/>
  <c r="AW1389" i="1"/>
  <c r="AX1389" i="1"/>
  <c r="AY1389" i="1"/>
  <c r="AZ1389" i="1"/>
  <c r="BA1389" i="1"/>
  <c r="BC1389" i="1"/>
  <c r="BD1389" i="1"/>
  <c r="BE1389" i="1"/>
  <c r="BF1389" i="1"/>
  <c r="BG1389" i="1"/>
  <c r="BH1389" i="1"/>
  <c r="BI1389" i="1"/>
  <c r="BJ1389" i="1"/>
  <c r="BM1389" i="1"/>
  <c r="CA1389" i="1"/>
  <c r="CN1389" i="1"/>
  <c r="CO1389" i="1"/>
  <c r="CP1389" i="1"/>
  <c r="CQ1389" i="1"/>
  <c r="G1910" i="1"/>
  <c r="U1910" i="1"/>
  <c r="W1910" i="1"/>
  <c r="AE1910" i="1"/>
  <c r="AK1910" i="1"/>
  <c r="AQ1910" i="1"/>
  <c r="AU1910" i="1"/>
  <c r="AV1910" i="1"/>
  <c r="AW1910" i="1"/>
  <c r="AX1910" i="1"/>
  <c r="AY1910" i="1"/>
  <c r="AZ1910" i="1"/>
  <c r="BA1910" i="1"/>
  <c r="BC1910" i="1"/>
  <c r="BD1910" i="1"/>
  <c r="BE1910" i="1"/>
  <c r="BF1910" i="1"/>
  <c r="BG1910" i="1"/>
  <c r="BH1910" i="1"/>
  <c r="BI1910" i="1"/>
  <c r="BJ1910" i="1"/>
  <c r="BM1910" i="1"/>
  <c r="CA1910" i="1"/>
  <c r="CN1910" i="1"/>
  <c r="CO1910" i="1"/>
  <c r="CP1910" i="1"/>
  <c r="CQ1910" i="1"/>
  <c r="G1574" i="1"/>
  <c r="U1574" i="1"/>
  <c r="W1574" i="1"/>
  <c r="AE1574" i="1"/>
  <c r="AK1574" i="1"/>
  <c r="AQ1574" i="1"/>
  <c r="AU1574" i="1"/>
  <c r="AV1574" i="1"/>
  <c r="AW1574" i="1"/>
  <c r="AX1574" i="1"/>
  <c r="AY1574" i="1"/>
  <c r="AZ1574" i="1"/>
  <c r="BA1574" i="1"/>
  <c r="BC1574" i="1"/>
  <c r="BD1574" i="1"/>
  <c r="BE1574" i="1"/>
  <c r="BF1574" i="1"/>
  <c r="BG1574" i="1"/>
  <c r="BH1574" i="1"/>
  <c r="BI1574" i="1"/>
  <c r="BJ1574" i="1"/>
  <c r="BM1574" i="1"/>
  <c r="CA1574" i="1"/>
  <c r="CN1574" i="1"/>
  <c r="CO1574" i="1"/>
  <c r="CP1574" i="1"/>
  <c r="CQ1574" i="1"/>
  <c r="G141" i="1"/>
  <c r="U141" i="1"/>
  <c r="W141" i="1"/>
  <c r="AE141" i="1"/>
  <c r="AK141" i="1"/>
  <c r="AQ141" i="1"/>
  <c r="AU141" i="1"/>
  <c r="AV141" i="1"/>
  <c r="AW141" i="1"/>
  <c r="AX141" i="1"/>
  <c r="AY141" i="1"/>
  <c r="AZ141" i="1"/>
  <c r="BA141" i="1"/>
  <c r="BC141" i="1"/>
  <c r="BD141" i="1"/>
  <c r="BE141" i="1"/>
  <c r="BF141" i="1"/>
  <c r="BG141" i="1"/>
  <c r="BH141" i="1"/>
  <c r="BI141" i="1"/>
  <c r="BJ141" i="1"/>
  <c r="BM141" i="1"/>
  <c r="CA141" i="1"/>
  <c r="CN141" i="1"/>
  <c r="CO141" i="1"/>
  <c r="CP141" i="1"/>
  <c r="CQ141" i="1"/>
  <c r="G1911" i="1"/>
  <c r="U1911" i="1"/>
  <c r="W1911" i="1"/>
  <c r="AE1911" i="1"/>
  <c r="AK1911" i="1"/>
  <c r="AQ1911" i="1"/>
  <c r="AU1911" i="1"/>
  <c r="AV1911" i="1"/>
  <c r="AW1911" i="1"/>
  <c r="AX1911" i="1"/>
  <c r="AY1911" i="1"/>
  <c r="AZ1911" i="1"/>
  <c r="BA1911" i="1"/>
  <c r="BC1911" i="1"/>
  <c r="BD1911" i="1"/>
  <c r="BE1911" i="1"/>
  <c r="BF1911" i="1"/>
  <c r="BG1911" i="1"/>
  <c r="BH1911" i="1"/>
  <c r="BI1911" i="1"/>
  <c r="BJ1911" i="1"/>
  <c r="BM1911" i="1"/>
  <c r="CA1911" i="1"/>
  <c r="CN1911" i="1"/>
  <c r="CO1911" i="1"/>
  <c r="CP1911" i="1"/>
  <c r="CQ1911" i="1"/>
  <c r="G809" i="1"/>
  <c r="U809" i="1"/>
  <c r="W809" i="1"/>
  <c r="AE809" i="1"/>
  <c r="AK809" i="1"/>
  <c r="AQ809" i="1"/>
  <c r="AU809" i="1"/>
  <c r="AV809" i="1"/>
  <c r="AW809" i="1"/>
  <c r="AX809" i="1"/>
  <c r="AY809" i="1"/>
  <c r="AZ809" i="1"/>
  <c r="BA809" i="1"/>
  <c r="BC809" i="1"/>
  <c r="BD809" i="1"/>
  <c r="BE809" i="1"/>
  <c r="BF809" i="1"/>
  <c r="BG809" i="1"/>
  <c r="BH809" i="1"/>
  <c r="BI809" i="1"/>
  <c r="BJ809" i="1"/>
  <c r="BM809" i="1"/>
  <c r="CA809" i="1"/>
  <c r="CN809" i="1"/>
  <c r="CO809" i="1"/>
  <c r="CP809" i="1"/>
  <c r="CQ809" i="1"/>
  <c r="G142" i="1"/>
  <c r="U142" i="1"/>
  <c r="W142" i="1"/>
  <c r="AE142" i="1"/>
  <c r="AK142" i="1"/>
  <c r="AQ142" i="1"/>
  <c r="AU142" i="1"/>
  <c r="AV142" i="1"/>
  <c r="AW142" i="1"/>
  <c r="AX142" i="1"/>
  <c r="AY142" i="1"/>
  <c r="AZ142" i="1"/>
  <c r="BA142" i="1"/>
  <c r="BC142" i="1"/>
  <c r="BD142" i="1"/>
  <c r="BE142" i="1"/>
  <c r="BF142" i="1"/>
  <c r="BG142" i="1"/>
  <c r="BH142" i="1"/>
  <c r="BI142" i="1"/>
  <c r="BJ142" i="1"/>
  <c r="BM142" i="1"/>
  <c r="CA142" i="1"/>
  <c r="CN142" i="1"/>
  <c r="CO142" i="1"/>
  <c r="CP142" i="1"/>
  <c r="CQ142" i="1"/>
  <c r="G810" i="1"/>
  <c r="U810" i="1"/>
  <c r="W810" i="1"/>
  <c r="AE810" i="1"/>
  <c r="AK810" i="1"/>
  <c r="AQ810" i="1"/>
  <c r="AU810" i="1"/>
  <c r="AV810" i="1"/>
  <c r="AW810" i="1"/>
  <c r="AX810" i="1"/>
  <c r="AY810" i="1"/>
  <c r="AZ810" i="1"/>
  <c r="BA810" i="1"/>
  <c r="BC810" i="1"/>
  <c r="BD810" i="1"/>
  <c r="BE810" i="1"/>
  <c r="BF810" i="1"/>
  <c r="BG810" i="1"/>
  <c r="BH810" i="1"/>
  <c r="BI810" i="1"/>
  <c r="BJ810" i="1"/>
  <c r="BM810" i="1"/>
  <c r="CA810" i="1"/>
  <c r="CN810" i="1"/>
  <c r="CO810" i="1"/>
  <c r="CP810" i="1"/>
  <c r="CQ810" i="1"/>
  <c r="G1912" i="1"/>
  <c r="U1912" i="1"/>
  <c r="W1912" i="1"/>
  <c r="AE1912" i="1"/>
  <c r="AK1912" i="1"/>
  <c r="AQ1912" i="1"/>
  <c r="AU1912" i="1"/>
  <c r="AV1912" i="1"/>
  <c r="AW1912" i="1"/>
  <c r="AX1912" i="1"/>
  <c r="AY1912" i="1"/>
  <c r="AZ1912" i="1"/>
  <c r="BA1912" i="1"/>
  <c r="BC1912" i="1"/>
  <c r="BD1912" i="1"/>
  <c r="BE1912" i="1"/>
  <c r="BF1912" i="1"/>
  <c r="BG1912" i="1"/>
  <c r="BH1912" i="1"/>
  <c r="BI1912" i="1"/>
  <c r="BJ1912" i="1"/>
  <c r="BM1912" i="1"/>
  <c r="CA1912" i="1"/>
  <c r="CN1912" i="1"/>
  <c r="CO1912" i="1"/>
  <c r="CP1912" i="1"/>
  <c r="CQ1912" i="1"/>
  <c r="G1575" i="1"/>
  <c r="U1575" i="1"/>
  <c r="W1575" i="1"/>
  <c r="AE1575" i="1"/>
  <c r="AK1575" i="1"/>
  <c r="AQ1575" i="1"/>
  <c r="AU1575" i="1"/>
  <c r="AV1575" i="1"/>
  <c r="AW1575" i="1"/>
  <c r="AX1575" i="1"/>
  <c r="AY1575" i="1"/>
  <c r="AZ1575" i="1"/>
  <c r="BA1575" i="1"/>
  <c r="BC1575" i="1"/>
  <c r="BD1575" i="1"/>
  <c r="BE1575" i="1"/>
  <c r="BF1575" i="1"/>
  <c r="BG1575" i="1"/>
  <c r="BH1575" i="1"/>
  <c r="BI1575" i="1"/>
  <c r="BJ1575" i="1"/>
  <c r="BM1575" i="1"/>
  <c r="CA1575" i="1"/>
  <c r="CN1575" i="1"/>
  <c r="CO1575" i="1"/>
  <c r="CP1575" i="1"/>
  <c r="CQ1575" i="1"/>
  <c r="G143" i="1"/>
  <c r="U143" i="1"/>
  <c r="W143" i="1"/>
  <c r="AE143" i="1"/>
  <c r="AK143" i="1"/>
  <c r="AQ143" i="1"/>
  <c r="AU143" i="1"/>
  <c r="AV143" i="1"/>
  <c r="AW143" i="1"/>
  <c r="AX143" i="1"/>
  <c r="AY143" i="1"/>
  <c r="AZ143" i="1"/>
  <c r="BA143" i="1"/>
  <c r="BC143" i="1"/>
  <c r="BD143" i="1"/>
  <c r="BE143" i="1"/>
  <c r="BF143" i="1"/>
  <c r="BG143" i="1"/>
  <c r="BH143" i="1"/>
  <c r="BI143" i="1"/>
  <c r="BJ143" i="1"/>
  <c r="BM143" i="1"/>
  <c r="CA143" i="1"/>
  <c r="CN143" i="1"/>
  <c r="CO143" i="1"/>
  <c r="CP143" i="1"/>
  <c r="CQ143" i="1"/>
  <c r="G144" i="1"/>
  <c r="U144" i="1"/>
  <c r="W144" i="1"/>
  <c r="AE144" i="1"/>
  <c r="AK144" i="1"/>
  <c r="AQ144" i="1"/>
  <c r="AU144" i="1"/>
  <c r="AV144" i="1"/>
  <c r="AW144" i="1"/>
  <c r="AX144" i="1"/>
  <c r="AY144" i="1"/>
  <c r="AZ144" i="1"/>
  <c r="BA144" i="1"/>
  <c r="BC144" i="1"/>
  <c r="BD144" i="1"/>
  <c r="BE144" i="1"/>
  <c r="BF144" i="1"/>
  <c r="BG144" i="1"/>
  <c r="BH144" i="1"/>
  <c r="BI144" i="1"/>
  <c r="BJ144" i="1"/>
  <c r="BM144" i="1"/>
  <c r="CA144" i="1"/>
  <c r="CN144" i="1"/>
  <c r="CO144" i="1"/>
  <c r="CP144" i="1"/>
  <c r="CQ144" i="1"/>
  <c r="G1390" i="1"/>
  <c r="U1390" i="1"/>
  <c r="W1390" i="1"/>
  <c r="AE1390" i="1"/>
  <c r="AK1390" i="1"/>
  <c r="AQ1390" i="1"/>
  <c r="AU1390" i="1"/>
  <c r="AV1390" i="1"/>
  <c r="AW1390" i="1"/>
  <c r="AX1390" i="1"/>
  <c r="AY1390" i="1"/>
  <c r="AZ1390" i="1"/>
  <c r="BA1390" i="1"/>
  <c r="BC1390" i="1"/>
  <c r="BD1390" i="1"/>
  <c r="BE1390" i="1"/>
  <c r="BF1390" i="1"/>
  <c r="BG1390" i="1"/>
  <c r="BH1390" i="1"/>
  <c r="BI1390" i="1"/>
  <c r="BJ1390" i="1"/>
  <c r="BM1390" i="1"/>
  <c r="CA1390" i="1"/>
  <c r="CN1390" i="1"/>
  <c r="CO1390" i="1"/>
  <c r="CP1390" i="1"/>
  <c r="CQ1390" i="1"/>
  <c r="G1913" i="1"/>
  <c r="U1913" i="1"/>
  <c r="W1913" i="1"/>
  <c r="AE1913" i="1"/>
  <c r="AK1913" i="1"/>
  <c r="AQ1913" i="1"/>
  <c r="AU1913" i="1"/>
  <c r="AV1913" i="1"/>
  <c r="AW1913" i="1"/>
  <c r="AX1913" i="1"/>
  <c r="AY1913" i="1"/>
  <c r="AZ1913" i="1"/>
  <c r="BA1913" i="1"/>
  <c r="BC1913" i="1"/>
  <c r="BD1913" i="1"/>
  <c r="BE1913" i="1"/>
  <c r="BF1913" i="1"/>
  <c r="BG1913" i="1"/>
  <c r="BH1913" i="1"/>
  <c r="BI1913" i="1"/>
  <c r="BJ1913" i="1"/>
  <c r="BM1913" i="1"/>
  <c r="CA1913" i="1"/>
  <c r="CN1913" i="1"/>
  <c r="CO1913" i="1"/>
  <c r="CP1913" i="1"/>
  <c r="CQ1913" i="1"/>
  <c r="G1914" i="1"/>
  <c r="U1914" i="1"/>
  <c r="W1914" i="1"/>
  <c r="AE1914" i="1"/>
  <c r="AK1914" i="1"/>
  <c r="AQ1914" i="1"/>
  <c r="AU1914" i="1"/>
  <c r="AV1914" i="1"/>
  <c r="AW1914" i="1"/>
  <c r="AX1914" i="1"/>
  <c r="AY1914" i="1"/>
  <c r="AZ1914" i="1"/>
  <c r="BA1914" i="1"/>
  <c r="BC1914" i="1"/>
  <c r="BD1914" i="1"/>
  <c r="BE1914" i="1"/>
  <c r="BF1914" i="1"/>
  <c r="BG1914" i="1"/>
  <c r="BH1914" i="1"/>
  <c r="BI1914" i="1"/>
  <c r="BJ1914" i="1"/>
  <c r="BM1914" i="1"/>
  <c r="CA1914" i="1"/>
  <c r="CN1914" i="1"/>
  <c r="CO1914" i="1"/>
  <c r="CP1914" i="1"/>
  <c r="CQ1914" i="1"/>
  <c r="G811" i="1"/>
  <c r="U811" i="1"/>
  <c r="W811" i="1"/>
  <c r="AE811" i="1"/>
  <c r="AK811" i="1"/>
  <c r="AQ811" i="1"/>
  <c r="AU811" i="1"/>
  <c r="AV811" i="1"/>
  <c r="AW811" i="1"/>
  <c r="AX811" i="1"/>
  <c r="AY811" i="1"/>
  <c r="AZ811" i="1"/>
  <c r="BA811" i="1"/>
  <c r="BC811" i="1"/>
  <c r="BD811" i="1"/>
  <c r="BE811" i="1"/>
  <c r="BF811" i="1"/>
  <c r="BG811" i="1"/>
  <c r="BH811" i="1"/>
  <c r="BI811" i="1"/>
  <c r="BJ811" i="1"/>
  <c r="BM811" i="1"/>
  <c r="CA811" i="1"/>
  <c r="CN811" i="1"/>
  <c r="CO811" i="1"/>
  <c r="CP811" i="1"/>
  <c r="CQ811" i="1"/>
  <c r="G1576" i="1"/>
  <c r="U1576" i="1"/>
  <c r="W1576" i="1"/>
  <c r="AE1576" i="1"/>
  <c r="AK1576" i="1"/>
  <c r="AQ1576" i="1"/>
  <c r="AU1576" i="1"/>
  <c r="AV1576" i="1"/>
  <c r="AW1576" i="1"/>
  <c r="AX1576" i="1"/>
  <c r="AY1576" i="1"/>
  <c r="AZ1576" i="1"/>
  <c r="BA1576" i="1"/>
  <c r="BC1576" i="1"/>
  <c r="BD1576" i="1"/>
  <c r="BE1576" i="1"/>
  <c r="BF1576" i="1"/>
  <c r="BG1576" i="1"/>
  <c r="BH1576" i="1"/>
  <c r="BI1576" i="1"/>
  <c r="BJ1576" i="1"/>
  <c r="BM1576" i="1"/>
  <c r="CA1576" i="1"/>
  <c r="CN1576" i="1"/>
  <c r="CO1576" i="1"/>
  <c r="CP1576" i="1"/>
  <c r="CQ1576" i="1"/>
  <c r="G812" i="1"/>
  <c r="U812" i="1"/>
  <c r="W812" i="1"/>
  <c r="AE812" i="1"/>
  <c r="AK812" i="1"/>
  <c r="AQ812" i="1"/>
  <c r="AU812" i="1"/>
  <c r="AV812" i="1"/>
  <c r="AW812" i="1"/>
  <c r="AX812" i="1"/>
  <c r="AY812" i="1"/>
  <c r="AZ812" i="1"/>
  <c r="BA812" i="1"/>
  <c r="BC812" i="1"/>
  <c r="BD812" i="1"/>
  <c r="BE812" i="1"/>
  <c r="BF812" i="1"/>
  <c r="BG812" i="1"/>
  <c r="BH812" i="1"/>
  <c r="BI812" i="1"/>
  <c r="BJ812" i="1"/>
  <c r="BM812" i="1"/>
  <c r="CA812" i="1"/>
  <c r="CN812" i="1"/>
  <c r="CO812" i="1"/>
  <c r="CP812" i="1"/>
  <c r="CQ812" i="1"/>
  <c r="G1577" i="1"/>
  <c r="U1577" i="1"/>
  <c r="W1577" i="1"/>
  <c r="AE1577" i="1"/>
  <c r="AK1577" i="1"/>
  <c r="AQ1577" i="1"/>
  <c r="AU1577" i="1"/>
  <c r="AV1577" i="1"/>
  <c r="AW1577" i="1"/>
  <c r="AX1577" i="1"/>
  <c r="AY1577" i="1"/>
  <c r="AZ1577" i="1"/>
  <c r="BA1577" i="1"/>
  <c r="BC1577" i="1"/>
  <c r="BD1577" i="1"/>
  <c r="BE1577" i="1"/>
  <c r="BF1577" i="1"/>
  <c r="BG1577" i="1"/>
  <c r="BH1577" i="1"/>
  <c r="BI1577" i="1"/>
  <c r="BJ1577" i="1"/>
  <c r="BM1577" i="1"/>
  <c r="CA1577" i="1"/>
  <c r="CN1577" i="1"/>
  <c r="CO1577" i="1"/>
  <c r="CP1577" i="1"/>
  <c r="CQ1577" i="1"/>
  <c r="G1391" i="1"/>
  <c r="U1391" i="1"/>
  <c r="W1391" i="1"/>
  <c r="AE1391" i="1"/>
  <c r="AK1391" i="1"/>
  <c r="AQ1391" i="1"/>
  <c r="AU1391" i="1"/>
  <c r="AV1391" i="1"/>
  <c r="AW1391" i="1"/>
  <c r="AX1391" i="1"/>
  <c r="AY1391" i="1"/>
  <c r="AZ1391" i="1"/>
  <c r="BA1391" i="1"/>
  <c r="BC1391" i="1"/>
  <c r="BD1391" i="1"/>
  <c r="BE1391" i="1"/>
  <c r="BF1391" i="1"/>
  <c r="BG1391" i="1"/>
  <c r="BH1391" i="1"/>
  <c r="BI1391" i="1"/>
  <c r="BJ1391" i="1"/>
  <c r="BM1391" i="1"/>
  <c r="CA1391" i="1"/>
  <c r="CN1391" i="1"/>
  <c r="CO1391" i="1"/>
  <c r="CP1391" i="1"/>
  <c r="CQ1391" i="1"/>
  <c r="G813" i="1"/>
  <c r="U813" i="1"/>
  <c r="W813" i="1"/>
  <c r="AE813" i="1"/>
  <c r="AK813" i="1"/>
  <c r="AQ813" i="1"/>
  <c r="AU813" i="1"/>
  <c r="AV813" i="1"/>
  <c r="AW813" i="1"/>
  <c r="AX813" i="1"/>
  <c r="AY813" i="1"/>
  <c r="AZ813" i="1"/>
  <c r="BA813" i="1"/>
  <c r="BC813" i="1"/>
  <c r="BD813" i="1"/>
  <c r="BE813" i="1"/>
  <c r="BF813" i="1"/>
  <c r="BG813" i="1"/>
  <c r="BH813" i="1"/>
  <c r="BI813" i="1"/>
  <c r="BJ813" i="1"/>
  <c r="BM813" i="1"/>
  <c r="CA813" i="1"/>
  <c r="CN813" i="1"/>
  <c r="CO813" i="1"/>
  <c r="CP813" i="1"/>
  <c r="CQ813" i="1"/>
  <c r="G145" i="1"/>
  <c r="U145" i="1"/>
  <c r="W145" i="1"/>
  <c r="AE145" i="1"/>
  <c r="AK145" i="1"/>
  <c r="AQ145" i="1"/>
  <c r="AU145" i="1"/>
  <c r="AV145" i="1"/>
  <c r="AW145" i="1"/>
  <c r="AX145" i="1"/>
  <c r="AY145" i="1"/>
  <c r="AZ145" i="1"/>
  <c r="BA145" i="1"/>
  <c r="BC145" i="1"/>
  <c r="BD145" i="1"/>
  <c r="BE145" i="1"/>
  <c r="BF145" i="1"/>
  <c r="BG145" i="1"/>
  <c r="BH145" i="1"/>
  <c r="BI145" i="1"/>
  <c r="BJ145" i="1"/>
  <c r="BM145" i="1"/>
  <c r="CA145" i="1"/>
  <c r="CN145" i="1"/>
  <c r="CO145" i="1"/>
  <c r="CP145" i="1"/>
  <c r="CQ145" i="1"/>
  <c r="G1915" i="1"/>
  <c r="U1915" i="1"/>
  <c r="W1915" i="1"/>
  <c r="AE1915" i="1"/>
  <c r="AK1915" i="1"/>
  <c r="AQ1915" i="1"/>
  <c r="AU1915" i="1"/>
  <c r="AV1915" i="1"/>
  <c r="AW1915" i="1"/>
  <c r="AX1915" i="1"/>
  <c r="AY1915" i="1"/>
  <c r="AZ1915" i="1"/>
  <c r="BA1915" i="1"/>
  <c r="BC1915" i="1"/>
  <c r="BD1915" i="1"/>
  <c r="BE1915" i="1"/>
  <c r="BF1915" i="1"/>
  <c r="BG1915" i="1"/>
  <c r="BH1915" i="1"/>
  <c r="BI1915" i="1"/>
  <c r="BJ1915" i="1"/>
  <c r="BM1915" i="1"/>
  <c r="CA1915" i="1"/>
  <c r="CN1915" i="1"/>
  <c r="CO1915" i="1"/>
  <c r="CP1915" i="1"/>
  <c r="CQ1915" i="1"/>
  <c r="G146" i="1"/>
  <c r="U146" i="1"/>
  <c r="W146" i="1"/>
  <c r="AE146" i="1"/>
  <c r="AK146" i="1"/>
  <c r="AQ146" i="1"/>
  <c r="AU146" i="1"/>
  <c r="AV146" i="1"/>
  <c r="AW146" i="1"/>
  <c r="AX146" i="1"/>
  <c r="AY146" i="1"/>
  <c r="AZ146" i="1"/>
  <c r="BA146" i="1"/>
  <c r="BC146" i="1"/>
  <c r="BD146" i="1"/>
  <c r="BE146" i="1"/>
  <c r="BF146" i="1"/>
  <c r="BG146" i="1"/>
  <c r="BH146" i="1"/>
  <c r="BI146" i="1"/>
  <c r="BJ146" i="1"/>
  <c r="BM146" i="1"/>
  <c r="CA146" i="1"/>
  <c r="CN146" i="1"/>
  <c r="CO146" i="1"/>
  <c r="CP146" i="1"/>
  <c r="CQ146" i="1"/>
  <c r="G147" i="1"/>
  <c r="U147" i="1"/>
  <c r="W147" i="1"/>
  <c r="AE147" i="1"/>
  <c r="AK147" i="1"/>
  <c r="AQ147" i="1"/>
  <c r="AU147" i="1"/>
  <c r="AV147" i="1"/>
  <c r="AW147" i="1"/>
  <c r="AX147" i="1"/>
  <c r="AY147" i="1"/>
  <c r="AZ147" i="1"/>
  <c r="BA147" i="1"/>
  <c r="BC147" i="1"/>
  <c r="BD147" i="1"/>
  <c r="BE147" i="1"/>
  <c r="BF147" i="1"/>
  <c r="BG147" i="1"/>
  <c r="BH147" i="1"/>
  <c r="BI147" i="1"/>
  <c r="BJ147" i="1"/>
  <c r="BM147" i="1"/>
  <c r="CA147" i="1"/>
  <c r="CN147" i="1"/>
  <c r="CO147" i="1"/>
  <c r="CP147" i="1"/>
  <c r="CQ147" i="1"/>
  <c r="G814" i="1"/>
  <c r="U814" i="1"/>
  <c r="W814" i="1"/>
  <c r="AE814" i="1"/>
  <c r="AK814" i="1"/>
  <c r="AQ814" i="1"/>
  <c r="AU814" i="1"/>
  <c r="AV814" i="1"/>
  <c r="AW814" i="1"/>
  <c r="AX814" i="1"/>
  <c r="AY814" i="1"/>
  <c r="AZ814" i="1"/>
  <c r="BA814" i="1"/>
  <c r="BC814" i="1"/>
  <c r="BD814" i="1"/>
  <c r="BE814" i="1"/>
  <c r="BF814" i="1"/>
  <c r="BG814" i="1"/>
  <c r="BH814" i="1"/>
  <c r="BI814" i="1"/>
  <c r="BJ814" i="1"/>
  <c r="BM814" i="1"/>
  <c r="CA814" i="1"/>
  <c r="CN814" i="1"/>
  <c r="CO814" i="1"/>
  <c r="CP814" i="1"/>
  <c r="CQ814" i="1"/>
  <c r="G1392" i="1"/>
  <c r="U1392" i="1"/>
  <c r="W1392" i="1"/>
  <c r="AE1392" i="1"/>
  <c r="AK1392" i="1"/>
  <c r="AQ1392" i="1"/>
  <c r="AU1392" i="1"/>
  <c r="AV1392" i="1"/>
  <c r="AW1392" i="1"/>
  <c r="AX1392" i="1"/>
  <c r="AY1392" i="1"/>
  <c r="AZ1392" i="1"/>
  <c r="BA1392" i="1"/>
  <c r="BC1392" i="1"/>
  <c r="BD1392" i="1"/>
  <c r="BE1392" i="1"/>
  <c r="BF1392" i="1"/>
  <c r="BG1392" i="1"/>
  <c r="BH1392" i="1"/>
  <c r="BI1392" i="1"/>
  <c r="BJ1392" i="1"/>
  <c r="BM1392" i="1"/>
  <c r="CA1392" i="1"/>
  <c r="CN1392" i="1"/>
  <c r="CO1392" i="1"/>
  <c r="CP1392" i="1"/>
  <c r="CQ1392" i="1"/>
  <c r="G399" i="1"/>
  <c r="U399" i="1"/>
  <c r="W399" i="1"/>
  <c r="AE399" i="1"/>
  <c r="AK399" i="1"/>
  <c r="AQ399" i="1"/>
  <c r="AU399" i="1"/>
  <c r="AV399" i="1"/>
  <c r="AW399" i="1"/>
  <c r="AX399" i="1"/>
  <c r="AY399" i="1"/>
  <c r="AZ399" i="1"/>
  <c r="BA399" i="1"/>
  <c r="BC399" i="1"/>
  <c r="BD399" i="1"/>
  <c r="BE399" i="1"/>
  <c r="BF399" i="1"/>
  <c r="BG399" i="1"/>
  <c r="BH399" i="1"/>
  <c r="BI399" i="1"/>
  <c r="BJ399" i="1"/>
  <c r="BM399" i="1"/>
  <c r="CA399" i="1"/>
  <c r="CN399" i="1"/>
  <c r="CO399" i="1"/>
  <c r="CP399" i="1"/>
  <c r="CQ399" i="1"/>
  <c r="G815" i="1"/>
  <c r="U815" i="1"/>
  <c r="W815" i="1"/>
  <c r="AE815" i="1"/>
  <c r="AK815" i="1"/>
  <c r="AQ815" i="1"/>
  <c r="AU815" i="1"/>
  <c r="AV815" i="1"/>
  <c r="AW815" i="1"/>
  <c r="AX815" i="1"/>
  <c r="AY815" i="1"/>
  <c r="AZ815" i="1"/>
  <c r="BA815" i="1"/>
  <c r="BC815" i="1"/>
  <c r="BD815" i="1"/>
  <c r="BE815" i="1"/>
  <c r="BF815" i="1"/>
  <c r="BG815" i="1"/>
  <c r="BH815" i="1"/>
  <c r="BI815" i="1"/>
  <c r="BJ815" i="1"/>
  <c r="BM815" i="1"/>
  <c r="CA815" i="1"/>
  <c r="CN815" i="1"/>
  <c r="CO815" i="1"/>
  <c r="CP815" i="1"/>
  <c r="CQ815" i="1"/>
  <c r="G816" i="1"/>
  <c r="U816" i="1"/>
  <c r="W816" i="1"/>
  <c r="AE816" i="1"/>
  <c r="AK816" i="1"/>
  <c r="AQ816" i="1"/>
  <c r="AU816" i="1"/>
  <c r="AV816" i="1"/>
  <c r="AW816" i="1"/>
  <c r="AX816" i="1"/>
  <c r="AY816" i="1"/>
  <c r="AZ816" i="1"/>
  <c r="BA816" i="1"/>
  <c r="BC816" i="1"/>
  <c r="BD816" i="1"/>
  <c r="BE816" i="1"/>
  <c r="BF816" i="1"/>
  <c r="BG816" i="1"/>
  <c r="BH816" i="1"/>
  <c r="BI816" i="1"/>
  <c r="BJ816" i="1"/>
  <c r="BM816" i="1"/>
  <c r="CA816" i="1"/>
  <c r="CN816" i="1"/>
  <c r="CO816" i="1"/>
  <c r="CP816" i="1"/>
  <c r="CQ816" i="1"/>
  <c r="G1916" i="1"/>
  <c r="U1916" i="1"/>
  <c r="W1916" i="1"/>
  <c r="AE1916" i="1"/>
  <c r="AK1916" i="1"/>
  <c r="AQ1916" i="1"/>
  <c r="AU1916" i="1"/>
  <c r="AV1916" i="1"/>
  <c r="AW1916" i="1"/>
  <c r="AX1916" i="1"/>
  <c r="AY1916" i="1"/>
  <c r="AZ1916" i="1"/>
  <c r="BA1916" i="1"/>
  <c r="BC1916" i="1"/>
  <c r="BD1916" i="1"/>
  <c r="BE1916" i="1"/>
  <c r="BF1916" i="1"/>
  <c r="BG1916" i="1"/>
  <c r="BH1916" i="1"/>
  <c r="BI1916" i="1"/>
  <c r="BJ1916" i="1"/>
  <c r="BM1916" i="1"/>
  <c r="CA1916" i="1"/>
  <c r="CN1916" i="1"/>
  <c r="CO1916" i="1"/>
  <c r="CP1916" i="1"/>
  <c r="CQ1916" i="1"/>
  <c r="G148" i="1"/>
  <c r="U148" i="1"/>
  <c r="W148" i="1"/>
  <c r="AE148" i="1"/>
  <c r="AK148" i="1"/>
  <c r="AQ148" i="1"/>
  <c r="AU148" i="1"/>
  <c r="AV148" i="1"/>
  <c r="AW148" i="1"/>
  <c r="AX148" i="1"/>
  <c r="AY148" i="1"/>
  <c r="AZ148" i="1"/>
  <c r="BA148" i="1"/>
  <c r="BC148" i="1"/>
  <c r="BD148" i="1"/>
  <c r="BE148" i="1"/>
  <c r="BF148" i="1"/>
  <c r="BG148" i="1"/>
  <c r="BH148" i="1"/>
  <c r="BI148" i="1"/>
  <c r="BJ148" i="1"/>
  <c r="BM148" i="1"/>
  <c r="CA148" i="1"/>
  <c r="CN148" i="1"/>
  <c r="CO148" i="1"/>
  <c r="CP148" i="1"/>
  <c r="CQ148" i="1"/>
  <c r="G817" i="1"/>
  <c r="U817" i="1"/>
  <c r="W817" i="1"/>
  <c r="AE817" i="1"/>
  <c r="AK817" i="1"/>
  <c r="AQ817" i="1"/>
  <c r="AU817" i="1"/>
  <c r="AV817" i="1"/>
  <c r="AW817" i="1"/>
  <c r="AX817" i="1"/>
  <c r="AY817" i="1"/>
  <c r="AZ817" i="1"/>
  <c r="BA817" i="1"/>
  <c r="BC817" i="1"/>
  <c r="BD817" i="1"/>
  <c r="BE817" i="1"/>
  <c r="BF817" i="1"/>
  <c r="BG817" i="1"/>
  <c r="BH817" i="1"/>
  <c r="BI817" i="1"/>
  <c r="BJ817" i="1"/>
  <c r="BM817" i="1"/>
  <c r="CA817" i="1"/>
  <c r="CN817" i="1"/>
  <c r="CO817" i="1"/>
  <c r="CP817" i="1"/>
  <c r="CQ817" i="1"/>
  <c r="G1917" i="1"/>
  <c r="U1917" i="1"/>
  <c r="W1917" i="1"/>
  <c r="AE1917" i="1"/>
  <c r="AK1917" i="1"/>
  <c r="AQ1917" i="1"/>
  <c r="AU1917" i="1"/>
  <c r="AV1917" i="1"/>
  <c r="AW1917" i="1"/>
  <c r="AX1917" i="1"/>
  <c r="AY1917" i="1"/>
  <c r="AZ1917" i="1"/>
  <c r="BA1917" i="1"/>
  <c r="BC1917" i="1"/>
  <c r="BD1917" i="1"/>
  <c r="BE1917" i="1"/>
  <c r="BF1917" i="1"/>
  <c r="BG1917" i="1"/>
  <c r="BH1917" i="1"/>
  <c r="BI1917" i="1"/>
  <c r="BJ1917" i="1"/>
  <c r="BM1917" i="1"/>
  <c r="CA1917" i="1"/>
  <c r="CN1917" i="1"/>
  <c r="CO1917" i="1"/>
  <c r="CP1917" i="1"/>
  <c r="CQ1917" i="1"/>
  <c r="G818" i="1"/>
  <c r="U818" i="1"/>
  <c r="W818" i="1"/>
  <c r="AE818" i="1"/>
  <c r="AK818" i="1"/>
  <c r="AQ818" i="1"/>
  <c r="AU818" i="1"/>
  <c r="AV818" i="1"/>
  <c r="AW818" i="1"/>
  <c r="AX818" i="1"/>
  <c r="AY818" i="1"/>
  <c r="AZ818" i="1"/>
  <c r="BA818" i="1"/>
  <c r="BC818" i="1"/>
  <c r="BD818" i="1"/>
  <c r="BE818" i="1"/>
  <c r="BF818" i="1"/>
  <c r="BG818" i="1"/>
  <c r="BH818" i="1"/>
  <c r="BI818" i="1"/>
  <c r="BJ818" i="1"/>
  <c r="BM818" i="1"/>
  <c r="CA818" i="1"/>
  <c r="CN818" i="1"/>
  <c r="CO818" i="1"/>
  <c r="CP818" i="1"/>
  <c r="CQ818" i="1"/>
  <c r="G1918" i="1"/>
  <c r="U1918" i="1"/>
  <c r="W1918" i="1"/>
  <c r="AE1918" i="1"/>
  <c r="AK1918" i="1"/>
  <c r="AQ1918" i="1"/>
  <c r="AU1918" i="1"/>
  <c r="AV1918" i="1"/>
  <c r="AW1918" i="1"/>
  <c r="AX1918" i="1"/>
  <c r="AY1918" i="1"/>
  <c r="AZ1918" i="1"/>
  <c r="BA1918" i="1"/>
  <c r="BC1918" i="1"/>
  <c r="BD1918" i="1"/>
  <c r="BE1918" i="1"/>
  <c r="BF1918" i="1"/>
  <c r="BG1918" i="1"/>
  <c r="BH1918" i="1"/>
  <c r="BI1918" i="1"/>
  <c r="BJ1918" i="1"/>
  <c r="BM1918" i="1"/>
  <c r="CA1918" i="1"/>
  <c r="CN1918" i="1"/>
  <c r="CO1918" i="1"/>
  <c r="CP1918" i="1"/>
  <c r="CQ1918" i="1"/>
  <c r="G819" i="1"/>
  <c r="U819" i="1"/>
  <c r="W819" i="1"/>
  <c r="AE819" i="1"/>
  <c r="AK819" i="1"/>
  <c r="AQ819" i="1"/>
  <c r="AU819" i="1"/>
  <c r="AV819" i="1"/>
  <c r="AW819" i="1"/>
  <c r="AX819" i="1"/>
  <c r="AY819" i="1"/>
  <c r="AZ819" i="1"/>
  <c r="BA819" i="1"/>
  <c r="BC819" i="1"/>
  <c r="BD819" i="1"/>
  <c r="BE819" i="1"/>
  <c r="BF819" i="1"/>
  <c r="BG819" i="1"/>
  <c r="BH819" i="1"/>
  <c r="BI819" i="1"/>
  <c r="BJ819" i="1"/>
  <c r="BM819" i="1"/>
  <c r="CA819" i="1"/>
  <c r="CN819" i="1"/>
  <c r="CO819" i="1"/>
  <c r="CP819" i="1"/>
  <c r="CQ819" i="1"/>
  <c r="G149" i="1"/>
  <c r="U149" i="1"/>
  <c r="W149" i="1"/>
  <c r="AE149" i="1"/>
  <c r="AK149" i="1"/>
  <c r="AQ149" i="1"/>
  <c r="AU149" i="1"/>
  <c r="AV149" i="1"/>
  <c r="AW149" i="1"/>
  <c r="AX149" i="1"/>
  <c r="AY149" i="1"/>
  <c r="AZ149" i="1"/>
  <c r="BA149" i="1"/>
  <c r="BC149" i="1"/>
  <c r="BD149" i="1"/>
  <c r="BE149" i="1"/>
  <c r="BF149" i="1"/>
  <c r="BG149" i="1"/>
  <c r="BH149" i="1"/>
  <c r="BI149" i="1"/>
  <c r="BJ149" i="1"/>
  <c r="BM149" i="1"/>
  <c r="CA149" i="1"/>
  <c r="CN149" i="1"/>
  <c r="CO149" i="1"/>
  <c r="CP149" i="1"/>
  <c r="CQ149" i="1"/>
  <c r="G150" i="1"/>
  <c r="U150" i="1"/>
  <c r="W150" i="1"/>
  <c r="AE150" i="1"/>
  <c r="AK150" i="1"/>
  <c r="AQ150" i="1"/>
  <c r="AU150" i="1"/>
  <c r="AV150" i="1"/>
  <c r="AW150" i="1"/>
  <c r="AX150" i="1"/>
  <c r="AY150" i="1"/>
  <c r="AZ150" i="1"/>
  <c r="BA150" i="1"/>
  <c r="BC150" i="1"/>
  <c r="BD150" i="1"/>
  <c r="BE150" i="1"/>
  <c r="BF150" i="1"/>
  <c r="BG150" i="1"/>
  <c r="BH150" i="1"/>
  <c r="BI150" i="1"/>
  <c r="BJ150" i="1"/>
  <c r="BM150" i="1"/>
  <c r="CA150" i="1"/>
  <c r="CN150" i="1"/>
  <c r="CO150" i="1"/>
  <c r="CP150" i="1"/>
  <c r="CQ150" i="1"/>
  <c r="G1919" i="1"/>
  <c r="U1919" i="1"/>
  <c r="W1919" i="1"/>
  <c r="AE1919" i="1"/>
  <c r="AK1919" i="1"/>
  <c r="AQ1919" i="1"/>
  <c r="AU1919" i="1"/>
  <c r="AV1919" i="1"/>
  <c r="AW1919" i="1"/>
  <c r="AX1919" i="1"/>
  <c r="AY1919" i="1"/>
  <c r="AZ1919" i="1"/>
  <c r="BA1919" i="1"/>
  <c r="BC1919" i="1"/>
  <c r="BD1919" i="1"/>
  <c r="BE1919" i="1"/>
  <c r="BF1919" i="1"/>
  <c r="BG1919" i="1"/>
  <c r="BH1919" i="1"/>
  <c r="BI1919" i="1"/>
  <c r="BJ1919" i="1"/>
  <c r="BM1919" i="1"/>
  <c r="CA1919" i="1"/>
  <c r="CN1919" i="1"/>
  <c r="CO1919" i="1"/>
  <c r="CP1919" i="1"/>
  <c r="CQ1919" i="1"/>
  <c r="G820" i="1"/>
  <c r="U820" i="1"/>
  <c r="W820" i="1"/>
  <c r="AE820" i="1"/>
  <c r="AK820" i="1"/>
  <c r="AQ820" i="1"/>
  <c r="AU820" i="1"/>
  <c r="AV820" i="1"/>
  <c r="AW820" i="1"/>
  <c r="AX820" i="1"/>
  <c r="AY820" i="1"/>
  <c r="AZ820" i="1"/>
  <c r="BA820" i="1"/>
  <c r="BC820" i="1"/>
  <c r="BD820" i="1"/>
  <c r="BE820" i="1"/>
  <c r="BF820" i="1"/>
  <c r="BG820" i="1"/>
  <c r="BH820" i="1"/>
  <c r="BI820" i="1"/>
  <c r="BJ820" i="1"/>
  <c r="BM820" i="1"/>
  <c r="CA820" i="1"/>
  <c r="CN820" i="1"/>
  <c r="CO820" i="1"/>
  <c r="CP820" i="1"/>
  <c r="CQ820" i="1"/>
  <c r="G821" i="1"/>
  <c r="U821" i="1"/>
  <c r="W821" i="1"/>
  <c r="AE821" i="1"/>
  <c r="AK821" i="1"/>
  <c r="AQ821" i="1"/>
  <c r="AU821" i="1"/>
  <c r="AV821" i="1"/>
  <c r="AW821" i="1"/>
  <c r="AX821" i="1"/>
  <c r="AY821" i="1"/>
  <c r="AZ821" i="1"/>
  <c r="BA821" i="1"/>
  <c r="BC821" i="1"/>
  <c r="BD821" i="1"/>
  <c r="BE821" i="1"/>
  <c r="BF821" i="1"/>
  <c r="BG821" i="1"/>
  <c r="BH821" i="1"/>
  <c r="BI821" i="1"/>
  <c r="BJ821" i="1"/>
  <c r="BM821" i="1"/>
  <c r="CA821" i="1"/>
  <c r="CN821" i="1"/>
  <c r="CO821" i="1"/>
  <c r="CP821" i="1"/>
  <c r="CQ821" i="1"/>
  <c r="G822" i="1"/>
  <c r="U822" i="1"/>
  <c r="W822" i="1"/>
  <c r="AE822" i="1"/>
  <c r="AK822" i="1"/>
  <c r="AQ822" i="1"/>
  <c r="AU822" i="1"/>
  <c r="AV822" i="1"/>
  <c r="AW822" i="1"/>
  <c r="AX822" i="1"/>
  <c r="AY822" i="1"/>
  <c r="AZ822" i="1"/>
  <c r="BA822" i="1"/>
  <c r="BC822" i="1"/>
  <c r="BD822" i="1"/>
  <c r="BE822" i="1"/>
  <c r="BF822" i="1"/>
  <c r="BG822" i="1"/>
  <c r="BH822" i="1"/>
  <c r="BI822" i="1"/>
  <c r="BJ822" i="1"/>
  <c r="BM822" i="1"/>
  <c r="CA822" i="1"/>
  <c r="CN822" i="1"/>
  <c r="CO822" i="1"/>
  <c r="CP822" i="1"/>
  <c r="CQ822" i="1"/>
  <c r="G823" i="1"/>
  <c r="U823" i="1"/>
  <c r="W823" i="1"/>
  <c r="AE823" i="1"/>
  <c r="AK823" i="1"/>
  <c r="AQ823" i="1"/>
  <c r="AU823" i="1"/>
  <c r="AV823" i="1"/>
  <c r="AW823" i="1"/>
  <c r="AX823" i="1"/>
  <c r="AY823" i="1"/>
  <c r="AZ823" i="1"/>
  <c r="BA823" i="1"/>
  <c r="BC823" i="1"/>
  <c r="BD823" i="1"/>
  <c r="BE823" i="1"/>
  <c r="BF823" i="1"/>
  <c r="BG823" i="1"/>
  <c r="BH823" i="1"/>
  <c r="BI823" i="1"/>
  <c r="BJ823" i="1"/>
  <c r="BM823" i="1"/>
  <c r="CA823" i="1"/>
  <c r="CN823" i="1"/>
  <c r="CO823" i="1"/>
  <c r="CP823" i="1"/>
  <c r="CQ823" i="1"/>
  <c r="G1393" i="1"/>
  <c r="U1393" i="1"/>
  <c r="W1393" i="1"/>
  <c r="AE1393" i="1"/>
  <c r="AK1393" i="1"/>
  <c r="AQ1393" i="1"/>
  <c r="AU1393" i="1"/>
  <c r="AV1393" i="1"/>
  <c r="AW1393" i="1"/>
  <c r="AX1393" i="1"/>
  <c r="AY1393" i="1"/>
  <c r="AZ1393" i="1"/>
  <c r="BA1393" i="1"/>
  <c r="BC1393" i="1"/>
  <c r="BD1393" i="1"/>
  <c r="BE1393" i="1"/>
  <c r="BF1393" i="1"/>
  <c r="BG1393" i="1"/>
  <c r="BH1393" i="1"/>
  <c r="BI1393" i="1"/>
  <c r="BJ1393" i="1"/>
  <c r="BM1393" i="1"/>
  <c r="CA1393" i="1"/>
  <c r="CN1393" i="1"/>
  <c r="CO1393" i="1"/>
  <c r="CP1393" i="1"/>
  <c r="CQ1393" i="1"/>
  <c r="G824" i="1"/>
  <c r="U824" i="1"/>
  <c r="W824" i="1"/>
  <c r="AE824" i="1"/>
  <c r="AK824" i="1"/>
  <c r="AQ824" i="1"/>
  <c r="AU824" i="1"/>
  <c r="AV824" i="1"/>
  <c r="AW824" i="1"/>
  <c r="AX824" i="1"/>
  <c r="AY824" i="1"/>
  <c r="AZ824" i="1"/>
  <c r="BA824" i="1"/>
  <c r="BC824" i="1"/>
  <c r="BD824" i="1"/>
  <c r="BE824" i="1"/>
  <c r="BF824" i="1"/>
  <c r="BG824" i="1"/>
  <c r="BH824" i="1"/>
  <c r="BI824" i="1"/>
  <c r="BJ824" i="1"/>
  <c r="BM824" i="1"/>
  <c r="CA824" i="1"/>
  <c r="CN824" i="1"/>
  <c r="CO824" i="1"/>
  <c r="CP824" i="1"/>
  <c r="CQ824" i="1"/>
  <c r="G825" i="1"/>
  <c r="U825" i="1"/>
  <c r="W825" i="1"/>
  <c r="AE825" i="1"/>
  <c r="AK825" i="1"/>
  <c r="AQ825" i="1"/>
  <c r="AU825" i="1"/>
  <c r="AV825" i="1"/>
  <c r="AW825" i="1"/>
  <c r="AX825" i="1"/>
  <c r="AY825" i="1"/>
  <c r="AZ825" i="1"/>
  <c r="BA825" i="1"/>
  <c r="BC825" i="1"/>
  <c r="BD825" i="1"/>
  <c r="BE825" i="1"/>
  <c r="BF825" i="1"/>
  <c r="BG825" i="1"/>
  <c r="BH825" i="1"/>
  <c r="BI825" i="1"/>
  <c r="BJ825" i="1"/>
  <c r="BM825" i="1"/>
  <c r="CA825" i="1"/>
  <c r="CN825" i="1"/>
  <c r="CO825" i="1"/>
  <c r="CP825" i="1"/>
  <c r="CQ825" i="1"/>
  <c r="G400" i="1"/>
  <c r="U400" i="1"/>
  <c r="W400" i="1"/>
  <c r="AE400" i="1"/>
  <c r="AK400" i="1"/>
  <c r="AQ400" i="1"/>
  <c r="AU400" i="1"/>
  <c r="AV400" i="1"/>
  <c r="AW400" i="1"/>
  <c r="AX400" i="1"/>
  <c r="AY400" i="1"/>
  <c r="AZ400" i="1"/>
  <c r="BA400" i="1"/>
  <c r="BC400" i="1"/>
  <c r="BD400" i="1"/>
  <c r="BE400" i="1"/>
  <c r="BF400" i="1"/>
  <c r="BG400" i="1"/>
  <c r="BH400" i="1"/>
  <c r="BI400" i="1"/>
  <c r="BJ400" i="1"/>
  <c r="BM400" i="1"/>
  <c r="CA400" i="1"/>
  <c r="CN400" i="1"/>
  <c r="CO400" i="1"/>
  <c r="CP400" i="1"/>
  <c r="CQ400" i="1"/>
  <c r="G826" i="1"/>
  <c r="U826" i="1"/>
  <c r="W826" i="1"/>
  <c r="AE826" i="1"/>
  <c r="AK826" i="1"/>
  <c r="AQ826" i="1"/>
  <c r="AU826" i="1"/>
  <c r="AV826" i="1"/>
  <c r="AW826" i="1"/>
  <c r="AX826" i="1"/>
  <c r="AY826" i="1"/>
  <c r="AZ826" i="1"/>
  <c r="BA826" i="1"/>
  <c r="BC826" i="1"/>
  <c r="BD826" i="1"/>
  <c r="BE826" i="1"/>
  <c r="BF826" i="1"/>
  <c r="BG826" i="1"/>
  <c r="BH826" i="1"/>
  <c r="BI826" i="1"/>
  <c r="BJ826" i="1"/>
  <c r="BM826" i="1"/>
  <c r="CA826" i="1"/>
  <c r="CN826" i="1"/>
  <c r="CO826" i="1"/>
  <c r="CP826" i="1"/>
  <c r="CQ826" i="1"/>
  <c r="G827" i="1"/>
  <c r="U827" i="1"/>
  <c r="W827" i="1"/>
  <c r="AE827" i="1"/>
  <c r="AK827" i="1"/>
  <c r="AQ827" i="1"/>
  <c r="AU827" i="1"/>
  <c r="AV827" i="1"/>
  <c r="AW827" i="1"/>
  <c r="AX827" i="1"/>
  <c r="AY827" i="1"/>
  <c r="AZ827" i="1"/>
  <c r="BA827" i="1"/>
  <c r="BC827" i="1"/>
  <c r="BD827" i="1"/>
  <c r="BE827" i="1"/>
  <c r="BF827" i="1"/>
  <c r="BG827" i="1"/>
  <c r="BH827" i="1"/>
  <c r="BI827" i="1"/>
  <c r="BJ827" i="1"/>
  <c r="BM827" i="1"/>
  <c r="CA827" i="1"/>
  <c r="CN827" i="1"/>
  <c r="CO827" i="1"/>
  <c r="CP827" i="1"/>
  <c r="CQ827" i="1"/>
  <c r="G1920" i="1"/>
  <c r="U1920" i="1"/>
  <c r="W1920" i="1"/>
  <c r="AE1920" i="1"/>
  <c r="AK1920" i="1"/>
  <c r="AQ1920" i="1"/>
  <c r="AU1920" i="1"/>
  <c r="AV1920" i="1"/>
  <c r="AW1920" i="1"/>
  <c r="AX1920" i="1"/>
  <c r="AY1920" i="1"/>
  <c r="AZ1920" i="1"/>
  <c r="BA1920" i="1"/>
  <c r="BC1920" i="1"/>
  <c r="BD1920" i="1"/>
  <c r="BE1920" i="1"/>
  <c r="BF1920" i="1"/>
  <c r="BG1920" i="1"/>
  <c r="BH1920" i="1"/>
  <c r="BI1920" i="1"/>
  <c r="BJ1920" i="1"/>
  <c r="BM1920" i="1"/>
  <c r="CA1920" i="1"/>
  <c r="CN1920" i="1"/>
  <c r="CO1920" i="1"/>
  <c r="CP1920" i="1"/>
  <c r="CQ1920" i="1"/>
  <c r="G828" i="1"/>
  <c r="U828" i="1"/>
  <c r="W828" i="1"/>
  <c r="AE828" i="1"/>
  <c r="AK828" i="1"/>
  <c r="AQ828" i="1"/>
  <c r="AU828" i="1"/>
  <c r="AV828" i="1"/>
  <c r="AW828" i="1"/>
  <c r="AX828" i="1"/>
  <c r="AY828" i="1"/>
  <c r="AZ828" i="1"/>
  <c r="BA828" i="1"/>
  <c r="BC828" i="1"/>
  <c r="BD828" i="1"/>
  <c r="BE828" i="1"/>
  <c r="BF828" i="1"/>
  <c r="BG828" i="1"/>
  <c r="BH828" i="1"/>
  <c r="BI828" i="1"/>
  <c r="BJ828" i="1"/>
  <c r="BM828" i="1"/>
  <c r="CA828" i="1"/>
  <c r="CN828" i="1"/>
  <c r="CO828" i="1"/>
  <c r="CP828" i="1"/>
  <c r="CQ828" i="1"/>
  <c r="G1921" i="1"/>
  <c r="U1921" i="1"/>
  <c r="W1921" i="1"/>
  <c r="AE1921" i="1"/>
  <c r="AK1921" i="1"/>
  <c r="AQ1921" i="1"/>
  <c r="AU1921" i="1"/>
  <c r="AV1921" i="1"/>
  <c r="AW1921" i="1"/>
  <c r="AX1921" i="1"/>
  <c r="AY1921" i="1"/>
  <c r="AZ1921" i="1"/>
  <c r="BA1921" i="1"/>
  <c r="BC1921" i="1"/>
  <c r="BD1921" i="1"/>
  <c r="BE1921" i="1"/>
  <c r="BF1921" i="1"/>
  <c r="BG1921" i="1"/>
  <c r="BH1921" i="1"/>
  <c r="BI1921" i="1"/>
  <c r="BJ1921" i="1"/>
  <c r="BM1921" i="1"/>
  <c r="CA1921" i="1"/>
  <c r="CN1921" i="1"/>
  <c r="CO1921" i="1"/>
  <c r="CP1921" i="1"/>
  <c r="CQ1921" i="1"/>
  <c r="G1922" i="1"/>
  <c r="U1922" i="1"/>
  <c r="W1922" i="1"/>
  <c r="AE1922" i="1"/>
  <c r="AK1922" i="1"/>
  <c r="AQ1922" i="1"/>
  <c r="AU1922" i="1"/>
  <c r="AV1922" i="1"/>
  <c r="AW1922" i="1"/>
  <c r="AX1922" i="1"/>
  <c r="AY1922" i="1"/>
  <c r="AZ1922" i="1"/>
  <c r="BA1922" i="1"/>
  <c r="BC1922" i="1"/>
  <c r="BD1922" i="1"/>
  <c r="BE1922" i="1"/>
  <c r="BF1922" i="1"/>
  <c r="BG1922" i="1"/>
  <c r="BH1922" i="1"/>
  <c r="BI1922" i="1"/>
  <c r="BJ1922" i="1"/>
  <c r="BM1922" i="1"/>
  <c r="CA1922" i="1"/>
  <c r="CN1922" i="1"/>
  <c r="CO1922" i="1"/>
  <c r="CP1922" i="1"/>
  <c r="CQ1922" i="1"/>
  <c r="G401" i="1"/>
  <c r="U401" i="1"/>
  <c r="W401" i="1"/>
  <c r="AE401" i="1"/>
  <c r="AK401" i="1"/>
  <c r="AQ401" i="1"/>
  <c r="AU401" i="1"/>
  <c r="AV401" i="1"/>
  <c r="AW401" i="1"/>
  <c r="AX401" i="1"/>
  <c r="AY401" i="1"/>
  <c r="AZ401" i="1"/>
  <c r="BA401" i="1"/>
  <c r="BC401" i="1"/>
  <c r="BD401" i="1"/>
  <c r="BE401" i="1"/>
  <c r="BF401" i="1"/>
  <c r="BG401" i="1"/>
  <c r="BH401" i="1"/>
  <c r="BI401" i="1"/>
  <c r="BJ401" i="1"/>
  <c r="BM401" i="1"/>
  <c r="CA401" i="1"/>
  <c r="CN401" i="1"/>
  <c r="CO401" i="1"/>
  <c r="CP401" i="1"/>
  <c r="CQ401" i="1"/>
  <c r="G1578" i="1"/>
  <c r="U1578" i="1"/>
  <c r="W1578" i="1"/>
  <c r="AE1578" i="1"/>
  <c r="AK1578" i="1"/>
  <c r="AQ1578" i="1"/>
  <c r="AU1578" i="1"/>
  <c r="AV1578" i="1"/>
  <c r="AW1578" i="1"/>
  <c r="AX1578" i="1"/>
  <c r="AY1578" i="1"/>
  <c r="AZ1578" i="1"/>
  <c r="BA1578" i="1"/>
  <c r="BC1578" i="1"/>
  <c r="BD1578" i="1"/>
  <c r="BE1578" i="1"/>
  <c r="BF1578" i="1"/>
  <c r="BG1578" i="1"/>
  <c r="BH1578" i="1"/>
  <c r="BI1578" i="1"/>
  <c r="BJ1578" i="1"/>
  <c r="BM1578" i="1"/>
  <c r="CA1578" i="1"/>
  <c r="CN1578" i="1"/>
  <c r="CO1578" i="1"/>
  <c r="CP1578" i="1"/>
  <c r="CQ1578" i="1"/>
  <c r="G1394" i="1"/>
  <c r="U1394" i="1"/>
  <c r="W1394" i="1"/>
  <c r="AE1394" i="1"/>
  <c r="AK1394" i="1"/>
  <c r="AQ1394" i="1"/>
  <c r="AU1394" i="1"/>
  <c r="AV1394" i="1"/>
  <c r="AW1394" i="1"/>
  <c r="AX1394" i="1"/>
  <c r="AY1394" i="1"/>
  <c r="AZ1394" i="1"/>
  <c r="BA1394" i="1"/>
  <c r="BC1394" i="1"/>
  <c r="BD1394" i="1"/>
  <c r="BE1394" i="1"/>
  <c r="BF1394" i="1"/>
  <c r="BG1394" i="1"/>
  <c r="BH1394" i="1"/>
  <c r="BI1394" i="1"/>
  <c r="BJ1394" i="1"/>
  <c r="BM1394" i="1"/>
  <c r="CA1394" i="1"/>
  <c r="CN1394" i="1"/>
  <c r="CO1394" i="1"/>
  <c r="CP1394" i="1"/>
  <c r="CQ1394" i="1"/>
  <c r="G1395" i="1"/>
  <c r="U1395" i="1"/>
  <c r="W1395" i="1"/>
  <c r="AE1395" i="1"/>
  <c r="AK1395" i="1"/>
  <c r="AQ1395" i="1"/>
  <c r="AU1395" i="1"/>
  <c r="AV1395" i="1"/>
  <c r="AW1395" i="1"/>
  <c r="AX1395" i="1"/>
  <c r="AY1395" i="1"/>
  <c r="AZ1395" i="1"/>
  <c r="BA1395" i="1"/>
  <c r="BC1395" i="1"/>
  <c r="BD1395" i="1"/>
  <c r="BE1395" i="1"/>
  <c r="BF1395" i="1"/>
  <c r="BG1395" i="1"/>
  <c r="BH1395" i="1"/>
  <c r="BI1395" i="1"/>
  <c r="BJ1395" i="1"/>
  <c r="BM1395" i="1"/>
  <c r="CA1395" i="1"/>
  <c r="CN1395" i="1"/>
  <c r="CO1395" i="1"/>
  <c r="CP1395" i="1"/>
  <c r="CQ1395" i="1"/>
  <c r="G151" i="1"/>
  <c r="U151" i="1"/>
  <c r="W151" i="1"/>
  <c r="AE151" i="1"/>
  <c r="AK151" i="1"/>
  <c r="AQ151" i="1"/>
  <c r="AU151" i="1"/>
  <c r="AV151" i="1"/>
  <c r="AW151" i="1"/>
  <c r="AX151" i="1"/>
  <c r="AY151" i="1"/>
  <c r="AZ151" i="1"/>
  <c r="BA151" i="1"/>
  <c r="BC151" i="1"/>
  <c r="BD151" i="1"/>
  <c r="BE151" i="1"/>
  <c r="BF151" i="1"/>
  <c r="BG151" i="1"/>
  <c r="BH151" i="1"/>
  <c r="BI151" i="1"/>
  <c r="BJ151" i="1"/>
  <c r="BM151" i="1"/>
  <c r="CA151" i="1"/>
  <c r="CN151" i="1"/>
  <c r="CO151" i="1"/>
  <c r="CP151" i="1"/>
  <c r="CQ151" i="1"/>
  <c r="G152" i="1"/>
  <c r="U152" i="1"/>
  <c r="W152" i="1"/>
  <c r="AE152" i="1"/>
  <c r="AK152" i="1"/>
  <c r="AQ152" i="1"/>
  <c r="AU152" i="1"/>
  <c r="AV152" i="1"/>
  <c r="AW152" i="1"/>
  <c r="AX152" i="1"/>
  <c r="AY152" i="1"/>
  <c r="AZ152" i="1"/>
  <c r="BA152" i="1"/>
  <c r="BC152" i="1"/>
  <c r="BD152" i="1"/>
  <c r="BE152" i="1"/>
  <c r="BF152" i="1"/>
  <c r="BG152" i="1"/>
  <c r="BH152" i="1"/>
  <c r="BI152" i="1"/>
  <c r="BJ152" i="1"/>
  <c r="BM152" i="1"/>
  <c r="CA152" i="1"/>
  <c r="CN152" i="1"/>
  <c r="CO152" i="1"/>
  <c r="CP152" i="1"/>
  <c r="CQ152" i="1"/>
  <c r="G1923" i="1"/>
  <c r="U1923" i="1"/>
  <c r="W1923" i="1"/>
  <c r="AE1923" i="1"/>
  <c r="AK1923" i="1"/>
  <c r="AQ1923" i="1"/>
  <c r="AU1923" i="1"/>
  <c r="AV1923" i="1"/>
  <c r="AW1923" i="1"/>
  <c r="AX1923" i="1"/>
  <c r="AY1923" i="1"/>
  <c r="AZ1923" i="1"/>
  <c r="BA1923" i="1"/>
  <c r="BC1923" i="1"/>
  <c r="BD1923" i="1"/>
  <c r="BE1923" i="1"/>
  <c r="BF1923" i="1"/>
  <c r="BG1923" i="1"/>
  <c r="BH1923" i="1"/>
  <c r="BI1923" i="1"/>
  <c r="BJ1923" i="1"/>
  <c r="BM1923" i="1"/>
  <c r="CA1923" i="1"/>
  <c r="CN1923" i="1"/>
  <c r="CO1923" i="1"/>
  <c r="CP1923" i="1"/>
  <c r="CQ1923" i="1"/>
  <c r="G829" i="1"/>
  <c r="U829" i="1"/>
  <c r="W829" i="1"/>
  <c r="AE829" i="1"/>
  <c r="AK829" i="1"/>
  <c r="AQ829" i="1"/>
  <c r="AU829" i="1"/>
  <c r="AV829" i="1"/>
  <c r="AW829" i="1"/>
  <c r="AX829" i="1"/>
  <c r="AY829" i="1"/>
  <c r="AZ829" i="1"/>
  <c r="BA829" i="1"/>
  <c r="BC829" i="1"/>
  <c r="BD829" i="1"/>
  <c r="BE829" i="1"/>
  <c r="BF829" i="1"/>
  <c r="BG829" i="1"/>
  <c r="BH829" i="1"/>
  <c r="BI829" i="1"/>
  <c r="BJ829" i="1"/>
  <c r="BM829" i="1"/>
  <c r="CA829" i="1"/>
  <c r="CN829" i="1"/>
  <c r="CO829" i="1"/>
  <c r="CP829" i="1"/>
  <c r="CQ829" i="1"/>
  <c r="G830" i="1"/>
  <c r="U830" i="1"/>
  <c r="W830" i="1"/>
  <c r="AE830" i="1"/>
  <c r="AK830" i="1"/>
  <c r="AQ830" i="1"/>
  <c r="AU830" i="1"/>
  <c r="AV830" i="1"/>
  <c r="AW830" i="1"/>
  <c r="AX830" i="1"/>
  <c r="AY830" i="1"/>
  <c r="AZ830" i="1"/>
  <c r="BA830" i="1"/>
  <c r="BC830" i="1"/>
  <c r="BD830" i="1"/>
  <c r="BE830" i="1"/>
  <c r="BF830" i="1"/>
  <c r="BG830" i="1"/>
  <c r="BH830" i="1"/>
  <c r="BI830" i="1"/>
  <c r="BJ830" i="1"/>
  <c r="BM830" i="1"/>
  <c r="CA830" i="1"/>
  <c r="CN830" i="1"/>
  <c r="CO830" i="1"/>
  <c r="CP830" i="1"/>
  <c r="CQ830" i="1"/>
  <c r="G1924" i="1"/>
  <c r="U1924" i="1"/>
  <c r="W1924" i="1"/>
  <c r="AE1924" i="1"/>
  <c r="AK1924" i="1"/>
  <c r="AQ1924" i="1"/>
  <c r="AU1924" i="1"/>
  <c r="AV1924" i="1"/>
  <c r="AW1924" i="1"/>
  <c r="AX1924" i="1"/>
  <c r="AY1924" i="1"/>
  <c r="AZ1924" i="1"/>
  <c r="BA1924" i="1"/>
  <c r="BC1924" i="1"/>
  <c r="BD1924" i="1"/>
  <c r="BE1924" i="1"/>
  <c r="BF1924" i="1"/>
  <c r="BG1924" i="1"/>
  <c r="BH1924" i="1"/>
  <c r="BI1924" i="1"/>
  <c r="BJ1924" i="1"/>
  <c r="BM1924" i="1"/>
  <c r="CA1924" i="1"/>
  <c r="CN1924" i="1"/>
  <c r="CO1924" i="1"/>
  <c r="CP1924" i="1"/>
  <c r="CQ1924" i="1"/>
  <c r="G1925" i="1"/>
  <c r="U1925" i="1"/>
  <c r="W1925" i="1"/>
  <c r="AE1925" i="1"/>
  <c r="AK1925" i="1"/>
  <c r="AQ1925" i="1"/>
  <c r="AU1925" i="1"/>
  <c r="AV1925" i="1"/>
  <c r="AW1925" i="1"/>
  <c r="AX1925" i="1"/>
  <c r="AY1925" i="1"/>
  <c r="AZ1925" i="1"/>
  <c r="BA1925" i="1"/>
  <c r="BC1925" i="1"/>
  <c r="BD1925" i="1"/>
  <c r="BE1925" i="1"/>
  <c r="BF1925" i="1"/>
  <c r="BG1925" i="1"/>
  <c r="BH1925" i="1"/>
  <c r="BI1925" i="1"/>
  <c r="BJ1925" i="1"/>
  <c r="BM1925" i="1"/>
  <c r="CA1925" i="1"/>
  <c r="CN1925" i="1"/>
  <c r="CO1925" i="1"/>
  <c r="CP1925" i="1"/>
  <c r="CQ1925" i="1"/>
  <c r="G153" i="1"/>
  <c r="U153" i="1"/>
  <c r="W153" i="1"/>
  <c r="AE153" i="1"/>
  <c r="AK153" i="1"/>
  <c r="AQ153" i="1"/>
  <c r="AU153" i="1"/>
  <c r="AV153" i="1"/>
  <c r="AW153" i="1"/>
  <c r="AX153" i="1"/>
  <c r="AY153" i="1"/>
  <c r="AZ153" i="1"/>
  <c r="BA153" i="1"/>
  <c r="BC153" i="1"/>
  <c r="BD153" i="1"/>
  <c r="BE153" i="1"/>
  <c r="BF153" i="1"/>
  <c r="BG153" i="1"/>
  <c r="BH153" i="1"/>
  <c r="BI153" i="1"/>
  <c r="BJ153" i="1"/>
  <c r="BM153" i="1"/>
  <c r="CA153" i="1"/>
  <c r="CN153" i="1"/>
  <c r="CO153" i="1"/>
  <c r="CP153" i="1"/>
  <c r="CQ153" i="1"/>
  <c r="G154" i="1"/>
  <c r="U154" i="1"/>
  <c r="W154" i="1"/>
  <c r="AE154" i="1"/>
  <c r="AK154" i="1"/>
  <c r="AQ154" i="1"/>
  <c r="AU154" i="1"/>
  <c r="AV154" i="1"/>
  <c r="AW154" i="1"/>
  <c r="AX154" i="1"/>
  <c r="AY154" i="1"/>
  <c r="AZ154" i="1"/>
  <c r="BA154" i="1"/>
  <c r="BC154" i="1"/>
  <c r="BD154" i="1"/>
  <c r="BE154" i="1"/>
  <c r="BF154" i="1"/>
  <c r="BG154" i="1"/>
  <c r="BH154" i="1"/>
  <c r="BI154" i="1"/>
  <c r="BJ154" i="1"/>
  <c r="BM154" i="1"/>
  <c r="CA154" i="1"/>
  <c r="CN154" i="1"/>
  <c r="CO154" i="1"/>
  <c r="CP154" i="1"/>
  <c r="CQ154" i="1"/>
  <c r="G1926" i="1"/>
  <c r="U1926" i="1"/>
  <c r="W1926" i="1"/>
  <c r="AE1926" i="1"/>
  <c r="AK1926" i="1"/>
  <c r="AQ1926" i="1"/>
  <c r="AU1926" i="1"/>
  <c r="AV1926" i="1"/>
  <c r="AW1926" i="1"/>
  <c r="AX1926" i="1"/>
  <c r="AY1926" i="1"/>
  <c r="AZ1926" i="1"/>
  <c r="BA1926" i="1"/>
  <c r="BC1926" i="1"/>
  <c r="BD1926" i="1"/>
  <c r="BE1926" i="1"/>
  <c r="BF1926" i="1"/>
  <c r="BG1926" i="1"/>
  <c r="BH1926" i="1"/>
  <c r="BI1926" i="1"/>
  <c r="BJ1926" i="1"/>
  <c r="BM1926" i="1"/>
  <c r="CA1926" i="1"/>
  <c r="CN1926" i="1"/>
  <c r="CO1926" i="1"/>
  <c r="CP1926" i="1"/>
  <c r="CQ1926" i="1"/>
  <c r="G155" i="1"/>
  <c r="U155" i="1"/>
  <c r="W155" i="1"/>
  <c r="AE155" i="1"/>
  <c r="AK155" i="1"/>
  <c r="AQ155" i="1"/>
  <c r="AU155" i="1"/>
  <c r="AV155" i="1"/>
  <c r="AW155" i="1"/>
  <c r="AX155" i="1"/>
  <c r="AY155" i="1"/>
  <c r="AZ155" i="1"/>
  <c r="BA155" i="1"/>
  <c r="BC155" i="1"/>
  <c r="BD155" i="1"/>
  <c r="BE155" i="1"/>
  <c r="BF155" i="1"/>
  <c r="BG155" i="1"/>
  <c r="BH155" i="1"/>
  <c r="BI155" i="1"/>
  <c r="BJ155" i="1"/>
  <c r="BM155" i="1"/>
  <c r="CA155" i="1"/>
  <c r="CN155" i="1"/>
  <c r="CO155" i="1"/>
  <c r="CP155" i="1"/>
  <c r="CQ155" i="1"/>
  <c r="G1927" i="1"/>
  <c r="U1927" i="1"/>
  <c r="W1927" i="1"/>
  <c r="AE1927" i="1"/>
  <c r="AK1927" i="1"/>
  <c r="AQ1927" i="1"/>
  <c r="AU1927" i="1"/>
  <c r="AV1927" i="1"/>
  <c r="AW1927" i="1"/>
  <c r="AX1927" i="1"/>
  <c r="AY1927" i="1"/>
  <c r="AZ1927" i="1"/>
  <c r="BA1927" i="1"/>
  <c r="BC1927" i="1"/>
  <c r="BD1927" i="1"/>
  <c r="BE1927" i="1"/>
  <c r="BF1927" i="1"/>
  <c r="BG1927" i="1"/>
  <c r="BH1927" i="1"/>
  <c r="BI1927" i="1"/>
  <c r="BJ1927" i="1"/>
  <c r="BM1927" i="1"/>
  <c r="CA1927" i="1"/>
  <c r="CN1927" i="1"/>
  <c r="CO1927" i="1"/>
  <c r="CP1927" i="1"/>
  <c r="CQ1927" i="1"/>
  <c r="G1396" i="1"/>
  <c r="U1396" i="1"/>
  <c r="W1396" i="1"/>
  <c r="AE1396" i="1"/>
  <c r="AK1396" i="1"/>
  <c r="AQ1396" i="1"/>
  <c r="AU1396" i="1"/>
  <c r="AV1396" i="1"/>
  <c r="AW1396" i="1"/>
  <c r="AX1396" i="1"/>
  <c r="AY1396" i="1"/>
  <c r="AZ1396" i="1"/>
  <c r="BA1396" i="1"/>
  <c r="BC1396" i="1"/>
  <c r="BD1396" i="1"/>
  <c r="BE1396" i="1"/>
  <c r="BF1396" i="1"/>
  <c r="BG1396" i="1"/>
  <c r="BH1396" i="1"/>
  <c r="BI1396" i="1"/>
  <c r="BJ1396" i="1"/>
  <c r="BM1396" i="1"/>
  <c r="CA1396" i="1"/>
  <c r="CN1396" i="1"/>
  <c r="CO1396" i="1"/>
  <c r="CP1396" i="1"/>
  <c r="CQ1396" i="1"/>
  <c r="G831" i="1"/>
  <c r="U831" i="1"/>
  <c r="W831" i="1"/>
  <c r="AE831" i="1"/>
  <c r="AK831" i="1"/>
  <c r="AQ831" i="1"/>
  <c r="AU831" i="1"/>
  <c r="AV831" i="1"/>
  <c r="AW831" i="1"/>
  <c r="AX831" i="1"/>
  <c r="AY831" i="1"/>
  <c r="AZ831" i="1"/>
  <c r="BA831" i="1"/>
  <c r="BC831" i="1"/>
  <c r="BD831" i="1"/>
  <c r="BE831" i="1"/>
  <c r="BF831" i="1"/>
  <c r="BG831" i="1"/>
  <c r="BH831" i="1"/>
  <c r="BI831" i="1"/>
  <c r="BJ831" i="1"/>
  <c r="BM831" i="1"/>
  <c r="CA831" i="1"/>
  <c r="CN831" i="1"/>
  <c r="CO831" i="1"/>
  <c r="CP831" i="1"/>
  <c r="CQ831" i="1"/>
  <c r="G1579" i="1"/>
  <c r="U1579" i="1"/>
  <c r="W1579" i="1"/>
  <c r="AE1579" i="1"/>
  <c r="AK1579" i="1"/>
  <c r="AQ1579" i="1"/>
  <c r="AU1579" i="1"/>
  <c r="AV1579" i="1"/>
  <c r="AW1579" i="1"/>
  <c r="AX1579" i="1"/>
  <c r="AY1579" i="1"/>
  <c r="AZ1579" i="1"/>
  <c r="BA1579" i="1"/>
  <c r="BC1579" i="1"/>
  <c r="BD1579" i="1"/>
  <c r="BE1579" i="1"/>
  <c r="BF1579" i="1"/>
  <c r="BG1579" i="1"/>
  <c r="BH1579" i="1"/>
  <c r="BI1579" i="1"/>
  <c r="BJ1579" i="1"/>
  <c r="BM1579" i="1"/>
  <c r="CA1579" i="1"/>
  <c r="CN1579" i="1"/>
  <c r="CO1579" i="1"/>
  <c r="CP1579" i="1"/>
  <c r="CQ1579" i="1"/>
  <c r="G832" i="1"/>
  <c r="U832" i="1"/>
  <c r="W832" i="1"/>
  <c r="AE832" i="1"/>
  <c r="AK832" i="1"/>
  <c r="AQ832" i="1"/>
  <c r="AU832" i="1"/>
  <c r="AV832" i="1"/>
  <c r="AW832" i="1"/>
  <c r="AX832" i="1"/>
  <c r="AY832" i="1"/>
  <c r="AZ832" i="1"/>
  <c r="BA832" i="1"/>
  <c r="BC832" i="1"/>
  <c r="BD832" i="1"/>
  <c r="BE832" i="1"/>
  <c r="BF832" i="1"/>
  <c r="BG832" i="1"/>
  <c r="BH832" i="1"/>
  <c r="BI832" i="1"/>
  <c r="BJ832" i="1"/>
  <c r="BM832" i="1"/>
  <c r="CA832" i="1"/>
  <c r="CN832" i="1"/>
  <c r="CO832" i="1"/>
  <c r="CP832" i="1"/>
  <c r="CQ832" i="1"/>
  <c r="G1397" i="1"/>
  <c r="U1397" i="1"/>
  <c r="W1397" i="1"/>
  <c r="AE1397" i="1"/>
  <c r="AK1397" i="1"/>
  <c r="AQ1397" i="1"/>
  <c r="AU1397" i="1"/>
  <c r="AV1397" i="1"/>
  <c r="AW1397" i="1"/>
  <c r="AX1397" i="1"/>
  <c r="AY1397" i="1"/>
  <c r="AZ1397" i="1"/>
  <c r="BA1397" i="1"/>
  <c r="BC1397" i="1"/>
  <c r="BD1397" i="1"/>
  <c r="BE1397" i="1"/>
  <c r="BF1397" i="1"/>
  <c r="BG1397" i="1"/>
  <c r="BH1397" i="1"/>
  <c r="BI1397" i="1"/>
  <c r="BJ1397" i="1"/>
  <c r="BM1397" i="1"/>
  <c r="CA1397" i="1"/>
  <c r="CN1397" i="1"/>
  <c r="CO1397" i="1"/>
  <c r="CP1397" i="1"/>
  <c r="CQ1397" i="1"/>
  <c r="G1928" i="1"/>
  <c r="U1928" i="1"/>
  <c r="W1928" i="1"/>
  <c r="AE1928" i="1"/>
  <c r="AK1928" i="1"/>
  <c r="AQ1928" i="1"/>
  <c r="AU1928" i="1"/>
  <c r="AV1928" i="1"/>
  <c r="AW1928" i="1"/>
  <c r="AX1928" i="1"/>
  <c r="AY1928" i="1"/>
  <c r="AZ1928" i="1"/>
  <c r="BA1928" i="1"/>
  <c r="BC1928" i="1"/>
  <c r="BD1928" i="1"/>
  <c r="BE1928" i="1"/>
  <c r="BF1928" i="1"/>
  <c r="BG1928" i="1"/>
  <c r="BH1928" i="1"/>
  <c r="BI1928" i="1"/>
  <c r="BJ1928" i="1"/>
  <c r="BM1928" i="1"/>
  <c r="CA1928" i="1"/>
  <c r="CN1928" i="1"/>
  <c r="CO1928" i="1"/>
  <c r="CP1928" i="1"/>
  <c r="CQ1928" i="1"/>
  <c r="G1929" i="1"/>
  <c r="U1929" i="1"/>
  <c r="W1929" i="1"/>
  <c r="AE1929" i="1"/>
  <c r="AK1929" i="1"/>
  <c r="AQ1929" i="1"/>
  <c r="AU1929" i="1"/>
  <c r="AV1929" i="1"/>
  <c r="AW1929" i="1"/>
  <c r="AX1929" i="1"/>
  <c r="AY1929" i="1"/>
  <c r="AZ1929" i="1"/>
  <c r="BA1929" i="1"/>
  <c r="BC1929" i="1"/>
  <c r="BD1929" i="1"/>
  <c r="BE1929" i="1"/>
  <c r="BF1929" i="1"/>
  <c r="BG1929" i="1"/>
  <c r="BH1929" i="1"/>
  <c r="BI1929" i="1"/>
  <c r="BJ1929" i="1"/>
  <c r="BM1929" i="1"/>
  <c r="CA1929" i="1"/>
  <c r="CN1929" i="1"/>
  <c r="CO1929" i="1"/>
  <c r="CP1929" i="1"/>
  <c r="CQ1929" i="1"/>
  <c r="G833" i="1"/>
  <c r="U833" i="1"/>
  <c r="W833" i="1"/>
  <c r="AE833" i="1"/>
  <c r="AK833" i="1"/>
  <c r="AQ833" i="1"/>
  <c r="AU833" i="1"/>
  <c r="AV833" i="1"/>
  <c r="AW833" i="1"/>
  <c r="AX833" i="1"/>
  <c r="AY833" i="1"/>
  <c r="AZ833" i="1"/>
  <c r="BA833" i="1"/>
  <c r="BC833" i="1"/>
  <c r="BD833" i="1"/>
  <c r="BE833" i="1"/>
  <c r="BF833" i="1"/>
  <c r="BG833" i="1"/>
  <c r="BH833" i="1"/>
  <c r="BI833" i="1"/>
  <c r="BJ833" i="1"/>
  <c r="BM833" i="1"/>
  <c r="CA833" i="1"/>
  <c r="CN833" i="1"/>
  <c r="CO833" i="1"/>
  <c r="CP833" i="1"/>
  <c r="CQ833" i="1"/>
  <c r="G402" i="1"/>
  <c r="U402" i="1"/>
  <c r="W402" i="1"/>
  <c r="AE402" i="1"/>
  <c r="AK402" i="1"/>
  <c r="AQ402" i="1"/>
  <c r="AU402" i="1"/>
  <c r="AV402" i="1"/>
  <c r="AW402" i="1"/>
  <c r="AX402" i="1"/>
  <c r="AY402" i="1"/>
  <c r="AZ402" i="1"/>
  <c r="BA402" i="1"/>
  <c r="BC402" i="1"/>
  <c r="BD402" i="1"/>
  <c r="BE402" i="1"/>
  <c r="BF402" i="1"/>
  <c r="BG402" i="1"/>
  <c r="BH402" i="1"/>
  <c r="BI402" i="1"/>
  <c r="BJ402" i="1"/>
  <c r="BM402" i="1"/>
  <c r="CA402" i="1"/>
  <c r="CN402" i="1"/>
  <c r="CO402" i="1"/>
  <c r="CP402" i="1"/>
  <c r="CQ402" i="1"/>
  <c r="G1930" i="1"/>
  <c r="U1930" i="1"/>
  <c r="W1930" i="1"/>
  <c r="AE1930" i="1"/>
  <c r="AK1930" i="1"/>
  <c r="AQ1930" i="1"/>
  <c r="AU1930" i="1"/>
  <c r="AV1930" i="1"/>
  <c r="AW1930" i="1"/>
  <c r="AX1930" i="1"/>
  <c r="AY1930" i="1"/>
  <c r="AZ1930" i="1"/>
  <c r="BA1930" i="1"/>
  <c r="BC1930" i="1"/>
  <c r="BD1930" i="1"/>
  <c r="BE1930" i="1"/>
  <c r="BF1930" i="1"/>
  <c r="BG1930" i="1"/>
  <c r="BH1930" i="1"/>
  <c r="BI1930" i="1"/>
  <c r="BJ1930" i="1"/>
  <c r="BM1930" i="1"/>
  <c r="CA1930" i="1"/>
  <c r="CN1930" i="1"/>
  <c r="CO1930" i="1"/>
  <c r="CP1930" i="1"/>
  <c r="CQ1930" i="1"/>
  <c r="G403" i="1"/>
  <c r="U403" i="1"/>
  <c r="W403" i="1"/>
  <c r="AE403" i="1"/>
  <c r="AK403" i="1"/>
  <c r="AQ403" i="1"/>
  <c r="AU403" i="1"/>
  <c r="AV403" i="1"/>
  <c r="AW403" i="1"/>
  <c r="AX403" i="1"/>
  <c r="AY403" i="1"/>
  <c r="AZ403" i="1"/>
  <c r="BA403" i="1"/>
  <c r="BC403" i="1"/>
  <c r="BD403" i="1"/>
  <c r="BE403" i="1"/>
  <c r="BF403" i="1"/>
  <c r="BG403" i="1"/>
  <c r="BH403" i="1"/>
  <c r="BI403" i="1"/>
  <c r="BJ403" i="1"/>
  <c r="BM403" i="1"/>
  <c r="CA403" i="1"/>
  <c r="CN403" i="1"/>
  <c r="CO403" i="1"/>
  <c r="CP403" i="1"/>
  <c r="CQ403" i="1"/>
  <c r="G1931" i="1"/>
  <c r="U1931" i="1"/>
  <c r="W1931" i="1"/>
  <c r="AE1931" i="1"/>
  <c r="AK1931" i="1"/>
  <c r="AQ1931" i="1"/>
  <c r="AU1931" i="1"/>
  <c r="AV1931" i="1"/>
  <c r="AW1931" i="1"/>
  <c r="AX1931" i="1"/>
  <c r="AY1931" i="1"/>
  <c r="AZ1931" i="1"/>
  <c r="BA1931" i="1"/>
  <c r="BC1931" i="1"/>
  <c r="BD1931" i="1"/>
  <c r="BE1931" i="1"/>
  <c r="BF1931" i="1"/>
  <c r="BG1931" i="1"/>
  <c r="BH1931" i="1"/>
  <c r="BI1931" i="1"/>
  <c r="BJ1931" i="1"/>
  <c r="BM1931" i="1"/>
  <c r="CA1931" i="1"/>
  <c r="CN1931" i="1"/>
  <c r="CO1931" i="1"/>
  <c r="CP1931" i="1"/>
  <c r="CQ1931" i="1"/>
  <c r="G1398" i="1"/>
  <c r="U1398" i="1"/>
  <c r="W1398" i="1"/>
  <c r="AE1398" i="1"/>
  <c r="AK1398" i="1"/>
  <c r="AQ1398" i="1"/>
  <c r="AU1398" i="1"/>
  <c r="AV1398" i="1"/>
  <c r="AW1398" i="1"/>
  <c r="AX1398" i="1"/>
  <c r="AY1398" i="1"/>
  <c r="AZ1398" i="1"/>
  <c r="BA1398" i="1"/>
  <c r="BC1398" i="1"/>
  <c r="BD1398" i="1"/>
  <c r="BE1398" i="1"/>
  <c r="BF1398" i="1"/>
  <c r="BG1398" i="1"/>
  <c r="BH1398" i="1"/>
  <c r="BI1398" i="1"/>
  <c r="BJ1398" i="1"/>
  <c r="BM1398" i="1"/>
  <c r="CA1398" i="1"/>
  <c r="CN1398" i="1"/>
  <c r="CO1398" i="1"/>
  <c r="CP1398" i="1"/>
  <c r="CQ1398" i="1"/>
  <c r="G1932" i="1"/>
  <c r="U1932" i="1"/>
  <c r="W1932" i="1"/>
  <c r="AE1932" i="1"/>
  <c r="AK1932" i="1"/>
  <c r="AQ1932" i="1"/>
  <c r="AU1932" i="1"/>
  <c r="AV1932" i="1"/>
  <c r="AW1932" i="1"/>
  <c r="AX1932" i="1"/>
  <c r="AY1932" i="1"/>
  <c r="AZ1932" i="1"/>
  <c r="BA1932" i="1"/>
  <c r="BC1932" i="1"/>
  <c r="BD1932" i="1"/>
  <c r="BE1932" i="1"/>
  <c r="BF1932" i="1"/>
  <c r="BG1932" i="1"/>
  <c r="BH1932" i="1"/>
  <c r="BI1932" i="1"/>
  <c r="BJ1932" i="1"/>
  <c r="BM1932" i="1"/>
  <c r="CA1932" i="1"/>
  <c r="CN1932" i="1"/>
  <c r="CO1932" i="1"/>
  <c r="CP1932" i="1"/>
  <c r="CQ1932" i="1"/>
  <c r="G834" i="1"/>
  <c r="U834" i="1"/>
  <c r="W834" i="1"/>
  <c r="AE834" i="1"/>
  <c r="AK834" i="1"/>
  <c r="AQ834" i="1"/>
  <c r="AU834" i="1"/>
  <c r="AV834" i="1"/>
  <c r="AW834" i="1"/>
  <c r="AX834" i="1"/>
  <c r="AY834" i="1"/>
  <c r="AZ834" i="1"/>
  <c r="BA834" i="1"/>
  <c r="BC834" i="1"/>
  <c r="BD834" i="1"/>
  <c r="BE834" i="1"/>
  <c r="BF834" i="1"/>
  <c r="BG834" i="1"/>
  <c r="BH834" i="1"/>
  <c r="BI834" i="1"/>
  <c r="BJ834" i="1"/>
  <c r="BM834" i="1"/>
  <c r="CA834" i="1"/>
  <c r="CN834" i="1"/>
  <c r="CO834" i="1"/>
  <c r="CP834" i="1"/>
  <c r="CQ834" i="1"/>
  <c r="G156" i="1"/>
  <c r="U156" i="1"/>
  <c r="W156" i="1"/>
  <c r="AE156" i="1"/>
  <c r="AK156" i="1"/>
  <c r="AQ156" i="1"/>
  <c r="AU156" i="1"/>
  <c r="AV156" i="1"/>
  <c r="AW156" i="1"/>
  <c r="AX156" i="1"/>
  <c r="AY156" i="1"/>
  <c r="AZ156" i="1"/>
  <c r="BA156" i="1"/>
  <c r="BC156" i="1"/>
  <c r="BD156" i="1"/>
  <c r="BE156" i="1"/>
  <c r="BF156" i="1"/>
  <c r="BG156" i="1"/>
  <c r="BH156" i="1"/>
  <c r="BI156" i="1"/>
  <c r="BJ156" i="1"/>
  <c r="BM156" i="1"/>
  <c r="CA156" i="1"/>
  <c r="CN156" i="1"/>
  <c r="CO156" i="1"/>
  <c r="CP156" i="1"/>
  <c r="CQ156" i="1"/>
  <c r="G1933" i="1"/>
  <c r="U1933" i="1"/>
  <c r="W1933" i="1"/>
  <c r="AE1933" i="1"/>
  <c r="AK1933" i="1"/>
  <c r="AQ1933" i="1"/>
  <c r="AU1933" i="1"/>
  <c r="AV1933" i="1"/>
  <c r="AW1933" i="1"/>
  <c r="AX1933" i="1"/>
  <c r="AY1933" i="1"/>
  <c r="AZ1933" i="1"/>
  <c r="BA1933" i="1"/>
  <c r="BC1933" i="1"/>
  <c r="BD1933" i="1"/>
  <c r="BE1933" i="1"/>
  <c r="BF1933" i="1"/>
  <c r="BG1933" i="1"/>
  <c r="BH1933" i="1"/>
  <c r="BI1933" i="1"/>
  <c r="BJ1933" i="1"/>
  <c r="BM1933" i="1"/>
  <c r="CA1933" i="1"/>
  <c r="CN1933" i="1"/>
  <c r="CO1933" i="1"/>
  <c r="CP1933" i="1"/>
  <c r="CQ1933" i="1"/>
  <c r="G835" i="1"/>
  <c r="U835" i="1"/>
  <c r="W835" i="1"/>
  <c r="AE835" i="1"/>
  <c r="AK835" i="1"/>
  <c r="AQ835" i="1"/>
  <c r="AU835" i="1"/>
  <c r="AV835" i="1"/>
  <c r="AW835" i="1"/>
  <c r="AX835" i="1"/>
  <c r="AY835" i="1"/>
  <c r="AZ835" i="1"/>
  <c r="BA835" i="1"/>
  <c r="BC835" i="1"/>
  <c r="BD835" i="1"/>
  <c r="BE835" i="1"/>
  <c r="BF835" i="1"/>
  <c r="BG835" i="1"/>
  <c r="BH835" i="1"/>
  <c r="BI835" i="1"/>
  <c r="BJ835" i="1"/>
  <c r="BM835" i="1"/>
  <c r="CA835" i="1"/>
  <c r="CN835" i="1"/>
  <c r="CO835" i="1"/>
  <c r="CP835" i="1"/>
  <c r="CQ835" i="1"/>
  <c r="G836" i="1"/>
  <c r="U836" i="1"/>
  <c r="W836" i="1"/>
  <c r="AE836" i="1"/>
  <c r="AK836" i="1"/>
  <c r="AQ836" i="1"/>
  <c r="AU836" i="1"/>
  <c r="AV836" i="1"/>
  <c r="AW836" i="1"/>
  <c r="AX836" i="1"/>
  <c r="AY836" i="1"/>
  <c r="AZ836" i="1"/>
  <c r="BA836" i="1"/>
  <c r="BC836" i="1"/>
  <c r="BD836" i="1"/>
  <c r="BE836" i="1"/>
  <c r="BF836" i="1"/>
  <c r="BG836" i="1"/>
  <c r="BH836" i="1"/>
  <c r="BI836" i="1"/>
  <c r="BJ836" i="1"/>
  <c r="BM836" i="1"/>
  <c r="CA836" i="1"/>
  <c r="CN836" i="1"/>
  <c r="CO836" i="1"/>
  <c r="CP836" i="1"/>
  <c r="CQ836" i="1"/>
  <c r="G1399" i="1"/>
  <c r="U1399" i="1"/>
  <c r="W1399" i="1"/>
  <c r="AE1399" i="1"/>
  <c r="AK1399" i="1"/>
  <c r="AQ1399" i="1"/>
  <c r="AU1399" i="1"/>
  <c r="AV1399" i="1"/>
  <c r="AW1399" i="1"/>
  <c r="AX1399" i="1"/>
  <c r="AY1399" i="1"/>
  <c r="AZ1399" i="1"/>
  <c r="BA1399" i="1"/>
  <c r="BC1399" i="1"/>
  <c r="BD1399" i="1"/>
  <c r="BE1399" i="1"/>
  <c r="BF1399" i="1"/>
  <c r="BG1399" i="1"/>
  <c r="BH1399" i="1"/>
  <c r="BI1399" i="1"/>
  <c r="BJ1399" i="1"/>
  <c r="BM1399" i="1"/>
  <c r="CA1399" i="1"/>
  <c r="CN1399" i="1"/>
  <c r="CO1399" i="1"/>
  <c r="CP1399" i="1"/>
  <c r="CQ1399" i="1"/>
  <c r="G837" i="1"/>
  <c r="U837" i="1"/>
  <c r="W837" i="1"/>
  <c r="AE837" i="1"/>
  <c r="AK837" i="1"/>
  <c r="AQ837" i="1"/>
  <c r="AU837" i="1"/>
  <c r="AV837" i="1"/>
  <c r="AW837" i="1"/>
  <c r="AX837" i="1"/>
  <c r="AY837" i="1"/>
  <c r="AZ837" i="1"/>
  <c r="BA837" i="1"/>
  <c r="BC837" i="1"/>
  <c r="BD837" i="1"/>
  <c r="BE837" i="1"/>
  <c r="BF837" i="1"/>
  <c r="BG837" i="1"/>
  <c r="BH837" i="1"/>
  <c r="BI837" i="1"/>
  <c r="BJ837" i="1"/>
  <c r="BM837" i="1"/>
  <c r="CA837" i="1"/>
  <c r="CN837" i="1"/>
  <c r="CO837" i="1"/>
  <c r="CP837" i="1"/>
  <c r="CQ837" i="1"/>
  <c r="G404" i="1"/>
  <c r="U404" i="1"/>
  <c r="W404" i="1"/>
  <c r="AE404" i="1"/>
  <c r="AK404" i="1"/>
  <c r="AQ404" i="1"/>
  <c r="AU404" i="1"/>
  <c r="AV404" i="1"/>
  <c r="AW404" i="1"/>
  <c r="AX404" i="1"/>
  <c r="AY404" i="1"/>
  <c r="AZ404" i="1"/>
  <c r="BA404" i="1"/>
  <c r="BC404" i="1"/>
  <c r="BD404" i="1"/>
  <c r="BE404" i="1"/>
  <c r="BF404" i="1"/>
  <c r="BG404" i="1"/>
  <c r="BH404" i="1"/>
  <c r="BI404" i="1"/>
  <c r="BJ404" i="1"/>
  <c r="BM404" i="1"/>
  <c r="CA404" i="1"/>
  <c r="CN404" i="1"/>
  <c r="CO404" i="1"/>
  <c r="CP404" i="1"/>
  <c r="CQ404" i="1"/>
  <c r="G405" i="1"/>
  <c r="U405" i="1"/>
  <c r="W405" i="1"/>
  <c r="AE405" i="1"/>
  <c r="AK405" i="1"/>
  <c r="AQ405" i="1"/>
  <c r="AU405" i="1"/>
  <c r="AV405" i="1"/>
  <c r="AW405" i="1"/>
  <c r="AX405" i="1"/>
  <c r="AY405" i="1"/>
  <c r="AZ405" i="1"/>
  <c r="BA405" i="1"/>
  <c r="BC405" i="1"/>
  <c r="BD405" i="1"/>
  <c r="BE405" i="1"/>
  <c r="BF405" i="1"/>
  <c r="BG405" i="1"/>
  <c r="BH405" i="1"/>
  <c r="BI405" i="1"/>
  <c r="BJ405" i="1"/>
  <c r="BM405" i="1"/>
  <c r="CA405" i="1"/>
  <c r="CN405" i="1"/>
  <c r="CO405" i="1"/>
  <c r="CP405" i="1"/>
  <c r="CQ405" i="1"/>
  <c r="G838" i="1"/>
  <c r="U838" i="1"/>
  <c r="W838" i="1"/>
  <c r="AE838" i="1"/>
  <c r="AK838" i="1"/>
  <c r="AQ838" i="1"/>
  <c r="AU838" i="1"/>
  <c r="AV838" i="1"/>
  <c r="AW838" i="1"/>
  <c r="AX838" i="1"/>
  <c r="AY838" i="1"/>
  <c r="AZ838" i="1"/>
  <c r="BA838" i="1"/>
  <c r="BC838" i="1"/>
  <c r="BD838" i="1"/>
  <c r="BE838" i="1"/>
  <c r="BF838" i="1"/>
  <c r="BG838" i="1"/>
  <c r="BH838" i="1"/>
  <c r="BI838" i="1"/>
  <c r="BJ838" i="1"/>
  <c r="BM838" i="1"/>
  <c r="CA838" i="1"/>
  <c r="CN838" i="1"/>
  <c r="CO838" i="1"/>
  <c r="CP838" i="1"/>
  <c r="CQ838" i="1"/>
  <c r="G1934" i="1"/>
  <c r="U1934" i="1"/>
  <c r="W1934" i="1"/>
  <c r="AE1934" i="1"/>
  <c r="AK1934" i="1"/>
  <c r="AQ1934" i="1"/>
  <c r="AU1934" i="1"/>
  <c r="AV1934" i="1"/>
  <c r="AW1934" i="1"/>
  <c r="AX1934" i="1"/>
  <c r="AY1934" i="1"/>
  <c r="AZ1934" i="1"/>
  <c r="BA1934" i="1"/>
  <c r="BC1934" i="1"/>
  <c r="BD1934" i="1"/>
  <c r="BE1934" i="1"/>
  <c r="BF1934" i="1"/>
  <c r="BG1934" i="1"/>
  <c r="BH1934" i="1"/>
  <c r="BI1934" i="1"/>
  <c r="BJ1934" i="1"/>
  <c r="BM1934" i="1"/>
  <c r="CA1934" i="1"/>
  <c r="CN1934" i="1"/>
  <c r="CO1934" i="1"/>
  <c r="CP1934" i="1"/>
  <c r="CQ1934" i="1"/>
  <c r="G1935" i="1"/>
  <c r="U1935" i="1"/>
  <c r="W1935" i="1"/>
  <c r="AE1935" i="1"/>
  <c r="AK1935" i="1"/>
  <c r="AQ1935" i="1"/>
  <c r="AU1935" i="1"/>
  <c r="AV1935" i="1"/>
  <c r="AW1935" i="1"/>
  <c r="AX1935" i="1"/>
  <c r="AY1935" i="1"/>
  <c r="AZ1935" i="1"/>
  <c r="BA1935" i="1"/>
  <c r="BC1935" i="1"/>
  <c r="BD1935" i="1"/>
  <c r="BE1935" i="1"/>
  <c r="BF1935" i="1"/>
  <c r="BG1935" i="1"/>
  <c r="BH1935" i="1"/>
  <c r="BI1935" i="1"/>
  <c r="BJ1935" i="1"/>
  <c r="BM1935" i="1"/>
  <c r="CA1935" i="1"/>
  <c r="CN1935" i="1"/>
  <c r="CO1935" i="1"/>
  <c r="CP1935" i="1"/>
  <c r="CQ1935" i="1"/>
  <c r="G157" i="1"/>
  <c r="U157" i="1"/>
  <c r="W157" i="1"/>
  <c r="AE157" i="1"/>
  <c r="AK157" i="1"/>
  <c r="AQ157" i="1"/>
  <c r="AU157" i="1"/>
  <c r="AV157" i="1"/>
  <c r="AW157" i="1"/>
  <c r="AX157" i="1"/>
  <c r="AY157" i="1"/>
  <c r="AZ157" i="1"/>
  <c r="BA157" i="1"/>
  <c r="BC157" i="1"/>
  <c r="BD157" i="1"/>
  <c r="BE157" i="1"/>
  <c r="BF157" i="1"/>
  <c r="BG157" i="1"/>
  <c r="BH157" i="1"/>
  <c r="BI157" i="1"/>
  <c r="BJ157" i="1"/>
  <c r="BM157" i="1"/>
  <c r="CA157" i="1"/>
  <c r="CN157" i="1"/>
  <c r="CO157" i="1"/>
  <c r="CP157" i="1"/>
  <c r="CQ157" i="1"/>
  <c r="G839" i="1"/>
  <c r="U839" i="1"/>
  <c r="W839" i="1"/>
  <c r="AE839" i="1"/>
  <c r="AK839" i="1"/>
  <c r="AQ839" i="1"/>
  <c r="AU839" i="1"/>
  <c r="AV839" i="1"/>
  <c r="AW839" i="1"/>
  <c r="AX839" i="1"/>
  <c r="AY839" i="1"/>
  <c r="AZ839" i="1"/>
  <c r="BA839" i="1"/>
  <c r="BC839" i="1"/>
  <c r="BD839" i="1"/>
  <c r="BE839" i="1"/>
  <c r="BF839" i="1"/>
  <c r="BG839" i="1"/>
  <c r="BH839" i="1"/>
  <c r="BI839" i="1"/>
  <c r="BJ839" i="1"/>
  <c r="BM839" i="1"/>
  <c r="CA839" i="1"/>
  <c r="CN839" i="1"/>
  <c r="CO839" i="1"/>
  <c r="CP839" i="1"/>
  <c r="CQ839" i="1"/>
  <c r="G840" i="1"/>
  <c r="U840" i="1"/>
  <c r="W840" i="1"/>
  <c r="AE840" i="1"/>
  <c r="AK840" i="1"/>
  <c r="AQ840" i="1"/>
  <c r="AU840" i="1"/>
  <c r="AV840" i="1"/>
  <c r="AW840" i="1"/>
  <c r="AX840" i="1"/>
  <c r="AY840" i="1"/>
  <c r="AZ840" i="1"/>
  <c r="BA840" i="1"/>
  <c r="BC840" i="1"/>
  <c r="BD840" i="1"/>
  <c r="BE840" i="1"/>
  <c r="BF840" i="1"/>
  <c r="BG840" i="1"/>
  <c r="BH840" i="1"/>
  <c r="BI840" i="1"/>
  <c r="BJ840" i="1"/>
  <c r="BM840" i="1"/>
  <c r="CA840" i="1"/>
  <c r="CN840" i="1"/>
  <c r="CO840" i="1"/>
  <c r="CP840" i="1"/>
  <c r="CQ840" i="1"/>
  <c r="G158" i="1"/>
  <c r="U158" i="1"/>
  <c r="W158" i="1"/>
  <c r="AE158" i="1"/>
  <c r="AK158" i="1"/>
  <c r="AQ158" i="1"/>
  <c r="AU158" i="1"/>
  <c r="AV158" i="1"/>
  <c r="AW158" i="1"/>
  <c r="AX158" i="1"/>
  <c r="AY158" i="1"/>
  <c r="AZ158" i="1"/>
  <c r="BA158" i="1"/>
  <c r="BC158" i="1"/>
  <c r="BD158" i="1"/>
  <c r="BE158" i="1"/>
  <c r="BF158" i="1"/>
  <c r="BG158" i="1"/>
  <c r="BH158" i="1"/>
  <c r="BI158" i="1"/>
  <c r="BJ158" i="1"/>
  <c r="BM158" i="1"/>
  <c r="CA158" i="1"/>
  <c r="CN158" i="1"/>
  <c r="CO158" i="1"/>
  <c r="CP158" i="1"/>
  <c r="CQ158" i="1"/>
  <c r="G841" i="1"/>
  <c r="U841" i="1"/>
  <c r="W841" i="1"/>
  <c r="AE841" i="1"/>
  <c r="AK841" i="1"/>
  <c r="AQ841" i="1"/>
  <c r="AU841" i="1"/>
  <c r="AV841" i="1"/>
  <c r="AW841" i="1"/>
  <c r="AX841" i="1"/>
  <c r="AY841" i="1"/>
  <c r="AZ841" i="1"/>
  <c r="BA841" i="1"/>
  <c r="BC841" i="1"/>
  <c r="BD841" i="1"/>
  <c r="BE841" i="1"/>
  <c r="BF841" i="1"/>
  <c r="BG841" i="1"/>
  <c r="BH841" i="1"/>
  <c r="BI841" i="1"/>
  <c r="BJ841" i="1"/>
  <c r="BM841" i="1"/>
  <c r="CA841" i="1"/>
  <c r="CN841" i="1"/>
  <c r="CO841" i="1"/>
  <c r="CP841" i="1"/>
  <c r="CQ841" i="1"/>
  <c r="G1936" i="1"/>
  <c r="U1936" i="1"/>
  <c r="W1936" i="1"/>
  <c r="AE1936" i="1"/>
  <c r="AK1936" i="1"/>
  <c r="AQ1936" i="1"/>
  <c r="AU1936" i="1"/>
  <c r="AV1936" i="1"/>
  <c r="AW1936" i="1"/>
  <c r="AX1936" i="1"/>
  <c r="AY1936" i="1"/>
  <c r="AZ1936" i="1"/>
  <c r="BA1936" i="1"/>
  <c r="BC1936" i="1"/>
  <c r="BD1936" i="1"/>
  <c r="BE1936" i="1"/>
  <c r="BF1936" i="1"/>
  <c r="BG1936" i="1"/>
  <c r="BH1936" i="1"/>
  <c r="BI1936" i="1"/>
  <c r="BJ1936" i="1"/>
  <c r="BM1936" i="1"/>
  <c r="CA1936" i="1"/>
  <c r="CN1936" i="1"/>
  <c r="CO1936" i="1"/>
  <c r="CP1936" i="1"/>
  <c r="CQ1936" i="1"/>
  <c r="G1937" i="1"/>
  <c r="U1937" i="1"/>
  <c r="W1937" i="1"/>
  <c r="AE1937" i="1"/>
  <c r="AK1937" i="1"/>
  <c r="AQ1937" i="1"/>
  <c r="AU1937" i="1"/>
  <c r="AV1937" i="1"/>
  <c r="AW1937" i="1"/>
  <c r="AX1937" i="1"/>
  <c r="AY1937" i="1"/>
  <c r="AZ1937" i="1"/>
  <c r="BA1937" i="1"/>
  <c r="BC1937" i="1"/>
  <c r="BD1937" i="1"/>
  <c r="BE1937" i="1"/>
  <c r="BF1937" i="1"/>
  <c r="BG1937" i="1"/>
  <c r="BH1937" i="1"/>
  <c r="BI1937" i="1"/>
  <c r="BJ1937" i="1"/>
  <c r="BM1937" i="1"/>
  <c r="CA1937" i="1"/>
  <c r="CN1937" i="1"/>
  <c r="CO1937" i="1"/>
  <c r="CP1937" i="1"/>
  <c r="CQ1937" i="1"/>
  <c r="G842" i="1"/>
  <c r="U842" i="1"/>
  <c r="W842" i="1"/>
  <c r="AE842" i="1"/>
  <c r="AK842" i="1"/>
  <c r="AQ842" i="1"/>
  <c r="AU842" i="1"/>
  <c r="AV842" i="1"/>
  <c r="AW842" i="1"/>
  <c r="AX842" i="1"/>
  <c r="AY842" i="1"/>
  <c r="AZ842" i="1"/>
  <c r="BA842" i="1"/>
  <c r="BC842" i="1"/>
  <c r="BD842" i="1"/>
  <c r="BE842" i="1"/>
  <c r="BF842" i="1"/>
  <c r="BG842" i="1"/>
  <c r="BH842" i="1"/>
  <c r="BI842" i="1"/>
  <c r="BJ842" i="1"/>
  <c r="BM842" i="1"/>
  <c r="CA842" i="1"/>
  <c r="CN842" i="1"/>
  <c r="CO842" i="1"/>
  <c r="CP842" i="1"/>
  <c r="CQ842" i="1"/>
  <c r="G1400" i="1"/>
  <c r="U1400" i="1"/>
  <c r="W1400" i="1"/>
  <c r="AE1400" i="1"/>
  <c r="AK1400" i="1"/>
  <c r="AQ1400" i="1"/>
  <c r="AU1400" i="1"/>
  <c r="AV1400" i="1"/>
  <c r="AW1400" i="1"/>
  <c r="AX1400" i="1"/>
  <c r="AY1400" i="1"/>
  <c r="AZ1400" i="1"/>
  <c r="BA1400" i="1"/>
  <c r="BC1400" i="1"/>
  <c r="BD1400" i="1"/>
  <c r="BE1400" i="1"/>
  <c r="BF1400" i="1"/>
  <c r="BG1400" i="1"/>
  <c r="BH1400" i="1"/>
  <c r="BI1400" i="1"/>
  <c r="BJ1400" i="1"/>
  <c r="BM1400" i="1"/>
  <c r="CA1400" i="1"/>
  <c r="CN1400" i="1"/>
  <c r="CO1400" i="1"/>
  <c r="CP1400" i="1"/>
  <c r="CQ1400" i="1"/>
  <c r="G843" i="1"/>
  <c r="U843" i="1"/>
  <c r="W843" i="1"/>
  <c r="AE843" i="1"/>
  <c r="AK843" i="1"/>
  <c r="AQ843" i="1"/>
  <c r="AU843" i="1"/>
  <c r="AV843" i="1"/>
  <c r="AW843" i="1"/>
  <c r="AX843" i="1"/>
  <c r="AY843" i="1"/>
  <c r="AZ843" i="1"/>
  <c r="BA843" i="1"/>
  <c r="BC843" i="1"/>
  <c r="BD843" i="1"/>
  <c r="BE843" i="1"/>
  <c r="BF843" i="1"/>
  <c r="BG843" i="1"/>
  <c r="BH843" i="1"/>
  <c r="BI843" i="1"/>
  <c r="BJ843" i="1"/>
  <c r="BM843" i="1"/>
  <c r="CA843" i="1"/>
  <c r="CN843" i="1"/>
  <c r="CO843" i="1"/>
  <c r="CP843" i="1"/>
  <c r="CQ843" i="1"/>
  <c r="G159" i="1"/>
  <c r="U159" i="1"/>
  <c r="W159" i="1"/>
  <c r="AE159" i="1"/>
  <c r="AK159" i="1"/>
  <c r="AQ159" i="1"/>
  <c r="AU159" i="1"/>
  <c r="AV159" i="1"/>
  <c r="AW159" i="1"/>
  <c r="AX159" i="1"/>
  <c r="AY159" i="1"/>
  <c r="AZ159" i="1"/>
  <c r="BA159" i="1"/>
  <c r="BC159" i="1"/>
  <c r="BD159" i="1"/>
  <c r="BE159" i="1"/>
  <c r="BF159" i="1"/>
  <c r="BG159" i="1"/>
  <c r="BH159" i="1"/>
  <c r="BI159" i="1"/>
  <c r="BJ159" i="1"/>
  <c r="BM159" i="1"/>
  <c r="CA159" i="1"/>
  <c r="CN159" i="1"/>
  <c r="CO159" i="1"/>
  <c r="CP159" i="1"/>
  <c r="CQ159" i="1"/>
  <c r="G406" i="1"/>
  <c r="U406" i="1"/>
  <c r="W406" i="1"/>
  <c r="AE406" i="1"/>
  <c r="AK406" i="1"/>
  <c r="AQ406" i="1"/>
  <c r="AU406" i="1"/>
  <c r="AV406" i="1"/>
  <c r="AW406" i="1"/>
  <c r="AX406" i="1"/>
  <c r="AY406" i="1"/>
  <c r="AZ406" i="1"/>
  <c r="BA406" i="1"/>
  <c r="BC406" i="1"/>
  <c r="BD406" i="1"/>
  <c r="BE406" i="1"/>
  <c r="BF406" i="1"/>
  <c r="BG406" i="1"/>
  <c r="BH406" i="1"/>
  <c r="BI406" i="1"/>
  <c r="BJ406" i="1"/>
  <c r="BM406" i="1"/>
  <c r="CA406" i="1"/>
  <c r="CN406" i="1"/>
  <c r="CO406" i="1"/>
  <c r="CP406" i="1"/>
  <c r="CQ406" i="1"/>
  <c r="G1938" i="1"/>
  <c r="U1938" i="1"/>
  <c r="W1938" i="1"/>
  <c r="AE1938" i="1"/>
  <c r="AK1938" i="1"/>
  <c r="AQ1938" i="1"/>
  <c r="AU1938" i="1"/>
  <c r="AV1938" i="1"/>
  <c r="AW1938" i="1"/>
  <c r="AX1938" i="1"/>
  <c r="AY1938" i="1"/>
  <c r="AZ1938" i="1"/>
  <c r="BA1938" i="1"/>
  <c r="BC1938" i="1"/>
  <c r="BD1938" i="1"/>
  <c r="BE1938" i="1"/>
  <c r="BF1938" i="1"/>
  <c r="BG1938" i="1"/>
  <c r="BH1938" i="1"/>
  <c r="BI1938" i="1"/>
  <c r="BJ1938" i="1"/>
  <c r="BM1938" i="1"/>
  <c r="CA1938" i="1"/>
  <c r="CN1938" i="1"/>
  <c r="CO1938" i="1"/>
  <c r="CP1938" i="1"/>
  <c r="CQ1938" i="1"/>
  <c r="G160" i="1"/>
  <c r="U160" i="1"/>
  <c r="W160" i="1"/>
  <c r="AE160" i="1"/>
  <c r="AK160" i="1"/>
  <c r="AQ160" i="1"/>
  <c r="AU160" i="1"/>
  <c r="AV160" i="1"/>
  <c r="AW160" i="1"/>
  <c r="AX160" i="1"/>
  <c r="AY160" i="1"/>
  <c r="AZ160" i="1"/>
  <c r="BA160" i="1"/>
  <c r="BC160" i="1"/>
  <c r="BD160" i="1"/>
  <c r="BE160" i="1"/>
  <c r="BF160" i="1"/>
  <c r="BG160" i="1"/>
  <c r="BH160" i="1"/>
  <c r="BI160" i="1"/>
  <c r="BJ160" i="1"/>
  <c r="BM160" i="1"/>
  <c r="CA160" i="1"/>
  <c r="CN160" i="1"/>
  <c r="CO160" i="1"/>
  <c r="CP160" i="1"/>
  <c r="CQ160" i="1"/>
  <c r="G844" i="1"/>
  <c r="U844" i="1"/>
  <c r="W844" i="1"/>
  <c r="AE844" i="1"/>
  <c r="AK844" i="1"/>
  <c r="AQ844" i="1"/>
  <c r="AU844" i="1"/>
  <c r="AV844" i="1"/>
  <c r="AW844" i="1"/>
  <c r="AX844" i="1"/>
  <c r="AY844" i="1"/>
  <c r="AZ844" i="1"/>
  <c r="BA844" i="1"/>
  <c r="BC844" i="1"/>
  <c r="BD844" i="1"/>
  <c r="BE844" i="1"/>
  <c r="BF844" i="1"/>
  <c r="BG844" i="1"/>
  <c r="BH844" i="1"/>
  <c r="BI844" i="1"/>
  <c r="BJ844" i="1"/>
  <c r="BM844" i="1"/>
  <c r="CA844" i="1"/>
  <c r="CN844" i="1"/>
  <c r="CO844" i="1"/>
  <c r="CP844" i="1"/>
  <c r="CQ844" i="1"/>
  <c r="G407" i="1"/>
  <c r="U407" i="1"/>
  <c r="W407" i="1"/>
  <c r="AE407" i="1"/>
  <c r="AK407" i="1"/>
  <c r="AQ407" i="1"/>
  <c r="AU407" i="1"/>
  <c r="AV407" i="1"/>
  <c r="AW407" i="1"/>
  <c r="AX407" i="1"/>
  <c r="AY407" i="1"/>
  <c r="AZ407" i="1"/>
  <c r="BA407" i="1"/>
  <c r="BC407" i="1"/>
  <c r="BD407" i="1"/>
  <c r="BE407" i="1"/>
  <c r="BF407" i="1"/>
  <c r="BG407" i="1"/>
  <c r="BH407" i="1"/>
  <c r="BI407" i="1"/>
  <c r="BJ407" i="1"/>
  <c r="BM407" i="1"/>
  <c r="CA407" i="1"/>
  <c r="CN407" i="1"/>
  <c r="CO407" i="1"/>
  <c r="CP407" i="1"/>
  <c r="CQ407" i="1"/>
  <c r="G161" i="1"/>
  <c r="U161" i="1"/>
  <c r="W161" i="1"/>
  <c r="AE161" i="1"/>
  <c r="AK161" i="1"/>
  <c r="AQ161" i="1"/>
  <c r="AU161" i="1"/>
  <c r="AV161" i="1"/>
  <c r="AW161" i="1"/>
  <c r="AX161" i="1"/>
  <c r="AY161" i="1"/>
  <c r="AZ161" i="1"/>
  <c r="BA161" i="1"/>
  <c r="BC161" i="1"/>
  <c r="BD161" i="1"/>
  <c r="BE161" i="1"/>
  <c r="BF161" i="1"/>
  <c r="BG161" i="1"/>
  <c r="BH161" i="1"/>
  <c r="BI161" i="1"/>
  <c r="BJ161" i="1"/>
  <c r="BM161" i="1"/>
  <c r="CA161" i="1"/>
  <c r="CN161" i="1"/>
  <c r="CO161" i="1"/>
  <c r="CP161" i="1"/>
  <c r="CQ161" i="1"/>
  <c r="G1939" i="1"/>
  <c r="U1939" i="1"/>
  <c r="W1939" i="1"/>
  <c r="AE1939" i="1"/>
  <c r="AK1939" i="1"/>
  <c r="AQ1939" i="1"/>
  <c r="AU1939" i="1"/>
  <c r="AV1939" i="1"/>
  <c r="AW1939" i="1"/>
  <c r="AX1939" i="1"/>
  <c r="AY1939" i="1"/>
  <c r="AZ1939" i="1"/>
  <c r="BA1939" i="1"/>
  <c r="BC1939" i="1"/>
  <c r="BD1939" i="1"/>
  <c r="BE1939" i="1"/>
  <c r="BF1939" i="1"/>
  <c r="BG1939" i="1"/>
  <c r="BH1939" i="1"/>
  <c r="BI1939" i="1"/>
  <c r="BJ1939" i="1"/>
  <c r="BM1939" i="1"/>
  <c r="CA1939" i="1"/>
  <c r="CN1939" i="1"/>
  <c r="CO1939" i="1"/>
  <c r="CP1939" i="1"/>
  <c r="CQ1939" i="1"/>
  <c r="G162" i="1"/>
  <c r="U162" i="1"/>
  <c r="W162" i="1"/>
  <c r="AE162" i="1"/>
  <c r="AK162" i="1"/>
  <c r="AQ162" i="1"/>
  <c r="AU162" i="1"/>
  <c r="AV162" i="1"/>
  <c r="AW162" i="1"/>
  <c r="AX162" i="1"/>
  <c r="AY162" i="1"/>
  <c r="AZ162" i="1"/>
  <c r="BA162" i="1"/>
  <c r="BC162" i="1"/>
  <c r="BD162" i="1"/>
  <c r="BE162" i="1"/>
  <c r="BF162" i="1"/>
  <c r="BG162" i="1"/>
  <c r="BH162" i="1"/>
  <c r="BI162" i="1"/>
  <c r="BJ162" i="1"/>
  <c r="BM162" i="1"/>
  <c r="CA162" i="1"/>
  <c r="CN162" i="1"/>
  <c r="CO162" i="1"/>
  <c r="CP162" i="1"/>
  <c r="CQ162" i="1"/>
  <c r="G163" i="1"/>
  <c r="U163" i="1"/>
  <c r="W163" i="1"/>
  <c r="AE163" i="1"/>
  <c r="AK163" i="1"/>
  <c r="AQ163" i="1"/>
  <c r="AU163" i="1"/>
  <c r="AV163" i="1"/>
  <c r="AW163" i="1"/>
  <c r="AX163" i="1"/>
  <c r="AY163" i="1"/>
  <c r="AZ163" i="1"/>
  <c r="BA163" i="1"/>
  <c r="BC163" i="1"/>
  <c r="BD163" i="1"/>
  <c r="BE163" i="1"/>
  <c r="BF163" i="1"/>
  <c r="BG163" i="1"/>
  <c r="BH163" i="1"/>
  <c r="BI163" i="1"/>
  <c r="BJ163" i="1"/>
  <c r="BM163" i="1"/>
  <c r="CA163" i="1"/>
  <c r="CN163" i="1"/>
  <c r="CO163" i="1"/>
  <c r="CP163" i="1"/>
  <c r="CQ163" i="1"/>
  <c r="G164" i="1"/>
  <c r="U164" i="1"/>
  <c r="W164" i="1"/>
  <c r="AE164" i="1"/>
  <c r="AK164" i="1"/>
  <c r="AQ164" i="1"/>
  <c r="AU164" i="1"/>
  <c r="AV164" i="1"/>
  <c r="AW164" i="1"/>
  <c r="AX164" i="1"/>
  <c r="AY164" i="1"/>
  <c r="AZ164" i="1"/>
  <c r="BA164" i="1"/>
  <c r="BC164" i="1"/>
  <c r="BD164" i="1"/>
  <c r="BE164" i="1"/>
  <c r="BF164" i="1"/>
  <c r="BG164" i="1"/>
  <c r="BH164" i="1"/>
  <c r="BI164" i="1"/>
  <c r="BJ164" i="1"/>
  <c r="BM164" i="1"/>
  <c r="CA164" i="1"/>
  <c r="CN164" i="1"/>
  <c r="CO164" i="1"/>
  <c r="CP164" i="1"/>
  <c r="CQ164" i="1"/>
  <c r="G165" i="1"/>
  <c r="U165" i="1"/>
  <c r="W165" i="1"/>
  <c r="AE165" i="1"/>
  <c r="AK165" i="1"/>
  <c r="AQ165" i="1"/>
  <c r="AU165" i="1"/>
  <c r="AV165" i="1"/>
  <c r="AW165" i="1"/>
  <c r="AX165" i="1"/>
  <c r="AY165" i="1"/>
  <c r="AZ165" i="1"/>
  <c r="BA165" i="1"/>
  <c r="BC165" i="1"/>
  <c r="BD165" i="1"/>
  <c r="BE165" i="1"/>
  <c r="BF165" i="1"/>
  <c r="BG165" i="1"/>
  <c r="BH165" i="1"/>
  <c r="BI165" i="1"/>
  <c r="BJ165" i="1"/>
  <c r="BM165" i="1"/>
  <c r="CA165" i="1"/>
  <c r="CN165" i="1"/>
  <c r="CO165" i="1"/>
  <c r="CP165" i="1"/>
  <c r="CQ165" i="1"/>
  <c r="G845" i="1"/>
  <c r="U845" i="1"/>
  <c r="W845" i="1"/>
  <c r="AE845" i="1"/>
  <c r="AK845" i="1"/>
  <c r="AQ845" i="1"/>
  <c r="AU845" i="1"/>
  <c r="AV845" i="1"/>
  <c r="AW845" i="1"/>
  <c r="AX845" i="1"/>
  <c r="AY845" i="1"/>
  <c r="AZ845" i="1"/>
  <c r="BA845" i="1"/>
  <c r="BC845" i="1"/>
  <c r="BD845" i="1"/>
  <c r="BE845" i="1"/>
  <c r="BF845" i="1"/>
  <c r="BG845" i="1"/>
  <c r="BH845" i="1"/>
  <c r="BI845" i="1"/>
  <c r="BJ845" i="1"/>
  <c r="BM845" i="1"/>
  <c r="CA845" i="1"/>
  <c r="CN845" i="1"/>
  <c r="CO845" i="1"/>
  <c r="CP845" i="1"/>
  <c r="CQ845" i="1"/>
  <c r="G1940" i="1"/>
  <c r="U1940" i="1"/>
  <c r="W1940" i="1"/>
  <c r="AE1940" i="1"/>
  <c r="AK1940" i="1"/>
  <c r="AQ1940" i="1"/>
  <c r="AU1940" i="1"/>
  <c r="AV1940" i="1"/>
  <c r="AW1940" i="1"/>
  <c r="AX1940" i="1"/>
  <c r="AY1940" i="1"/>
  <c r="AZ1940" i="1"/>
  <c r="BA1940" i="1"/>
  <c r="BC1940" i="1"/>
  <c r="BD1940" i="1"/>
  <c r="BE1940" i="1"/>
  <c r="BF1940" i="1"/>
  <c r="BG1940" i="1"/>
  <c r="BH1940" i="1"/>
  <c r="BI1940" i="1"/>
  <c r="BJ1940" i="1"/>
  <c r="BM1940" i="1"/>
  <c r="CA1940" i="1"/>
  <c r="CN1940" i="1"/>
  <c r="CO1940" i="1"/>
  <c r="CP1940" i="1"/>
  <c r="CQ1940" i="1"/>
  <c r="G408" i="1"/>
  <c r="U408" i="1"/>
  <c r="W408" i="1"/>
  <c r="AE408" i="1"/>
  <c r="AK408" i="1"/>
  <c r="AQ408" i="1"/>
  <c r="AU408" i="1"/>
  <c r="AV408" i="1"/>
  <c r="AW408" i="1"/>
  <c r="AX408" i="1"/>
  <c r="AY408" i="1"/>
  <c r="AZ408" i="1"/>
  <c r="BA408" i="1"/>
  <c r="BC408" i="1"/>
  <c r="BD408" i="1"/>
  <c r="BE408" i="1"/>
  <c r="BF408" i="1"/>
  <c r="BG408" i="1"/>
  <c r="BH408" i="1"/>
  <c r="BI408" i="1"/>
  <c r="BJ408" i="1"/>
  <c r="BM408" i="1"/>
  <c r="CA408" i="1"/>
  <c r="CN408" i="1"/>
  <c r="CO408" i="1"/>
  <c r="CP408" i="1"/>
  <c r="CQ408" i="1"/>
  <c r="G409" i="1"/>
  <c r="U409" i="1"/>
  <c r="W409" i="1"/>
  <c r="AE409" i="1"/>
  <c r="AK409" i="1"/>
  <c r="AQ409" i="1"/>
  <c r="AU409" i="1"/>
  <c r="AV409" i="1"/>
  <c r="AW409" i="1"/>
  <c r="AX409" i="1"/>
  <c r="AY409" i="1"/>
  <c r="AZ409" i="1"/>
  <c r="BA409" i="1"/>
  <c r="BC409" i="1"/>
  <c r="BD409" i="1"/>
  <c r="BE409" i="1"/>
  <c r="BF409" i="1"/>
  <c r="BG409" i="1"/>
  <c r="BH409" i="1"/>
  <c r="BI409" i="1"/>
  <c r="BJ409" i="1"/>
  <c r="BM409" i="1"/>
  <c r="CA409" i="1"/>
  <c r="CN409" i="1"/>
  <c r="CO409" i="1"/>
  <c r="CP409" i="1"/>
  <c r="CQ409" i="1"/>
  <c r="G1401" i="1"/>
  <c r="U1401" i="1"/>
  <c r="W1401" i="1"/>
  <c r="AE1401" i="1"/>
  <c r="AK1401" i="1"/>
  <c r="AQ1401" i="1"/>
  <c r="AU1401" i="1"/>
  <c r="AV1401" i="1"/>
  <c r="AW1401" i="1"/>
  <c r="AX1401" i="1"/>
  <c r="AY1401" i="1"/>
  <c r="AZ1401" i="1"/>
  <c r="BA1401" i="1"/>
  <c r="BC1401" i="1"/>
  <c r="BD1401" i="1"/>
  <c r="BE1401" i="1"/>
  <c r="BF1401" i="1"/>
  <c r="BG1401" i="1"/>
  <c r="BH1401" i="1"/>
  <c r="BI1401" i="1"/>
  <c r="BJ1401" i="1"/>
  <c r="BM1401" i="1"/>
  <c r="CA1401" i="1"/>
  <c r="CN1401" i="1"/>
  <c r="CO1401" i="1"/>
  <c r="CP1401" i="1"/>
  <c r="CQ1401" i="1"/>
  <c r="G1941" i="1"/>
  <c r="U1941" i="1"/>
  <c r="W1941" i="1"/>
  <c r="AE1941" i="1"/>
  <c r="AK1941" i="1"/>
  <c r="AQ1941" i="1"/>
  <c r="AU1941" i="1"/>
  <c r="AV1941" i="1"/>
  <c r="AW1941" i="1"/>
  <c r="AX1941" i="1"/>
  <c r="AY1941" i="1"/>
  <c r="AZ1941" i="1"/>
  <c r="BA1941" i="1"/>
  <c r="BC1941" i="1"/>
  <c r="BD1941" i="1"/>
  <c r="BE1941" i="1"/>
  <c r="BF1941" i="1"/>
  <c r="BG1941" i="1"/>
  <c r="BH1941" i="1"/>
  <c r="BI1941" i="1"/>
  <c r="BJ1941" i="1"/>
  <c r="BM1941" i="1"/>
  <c r="CA1941" i="1"/>
  <c r="CN1941" i="1"/>
  <c r="CO1941" i="1"/>
  <c r="CP1941" i="1"/>
  <c r="CQ1941" i="1"/>
  <c r="G846" i="1"/>
  <c r="U846" i="1"/>
  <c r="W846" i="1"/>
  <c r="AE846" i="1"/>
  <c r="AK846" i="1"/>
  <c r="AQ846" i="1"/>
  <c r="AU846" i="1"/>
  <c r="AV846" i="1"/>
  <c r="AW846" i="1"/>
  <c r="AX846" i="1"/>
  <c r="AY846" i="1"/>
  <c r="AZ846" i="1"/>
  <c r="BA846" i="1"/>
  <c r="BC846" i="1"/>
  <c r="BD846" i="1"/>
  <c r="BE846" i="1"/>
  <c r="BF846" i="1"/>
  <c r="BG846" i="1"/>
  <c r="BH846" i="1"/>
  <c r="BI846" i="1"/>
  <c r="BJ846" i="1"/>
  <c r="BM846" i="1"/>
  <c r="CA846" i="1"/>
  <c r="CN846" i="1"/>
  <c r="CO846" i="1"/>
  <c r="CP846" i="1"/>
  <c r="CQ846" i="1"/>
  <c r="G1402" i="1"/>
  <c r="U1402" i="1"/>
  <c r="W1402" i="1"/>
  <c r="AE1402" i="1"/>
  <c r="AK1402" i="1"/>
  <c r="AQ1402" i="1"/>
  <c r="AU1402" i="1"/>
  <c r="AV1402" i="1"/>
  <c r="AW1402" i="1"/>
  <c r="AX1402" i="1"/>
  <c r="AY1402" i="1"/>
  <c r="AZ1402" i="1"/>
  <c r="BA1402" i="1"/>
  <c r="BC1402" i="1"/>
  <c r="BD1402" i="1"/>
  <c r="BE1402" i="1"/>
  <c r="BF1402" i="1"/>
  <c r="BG1402" i="1"/>
  <c r="BH1402" i="1"/>
  <c r="BI1402" i="1"/>
  <c r="BJ1402" i="1"/>
  <c r="BM1402" i="1"/>
  <c r="CA1402" i="1"/>
  <c r="CN1402" i="1"/>
  <c r="CO1402" i="1"/>
  <c r="CP1402" i="1"/>
  <c r="CQ1402" i="1"/>
  <c r="G847" i="1"/>
  <c r="U847" i="1"/>
  <c r="W847" i="1"/>
  <c r="AE847" i="1"/>
  <c r="AK847" i="1"/>
  <c r="AQ847" i="1"/>
  <c r="AU847" i="1"/>
  <c r="AV847" i="1"/>
  <c r="AW847" i="1"/>
  <c r="AX847" i="1"/>
  <c r="AY847" i="1"/>
  <c r="AZ847" i="1"/>
  <c r="BA847" i="1"/>
  <c r="BC847" i="1"/>
  <c r="BD847" i="1"/>
  <c r="BE847" i="1"/>
  <c r="BF847" i="1"/>
  <c r="BG847" i="1"/>
  <c r="BH847" i="1"/>
  <c r="BI847" i="1"/>
  <c r="BJ847" i="1"/>
  <c r="BM847" i="1"/>
  <c r="CA847" i="1"/>
  <c r="CN847" i="1"/>
  <c r="CO847" i="1"/>
  <c r="CP847" i="1"/>
  <c r="CQ847" i="1"/>
  <c r="G1403" i="1"/>
  <c r="U1403" i="1"/>
  <c r="W1403" i="1"/>
  <c r="AE1403" i="1"/>
  <c r="AK1403" i="1"/>
  <c r="AQ1403" i="1"/>
  <c r="AU1403" i="1"/>
  <c r="AV1403" i="1"/>
  <c r="AW1403" i="1"/>
  <c r="AX1403" i="1"/>
  <c r="AY1403" i="1"/>
  <c r="AZ1403" i="1"/>
  <c r="BA1403" i="1"/>
  <c r="BC1403" i="1"/>
  <c r="BD1403" i="1"/>
  <c r="BE1403" i="1"/>
  <c r="BF1403" i="1"/>
  <c r="BG1403" i="1"/>
  <c r="BH1403" i="1"/>
  <c r="BI1403" i="1"/>
  <c r="BJ1403" i="1"/>
  <c r="BM1403" i="1"/>
  <c r="CA1403" i="1"/>
  <c r="CN1403" i="1"/>
  <c r="CO1403" i="1"/>
  <c r="CP1403" i="1"/>
  <c r="CQ1403" i="1"/>
  <c r="G848" i="1"/>
  <c r="U848" i="1"/>
  <c r="W848" i="1"/>
  <c r="AE848" i="1"/>
  <c r="AK848" i="1"/>
  <c r="AQ848" i="1"/>
  <c r="AU848" i="1"/>
  <c r="AV848" i="1"/>
  <c r="AW848" i="1"/>
  <c r="AX848" i="1"/>
  <c r="AY848" i="1"/>
  <c r="AZ848" i="1"/>
  <c r="BA848" i="1"/>
  <c r="BC848" i="1"/>
  <c r="BD848" i="1"/>
  <c r="BE848" i="1"/>
  <c r="BF848" i="1"/>
  <c r="BG848" i="1"/>
  <c r="BH848" i="1"/>
  <c r="BI848" i="1"/>
  <c r="BJ848" i="1"/>
  <c r="BM848" i="1"/>
  <c r="CA848" i="1"/>
  <c r="CN848" i="1"/>
  <c r="CO848" i="1"/>
  <c r="CP848" i="1"/>
  <c r="CQ848" i="1"/>
  <c r="G849" i="1"/>
  <c r="U849" i="1"/>
  <c r="W849" i="1"/>
  <c r="AE849" i="1"/>
  <c r="AK849" i="1"/>
  <c r="AQ849" i="1"/>
  <c r="AU849" i="1"/>
  <c r="AV849" i="1"/>
  <c r="AW849" i="1"/>
  <c r="AX849" i="1"/>
  <c r="AY849" i="1"/>
  <c r="AZ849" i="1"/>
  <c r="BA849" i="1"/>
  <c r="BC849" i="1"/>
  <c r="BD849" i="1"/>
  <c r="BE849" i="1"/>
  <c r="BF849" i="1"/>
  <c r="BG849" i="1"/>
  <c r="BH849" i="1"/>
  <c r="BI849" i="1"/>
  <c r="BJ849" i="1"/>
  <c r="BM849" i="1"/>
  <c r="CA849" i="1"/>
  <c r="CN849" i="1"/>
  <c r="CO849" i="1"/>
  <c r="CP849" i="1"/>
  <c r="CQ849" i="1"/>
  <c r="G1942" i="1"/>
  <c r="U1942" i="1"/>
  <c r="W1942" i="1"/>
  <c r="AE1942" i="1"/>
  <c r="AK1942" i="1"/>
  <c r="AQ1942" i="1"/>
  <c r="AU1942" i="1"/>
  <c r="AV1942" i="1"/>
  <c r="AW1942" i="1"/>
  <c r="AX1942" i="1"/>
  <c r="AY1942" i="1"/>
  <c r="AZ1942" i="1"/>
  <c r="BA1942" i="1"/>
  <c r="BC1942" i="1"/>
  <c r="BD1942" i="1"/>
  <c r="BE1942" i="1"/>
  <c r="BF1942" i="1"/>
  <c r="BG1942" i="1"/>
  <c r="BH1942" i="1"/>
  <c r="BI1942" i="1"/>
  <c r="BJ1942" i="1"/>
  <c r="BM1942" i="1"/>
  <c r="CA1942" i="1"/>
  <c r="CN1942" i="1"/>
  <c r="CO1942" i="1"/>
  <c r="CP1942" i="1"/>
  <c r="CQ1942" i="1"/>
  <c r="G850" i="1"/>
  <c r="U850" i="1"/>
  <c r="W850" i="1"/>
  <c r="AE850" i="1"/>
  <c r="AK850" i="1"/>
  <c r="AQ850" i="1"/>
  <c r="AU850" i="1"/>
  <c r="AV850" i="1"/>
  <c r="AW850" i="1"/>
  <c r="AX850" i="1"/>
  <c r="AY850" i="1"/>
  <c r="AZ850" i="1"/>
  <c r="BA850" i="1"/>
  <c r="BC850" i="1"/>
  <c r="BD850" i="1"/>
  <c r="BE850" i="1"/>
  <c r="BF850" i="1"/>
  <c r="BG850" i="1"/>
  <c r="BH850" i="1"/>
  <c r="BI850" i="1"/>
  <c r="BJ850" i="1"/>
  <c r="BM850" i="1"/>
  <c r="CA850" i="1"/>
  <c r="CN850" i="1"/>
  <c r="CO850" i="1"/>
  <c r="CP850" i="1"/>
  <c r="CQ850" i="1"/>
  <c r="G166" i="1"/>
  <c r="U166" i="1"/>
  <c r="W166" i="1"/>
  <c r="AE166" i="1"/>
  <c r="AK166" i="1"/>
  <c r="AQ166" i="1"/>
  <c r="AU166" i="1"/>
  <c r="AV166" i="1"/>
  <c r="AW166" i="1"/>
  <c r="AX166" i="1"/>
  <c r="AY166" i="1"/>
  <c r="AZ166" i="1"/>
  <c r="BA166" i="1"/>
  <c r="BC166" i="1"/>
  <c r="BD166" i="1"/>
  <c r="BE166" i="1"/>
  <c r="BF166" i="1"/>
  <c r="BG166" i="1"/>
  <c r="BH166" i="1"/>
  <c r="BI166" i="1"/>
  <c r="BJ166" i="1"/>
  <c r="BM166" i="1"/>
  <c r="CA166" i="1"/>
  <c r="CN166" i="1"/>
  <c r="CO166" i="1"/>
  <c r="CP166" i="1"/>
  <c r="CQ166" i="1"/>
  <c r="G1943" i="1"/>
  <c r="U1943" i="1"/>
  <c r="W1943" i="1"/>
  <c r="AE1943" i="1"/>
  <c r="AK1943" i="1"/>
  <c r="AQ1943" i="1"/>
  <c r="AU1943" i="1"/>
  <c r="AV1943" i="1"/>
  <c r="AW1943" i="1"/>
  <c r="AX1943" i="1"/>
  <c r="AY1943" i="1"/>
  <c r="AZ1943" i="1"/>
  <c r="BA1943" i="1"/>
  <c r="BC1943" i="1"/>
  <c r="BD1943" i="1"/>
  <c r="BE1943" i="1"/>
  <c r="BF1943" i="1"/>
  <c r="BG1943" i="1"/>
  <c r="BH1943" i="1"/>
  <c r="BI1943" i="1"/>
  <c r="BJ1943" i="1"/>
  <c r="BM1943" i="1"/>
  <c r="CA1943" i="1"/>
  <c r="CN1943" i="1"/>
  <c r="CO1943" i="1"/>
  <c r="CP1943" i="1"/>
  <c r="CQ1943" i="1"/>
  <c r="G851" i="1"/>
  <c r="U851" i="1"/>
  <c r="W851" i="1"/>
  <c r="AE851" i="1"/>
  <c r="AK851" i="1"/>
  <c r="AQ851" i="1"/>
  <c r="AU851" i="1"/>
  <c r="AV851" i="1"/>
  <c r="AW851" i="1"/>
  <c r="AX851" i="1"/>
  <c r="AY851" i="1"/>
  <c r="AZ851" i="1"/>
  <c r="BA851" i="1"/>
  <c r="BC851" i="1"/>
  <c r="BD851" i="1"/>
  <c r="BE851" i="1"/>
  <c r="BF851" i="1"/>
  <c r="BG851" i="1"/>
  <c r="BH851" i="1"/>
  <c r="BI851" i="1"/>
  <c r="BJ851" i="1"/>
  <c r="BM851" i="1"/>
  <c r="CA851" i="1"/>
  <c r="CN851" i="1"/>
  <c r="CO851" i="1"/>
  <c r="CP851" i="1"/>
  <c r="CQ851" i="1"/>
  <c r="G167" i="1"/>
  <c r="U167" i="1"/>
  <c r="W167" i="1"/>
  <c r="AE167" i="1"/>
  <c r="AK167" i="1"/>
  <c r="AQ167" i="1"/>
  <c r="AU167" i="1"/>
  <c r="AV167" i="1"/>
  <c r="AW167" i="1"/>
  <c r="AX167" i="1"/>
  <c r="AY167" i="1"/>
  <c r="AZ167" i="1"/>
  <c r="BA167" i="1"/>
  <c r="BC167" i="1"/>
  <c r="BD167" i="1"/>
  <c r="BE167" i="1"/>
  <c r="BF167" i="1"/>
  <c r="BG167" i="1"/>
  <c r="BH167" i="1"/>
  <c r="BI167" i="1"/>
  <c r="BJ167" i="1"/>
  <c r="BM167" i="1"/>
  <c r="CA167" i="1"/>
  <c r="CN167" i="1"/>
  <c r="CO167" i="1"/>
  <c r="CP167" i="1"/>
  <c r="CQ167" i="1"/>
  <c r="G852" i="1"/>
  <c r="U852" i="1"/>
  <c r="W852" i="1"/>
  <c r="AE852" i="1"/>
  <c r="AK852" i="1"/>
  <c r="AQ852" i="1"/>
  <c r="AU852" i="1"/>
  <c r="AV852" i="1"/>
  <c r="AW852" i="1"/>
  <c r="AX852" i="1"/>
  <c r="AY852" i="1"/>
  <c r="AZ852" i="1"/>
  <c r="BA852" i="1"/>
  <c r="BC852" i="1"/>
  <c r="BD852" i="1"/>
  <c r="BE852" i="1"/>
  <c r="BF852" i="1"/>
  <c r="BG852" i="1"/>
  <c r="BH852" i="1"/>
  <c r="BI852" i="1"/>
  <c r="BJ852" i="1"/>
  <c r="BM852" i="1"/>
  <c r="CA852" i="1"/>
  <c r="CN852" i="1"/>
  <c r="CO852" i="1"/>
  <c r="CP852" i="1"/>
  <c r="CQ852" i="1"/>
  <c r="G1944" i="1"/>
  <c r="U1944" i="1"/>
  <c r="W1944" i="1"/>
  <c r="AE1944" i="1"/>
  <c r="AK1944" i="1"/>
  <c r="AQ1944" i="1"/>
  <c r="AU1944" i="1"/>
  <c r="AV1944" i="1"/>
  <c r="AW1944" i="1"/>
  <c r="AX1944" i="1"/>
  <c r="AY1944" i="1"/>
  <c r="AZ1944" i="1"/>
  <c r="BA1944" i="1"/>
  <c r="BC1944" i="1"/>
  <c r="BD1944" i="1"/>
  <c r="BE1944" i="1"/>
  <c r="BF1944" i="1"/>
  <c r="BG1944" i="1"/>
  <c r="BH1944" i="1"/>
  <c r="BI1944" i="1"/>
  <c r="BJ1944" i="1"/>
  <c r="BM1944" i="1"/>
  <c r="CA1944" i="1"/>
  <c r="CN1944" i="1"/>
  <c r="CO1944" i="1"/>
  <c r="CP1944" i="1"/>
  <c r="CQ1944" i="1"/>
  <c r="G1945" i="1"/>
  <c r="U1945" i="1"/>
  <c r="W1945" i="1"/>
  <c r="AE1945" i="1"/>
  <c r="AK1945" i="1"/>
  <c r="AQ1945" i="1"/>
  <c r="AU1945" i="1"/>
  <c r="AV1945" i="1"/>
  <c r="AW1945" i="1"/>
  <c r="AX1945" i="1"/>
  <c r="AY1945" i="1"/>
  <c r="AZ1945" i="1"/>
  <c r="BA1945" i="1"/>
  <c r="BC1945" i="1"/>
  <c r="BD1945" i="1"/>
  <c r="BE1945" i="1"/>
  <c r="BF1945" i="1"/>
  <c r="BG1945" i="1"/>
  <c r="BH1945" i="1"/>
  <c r="BI1945" i="1"/>
  <c r="BJ1945" i="1"/>
  <c r="BM1945" i="1"/>
  <c r="CA1945" i="1"/>
  <c r="CN1945" i="1"/>
  <c r="CO1945" i="1"/>
  <c r="CP1945" i="1"/>
  <c r="CQ1945" i="1"/>
  <c r="G1404" i="1"/>
  <c r="U1404" i="1"/>
  <c r="W1404" i="1"/>
  <c r="AE1404" i="1"/>
  <c r="AK1404" i="1"/>
  <c r="AQ1404" i="1"/>
  <c r="AU1404" i="1"/>
  <c r="AV1404" i="1"/>
  <c r="AW1404" i="1"/>
  <c r="AX1404" i="1"/>
  <c r="AY1404" i="1"/>
  <c r="AZ1404" i="1"/>
  <c r="BA1404" i="1"/>
  <c r="BC1404" i="1"/>
  <c r="BD1404" i="1"/>
  <c r="BE1404" i="1"/>
  <c r="BF1404" i="1"/>
  <c r="BG1404" i="1"/>
  <c r="BH1404" i="1"/>
  <c r="BI1404" i="1"/>
  <c r="BJ1404" i="1"/>
  <c r="BM1404" i="1"/>
  <c r="CA1404" i="1"/>
  <c r="CN1404" i="1"/>
  <c r="CO1404" i="1"/>
  <c r="CP1404" i="1"/>
  <c r="CQ1404" i="1"/>
  <c r="G1946" i="1"/>
  <c r="U1946" i="1"/>
  <c r="W1946" i="1"/>
  <c r="AE1946" i="1"/>
  <c r="AK1946" i="1"/>
  <c r="AQ1946" i="1"/>
  <c r="AU1946" i="1"/>
  <c r="AV1946" i="1"/>
  <c r="AW1946" i="1"/>
  <c r="AX1946" i="1"/>
  <c r="AY1946" i="1"/>
  <c r="AZ1946" i="1"/>
  <c r="BA1946" i="1"/>
  <c r="BC1946" i="1"/>
  <c r="BD1946" i="1"/>
  <c r="BE1946" i="1"/>
  <c r="BF1946" i="1"/>
  <c r="BG1946" i="1"/>
  <c r="BH1946" i="1"/>
  <c r="BI1946" i="1"/>
  <c r="BJ1946" i="1"/>
  <c r="BM1946" i="1"/>
  <c r="CA1946" i="1"/>
  <c r="CN1946" i="1"/>
  <c r="CO1946" i="1"/>
  <c r="CP1946" i="1"/>
  <c r="CQ1946" i="1"/>
  <c r="G410" i="1"/>
  <c r="U410" i="1"/>
  <c r="W410" i="1"/>
  <c r="AE410" i="1"/>
  <c r="AK410" i="1"/>
  <c r="AQ410" i="1"/>
  <c r="AU410" i="1"/>
  <c r="AV410" i="1"/>
  <c r="AW410" i="1"/>
  <c r="AX410" i="1"/>
  <c r="AY410" i="1"/>
  <c r="AZ410" i="1"/>
  <c r="BA410" i="1"/>
  <c r="BC410" i="1"/>
  <c r="BD410" i="1"/>
  <c r="BE410" i="1"/>
  <c r="BF410" i="1"/>
  <c r="BG410" i="1"/>
  <c r="BH410" i="1"/>
  <c r="BI410" i="1"/>
  <c r="BJ410" i="1"/>
  <c r="BM410" i="1"/>
  <c r="CA410" i="1"/>
  <c r="CN410" i="1"/>
  <c r="CO410" i="1"/>
  <c r="CP410" i="1"/>
  <c r="CQ410" i="1"/>
  <c r="G1947" i="1"/>
  <c r="U1947" i="1"/>
  <c r="W1947" i="1"/>
  <c r="AE1947" i="1"/>
  <c r="AK1947" i="1"/>
  <c r="AQ1947" i="1"/>
  <c r="AU1947" i="1"/>
  <c r="AV1947" i="1"/>
  <c r="AW1947" i="1"/>
  <c r="AX1947" i="1"/>
  <c r="AY1947" i="1"/>
  <c r="AZ1947" i="1"/>
  <c r="BA1947" i="1"/>
  <c r="BC1947" i="1"/>
  <c r="BD1947" i="1"/>
  <c r="BE1947" i="1"/>
  <c r="BF1947" i="1"/>
  <c r="BG1947" i="1"/>
  <c r="BH1947" i="1"/>
  <c r="BI1947" i="1"/>
  <c r="BJ1947" i="1"/>
  <c r="BM1947" i="1"/>
  <c r="CA1947" i="1"/>
  <c r="CN1947" i="1"/>
  <c r="CO1947" i="1"/>
  <c r="CP1947" i="1"/>
  <c r="CQ1947" i="1"/>
  <c r="G853" i="1"/>
  <c r="U853" i="1"/>
  <c r="W853" i="1"/>
  <c r="AE853" i="1"/>
  <c r="AK853" i="1"/>
  <c r="AQ853" i="1"/>
  <c r="AU853" i="1"/>
  <c r="AV853" i="1"/>
  <c r="AW853" i="1"/>
  <c r="AX853" i="1"/>
  <c r="AY853" i="1"/>
  <c r="AZ853" i="1"/>
  <c r="BA853" i="1"/>
  <c r="BC853" i="1"/>
  <c r="BD853" i="1"/>
  <c r="BE853" i="1"/>
  <c r="BF853" i="1"/>
  <c r="BG853" i="1"/>
  <c r="BH853" i="1"/>
  <c r="BI853" i="1"/>
  <c r="BJ853" i="1"/>
  <c r="BM853" i="1"/>
  <c r="CA853" i="1"/>
  <c r="CN853" i="1"/>
  <c r="CO853" i="1"/>
  <c r="CP853" i="1"/>
  <c r="CQ853" i="1"/>
  <c r="G854" i="1"/>
  <c r="U854" i="1"/>
  <c r="W854" i="1"/>
  <c r="AE854" i="1"/>
  <c r="AK854" i="1"/>
  <c r="AQ854" i="1"/>
  <c r="AU854" i="1"/>
  <c r="AV854" i="1"/>
  <c r="AW854" i="1"/>
  <c r="AX854" i="1"/>
  <c r="AY854" i="1"/>
  <c r="AZ854" i="1"/>
  <c r="BA854" i="1"/>
  <c r="BC854" i="1"/>
  <c r="BD854" i="1"/>
  <c r="BE854" i="1"/>
  <c r="BF854" i="1"/>
  <c r="BG854" i="1"/>
  <c r="BH854" i="1"/>
  <c r="BI854" i="1"/>
  <c r="BJ854" i="1"/>
  <c r="BM854" i="1"/>
  <c r="CA854" i="1"/>
  <c r="CN854" i="1"/>
  <c r="CO854" i="1"/>
  <c r="CP854" i="1"/>
  <c r="CQ854" i="1"/>
  <c r="G1948" i="1"/>
  <c r="U1948" i="1"/>
  <c r="W1948" i="1"/>
  <c r="AE1948" i="1"/>
  <c r="AK1948" i="1"/>
  <c r="AQ1948" i="1"/>
  <c r="AU1948" i="1"/>
  <c r="AV1948" i="1"/>
  <c r="AW1948" i="1"/>
  <c r="AX1948" i="1"/>
  <c r="AY1948" i="1"/>
  <c r="AZ1948" i="1"/>
  <c r="BA1948" i="1"/>
  <c r="BC1948" i="1"/>
  <c r="BD1948" i="1"/>
  <c r="BE1948" i="1"/>
  <c r="BF1948" i="1"/>
  <c r="BG1948" i="1"/>
  <c r="BH1948" i="1"/>
  <c r="BI1948" i="1"/>
  <c r="BJ1948" i="1"/>
  <c r="BM1948" i="1"/>
  <c r="CA1948" i="1"/>
  <c r="CN1948" i="1"/>
  <c r="CO1948" i="1"/>
  <c r="CP1948" i="1"/>
  <c r="CQ1948" i="1"/>
  <c r="G855" i="1"/>
  <c r="U855" i="1"/>
  <c r="W855" i="1"/>
  <c r="AE855" i="1"/>
  <c r="AK855" i="1"/>
  <c r="AQ855" i="1"/>
  <c r="AU855" i="1"/>
  <c r="AV855" i="1"/>
  <c r="AW855" i="1"/>
  <c r="AX855" i="1"/>
  <c r="AY855" i="1"/>
  <c r="AZ855" i="1"/>
  <c r="BA855" i="1"/>
  <c r="BC855" i="1"/>
  <c r="BD855" i="1"/>
  <c r="BE855" i="1"/>
  <c r="BF855" i="1"/>
  <c r="BG855" i="1"/>
  <c r="BH855" i="1"/>
  <c r="BI855" i="1"/>
  <c r="BJ855" i="1"/>
  <c r="BM855" i="1"/>
  <c r="CA855" i="1"/>
  <c r="CN855" i="1"/>
  <c r="CO855" i="1"/>
  <c r="CP855" i="1"/>
  <c r="CQ855" i="1"/>
  <c r="G856" i="1"/>
  <c r="U856" i="1"/>
  <c r="W856" i="1"/>
  <c r="AE856" i="1"/>
  <c r="AK856" i="1"/>
  <c r="AQ856" i="1"/>
  <c r="AU856" i="1"/>
  <c r="AV856" i="1"/>
  <c r="AW856" i="1"/>
  <c r="AX856" i="1"/>
  <c r="AY856" i="1"/>
  <c r="AZ856" i="1"/>
  <c r="BA856" i="1"/>
  <c r="BC856" i="1"/>
  <c r="BD856" i="1"/>
  <c r="BE856" i="1"/>
  <c r="BF856" i="1"/>
  <c r="BG856" i="1"/>
  <c r="BH856" i="1"/>
  <c r="BI856" i="1"/>
  <c r="BJ856" i="1"/>
  <c r="BM856" i="1"/>
  <c r="CA856" i="1"/>
  <c r="CN856" i="1"/>
  <c r="CO856" i="1"/>
  <c r="CP856" i="1"/>
  <c r="CQ856" i="1"/>
  <c r="G1580" i="1"/>
  <c r="U1580" i="1"/>
  <c r="W1580" i="1"/>
  <c r="AE1580" i="1"/>
  <c r="AK1580" i="1"/>
  <c r="AQ1580" i="1"/>
  <c r="AU1580" i="1"/>
  <c r="AV1580" i="1"/>
  <c r="AW1580" i="1"/>
  <c r="AX1580" i="1"/>
  <c r="AY1580" i="1"/>
  <c r="AZ1580" i="1"/>
  <c r="BA1580" i="1"/>
  <c r="BC1580" i="1"/>
  <c r="BD1580" i="1"/>
  <c r="BE1580" i="1"/>
  <c r="BF1580" i="1"/>
  <c r="BG1580" i="1"/>
  <c r="BH1580" i="1"/>
  <c r="BI1580" i="1"/>
  <c r="BJ1580" i="1"/>
  <c r="BM1580" i="1"/>
  <c r="CA1580" i="1"/>
  <c r="CN1580" i="1"/>
  <c r="CO1580" i="1"/>
  <c r="CP1580" i="1"/>
  <c r="CQ1580" i="1"/>
  <c r="G1949" i="1"/>
  <c r="U1949" i="1"/>
  <c r="W1949" i="1"/>
  <c r="AE1949" i="1"/>
  <c r="AK1949" i="1"/>
  <c r="AQ1949" i="1"/>
  <c r="AU1949" i="1"/>
  <c r="AV1949" i="1"/>
  <c r="AW1949" i="1"/>
  <c r="AX1949" i="1"/>
  <c r="AY1949" i="1"/>
  <c r="AZ1949" i="1"/>
  <c r="BA1949" i="1"/>
  <c r="BC1949" i="1"/>
  <c r="BD1949" i="1"/>
  <c r="BE1949" i="1"/>
  <c r="BF1949" i="1"/>
  <c r="BG1949" i="1"/>
  <c r="BH1949" i="1"/>
  <c r="BI1949" i="1"/>
  <c r="BJ1949" i="1"/>
  <c r="BM1949" i="1"/>
  <c r="CA1949" i="1"/>
  <c r="CN1949" i="1"/>
  <c r="CO1949" i="1"/>
  <c r="CP1949" i="1"/>
  <c r="CQ1949" i="1"/>
  <c r="G168" i="1"/>
  <c r="U168" i="1"/>
  <c r="W168" i="1"/>
  <c r="AE168" i="1"/>
  <c r="AK168" i="1"/>
  <c r="AQ168" i="1"/>
  <c r="AU168" i="1"/>
  <c r="AV168" i="1"/>
  <c r="AW168" i="1"/>
  <c r="AX168" i="1"/>
  <c r="AY168" i="1"/>
  <c r="AZ168" i="1"/>
  <c r="BA168" i="1"/>
  <c r="BC168" i="1"/>
  <c r="BD168" i="1"/>
  <c r="BE168" i="1"/>
  <c r="BF168" i="1"/>
  <c r="BG168" i="1"/>
  <c r="BH168" i="1"/>
  <c r="BI168" i="1"/>
  <c r="BJ168" i="1"/>
  <c r="BM168" i="1"/>
  <c r="CA168" i="1"/>
  <c r="CN168" i="1"/>
  <c r="CO168" i="1"/>
  <c r="CP168" i="1"/>
  <c r="CQ168" i="1"/>
  <c r="G1950" i="1"/>
  <c r="U1950" i="1"/>
  <c r="W1950" i="1"/>
  <c r="AE1950" i="1"/>
  <c r="AK1950" i="1"/>
  <c r="AQ1950" i="1"/>
  <c r="AU1950" i="1"/>
  <c r="AV1950" i="1"/>
  <c r="AW1950" i="1"/>
  <c r="AX1950" i="1"/>
  <c r="AY1950" i="1"/>
  <c r="AZ1950" i="1"/>
  <c r="BA1950" i="1"/>
  <c r="BC1950" i="1"/>
  <c r="BD1950" i="1"/>
  <c r="BE1950" i="1"/>
  <c r="BF1950" i="1"/>
  <c r="BG1950" i="1"/>
  <c r="BH1950" i="1"/>
  <c r="BI1950" i="1"/>
  <c r="BJ1950" i="1"/>
  <c r="BM1950" i="1"/>
  <c r="CA1950" i="1"/>
  <c r="CN1950" i="1"/>
  <c r="CO1950" i="1"/>
  <c r="CP1950" i="1"/>
  <c r="CQ1950" i="1"/>
  <c r="G169" i="1"/>
  <c r="U169" i="1"/>
  <c r="W169" i="1"/>
  <c r="AE169" i="1"/>
  <c r="AK169" i="1"/>
  <c r="AQ169" i="1"/>
  <c r="AU169" i="1"/>
  <c r="AV169" i="1"/>
  <c r="AW169" i="1"/>
  <c r="AX169" i="1"/>
  <c r="AY169" i="1"/>
  <c r="AZ169" i="1"/>
  <c r="BA169" i="1"/>
  <c r="BC169" i="1"/>
  <c r="BD169" i="1"/>
  <c r="BE169" i="1"/>
  <c r="BF169" i="1"/>
  <c r="BG169" i="1"/>
  <c r="BH169" i="1"/>
  <c r="BI169" i="1"/>
  <c r="BJ169" i="1"/>
  <c r="BM169" i="1"/>
  <c r="CA169" i="1"/>
  <c r="CN169" i="1"/>
  <c r="CO169" i="1"/>
  <c r="CP169" i="1"/>
  <c r="CQ169" i="1"/>
  <c r="G1951" i="1"/>
  <c r="U1951" i="1"/>
  <c r="W1951" i="1"/>
  <c r="AE1951" i="1"/>
  <c r="AK1951" i="1"/>
  <c r="AQ1951" i="1"/>
  <c r="AU1951" i="1"/>
  <c r="AV1951" i="1"/>
  <c r="AW1951" i="1"/>
  <c r="AX1951" i="1"/>
  <c r="AY1951" i="1"/>
  <c r="AZ1951" i="1"/>
  <c r="BA1951" i="1"/>
  <c r="BC1951" i="1"/>
  <c r="BD1951" i="1"/>
  <c r="BE1951" i="1"/>
  <c r="BF1951" i="1"/>
  <c r="BG1951" i="1"/>
  <c r="BH1951" i="1"/>
  <c r="BI1951" i="1"/>
  <c r="BJ1951" i="1"/>
  <c r="BM1951" i="1"/>
  <c r="CA1951" i="1"/>
  <c r="CN1951" i="1"/>
  <c r="CO1951" i="1"/>
  <c r="CP1951" i="1"/>
  <c r="CQ1951" i="1"/>
  <c r="G857" i="1"/>
  <c r="U857" i="1"/>
  <c r="W857" i="1"/>
  <c r="AE857" i="1"/>
  <c r="AK857" i="1"/>
  <c r="AQ857" i="1"/>
  <c r="AU857" i="1"/>
  <c r="AV857" i="1"/>
  <c r="AW857" i="1"/>
  <c r="AX857" i="1"/>
  <c r="AY857" i="1"/>
  <c r="AZ857" i="1"/>
  <c r="BA857" i="1"/>
  <c r="BC857" i="1"/>
  <c r="BD857" i="1"/>
  <c r="BE857" i="1"/>
  <c r="BF857" i="1"/>
  <c r="BG857" i="1"/>
  <c r="BH857" i="1"/>
  <c r="BI857" i="1"/>
  <c r="BJ857" i="1"/>
  <c r="BM857" i="1"/>
  <c r="CA857" i="1"/>
  <c r="CN857" i="1"/>
  <c r="CO857" i="1"/>
  <c r="CP857" i="1"/>
  <c r="CQ857" i="1"/>
  <c r="G858" i="1"/>
  <c r="U858" i="1"/>
  <c r="W858" i="1"/>
  <c r="AE858" i="1"/>
  <c r="AK858" i="1"/>
  <c r="AQ858" i="1"/>
  <c r="AU858" i="1"/>
  <c r="AV858" i="1"/>
  <c r="AW858" i="1"/>
  <c r="AX858" i="1"/>
  <c r="AY858" i="1"/>
  <c r="AZ858" i="1"/>
  <c r="BA858" i="1"/>
  <c r="BC858" i="1"/>
  <c r="BD858" i="1"/>
  <c r="BE858" i="1"/>
  <c r="BF858" i="1"/>
  <c r="BG858" i="1"/>
  <c r="BH858" i="1"/>
  <c r="BI858" i="1"/>
  <c r="BJ858" i="1"/>
  <c r="BM858" i="1"/>
  <c r="CA858" i="1"/>
  <c r="CN858" i="1"/>
  <c r="CO858" i="1"/>
  <c r="CP858" i="1"/>
  <c r="CQ858" i="1"/>
  <c r="G1952" i="1"/>
  <c r="U1952" i="1"/>
  <c r="W1952" i="1"/>
  <c r="AE1952" i="1"/>
  <c r="AK1952" i="1"/>
  <c r="AQ1952" i="1"/>
  <c r="AU1952" i="1"/>
  <c r="AV1952" i="1"/>
  <c r="AW1952" i="1"/>
  <c r="AX1952" i="1"/>
  <c r="AY1952" i="1"/>
  <c r="AZ1952" i="1"/>
  <c r="BA1952" i="1"/>
  <c r="BC1952" i="1"/>
  <c r="BD1952" i="1"/>
  <c r="BE1952" i="1"/>
  <c r="BF1952" i="1"/>
  <c r="BG1952" i="1"/>
  <c r="BH1952" i="1"/>
  <c r="BI1952" i="1"/>
  <c r="BJ1952" i="1"/>
  <c r="BM1952" i="1"/>
  <c r="CA1952" i="1"/>
  <c r="CN1952" i="1"/>
  <c r="CO1952" i="1"/>
  <c r="CP1952" i="1"/>
  <c r="CQ1952" i="1"/>
  <c r="G1953" i="1"/>
  <c r="U1953" i="1"/>
  <c r="W1953" i="1"/>
  <c r="AE1953" i="1"/>
  <c r="AK1953" i="1"/>
  <c r="AQ1953" i="1"/>
  <c r="AU1953" i="1"/>
  <c r="AV1953" i="1"/>
  <c r="AW1953" i="1"/>
  <c r="AX1953" i="1"/>
  <c r="AY1953" i="1"/>
  <c r="AZ1953" i="1"/>
  <c r="BA1953" i="1"/>
  <c r="BC1953" i="1"/>
  <c r="BD1953" i="1"/>
  <c r="BE1953" i="1"/>
  <c r="BF1953" i="1"/>
  <c r="BG1953" i="1"/>
  <c r="BH1953" i="1"/>
  <c r="BI1953" i="1"/>
  <c r="BJ1953" i="1"/>
  <c r="BM1953" i="1"/>
  <c r="CA1953" i="1"/>
  <c r="CN1953" i="1"/>
  <c r="CO1953" i="1"/>
  <c r="CP1953" i="1"/>
  <c r="CQ1953" i="1"/>
  <c r="G859" i="1"/>
  <c r="U859" i="1"/>
  <c r="W859" i="1"/>
  <c r="AE859" i="1"/>
  <c r="AK859" i="1"/>
  <c r="AQ859" i="1"/>
  <c r="AU859" i="1"/>
  <c r="AV859" i="1"/>
  <c r="AW859" i="1"/>
  <c r="AX859" i="1"/>
  <c r="AY859" i="1"/>
  <c r="AZ859" i="1"/>
  <c r="BA859" i="1"/>
  <c r="BC859" i="1"/>
  <c r="BD859" i="1"/>
  <c r="BE859" i="1"/>
  <c r="BF859" i="1"/>
  <c r="BG859" i="1"/>
  <c r="BH859" i="1"/>
  <c r="BI859" i="1"/>
  <c r="BJ859" i="1"/>
  <c r="BM859" i="1"/>
  <c r="CA859" i="1"/>
  <c r="CN859" i="1"/>
  <c r="CO859" i="1"/>
  <c r="CP859" i="1"/>
  <c r="CQ859" i="1"/>
  <c r="G411" i="1"/>
  <c r="U411" i="1"/>
  <c r="W411" i="1"/>
  <c r="AE411" i="1"/>
  <c r="AK411" i="1"/>
  <c r="AQ411" i="1"/>
  <c r="AU411" i="1"/>
  <c r="AV411" i="1"/>
  <c r="AW411" i="1"/>
  <c r="AX411" i="1"/>
  <c r="AY411" i="1"/>
  <c r="AZ411" i="1"/>
  <c r="BA411" i="1"/>
  <c r="BC411" i="1"/>
  <c r="BD411" i="1"/>
  <c r="BE411" i="1"/>
  <c r="BF411" i="1"/>
  <c r="BG411" i="1"/>
  <c r="BH411" i="1"/>
  <c r="BI411" i="1"/>
  <c r="BJ411" i="1"/>
  <c r="BM411" i="1"/>
  <c r="CA411" i="1"/>
  <c r="CN411" i="1"/>
  <c r="CO411" i="1"/>
  <c r="CP411" i="1"/>
  <c r="CQ411" i="1"/>
  <c r="G1954" i="1"/>
  <c r="U1954" i="1"/>
  <c r="W1954" i="1"/>
  <c r="AE1954" i="1"/>
  <c r="AK1954" i="1"/>
  <c r="AQ1954" i="1"/>
  <c r="AU1954" i="1"/>
  <c r="AV1954" i="1"/>
  <c r="AW1954" i="1"/>
  <c r="AX1954" i="1"/>
  <c r="AY1954" i="1"/>
  <c r="AZ1954" i="1"/>
  <c r="BA1954" i="1"/>
  <c r="BC1954" i="1"/>
  <c r="BD1954" i="1"/>
  <c r="BE1954" i="1"/>
  <c r="BF1954" i="1"/>
  <c r="BG1954" i="1"/>
  <c r="BH1954" i="1"/>
  <c r="BI1954" i="1"/>
  <c r="BJ1954" i="1"/>
  <c r="BM1954" i="1"/>
  <c r="CA1954" i="1"/>
  <c r="CN1954" i="1"/>
  <c r="CO1954" i="1"/>
  <c r="CP1954" i="1"/>
  <c r="CQ1954" i="1"/>
  <c r="G860" i="1"/>
  <c r="U860" i="1"/>
  <c r="W860" i="1"/>
  <c r="AE860" i="1"/>
  <c r="AK860" i="1"/>
  <c r="AQ860" i="1"/>
  <c r="AU860" i="1"/>
  <c r="AV860" i="1"/>
  <c r="AW860" i="1"/>
  <c r="AX860" i="1"/>
  <c r="AY860" i="1"/>
  <c r="AZ860" i="1"/>
  <c r="BA860" i="1"/>
  <c r="BC860" i="1"/>
  <c r="BD860" i="1"/>
  <c r="BE860" i="1"/>
  <c r="BF860" i="1"/>
  <c r="BG860" i="1"/>
  <c r="BH860" i="1"/>
  <c r="BI860" i="1"/>
  <c r="BJ860" i="1"/>
  <c r="BM860" i="1"/>
  <c r="CA860" i="1"/>
  <c r="CN860" i="1"/>
  <c r="CO860" i="1"/>
  <c r="CP860" i="1"/>
  <c r="CQ860" i="1"/>
  <c r="G861" i="1"/>
  <c r="U861" i="1"/>
  <c r="W861" i="1"/>
  <c r="AE861" i="1"/>
  <c r="AK861" i="1"/>
  <c r="AQ861" i="1"/>
  <c r="AU861" i="1"/>
  <c r="AV861" i="1"/>
  <c r="AW861" i="1"/>
  <c r="AX861" i="1"/>
  <c r="AY861" i="1"/>
  <c r="AZ861" i="1"/>
  <c r="BA861" i="1"/>
  <c r="BC861" i="1"/>
  <c r="BD861" i="1"/>
  <c r="BE861" i="1"/>
  <c r="BF861" i="1"/>
  <c r="BG861" i="1"/>
  <c r="BH861" i="1"/>
  <c r="BI861" i="1"/>
  <c r="BJ861" i="1"/>
  <c r="BM861" i="1"/>
  <c r="CA861" i="1"/>
  <c r="CN861" i="1"/>
  <c r="CO861" i="1"/>
  <c r="CP861" i="1"/>
  <c r="CQ861" i="1"/>
  <c r="G862" i="1"/>
  <c r="U862" i="1"/>
  <c r="W862" i="1"/>
  <c r="AE862" i="1"/>
  <c r="AK862" i="1"/>
  <c r="AQ862" i="1"/>
  <c r="AU862" i="1"/>
  <c r="AV862" i="1"/>
  <c r="AW862" i="1"/>
  <c r="AX862" i="1"/>
  <c r="AY862" i="1"/>
  <c r="AZ862" i="1"/>
  <c r="BA862" i="1"/>
  <c r="BC862" i="1"/>
  <c r="BD862" i="1"/>
  <c r="BE862" i="1"/>
  <c r="BF862" i="1"/>
  <c r="BG862" i="1"/>
  <c r="BH862" i="1"/>
  <c r="BI862" i="1"/>
  <c r="BJ862" i="1"/>
  <c r="BM862" i="1"/>
  <c r="CA862" i="1"/>
  <c r="CN862" i="1"/>
  <c r="CO862" i="1"/>
  <c r="CP862" i="1"/>
  <c r="CQ862" i="1"/>
  <c r="G1955" i="1"/>
  <c r="U1955" i="1"/>
  <c r="W1955" i="1"/>
  <c r="AE1955" i="1"/>
  <c r="AK1955" i="1"/>
  <c r="AQ1955" i="1"/>
  <c r="AU1955" i="1"/>
  <c r="AV1955" i="1"/>
  <c r="AW1955" i="1"/>
  <c r="AX1955" i="1"/>
  <c r="AY1955" i="1"/>
  <c r="AZ1955" i="1"/>
  <c r="BA1955" i="1"/>
  <c r="BC1955" i="1"/>
  <c r="BD1955" i="1"/>
  <c r="BE1955" i="1"/>
  <c r="BF1955" i="1"/>
  <c r="BG1955" i="1"/>
  <c r="BH1955" i="1"/>
  <c r="BI1955" i="1"/>
  <c r="BJ1955" i="1"/>
  <c r="BM1955" i="1"/>
  <c r="CA1955" i="1"/>
  <c r="CN1955" i="1"/>
  <c r="CO1955" i="1"/>
  <c r="CP1955" i="1"/>
  <c r="CQ1955" i="1"/>
  <c r="G1956" i="1"/>
  <c r="U1956" i="1"/>
  <c r="W1956" i="1"/>
  <c r="AE1956" i="1"/>
  <c r="AK1956" i="1"/>
  <c r="AQ1956" i="1"/>
  <c r="AU1956" i="1"/>
  <c r="AV1956" i="1"/>
  <c r="AW1956" i="1"/>
  <c r="AX1956" i="1"/>
  <c r="AY1956" i="1"/>
  <c r="AZ1956" i="1"/>
  <c r="BA1956" i="1"/>
  <c r="BC1956" i="1"/>
  <c r="BD1956" i="1"/>
  <c r="BE1956" i="1"/>
  <c r="BF1956" i="1"/>
  <c r="BG1956" i="1"/>
  <c r="BH1956" i="1"/>
  <c r="BI1956" i="1"/>
  <c r="BJ1956" i="1"/>
  <c r="BM1956" i="1"/>
  <c r="CA1956" i="1"/>
  <c r="CN1956" i="1"/>
  <c r="CO1956" i="1"/>
  <c r="CP1956" i="1"/>
  <c r="CQ1956" i="1"/>
  <c r="G170" i="1"/>
  <c r="U170" i="1"/>
  <c r="W170" i="1"/>
  <c r="AE170" i="1"/>
  <c r="AK170" i="1"/>
  <c r="AQ170" i="1"/>
  <c r="AU170" i="1"/>
  <c r="AV170" i="1"/>
  <c r="AW170" i="1"/>
  <c r="AX170" i="1"/>
  <c r="AY170" i="1"/>
  <c r="AZ170" i="1"/>
  <c r="BA170" i="1"/>
  <c r="BC170" i="1"/>
  <c r="BD170" i="1"/>
  <c r="BE170" i="1"/>
  <c r="BF170" i="1"/>
  <c r="BG170" i="1"/>
  <c r="BH170" i="1"/>
  <c r="BI170" i="1"/>
  <c r="BJ170" i="1"/>
  <c r="BM170" i="1"/>
  <c r="CA170" i="1"/>
  <c r="CN170" i="1"/>
  <c r="CO170" i="1"/>
  <c r="CP170" i="1"/>
  <c r="CQ170" i="1"/>
  <c r="G863" i="1"/>
  <c r="U863" i="1"/>
  <c r="W863" i="1"/>
  <c r="AE863" i="1"/>
  <c r="AK863" i="1"/>
  <c r="AQ863" i="1"/>
  <c r="AU863" i="1"/>
  <c r="AV863" i="1"/>
  <c r="AW863" i="1"/>
  <c r="AX863" i="1"/>
  <c r="AY863" i="1"/>
  <c r="AZ863" i="1"/>
  <c r="BA863" i="1"/>
  <c r="BC863" i="1"/>
  <c r="BD863" i="1"/>
  <c r="BE863" i="1"/>
  <c r="BF863" i="1"/>
  <c r="BG863" i="1"/>
  <c r="BH863" i="1"/>
  <c r="BI863" i="1"/>
  <c r="BJ863" i="1"/>
  <c r="BM863" i="1"/>
  <c r="CA863" i="1"/>
  <c r="CN863" i="1"/>
  <c r="CO863" i="1"/>
  <c r="CP863" i="1"/>
  <c r="CQ863" i="1"/>
  <c r="G1957" i="1"/>
  <c r="U1957" i="1"/>
  <c r="W1957" i="1"/>
  <c r="AE1957" i="1"/>
  <c r="AK1957" i="1"/>
  <c r="AQ1957" i="1"/>
  <c r="AU1957" i="1"/>
  <c r="AV1957" i="1"/>
  <c r="AW1957" i="1"/>
  <c r="AX1957" i="1"/>
  <c r="AY1957" i="1"/>
  <c r="AZ1957" i="1"/>
  <c r="BA1957" i="1"/>
  <c r="BC1957" i="1"/>
  <c r="BD1957" i="1"/>
  <c r="BE1957" i="1"/>
  <c r="BF1957" i="1"/>
  <c r="BG1957" i="1"/>
  <c r="BH1957" i="1"/>
  <c r="BI1957" i="1"/>
  <c r="BJ1957" i="1"/>
  <c r="BM1957" i="1"/>
  <c r="CA1957" i="1"/>
  <c r="CN1957" i="1"/>
  <c r="CO1957" i="1"/>
  <c r="CP1957" i="1"/>
  <c r="CQ1957" i="1"/>
  <c r="G1405" i="1"/>
  <c r="U1405" i="1"/>
  <c r="W1405" i="1"/>
  <c r="AE1405" i="1"/>
  <c r="AK1405" i="1"/>
  <c r="AQ1405" i="1"/>
  <c r="AU1405" i="1"/>
  <c r="AV1405" i="1"/>
  <c r="AW1405" i="1"/>
  <c r="AX1405" i="1"/>
  <c r="AY1405" i="1"/>
  <c r="AZ1405" i="1"/>
  <c r="BA1405" i="1"/>
  <c r="BC1405" i="1"/>
  <c r="BD1405" i="1"/>
  <c r="BE1405" i="1"/>
  <c r="BF1405" i="1"/>
  <c r="BG1405" i="1"/>
  <c r="BH1405" i="1"/>
  <c r="BI1405" i="1"/>
  <c r="BJ1405" i="1"/>
  <c r="BM1405" i="1"/>
  <c r="CA1405" i="1"/>
  <c r="CN1405" i="1"/>
  <c r="CO1405" i="1"/>
  <c r="CP1405" i="1"/>
  <c r="CQ1405" i="1"/>
  <c r="G412" i="1"/>
  <c r="U412" i="1"/>
  <c r="W412" i="1"/>
  <c r="AE412" i="1"/>
  <c r="AK412" i="1"/>
  <c r="AQ412" i="1"/>
  <c r="AU412" i="1"/>
  <c r="AV412" i="1"/>
  <c r="AW412" i="1"/>
  <c r="AX412" i="1"/>
  <c r="AY412" i="1"/>
  <c r="AZ412" i="1"/>
  <c r="BA412" i="1"/>
  <c r="BC412" i="1"/>
  <c r="BD412" i="1"/>
  <c r="BE412" i="1"/>
  <c r="BF412" i="1"/>
  <c r="BG412" i="1"/>
  <c r="BH412" i="1"/>
  <c r="BI412" i="1"/>
  <c r="BJ412" i="1"/>
  <c r="BM412" i="1"/>
  <c r="CA412" i="1"/>
  <c r="CN412" i="1"/>
  <c r="CO412" i="1"/>
  <c r="CP412" i="1"/>
  <c r="CQ412" i="1"/>
  <c r="G864" i="1"/>
  <c r="U864" i="1"/>
  <c r="W864" i="1"/>
  <c r="AE864" i="1"/>
  <c r="AK864" i="1"/>
  <c r="AQ864" i="1"/>
  <c r="AU864" i="1"/>
  <c r="AV864" i="1"/>
  <c r="AW864" i="1"/>
  <c r="AX864" i="1"/>
  <c r="AY864" i="1"/>
  <c r="AZ864" i="1"/>
  <c r="BA864" i="1"/>
  <c r="BC864" i="1"/>
  <c r="BD864" i="1"/>
  <c r="BE864" i="1"/>
  <c r="BF864" i="1"/>
  <c r="BG864" i="1"/>
  <c r="BH864" i="1"/>
  <c r="BI864" i="1"/>
  <c r="BJ864" i="1"/>
  <c r="BM864" i="1"/>
  <c r="CA864" i="1"/>
  <c r="CN864" i="1"/>
  <c r="CO864" i="1"/>
  <c r="CP864" i="1"/>
  <c r="CQ864" i="1"/>
  <c r="G1958" i="1"/>
  <c r="U1958" i="1"/>
  <c r="W1958" i="1"/>
  <c r="AE1958" i="1"/>
  <c r="AK1958" i="1"/>
  <c r="AQ1958" i="1"/>
  <c r="AU1958" i="1"/>
  <c r="AV1958" i="1"/>
  <c r="AW1958" i="1"/>
  <c r="AX1958" i="1"/>
  <c r="AY1958" i="1"/>
  <c r="AZ1958" i="1"/>
  <c r="BA1958" i="1"/>
  <c r="BC1958" i="1"/>
  <c r="BD1958" i="1"/>
  <c r="BE1958" i="1"/>
  <c r="BF1958" i="1"/>
  <c r="BG1958" i="1"/>
  <c r="BH1958" i="1"/>
  <c r="BI1958" i="1"/>
  <c r="BJ1958" i="1"/>
  <c r="BM1958" i="1"/>
  <c r="CA1958" i="1"/>
  <c r="CN1958" i="1"/>
  <c r="CO1958" i="1"/>
  <c r="CP1958" i="1"/>
  <c r="CQ1958" i="1"/>
  <c r="G1959" i="1"/>
  <c r="U1959" i="1"/>
  <c r="W1959" i="1"/>
  <c r="AE1959" i="1"/>
  <c r="AK1959" i="1"/>
  <c r="AQ1959" i="1"/>
  <c r="AU1959" i="1"/>
  <c r="AV1959" i="1"/>
  <c r="AW1959" i="1"/>
  <c r="AX1959" i="1"/>
  <c r="AY1959" i="1"/>
  <c r="AZ1959" i="1"/>
  <c r="BA1959" i="1"/>
  <c r="BC1959" i="1"/>
  <c r="BD1959" i="1"/>
  <c r="BE1959" i="1"/>
  <c r="BF1959" i="1"/>
  <c r="BG1959" i="1"/>
  <c r="BH1959" i="1"/>
  <c r="BI1959" i="1"/>
  <c r="BJ1959" i="1"/>
  <c r="BM1959" i="1"/>
  <c r="CA1959" i="1"/>
  <c r="CN1959" i="1"/>
  <c r="CO1959" i="1"/>
  <c r="CP1959" i="1"/>
  <c r="CQ1959" i="1"/>
  <c r="G1406" i="1"/>
  <c r="U1406" i="1"/>
  <c r="W1406" i="1"/>
  <c r="AE1406" i="1"/>
  <c r="AK1406" i="1"/>
  <c r="AQ1406" i="1"/>
  <c r="AU1406" i="1"/>
  <c r="AV1406" i="1"/>
  <c r="AW1406" i="1"/>
  <c r="AX1406" i="1"/>
  <c r="AY1406" i="1"/>
  <c r="AZ1406" i="1"/>
  <c r="BA1406" i="1"/>
  <c r="BC1406" i="1"/>
  <c r="BD1406" i="1"/>
  <c r="BE1406" i="1"/>
  <c r="BF1406" i="1"/>
  <c r="BG1406" i="1"/>
  <c r="BH1406" i="1"/>
  <c r="BI1406" i="1"/>
  <c r="BJ1406" i="1"/>
  <c r="BM1406" i="1"/>
  <c r="CA1406" i="1"/>
  <c r="CN1406" i="1"/>
  <c r="CO1406" i="1"/>
  <c r="CP1406" i="1"/>
  <c r="CQ1406" i="1"/>
  <c r="G1960" i="1"/>
  <c r="U1960" i="1"/>
  <c r="W1960" i="1"/>
  <c r="AE1960" i="1"/>
  <c r="AK1960" i="1"/>
  <c r="AQ1960" i="1"/>
  <c r="AU1960" i="1"/>
  <c r="AV1960" i="1"/>
  <c r="AW1960" i="1"/>
  <c r="AX1960" i="1"/>
  <c r="AY1960" i="1"/>
  <c r="AZ1960" i="1"/>
  <c r="BA1960" i="1"/>
  <c r="BC1960" i="1"/>
  <c r="BD1960" i="1"/>
  <c r="BE1960" i="1"/>
  <c r="BF1960" i="1"/>
  <c r="BG1960" i="1"/>
  <c r="BH1960" i="1"/>
  <c r="BI1960" i="1"/>
  <c r="BJ1960" i="1"/>
  <c r="BM1960" i="1"/>
  <c r="CA1960" i="1"/>
  <c r="CN1960" i="1"/>
  <c r="CO1960" i="1"/>
  <c r="CP1960" i="1"/>
  <c r="CQ1960" i="1"/>
  <c r="G865" i="1"/>
  <c r="U865" i="1"/>
  <c r="W865" i="1"/>
  <c r="AE865" i="1"/>
  <c r="AK865" i="1"/>
  <c r="AQ865" i="1"/>
  <c r="AU865" i="1"/>
  <c r="AV865" i="1"/>
  <c r="AW865" i="1"/>
  <c r="AX865" i="1"/>
  <c r="AY865" i="1"/>
  <c r="AZ865" i="1"/>
  <c r="BA865" i="1"/>
  <c r="BC865" i="1"/>
  <c r="BD865" i="1"/>
  <c r="BE865" i="1"/>
  <c r="BF865" i="1"/>
  <c r="BG865" i="1"/>
  <c r="BH865" i="1"/>
  <c r="BI865" i="1"/>
  <c r="BJ865" i="1"/>
  <c r="BM865" i="1"/>
  <c r="CA865" i="1"/>
  <c r="CN865" i="1"/>
  <c r="CO865" i="1"/>
  <c r="CP865" i="1"/>
  <c r="CQ865" i="1"/>
  <c r="G413" i="1"/>
  <c r="U413" i="1"/>
  <c r="W413" i="1"/>
  <c r="AE413" i="1"/>
  <c r="AK413" i="1"/>
  <c r="AQ413" i="1"/>
  <c r="AU413" i="1"/>
  <c r="AV413" i="1"/>
  <c r="AW413" i="1"/>
  <c r="AX413" i="1"/>
  <c r="AY413" i="1"/>
  <c r="AZ413" i="1"/>
  <c r="BA413" i="1"/>
  <c r="BC413" i="1"/>
  <c r="BD413" i="1"/>
  <c r="BE413" i="1"/>
  <c r="BF413" i="1"/>
  <c r="BG413" i="1"/>
  <c r="BH413" i="1"/>
  <c r="BI413" i="1"/>
  <c r="BJ413" i="1"/>
  <c r="BM413" i="1"/>
  <c r="CA413" i="1"/>
  <c r="CN413" i="1"/>
  <c r="CO413" i="1"/>
  <c r="CP413" i="1"/>
  <c r="CQ413" i="1"/>
  <c r="G171" i="1"/>
  <c r="U171" i="1"/>
  <c r="W171" i="1"/>
  <c r="AE171" i="1"/>
  <c r="AK171" i="1"/>
  <c r="AQ171" i="1"/>
  <c r="AU171" i="1"/>
  <c r="AV171" i="1"/>
  <c r="AW171" i="1"/>
  <c r="AX171" i="1"/>
  <c r="AY171" i="1"/>
  <c r="AZ171" i="1"/>
  <c r="BA171" i="1"/>
  <c r="BC171" i="1"/>
  <c r="BD171" i="1"/>
  <c r="BE171" i="1"/>
  <c r="BF171" i="1"/>
  <c r="BG171" i="1"/>
  <c r="BH171" i="1"/>
  <c r="BI171" i="1"/>
  <c r="BJ171" i="1"/>
  <c r="BM171" i="1"/>
  <c r="CA171" i="1"/>
  <c r="CN171" i="1"/>
  <c r="CO171" i="1"/>
  <c r="CP171" i="1"/>
  <c r="CQ171" i="1"/>
  <c r="G172" i="1"/>
  <c r="U172" i="1"/>
  <c r="W172" i="1"/>
  <c r="AE172" i="1"/>
  <c r="AK172" i="1"/>
  <c r="AQ172" i="1"/>
  <c r="AU172" i="1"/>
  <c r="AV172" i="1"/>
  <c r="AW172" i="1"/>
  <c r="AX172" i="1"/>
  <c r="AY172" i="1"/>
  <c r="AZ172" i="1"/>
  <c r="BA172" i="1"/>
  <c r="BC172" i="1"/>
  <c r="BD172" i="1"/>
  <c r="BE172" i="1"/>
  <c r="BF172" i="1"/>
  <c r="BG172" i="1"/>
  <c r="BH172" i="1"/>
  <c r="BI172" i="1"/>
  <c r="BJ172" i="1"/>
  <c r="BM172" i="1"/>
  <c r="CA172" i="1"/>
  <c r="CN172" i="1"/>
  <c r="CO172" i="1"/>
  <c r="CP172" i="1"/>
  <c r="CQ172" i="1"/>
  <c r="G1407" i="1"/>
  <c r="U1407" i="1"/>
  <c r="W1407" i="1"/>
  <c r="AE1407" i="1"/>
  <c r="AK1407" i="1"/>
  <c r="AQ1407" i="1"/>
  <c r="AU1407" i="1"/>
  <c r="AV1407" i="1"/>
  <c r="AW1407" i="1"/>
  <c r="AX1407" i="1"/>
  <c r="AY1407" i="1"/>
  <c r="AZ1407" i="1"/>
  <c r="BA1407" i="1"/>
  <c r="BC1407" i="1"/>
  <c r="BD1407" i="1"/>
  <c r="BE1407" i="1"/>
  <c r="BF1407" i="1"/>
  <c r="BG1407" i="1"/>
  <c r="BH1407" i="1"/>
  <c r="BI1407" i="1"/>
  <c r="BJ1407" i="1"/>
  <c r="BM1407" i="1"/>
  <c r="CA1407" i="1"/>
  <c r="CN1407" i="1"/>
  <c r="CO1407" i="1"/>
  <c r="CP1407" i="1"/>
  <c r="CQ1407" i="1"/>
  <c r="G866" i="1"/>
  <c r="U866" i="1"/>
  <c r="W866" i="1"/>
  <c r="AE866" i="1"/>
  <c r="AK866" i="1"/>
  <c r="AQ866" i="1"/>
  <c r="AU866" i="1"/>
  <c r="AV866" i="1"/>
  <c r="AW866" i="1"/>
  <c r="AX866" i="1"/>
  <c r="AY866" i="1"/>
  <c r="AZ866" i="1"/>
  <c r="BA866" i="1"/>
  <c r="BC866" i="1"/>
  <c r="BD866" i="1"/>
  <c r="BE866" i="1"/>
  <c r="BF866" i="1"/>
  <c r="BG866" i="1"/>
  <c r="BH866" i="1"/>
  <c r="BI866" i="1"/>
  <c r="BJ866" i="1"/>
  <c r="BM866" i="1"/>
  <c r="CA866" i="1"/>
  <c r="CN866" i="1"/>
  <c r="CO866" i="1"/>
  <c r="CP866" i="1"/>
  <c r="CQ866" i="1"/>
  <c r="G867" i="1"/>
  <c r="U867" i="1"/>
  <c r="W867" i="1"/>
  <c r="AE867" i="1"/>
  <c r="AK867" i="1"/>
  <c r="AQ867" i="1"/>
  <c r="AU867" i="1"/>
  <c r="AV867" i="1"/>
  <c r="AW867" i="1"/>
  <c r="AX867" i="1"/>
  <c r="AY867" i="1"/>
  <c r="AZ867" i="1"/>
  <c r="BA867" i="1"/>
  <c r="BC867" i="1"/>
  <c r="BD867" i="1"/>
  <c r="BE867" i="1"/>
  <c r="BF867" i="1"/>
  <c r="BG867" i="1"/>
  <c r="BH867" i="1"/>
  <c r="BI867" i="1"/>
  <c r="BJ867" i="1"/>
  <c r="BM867" i="1"/>
  <c r="CA867" i="1"/>
  <c r="CN867" i="1"/>
  <c r="CO867" i="1"/>
  <c r="CP867" i="1"/>
  <c r="CQ867" i="1"/>
  <c r="G868" i="1"/>
  <c r="U868" i="1"/>
  <c r="W868" i="1"/>
  <c r="AE868" i="1"/>
  <c r="AK868" i="1"/>
  <c r="AQ868" i="1"/>
  <c r="AU868" i="1"/>
  <c r="AV868" i="1"/>
  <c r="AW868" i="1"/>
  <c r="AX868" i="1"/>
  <c r="AY868" i="1"/>
  <c r="AZ868" i="1"/>
  <c r="BA868" i="1"/>
  <c r="BC868" i="1"/>
  <c r="BD868" i="1"/>
  <c r="BE868" i="1"/>
  <c r="BF868" i="1"/>
  <c r="BG868" i="1"/>
  <c r="BH868" i="1"/>
  <c r="BI868" i="1"/>
  <c r="BJ868" i="1"/>
  <c r="BM868" i="1"/>
  <c r="CA868" i="1"/>
  <c r="CN868" i="1"/>
  <c r="CO868" i="1"/>
  <c r="CP868" i="1"/>
  <c r="CQ868" i="1"/>
  <c r="G1961" i="1"/>
  <c r="U1961" i="1"/>
  <c r="W1961" i="1"/>
  <c r="AE1961" i="1"/>
  <c r="AK1961" i="1"/>
  <c r="AQ1961" i="1"/>
  <c r="AU1961" i="1"/>
  <c r="AV1961" i="1"/>
  <c r="AW1961" i="1"/>
  <c r="AX1961" i="1"/>
  <c r="AY1961" i="1"/>
  <c r="AZ1961" i="1"/>
  <c r="BA1961" i="1"/>
  <c r="BC1961" i="1"/>
  <c r="BD1961" i="1"/>
  <c r="BE1961" i="1"/>
  <c r="BF1961" i="1"/>
  <c r="BG1961" i="1"/>
  <c r="BH1961" i="1"/>
  <c r="BI1961" i="1"/>
  <c r="BJ1961" i="1"/>
  <c r="BM1961" i="1"/>
  <c r="CA1961" i="1"/>
  <c r="CN1961" i="1"/>
  <c r="CO1961" i="1"/>
  <c r="CP1961" i="1"/>
  <c r="CQ1961" i="1"/>
  <c r="G1962" i="1"/>
  <c r="U1962" i="1"/>
  <c r="W1962" i="1"/>
  <c r="AE1962" i="1"/>
  <c r="AK1962" i="1"/>
  <c r="AQ1962" i="1"/>
  <c r="AU1962" i="1"/>
  <c r="AV1962" i="1"/>
  <c r="AW1962" i="1"/>
  <c r="AX1962" i="1"/>
  <c r="AY1962" i="1"/>
  <c r="AZ1962" i="1"/>
  <c r="BA1962" i="1"/>
  <c r="BC1962" i="1"/>
  <c r="BD1962" i="1"/>
  <c r="BE1962" i="1"/>
  <c r="BF1962" i="1"/>
  <c r="BG1962" i="1"/>
  <c r="BH1962" i="1"/>
  <c r="BI1962" i="1"/>
  <c r="BJ1962" i="1"/>
  <c r="BM1962" i="1"/>
  <c r="CA1962" i="1"/>
  <c r="CN1962" i="1"/>
  <c r="CO1962" i="1"/>
  <c r="CP1962" i="1"/>
  <c r="CQ1962" i="1"/>
  <c r="G173" i="1"/>
  <c r="U173" i="1"/>
  <c r="W173" i="1"/>
  <c r="AE173" i="1"/>
  <c r="AK173" i="1"/>
  <c r="AQ173" i="1"/>
  <c r="AU173" i="1"/>
  <c r="AV173" i="1"/>
  <c r="AW173" i="1"/>
  <c r="AX173" i="1"/>
  <c r="AY173" i="1"/>
  <c r="AZ173" i="1"/>
  <c r="BA173" i="1"/>
  <c r="BC173" i="1"/>
  <c r="BD173" i="1"/>
  <c r="BE173" i="1"/>
  <c r="BF173" i="1"/>
  <c r="BG173" i="1"/>
  <c r="BH173" i="1"/>
  <c r="BI173" i="1"/>
  <c r="BJ173" i="1"/>
  <c r="BM173" i="1"/>
  <c r="CA173" i="1"/>
  <c r="CN173" i="1"/>
  <c r="CO173" i="1"/>
  <c r="CP173" i="1"/>
  <c r="CQ173" i="1"/>
  <c r="G174" i="1"/>
  <c r="U174" i="1"/>
  <c r="W174" i="1"/>
  <c r="AE174" i="1"/>
  <c r="AK174" i="1"/>
  <c r="AQ174" i="1"/>
  <c r="AU174" i="1"/>
  <c r="AV174" i="1"/>
  <c r="AW174" i="1"/>
  <c r="AX174" i="1"/>
  <c r="AY174" i="1"/>
  <c r="AZ174" i="1"/>
  <c r="BA174" i="1"/>
  <c r="BC174" i="1"/>
  <c r="BD174" i="1"/>
  <c r="BE174" i="1"/>
  <c r="BF174" i="1"/>
  <c r="BG174" i="1"/>
  <c r="BH174" i="1"/>
  <c r="BI174" i="1"/>
  <c r="BJ174" i="1"/>
  <c r="BM174" i="1"/>
  <c r="CA174" i="1"/>
  <c r="CN174" i="1"/>
  <c r="CO174" i="1"/>
  <c r="CP174" i="1"/>
  <c r="CQ174" i="1"/>
  <c r="G869" i="1"/>
  <c r="U869" i="1"/>
  <c r="W869" i="1"/>
  <c r="AE869" i="1"/>
  <c r="AK869" i="1"/>
  <c r="AQ869" i="1"/>
  <c r="AU869" i="1"/>
  <c r="AV869" i="1"/>
  <c r="AW869" i="1"/>
  <c r="AX869" i="1"/>
  <c r="AY869" i="1"/>
  <c r="AZ869" i="1"/>
  <c r="BA869" i="1"/>
  <c r="BC869" i="1"/>
  <c r="BD869" i="1"/>
  <c r="BE869" i="1"/>
  <c r="BF869" i="1"/>
  <c r="BG869" i="1"/>
  <c r="BH869" i="1"/>
  <c r="BI869" i="1"/>
  <c r="BJ869" i="1"/>
  <c r="BM869" i="1"/>
  <c r="CA869" i="1"/>
  <c r="CN869" i="1"/>
  <c r="CO869" i="1"/>
  <c r="CP869" i="1"/>
  <c r="CQ869" i="1"/>
  <c r="G870" i="1"/>
  <c r="U870" i="1"/>
  <c r="W870" i="1"/>
  <c r="AE870" i="1"/>
  <c r="AK870" i="1"/>
  <c r="AQ870" i="1"/>
  <c r="AU870" i="1"/>
  <c r="AV870" i="1"/>
  <c r="AW870" i="1"/>
  <c r="AX870" i="1"/>
  <c r="AY870" i="1"/>
  <c r="AZ870" i="1"/>
  <c r="BA870" i="1"/>
  <c r="BC870" i="1"/>
  <c r="BD870" i="1"/>
  <c r="BE870" i="1"/>
  <c r="BF870" i="1"/>
  <c r="BG870" i="1"/>
  <c r="BH870" i="1"/>
  <c r="BI870" i="1"/>
  <c r="BJ870" i="1"/>
  <c r="BM870" i="1"/>
  <c r="CA870" i="1"/>
  <c r="CN870" i="1"/>
  <c r="CO870" i="1"/>
  <c r="CP870" i="1"/>
  <c r="CQ870" i="1"/>
  <c r="G1963" i="1"/>
  <c r="U1963" i="1"/>
  <c r="W1963" i="1"/>
  <c r="AE1963" i="1"/>
  <c r="AK1963" i="1"/>
  <c r="AQ1963" i="1"/>
  <c r="AU1963" i="1"/>
  <c r="AV1963" i="1"/>
  <c r="AW1963" i="1"/>
  <c r="AX1963" i="1"/>
  <c r="AY1963" i="1"/>
  <c r="AZ1963" i="1"/>
  <c r="BA1963" i="1"/>
  <c r="BC1963" i="1"/>
  <c r="BD1963" i="1"/>
  <c r="BE1963" i="1"/>
  <c r="BF1963" i="1"/>
  <c r="BG1963" i="1"/>
  <c r="BH1963" i="1"/>
  <c r="BI1963" i="1"/>
  <c r="BJ1963" i="1"/>
  <c r="BM1963" i="1"/>
  <c r="CA1963" i="1"/>
  <c r="CN1963" i="1"/>
  <c r="CO1963" i="1"/>
  <c r="CP1963" i="1"/>
  <c r="CQ1963" i="1"/>
  <c r="G1964" i="1"/>
  <c r="U1964" i="1"/>
  <c r="W1964" i="1"/>
  <c r="AE1964" i="1"/>
  <c r="AK1964" i="1"/>
  <c r="AQ1964" i="1"/>
  <c r="AU1964" i="1"/>
  <c r="AV1964" i="1"/>
  <c r="AW1964" i="1"/>
  <c r="AX1964" i="1"/>
  <c r="AY1964" i="1"/>
  <c r="AZ1964" i="1"/>
  <c r="BA1964" i="1"/>
  <c r="BC1964" i="1"/>
  <c r="BD1964" i="1"/>
  <c r="BE1964" i="1"/>
  <c r="BF1964" i="1"/>
  <c r="BG1964" i="1"/>
  <c r="BH1964" i="1"/>
  <c r="BI1964" i="1"/>
  <c r="BJ1964" i="1"/>
  <c r="BM1964" i="1"/>
  <c r="CA1964" i="1"/>
  <c r="CN1964" i="1"/>
  <c r="CO1964" i="1"/>
  <c r="CP1964" i="1"/>
  <c r="CQ1964" i="1"/>
  <c r="G1408" i="1"/>
  <c r="U1408" i="1"/>
  <c r="W1408" i="1"/>
  <c r="AE1408" i="1"/>
  <c r="AK1408" i="1"/>
  <c r="AQ1408" i="1"/>
  <c r="AU1408" i="1"/>
  <c r="AV1408" i="1"/>
  <c r="AW1408" i="1"/>
  <c r="AX1408" i="1"/>
  <c r="AY1408" i="1"/>
  <c r="AZ1408" i="1"/>
  <c r="BA1408" i="1"/>
  <c r="BC1408" i="1"/>
  <c r="BD1408" i="1"/>
  <c r="BE1408" i="1"/>
  <c r="BF1408" i="1"/>
  <c r="BG1408" i="1"/>
  <c r="BH1408" i="1"/>
  <c r="BI1408" i="1"/>
  <c r="BJ1408" i="1"/>
  <c r="BM1408" i="1"/>
  <c r="CA1408" i="1"/>
  <c r="CN1408" i="1"/>
  <c r="CO1408" i="1"/>
  <c r="CP1408" i="1"/>
  <c r="CQ1408" i="1"/>
  <c r="G1965" i="1"/>
  <c r="U1965" i="1"/>
  <c r="W1965" i="1"/>
  <c r="AE1965" i="1"/>
  <c r="AK1965" i="1"/>
  <c r="AQ1965" i="1"/>
  <c r="AU1965" i="1"/>
  <c r="AV1965" i="1"/>
  <c r="AW1965" i="1"/>
  <c r="AX1965" i="1"/>
  <c r="AY1965" i="1"/>
  <c r="AZ1965" i="1"/>
  <c r="BA1965" i="1"/>
  <c r="BC1965" i="1"/>
  <c r="BD1965" i="1"/>
  <c r="BE1965" i="1"/>
  <c r="BF1965" i="1"/>
  <c r="BG1965" i="1"/>
  <c r="BH1965" i="1"/>
  <c r="BI1965" i="1"/>
  <c r="BJ1965" i="1"/>
  <c r="BM1965" i="1"/>
  <c r="CA1965" i="1"/>
  <c r="CN1965" i="1"/>
  <c r="CO1965" i="1"/>
  <c r="CP1965" i="1"/>
  <c r="CQ1965" i="1"/>
  <c r="G1966" i="1"/>
  <c r="U1966" i="1"/>
  <c r="W1966" i="1"/>
  <c r="AE1966" i="1"/>
  <c r="AK1966" i="1"/>
  <c r="AQ1966" i="1"/>
  <c r="AU1966" i="1"/>
  <c r="AV1966" i="1"/>
  <c r="AW1966" i="1"/>
  <c r="AX1966" i="1"/>
  <c r="AY1966" i="1"/>
  <c r="AZ1966" i="1"/>
  <c r="BA1966" i="1"/>
  <c r="BC1966" i="1"/>
  <c r="BD1966" i="1"/>
  <c r="BE1966" i="1"/>
  <c r="BF1966" i="1"/>
  <c r="BG1966" i="1"/>
  <c r="BH1966" i="1"/>
  <c r="BI1966" i="1"/>
  <c r="BJ1966" i="1"/>
  <c r="BM1966" i="1"/>
  <c r="CA1966" i="1"/>
  <c r="CN1966" i="1"/>
  <c r="CO1966" i="1"/>
  <c r="CP1966" i="1"/>
  <c r="CQ1966" i="1"/>
  <c r="G871" i="1"/>
  <c r="U871" i="1"/>
  <c r="W871" i="1"/>
  <c r="AE871" i="1"/>
  <c r="AK871" i="1"/>
  <c r="AQ871" i="1"/>
  <c r="AU871" i="1"/>
  <c r="AV871" i="1"/>
  <c r="AW871" i="1"/>
  <c r="AX871" i="1"/>
  <c r="AY871" i="1"/>
  <c r="AZ871" i="1"/>
  <c r="BA871" i="1"/>
  <c r="BC871" i="1"/>
  <c r="BD871" i="1"/>
  <c r="BE871" i="1"/>
  <c r="BF871" i="1"/>
  <c r="BG871" i="1"/>
  <c r="BH871" i="1"/>
  <c r="BI871" i="1"/>
  <c r="BJ871" i="1"/>
  <c r="BM871" i="1"/>
  <c r="CA871" i="1"/>
  <c r="CN871" i="1"/>
  <c r="CO871" i="1"/>
  <c r="CP871" i="1"/>
  <c r="CQ871" i="1"/>
  <c r="G872" i="1"/>
  <c r="U872" i="1"/>
  <c r="W872" i="1"/>
  <c r="AE872" i="1"/>
  <c r="AK872" i="1"/>
  <c r="AQ872" i="1"/>
  <c r="AU872" i="1"/>
  <c r="AV872" i="1"/>
  <c r="AW872" i="1"/>
  <c r="AX872" i="1"/>
  <c r="AY872" i="1"/>
  <c r="AZ872" i="1"/>
  <c r="BA872" i="1"/>
  <c r="BC872" i="1"/>
  <c r="BD872" i="1"/>
  <c r="BE872" i="1"/>
  <c r="BF872" i="1"/>
  <c r="BG872" i="1"/>
  <c r="BH872" i="1"/>
  <c r="BI872" i="1"/>
  <c r="BJ872" i="1"/>
  <c r="BM872" i="1"/>
  <c r="CA872" i="1"/>
  <c r="CN872" i="1"/>
  <c r="CO872" i="1"/>
  <c r="CP872" i="1"/>
  <c r="CQ872" i="1"/>
  <c r="G175" i="1"/>
  <c r="U175" i="1"/>
  <c r="W175" i="1"/>
  <c r="AE175" i="1"/>
  <c r="AK175" i="1"/>
  <c r="AQ175" i="1"/>
  <c r="AU175" i="1"/>
  <c r="AV175" i="1"/>
  <c r="AW175" i="1"/>
  <c r="AX175" i="1"/>
  <c r="AY175" i="1"/>
  <c r="AZ175" i="1"/>
  <c r="BA175" i="1"/>
  <c r="BC175" i="1"/>
  <c r="BD175" i="1"/>
  <c r="BE175" i="1"/>
  <c r="BF175" i="1"/>
  <c r="BG175" i="1"/>
  <c r="BH175" i="1"/>
  <c r="BI175" i="1"/>
  <c r="BJ175" i="1"/>
  <c r="BM175" i="1"/>
  <c r="CA175" i="1"/>
  <c r="CN175" i="1"/>
  <c r="CO175" i="1"/>
  <c r="CP175" i="1"/>
  <c r="CQ175" i="1"/>
  <c r="G873" i="1"/>
  <c r="U873" i="1"/>
  <c r="W873" i="1"/>
  <c r="AE873" i="1"/>
  <c r="AK873" i="1"/>
  <c r="AQ873" i="1"/>
  <c r="AU873" i="1"/>
  <c r="AV873" i="1"/>
  <c r="AW873" i="1"/>
  <c r="AX873" i="1"/>
  <c r="AY873" i="1"/>
  <c r="AZ873" i="1"/>
  <c r="BA873" i="1"/>
  <c r="BC873" i="1"/>
  <c r="BD873" i="1"/>
  <c r="BE873" i="1"/>
  <c r="BF873" i="1"/>
  <c r="BG873" i="1"/>
  <c r="BH873" i="1"/>
  <c r="BI873" i="1"/>
  <c r="BJ873" i="1"/>
  <c r="BM873" i="1"/>
  <c r="CA873" i="1"/>
  <c r="CN873" i="1"/>
  <c r="CO873" i="1"/>
  <c r="CP873" i="1"/>
  <c r="CQ873" i="1"/>
  <c r="G874" i="1"/>
  <c r="U874" i="1"/>
  <c r="W874" i="1"/>
  <c r="AE874" i="1"/>
  <c r="AK874" i="1"/>
  <c r="AQ874" i="1"/>
  <c r="AU874" i="1"/>
  <c r="AV874" i="1"/>
  <c r="AW874" i="1"/>
  <c r="AX874" i="1"/>
  <c r="AY874" i="1"/>
  <c r="AZ874" i="1"/>
  <c r="BA874" i="1"/>
  <c r="BC874" i="1"/>
  <c r="BD874" i="1"/>
  <c r="BE874" i="1"/>
  <c r="BF874" i="1"/>
  <c r="BG874" i="1"/>
  <c r="BH874" i="1"/>
  <c r="BI874" i="1"/>
  <c r="BJ874" i="1"/>
  <c r="BM874" i="1"/>
  <c r="CA874" i="1"/>
  <c r="CN874" i="1"/>
  <c r="CO874" i="1"/>
  <c r="CP874" i="1"/>
  <c r="CQ874" i="1"/>
  <c r="G1967" i="1"/>
  <c r="U1967" i="1"/>
  <c r="W1967" i="1"/>
  <c r="AE1967" i="1"/>
  <c r="AK1967" i="1"/>
  <c r="AQ1967" i="1"/>
  <c r="AU1967" i="1"/>
  <c r="AV1967" i="1"/>
  <c r="AW1967" i="1"/>
  <c r="AX1967" i="1"/>
  <c r="AY1967" i="1"/>
  <c r="AZ1967" i="1"/>
  <c r="BA1967" i="1"/>
  <c r="BC1967" i="1"/>
  <c r="BD1967" i="1"/>
  <c r="BE1967" i="1"/>
  <c r="BF1967" i="1"/>
  <c r="BG1967" i="1"/>
  <c r="BH1967" i="1"/>
  <c r="BI1967" i="1"/>
  <c r="BJ1967" i="1"/>
  <c r="BM1967" i="1"/>
  <c r="CA1967" i="1"/>
  <c r="CN1967" i="1"/>
  <c r="CO1967" i="1"/>
  <c r="CP1967" i="1"/>
  <c r="CQ1967" i="1"/>
  <c r="G1968" i="1"/>
  <c r="U1968" i="1"/>
  <c r="W1968" i="1"/>
  <c r="AE1968" i="1"/>
  <c r="AK1968" i="1"/>
  <c r="AQ1968" i="1"/>
  <c r="AU1968" i="1"/>
  <c r="AV1968" i="1"/>
  <c r="AW1968" i="1"/>
  <c r="AX1968" i="1"/>
  <c r="AY1968" i="1"/>
  <c r="AZ1968" i="1"/>
  <c r="BA1968" i="1"/>
  <c r="BC1968" i="1"/>
  <c r="BD1968" i="1"/>
  <c r="BE1968" i="1"/>
  <c r="BF1968" i="1"/>
  <c r="BG1968" i="1"/>
  <c r="BH1968" i="1"/>
  <c r="BI1968" i="1"/>
  <c r="BJ1968" i="1"/>
  <c r="BM1968" i="1"/>
  <c r="CA1968" i="1"/>
  <c r="CN1968" i="1"/>
  <c r="CO1968" i="1"/>
  <c r="CP1968" i="1"/>
  <c r="CQ1968" i="1"/>
  <c r="G875" i="1"/>
  <c r="U875" i="1"/>
  <c r="W875" i="1"/>
  <c r="AE875" i="1"/>
  <c r="AK875" i="1"/>
  <c r="AQ875" i="1"/>
  <c r="AU875" i="1"/>
  <c r="AV875" i="1"/>
  <c r="AW875" i="1"/>
  <c r="AX875" i="1"/>
  <c r="AY875" i="1"/>
  <c r="AZ875" i="1"/>
  <c r="BA875" i="1"/>
  <c r="BC875" i="1"/>
  <c r="BD875" i="1"/>
  <c r="BE875" i="1"/>
  <c r="BF875" i="1"/>
  <c r="BG875" i="1"/>
  <c r="BH875" i="1"/>
  <c r="BI875" i="1"/>
  <c r="BJ875" i="1"/>
  <c r="BM875" i="1"/>
  <c r="CA875" i="1"/>
  <c r="CN875" i="1"/>
  <c r="CO875" i="1"/>
  <c r="CP875" i="1"/>
  <c r="CQ875" i="1"/>
  <c r="G1969" i="1"/>
  <c r="U1969" i="1"/>
  <c r="W1969" i="1"/>
  <c r="AE1969" i="1"/>
  <c r="AK1969" i="1"/>
  <c r="AQ1969" i="1"/>
  <c r="AU1969" i="1"/>
  <c r="AV1969" i="1"/>
  <c r="AW1969" i="1"/>
  <c r="AX1969" i="1"/>
  <c r="AY1969" i="1"/>
  <c r="AZ1969" i="1"/>
  <c r="BA1969" i="1"/>
  <c r="BC1969" i="1"/>
  <c r="BD1969" i="1"/>
  <c r="BE1969" i="1"/>
  <c r="BF1969" i="1"/>
  <c r="BG1969" i="1"/>
  <c r="BH1969" i="1"/>
  <c r="BI1969" i="1"/>
  <c r="BJ1969" i="1"/>
  <c r="BM1969" i="1"/>
  <c r="CA1969" i="1"/>
  <c r="CN1969" i="1"/>
  <c r="CO1969" i="1"/>
  <c r="CP1969" i="1"/>
  <c r="CQ1969" i="1"/>
  <c r="G876" i="1"/>
  <c r="U876" i="1"/>
  <c r="W876" i="1"/>
  <c r="AE876" i="1"/>
  <c r="AK876" i="1"/>
  <c r="AQ876" i="1"/>
  <c r="AU876" i="1"/>
  <c r="AV876" i="1"/>
  <c r="AW876" i="1"/>
  <c r="AX876" i="1"/>
  <c r="AY876" i="1"/>
  <c r="AZ876" i="1"/>
  <c r="BA876" i="1"/>
  <c r="BC876" i="1"/>
  <c r="BD876" i="1"/>
  <c r="BE876" i="1"/>
  <c r="BF876" i="1"/>
  <c r="BG876" i="1"/>
  <c r="BH876" i="1"/>
  <c r="BI876" i="1"/>
  <c r="BJ876" i="1"/>
  <c r="BM876" i="1"/>
  <c r="CA876" i="1"/>
  <c r="CN876" i="1"/>
  <c r="CO876" i="1"/>
  <c r="CP876" i="1"/>
  <c r="CQ876" i="1"/>
  <c r="G877" i="1"/>
  <c r="U877" i="1"/>
  <c r="W877" i="1"/>
  <c r="AE877" i="1"/>
  <c r="AK877" i="1"/>
  <c r="AQ877" i="1"/>
  <c r="AU877" i="1"/>
  <c r="AV877" i="1"/>
  <c r="AW877" i="1"/>
  <c r="AX877" i="1"/>
  <c r="AY877" i="1"/>
  <c r="AZ877" i="1"/>
  <c r="BA877" i="1"/>
  <c r="BC877" i="1"/>
  <c r="BD877" i="1"/>
  <c r="BE877" i="1"/>
  <c r="BF877" i="1"/>
  <c r="BG877" i="1"/>
  <c r="BH877" i="1"/>
  <c r="BI877" i="1"/>
  <c r="BJ877" i="1"/>
  <c r="BM877" i="1"/>
  <c r="CA877" i="1"/>
  <c r="CN877" i="1"/>
  <c r="CO877" i="1"/>
  <c r="CP877" i="1"/>
  <c r="CQ877" i="1"/>
  <c r="G1970" i="1"/>
  <c r="U1970" i="1"/>
  <c r="W1970" i="1"/>
  <c r="AE1970" i="1"/>
  <c r="AK1970" i="1"/>
  <c r="AQ1970" i="1"/>
  <c r="AU1970" i="1"/>
  <c r="AV1970" i="1"/>
  <c r="AW1970" i="1"/>
  <c r="AX1970" i="1"/>
  <c r="AY1970" i="1"/>
  <c r="AZ1970" i="1"/>
  <c r="BA1970" i="1"/>
  <c r="BC1970" i="1"/>
  <c r="BD1970" i="1"/>
  <c r="BE1970" i="1"/>
  <c r="BF1970" i="1"/>
  <c r="BG1970" i="1"/>
  <c r="BH1970" i="1"/>
  <c r="BI1970" i="1"/>
  <c r="BJ1970" i="1"/>
  <c r="BM1970" i="1"/>
  <c r="CA1970" i="1"/>
  <c r="CN1970" i="1"/>
  <c r="CO1970" i="1"/>
  <c r="CP1970" i="1"/>
  <c r="CQ1970" i="1"/>
  <c r="G878" i="1"/>
  <c r="U878" i="1"/>
  <c r="W878" i="1"/>
  <c r="AE878" i="1"/>
  <c r="AK878" i="1"/>
  <c r="AQ878" i="1"/>
  <c r="AU878" i="1"/>
  <c r="AV878" i="1"/>
  <c r="AW878" i="1"/>
  <c r="AX878" i="1"/>
  <c r="AY878" i="1"/>
  <c r="AZ878" i="1"/>
  <c r="BA878" i="1"/>
  <c r="BC878" i="1"/>
  <c r="BD878" i="1"/>
  <c r="BE878" i="1"/>
  <c r="BF878" i="1"/>
  <c r="BG878" i="1"/>
  <c r="BH878" i="1"/>
  <c r="BI878" i="1"/>
  <c r="BJ878" i="1"/>
  <c r="BM878" i="1"/>
  <c r="CA878" i="1"/>
  <c r="CN878" i="1"/>
  <c r="CO878" i="1"/>
  <c r="CP878" i="1"/>
  <c r="CQ878" i="1"/>
  <c r="G879" i="1"/>
  <c r="U879" i="1"/>
  <c r="W879" i="1"/>
  <c r="AE879" i="1"/>
  <c r="AK879" i="1"/>
  <c r="AQ879" i="1"/>
  <c r="AU879" i="1"/>
  <c r="AV879" i="1"/>
  <c r="AW879" i="1"/>
  <c r="AX879" i="1"/>
  <c r="AY879" i="1"/>
  <c r="AZ879" i="1"/>
  <c r="BA879" i="1"/>
  <c r="BC879" i="1"/>
  <c r="BD879" i="1"/>
  <c r="BE879" i="1"/>
  <c r="BF879" i="1"/>
  <c r="BG879" i="1"/>
  <c r="BH879" i="1"/>
  <c r="BI879" i="1"/>
  <c r="BJ879" i="1"/>
  <c r="BM879" i="1"/>
  <c r="CA879" i="1"/>
  <c r="CN879" i="1"/>
  <c r="CO879" i="1"/>
  <c r="CP879" i="1"/>
  <c r="CQ879" i="1"/>
  <c r="G880" i="1"/>
  <c r="U880" i="1"/>
  <c r="W880" i="1"/>
  <c r="AE880" i="1"/>
  <c r="AK880" i="1"/>
  <c r="AQ880" i="1"/>
  <c r="AU880" i="1"/>
  <c r="AV880" i="1"/>
  <c r="AW880" i="1"/>
  <c r="AX880" i="1"/>
  <c r="AY880" i="1"/>
  <c r="AZ880" i="1"/>
  <c r="BA880" i="1"/>
  <c r="BC880" i="1"/>
  <c r="BD880" i="1"/>
  <c r="BE880" i="1"/>
  <c r="BF880" i="1"/>
  <c r="BG880" i="1"/>
  <c r="BH880" i="1"/>
  <c r="BI880" i="1"/>
  <c r="BJ880" i="1"/>
  <c r="BM880" i="1"/>
  <c r="CA880" i="1"/>
  <c r="CN880" i="1"/>
  <c r="CO880" i="1"/>
  <c r="CP880" i="1"/>
  <c r="CQ880" i="1"/>
  <c r="G1971" i="1"/>
  <c r="U1971" i="1"/>
  <c r="W1971" i="1"/>
  <c r="AE1971" i="1"/>
  <c r="AK1971" i="1"/>
  <c r="AQ1971" i="1"/>
  <c r="AU1971" i="1"/>
  <c r="AV1971" i="1"/>
  <c r="AW1971" i="1"/>
  <c r="AX1971" i="1"/>
  <c r="AY1971" i="1"/>
  <c r="AZ1971" i="1"/>
  <c r="BA1971" i="1"/>
  <c r="BC1971" i="1"/>
  <c r="BD1971" i="1"/>
  <c r="BE1971" i="1"/>
  <c r="BF1971" i="1"/>
  <c r="BG1971" i="1"/>
  <c r="BH1971" i="1"/>
  <c r="BI1971" i="1"/>
  <c r="BJ1971" i="1"/>
  <c r="BM1971" i="1"/>
  <c r="CA1971" i="1"/>
  <c r="CN1971" i="1"/>
  <c r="CO1971" i="1"/>
  <c r="CP1971" i="1"/>
  <c r="CQ1971" i="1"/>
  <c r="G881" i="1"/>
  <c r="U881" i="1"/>
  <c r="W881" i="1"/>
  <c r="AE881" i="1"/>
  <c r="AK881" i="1"/>
  <c r="AQ881" i="1"/>
  <c r="AU881" i="1"/>
  <c r="AV881" i="1"/>
  <c r="AW881" i="1"/>
  <c r="AX881" i="1"/>
  <c r="AY881" i="1"/>
  <c r="AZ881" i="1"/>
  <c r="BA881" i="1"/>
  <c r="BC881" i="1"/>
  <c r="BD881" i="1"/>
  <c r="BE881" i="1"/>
  <c r="BF881" i="1"/>
  <c r="BG881" i="1"/>
  <c r="BH881" i="1"/>
  <c r="BI881" i="1"/>
  <c r="BJ881" i="1"/>
  <c r="BM881" i="1"/>
  <c r="CA881" i="1"/>
  <c r="CN881" i="1"/>
  <c r="CO881" i="1"/>
  <c r="CP881" i="1"/>
  <c r="CQ881" i="1"/>
  <c r="G1972" i="1"/>
  <c r="U1972" i="1"/>
  <c r="W1972" i="1"/>
  <c r="AE1972" i="1"/>
  <c r="AK1972" i="1"/>
  <c r="AQ1972" i="1"/>
  <c r="AU1972" i="1"/>
  <c r="AV1972" i="1"/>
  <c r="AW1972" i="1"/>
  <c r="AX1972" i="1"/>
  <c r="AY1972" i="1"/>
  <c r="AZ1972" i="1"/>
  <c r="BA1972" i="1"/>
  <c r="BC1972" i="1"/>
  <c r="BD1972" i="1"/>
  <c r="BE1972" i="1"/>
  <c r="BF1972" i="1"/>
  <c r="BG1972" i="1"/>
  <c r="BH1972" i="1"/>
  <c r="BI1972" i="1"/>
  <c r="BJ1972" i="1"/>
  <c r="BM1972" i="1"/>
  <c r="CA1972" i="1"/>
  <c r="CN1972" i="1"/>
  <c r="CO1972" i="1"/>
  <c r="CP1972" i="1"/>
  <c r="CQ1972" i="1"/>
  <c r="G1973" i="1"/>
  <c r="U1973" i="1"/>
  <c r="W1973" i="1"/>
  <c r="AE1973" i="1"/>
  <c r="AK1973" i="1"/>
  <c r="AQ1973" i="1"/>
  <c r="AU1973" i="1"/>
  <c r="AV1973" i="1"/>
  <c r="AW1973" i="1"/>
  <c r="AX1973" i="1"/>
  <c r="AY1973" i="1"/>
  <c r="AZ1973" i="1"/>
  <c r="BA1973" i="1"/>
  <c r="BC1973" i="1"/>
  <c r="BD1973" i="1"/>
  <c r="BE1973" i="1"/>
  <c r="BF1973" i="1"/>
  <c r="BG1973" i="1"/>
  <c r="BH1973" i="1"/>
  <c r="BI1973" i="1"/>
  <c r="BJ1973" i="1"/>
  <c r="BM1973" i="1"/>
  <c r="CA1973" i="1"/>
  <c r="CN1973" i="1"/>
  <c r="CO1973" i="1"/>
  <c r="CP1973" i="1"/>
  <c r="CQ1973" i="1"/>
  <c r="G882" i="1"/>
  <c r="U882" i="1"/>
  <c r="W882" i="1"/>
  <c r="AE882" i="1"/>
  <c r="AK882" i="1"/>
  <c r="AQ882" i="1"/>
  <c r="AU882" i="1"/>
  <c r="AV882" i="1"/>
  <c r="AW882" i="1"/>
  <c r="AX882" i="1"/>
  <c r="AY882" i="1"/>
  <c r="AZ882" i="1"/>
  <c r="BA882" i="1"/>
  <c r="BC882" i="1"/>
  <c r="BD882" i="1"/>
  <c r="BE882" i="1"/>
  <c r="BF882" i="1"/>
  <c r="BG882" i="1"/>
  <c r="BH882" i="1"/>
  <c r="BI882" i="1"/>
  <c r="BJ882" i="1"/>
  <c r="BM882" i="1"/>
  <c r="CA882" i="1"/>
  <c r="CN882" i="1"/>
  <c r="CO882" i="1"/>
  <c r="CP882" i="1"/>
  <c r="CQ882" i="1"/>
  <c r="G1974" i="1"/>
  <c r="U1974" i="1"/>
  <c r="W1974" i="1"/>
  <c r="AE1974" i="1"/>
  <c r="AK1974" i="1"/>
  <c r="AQ1974" i="1"/>
  <c r="AU1974" i="1"/>
  <c r="AV1974" i="1"/>
  <c r="AW1974" i="1"/>
  <c r="AX1974" i="1"/>
  <c r="AY1974" i="1"/>
  <c r="AZ1974" i="1"/>
  <c r="BA1974" i="1"/>
  <c r="BC1974" i="1"/>
  <c r="BD1974" i="1"/>
  <c r="BE1974" i="1"/>
  <c r="BF1974" i="1"/>
  <c r="BG1974" i="1"/>
  <c r="BH1974" i="1"/>
  <c r="BI1974" i="1"/>
  <c r="BJ1974" i="1"/>
  <c r="BM1974" i="1"/>
  <c r="CA1974" i="1"/>
  <c r="CN1974" i="1"/>
  <c r="CO1974" i="1"/>
  <c r="CP1974" i="1"/>
  <c r="CQ1974" i="1"/>
  <c r="G1409" i="1"/>
  <c r="U1409" i="1"/>
  <c r="W1409" i="1"/>
  <c r="AE1409" i="1"/>
  <c r="AK1409" i="1"/>
  <c r="AQ1409" i="1"/>
  <c r="AU1409" i="1"/>
  <c r="AV1409" i="1"/>
  <c r="AW1409" i="1"/>
  <c r="AX1409" i="1"/>
  <c r="AY1409" i="1"/>
  <c r="AZ1409" i="1"/>
  <c r="BA1409" i="1"/>
  <c r="BC1409" i="1"/>
  <c r="BD1409" i="1"/>
  <c r="BE1409" i="1"/>
  <c r="BF1409" i="1"/>
  <c r="BG1409" i="1"/>
  <c r="BH1409" i="1"/>
  <c r="BI1409" i="1"/>
  <c r="BJ1409" i="1"/>
  <c r="BM1409" i="1"/>
  <c r="CA1409" i="1"/>
  <c r="CN1409" i="1"/>
  <c r="CO1409" i="1"/>
  <c r="CP1409" i="1"/>
  <c r="CQ1409" i="1"/>
  <c r="G176" i="1"/>
  <c r="U176" i="1"/>
  <c r="W176" i="1"/>
  <c r="AE176" i="1"/>
  <c r="AK176" i="1"/>
  <c r="AQ176" i="1"/>
  <c r="AU176" i="1"/>
  <c r="AV176" i="1"/>
  <c r="AW176" i="1"/>
  <c r="AX176" i="1"/>
  <c r="AY176" i="1"/>
  <c r="AZ176" i="1"/>
  <c r="BA176" i="1"/>
  <c r="BC176" i="1"/>
  <c r="BD176" i="1"/>
  <c r="BE176" i="1"/>
  <c r="BF176" i="1"/>
  <c r="BG176" i="1"/>
  <c r="BH176" i="1"/>
  <c r="BI176" i="1"/>
  <c r="BJ176" i="1"/>
  <c r="BM176" i="1"/>
  <c r="CA176" i="1"/>
  <c r="CN176" i="1"/>
  <c r="CO176" i="1"/>
  <c r="CP176" i="1"/>
  <c r="CQ176" i="1"/>
  <c r="G1975" i="1"/>
  <c r="U1975" i="1"/>
  <c r="W1975" i="1"/>
  <c r="AE1975" i="1"/>
  <c r="AK1975" i="1"/>
  <c r="AQ1975" i="1"/>
  <c r="AU1975" i="1"/>
  <c r="AV1975" i="1"/>
  <c r="AW1975" i="1"/>
  <c r="AX1975" i="1"/>
  <c r="AY1975" i="1"/>
  <c r="AZ1975" i="1"/>
  <c r="BA1975" i="1"/>
  <c r="BC1975" i="1"/>
  <c r="BD1975" i="1"/>
  <c r="BE1975" i="1"/>
  <c r="BF1975" i="1"/>
  <c r="BG1975" i="1"/>
  <c r="BH1975" i="1"/>
  <c r="BI1975" i="1"/>
  <c r="BJ1975" i="1"/>
  <c r="BM1975" i="1"/>
  <c r="CA1975" i="1"/>
  <c r="CN1975" i="1"/>
  <c r="CO1975" i="1"/>
  <c r="CP1975" i="1"/>
  <c r="CQ1975" i="1"/>
  <c r="G1976" i="1"/>
  <c r="U1976" i="1"/>
  <c r="W1976" i="1"/>
  <c r="AE1976" i="1"/>
  <c r="AK1976" i="1"/>
  <c r="AQ1976" i="1"/>
  <c r="AU1976" i="1"/>
  <c r="AV1976" i="1"/>
  <c r="AW1976" i="1"/>
  <c r="AX1976" i="1"/>
  <c r="AY1976" i="1"/>
  <c r="AZ1976" i="1"/>
  <c r="BA1976" i="1"/>
  <c r="BC1976" i="1"/>
  <c r="BD1976" i="1"/>
  <c r="BE1976" i="1"/>
  <c r="BF1976" i="1"/>
  <c r="BG1976" i="1"/>
  <c r="BH1976" i="1"/>
  <c r="BI1976" i="1"/>
  <c r="BJ1976" i="1"/>
  <c r="BM1976" i="1"/>
  <c r="CA1976" i="1"/>
  <c r="CN1976" i="1"/>
  <c r="CO1976" i="1"/>
  <c r="CP1976" i="1"/>
  <c r="CQ1976" i="1"/>
  <c r="G177" i="1"/>
  <c r="U177" i="1"/>
  <c r="W177" i="1"/>
  <c r="AE177" i="1"/>
  <c r="AK177" i="1"/>
  <c r="AQ177" i="1"/>
  <c r="AU177" i="1"/>
  <c r="AV177" i="1"/>
  <c r="AW177" i="1"/>
  <c r="AX177" i="1"/>
  <c r="AY177" i="1"/>
  <c r="AZ177" i="1"/>
  <c r="BA177" i="1"/>
  <c r="BC177" i="1"/>
  <c r="BD177" i="1"/>
  <c r="BE177" i="1"/>
  <c r="BF177" i="1"/>
  <c r="BG177" i="1"/>
  <c r="BH177" i="1"/>
  <c r="BI177" i="1"/>
  <c r="BJ177" i="1"/>
  <c r="BM177" i="1"/>
  <c r="CA177" i="1"/>
  <c r="CN177" i="1"/>
  <c r="CO177" i="1"/>
  <c r="CP177" i="1"/>
  <c r="CQ177" i="1"/>
  <c r="G178" i="1"/>
  <c r="U178" i="1"/>
  <c r="W178" i="1"/>
  <c r="AE178" i="1"/>
  <c r="AK178" i="1"/>
  <c r="AQ178" i="1"/>
  <c r="AU178" i="1"/>
  <c r="AV178" i="1"/>
  <c r="AW178" i="1"/>
  <c r="AX178" i="1"/>
  <c r="AY178" i="1"/>
  <c r="AZ178" i="1"/>
  <c r="BA178" i="1"/>
  <c r="BC178" i="1"/>
  <c r="BD178" i="1"/>
  <c r="BE178" i="1"/>
  <c r="BF178" i="1"/>
  <c r="BG178" i="1"/>
  <c r="BH178" i="1"/>
  <c r="BI178" i="1"/>
  <c r="BJ178" i="1"/>
  <c r="BM178" i="1"/>
  <c r="CA178" i="1"/>
  <c r="CN178" i="1"/>
  <c r="CO178" i="1"/>
  <c r="CP178" i="1"/>
  <c r="CQ178" i="1"/>
  <c r="G1977" i="1"/>
  <c r="U1977" i="1"/>
  <c r="W1977" i="1"/>
  <c r="AE1977" i="1"/>
  <c r="AK1977" i="1"/>
  <c r="AQ1977" i="1"/>
  <c r="AU1977" i="1"/>
  <c r="AV1977" i="1"/>
  <c r="AW1977" i="1"/>
  <c r="AX1977" i="1"/>
  <c r="AY1977" i="1"/>
  <c r="AZ1977" i="1"/>
  <c r="BA1977" i="1"/>
  <c r="BC1977" i="1"/>
  <c r="BD1977" i="1"/>
  <c r="BE1977" i="1"/>
  <c r="BF1977" i="1"/>
  <c r="BG1977" i="1"/>
  <c r="BH1977" i="1"/>
  <c r="BI1977" i="1"/>
  <c r="BJ1977" i="1"/>
  <c r="BM1977" i="1"/>
  <c r="CA1977" i="1"/>
  <c r="CN1977" i="1"/>
  <c r="CO1977" i="1"/>
  <c r="CP1977" i="1"/>
  <c r="CQ1977" i="1"/>
  <c r="G883" i="1"/>
  <c r="U883" i="1"/>
  <c r="W883" i="1"/>
  <c r="AE883" i="1"/>
  <c r="AK883" i="1"/>
  <c r="AQ883" i="1"/>
  <c r="AU883" i="1"/>
  <c r="AV883" i="1"/>
  <c r="AW883" i="1"/>
  <c r="AX883" i="1"/>
  <c r="AY883" i="1"/>
  <c r="AZ883" i="1"/>
  <c r="BA883" i="1"/>
  <c r="BC883" i="1"/>
  <c r="BD883" i="1"/>
  <c r="BE883" i="1"/>
  <c r="BF883" i="1"/>
  <c r="BG883" i="1"/>
  <c r="BH883" i="1"/>
  <c r="BI883" i="1"/>
  <c r="BJ883" i="1"/>
  <c r="BM883" i="1"/>
  <c r="CA883" i="1"/>
  <c r="CN883" i="1"/>
  <c r="CO883" i="1"/>
  <c r="CP883" i="1"/>
  <c r="CQ883" i="1"/>
  <c r="G884" i="1"/>
  <c r="U884" i="1"/>
  <c r="W884" i="1"/>
  <c r="AE884" i="1"/>
  <c r="AK884" i="1"/>
  <c r="AQ884" i="1"/>
  <c r="AU884" i="1"/>
  <c r="AV884" i="1"/>
  <c r="AW884" i="1"/>
  <c r="AX884" i="1"/>
  <c r="AY884" i="1"/>
  <c r="AZ884" i="1"/>
  <c r="BA884" i="1"/>
  <c r="BC884" i="1"/>
  <c r="BD884" i="1"/>
  <c r="BE884" i="1"/>
  <c r="BF884" i="1"/>
  <c r="BG884" i="1"/>
  <c r="BH884" i="1"/>
  <c r="BI884" i="1"/>
  <c r="BJ884" i="1"/>
  <c r="BM884" i="1"/>
  <c r="CA884" i="1"/>
  <c r="CN884" i="1"/>
  <c r="CO884" i="1"/>
  <c r="CP884" i="1"/>
  <c r="CQ884" i="1"/>
  <c r="G414" i="1"/>
  <c r="U414" i="1"/>
  <c r="W414" i="1"/>
  <c r="AE414" i="1"/>
  <c r="AK414" i="1"/>
  <c r="AQ414" i="1"/>
  <c r="AU414" i="1"/>
  <c r="AV414" i="1"/>
  <c r="AW414" i="1"/>
  <c r="AX414" i="1"/>
  <c r="AY414" i="1"/>
  <c r="AZ414" i="1"/>
  <c r="BA414" i="1"/>
  <c r="BC414" i="1"/>
  <c r="BD414" i="1"/>
  <c r="BE414" i="1"/>
  <c r="BF414" i="1"/>
  <c r="BG414" i="1"/>
  <c r="BH414" i="1"/>
  <c r="BI414" i="1"/>
  <c r="BJ414" i="1"/>
  <c r="BM414" i="1"/>
  <c r="CA414" i="1"/>
  <c r="CN414" i="1"/>
  <c r="CO414" i="1"/>
  <c r="CP414" i="1"/>
  <c r="CQ414" i="1"/>
  <c r="G1978" i="1"/>
  <c r="U1978" i="1"/>
  <c r="W1978" i="1"/>
  <c r="AE1978" i="1"/>
  <c r="AK1978" i="1"/>
  <c r="AQ1978" i="1"/>
  <c r="AU1978" i="1"/>
  <c r="AV1978" i="1"/>
  <c r="AW1978" i="1"/>
  <c r="AX1978" i="1"/>
  <c r="AY1978" i="1"/>
  <c r="AZ1978" i="1"/>
  <c r="BA1978" i="1"/>
  <c r="BC1978" i="1"/>
  <c r="BD1978" i="1"/>
  <c r="BE1978" i="1"/>
  <c r="BF1978" i="1"/>
  <c r="BG1978" i="1"/>
  <c r="BH1978" i="1"/>
  <c r="BI1978" i="1"/>
  <c r="BJ1978" i="1"/>
  <c r="BM1978" i="1"/>
  <c r="CA1978" i="1"/>
  <c r="CN1978" i="1"/>
  <c r="CO1978" i="1"/>
  <c r="CP1978" i="1"/>
  <c r="CQ1978" i="1"/>
  <c r="G885" i="1"/>
  <c r="U885" i="1"/>
  <c r="W885" i="1"/>
  <c r="AE885" i="1"/>
  <c r="AK885" i="1"/>
  <c r="AQ885" i="1"/>
  <c r="AU885" i="1"/>
  <c r="AV885" i="1"/>
  <c r="AW885" i="1"/>
  <c r="AX885" i="1"/>
  <c r="AY885" i="1"/>
  <c r="AZ885" i="1"/>
  <c r="BA885" i="1"/>
  <c r="BC885" i="1"/>
  <c r="BD885" i="1"/>
  <c r="BE885" i="1"/>
  <c r="BF885" i="1"/>
  <c r="BG885" i="1"/>
  <c r="BH885" i="1"/>
  <c r="BI885" i="1"/>
  <c r="BJ885" i="1"/>
  <c r="BM885" i="1"/>
  <c r="CA885" i="1"/>
  <c r="CN885" i="1"/>
  <c r="CO885" i="1"/>
  <c r="CP885" i="1"/>
  <c r="CQ885" i="1"/>
  <c r="G886" i="1"/>
  <c r="U886" i="1"/>
  <c r="W886" i="1"/>
  <c r="AE886" i="1"/>
  <c r="AK886" i="1"/>
  <c r="AQ886" i="1"/>
  <c r="AU886" i="1"/>
  <c r="AV886" i="1"/>
  <c r="AW886" i="1"/>
  <c r="AX886" i="1"/>
  <c r="AY886" i="1"/>
  <c r="AZ886" i="1"/>
  <c r="BA886" i="1"/>
  <c r="BC886" i="1"/>
  <c r="BD886" i="1"/>
  <c r="BE886" i="1"/>
  <c r="BF886" i="1"/>
  <c r="BG886" i="1"/>
  <c r="BH886" i="1"/>
  <c r="BI886" i="1"/>
  <c r="BJ886" i="1"/>
  <c r="BM886" i="1"/>
  <c r="CA886" i="1"/>
  <c r="CN886" i="1"/>
  <c r="CO886" i="1"/>
  <c r="CP886" i="1"/>
  <c r="CQ886" i="1"/>
  <c r="G1581" i="1"/>
  <c r="U1581" i="1"/>
  <c r="W1581" i="1"/>
  <c r="AE1581" i="1"/>
  <c r="AK1581" i="1"/>
  <c r="AQ1581" i="1"/>
  <c r="AU1581" i="1"/>
  <c r="AV1581" i="1"/>
  <c r="AW1581" i="1"/>
  <c r="AX1581" i="1"/>
  <c r="AY1581" i="1"/>
  <c r="AZ1581" i="1"/>
  <c r="BA1581" i="1"/>
  <c r="BC1581" i="1"/>
  <c r="BD1581" i="1"/>
  <c r="BE1581" i="1"/>
  <c r="BF1581" i="1"/>
  <c r="BG1581" i="1"/>
  <c r="BH1581" i="1"/>
  <c r="BI1581" i="1"/>
  <c r="BJ1581" i="1"/>
  <c r="BM1581" i="1"/>
  <c r="CA1581" i="1"/>
  <c r="CN1581" i="1"/>
  <c r="CO1581" i="1"/>
  <c r="CP1581" i="1"/>
  <c r="CQ1581" i="1"/>
  <c r="G1979" i="1"/>
  <c r="U1979" i="1"/>
  <c r="W1979" i="1"/>
  <c r="AE1979" i="1"/>
  <c r="AK1979" i="1"/>
  <c r="AQ1979" i="1"/>
  <c r="AU1979" i="1"/>
  <c r="AV1979" i="1"/>
  <c r="AW1979" i="1"/>
  <c r="AX1979" i="1"/>
  <c r="AY1979" i="1"/>
  <c r="AZ1979" i="1"/>
  <c r="BA1979" i="1"/>
  <c r="BC1979" i="1"/>
  <c r="BD1979" i="1"/>
  <c r="BE1979" i="1"/>
  <c r="BF1979" i="1"/>
  <c r="BG1979" i="1"/>
  <c r="BH1979" i="1"/>
  <c r="BI1979" i="1"/>
  <c r="BJ1979" i="1"/>
  <c r="BM1979" i="1"/>
  <c r="CA1979" i="1"/>
  <c r="CN1979" i="1"/>
  <c r="CO1979" i="1"/>
  <c r="CP1979" i="1"/>
  <c r="CQ1979" i="1"/>
  <c r="G179" i="1"/>
  <c r="U179" i="1"/>
  <c r="W179" i="1"/>
  <c r="AE179" i="1"/>
  <c r="AK179" i="1"/>
  <c r="AQ179" i="1"/>
  <c r="AU179" i="1"/>
  <c r="AV179" i="1"/>
  <c r="AW179" i="1"/>
  <c r="AX179" i="1"/>
  <c r="AY179" i="1"/>
  <c r="AZ179" i="1"/>
  <c r="BA179" i="1"/>
  <c r="BC179" i="1"/>
  <c r="BD179" i="1"/>
  <c r="BE179" i="1"/>
  <c r="BF179" i="1"/>
  <c r="BG179" i="1"/>
  <c r="BH179" i="1"/>
  <c r="BI179" i="1"/>
  <c r="BJ179" i="1"/>
  <c r="BM179" i="1"/>
  <c r="CA179" i="1"/>
  <c r="CN179" i="1"/>
  <c r="CO179" i="1"/>
  <c r="CP179" i="1"/>
  <c r="CQ179" i="1"/>
  <c r="G415" i="1"/>
  <c r="U415" i="1"/>
  <c r="W415" i="1"/>
  <c r="AE415" i="1"/>
  <c r="AK415" i="1"/>
  <c r="AQ415" i="1"/>
  <c r="AU415" i="1"/>
  <c r="AV415" i="1"/>
  <c r="AW415" i="1"/>
  <c r="AX415" i="1"/>
  <c r="AY415" i="1"/>
  <c r="AZ415" i="1"/>
  <c r="BA415" i="1"/>
  <c r="BC415" i="1"/>
  <c r="BD415" i="1"/>
  <c r="BE415" i="1"/>
  <c r="BF415" i="1"/>
  <c r="BG415" i="1"/>
  <c r="BH415" i="1"/>
  <c r="BI415" i="1"/>
  <c r="BJ415" i="1"/>
  <c r="BM415" i="1"/>
  <c r="CA415" i="1"/>
  <c r="CN415" i="1"/>
  <c r="CO415" i="1"/>
  <c r="CP415" i="1"/>
  <c r="CQ415" i="1"/>
  <c r="G1980" i="1"/>
  <c r="U1980" i="1"/>
  <c r="W1980" i="1"/>
  <c r="AE1980" i="1"/>
  <c r="AK1980" i="1"/>
  <c r="AQ1980" i="1"/>
  <c r="AU1980" i="1"/>
  <c r="AV1980" i="1"/>
  <c r="AW1980" i="1"/>
  <c r="AX1980" i="1"/>
  <c r="AY1980" i="1"/>
  <c r="AZ1980" i="1"/>
  <c r="BA1980" i="1"/>
  <c r="BC1980" i="1"/>
  <c r="BD1980" i="1"/>
  <c r="BE1980" i="1"/>
  <c r="BF1980" i="1"/>
  <c r="BG1980" i="1"/>
  <c r="BH1980" i="1"/>
  <c r="BI1980" i="1"/>
  <c r="BJ1980" i="1"/>
  <c r="BM1980" i="1"/>
  <c r="CA1980" i="1"/>
  <c r="CN1980" i="1"/>
  <c r="CO1980" i="1"/>
  <c r="CP1980" i="1"/>
  <c r="CQ1980" i="1"/>
  <c r="G887" i="1"/>
  <c r="U887" i="1"/>
  <c r="W887" i="1"/>
  <c r="AE887" i="1"/>
  <c r="AK887" i="1"/>
  <c r="AQ887" i="1"/>
  <c r="AU887" i="1"/>
  <c r="AV887" i="1"/>
  <c r="AW887" i="1"/>
  <c r="AX887" i="1"/>
  <c r="AY887" i="1"/>
  <c r="AZ887" i="1"/>
  <c r="BA887" i="1"/>
  <c r="BC887" i="1"/>
  <c r="BD887" i="1"/>
  <c r="BE887" i="1"/>
  <c r="BF887" i="1"/>
  <c r="BG887" i="1"/>
  <c r="BH887" i="1"/>
  <c r="BI887" i="1"/>
  <c r="BJ887" i="1"/>
  <c r="BM887" i="1"/>
  <c r="CA887" i="1"/>
  <c r="CN887" i="1"/>
  <c r="CO887" i="1"/>
  <c r="CP887" i="1"/>
  <c r="CQ887" i="1"/>
  <c r="G1981" i="1"/>
  <c r="U1981" i="1"/>
  <c r="W1981" i="1"/>
  <c r="AE1981" i="1"/>
  <c r="AK1981" i="1"/>
  <c r="AQ1981" i="1"/>
  <c r="AU1981" i="1"/>
  <c r="AV1981" i="1"/>
  <c r="AW1981" i="1"/>
  <c r="AX1981" i="1"/>
  <c r="AY1981" i="1"/>
  <c r="AZ1981" i="1"/>
  <c r="BA1981" i="1"/>
  <c r="BC1981" i="1"/>
  <c r="BD1981" i="1"/>
  <c r="BE1981" i="1"/>
  <c r="BF1981" i="1"/>
  <c r="BG1981" i="1"/>
  <c r="BH1981" i="1"/>
  <c r="BI1981" i="1"/>
  <c r="BJ1981" i="1"/>
  <c r="BM1981" i="1"/>
  <c r="CA1981" i="1"/>
  <c r="CN1981" i="1"/>
  <c r="CO1981" i="1"/>
  <c r="CP1981" i="1"/>
  <c r="CQ1981" i="1"/>
  <c r="G888" i="1"/>
  <c r="U888" i="1"/>
  <c r="W888" i="1"/>
  <c r="AE888" i="1"/>
  <c r="AK888" i="1"/>
  <c r="AQ888" i="1"/>
  <c r="AU888" i="1"/>
  <c r="AV888" i="1"/>
  <c r="AW888" i="1"/>
  <c r="AX888" i="1"/>
  <c r="AY888" i="1"/>
  <c r="AZ888" i="1"/>
  <c r="BA888" i="1"/>
  <c r="BC888" i="1"/>
  <c r="BD888" i="1"/>
  <c r="BE888" i="1"/>
  <c r="BF888" i="1"/>
  <c r="BG888" i="1"/>
  <c r="BH888" i="1"/>
  <c r="BI888" i="1"/>
  <c r="BJ888" i="1"/>
  <c r="BM888" i="1"/>
  <c r="CA888" i="1"/>
  <c r="CN888" i="1"/>
  <c r="CO888" i="1"/>
  <c r="CP888" i="1"/>
  <c r="CQ888" i="1"/>
  <c r="G889" i="1"/>
  <c r="U889" i="1"/>
  <c r="W889" i="1"/>
  <c r="AE889" i="1"/>
  <c r="AK889" i="1"/>
  <c r="AQ889" i="1"/>
  <c r="AU889" i="1"/>
  <c r="AV889" i="1"/>
  <c r="AW889" i="1"/>
  <c r="AX889" i="1"/>
  <c r="AY889" i="1"/>
  <c r="AZ889" i="1"/>
  <c r="BA889" i="1"/>
  <c r="BC889" i="1"/>
  <c r="BD889" i="1"/>
  <c r="BE889" i="1"/>
  <c r="BF889" i="1"/>
  <c r="BG889" i="1"/>
  <c r="BH889" i="1"/>
  <c r="BI889" i="1"/>
  <c r="BJ889" i="1"/>
  <c r="BM889" i="1"/>
  <c r="CA889" i="1"/>
  <c r="CN889" i="1"/>
  <c r="CO889" i="1"/>
  <c r="CP889" i="1"/>
  <c r="CQ889" i="1"/>
  <c r="G890" i="1"/>
  <c r="U890" i="1"/>
  <c r="W890" i="1"/>
  <c r="AE890" i="1"/>
  <c r="AK890" i="1"/>
  <c r="AQ890" i="1"/>
  <c r="AU890" i="1"/>
  <c r="AV890" i="1"/>
  <c r="AW890" i="1"/>
  <c r="AX890" i="1"/>
  <c r="AY890" i="1"/>
  <c r="AZ890" i="1"/>
  <c r="BA890" i="1"/>
  <c r="BC890" i="1"/>
  <c r="BD890" i="1"/>
  <c r="BE890" i="1"/>
  <c r="BF890" i="1"/>
  <c r="BG890" i="1"/>
  <c r="BH890" i="1"/>
  <c r="BI890" i="1"/>
  <c r="BJ890" i="1"/>
  <c r="BM890" i="1"/>
  <c r="CA890" i="1"/>
  <c r="CN890" i="1"/>
  <c r="CO890" i="1"/>
  <c r="CP890" i="1"/>
  <c r="CQ890" i="1"/>
  <c r="G180" i="1"/>
  <c r="U180" i="1"/>
  <c r="W180" i="1"/>
  <c r="AE180" i="1"/>
  <c r="AK180" i="1"/>
  <c r="AQ180" i="1"/>
  <c r="AU180" i="1"/>
  <c r="AV180" i="1"/>
  <c r="AW180" i="1"/>
  <c r="AX180" i="1"/>
  <c r="AY180" i="1"/>
  <c r="AZ180" i="1"/>
  <c r="BA180" i="1"/>
  <c r="BC180" i="1"/>
  <c r="BD180" i="1"/>
  <c r="BE180" i="1"/>
  <c r="BF180" i="1"/>
  <c r="BG180" i="1"/>
  <c r="BH180" i="1"/>
  <c r="BI180" i="1"/>
  <c r="BJ180" i="1"/>
  <c r="BM180" i="1"/>
  <c r="CA180" i="1"/>
  <c r="CN180" i="1"/>
  <c r="CO180" i="1"/>
  <c r="CP180" i="1"/>
  <c r="CQ180" i="1"/>
  <c r="G181" i="1"/>
  <c r="U181" i="1"/>
  <c r="W181" i="1"/>
  <c r="AE181" i="1"/>
  <c r="AK181" i="1"/>
  <c r="AQ181" i="1"/>
  <c r="AU181" i="1"/>
  <c r="AV181" i="1"/>
  <c r="AW181" i="1"/>
  <c r="AX181" i="1"/>
  <c r="AY181" i="1"/>
  <c r="AZ181" i="1"/>
  <c r="BA181" i="1"/>
  <c r="BC181" i="1"/>
  <c r="BD181" i="1"/>
  <c r="BE181" i="1"/>
  <c r="BF181" i="1"/>
  <c r="BG181" i="1"/>
  <c r="BH181" i="1"/>
  <c r="BI181" i="1"/>
  <c r="BJ181" i="1"/>
  <c r="BM181" i="1"/>
  <c r="CA181" i="1"/>
  <c r="CN181" i="1"/>
  <c r="CO181" i="1"/>
  <c r="CP181" i="1"/>
  <c r="CQ181" i="1"/>
  <c r="G182" i="1"/>
  <c r="U182" i="1"/>
  <c r="W182" i="1"/>
  <c r="AE182" i="1"/>
  <c r="AK182" i="1"/>
  <c r="AQ182" i="1"/>
  <c r="AU182" i="1"/>
  <c r="AV182" i="1"/>
  <c r="AW182" i="1"/>
  <c r="AX182" i="1"/>
  <c r="AY182" i="1"/>
  <c r="AZ182" i="1"/>
  <c r="BA182" i="1"/>
  <c r="BC182" i="1"/>
  <c r="BD182" i="1"/>
  <c r="BE182" i="1"/>
  <c r="BF182" i="1"/>
  <c r="BG182" i="1"/>
  <c r="BH182" i="1"/>
  <c r="BI182" i="1"/>
  <c r="BJ182" i="1"/>
  <c r="BM182" i="1"/>
  <c r="CA182" i="1"/>
  <c r="CN182" i="1"/>
  <c r="CO182" i="1"/>
  <c r="CP182" i="1"/>
  <c r="CQ182" i="1"/>
  <c r="G891" i="1"/>
  <c r="U891" i="1"/>
  <c r="W891" i="1"/>
  <c r="AE891" i="1"/>
  <c r="AK891" i="1"/>
  <c r="AQ891" i="1"/>
  <c r="AU891" i="1"/>
  <c r="AV891" i="1"/>
  <c r="AW891" i="1"/>
  <c r="AX891" i="1"/>
  <c r="AY891" i="1"/>
  <c r="AZ891" i="1"/>
  <c r="BA891" i="1"/>
  <c r="BC891" i="1"/>
  <c r="BD891" i="1"/>
  <c r="BE891" i="1"/>
  <c r="BF891" i="1"/>
  <c r="BG891" i="1"/>
  <c r="BH891" i="1"/>
  <c r="BI891" i="1"/>
  <c r="BJ891" i="1"/>
  <c r="BM891" i="1"/>
  <c r="CA891" i="1"/>
  <c r="CN891" i="1"/>
  <c r="CO891" i="1"/>
  <c r="CP891" i="1"/>
  <c r="CQ891" i="1"/>
  <c r="G1982" i="1"/>
  <c r="U1982" i="1"/>
  <c r="W1982" i="1"/>
  <c r="AE1982" i="1"/>
  <c r="AK1982" i="1"/>
  <c r="AQ1982" i="1"/>
  <c r="AU1982" i="1"/>
  <c r="AV1982" i="1"/>
  <c r="AW1982" i="1"/>
  <c r="AX1982" i="1"/>
  <c r="AY1982" i="1"/>
  <c r="AZ1982" i="1"/>
  <c r="BA1982" i="1"/>
  <c r="BC1982" i="1"/>
  <c r="BD1982" i="1"/>
  <c r="BE1982" i="1"/>
  <c r="BF1982" i="1"/>
  <c r="BG1982" i="1"/>
  <c r="BH1982" i="1"/>
  <c r="BI1982" i="1"/>
  <c r="BJ1982" i="1"/>
  <c r="BM1982" i="1"/>
  <c r="CA1982" i="1"/>
  <c r="CN1982" i="1"/>
  <c r="CO1982" i="1"/>
  <c r="CP1982" i="1"/>
  <c r="CQ1982" i="1"/>
  <c r="G1983" i="1"/>
  <c r="U1983" i="1"/>
  <c r="W1983" i="1"/>
  <c r="AE1983" i="1"/>
  <c r="AK1983" i="1"/>
  <c r="AQ1983" i="1"/>
  <c r="AU1983" i="1"/>
  <c r="AV1983" i="1"/>
  <c r="AW1983" i="1"/>
  <c r="AX1983" i="1"/>
  <c r="AY1983" i="1"/>
  <c r="AZ1983" i="1"/>
  <c r="BA1983" i="1"/>
  <c r="BC1983" i="1"/>
  <c r="BD1983" i="1"/>
  <c r="BE1983" i="1"/>
  <c r="BF1983" i="1"/>
  <c r="BG1983" i="1"/>
  <c r="BH1983" i="1"/>
  <c r="BI1983" i="1"/>
  <c r="BJ1983" i="1"/>
  <c r="BM1983" i="1"/>
  <c r="CA1983" i="1"/>
  <c r="CN1983" i="1"/>
  <c r="CO1983" i="1"/>
  <c r="CP1983" i="1"/>
  <c r="CQ1983" i="1"/>
  <c r="G1410" i="1"/>
  <c r="U1410" i="1"/>
  <c r="W1410" i="1"/>
  <c r="AE1410" i="1"/>
  <c r="AK1410" i="1"/>
  <c r="AQ1410" i="1"/>
  <c r="AU1410" i="1"/>
  <c r="AV1410" i="1"/>
  <c r="AW1410" i="1"/>
  <c r="AX1410" i="1"/>
  <c r="AY1410" i="1"/>
  <c r="AZ1410" i="1"/>
  <c r="BA1410" i="1"/>
  <c r="BC1410" i="1"/>
  <c r="BD1410" i="1"/>
  <c r="BE1410" i="1"/>
  <c r="BF1410" i="1"/>
  <c r="BG1410" i="1"/>
  <c r="BH1410" i="1"/>
  <c r="BI1410" i="1"/>
  <c r="BJ1410" i="1"/>
  <c r="BM1410" i="1"/>
  <c r="CA1410" i="1"/>
  <c r="CN1410" i="1"/>
  <c r="CO1410" i="1"/>
  <c r="CP1410" i="1"/>
  <c r="CQ1410" i="1"/>
  <c r="G1984" i="1"/>
  <c r="U1984" i="1"/>
  <c r="W1984" i="1"/>
  <c r="AE1984" i="1"/>
  <c r="AK1984" i="1"/>
  <c r="AQ1984" i="1"/>
  <c r="AU1984" i="1"/>
  <c r="AV1984" i="1"/>
  <c r="AW1984" i="1"/>
  <c r="AX1984" i="1"/>
  <c r="AY1984" i="1"/>
  <c r="AZ1984" i="1"/>
  <c r="BA1984" i="1"/>
  <c r="BC1984" i="1"/>
  <c r="BD1984" i="1"/>
  <c r="BE1984" i="1"/>
  <c r="BF1984" i="1"/>
  <c r="BG1984" i="1"/>
  <c r="BH1984" i="1"/>
  <c r="BI1984" i="1"/>
  <c r="BJ1984" i="1"/>
  <c r="BM1984" i="1"/>
  <c r="CA1984" i="1"/>
  <c r="CN1984" i="1"/>
  <c r="CO1984" i="1"/>
  <c r="CP1984" i="1"/>
  <c r="CQ1984" i="1"/>
  <c r="G416" i="1"/>
  <c r="U416" i="1"/>
  <c r="W416" i="1"/>
  <c r="AE416" i="1"/>
  <c r="AK416" i="1"/>
  <c r="AQ416" i="1"/>
  <c r="AU416" i="1"/>
  <c r="AV416" i="1"/>
  <c r="AW416" i="1"/>
  <c r="AX416" i="1"/>
  <c r="AY416" i="1"/>
  <c r="AZ416" i="1"/>
  <c r="BA416" i="1"/>
  <c r="BC416" i="1"/>
  <c r="BD416" i="1"/>
  <c r="BE416" i="1"/>
  <c r="BF416" i="1"/>
  <c r="BG416" i="1"/>
  <c r="BH416" i="1"/>
  <c r="BI416" i="1"/>
  <c r="BJ416" i="1"/>
  <c r="BM416" i="1"/>
  <c r="CA416" i="1"/>
  <c r="CN416" i="1"/>
  <c r="CO416" i="1"/>
  <c r="CP416" i="1"/>
  <c r="CQ416" i="1"/>
  <c r="G1985" i="1"/>
  <c r="U1985" i="1"/>
  <c r="W1985" i="1"/>
  <c r="AE1985" i="1"/>
  <c r="AK1985" i="1"/>
  <c r="AQ1985" i="1"/>
  <c r="AU1985" i="1"/>
  <c r="AV1985" i="1"/>
  <c r="AW1985" i="1"/>
  <c r="AX1985" i="1"/>
  <c r="AY1985" i="1"/>
  <c r="AZ1985" i="1"/>
  <c r="BA1985" i="1"/>
  <c r="BC1985" i="1"/>
  <c r="BD1985" i="1"/>
  <c r="BE1985" i="1"/>
  <c r="BF1985" i="1"/>
  <c r="BG1985" i="1"/>
  <c r="BH1985" i="1"/>
  <c r="BI1985" i="1"/>
  <c r="BJ1985" i="1"/>
  <c r="BM1985" i="1"/>
  <c r="CA1985" i="1"/>
  <c r="CN1985" i="1"/>
  <c r="CO1985" i="1"/>
  <c r="CP1985" i="1"/>
  <c r="CQ1985" i="1"/>
  <c r="G1986" i="1"/>
  <c r="U1986" i="1"/>
  <c r="W1986" i="1"/>
  <c r="AE1986" i="1"/>
  <c r="AK1986" i="1"/>
  <c r="AQ1986" i="1"/>
  <c r="AU1986" i="1"/>
  <c r="AV1986" i="1"/>
  <c r="AW1986" i="1"/>
  <c r="AX1986" i="1"/>
  <c r="AY1986" i="1"/>
  <c r="AZ1986" i="1"/>
  <c r="BA1986" i="1"/>
  <c r="BC1986" i="1"/>
  <c r="BD1986" i="1"/>
  <c r="BE1986" i="1"/>
  <c r="BF1986" i="1"/>
  <c r="BG1986" i="1"/>
  <c r="BH1986" i="1"/>
  <c r="BI1986" i="1"/>
  <c r="BJ1986" i="1"/>
  <c r="BM1986" i="1"/>
  <c r="CA1986" i="1"/>
  <c r="CN1986" i="1"/>
  <c r="CO1986" i="1"/>
  <c r="CP1986" i="1"/>
  <c r="CQ1986" i="1"/>
  <c r="G892" i="1"/>
  <c r="U892" i="1"/>
  <c r="W892" i="1"/>
  <c r="AE892" i="1"/>
  <c r="AK892" i="1"/>
  <c r="AQ892" i="1"/>
  <c r="AU892" i="1"/>
  <c r="AV892" i="1"/>
  <c r="AW892" i="1"/>
  <c r="AX892" i="1"/>
  <c r="AY892" i="1"/>
  <c r="AZ892" i="1"/>
  <c r="BA892" i="1"/>
  <c r="BC892" i="1"/>
  <c r="BD892" i="1"/>
  <c r="BE892" i="1"/>
  <c r="BF892" i="1"/>
  <c r="BG892" i="1"/>
  <c r="BH892" i="1"/>
  <c r="BI892" i="1"/>
  <c r="BJ892" i="1"/>
  <c r="BM892" i="1"/>
  <c r="CA892" i="1"/>
  <c r="CN892" i="1"/>
  <c r="CO892" i="1"/>
  <c r="CP892" i="1"/>
  <c r="CQ892" i="1"/>
  <c r="G1987" i="1"/>
  <c r="U1987" i="1"/>
  <c r="W1987" i="1"/>
  <c r="AE1987" i="1"/>
  <c r="AK1987" i="1"/>
  <c r="AQ1987" i="1"/>
  <c r="AU1987" i="1"/>
  <c r="AV1987" i="1"/>
  <c r="AW1987" i="1"/>
  <c r="AX1987" i="1"/>
  <c r="AY1987" i="1"/>
  <c r="AZ1987" i="1"/>
  <c r="BA1987" i="1"/>
  <c r="BC1987" i="1"/>
  <c r="BD1987" i="1"/>
  <c r="BE1987" i="1"/>
  <c r="BF1987" i="1"/>
  <c r="BG1987" i="1"/>
  <c r="BH1987" i="1"/>
  <c r="BI1987" i="1"/>
  <c r="BJ1987" i="1"/>
  <c r="BM1987" i="1"/>
  <c r="CA1987" i="1"/>
  <c r="CN1987" i="1"/>
  <c r="CO1987" i="1"/>
  <c r="CP1987" i="1"/>
  <c r="CQ1987" i="1"/>
  <c r="G1988" i="1"/>
  <c r="U1988" i="1"/>
  <c r="W1988" i="1"/>
  <c r="AE1988" i="1"/>
  <c r="AK1988" i="1"/>
  <c r="AQ1988" i="1"/>
  <c r="AU1988" i="1"/>
  <c r="AV1988" i="1"/>
  <c r="AW1988" i="1"/>
  <c r="AX1988" i="1"/>
  <c r="AY1988" i="1"/>
  <c r="AZ1988" i="1"/>
  <c r="BA1988" i="1"/>
  <c r="BC1988" i="1"/>
  <c r="BD1988" i="1"/>
  <c r="BE1988" i="1"/>
  <c r="BF1988" i="1"/>
  <c r="BG1988" i="1"/>
  <c r="BH1988" i="1"/>
  <c r="BI1988" i="1"/>
  <c r="BJ1988" i="1"/>
  <c r="BM1988" i="1"/>
  <c r="CA1988" i="1"/>
  <c r="CN1988" i="1"/>
  <c r="CO1988" i="1"/>
  <c r="CP1988" i="1"/>
  <c r="CQ1988" i="1"/>
  <c r="G1989" i="1"/>
  <c r="U1989" i="1"/>
  <c r="W1989" i="1"/>
  <c r="AE1989" i="1"/>
  <c r="AK1989" i="1"/>
  <c r="AQ1989" i="1"/>
  <c r="AU1989" i="1"/>
  <c r="AV1989" i="1"/>
  <c r="AW1989" i="1"/>
  <c r="AX1989" i="1"/>
  <c r="AY1989" i="1"/>
  <c r="AZ1989" i="1"/>
  <c r="BA1989" i="1"/>
  <c r="BC1989" i="1"/>
  <c r="BD1989" i="1"/>
  <c r="BE1989" i="1"/>
  <c r="BF1989" i="1"/>
  <c r="BG1989" i="1"/>
  <c r="BH1989" i="1"/>
  <c r="BI1989" i="1"/>
  <c r="BJ1989" i="1"/>
  <c r="BM1989" i="1"/>
  <c r="CA1989" i="1"/>
  <c r="CN1989" i="1"/>
  <c r="CO1989" i="1"/>
  <c r="CP1989" i="1"/>
  <c r="CQ1989" i="1"/>
  <c r="G1990" i="1"/>
  <c r="U1990" i="1"/>
  <c r="W1990" i="1"/>
  <c r="AE1990" i="1"/>
  <c r="AK1990" i="1"/>
  <c r="AQ1990" i="1"/>
  <c r="AU1990" i="1"/>
  <c r="AV1990" i="1"/>
  <c r="AW1990" i="1"/>
  <c r="AX1990" i="1"/>
  <c r="AY1990" i="1"/>
  <c r="AZ1990" i="1"/>
  <c r="BA1990" i="1"/>
  <c r="BC1990" i="1"/>
  <c r="BD1990" i="1"/>
  <c r="BE1990" i="1"/>
  <c r="BF1990" i="1"/>
  <c r="BG1990" i="1"/>
  <c r="BH1990" i="1"/>
  <c r="BI1990" i="1"/>
  <c r="BJ1990" i="1"/>
  <c r="BM1990" i="1"/>
  <c r="CA1990" i="1"/>
  <c r="CN1990" i="1"/>
  <c r="CO1990" i="1"/>
  <c r="CP1990" i="1"/>
  <c r="CQ1990" i="1"/>
  <c r="G1411" i="1"/>
  <c r="U1411" i="1"/>
  <c r="W1411" i="1"/>
  <c r="AE1411" i="1"/>
  <c r="AK1411" i="1"/>
  <c r="AQ1411" i="1"/>
  <c r="AU1411" i="1"/>
  <c r="AV1411" i="1"/>
  <c r="AW1411" i="1"/>
  <c r="AX1411" i="1"/>
  <c r="AY1411" i="1"/>
  <c r="AZ1411" i="1"/>
  <c r="BA1411" i="1"/>
  <c r="BC1411" i="1"/>
  <c r="BD1411" i="1"/>
  <c r="BE1411" i="1"/>
  <c r="BF1411" i="1"/>
  <c r="BG1411" i="1"/>
  <c r="BH1411" i="1"/>
  <c r="BI1411" i="1"/>
  <c r="BJ1411" i="1"/>
  <c r="BM1411" i="1"/>
  <c r="CA1411" i="1"/>
  <c r="CN1411" i="1"/>
  <c r="CO1411" i="1"/>
  <c r="CP1411" i="1"/>
  <c r="CQ1411" i="1"/>
  <c r="G183" i="1"/>
  <c r="U183" i="1"/>
  <c r="W183" i="1"/>
  <c r="AE183" i="1"/>
  <c r="AK183" i="1"/>
  <c r="AQ183" i="1"/>
  <c r="AU183" i="1"/>
  <c r="AV183" i="1"/>
  <c r="AW183" i="1"/>
  <c r="AX183" i="1"/>
  <c r="AY183" i="1"/>
  <c r="AZ183" i="1"/>
  <c r="BA183" i="1"/>
  <c r="BC183" i="1"/>
  <c r="BD183" i="1"/>
  <c r="BE183" i="1"/>
  <c r="BF183" i="1"/>
  <c r="BG183" i="1"/>
  <c r="BH183" i="1"/>
  <c r="BI183" i="1"/>
  <c r="BJ183" i="1"/>
  <c r="BM183" i="1"/>
  <c r="CA183" i="1"/>
  <c r="CN183" i="1"/>
  <c r="CO183" i="1"/>
  <c r="CP183" i="1"/>
  <c r="CQ183" i="1"/>
  <c r="G184" i="1"/>
  <c r="U184" i="1"/>
  <c r="W184" i="1"/>
  <c r="AE184" i="1"/>
  <c r="AK184" i="1"/>
  <c r="AQ184" i="1"/>
  <c r="AU184" i="1"/>
  <c r="AV184" i="1"/>
  <c r="AW184" i="1"/>
  <c r="AX184" i="1"/>
  <c r="AY184" i="1"/>
  <c r="AZ184" i="1"/>
  <c r="BA184" i="1"/>
  <c r="BC184" i="1"/>
  <c r="BD184" i="1"/>
  <c r="BE184" i="1"/>
  <c r="BF184" i="1"/>
  <c r="BG184" i="1"/>
  <c r="BH184" i="1"/>
  <c r="BI184" i="1"/>
  <c r="BJ184" i="1"/>
  <c r="BM184" i="1"/>
  <c r="CA184" i="1"/>
  <c r="CN184" i="1"/>
  <c r="CO184" i="1"/>
  <c r="CP184" i="1"/>
  <c r="CQ184" i="1"/>
  <c r="G185" i="1"/>
  <c r="U185" i="1"/>
  <c r="W185" i="1"/>
  <c r="AE185" i="1"/>
  <c r="AK185" i="1"/>
  <c r="AQ185" i="1"/>
  <c r="AU185" i="1"/>
  <c r="AV185" i="1"/>
  <c r="AW185" i="1"/>
  <c r="AX185" i="1"/>
  <c r="AY185" i="1"/>
  <c r="AZ185" i="1"/>
  <c r="BA185" i="1"/>
  <c r="BC185" i="1"/>
  <c r="BD185" i="1"/>
  <c r="BE185" i="1"/>
  <c r="BF185" i="1"/>
  <c r="BG185" i="1"/>
  <c r="BH185" i="1"/>
  <c r="BI185" i="1"/>
  <c r="BJ185" i="1"/>
  <c r="BM185" i="1"/>
  <c r="CA185" i="1"/>
  <c r="CN185" i="1"/>
  <c r="CO185" i="1"/>
  <c r="CP185" i="1"/>
  <c r="CQ185" i="1"/>
  <c r="G186" i="1"/>
  <c r="U186" i="1"/>
  <c r="W186" i="1"/>
  <c r="AE186" i="1"/>
  <c r="AK186" i="1"/>
  <c r="AQ186" i="1"/>
  <c r="AU186" i="1"/>
  <c r="AV186" i="1"/>
  <c r="AW186" i="1"/>
  <c r="AX186" i="1"/>
  <c r="AY186" i="1"/>
  <c r="AZ186" i="1"/>
  <c r="BA186" i="1"/>
  <c r="BC186" i="1"/>
  <c r="BD186" i="1"/>
  <c r="BE186" i="1"/>
  <c r="BF186" i="1"/>
  <c r="BG186" i="1"/>
  <c r="BH186" i="1"/>
  <c r="BI186" i="1"/>
  <c r="BJ186" i="1"/>
  <c r="BM186" i="1"/>
  <c r="CA186" i="1"/>
  <c r="CN186" i="1"/>
  <c r="CO186" i="1"/>
  <c r="CP186" i="1"/>
  <c r="CQ186" i="1"/>
  <c r="G1991" i="1"/>
  <c r="U1991" i="1"/>
  <c r="W1991" i="1"/>
  <c r="AE1991" i="1"/>
  <c r="AK1991" i="1"/>
  <c r="AQ1991" i="1"/>
  <c r="AU1991" i="1"/>
  <c r="AV1991" i="1"/>
  <c r="AW1991" i="1"/>
  <c r="AX1991" i="1"/>
  <c r="AY1991" i="1"/>
  <c r="AZ1991" i="1"/>
  <c r="BA1991" i="1"/>
  <c r="BC1991" i="1"/>
  <c r="BD1991" i="1"/>
  <c r="BE1991" i="1"/>
  <c r="BF1991" i="1"/>
  <c r="BG1991" i="1"/>
  <c r="BH1991" i="1"/>
  <c r="BI1991" i="1"/>
  <c r="BJ1991" i="1"/>
  <c r="BM1991" i="1"/>
  <c r="CA1991" i="1"/>
  <c r="CN1991" i="1"/>
  <c r="CO1991" i="1"/>
  <c r="CP1991" i="1"/>
  <c r="CQ1991" i="1"/>
  <c r="G1412" i="1"/>
  <c r="U1412" i="1"/>
  <c r="W1412" i="1"/>
  <c r="AE1412" i="1"/>
  <c r="AK1412" i="1"/>
  <c r="AQ1412" i="1"/>
  <c r="AU1412" i="1"/>
  <c r="AV1412" i="1"/>
  <c r="AW1412" i="1"/>
  <c r="AX1412" i="1"/>
  <c r="AY1412" i="1"/>
  <c r="AZ1412" i="1"/>
  <c r="BA1412" i="1"/>
  <c r="BC1412" i="1"/>
  <c r="BD1412" i="1"/>
  <c r="BE1412" i="1"/>
  <c r="BF1412" i="1"/>
  <c r="BG1412" i="1"/>
  <c r="BH1412" i="1"/>
  <c r="BI1412" i="1"/>
  <c r="BJ1412" i="1"/>
  <c r="BM1412" i="1"/>
  <c r="CA1412" i="1"/>
  <c r="CN1412" i="1"/>
  <c r="CO1412" i="1"/>
  <c r="CP1412" i="1"/>
  <c r="CQ1412" i="1"/>
  <c r="G1992" i="1"/>
  <c r="U1992" i="1"/>
  <c r="W1992" i="1"/>
  <c r="AE1992" i="1"/>
  <c r="AK1992" i="1"/>
  <c r="AQ1992" i="1"/>
  <c r="AU1992" i="1"/>
  <c r="AV1992" i="1"/>
  <c r="AW1992" i="1"/>
  <c r="AX1992" i="1"/>
  <c r="AY1992" i="1"/>
  <c r="AZ1992" i="1"/>
  <c r="BA1992" i="1"/>
  <c r="BC1992" i="1"/>
  <c r="BD1992" i="1"/>
  <c r="BE1992" i="1"/>
  <c r="BF1992" i="1"/>
  <c r="BG1992" i="1"/>
  <c r="BH1992" i="1"/>
  <c r="BI1992" i="1"/>
  <c r="BJ1992" i="1"/>
  <c r="BM1992" i="1"/>
  <c r="CA1992" i="1"/>
  <c r="CN1992" i="1"/>
  <c r="CO1992" i="1"/>
  <c r="CP1992" i="1"/>
  <c r="CQ1992" i="1"/>
  <c r="G187" i="1"/>
  <c r="U187" i="1"/>
  <c r="W187" i="1"/>
  <c r="AE187" i="1"/>
  <c r="AK187" i="1"/>
  <c r="AQ187" i="1"/>
  <c r="AU187" i="1"/>
  <c r="AV187" i="1"/>
  <c r="AW187" i="1"/>
  <c r="AX187" i="1"/>
  <c r="AY187" i="1"/>
  <c r="AZ187" i="1"/>
  <c r="BA187" i="1"/>
  <c r="BC187" i="1"/>
  <c r="BD187" i="1"/>
  <c r="BE187" i="1"/>
  <c r="BF187" i="1"/>
  <c r="BG187" i="1"/>
  <c r="BH187" i="1"/>
  <c r="BI187" i="1"/>
  <c r="BJ187" i="1"/>
  <c r="BM187" i="1"/>
  <c r="CA187" i="1"/>
  <c r="CN187" i="1"/>
  <c r="CO187" i="1"/>
  <c r="CP187" i="1"/>
  <c r="CQ187" i="1"/>
  <c r="G893" i="1"/>
  <c r="U893" i="1"/>
  <c r="W893" i="1"/>
  <c r="AE893" i="1"/>
  <c r="AK893" i="1"/>
  <c r="AQ893" i="1"/>
  <c r="AU893" i="1"/>
  <c r="AV893" i="1"/>
  <c r="AW893" i="1"/>
  <c r="AX893" i="1"/>
  <c r="AY893" i="1"/>
  <c r="AZ893" i="1"/>
  <c r="BA893" i="1"/>
  <c r="BC893" i="1"/>
  <c r="BD893" i="1"/>
  <c r="BE893" i="1"/>
  <c r="BF893" i="1"/>
  <c r="BG893" i="1"/>
  <c r="BH893" i="1"/>
  <c r="BI893" i="1"/>
  <c r="BJ893" i="1"/>
  <c r="BM893" i="1"/>
  <c r="CA893" i="1"/>
  <c r="CN893" i="1"/>
  <c r="CO893" i="1"/>
  <c r="CP893" i="1"/>
  <c r="CQ893" i="1"/>
  <c r="G894" i="1"/>
  <c r="U894" i="1"/>
  <c r="W894" i="1"/>
  <c r="AE894" i="1"/>
  <c r="AK894" i="1"/>
  <c r="AQ894" i="1"/>
  <c r="AU894" i="1"/>
  <c r="AV894" i="1"/>
  <c r="AW894" i="1"/>
  <c r="AX894" i="1"/>
  <c r="AY894" i="1"/>
  <c r="AZ894" i="1"/>
  <c r="BA894" i="1"/>
  <c r="BC894" i="1"/>
  <c r="BD894" i="1"/>
  <c r="BE894" i="1"/>
  <c r="BF894" i="1"/>
  <c r="BG894" i="1"/>
  <c r="BH894" i="1"/>
  <c r="BI894" i="1"/>
  <c r="BJ894" i="1"/>
  <c r="BM894" i="1"/>
  <c r="CA894" i="1"/>
  <c r="CN894" i="1"/>
  <c r="CO894" i="1"/>
  <c r="CP894" i="1"/>
  <c r="CQ894" i="1"/>
  <c r="G895" i="1"/>
  <c r="U895" i="1"/>
  <c r="W895" i="1"/>
  <c r="AE895" i="1"/>
  <c r="AK895" i="1"/>
  <c r="AQ895" i="1"/>
  <c r="AU895" i="1"/>
  <c r="AV895" i="1"/>
  <c r="AW895" i="1"/>
  <c r="AX895" i="1"/>
  <c r="AY895" i="1"/>
  <c r="AZ895" i="1"/>
  <c r="BA895" i="1"/>
  <c r="BC895" i="1"/>
  <c r="BD895" i="1"/>
  <c r="BE895" i="1"/>
  <c r="BF895" i="1"/>
  <c r="BG895" i="1"/>
  <c r="BH895" i="1"/>
  <c r="BI895" i="1"/>
  <c r="BJ895" i="1"/>
  <c r="BM895" i="1"/>
  <c r="CA895" i="1"/>
  <c r="CN895" i="1"/>
  <c r="CO895" i="1"/>
  <c r="CP895" i="1"/>
  <c r="CQ895" i="1"/>
  <c r="G1993" i="1"/>
  <c r="U1993" i="1"/>
  <c r="W1993" i="1"/>
  <c r="AE1993" i="1"/>
  <c r="AK1993" i="1"/>
  <c r="AQ1993" i="1"/>
  <c r="AU1993" i="1"/>
  <c r="AV1993" i="1"/>
  <c r="AW1993" i="1"/>
  <c r="AX1993" i="1"/>
  <c r="AY1993" i="1"/>
  <c r="AZ1993" i="1"/>
  <c r="BA1993" i="1"/>
  <c r="BC1993" i="1"/>
  <c r="BD1993" i="1"/>
  <c r="BE1993" i="1"/>
  <c r="BF1993" i="1"/>
  <c r="BG1993" i="1"/>
  <c r="BH1993" i="1"/>
  <c r="BI1993" i="1"/>
  <c r="BJ1993" i="1"/>
  <c r="BM1993" i="1"/>
  <c r="CA1993" i="1"/>
  <c r="CN1993" i="1"/>
  <c r="CO1993" i="1"/>
  <c r="CP1993" i="1"/>
  <c r="CQ1993" i="1"/>
  <c r="G188" i="1"/>
  <c r="U188" i="1"/>
  <c r="W188" i="1"/>
  <c r="AE188" i="1"/>
  <c r="AK188" i="1"/>
  <c r="AQ188" i="1"/>
  <c r="AU188" i="1"/>
  <c r="AV188" i="1"/>
  <c r="AW188" i="1"/>
  <c r="AX188" i="1"/>
  <c r="AY188" i="1"/>
  <c r="AZ188" i="1"/>
  <c r="BA188" i="1"/>
  <c r="BC188" i="1"/>
  <c r="BD188" i="1"/>
  <c r="BE188" i="1"/>
  <c r="BF188" i="1"/>
  <c r="BG188" i="1"/>
  <c r="BH188" i="1"/>
  <c r="BI188" i="1"/>
  <c r="BJ188" i="1"/>
  <c r="BM188" i="1"/>
  <c r="CA188" i="1"/>
  <c r="CN188" i="1"/>
  <c r="CO188" i="1"/>
  <c r="CP188" i="1"/>
  <c r="CQ188" i="1"/>
  <c r="G896" i="1"/>
  <c r="U896" i="1"/>
  <c r="W896" i="1"/>
  <c r="AE896" i="1"/>
  <c r="AK896" i="1"/>
  <c r="AQ896" i="1"/>
  <c r="AU896" i="1"/>
  <c r="AV896" i="1"/>
  <c r="AW896" i="1"/>
  <c r="AX896" i="1"/>
  <c r="AY896" i="1"/>
  <c r="AZ896" i="1"/>
  <c r="BA896" i="1"/>
  <c r="BC896" i="1"/>
  <c r="BD896" i="1"/>
  <c r="BE896" i="1"/>
  <c r="BF896" i="1"/>
  <c r="BG896" i="1"/>
  <c r="BH896" i="1"/>
  <c r="BI896" i="1"/>
  <c r="BJ896" i="1"/>
  <c r="BM896" i="1"/>
  <c r="CA896" i="1"/>
  <c r="CN896" i="1"/>
  <c r="CO896" i="1"/>
  <c r="CP896" i="1"/>
  <c r="CQ896" i="1"/>
  <c r="G1994" i="1"/>
  <c r="U1994" i="1"/>
  <c r="W1994" i="1"/>
  <c r="AE1994" i="1"/>
  <c r="AK1994" i="1"/>
  <c r="AQ1994" i="1"/>
  <c r="AU1994" i="1"/>
  <c r="AV1994" i="1"/>
  <c r="AW1994" i="1"/>
  <c r="AX1994" i="1"/>
  <c r="AY1994" i="1"/>
  <c r="AZ1994" i="1"/>
  <c r="BA1994" i="1"/>
  <c r="BC1994" i="1"/>
  <c r="BD1994" i="1"/>
  <c r="BE1994" i="1"/>
  <c r="BF1994" i="1"/>
  <c r="BG1994" i="1"/>
  <c r="BH1994" i="1"/>
  <c r="BI1994" i="1"/>
  <c r="BJ1994" i="1"/>
  <c r="BM1994" i="1"/>
  <c r="CA1994" i="1"/>
  <c r="CN1994" i="1"/>
  <c r="CO1994" i="1"/>
  <c r="CP1994" i="1"/>
  <c r="CQ1994" i="1"/>
  <c r="G1995" i="1"/>
  <c r="U1995" i="1"/>
  <c r="W1995" i="1"/>
  <c r="AE1995" i="1"/>
  <c r="AK1995" i="1"/>
  <c r="AQ1995" i="1"/>
  <c r="AU1995" i="1"/>
  <c r="AV1995" i="1"/>
  <c r="AW1995" i="1"/>
  <c r="AX1995" i="1"/>
  <c r="AY1995" i="1"/>
  <c r="AZ1995" i="1"/>
  <c r="BA1995" i="1"/>
  <c r="BC1995" i="1"/>
  <c r="BD1995" i="1"/>
  <c r="BE1995" i="1"/>
  <c r="BF1995" i="1"/>
  <c r="BG1995" i="1"/>
  <c r="BH1995" i="1"/>
  <c r="BI1995" i="1"/>
  <c r="BJ1995" i="1"/>
  <c r="BM1995" i="1"/>
  <c r="CA1995" i="1"/>
  <c r="CN1995" i="1"/>
  <c r="CO1995" i="1"/>
  <c r="CP1995" i="1"/>
  <c r="CQ1995" i="1"/>
  <c r="G1996" i="1"/>
  <c r="U1996" i="1"/>
  <c r="W1996" i="1"/>
  <c r="AE1996" i="1"/>
  <c r="AK1996" i="1"/>
  <c r="AQ1996" i="1"/>
  <c r="AU1996" i="1"/>
  <c r="AV1996" i="1"/>
  <c r="AW1996" i="1"/>
  <c r="AX1996" i="1"/>
  <c r="AY1996" i="1"/>
  <c r="AZ1996" i="1"/>
  <c r="BA1996" i="1"/>
  <c r="BC1996" i="1"/>
  <c r="BD1996" i="1"/>
  <c r="BE1996" i="1"/>
  <c r="BF1996" i="1"/>
  <c r="BG1996" i="1"/>
  <c r="BH1996" i="1"/>
  <c r="BI1996" i="1"/>
  <c r="BJ1996" i="1"/>
  <c r="BM1996" i="1"/>
  <c r="CA1996" i="1"/>
  <c r="CN1996" i="1"/>
  <c r="CO1996" i="1"/>
  <c r="CP1996" i="1"/>
  <c r="CQ1996" i="1"/>
  <c r="G897" i="1"/>
  <c r="U897" i="1"/>
  <c r="W897" i="1"/>
  <c r="AE897" i="1"/>
  <c r="AK897" i="1"/>
  <c r="AQ897" i="1"/>
  <c r="AU897" i="1"/>
  <c r="AV897" i="1"/>
  <c r="AW897" i="1"/>
  <c r="AX897" i="1"/>
  <c r="AY897" i="1"/>
  <c r="AZ897" i="1"/>
  <c r="BA897" i="1"/>
  <c r="BC897" i="1"/>
  <c r="BD897" i="1"/>
  <c r="BE897" i="1"/>
  <c r="BF897" i="1"/>
  <c r="BG897" i="1"/>
  <c r="BH897" i="1"/>
  <c r="BI897" i="1"/>
  <c r="BJ897" i="1"/>
  <c r="BM897" i="1"/>
  <c r="CA897" i="1"/>
  <c r="CN897" i="1"/>
  <c r="CO897" i="1"/>
  <c r="CP897" i="1"/>
  <c r="CQ897" i="1"/>
  <c r="G898" i="1"/>
  <c r="U898" i="1"/>
  <c r="W898" i="1"/>
  <c r="AE898" i="1"/>
  <c r="AK898" i="1"/>
  <c r="AQ898" i="1"/>
  <c r="AU898" i="1"/>
  <c r="AV898" i="1"/>
  <c r="AW898" i="1"/>
  <c r="AX898" i="1"/>
  <c r="AY898" i="1"/>
  <c r="AZ898" i="1"/>
  <c r="BA898" i="1"/>
  <c r="BC898" i="1"/>
  <c r="BD898" i="1"/>
  <c r="BE898" i="1"/>
  <c r="BF898" i="1"/>
  <c r="BG898" i="1"/>
  <c r="BH898" i="1"/>
  <c r="BI898" i="1"/>
  <c r="BJ898" i="1"/>
  <c r="BM898" i="1"/>
  <c r="CA898" i="1"/>
  <c r="CN898" i="1"/>
  <c r="CO898" i="1"/>
  <c r="CP898" i="1"/>
  <c r="CQ898" i="1"/>
  <c r="G189" i="1"/>
  <c r="U189" i="1"/>
  <c r="W189" i="1"/>
  <c r="AE189" i="1"/>
  <c r="AK189" i="1"/>
  <c r="AQ189" i="1"/>
  <c r="AU189" i="1"/>
  <c r="AV189" i="1"/>
  <c r="AW189" i="1"/>
  <c r="AX189" i="1"/>
  <c r="AY189" i="1"/>
  <c r="AZ189" i="1"/>
  <c r="BA189" i="1"/>
  <c r="BC189" i="1"/>
  <c r="BD189" i="1"/>
  <c r="BE189" i="1"/>
  <c r="BF189" i="1"/>
  <c r="BG189" i="1"/>
  <c r="BH189" i="1"/>
  <c r="BI189" i="1"/>
  <c r="BJ189" i="1"/>
  <c r="BM189" i="1"/>
  <c r="CA189" i="1"/>
  <c r="CN189" i="1"/>
  <c r="CO189" i="1"/>
  <c r="CP189" i="1"/>
  <c r="CQ189" i="1"/>
  <c r="G1582" i="1"/>
  <c r="U1582" i="1"/>
  <c r="W1582" i="1"/>
  <c r="AE1582" i="1"/>
  <c r="AK1582" i="1"/>
  <c r="AQ1582" i="1"/>
  <c r="AU1582" i="1"/>
  <c r="AV1582" i="1"/>
  <c r="AW1582" i="1"/>
  <c r="AX1582" i="1"/>
  <c r="AY1582" i="1"/>
  <c r="AZ1582" i="1"/>
  <c r="BA1582" i="1"/>
  <c r="BC1582" i="1"/>
  <c r="BD1582" i="1"/>
  <c r="BE1582" i="1"/>
  <c r="BF1582" i="1"/>
  <c r="BG1582" i="1"/>
  <c r="BH1582" i="1"/>
  <c r="BI1582" i="1"/>
  <c r="BJ1582" i="1"/>
  <c r="BM1582" i="1"/>
  <c r="CA1582" i="1"/>
  <c r="CN1582" i="1"/>
  <c r="CO1582" i="1"/>
  <c r="CP1582" i="1"/>
  <c r="CQ1582" i="1"/>
  <c r="G190" i="1"/>
  <c r="U190" i="1"/>
  <c r="W190" i="1"/>
  <c r="AE190" i="1"/>
  <c r="AK190" i="1"/>
  <c r="AQ190" i="1"/>
  <c r="AU190" i="1"/>
  <c r="AV190" i="1"/>
  <c r="AW190" i="1"/>
  <c r="AX190" i="1"/>
  <c r="AY190" i="1"/>
  <c r="AZ190" i="1"/>
  <c r="BA190" i="1"/>
  <c r="BC190" i="1"/>
  <c r="BD190" i="1"/>
  <c r="BE190" i="1"/>
  <c r="BF190" i="1"/>
  <c r="BG190" i="1"/>
  <c r="BH190" i="1"/>
  <c r="BI190" i="1"/>
  <c r="BJ190" i="1"/>
  <c r="BM190" i="1"/>
  <c r="CA190" i="1"/>
  <c r="CN190" i="1"/>
  <c r="CO190" i="1"/>
  <c r="CP190" i="1"/>
  <c r="CQ190" i="1"/>
  <c r="G1413" i="1"/>
  <c r="U1413" i="1"/>
  <c r="W1413" i="1"/>
  <c r="AE1413" i="1"/>
  <c r="AK1413" i="1"/>
  <c r="AQ1413" i="1"/>
  <c r="AU1413" i="1"/>
  <c r="AV1413" i="1"/>
  <c r="AW1413" i="1"/>
  <c r="AX1413" i="1"/>
  <c r="AY1413" i="1"/>
  <c r="AZ1413" i="1"/>
  <c r="BA1413" i="1"/>
  <c r="BC1413" i="1"/>
  <c r="BD1413" i="1"/>
  <c r="BE1413" i="1"/>
  <c r="BF1413" i="1"/>
  <c r="BG1413" i="1"/>
  <c r="BH1413" i="1"/>
  <c r="BI1413" i="1"/>
  <c r="BJ1413" i="1"/>
  <c r="BM1413" i="1"/>
  <c r="CA1413" i="1"/>
  <c r="CN1413" i="1"/>
  <c r="CO1413" i="1"/>
  <c r="CP1413" i="1"/>
  <c r="CQ1413" i="1"/>
  <c r="G191" i="1"/>
  <c r="U191" i="1"/>
  <c r="W191" i="1"/>
  <c r="AE191" i="1"/>
  <c r="AK191" i="1"/>
  <c r="AQ191" i="1"/>
  <c r="AU191" i="1"/>
  <c r="AV191" i="1"/>
  <c r="AW191" i="1"/>
  <c r="AX191" i="1"/>
  <c r="AY191" i="1"/>
  <c r="AZ191" i="1"/>
  <c r="BA191" i="1"/>
  <c r="BC191" i="1"/>
  <c r="BD191" i="1"/>
  <c r="BE191" i="1"/>
  <c r="BF191" i="1"/>
  <c r="BG191" i="1"/>
  <c r="BH191" i="1"/>
  <c r="BI191" i="1"/>
  <c r="BJ191" i="1"/>
  <c r="BM191" i="1"/>
  <c r="CA191" i="1"/>
  <c r="CN191" i="1"/>
  <c r="CO191" i="1"/>
  <c r="CP191" i="1"/>
  <c r="CQ191" i="1"/>
  <c r="G1414" i="1"/>
  <c r="U1414" i="1"/>
  <c r="W1414" i="1"/>
  <c r="AE1414" i="1"/>
  <c r="AK1414" i="1"/>
  <c r="AQ1414" i="1"/>
  <c r="AU1414" i="1"/>
  <c r="AV1414" i="1"/>
  <c r="AW1414" i="1"/>
  <c r="AX1414" i="1"/>
  <c r="AY1414" i="1"/>
  <c r="AZ1414" i="1"/>
  <c r="BA1414" i="1"/>
  <c r="BC1414" i="1"/>
  <c r="BD1414" i="1"/>
  <c r="BE1414" i="1"/>
  <c r="BF1414" i="1"/>
  <c r="BG1414" i="1"/>
  <c r="BH1414" i="1"/>
  <c r="BI1414" i="1"/>
  <c r="BJ1414" i="1"/>
  <c r="BM1414" i="1"/>
  <c r="CA1414" i="1"/>
  <c r="CN1414" i="1"/>
  <c r="CO1414" i="1"/>
  <c r="CP1414" i="1"/>
  <c r="CQ1414" i="1"/>
  <c r="G899" i="1"/>
  <c r="U899" i="1"/>
  <c r="W899" i="1"/>
  <c r="AE899" i="1"/>
  <c r="AK899" i="1"/>
  <c r="AQ899" i="1"/>
  <c r="AU899" i="1"/>
  <c r="AV899" i="1"/>
  <c r="AW899" i="1"/>
  <c r="AX899" i="1"/>
  <c r="AY899" i="1"/>
  <c r="AZ899" i="1"/>
  <c r="BA899" i="1"/>
  <c r="BC899" i="1"/>
  <c r="BD899" i="1"/>
  <c r="BE899" i="1"/>
  <c r="BF899" i="1"/>
  <c r="BG899" i="1"/>
  <c r="BH899" i="1"/>
  <c r="BI899" i="1"/>
  <c r="BJ899" i="1"/>
  <c r="BM899" i="1"/>
  <c r="CA899" i="1"/>
  <c r="CN899" i="1"/>
  <c r="CO899" i="1"/>
  <c r="CP899" i="1"/>
  <c r="CQ899" i="1"/>
  <c r="G900" i="1"/>
  <c r="U900" i="1"/>
  <c r="W900" i="1"/>
  <c r="AE900" i="1"/>
  <c r="AK900" i="1"/>
  <c r="AQ900" i="1"/>
  <c r="AU900" i="1"/>
  <c r="AV900" i="1"/>
  <c r="AW900" i="1"/>
  <c r="AX900" i="1"/>
  <c r="AY900" i="1"/>
  <c r="AZ900" i="1"/>
  <c r="BA900" i="1"/>
  <c r="BC900" i="1"/>
  <c r="BD900" i="1"/>
  <c r="BE900" i="1"/>
  <c r="BF900" i="1"/>
  <c r="BG900" i="1"/>
  <c r="BH900" i="1"/>
  <c r="BI900" i="1"/>
  <c r="BJ900" i="1"/>
  <c r="BM900" i="1"/>
  <c r="CA900" i="1"/>
  <c r="CN900" i="1"/>
  <c r="CO900" i="1"/>
  <c r="CP900" i="1"/>
  <c r="CQ900" i="1"/>
  <c r="G1997" i="1"/>
  <c r="U1997" i="1"/>
  <c r="W1997" i="1"/>
  <c r="AE1997" i="1"/>
  <c r="AK1997" i="1"/>
  <c r="AQ1997" i="1"/>
  <c r="AU1997" i="1"/>
  <c r="AV1997" i="1"/>
  <c r="AW1997" i="1"/>
  <c r="AX1997" i="1"/>
  <c r="AY1997" i="1"/>
  <c r="AZ1997" i="1"/>
  <c r="BA1997" i="1"/>
  <c r="BC1997" i="1"/>
  <c r="BD1997" i="1"/>
  <c r="BE1997" i="1"/>
  <c r="BF1997" i="1"/>
  <c r="BG1997" i="1"/>
  <c r="BH1997" i="1"/>
  <c r="BI1997" i="1"/>
  <c r="BJ1997" i="1"/>
  <c r="BM1997" i="1"/>
  <c r="CA1997" i="1"/>
  <c r="CN1997" i="1"/>
  <c r="CO1997" i="1"/>
  <c r="CP1997" i="1"/>
  <c r="CQ1997" i="1"/>
  <c r="G1415" i="1"/>
  <c r="U1415" i="1"/>
  <c r="W1415" i="1"/>
  <c r="AE1415" i="1"/>
  <c r="AK1415" i="1"/>
  <c r="AQ1415" i="1"/>
  <c r="AU1415" i="1"/>
  <c r="AV1415" i="1"/>
  <c r="AW1415" i="1"/>
  <c r="AX1415" i="1"/>
  <c r="AY1415" i="1"/>
  <c r="AZ1415" i="1"/>
  <c r="BA1415" i="1"/>
  <c r="BC1415" i="1"/>
  <c r="BD1415" i="1"/>
  <c r="BE1415" i="1"/>
  <c r="BF1415" i="1"/>
  <c r="BG1415" i="1"/>
  <c r="BH1415" i="1"/>
  <c r="BI1415" i="1"/>
  <c r="BJ1415" i="1"/>
  <c r="BM1415" i="1"/>
  <c r="CA1415" i="1"/>
  <c r="CN1415" i="1"/>
  <c r="CO1415" i="1"/>
  <c r="CP1415" i="1"/>
  <c r="CQ1415" i="1"/>
  <c r="G901" i="1"/>
  <c r="U901" i="1"/>
  <c r="W901" i="1"/>
  <c r="AE901" i="1"/>
  <c r="AK901" i="1"/>
  <c r="AQ901" i="1"/>
  <c r="AU901" i="1"/>
  <c r="AV901" i="1"/>
  <c r="AW901" i="1"/>
  <c r="AX901" i="1"/>
  <c r="AY901" i="1"/>
  <c r="AZ901" i="1"/>
  <c r="BA901" i="1"/>
  <c r="BC901" i="1"/>
  <c r="BD901" i="1"/>
  <c r="BE901" i="1"/>
  <c r="BF901" i="1"/>
  <c r="BG901" i="1"/>
  <c r="BH901" i="1"/>
  <c r="BI901" i="1"/>
  <c r="BJ901" i="1"/>
  <c r="BM901" i="1"/>
  <c r="CA901" i="1"/>
  <c r="CN901" i="1"/>
  <c r="CO901" i="1"/>
  <c r="CP901" i="1"/>
  <c r="CQ901" i="1"/>
  <c r="G902" i="1"/>
  <c r="U902" i="1"/>
  <c r="W902" i="1"/>
  <c r="AE902" i="1"/>
  <c r="AK902" i="1"/>
  <c r="AQ902" i="1"/>
  <c r="AU902" i="1"/>
  <c r="AV902" i="1"/>
  <c r="AW902" i="1"/>
  <c r="AX902" i="1"/>
  <c r="AY902" i="1"/>
  <c r="AZ902" i="1"/>
  <c r="BA902" i="1"/>
  <c r="BC902" i="1"/>
  <c r="BD902" i="1"/>
  <c r="BE902" i="1"/>
  <c r="BF902" i="1"/>
  <c r="BG902" i="1"/>
  <c r="BH902" i="1"/>
  <c r="BI902" i="1"/>
  <c r="BJ902" i="1"/>
  <c r="BM902" i="1"/>
  <c r="CA902" i="1"/>
  <c r="CN902" i="1"/>
  <c r="CO902" i="1"/>
  <c r="CP902" i="1"/>
  <c r="CQ902" i="1"/>
  <c r="G903" i="1"/>
  <c r="U903" i="1"/>
  <c r="W903" i="1"/>
  <c r="AE903" i="1"/>
  <c r="AK903" i="1"/>
  <c r="AQ903" i="1"/>
  <c r="AU903" i="1"/>
  <c r="AV903" i="1"/>
  <c r="AW903" i="1"/>
  <c r="AX903" i="1"/>
  <c r="AY903" i="1"/>
  <c r="AZ903" i="1"/>
  <c r="BA903" i="1"/>
  <c r="BC903" i="1"/>
  <c r="BD903" i="1"/>
  <c r="BE903" i="1"/>
  <c r="BF903" i="1"/>
  <c r="BG903" i="1"/>
  <c r="BH903" i="1"/>
  <c r="BI903" i="1"/>
  <c r="BJ903" i="1"/>
  <c r="BM903" i="1"/>
  <c r="CA903" i="1"/>
  <c r="CN903" i="1"/>
  <c r="CO903" i="1"/>
  <c r="CP903" i="1"/>
  <c r="CQ903" i="1"/>
  <c r="G904" i="1"/>
  <c r="U904" i="1"/>
  <c r="W904" i="1"/>
  <c r="AE904" i="1"/>
  <c r="AK904" i="1"/>
  <c r="AQ904" i="1"/>
  <c r="AU904" i="1"/>
  <c r="AV904" i="1"/>
  <c r="AW904" i="1"/>
  <c r="AX904" i="1"/>
  <c r="AY904" i="1"/>
  <c r="AZ904" i="1"/>
  <c r="BA904" i="1"/>
  <c r="BC904" i="1"/>
  <c r="BD904" i="1"/>
  <c r="BE904" i="1"/>
  <c r="BF904" i="1"/>
  <c r="BG904" i="1"/>
  <c r="BH904" i="1"/>
  <c r="BI904" i="1"/>
  <c r="BJ904" i="1"/>
  <c r="BM904" i="1"/>
  <c r="CA904" i="1"/>
  <c r="CN904" i="1"/>
  <c r="CO904" i="1"/>
  <c r="CP904" i="1"/>
  <c r="CQ904" i="1"/>
  <c r="G1998" i="1"/>
  <c r="U1998" i="1"/>
  <c r="W1998" i="1"/>
  <c r="AE1998" i="1"/>
  <c r="AK1998" i="1"/>
  <c r="AQ1998" i="1"/>
  <c r="AU1998" i="1"/>
  <c r="AV1998" i="1"/>
  <c r="AW1998" i="1"/>
  <c r="AX1998" i="1"/>
  <c r="AY1998" i="1"/>
  <c r="AZ1998" i="1"/>
  <c r="BA1998" i="1"/>
  <c r="BC1998" i="1"/>
  <c r="BD1998" i="1"/>
  <c r="BE1998" i="1"/>
  <c r="BF1998" i="1"/>
  <c r="BG1998" i="1"/>
  <c r="BH1998" i="1"/>
  <c r="BI1998" i="1"/>
  <c r="BJ1998" i="1"/>
  <c r="BM1998" i="1"/>
  <c r="CA1998" i="1"/>
  <c r="CN1998" i="1"/>
  <c r="CO1998" i="1"/>
  <c r="CP1998" i="1"/>
  <c r="CQ1998" i="1"/>
  <c r="G905" i="1"/>
  <c r="U905" i="1"/>
  <c r="W905" i="1"/>
  <c r="AE905" i="1"/>
  <c r="AK905" i="1"/>
  <c r="AQ905" i="1"/>
  <c r="AU905" i="1"/>
  <c r="AV905" i="1"/>
  <c r="AW905" i="1"/>
  <c r="AX905" i="1"/>
  <c r="AY905" i="1"/>
  <c r="AZ905" i="1"/>
  <c r="BA905" i="1"/>
  <c r="BC905" i="1"/>
  <c r="BD905" i="1"/>
  <c r="BE905" i="1"/>
  <c r="BF905" i="1"/>
  <c r="BG905" i="1"/>
  <c r="BH905" i="1"/>
  <c r="BI905" i="1"/>
  <c r="BJ905" i="1"/>
  <c r="BM905" i="1"/>
  <c r="CA905" i="1"/>
  <c r="CN905" i="1"/>
  <c r="CO905" i="1"/>
  <c r="CP905" i="1"/>
  <c r="CQ905" i="1"/>
  <c r="G1999" i="1"/>
  <c r="U1999" i="1"/>
  <c r="W1999" i="1"/>
  <c r="AE1999" i="1"/>
  <c r="AK1999" i="1"/>
  <c r="AQ1999" i="1"/>
  <c r="AU1999" i="1"/>
  <c r="AV1999" i="1"/>
  <c r="AW1999" i="1"/>
  <c r="AX1999" i="1"/>
  <c r="AY1999" i="1"/>
  <c r="AZ1999" i="1"/>
  <c r="BA1999" i="1"/>
  <c r="BC1999" i="1"/>
  <c r="BD1999" i="1"/>
  <c r="BE1999" i="1"/>
  <c r="BF1999" i="1"/>
  <c r="BG1999" i="1"/>
  <c r="BH1999" i="1"/>
  <c r="BI1999" i="1"/>
  <c r="BJ1999" i="1"/>
  <c r="BM1999" i="1"/>
  <c r="CA1999" i="1"/>
  <c r="CN1999" i="1"/>
  <c r="CO1999" i="1"/>
  <c r="CP1999" i="1"/>
  <c r="CQ1999" i="1"/>
  <c r="G192" i="1"/>
  <c r="U192" i="1"/>
  <c r="W192" i="1"/>
  <c r="AE192" i="1"/>
  <c r="AK192" i="1"/>
  <c r="AQ192" i="1"/>
  <c r="AU192" i="1"/>
  <c r="AV192" i="1"/>
  <c r="AW192" i="1"/>
  <c r="AX192" i="1"/>
  <c r="AY192" i="1"/>
  <c r="AZ192" i="1"/>
  <c r="BA192" i="1"/>
  <c r="BC192" i="1"/>
  <c r="BD192" i="1"/>
  <c r="BE192" i="1"/>
  <c r="BF192" i="1"/>
  <c r="BG192" i="1"/>
  <c r="BH192" i="1"/>
  <c r="BI192" i="1"/>
  <c r="BJ192" i="1"/>
  <c r="BM192" i="1"/>
  <c r="CA192" i="1"/>
  <c r="CN192" i="1"/>
  <c r="CO192" i="1"/>
  <c r="CP192" i="1"/>
  <c r="CQ192" i="1"/>
  <c r="G2000" i="1"/>
  <c r="U2000" i="1"/>
  <c r="W2000" i="1"/>
  <c r="AE2000" i="1"/>
  <c r="AK2000" i="1"/>
  <c r="AQ2000" i="1"/>
  <c r="AU2000" i="1"/>
  <c r="AV2000" i="1"/>
  <c r="AW2000" i="1"/>
  <c r="AX2000" i="1"/>
  <c r="AY2000" i="1"/>
  <c r="AZ2000" i="1"/>
  <c r="BA2000" i="1"/>
  <c r="BC2000" i="1"/>
  <c r="BD2000" i="1"/>
  <c r="BE2000" i="1"/>
  <c r="BF2000" i="1"/>
  <c r="BG2000" i="1"/>
  <c r="BH2000" i="1"/>
  <c r="BI2000" i="1"/>
  <c r="BJ2000" i="1"/>
  <c r="BM2000" i="1"/>
  <c r="CA2000" i="1"/>
  <c r="CN2000" i="1"/>
  <c r="CO2000" i="1"/>
  <c r="CP2000" i="1"/>
  <c r="CQ2000" i="1"/>
  <c r="G417" i="1"/>
  <c r="U417" i="1"/>
  <c r="W417" i="1"/>
  <c r="AE417" i="1"/>
  <c r="AK417" i="1"/>
  <c r="AQ417" i="1"/>
  <c r="AU417" i="1"/>
  <c r="AV417" i="1"/>
  <c r="AW417" i="1"/>
  <c r="AX417" i="1"/>
  <c r="AY417" i="1"/>
  <c r="AZ417" i="1"/>
  <c r="BA417" i="1"/>
  <c r="BC417" i="1"/>
  <c r="BD417" i="1"/>
  <c r="BE417" i="1"/>
  <c r="BF417" i="1"/>
  <c r="BG417" i="1"/>
  <c r="BH417" i="1"/>
  <c r="BI417" i="1"/>
  <c r="BJ417" i="1"/>
  <c r="BM417" i="1"/>
  <c r="CA417" i="1"/>
  <c r="CN417" i="1"/>
  <c r="CO417" i="1"/>
  <c r="CP417" i="1"/>
  <c r="CQ417" i="1"/>
  <c r="G193" i="1"/>
  <c r="U193" i="1"/>
  <c r="W193" i="1"/>
  <c r="AE193" i="1"/>
  <c r="AK193" i="1"/>
  <c r="AQ193" i="1"/>
  <c r="AU193" i="1"/>
  <c r="AV193" i="1"/>
  <c r="AW193" i="1"/>
  <c r="AX193" i="1"/>
  <c r="AY193" i="1"/>
  <c r="AZ193" i="1"/>
  <c r="BA193" i="1"/>
  <c r="BC193" i="1"/>
  <c r="BD193" i="1"/>
  <c r="BE193" i="1"/>
  <c r="BF193" i="1"/>
  <c r="BG193" i="1"/>
  <c r="BH193" i="1"/>
  <c r="BI193" i="1"/>
  <c r="BJ193" i="1"/>
  <c r="BM193" i="1"/>
  <c r="CA193" i="1"/>
  <c r="CN193" i="1"/>
  <c r="CO193" i="1"/>
  <c r="CP193" i="1"/>
  <c r="CQ193" i="1"/>
  <c r="G906" i="1"/>
  <c r="U906" i="1"/>
  <c r="W906" i="1"/>
  <c r="AE906" i="1"/>
  <c r="AK906" i="1"/>
  <c r="AQ906" i="1"/>
  <c r="AU906" i="1"/>
  <c r="AV906" i="1"/>
  <c r="AW906" i="1"/>
  <c r="AX906" i="1"/>
  <c r="AY906" i="1"/>
  <c r="AZ906" i="1"/>
  <c r="BA906" i="1"/>
  <c r="BC906" i="1"/>
  <c r="BD906" i="1"/>
  <c r="BE906" i="1"/>
  <c r="BF906" i="1"/>
  <c r="BG906" i="1"/>
  <c r="BH906" i="1"/>
  <c r="BI906" i="1"/>
  <c r="BJ906" i="1"/>
  <c r="BM906" i="1"/>
  <c r="CA906" i="1"/>
  <c r="CN906" i="1"/>
  <c r="CO906" i="1"/>
  <c r="CP906" i="1"/>
  <c r="CQ906" i="1"/>
  <c r="G418" i="1"/>
  <c r="U418" i="1"/>
  <c r="W418" i="1"/>
  <c r="AE418" i="1"/>
  <c r="AK418" i="1"/>
  <c r="AQ418" i="1"/>
  <c r="AU418" i="1"/>
  <c r="AV418" i="1"/>
  <c r="AW418" i="1"/>
  <c r="AX418" i="1"/>
  <c r="AY418" i="1"/>
  <c r="AZ418" i="1"/>
  <c r="BA418" i="1"/>
  <c r="BC418" i="1"/>
  <c r="BD418" i="1"/>
  <c r="BE418" i="1"/>
  <c r="BF418" i="1"/>
  <c r="BG418" i="1"/>
  <c r="BH418" i="1"/>
  <c r="BI418" i="1"/>
  <c r="BJ418" i="1"/>
  <c r="BM418" i="1"/>
  <c r="CA418" i="1"/>
  <c r="CN418" i="1"/>
  <c r="CO418" i="1"/>
  <c r="CP418" i="1"/>
  <c r="CQ418" i="1"/>
  <c r="G907" i="1"/>
  <c r="U907" i="1"/>
  <c r="W907" i="1"/>
  <c r="AE907" i="1"/>
  <c r="AK907" i="1"/>
  <c r="AQ907" i="1"/>
  <c r="AU907" i="1"/>
  <c r="AV907" i="1"/>
  <c r="AW907" i="1"/>
  <c r="AX907" i="1"/>
  <c r="AY907" i="1"/>
  <c r="AZ907" i="1"/>
  <c r="BA907" i="1"/>
  <c r="BC907" i="1"/>
  <c r="BD907" i="1"/>
  <c r="BE907" i="1"/>
  <c r="BF907" i="1"/>
  <c r="BG907" i="1"/>
  <c r="BH907" i="1"/>
  <c r="BI907" i="1"/>
  <c r="BJ907" i="1"/>
  <c r="BM907" i="1"/>
  <c r="CA907" i="1"/>
  <c r="CN907" i="1"/>
  <c r="CO907" i="1"/>
  <c r="CP907" i="1"/>
  <c r="CQ907" i="1"/>
  <c r="G908" i="1"/>
  <c r="U908" i="1"/>
  <c r="W908" i="1"/>
  <c r="AE908" i="1"/>
  <c r="AK908" i="1"/>
  <c r="AQ908" i="1"/>
  <c r="AU908" i="1"/>
  <c r="AV908" i="1"/>
  <c r="AW908" i="1"/>
  <c r="AX908" i="1"/>
  <c r="AY908" i="1"/>
  <c r="AZ908" i="1"/>
  <c r="BA908" i="1"/>
  <c r="BC908" i="1"/>
  <c r="BD908" i="1"/>
  <c r="BE908" i="1"/>
  <c r="BF908" i="1"/>
  <c r="BG908" i="1"/>
  <c r="BH908" i="1"/>
  <c r="BI908" i="1"/>
  <c r="BJ908" i="1"/>
  <c r="BM908" i="1"/>
  <c r="CA908" i="1"/>
  <c r="CN908" i="1"/>
  <c r="CO908" i="1"/>
  <c r="CP908" i="1"/>
  <c r="CQ908" i="1"/>
  <c r="G419" i="1"/>
  <c r="U419" i="1"/>
  <c r="W419" i="1"/>
  <c r="AE419" i="1"/>
  <c r="AK419" i="1"/>
  <c r="AQ419" i="1"/>
  <c r="AU419" i="1"/>
  <c r="AV419" i="1"/>
  <c r="AW419" i="1"/>
  <c r="AX419" i="1"/>
  <c r="AY419" i="1"/>
  <c r="AZ419" i="1"/>
  <c r="BA419" i="1"/>
  <c r="BC419" i="1"/>
  <c r="BD419" i="1"/>
  <c r="BE419" i="1"/>
  <c r="BF419" i="1"/>
  <c r="BG419" i="1"/>
  <c r="BH419" i="1"/>
  <c r="BI419" i="1"/>
  <c r="BJ419" i="1"/>
  <c r="BM419" i="1"/>
  <c r="CA419" i="1"/>
  <c r="CN419" i="1"/>
  <c r="CO419" i="1"/>
  <c r="CP419" i="1"/>
  <c r="CQ419" i="1"/>
  <c r="G909" i="1"/>
  <c r="U909" i="1"/>
  <c r="W909" i="1"/>
  <c r="AE909" i="1"/>
  <c r="AK909" i="1"/>
  <c r="AQ909" i="1"/>
  <c r="AU909" i="1"/>
  <c r="AV909" i="1"/>
  <c r="AW909" i="1"/>
  <c r="AX909" i="1"/>
  <c r="AY909" i="1"/>
  <c r="AZ909" i="1"/>
  <c r="BA909" i="1"/>
  <c r="BC909" i="1"/>
  <c r="BD909" i="1"/>
  <c r="BE909" i="1"/>
  <c r="BF909" i="1"/>
  <c r="BG909" i="1"/>
  <c r="BH909" i="1"/>
  <c r="BI909" i="1"/>
  <c r="BJ909" i="1"/>
  <c r="BM909" i="1"/>
  <c r="CA909" i="1"/>
  <c r="CN909" i="1"/>
  <c r="CO909" i="1"/>
  <c r="CP909" i="1"/>
  <c r="CQ909" i="1"/>
  <c r="G910" i="1"/>
  <c r="U910" i="1"/>
  <c r="W910" i="1"/>
  <c r="AE910" i="1"/>
  <c r="AK910" i="1"/>
  <c r="AQ910" i="1"/>
  <c r="AU910" i="1"/>
  <c r="AV910" i="1"/>
  <c r="AW910" i="1"/>
  <c r="AX910" i="1"/>
  <c r="AY910" i="1"/>
  <c r="AZ910" i="1"/>
  <c r="BA910" i="1"/>
  <c r="BC910" i="1"/>
  <c r="BD910" i="1"/>
  <c r="BE910" i="1"/>
  <c r="BF910" i="1"/>
  <c r="BG910" i="1"/>
  <c r="BH910" i="1"/>
  <c r="BI910" i="1"/>
  <c r="BJ910" i="1"/>
  <c r="BM910" i="1"/>
  <c r="CA910" i="1"/>
  <c r="CN910" i="1"/>
  <c r="CO910" i="1"/>
  <c r="CP910" i="1"/>
  <c r="CQ910" i="1"/>
  <c r="G1416" i="1"/>
  <c r="U1416" i="1"/>
  <c r="W1416" i="1"/>
  <c r="AE1416" i="1"/>
  <c r="AK1416" i="1"/>
  <c r="AQ1416" i="1"/>
  <c r="AU1416" i="1"/>
  <c r="AV1416" i="1"/>
  <c r="AW1416" i="1"/>
  <c r="AX1416" i="1"/>
  <c r="AY1416" i="1"/>
  <c r="AZ1416" i="1"/>
  <c r="BA1416" i="1"/>
  <c r="BC1416" i="1"/>
  <c r="BD1416" i="1"/>
  <c r="BE1416" i="1"/>
  <c r="BF1416" i="1"/>
  <c r="BG1416" i="1"/>
  <c r="BH1416" i="1"/>
  <c r="BI1416" i="1"/>
  <c r="BJ1416" i="1"/>
  <c r="BM1416" i="1"/>
  <c r="CA1416" i="1"/>
  <c r="CN1416" i="1"/>
  <c r="CO1416" i="1"/>
  <c r="CP1416" i="1"/>
  <c r="CQ1416" i="1"/>
  <c r="G1583" i="1"/>
  <c r="U1583" i="1"/>
  <c r="W1583" i="1"/>
  <c r="AE1583" i="1"/>
  <c r="AK1583" i="1"/>
  <c r="AQ1583" i="1"/>
  <c r="AU1583" i="1"/>
  <c r="AV1583" i="1"/>
  <c r="AW1583" i="1"/>
  <c r="AX1583" i="1"/>
  <c r="AY1583" i="1"/>
  <c r="AZ1583" i="1"/>
  <c r="BA1583" i="1"/>
  <c r="BC1583" i="1"/>
  <c r="BD1583" i="1"/>
  <c r="BE1583" i="1"/>
  <c r="BF1583" i="1"/>
  <c r="BG1583" i="1"/>
  <c r="BH1583" i="1"/>
  <c r="BI1583" i="1"/>
  <c r="BJ1583" i="1"/>
  <c r="BM1583" i="1"/>
  <c r="CA1583" i="1"/>
  <c r="CN1583" i="1"/>
  <c r="CO1583" i="1"/>
  <c r="CP1583" i="1"/>
  <c r="CQ1583" i="1"/>
  <c r="G194" i="1"/>
  <c r="U194" i="1"/>
  <c r="W194" i="1"/>
  <c r="AE194" i="1"/>
  <c r="AK194" i="1"/>
  <c r="AQ194" i="1"/>
  <c r="AU194" i="1"/>
  <c r="AV194" i="1"/>
  <c r="AW194" i="1"/>
  <c r="AX194" i="1"/>
  <c r="AY194" i="1"/>
  <c r="AZ194" i="1"/>
  <c r="BA194" i="1"/>
  <c r="BC194" i="1"/>
  <c r="BD194" i="1"/>
  <c r="BE194" i="1"/>
  <c r="BF194" i="1"/>
  <c r="BG194" i="1"/>
  <c r="BH194" i="1"/>
  <c r="BI194" i="1"/>
  <c r="BJ194" i="1"/>
  <c r="BM194" i="1"/>
  <c r="CA194" i="1"/>
  <c r="CN194" i="1"/>
  <c r="CO194" i="1"/>
  <c r="CP194" i="1"/>
  <c r="CQ194" i="1"/>
  <c r="G195" i="1"/>
  <c r="U195" i="1"/>
  <c r="W195" i="1"/>
  <c r="AE195" i="1"/>
  <c r="AK195" i="1"/>
  <c r="AQ195" i="1"/>
  <c r="AU195" i="1"/>
  <c r="AV195" i="1"/>
  <c r="AW195" i="1"/>
  <c r="AX195" i="1"/>
  <c r="AY195" i="1"/>
  <c r="AZ195" i="1"/>
  <c r="BA195" i="1"/>
  <c r="BC195" i="1"/>
  <c r="BD195" i="1"/>
  <c r="BE195" i="1"/>
  <c r="BF195" i="1"/>
  <c r="BG195" i="1"/>
  <c r="BH195" i="1"/>
  <c r="BI195" i="1"/>
  <c r="BJ195" i="1"/>
  <c r="BM195" i="1"/>
  <c r="CA195" i="1"/>
  <c r="CN195" i="1"/>
  <c r="CO195" i="1"/>
  <c r="CP195" i="1"/>
  <c r="CQ195" i="1"/>
  <c r="G911" i="1"/>
  <c r="U911" i="1"/>
  <c r="W911" i="1"/>
  <c r="AE911" i="1"/>
  <c r="AK911" i="1"/>
  <c r="AQ911" i="1"/>
  <c r="AU911" i="1"/>
  <c r="AV911" i="1"/>
  <c r="AW911" i="1"/>
  <c r="AX911" i="1"/>
  <c r="AY911" i="1"/>
  <c r="AZ911" i="1"/>
  <c r="BA911" i="1"/>
  <c r="BC911" i="1"/>
  <c r="BD911" i="1"/>
  <c r="BE911" i="1"/>
  <c r="BF911" i="1"/>
  <c r="BG911" i="1"/>
  <c r="BH911" i="1"/>
  <c r="BI911" i="1"/>
  <c r="BJ911" i="1"/>
  <c r="BM911" i="1"/>
  <c r="CA911" i="1"/>
  <c r="CN911" i="1"/>
  <c r="CO911" i="1"/>
  <c r="CP911" i="1"/>
  <c r="CQ911" i="1"/>
  <c r="G912" i="1"/>
  <c r="U912" i="1"/>
  <c r="W912" i="1"/>
  <c r="AE912" i="1"/>
  <c r="AK912" i="1"/>
  <c r="AQ912" i="1"/>
  <c r="AU912" i="1"/>
  <c r="AV912" i="1"/>
  <c r="AW912" i="1"/>
  <c r="AX912" i="1"/>
  <c r="AY912" i="1"/>
  <c r="AZ912" i="1"/>
  <c r="BA912" i="1"/>
  <c r="BC912" i="1"/>
  <c r="BD912" i="1"/>
  <c r="BE912" i="1"/>
  <c r="BF912" i="1"/>
  <c r="BG912" i="1"/>
  <c r="BH912" i="1"/>
  <c r="BI912" i="1"/>
  <c r="BJ912" i="1"/>
  <c r="BM912" i="1"/>
  <c r="CA912" i="1"/>
  <c r="CN912" i="1"/>
  <c r="CO912" i="1"/>
  <c r="CP912" i="1"/>
  <c r="CQ912" i="1"/>
  <c r="G1417" i="1"/>
  <c r="U1417" i="1"/>
  <c r="W1417" i="1"/>
  <c r="AE1417" i="1"/>
  <c r="AK1417" i="1"/>
  <c r="AQ1417" i="1"/>
  <c r="AU1417" i="1"/>
  <c r="AV1417" i="1"/>
  <c r="AW1417" i="1"/>
  <c r="AX1417" i="1"/>
  <c r="AY1417" i="1"/>
  <c r="AZ1417" i="1"/>
  <c r="BA1417" i="1"/>
  <c r="BC1417" i="1"/>
  <c r="BD1417" i="1"/>
  <c r="BE1417" i="1"/>
  <c r="BF1417" i="1"/>
  <c r="BG1417" i="1"/>
  <c r="BH1417" i="1"/>
  <c r="BI1417" i="1"/>
  <c r="BJ1417" i="1"/>
  <c r="BM1417" i="1"/>
  <c r="CA1417" i="1"/>
  <c r="CN1417" i="1"/>
  <c r="CO1417" i="1"/>
  <c r="CP1417" i="1"/>
  <c r="CQ1417" i="1"/>
  <c r="G1418" i="1"/>
  <c r="U1418" i="1"/>
  <c r="W1418" i="1"/>
  <c r="AE1418" i="1"/>
  <c r="AK1418" i="1"/>
  <c r="AQ1418" i="1"/>
  <c r="AU1418" i="1"/>
  <c r="AV1418" i="1"/>
  <c r="AW1418" i="1"/>
  <c r="AX1418" i="1"/>
  <c r="AY1418" i="1"/>
  <c r="AZ1418" i="1"/>
  <c r="BA1418" i="1"/>
  <c r="BC1418" i="1"/>
  <c r="BD1418" i="1"/>
  <c r="BE1418" i="1"/>
  <c r="BF1418" i="1"/>
  <c r="BG1418" i="1"/>
  <c r="BH1418" i="1"/>
  <c r="BI1418" i="1"/>
  <c r="BJ1418" i="1"/>
  <c r="BM1418" i="1"/>
  <c r="CA1418" i="1"/>
  <c r="CN1418" i="1"/>
  <c r="CO1418" i="1"/>
  <c r="CP1418" i="1"/>
  <c r="CQ1418" i="1"/>
  <c r="G913" i="1"/>
  <c r="U913" i="1"/>
  <c r="W913" i="1"/>
  <c r="AE913" i="1"/>
  <c r="AK913" i="1"/>
  <c r="AQ913" i="1"/>
  <c r="AU913" i="1"/>
  <c r="AV913" i="1"/>
  <c r="AW913" i="1"/>
  <c r="AX913" i="1"/>
  <c r="AY913" i="1"/>
  <c r="AZ913" i="1"/>
  <c r="BA913" i="1"/>
  <c r="BC913" i="1"/>
  <c r="BD913" i="1"/>
  <c r="BE913" i="1"/>
  <c r="BF913" i="1"/>
  <c r="BG913" i="1"/>
  <c r="BH913" i="1"/>
  <c r="BI913" i="1"/>
  <c r="BJ913" i="1"/>
  <c r="BM913" i="1"/>
  <c r="CA913" i="1"/>
  <c r="CN913" i="1"/>
  <c r="CO913" i="1"/>
  <c r="CP913" i="1"/>
  <c r="CQ913" i="1"/>
  <c r="G914" i="1"/>
  <c r="U914" i="1"/>
  <c r="W914" i="1"/>
  <c r="AE914" i="1"/>
  <c r="AK914" i="1"/>
  <c r="AQ914" i="1"/>
  <c r="AU914" i="1"/>
  <c r="AV914" i="1"/>
  <c r="AW914" i="1"/>
  <c r="AX914" i="1"/>
  <c r="AY914" i="1"/>
  <c r="AZ914" i="1"/>
  <c r="BA914" i="1"/>
  <c r="BC914" i="1"/>
  <c r="BD914" i="1"/>
  <c r="BE914" i="1"/>
  <c r="BF914" i="1"/>
  <c r="BG914" i="1"/>
  <c r="BH914" i="1"/>
  <c r="BI914" i="1"/>
  <c r="BJ914" i="1"/>
  <c r="BM914" i="1"/>
  <c r="CA914" i="1"/>
  <c r="CN914" i="1"/>
  <c r="CO914" i="1"/>
  <c r="CP914" i="1"/>
  <c r="CQ914" i="1"/>
  <c r="G420" i="1"/>
  <c r="U420" i="1"/>
  <c r="W420" i="1"/>
  <c r="AE420" i="1"/>
  <c r="AK420" i="1"/>
  <c r="AQ420" i="1"/>
  <c r="AU420" i="1"/>
  <c r="AV420" i="1"/>
  <c r="AW420" i="1"/>
  <c r="AX420" i="1"/>
  <c r="AY420" i="1"/>
  <c r="AZ420" i="1"/>
  <c r="BA420" i="1"/>
  <c r="BC420" i="1"/>
  <c r="BD420" i="1"/>
  <c r="BE420" i="1"/>
  <c r="BF420" i="1"/>
  <c r="BG420" i="1"/>
  <c r="BH420" i="1"/>
  <c r="BI420" i="1"/>
  <c r="BJ420" i="1"/>
  <c r="BM420" i="1"/>
  <c r="CA420" i="1"/>
  <c r="CN420" i="1"/>
  <c r="CO420" i="1"/>
  <c r="CP420" i="1"/>
  <c r="CQ420" i="1"/>
  <c r="G915" i="1"/>
  <c r="U915" i="1"/>
  <c r="W915" i="1"/>
  <c r="AE915" i="1"/>
  <c r="AK915" i="1"/>
  <c r="AQ915" i="1"/>
  <c r="AU915" i="1"/>
  <c r="AV915" i="1"/>
  <c r="AW915" i="1"/>
  <c r="AX915" i="1"/>
  <c r="AY915" i="1"/>
  <c r="AZ915" i="1"/>
  <c r="BA915" i="1"/>
  <c r="BC915" i="1"/>
  <c r="BD915" i="1"/>
  <c r="BE915" i="1"/>
  <c r="BF915" i="1"/>
  <c r="BG915" i="1"/>
  <c r="BH915" i="1"/>
  <c r="BI915" i="1"/>
  <c r="BJ915" i="1"/>
  <c r="BM915" i="1"/>
  <c r="CA915" i="1"/>
  <c r="CN915" i="1"/>
  <c r="CO915" i="1"/>
  <c r="CP915" i="1"/>
  <c r="CQ915" i="1"/>
  <c r="G916" i="1"/>
  <c r="U916" i="1"/>
  <c r="W916" i="1"/>
  <c r="AE916" i="1"/>
  <c r="AK916" i="1"/>
  <c r="AQ916" i="1"/>
  <c r="AU916" i="1"/>
  <c r="AV916" i="1"/>
  <c r="AW916" i="1"/>
  <c r="AX916" i="1"/>
  <c r="AY916" i="1"/>
  <c r="AZ916" i="1"/>
  <c r="BA916" i="1"/>
  <c r="BC916" i="1"/>
  <c r="BD916" i="1"/>
  <c r="BE916" i="1"/>
  <c r="BF916" i="1"/>
  <c r="BG916" i="1"/>
  <c r="BH916" i="1"/>
  <c r="BI916" i="1"/>
  <c r="BJ916" i="1"/>
  <c r="BM916" i="1"/>
  <c r="CA916" i="1"/>
  <c r="CN916" i="1"/>
  <c r="CO916" i="1"/>
  <c r="CP916" i="1"/>
  <c r="CQ916" i="1"/>
  <c r="G917" i="1"/>
  <c r="U917" i="1"/>
  <c r="W917" i="1"/>
  <c r="AE917" i="1"/>
  <c r="AK917" i="1"/>
  <c r="AQ917" i="1"/>
  <c r="AU917" i="1"/>
  <c r="AV917" i="1"/>
  <c r="AW917" i="1"/>
  <c r="AX917" i="1"/>
  <c r="AY917" i="1"/>
  <c r="AZ917" i="1"/>
  <c r="BA917" i="1"/>
  <c r="BC917" i="1"/>
  <c r="BD917" i="1"/>
  <c r="BE917" i="1"/>
  <c r="BF917" i="1"/>
  <c r="BG917" i="1"/>
  <c r="BH917" i="1"/>
  <c r="BI917" i="1"/>
  <c r="BJ917" i="1"/>
  <c r="BM917" i="1"/>
  <c r="CA917" i="1"/>
  <c r="CN917" i="1"/>
  <c r="CO917" i="1"/>
  <c r="CP917" i="1"/>
  <c r="CQ917" i="1"/>
  <c r="G1419" i="1"/>
  <c r="U1419" i="1"/>
  <c r="W1419" i="1"/>
  <c r="AE1419" i="1"/>
  <c r="AK1419" i="1"/>
  <c r="AQ1419" i="1"/>
  <c r="AU1419" i="1"/>
  <c r="AV1419" i="1"/>
  <c r="AW1419" i="1"/>
  <c r="AX1419" i="1"/>
  <c r="AY1419" i="1"/>
  <c r="AZ1419" i="1"/>
  <c r="BA1419" i="1"/>
  <c r="BC1419" i="1"/>
  <c r="BD1419" i="1"/>
  <c r="BE1419" i="1"/>
  <c r="BF1419" i="1"/>
  <c r="BG1419" i="1"/>
  <c r="BH1419" i="1"/>
  <c r="BI1419" i="1"/>
  <c r="BJ1419" i="1"/>
  <c r="BM1419" i="1"/>
  <c r="CA1419" i="1"/>
  <c r="CN1419" i="1"/>
  <c r="CO1419" i="1"/>
  <c r="CP1419" i="1"/>
  <c r="CQ1419" i="1"/>
  <c r="G196" i="1"/>
  <c r="U196" i="1"/>
  <c r="W196" i="1"/>
  <c r="AE196" i="1"/>
  <c r="AK196" i="1"/>
  <c r="AQ196" i="1"/>
  <c r="AU196" i="1"/>
  <c r="AV196" i="1"/>
  <c r="AW196" i="1"/>
  <c r="AX196" i="1"/>
  <c r="AY196" i="1"/>
  <c r="AZ196" i="1"/>
  <c r="BA196" i="1"/>
  <c r="BC196" i="1"/>
  <c r="BD196" i="1"/>
  <c r="BE196" i="1"/>
  <c r="BF196" i="1"/>
  <c r="BG196" i="1"/>
  <c r="BH196" i="1"/>
  <c r="BI196" i="1"/>
  <c r="BJ196" i="1"/>
  <c r="BM196" i="1"/>
  <c r="CA196" i="1"/>
  <c r="CN196" i="1"/>
  <c r="CO196" i="1"/>
  <c r="CP196" i="1"/>
  <c r="CQ196" i="1"/>
  <c r="G918" i="1"/>
  <c r="U918" i="1"/>
  <c r="W918" i="1"/>
  <c r="AE918" i="1"/>
  <c r="AK918" i="1"/>
  <c r="AQ918" i="1"/>
  <c r="AU918" i="1"/>
  <c r="AV918" i="1"/>
  <c r="AW918" i="1"/>
  <c r="AX918" i="1"/>
  <c r="AY918" i="1"/>
  <c r="AZ918" i="1"/>
  <c r="BA918" i="1"/>
  <c r="BC918" i="1"/>
  <c r="BD918" i="1"/>
  <c r="BE918" i="1"/>
  <c r="BF918" i="1"/>
  <c r="BG918" i="1"/>
  <c r="BH918" i="1"/>
  <c r="BI918" i="1"/>
  <c r="BJ918" i="1"/>
  <c r="BM918" i="1"/>
  <c r="CA918" i="1"/>
  <c r="CN918" i="1"/>
  <c r="CO918" i="1"/>
  <c r="CP918" i="1"/>
  <c r="CQ918" i="1"/>
  <c r="G1420" i="1"/>
  <c r="U1420" i="1"/>
  <c r="W1420" i="1"/>
  <c r="AE1420" i="1"/>
  <c r="AK1420" i="1"/>
  <c r="AQ1420" i="1"/>
  <c r="AU1420" i="1"/>
  <c r="AV1420" i="1"/>
  <c r="AW1420" i="1"/>
  <c r="AX1420" i="1"/>
  <c r="AY1420" i="1"/>
  <c r="AZ1420" i="1"/>
  <c r="BA1420" i="1"/>
  <c r="BC1420" i="1"/>
  <c r="BD1420" i="1"/>
  <c r="BE1420" i="1"/>
  <c r="BF1420" i="1"/>
  <c r="BG1420" i="1"/>
  <c r="BH1420" i="1"/>
  <c r="BI1420" i="1"/>
  <c r="BJ1420" i="1"/>
  <c r="BM1420" i="1"/>
  <c r="CA1420" i="1"/>
  <c r="CN1420" i="1"/>
  <c r="CO1420" i="1"/>
  <c r="CP1420" i="1"/>
  <c r="CQ1420" i="1"/>
  <c r="G197" i="1"/>
  <c r="U197" i="1"/>
  <c r="W197" i="1"/>
  <c r="AE197" i="1"/>
  <c r="AK197" i="1"/>
  <c r="AQ197" i="1"/>
  <c r="AU197" i="1"/>
  <c r="AV197" i="1"/>
  <c r="AW197" i="1"/>
  <c r="AX197" i="1"/>
  <c r="AY197" i="1"/>
  <c r="AZ197" i="1"/>
  <c r="BA197" i="1"/>
  <c r="BC197" i="1"/>
  <c r="BD197" i="1"/>
  <c r="BE197" i="1"/>
  <c r="BF197" i="1"/>
  <c r="BG197" i="1"/>
  <c r="BH197" i="1"/>
  <c r="BI197" i="1"/>
  <c r="BJ197" i="1"/>
  <c r="BM197" i="1"/>
  <c r="CA197" i="1"/>
  <c r="CN197" i="1"/>
  <c r="CO197" i="1"/>
  <c r="CP197" i="1"/>
  <c r="CQ197" i="1"/>
  <c r="G919" i="1"/>
  <c r="U919" i="1"/>
  <c r="W919" i="1"/>
  <c r="AE919" i="1"/>
  <c r="AK919" i="1"/>
  <c r="AQ919" i="1"/>
  <c r="AU919" i="1"/>
  <c r="AV919" i="1"/>
  <c r="AW919" i="1"/>
  <c r="AX919" i="1"/>
  <c r="AY919" i="1"/>
  <c r="AZ919" i="1"/>
  <c r="BA919" i="1"/>
  <c r="BC919" i="1"/>
  <c r="BD919" i="1"/>
  <c r="BE919" i="1"/>
  <c r="BF919" i="1"/>
  <c r="BG919" i="1"/>
  <c r="BH919" i="1"/>
  <c r="BI919" i="1"/>
  <c r="BJ919" i="1"/>
  <c r="BM919" i="1"/>
  <c r="CA919" i="1"/>
  <c r="CN919" i="1"/>
  <c r="CO919" i="1"/>
  <c r="CP919" i="1"/>
  <c r="CQ919" i="1"/>
  <c r="G421" i="1"/>
  <c r="U421" i="1"/>
  <c r="W421" i="1"/>
  <c r="AE421" i="1"/>
  <c r="AK421" i="1"/>
  <c r="AQ421" i="1"/>
  <c r="AU421" i="1"/>
  <c r="AV421" i="1"/>
  <c r="AW421" i="1"/>
  <c r="AX421" i="1"/>
  <c r="AY421" i="1"/>
  <c r="AZ421" i="1"/>
  <c r="BA421" i="1"/>
  <c r="BC421" i="1"/>
  <c r="BD421" i="1"/>
  <c r="BE421" i="1"/>
  <c r="BF421" i="1"/>
  <c r="BG421" i="1"/>
  <c r="BH421" i="1"/>
  <c r="BI421" i="1"/>
  <c r="BJ421" i="1"/>
  <c r="BM421" i="1"/>
  <c r="CA421" i="1"/>
  <c r="CN421" i="1"/>
  <c r="CO421" i="1"/>
  <c r="CP421" i="1"/>
  <c r="CQ421" i="1"/>
  <c r="G198" i="1"/>
  <c r="U198" i="1"/>
  <c r="W198" i="1"/>
  <c r="AE198" i="1"/>
  <c r="AK198" i="1"/>
  <c r="AQ198" i="1"/>
  <c r="AU198" i="1"/>
  <c r="AV198" i="1"/>
  <c r="AW198" i="1"/>
  <c r="AX198" i="1"/>
  <c r="AY198" i="1"/>
  <c r="AZ198" i="1"/>
  <c r="BA198" i="1"/>
  <c r="BC198" i="1"/>
  <c r="BD198" i="1"/>
  <c r="BE198" i="1"/>
  <c r="BF198" i="1"/>
  <c r="BG198" i="1"/>
  <c r="BH198" i="1"/>
  <c r="BI198" i="1"/>
  <c r="BJ198" i="1"/>
  <c r="BM198" i="1"/>
  <c r="CA198" i="1"/>
  <c r="CN198" i="1"/>
  <c r="CO198" i="1"/>
  <c r="CP198" i="1"/>
  <c r="CQ198" i="1"/>
  <c r="G920" i="1"/>
  <c r="U920" i="1"/>
  <c r="W920" i="1"/>
  <c r="AE920" i="1"/>
  <c r="AK920" i="1"/>
  <c r="AQ920" i="1"/>
  <c r="AU920" i="1"/>
  <c r="AV920" i="1"/>
  <c r="AW920" i="1"/>
  <c r="AX920" i="1"/>
  <c r="AY920" i="1"/>
  <c r="AZ920" i="1"/>
  <c r="BA920" i="1"/>
  <c r="BC920" i="1"/>
  <c r="BD920" i="1"/>
  <c r="BE920" i="1"/>
  <c r="BF920" i="1"/>
  <c r="BG920" i="1"/>
  <c r="BH920" i="1"/>
  <c r="BI920" i="1"/>
  <c r="BJ920" i="1"/>
  <c r="BM920" i="1"/>
  <c r="CA920" i="1"/>
  <c r="CN920" i="1"/>
  <c r="CO920" i="1"/>
  <c r="CP920" i="1"/>
  <c r="CQ920" i="1"/>
  <c r="G921" i="1"/>
  <c r="U921" i="1"/>
  <c r="W921" i="1"/>
  <c r="AE921" i="1"/>
  <c r="AK921" i="1"/>
  <c r="AQ921" i="1"/>
  <c r="AU921" i="1"/>
  <c r="AV921" i="1"/>
  <c r="AW921" i="1"/>
  <c r="AX921" i="1"/>
  <c r="AY921" i="1"/>
  <c r="AZ921" i="1"/>
  <c r="BA921" i="1"/>
  <c r="BC921" i="1"/>
  <c r="BD921" i="1"/>
  <c r="BE921" i="1"/>
  <c r="BF921" i="1"/>
  <c r="BG921" i="1"/>
  <c r="BH921" i="1"/>
  <c r="BI921" i="1"/>
  <c r="BJ921" i="1"/>
  <c r="BM921" i="1"/>
  <c r="CA921" i="1"/>
  <c r="CN921" i="1"/>
  <c r="CO921" i="1"/>
  <c r="CP921" i="1"/>
  <c r="CQ921" i="1"/>
  <c r="G199" i="1"/>
  <c r="U199" i="1"/>
  <c r="W199" i="1"/>
  <c r="AE199" i="1"/>
  <c r="AK199" i="1"/>
  <c r="AQ199" i="1"/>
  <c r="AU199" i="1"/>
  <c r="AV199" i="1"/>
  <c r="AW199" i="1"/>
  <c r="AX199" i="1"/>
  <c r="AY199" i="1"/>
  <c r="AZ199" i="1"/>
  <c r="BA199" i="1"/>
  <c r="BC199" i="1"/>
  <c r="BD199" i="1"/>
  <c r="BE199" i="1"/>
  <c r="BF199" i="1"/>
  <c r="BG199" i="1"/>
  <c r="BH199" i="1"/>
  <c r="BI199" i="1"/>
  <c r="BJ199" i="1"/>
  <c r="BM199" i="1"/>
  <c r="CA199" i="1"/>
  <c r="CN199" i="1"/>
  <c r="CO199" i="1"/>
  <c r="CP199" i="1"/>
  <c r="CQ199" i="1"/>
  <c r="G922" i="1"/>
  <c r="U922" i="1"/>
  <c r="W922" i="1"/>
  <c r="AE922" i="1"/>
  <c r="AK922" i="1"/>
  <c r="AQ922" i="1"/>
  <c r="AU922" i="1"/>
  <c r="AV922" i="1"/>
  <c r="AW922" i="1"/>
  <c r="AX922" i="1"/>
  <c r="AY922" i="1"/>
  <c r="AZ922" i="1"/>
  <c r="BA922" i="1"/>
  <c r="BC922" i="1"/>
  <c r="BD922" i="1"/>
  <c r="BE922" i="1"/>
  <c r="BF922" i="1"/>
  <c r="BG922" i="1"/>
  <c r="BH922" i="1"/>
  <c r="BI922" i="1"/>
  <c r="BJ922" i="1"/>
  <c r="BM922" i="1"/>
  <c r="CA922" i="1"/>
  <c r="CN922" i="1"/>
  <c r="CO922" i="1"/>
  <c r="CP922" i="1"/>
  <c r="CQ922" i="1"/>
  <c r="G923" i="1"/>
  <c r="U923" i="1"/>
  <c r="W923" i="1"/>
  <c r="AE923" i="1"/>
  <c r="AK923" i="1"/>
  <c r="AQ923" i="1"/>
  <c r="AU923" i="1"/>
  <c r="AV923" i="1"/>
  <c r="AW923" i="1"/>
  <c r="AX923" i="1"/>
  <c r="AY923" i="1"/>
  <c r="AZ923" i="1"/>
  <c r="BA923" i="1"/>
  <c r="BC923" i="1"/>
  <c r="BD923" i="1"/>
  <c r="BE923" i="1"/>
  <c r="BF923" i="1"/>
  <c r="BG923" i="1"/>
  <c r="BH923" i="1"/>
  <c r="BI923" i="1"/>
  <c r="BJ923" i="1"/>
  <c r="BM923" i="1"/>
  <c r="CA923" i="1"/>
  <c r="CN923" i="1"/>
  <c r="CO923" i="1"/>
  <c r="CP923" i="1"/>
  <c r="CQ923" i="1"/>
  <c r="G924" i="1"/>
  <c r="U924" i="1"/>
  <c r="W924" i="1"/>
  <c r="AE924" i="1"/>
  <c r="AK924" i="1"/>
  <c r="AQ924" i="1"/>
  <c r="AU924" i="1"/>
  <c r="AV924" i="1"/>
  <c r="AW924" i="1"/>
  <c r="AX924" i="1"/>
  <c r="AY924" i="1"/>
  <c r="AZ924" i="1"/>
  <c r="BA924" i="1"/>
  <c r="BC924" i="1"/>
  <c r="BD924" i="1"/>
  <c r="BE924" i="1"/>
  <c r="BF924" i="1"/>
  <c r="BG924" i="1"/>
  <c r="BH924" i="1"/>
  <c r="BI924" i="1"/>
  <c r="BJ924" i="1"/>
  <c r="BM924" i="1"/>
  <c r="CA924" i="1"/>
  <c r="CN924" i="1"/>
  <c r="CO924" i="1"/>
  <c r="CP924" i="1"/>
  <c r="CQ924" i="1"/>
  <c r="G925" i="1"/>
  <c r="U925" i="1"/>
  <c r="W925" i="1"/>
  <c r="AE925" i="1"/>
  <c r="AK925" i="1"/>
  <c r="AQ925" i="1"/>
  <c r="AU925" i="1"/>
  <c r="AV925" i="1"/>
  <c r="AW925" i="1"/>
  <c r="AX925" i="1"/>
  <c r="AY925" i="1"/>
  <c r="AZ925" i="1"/>
  <c r="BA925" i="1"/>
  <c r="BC925" i="1"/>
  <c r="BD925" i="1"/>
  <c r="BE925" i="1"/>
  <c r="BF925" i="1"/>
  <c r="BG925" i="1"/>
  <c r="BH925" i="1"/>
  <c r="BI925" i="1"/>
  <c r="BJ925" i="1"/>
  <c r="BM925" i="1"/>
  <c r="CA925" i="1"/>
  <c r="CN925" i="1"/>
  <c r="CO925" i="1"/>
  <c r="CP925" i="1"/>
  <c r="CQ925" i="1"/>
  <c r="G926" i="1"/>
  <c r="U926" i="1"/>
  <c r="W926" i="1"/>
  <c r="AE926" i="1"/>
  <c r="AK926" i="1"/>
  <c r="AQ926" i="1"/>
  <c r="AU926" i="1"/>
  <c r="AV926" i="1"/>
  <c r="AW926" i="1"/>
  <c r="AX926" i="1"/>
  <c r="AY926" i="1"/>
  <c r="AZ926" i="1"/>
  <c r="BA926" i="1"/>
  <c r="BC926" i="1"/>
  <c r="BD926" i="1"/>
  <c r="BE926" i="1"/>
  <c r="BF926" i="1"/>
  <c r="BG926" i="1"/>
  <c r="BH926" i="1"/>
  <c r="BI926" i="1"/>
  <c r="BJ926" i="1"/>
  <c r="BM926" i="1"/>
  <c r="CA926" i="1"/>
  <c r="CN926" i="1"/>
  <c r="CO926" i="1"/>
  <c r="CP926" i="1"/>
  <c r="CQ926" i="1"/>
  <c r="G200" i="1"/>
  <c r="U200" i="1"/>
  <c r="W200" i="1"/>
  <c r="AE200" i="1"/>
  <c r="AK200" i="1"/>
  <c r="AQ200" i="1"/>
  <c r="AU200" i="1"/>
  <c r="AV200" i="1"/>
  <c r="AW200" i="1"/>
  <c r="AX200" i="1"/>
  <c r="AY200" i="1"/>
  <c r="AZ200" i="1"/>
  <c r="BA200" i="1"/>
  <c r="BC200" i="1"/>
  <c r="BD200" i="1"/>
  <c r="BE200" i="1"/>
  <c r="BF200" i="1"/>
  <c r="BG200" i="1"/>
  <c r="BH200" i="1"/>
  <c r="BI200" i="1"/>
  <c r="BJ200" i="1"/>
  <c r="BM200" i="1"/>
  <c r="CA200" i="1"/>
  <c r="CN200" i="1"/>
  <c r="CO200" i="1"/>
  <c r="CP200" i="1"/>
  <c r="CQ200" i="1"/>
  <c r="G927" i="1"/>
  <c r="U927" i="1"/>
  <c r="W927" i="1"/>
  <c r="AE927" i="1"/>
  <c r="AK927" i="1"/>
  <c r="AQ927" i="1"/>
  <c r="AU927" i="1"/>
  <c r="AV927" i="1"/>
  <c r="AW927" i="1"/>
  <c r="AX927" i="1"/>
  <c r="AY927" i="1"/>
  <c r="AZ927" i="1"/>
  <c r="BA927" i="1"/>
  <c r="BC927" i="1"/>
  <c r="BD927" i="1"/>
  <c r="BE927" i="1"/>
  <c r="BF927" i="1"/>
  <c r="BG927" i="1"/>
  <c r="BH927" i="1"/>
  <c r="BI927" i="1"/>
  <c r="BJ927" i="1"/>
  <c r="BM927" i="1"/>
  <c r="CA927" i="1"/>
  <c r="CN927" i="1"/>
  <c r="CO927" i="1"/>
  <c r="CP927" i="1"/>
  <c r="CQ927" i="1"/>
  <c r="G422" i="1"/>
  <c r="U422" i="1"/>
  <c r="W422" i="1"/>
  <c r="AE422" i="1"/>
  <c r="AK422" i="1"/>
  <c r="AQ422" i="1"/>
  <c r="AU422" i="1"/>
  <c r="AV422" i="1"/>
  <c r="AW422" i="1"/>
  <c r="AX422" i="1"/>
  <c r="AY422" i="1"/>
  <c r="AZ422" i="1"/>
  <c r="BA422" i="1"/>
  <c r="BC422" i="1"/>
  <c r="BD422" i="1"/>
  <c r="BE422" i="1"/>
  <c r="BF422" i="1"/>
  <c r="BG422" i="1"/>
  <c r="BH422" i="1"/>
  <c r="BI422" i="1"/>
  <c r="BJ422" i="1"/>
  <c r="BM422" i="1"/>
  <c r="CA422" i="1"/>
  <c r="CN422" i="1"/>
  <c r="CO422" i="1"/>
  <c r="CP422" i="1"/>
  <c r="CQ422" i="1"/>
  <c r="G928" i="1"/>
  <c r="U928" i="1"/>
  <c r="W928" i="1"/>
  <c r="AE928" i="1"/>
  <c r="AK928" i="1"/>
  <c r="AQ928" i="1"/>
  <c r="AU928" i="1"/>
  <c r="AV928" i="1"/>
  <c r="AW928" i="1"/>
  <c r="AX928" i="1"/>
  <c r="AY928" i="1"/>
  <c r="AZ928" i="1"/>
  <c r="BA928" i="1"/>
  <c r="BC928" i="1"/>
  <c r="BD928" i="1"/>
  <c r="BE928" i="1"/>
  <c r="BF928" i="1"/>
  <c r="BG928" i="1"/>
  <c r="BH928" i="1"/>
  <c r="BI928" i="1"/>
  <c r="BJ928" i="1"/>
  <c r="BM928" i="1"/>
  <c r="CA928" i="1"/>
  <c r="CN928" i="1"/>
  <c r="CO928" i="1"/>
  <c r="CP928" i="1"/>
  <c r="CQ928" i="1"/>
  <c r="G929" i="1"/>
  <c r="U929" i="1"/>
  <c r="W929" i="1"/>
  <c r="AE929" i="1"/>
  <c r="AK929" i="1"/>
  <c r="AQ929" i="1"/>
  <c r="AU929" i="1"/>
  <c r="AV929" i="1"/>
  <c r="AW929" i="1"/>
  <c r="AX929" i="1"/>
  <c r="AY929" i="1"/>
  <c r="AZ929" i="1"/>
  <c r="BA929" i="1"/>
  <c r="BC929" i="1"/>
  <c r="BD929" i="1"/>
  <c r="BE929" i="1"/>
  <c r="BF929" i="1"/>
  <c r="BG929" i="1"/>
  <c r="BH929" i="1"/>
  <c r="BI929" i="1"/>
  <c r="BJ929" i="1"/>
  <c r="BM929" i="1"/>
  <c r="CA929" i="1"/>
  <c r="CN929" i="1"/>
  <c r="CO929" i="1"/>
  <c r="CP929" i="1"/>
  <c r="CQ929" i="1"/>
  <c r="G930" i="1"/>
  <c r="U930" i="1"/>
  <c r="W930" i="1"/>
  <c r="AE930" i="1"/>
  <c r="AK930" i="1"/>
  <c r="AQ930" i="1"/>
  <c r="AU930" i="1"/>
  <c r="AV930" i="1"/>
  <c r="AW930" i="1"/>
  <c r="AX930" i="1"/>
  <c r="AY930" i="1"/>
  <c r="AZ930" i="1"/>
  <c r="BA930" i="1"/>
  <c r="BC930" i="1"/>
  <c r="BD930" i="1"/>
  <c r="BE930" i="1"/>
  <c r="BF930" i="1"/>
  <c r="BG930" i="1"/>
  <c r="BH930" i="1"/>
  <c r="BI930" i="1"/>
  <c r="BJ930" i="1"/>
  <c r="BM930" i="1"/>
  <c r="CA930" i="1"/>
  <c r="CN930" i="1"/>
  <c r="CO930" i="1"/>
  <c r="CP930" i="1"/>
  <c r="CQ930" i="1"/>
  <c r="G931" i="1"/>
  <c r="U931" i="1"/>
  <c r="W931" i="1"/>
  <c r="AE931" i="1"/>
  <c r="AK931" i="1"/>
  <c r="AQ931" i="1"/>
  <c r="AU931" i="1"/>
  <c r="AV931" i="1"/>
  <c r="AW931" i="1"/>
  <c r="AX931" i="1"/>
  <c r="AY931" i="1"/>
  <c r="AZ931" i="1"/>
  <c r="BA931" i="1"/>
  <c r="BC931" i="1"/>
  <c r="BD931" i="1"/>
  <c r="BE931" i="1"/>
  <c r="BF931" i="1"/>
  <c r="BG931" i="1"/>
  <c r="BH931" i="1"/>
  <c r="BI931" i="1"/>
  <c r="BJ931" i="1"/>
  <c r="BM931" i="1"/>
  <c r="CA931" i="1"/>
  <c r="CN931" i="1"/>
  <c r="CO931" i="1"/>
  <c r="CP931" i="1"/>
  <c r="CQ931" i="1"/>
  <c r="G201" i="1"/>
  <c r="U201" i="1"/>
  <c r="W201" i="1"/>
  <c r="AE201" i="1"/>
  <c r="AK201" i="1"/>
  <c r="AQ201" i="1"/>
  <c r="AU201" i="1"/>
  <c r="AV201" i="1"/>
  <c r="AW201" i="1"/>
  <c r="AX201" i="1"/>
  <c r="AY201" i="1"/>
  <c r="AZ201" i="1"/>
  <c r="BA201" i="1"/>
  <c r="BC201" i="1"/>
  <c r="BD201" i="1"/>
  <c r="BE201" i="1"/>
  <c r="BF201" i="1"/>
  <c r="BG201" i="1"/>
  <c r="BH201" i="1"/>
  <c r="BI201" i="1"/>
  <c r="BJ201" i="1"/>
  <c r="BM201" i="1"/>
  <c r="CA201" i="1"/>
  <c r="CN201" i="1"/>
  <c r="CO201" i="1"/>
  <c r="CP201" i="1"/>
  <c r="CQ201" i="1"/>
  <c r="G202" i="1"/>
  <c r="U202" i="1"/>
  <c r="W202" i="1"/>
  <c r="AE202" i="1"/>
  <c r="AK202" i="1"/>
  <c r="AQ202" i="1"/>
  <c r="AU202" i="1"/>
  <c r="AV202" i="1"/>
  <c r="AW202" i="1"/>
  <c r="AX202" i="1"/>
  <c r="AY202" i="1"/>
  <c r="AZ202" i="1"/>
  <c r="BA202" i="1"/>
  <c r="BC202" i="1"/>
  <c r="BD202" i="1"/>
  <c r="BE202" i="1"/>
  <c r="BF202" i="1"/>
  <c r="BG202" i="1"/>
  <c r="BH202" i="1"/>
  <c r="BI202" i="1"/>
  <c r="BJ202" i="1"/>
  <c r="BM202" i="1"/>
  <c r="CA202" i="1"/>
  <c r="CN202" i="1"/>
  <c r="CO202" i="1"/>
  <c r="CP202" i="1"/>
  <c r="CQ202" i="1"/>
  <c r="G203" i="1"/>
  <c r="U203" i="1"/>
  <c r="W203" i="1"/>
  <c r="AE203" i="1"/>
  <c r="AK203" i="1"/>
  <c r="AQ203" i="1"/>
  <c r="AU203" i="1"/>
  <c r="AV203" i="1"/>
  <c r="AW203" i="1"/>
  <c r="AX203" i="1"/>
  <c r="AY203" i="1"/>
  <c r="AZ203" i="1"/>
  <c r="BA203" i="1"/>
  <c r="BC203" i="1"/>
  <c r="BD203" i="1"/>
  <c r="BE203" i="1"/>
  <c r="BF203" i="1"/>
  <c r="BG203" i="1"/>
  <c r="BH203" i="1"/>
  <c r="BI203" i="1"/>
  <c r="BJ203" i="1"/>
  <c r="BM203" i="1"/>
  <c r="CA203" i="1"/>
  <c r="CN203" i="1"/>
  <c r="CO203" i="1"/>
  <c r="CP203" i="1"/>
  <c r="CQ203" i="1"/>
  <c r="G932" i="1"/>
  <c r="U932" i="1"/>
  <c r="W932" i="1"/>
  <c r="AE932" i="1"/>
  <c r="AK932" i="1"/>
  <c r="AQ932" i="1"/>
  <c r="AU932" i="1"/>
  <c r="AV932" i="1"/>
  <c r="AW932" i="1"/>
  <c r="AX932" i="1"/>
  <c r="AY932" i="1"/>
  <c r="AZ932" i="1"/>
  <c r="BA932" i="1"/>
  <c r="BC932" i="1"/>
  <c r="BD932" i="1"/>
  <c r="BE932" i="1"/>
  <c r="BF932" i="1"/>
  <c r="BG932" i="1"/>
  <c r="BH932" i="1"/>
  <c r="BI932" i="1"/>
  <c r="BJ932" i="1"/>
  <c r="BM932" i="1"/>
  <c r="CA932" i="1"/>
  <c r="CN932" i="1"/>
  <c r="CO932" i="1"/>
  <c r="CP932" i="1"/>
  <c r="CQ932" i="1"/>
  <c r="G933" i="1"/>
  <c r="U933" i="1"/>
  <c r="W933" i="1"/>
  <c r="AE933" i="1"/>
  <c r="AK933" i="1"/>
  <c r="AQ933" i="1"/>
  <c r="AU933" i="1"/>
  <c r="AV933" i="1"/>
  <c r="AW933" i="1"/>
  <c r="AX933" i="1"/>
  <c r="AY933" i="1"/>
  <c r="AZ933" i="1"/>
  <c r="BA933" i="1"/>
  <c r="BC933" i="1"/>
  <c r="BD933" i="1"/>
  <c r="BE933" i="1"/>
  <c r="BF933" i="1"/>
  <c r="BG933" i="1"/>
  <c r="BH933" i="1"/>
  <c r="BI933" i="1"/>
  <c r="BJ933" i="1"/>
  <c r="BM933" i="1"/>
  <c r="CA933" i="1"/>
  <c r="CN933" i="1"/>
  <c r="CO933" i="1"/>
  <c r="CP933" i="1"/>
  <c r="CQ933" i="1"/>
  <c r="G204" i="1"/>
  <c r="U204" i="1"/>
  <c r="W204" i="1"/>
  <c r="AE204" i="1"/>
  <c r="AK204" i="1"/>
  <c r="AQ204" i="1"/>
  <c r="AU204" i="1"/>
  <c r="AV204" i="1"/>
  <c r="AW204" i="1"/>
  <c r="AX204" i="1"/>
  <c r="AY204" i="1"/>
  <c r="AZ204" i="1"/>
  <c r="BA204" i="1"/>
  <c r="BC204" i="1"/>
  <c r="BD204" i="1"/>
  <c r="BE204" i="1"/>
  <c r="BF204" i="1"/>
  <c r="BG204" i="1"/>
  <c r="BH204" i="1"/>
  <c r="BI204" i="1"/>
  <c r="BJ204" i="1"/>
  <c r="BM204" i="1"/>
  <c r="CA204" i="1"/>
  <c r="CN204" i="1"/>
  <c r="CO204" i="1"/>
  <c r="CP204" i="1"/>
  <c r="CQ204" i="1"/>
  <c r="G423" i="1"/>
  <c r="U423" i="1"/>
  <c r="W423" i="1"/>
  <c r="AE423" i="1"/>
  <c r="AK423" i="1"/>
  <c r="AQ423" i="1"/>
  <c r="AU423" i="1"/>
  <c r="AV423" i="1"/>
  <c r="AW423" i="1"/>
  <c r="AX423" i="1"/>
  <c r="AY423" i="1"/>
  <c r="AZ423" i="1"/>
  <c r="BA423" i="1"/>
  <c r="BC423" i="1"/>
  <c r="BD423" i="1"/>
  <c r="BE423" i="1"/>
  <c r="BF423" i="1"/>
  <c r="BG423" i="1"/>
  <c r="BH423" i="1"/>
  <c r="BI423" i="1"/>
  <c r="BJ423" i="1"/>
  <c r="BM423" i="1"/>
  <c r="CA423" i="1"/>
  <c r="CN423" i="1"/>
  <c r="CO423" i="1"/>
  <c r="CP423" i="1"/>
  <c r="CQ423" i="1"/>
  <c r="G1421" i="1"/>
  <c r="U1421" i="1"/>
  <c r="W1421" i="1"/>
  <c r="AE1421" i="1"/>
  <c r="AK1421" i="1"/>
  <c r="AQ1421" i="1"/>
  <c r="AU1421" i="1"/>
  <c r="AV1421" i="1"/>
  <c r="AW1421" i="1"/>
  <c r="AX1421" i="1"/>
  <c r="AY1421" i="1"/>
  <c r="AZ1421" i="1"/>
  <c r="BA1421" i="1"/>
  <c r="BC1421" i="1"/>
  <c r="BD1421" i="1"/>
  <c r="BE1421" i="1"/>
  <c r="BF1421" i="1"/>
  <c r="BG1421" i="1"/>
  <c r="BH1421" i="1"/>
  <c r="BI1421" i="1"/>
  <c r="BJ1421" i="1"/>
  <c r="BM1421" i="1"/>
  <c r="CA1421" i="1"/>
  <c r="CN1421" i="1"/>
  <c r="CO1421" i="1"/>
  <c r="CP1421" i="1"/>
  <c r="CQ1421" i="1"/>
  <c r="G934" i="1"/>
  <c r="U934" i="1"/>
  <c r="W934" i="1"/>
  <c r="AE934" i="1"/>
  <c r="AK934" i="1"/>
  <c r="AQ934" i="1"/>
  <c r="AU934" i="1"/>
  <c r="AV934" i="1"/>
  <c r="AW934" i="1"/>
  <c r="AX934" i="1"/>
  <c r="AY934" i="1"/>
  <c r="AZ934" i="1"/>
  <c r="BA934" i="1"/>
  <c r="BC934" i="1"/>
  <c r="BD934" i="1"/>
  <c r="BE934" i="1"/>
  <c r="BF934" i="1"/>
  <c r="BG934" i="1"/>
  <c r="BH934" i="1"/>
  <c r="BI934" i="1"/>
  <c r="BJ934" i="1"/>
  <c r="BM934" i="1"/>
  <c r="CA934" i="1"/>
  <c r="CN934" i="1"/>
  <c r="CO934" i="1"/>
  <c r="CP934" i="1"/>
  <c r="CQ934" i="1"/>
  <c r="G1422" i="1"/>
  <c r="U1422" i="1"/>
  <c r="W1422" i="1"/>
  <c r="AE1422" i="1"/>
  <c r="AK1422" i="1"/>
  <c r="AQ1422" i="1"/>
  <c r="AU1422" i="1"/>
  <c r="AV1422" i="1"/>
  <c r="AW1422" i="1"/>
  <c r="AX1422" i="1"/>
  <c r="AY1422" i="1"/>
  <c r="AZ1422" i="1"/>
  <c r="BA1422" i="1"/>
  <c r="BC1422" i="1"/>
  <c r="BD1422" i="1"/>
  <c r="BE1422" i="1"/>
  <c r="BF1422" i="1"/>
  <c r="BG1422" i="1"/>
  <c r="BH1422" i="1"/>
  <c r="BI1422" i="1"/>
  <c r="BJ1422" i="1"/>
  <c r="BM1422" i="1"/>
  <c r="CA1422" i="1"/>
  <c r="CN1422" i="1"/>
  <c r="CO1422" i="1"/>
  <c r="CP1422" i="1"/>
  <c r="CQ1422" i="1"/>
  <c r="G1423" i="1"/>
  <c r="U1423" i="1"/>
  <c r="W1423" i="1"/>
  <c r="AE1423" i="1"/>
  <c r="AK1423" i="1"/>
  <c r="AQ1423" i="1"/>
  <c r="AU1423" i="1"/>
  <c r="AV1423" i="1"/>
  <c r="AW1423" i="1"/>
  <c r="AX1423" i="1"/>
  <c r="AY1423" i="1"/>
  <c r="AZ1423" i="1"/>
  <c r="BA1423" i="1"/>
  <c r="BC1423" i="1"/>
  <c r="BD1423" i="1"/>
  <c r="BE1423" i="1"/>
  <c r="BF1423" i="1"/>
  <c r="BG1423" i="1"/>
  <c r="BH1423" i="1"/>
  <c r="BI1423" i="1"/>
  <c r="BJ1423" i="1"/>
  <c r="BM1423" i="1"/>
  <c r="CA1423" i="1"/>
  <c r="CN1423" i="1"/>
  <c r="CO1423" i="1"/>
  <c r="CP1423" i="1"/>
  <c r="CQ1423" i="1"/>
  <c r="G935" i="1"/>
  <c r="U935" i="1"/>
  <c r="W935" i="1"/>
  <c r="AE935" i="1"/>
  <c r="AK935" i="1"/>
  <c r="AQ935" i="1"/>
  <c r="AU935" i="1"/>
  <c r="AV935" i="1"/>
  <c r="AW935" i="1"/>
  <c r="AX935" i="1"/>
  <c r="AY935" i="1"/>
  <c r="AZ935" i="1"/>
  <c r="BA935" i="1"/>
  <c r="BC935" i="1"/>
  <c r="BD935" i="1"/>
  <c r="BE935" i="1"/>
  <c r="BF935" i="1"/>
  <c r="BG935" i="1"/>
  <c r="BH935" i="1"/>
  <c r="BI935" i="1"/>
  <c r="BJ935" i="1"/>
  <c r="BM935" i="1"/>
  <c r="CA935" i="1"/>
  <c r="CN935" i="1"/>
  <c r="CO935" i="1"/>
  <c r="CP935" i="1"/>
  <c r="CQ935" i="1"/>
  <c r="G936" i="1"/>
  <c r="U936" i="1"/>
  <c r="W936" i="1"/>
  <c r="AE936" i="1"/>
  <c r="AK936" i="1"/>
  <c r="AQ936" i="1"/>
  <c r="AU936" i="1"/>
  <c r="AV936" i="1"/>
  <c r="AW936" i="1"/>
  <c r="AX936" i="1"/>
  <c r="AY936" i="1"/>
  <c r="AZ936" i="1"/>
  <c r="BA936" i="1"/>
  <c r="BC936" i="1"/>
  <c r="BD936" i="1"/>
  <c r="BE936" i="1"/>
  <c r="BF936" i="1"/>
  <c r="BG936" i="1"/>
  <c r="BH936" i="1"/>
  <c r="BI936" i="1"/>
  <c r="BJ936" i="1"/>
  <c r="BM936" i="1"/>
  <c r="CA936" i="1"/>
  <c r="CN936" i="1"/>
  <c r="CO936" i="1"/>
  <c r="CP936" i="1"/>
  <c r="CQ936" i="1"/>
  <c r="G937" i="1"/>
  <c r="U937" i="1"/>
  <c r="W937" i="1"/>
  <c r="AE937" i="1"/>
  <c r="AK937" i="1"/>
  <c r="AQ937" i="1"/>
  <c r="AU937" i="1"/>
  <c r="AV937" i="1"/>
  <c r="AW937" i="1"/>
  <c r="AX937" i="1"/>
  <c r="AY937" i="1"/>
  <c r="AZ937" i="1"/>
  <c r="BA937" i="1"/>
  <c r="BC937" i="1"/>
  <c r="BD937" i="1"/>
  <c r="BE937" i="1"/>
  <c r="BF937" i="1"/>
  <c r="BG937" i="1"/>
  <c r="BH937" i="1"/>
  <c r="BI937" i="1"/>
  <c r="BJ937" i="1"/>
  <c r="BM937" i="1"/>
  <c r="CA937" i="1"/>
  <c r="CN937" i="1"/>
  <c r="CO937" i="1"/>
  <c r="CP937" i="1"/>
  <c r="CQ937" i="1"/>
  <c r="G1424" i="1"/>
  <c r="U1424" i="1"/>
  <c r="W1424" i="1"/>
  <c r="AE1424" i="1"/>
  <c r="AK1424" i="1"/>
  <c r="AQ1424" i="1"/>
  <c r="AU1424" i="1"/>
  <c r="AV1424" i="1"/>
  <c r="AW1424" i="1"/>
  <c r="AX1424" i="1"/>
  <c r="AY1424" i="1"/>
  <c r="AZ1424" i="1"/>
  <c r="BA1424" i="1"/>
  <c r="BC1424" i="1"/>
  <c r="BD1424" i="1"/>
  <c r="BE1424" i="1"/>
  <c r="BF1424" i="1"/>
  <c r="BG1424" i="1"/>
  <c r="BH1424" i="1"/>
  <c r="BI1424" i="1"/>
  <c r="BJ1424" i="1"/>
  <c r="BM1424" i="1"/>
  <c r="CA1424" i="1"/>
  <c r="CN1424" i="1"/>
  <c r="CO1424" i="1"/>
  <c r="CP1424" i="1"/>
  <c r="CQ1424" i="1"/>
  <c r="G205" i="1"/>
  <c r="U205" i="1"/>
  <c r="W205" i="1"/>
  <c r="AE205" i="1"/>
  <c r="AK205" i="1"/>
  <c r="AQ205" i="1"/>
  <c r="AU205" i="1"/>
  <c r="AV205" i="1"/>
  <c r="AW205" i="1"/>
  <c r="AX205" i="1"/>
  <c r="AY205" i="1"/>
  <c r="AZ205" i="1"/>
  <c r="BA205" i="1"/>
  <c r="BC205" i="1"/>
  <c r="BD205" i="1"/>
  <c r="BE205" i="1"/>
  <c r="BF205" i="1"/>
  <c r="BG205" i="1"/>
  <c r="BH205" i="1"/>
  <c r="BI205" i="1"/>
  <c r="BJ205" i="1"/>
  <c r="BM205" i="1"/>
  <c r="CA205" i="1"/>
  <c r="CN205" i="1"/>
  <c r="CO205" i="1"/>
  <c r="CP205" i="1"/>
  <c r="CQ205" i="1"/>
  <c r="G938" i="1"/>
  <c r="U938" i="1"/>
  <c r="W938" i="1"/>
  <c r="AE938" i="1"/>
  <c r="AK938" i="1"/>
  <c r="AQ938" i="1"/>
  <c r="AU938" i="1"/>
  <c r="AV938" i="1"/>
  <c r="AW938" i="1"/>
  <c r="AX938" i="1"/>
  <c r="AY938" i="1"/>
  <c r="AZ938" i="1"/>
  <c r="BA938" i="1"/>
  <c r="BC938" i="1"/>
  <c r="BD938" i="1"/>
  <c r="BE938" i="1"/>
  <c r="BF938" i="1"/>
  <c r="BG938" i="1"/>
  <c r="BH938" i="1"/>
  <c r="BI938" i="1"/>
  <c r="BJ938" i="1"/>
  <c r="BM938" i="1"/>
  <c r="CA938" i="1"/>
  <c r="CN938" i="1"/>
  <c r="CO938" i="1"/>
  <c r="CP938" i="1"/>
  <c r="CQ938" i="1"/>
  <c r="G939" i="1"/>
  <c r="U939" i="1"/>
  <c r="W939" i="1"/>
  <c r="AE939" i="1"/>
  <c r="AK939" i="1"/>
  <c r="AQ939" i="1"/>
  <c r="AU939" i="1"/>
  <c r="AV939" i="1"/>
  <c r="AW939" i="1"/>
  <c r="AX939" i="1"/>
  <c r="AY939" i="1"/>
  <c r="AZ939" i="1"/>
  <c r="BA939" i="1"/>
  <c r="BC939" i="1"/>
  <c r="BD939" i="1"/>
  <c r="BE939" i="1"/>
  <c r="BF939" i="1"/>
  <c r="BG939" i="1"/>
  <c r="BH939" i="1"/>
  <c r="BI939" i="1"/>
  <c r="BJ939" i="1"/>
  <c r="BM939" i="1"/>
  <c r="CA939" i="1"/>
  <c r="CN939" i="1"/>
  <c r="CO939" i="1"/>
  <c r="CP939" i="1"/>
  <c r="CQ939" i="1"/>
  <c r="G940" i="1"/>
  <c r="U940" i="1"/>
  <c r="W940" i="1"/>
  <c r="AE940" i="1"/>
  <c r="AK940" i="1"/>
  <c r="AQ940" i="1"/>
  <c r="AU940" i="1"/>
  <c r="AV940" i="1"/>
  <c r="AW940" i="1"/>
  <c r="AX940" i="1"/>
  <c r="AY940" i="1"/>
  <c r="AZ940" i="1"/>
  <c r="BA940" i="1"/>
  <c r="BC940" i="1"/>
  <c r="BD940" i="1"/>
  <c r="BE940" i="1"/>
  <c r="BF940" i="1"/>
  <c r="BG940" i="1"/>
  <c r="BH940" i="1"/>
  <c r="BI940" i="1"/>
  <c r="BJ940" i="1"/>
  <c r="BM940" i="1"/>
  <c r="CA940" i="1"/>
  <c r="CN940" i="1"/>
  <c r="CO940" i="1"/>
  <c r="CP940" i="1"/>
  <c r="CQ940" i="1"/>
  <c r="G941" i="1"/>
  <c r="U941" i="1"/>
  <c r="W941" i="1"/>
  <c r="AE941" i="1"/>
  <c r="AK941" i="1"/>
  <c r="AQ941" i="1"/>
  <c r="AU941" i="1"/>
  <c r="AV941" i="1"/>
  <c r="AW941" i="1"/>
  <c r="AX941" i="1"/>
  <c r="AY941" i="1"/>
  <c r="AZ941" i="1"/>
  <c r="BA941" i="1"/>
  <c r="BC941" i="1"/>
  <c r="BD941" i="1"/>
  <c r="BE941" i="1"/>
  <c r="BF941" i="1"/>
  <c r="BG941" i="1"/>
  <c r="BH941" i="1"/>
  <c r="BI941" i="1"/>
  <c r="BJ941" i="1"/>
  <c r="BM941" i="1"/>
  <c r="CA941" i="1"/>
  <c r="CN941" i="1"/>
  <c r="CO941" i="1"/>
  <c r="CP941" i="1"/>
  <c r="CQ941" i="1"/>
  <c r="G1584" i="1"/>
  <c r="U1584" i="1"/>
  <c r="W1584" i="1"/>
  <c r="AE1584" i="1"/>
  <c r="AK1584" i="1"/>
  <c r="AQ1584" i="1"/>
  <c r="AU1584" i="1"/>
  <c r="AV1584" i="1"/>
  <c r="AW1584" i="1"/>
  <c r="AX1584" i="1"/>
  <c r="AY1584" i="1"/>
  <c r="AZ1584" i="1"/>
  <c r="BA1584" i="1"/>
  <c r="BC1584" i="1"/>
  <c r="BD1584" i="1"/>
  <c r="BE1584" i="1"/>
  <c r="BF1584" i="1"/>
  <c r="BG1584" i="1"/>
  <c r="BH1584" i="1"/>
  <c r="BI1584" i="1"/>
  <c r="BJ1584" i="1"/>
  <c r="BM1584" i="1"/>
  <c r="CA1584" i="1"/>
  <c r="CN1584" i="1"/>
  <c r="CO1584" i="1"/>
  <c r="CP1584" i="1"/>
  <c r="CQ1584" i="1"/>
  <c r="G942" i="1"/>
  <c r="U942" i="1"/>
  <c r="W942" i="1"/>
  <c r="AE942" i="1"/>
  <c r="AK942" i="1"/>
  <c r="AQ942" i="1"/>
  <c r="AU942" i="1"/>
  <c r="AV942" i="1"/>
  <c r="AW942" i="1"/>
  <c r="AX942" i="1"/>
  <c r="AY942" i="1"/>
  <c r="AZ942" i="1"/>
  <c r="BA942" i="1"/>
  <c r="BC942" i="1"/>
  <c r="BD942" i="1"/>
  <c r="BE942" i="1"/>
  <c r="BF942" i="1"/>
  <c r="BG942" i="1"/>
  <c r="BH942" i="1"/>
  <c r="BI942" i="1"/>
  <c r="BJ942" i="1"/>
  <c r="BM942" i="1"/>
  <c r="CA942" i="1"/>
  <c r="CN942" i="1"/>
  <c r="CO942" i="1"/>
  <c r="CP942" i="1"/>
  <c r="CQ942" i="1"/>
  <c r="G206" i="1"/>
  <c r="U206" i="1"/>
  <c r="W206" i="1"/>
  <c r="AE206" i="1"/>
  <c r="AK206" i="1"/>
  <c r="AQ206" i="1"/>
  <c r="AU206" i="1"/>
  <c r="AV206" i="1"/>
  <c r="AW206" i="1"/>
  <c r="AX206" i="1"/>
  <c r="AY206" i="1"/>
  <c r="AZ206" i="1"/>
  <c r="BA206" i="1"/>
  <c r="BC206" i="1"/>
  <c r="BD206" i="1"/>
  <c r="BE206" i="1"/>
  <c r="BF206" i="1"/>
  <c r="BG206" i="1"/>
  <c r="BH206" i="1"/>
  <c r="BI206" i="1"/>
  <c r="BJ206" i="1"/>
  <c r="BM206" i="1"/>
  <c r="CA206" i="1"/>
  <c r="CN206" i="1"/>
  <c r="CO206" i="1"/>
  <c r="CP206" i="1"/>
  <c r="CQ206" i="1"/>
  <c r="G943" i="1"/>
  <c r="U943" i="1"/>
  <c r="W943" i="1"/>
  <c r="AE943" i="1"/>
  <c r="AK943" i="1"/>
  <c r="AQ943" i="1"/>
  <c r="AU943" i="1"/>
  <c r="AV943" i="1"/>
  <c r="AW943" i="1"/>
  <c r="AX943" i="1"/>
  <c r="AY943" i="1"/>
  <c r="AZ943" i="1"/>
  <c r="BA943" i="1"/>
  <c r="BC943" i="1"/>
  <c r="BD943" i="1"/>
  <c r="BE943" i="1"/>
  <c r="BF943" i="1"/>
  <c r="BG943" i="1"/>
  <c r="BH943" i="1"/>
  <c r="BI943" i="1"/>
  <c r="BJ943" i="1"/>
  <c r="BM943" i="1"/>
  <c r="CA943" i="1"/>
  <c r="CN943" i="1"/>
  <c r="CO943" i="1"/>
  <c r="CP943" i="1"/>
  <c r="CQ943" i="1"/>
  <c r="G944" i="1"/>
  <c r="U944" i="1"/>
  <c r="W944" i="1"/>
  <c r="AE944" i="1"/>
  <c r="AK944" i="1"/>
  <c r="AQ944" i="1"/>
  <c r="AU944" i="1"/>
  <c r="AV944" i="1"/>
  <c r="AW944" i="1"/>
  <c r="AX944" i="1"/>
  <c r="AY944" i="1"/>
  <c r="AZ944" i="1"/>
  <c r="BA944" i="1"/>
  <c r="BC944" i="1"/>
  <c r="BD944" i="1"/>
  <c r="BE944" i="1"/>
  <c r="BF944" i="1"/>
  <c r="BG944" i="1"/>
  <c r="BH944" i="1"/>
  <c r="BI944" i="1"/>
  <c r="BJ944" i="1"/>
  <c r="BM944" i="1"/>
  <c r="CA944" i="1"/>
  <c r="CN944" i="1"/>
  <c r="CO944" i="1"/>
  <c r="CP944" i="1"/>
  <c r="CQ944" i="1"/>
  <c r="G424" i="1"/>
  <c r="U424" i="1"/>
  <c r="W424" i="1"/>
  <c r="AE424" i="1"/>
  <c r="AK424" i="1"/>
  <c r="AQ424" i="1"/>
  <c r="AU424" i="1"/>
  <c r="AV424" i="1"/>
  <c r="AW424" i="1"/>
  <c r="AX424" i="1"/>
  <c r="AY424" i="1"/>
  <c r="AZ424" i="1"/>
  <c r="BA424" i="1"/>
  <c r="BC424" i="1"/>
  <c r="BD424" i="1"/>
  <c r="BE424" i="1"/>
  <c r="BF424" i="1"/>
  <c r="BG424" i="1"/>
  <c r="BH424" i="1"/>
  <c r="BI424" i="1"/>
  <c r="BJ424" i="1"/>
  <c r="BM424" i="1"/>
  <c r="CA424" i="1"/>
  <c r="CN424" i="1"/>
  <c r="CO424" i="1"/>
  <c r="CP424" i="1"/>
  <c r="CQ424" i="1"/>
  <c r="G1585" i="1"/>
  <c r="U1585" i="1"/>
  <c r="W1585" i="1"/>
  <c r="AE1585" i="1"/>
  <c r="AK1585" i="1"/>
  <c r="AQ1585" i="1"/>
  <c r="AU1585" i="1"/>
  <c r="AV1585" i="1"/>
  <c r="AW1585" i="1"/>
  <c r="AX1585" i="1"/>
  <c r="AY1585" i="1"/>
  <c r="AZ1585" i="1"/>
  <c r="BA1585" i="1"/>
  <c r="BC1585" i="1"/>
  <c r="BD1585" i="1"/>
  <c r="BE1585" i="1"/>
  <c r="BF1585" i="1"/>
  <c r="BG1585" i="1"/>
  <c r="BH1585" i="1"/>
  <c r="BI1585" i="1"/>
  <c r="BJ1585" i="1"/>
  <c r="BM1585" i="1"/>
  <c r="CA1585" i="1"/>
  <c r="CN1585" i="1"/>
  <c r="CO1585" i="1"/>
  <c r="CP1585" i="1"/>
  <c r="CQ1585" i="1"/>
  <c r="G1586" i="1"/>
  <c r="U1586" i="1"/>
  <c r="W1586" i="1"/>
  <c r="AE1586" i="1"/>
  <c r="AK1586" i="1"/>
  <c r="AQ1586" i="1"/>
  <c r="AU1586" i="1"/>
  <c r="AV1586" i="1"/>
  <c r="AW1586" i="1"/>
  <c r="AX1586" i="1"/>
  <c r="AY1586" i="1"/>
  <c r="AZ1586" i="1"/>
  <c r="BA1586" i="1"/>
  <c r="BC1586" i="1"/>
  <c r="BD1586" i="1"/>
  <c r="BE1586" i="1"/>
  <c r="BF1586" i="1"/>
  <c r="BG1586" i="1"/>
  <c r="BH1586" i="1"/>
  <c r="BI1586" i="1"/>
  <c r="BJ1586" i="1"/>
  <c r="BM1586" i="1"/>
  <c r="CA1586" i="1"/>
  <c r="CN1586" i="1"/>
  <c r="CO1586" i="1"/>
  <c r="CP1586" i="1"/>
  <c r="CQ1586" i="1"/>
  <c r="G945" i="1"/>
  <c r="U945" i="1"/>
  <c r="W945" i="1"/>
  <c r="AE945" i="1"/>
  <c r="AK945" i="1"/>
  <c r="AQ945" i="1"/>
  <c r="AU945" i="1"/>
  <c r="AV945" i="1"/>
  <c r="AW945" i="1"/>
  <c r="AX945" i="1"/>
  <c r="AY945" i="1"/>
  <c r="AZ945" i="1"/>
  <c r="BA945" i="1"/>
  <c r="BC945" i="1"/>
  <c r="BD945" i="1"/>
  <c r="BE945" i="1"/>
  <c r="BF945" i="1"/>
  <c r="BG945" i="1"/>
  <c r="BH945" i="1"/>
  <c r="BI945" i="1"/>
  <c r="BJ945" i="1"/>
  <c r="BM945" i="1"/>
  <c r="CA945" i="1"/>
  <c r="CN945" i="1"/>
  <c r="CO945" i="1"/>
  <c r="CP945" i="1"/>
  <c r="CQ945" i="1"/>
  <c r="G946" i="1"/>
  <c r="U946" i="1"/>
  <c r="W946" i="1"/>
  <c r="AE946" i="1"/>
  <c r="AK946" i="1"/>
  <c r="AQ946" i="1"/>
  <c r="AU946" i="1"/>
  <c r="AV946" i="1"/>
  <c r="AW946" i="1"/>
  <c r="AX946" i="1"/>
  <c r="AY946" i="1"/>
  <c r="AZ946" i="1"/>
  <c r="BA946" i="1"/>
  <c r="BC946" i="1"/>
  <c r="BD946" i="1"/>
  <c r="BE946" i="1"/>
  <c r="BF946" i="1"/>
  <c r="BG946" i="1"/>
  <c r="BH946" i="1"/>
  <c r="BI946" i="1"/>
  <c r="BJ946" i="1"/>
  <c r="BM946" i="1"/>
  <c r="CA946" i="1"/>
  <c r="CN946" i="1"/>
  <c r="CO946" i="1"/>
  <c r="CP946" i="1"/>
  <c r="CQ946" i="1"/>
  <c r="G947" i="1"/>
  <c r="U947" i="1"/>
  <c r="W947" i="1"/>
  <c r="AE947" i="1"/>
  <c r="AK947" i="1"/>
  <c r="AQ947" i="1"/>
  <c r="AU947" i="1"/>
  <c r="AV947" i="1"/>
  <c r="AW947" i="1"/>
  <c r="AX947" i="1"/>
  <c r="AY947" i="1"/>
  <c r="AZ947" i="1"/>
  <c r="BA947" i="1"/>
  <c r="BC947" i="1"/>
  <c r="BD947" i="1"/>
  <c r="BE947" i="1"/>
  <c r="BF947" i="1"/>
  <c r="BG947" i="1"/>
  <c r="BH947" i="1"/>
  <c r="BI947" i="1"/>
  <c r="BJ947" i="1"/>
  <c r="BM947" i="1"/>
  <c r="CA947" i="1"/>
  <c r="CN947" i="1"/>
  <c r="CO947" i="1"/>
  <c r="CP947" i="1"/>
  <c r="CQ947" i="1"/>
  <c r="G207" i="1"/>
  <c r="U207" i="1"/>
  <c r="W207" i="1"/>
  <c r="AE207" i="1"/>
  <c r="AK207" i="1"/>
  <c r="AQ207" i="1"/>
  <c r="AU207" i="1"/>
  <c r="AV207" i="1"/>
  <c r="AW207" i="1"/>
  <c r="AX207" i="1"/>
  <c r="AY207" i="1"/>
  <c r="AZ207" i="1"/>
  <c r="BA207" i="1"/>
  <c r="BC207" i="1"/>
  <c r="BD207" i="1"/>
  <c r="BE207" i="1"/>
  <c r="BF207" i="1"/>
  <c r="BG207" i="1"/>
  <c r="BH207" i="1"/>
  <c r="BI207" i="1"/>
  <c r="BJ207" i="1"/>
  <c r="BM207" i="1"/>
  <c r="CA207" i="1"/>
  <c r="CN207" i="1"/>
  <c r="CO207" i="1"/>
  <c r="CP207" i="1"/>
  <c r="CQ207" i="1"/>
  <c r="G208" i="1"/>
  <c r="U208" i="1"/>
  <c r="W208" i="1"/>
  <c r="AE208" i="1"/>
  <c r="AK208" i="1"/>
  <c r="AQ208" i="1"/>
  <c r="AU208" i="1"/>
  <c r="AV208" i="1"/>
  <c r="AW208" i="1"/>
  <c r="AX208" i="1"/>
  <c r="AY208" i="1"/>
  <c r="AZ208" i="1"/>
  <c r="BA208" i="1"/>
  <c r="BC208" i="1"/>
  <c r="BD208" i="1"/>
  <c r="BE208" i="1"/>
  <c r="BF208" i="1"/>
  <c r="BG208" i="1"/>
  <c r="BH208" i="1"/>
  <c r="BI208" i="1"/>
  <c r="BJ208" i="1"/>
  <c r="BM208" i="1"/>
  <c r="CA208" i="1"/>
  <c r="CN208" i="1"/>
  <c r="CO208" i="1"/>
  <c r="CP208" i="1"/>
  <c r="CQ208" i="1"/>
  <c r="G209" i="1"/>
  <c r="U209" i="1"/>
  <c r="W209" i="1"/>
  <c r="AE209" i="1"/>
  <c r="AK209" i="1"/>
  <c r="AQ209" i="1"/>
  <c r="AU209" i="1"/>
  <c r="AV209" i="1"/>
  <c r="AW209" i="1"/>
  <c r="AX209" i="1"/>
  <c r="AY209" i="1"/>
  <c r="AZ209" i="1"/>
  <c r="BA209" i="1"/>
  <c r="BC209" i="1"/>
  <c r="BD209" i="1"/>
  <c r="BE209" i="1"/>
  <c r="BF209" i="1"/>
  <c r="BG209" i="1"/>
  <c r="BH209" i="1"/>
  <c r="BI209" i="1"/>
  <c r="BJ209" i="1"/>
  <c r="BM209" i="1"/>
  <c r="CA209" i="1"/>
  <c r="CN209" i="1"/>
  <c r="CO209" i="1"/>
  <c r="CP209" i="1"/>
  <c r="CQ209" i="1"/>
  <c r="G1425" i="1"/>
  <c r="U1425" i="1"/>
  <c r="W1425" i="1"/>
  <c r="AE1425" i="1"/>
  <c r="AK1425" i="1"/>
  <c r="AQ1425" i="1"/>
  <c r="AU1425" i="1"/>
  <c r="AV1425" i="1"/>
  <c r="AW1425" i="1"/>
  <c r="AX1425" i="1"/>
  <c r="AY1425" i="1"/>
  <c r="AZ1425" i="1"/>
  <c r="BA1425" i="1"/>
  <c r="BC1425" i="1"/>
  <c r="BD1425" i="1"/>
  <c r="BE1425" i="1"/>
  <c r="BF1425" i="1"/>
  <c r="BG1425" i="1"/>
  <c r="BH1425" i="1"/>
  <c r="BI1425" i="1"/>
  <c r="BJ1425" i="1"/>
  <c r="BM1425" i="1"/>
  <c r="CA1425" i="1"/>
  <c r="CN1425" i="1"/>
  <c r="CO1425" i="1"/>
  <c r="CP1425" i="1"/>
  <c r="CQ1425" i="1"/>
  <c r="G1426" i="1"/>
  <c r="U1426" i="1"/>
  <c r="W1426" i="1"/>
  <c r="AE1426" i="1"/>
  <c r="AK1426" i="1"/>
  <c r="AQ1426" i="1"/>
  <c r="AU1426" i="1"/>
  <c r="AV1426" i="1"/>
  <c r="AW1426" i="1"/>
  <c r="AX1426" i="1"/>
  <c r="AY1426" i="1"/>
  <c r="AZ1426" i="1"/>
  <c r="BA1426" i="1"/>
  <c r="BC1426" i="1"/>
  <c r="BD1426" i="1"/>
  <c r="BE1426" i="1"/>
  <c r="BF1426" i="1"/>
  <c r="BG1426" i="1"/>
  <c r="BH1426" i="1"/>
  <c r="BI1426" i="1"/>
  <c r="BJ1426" i="1"/>
  <c r="BM1426" i="1"/>
  <c r="CA1426" i="1"/>
  <c r="CN1426" i="1"/>
  <c r="CO1426" i="1"/>
  <c r="CP1426" i="1"/>
  <c r="CQ1426" i="1"/>
  <c r="G948" i="1"/>
  <c r="U948" i="1"/>
  <c r="W948" i="1"/>
  <c r="AE948" i="1"/>
  <c r="AK948" i="1"/>
  <c r="AQ948" i="1"/>
  <c r="AU948" i="1"/>
  <c r="AV948" i="1"/>
  <c r="AW948" i="1"/>
  <c r="AX948" i="1"/>
  <c r="AY948" i="1"/>
  <c r="AZ948" i="1"/>
  <c r="BA948" i="1"/>
  <c r="BC948" i="1"/>
  <c r="BD948" i="1"/>
  <c r="BE948" i="1"/>
  <c r="BF948" i="1"/>
  <c r="BG948" i="1"/>
  <c r="BH948" i="1"/>
  <c r="BI948" i="1"/>
  <c r="BJ948" i="1"/>
  <c r="BM948" i="1"/>
  <c r="CA948" i="1"/>
  <c r="CN948" i="1"/>
  <c r="CO948" i="1"/>
  <c r="CP948" i="1"/>
  <c r="CQ948" i="1"/>
  <c r="G210" i="1"/>
  <c r="U210" i="1"/>
  <c r="W210" i="1"/>
  <c r="AE210" i="1"/>
  <c r="AK210" i="1"/>
  <c r="AQ210" i="1"/>
  <c r="AU210" i="1"/>
  <c r="AV210" i="1"/>
  <c r="AW210" i="1"/>
  <c r="AX210" i="1"/>
  <c r="AY210" i="1"/>
  <c r="AZ210" i="1"/>
  <c r="BA210" i="1"/>
  <c r="BC210" i="1"/>
  <c r="BD210" i="1"/>
  <c r="BE210" i="1"/>
  <c r="BF210" i="1"/>
  <c r="BG210" i="1"/>
  <c r="BH210" i="1"/>
  <c r="BI210" i="1"/>
  <c r="BJ210" i="1"/>
  <c r="BM210" i="1"/>
  <c r="CA210" i="1"/>
  <c r="CN210" i="1"/>
  <c r="CO210" i="1"/>
  <c r="CP210" i="1"/>
  <c r="CQ210" i="1"/>
  <c r="G949" i="1"/>
  <c r="U949" i="1"/>
  <c r="W949" i="1"/>
  <c r="AE949" i="1"/>
  <c r="AK949" i="1"/>
  <c r="AQ949" i="1"/>
  <c r="AU949" i="1"/>
  <c r="AV949" i="1"/>
  <c r="AW949" i="1"/>
  <c r="AX949" i="1"/>
  <c r="AY949" i="1"/>
  <c r="AZ949" i="1"/>
  <c r="BA949" i="1"/>
  <c r="BC949" i="1"/>
  <c r="BD949" i="1"/>
  <c r="BE949" i="1"/>
  <c r="BF949" i="1"/>
  <c r="BG949" i="1"/>
  <c r="BH949" i="1"/>
  <c r="BI949" i="1"/>
  <c r="BJ949" i="1"/>
  <c r="BM949" i="1"/>
  <c r="CA949" i="1"/>
  <c r="CN949" i="1"/>
  <c r="CO949" i="1"/>
  <c r="CP949" i="1"/>
  <c r="CQ949" i="1"/>
  <c r="G1587" i="1"/>
  <c r="U1587" i="1"/>
  <c r="W1587" i="1"/>
  <c r="AE1587" i="1"/>
  <c r="AK1587" i="1"/>
  <c r="AQ1587" i="1"/>
  <c r="AU1587" i="1"/>
  <c r="AV1587" i="1"/>
  <c r="AW1587" i="1"/>
  <c r="AX1587" i="1"/>
  <c r="AY1587" i="1"/>
  <c r="AZ1587" i="1"/>
  <c r="BA1587" i="1"/>
  <c r="BC1587" i="1"/>
  <c r="BD1587" i="1"/>
  <c r="BE1587" i="1"/>
  <c r="BF1587" i="1"/>
  <c r="BG1587" i="1"/>
  <c r="BH1587" i="1"/>
  <c r="BI1587" i="1"/>
  <c r="BJ1587" i="1"/>
  <c r="BM1587" i="1"/>
  <c r="CA1587" i="1"/>
  <c r="CN1587" i="1"/>
  <c r="CO1587" i="1"/>
  <c r="CP1587" i="1"/>
  <c r="CQ1587" i="1"/>
  <c r="G950" i="1"/>
  <c r="U950" i="1"/>
  <c r="W950" i="1"/>
  <c r="AE950" i="1"/>
  <c r="AK950" i="1"/>
  <c r="AQ950" i="1"/>
  <c r="AU950" i="1"/>
  <c r="AV950" i="1"/>
  <c r="AW950" i="1"/>
  <c r="AX950" i="1"/>
  <c r="AY950" i="1"/>
  <c r="AZ950" i="1"/>
  <c r="BA950" i="1"/>
  <c r="BC950" i="1"/>
  <c r="BD950" i="1"/>
  <c r="BE950" i="1"/>
  <c r="BF950" i="1"/>
  <c r="BG950" i="1"/>
  <c r="BH950" i="1"/>
  <c r="BI950" i="1"/>
  <c r="BJ950" i="1"/>
  <c r="BM950" i="1"/>
  <c r="CA950" i="1"/>
  <c r="CN950" i="1"/>
  <c r="CO950" i="1"/>
  <c r="CP950" i="1"/>
  <c r="CQ950" i="1"/>
  <c r="G951" i="1"/>
  <c r="U951" i="1"/>
  <c r="W951" i="1"/>
  <c r="AE951" i="1"/>
  <c r="AK951" i="1"/>
  <c r="AQ951" i="1"/>
  <c r="AU951" i="1"/>
  <c r="AV951" i="1"/>
  <c r="AW951" i="1"/>
  <c r="AX951" i="1"/>
  <c r="AY951" i="1"/>
  <c r="AZ951" i="1"/>
  <c r="BA951" i="1"/>
  <c r="BC951" i="1"/>
  <c r="BD951" i="1"/>
  <c r="BE951" i="1"/>
  <c r="BF951" i="1"/>
  <c r="BG951" i="1"/>
  <c r="BH951" i="1"/>
  <c r="BI951" i="1"/>
  <c r="BJ951" i="1"/>
  <c r="BM951" i="1"/>
  <c r="CA951" i="1"/>
  <c r="CN951" i="1"/>
  <c r="CO951" i="1"/>
  <c r="CP951" i="1"/>
  <c r="CQ951" i="1"/>
  <c r="G1427" i="1"/>
  <c r="U1427" i="1"/>
  <c r="W1427" i="1"/>
  <c r="AE1427" i="1"/>
  <c r="AK1427" i="1"/>
  <c r="AQ1427" i="1"/>
  <c r="AU1427" i="1"/>
  <c r="AV1427" i="1"/>
  <c r="AW1427" i="1"/>
  <c r="AX1427" i="1"/>
  <c r="AY1427" i="1"/>
  <c r="AZ1427" i="1"/>
  <c r="BA1427" i="1"/>
  <c r="BC1427" i="1"/>
  <c r="BD1427" i="1"/>
  <c r="BE1427" i="1"/>
  <c r="BF1427" i="1"/>
  <c r="BG1427" i="1"/>
  <c r="BH1427" i="1"/>
  <c r="BI1427" i="1"/>
  <c r="BJ1427" i="1"/>
  <c r="BM1427" i="1"/>
  <c r="CA1427" i="1"/>
  <c r="CN1427" i="1"/>
  <c r="CO1427" i="1"/>
  <c r="CP1427" i="1"/>
  <c r="CQ1427" i="1"/>
  <c r="G952" i="1"/>
  <c r="U952" i="1"/>
  <c r="W952" i="1"/>
  <c r="AE952" i="1"/>
  <c r="AK952" i="1"/>
  <c r="AQ952" i="1"/>
  <c r="AU952" i="1"/>
  <c r="AV952" i="1"/>
  <c r="AW952" i="1"/>
  <c r="AX952" i="1"/>
  <c r="AY952" i="1"/>
  <c r="AZ952" i="1"/>
  <c r="BA952" i="1"/>
  <c r="BC952" i="1"/>
  <c r="BD952" i="1"/>
  <c r="BE952" i="1"/>
  <c r="BF952" i="1"/>
  <c r="BG952" i="1"/>
  <c r="BH952" i="1"/>
  <c r="BI952" i="1"/>
  <c r="BJ952" i="1"/>
  <c r="BM952" i="1"/>
  <c r="CA952" i="1"/>
  <c r="CN952" i="1"/>
  <c r="CO952" i="1"/>
  <c r="CP952" i="1"/>
  <c r="CQ952" i="1"/>
  <c r="G953" i="1"/>
  <c r="U953" i="1"/>
  <c r="W953" i="1"/>
  <c r="AE953" i="1"/>
  <c r="AK953" i="1"/>
  <c r="AQ953" i="1"/>
  <c r="AU953" i="1"/>
  <c r="AV953" i="1"/>
  <c r="AW953" i="1"/>
  <c r="AX953" i="1"/>
  <c r="AY953" i="1"/>
  <c r="AZ953" i="1"/>
  <c r="BA953" i="1"/>
  <c r="BC953" i="1"/>
  <c r="BD953" i="1"/>
  <c r="BE953" i="1"/>
  <c r="BF953" i="1"/>
  <c r="BG953" i="1"/>
  <c r="BH953" i="1"/>
  <c r="BI953" i="1"/>
  <c r="BJ953" i="1"/>
  <c r="BM953" i="1"/>
  <c r="CA953" i="1"/>
  <c r="CN953" i="1"/>
  <c r="CO953" i="1"/>
  <c r="CP953" i="1"/>
  <c r="CQ953" i="1"/>
  <c r="G954" i="1"/>
  <c r="U954" i="1"/>
  <c r="W954" i="1"/>
  <c r="AE954" i="1"/>
  <c r="AK954" i="1"/>
  <c r="AQ954" i="1"/>
  <c r="AU954" i="1"/>
  <c r="AV954" i="1"/>
  <c r="AW954" i="1"/>
  <c r="AX954" i="1"/>
  <c r="AY954" i="1"/>
  <c r="AZ954" i="1"/>
  <c r="BA954" i="1"/>
  <c r="BC954" i="1"/>
  <c r="BD954" i="1"/>
  <c r="BE954" i="1"/>
  <c r="BF954" i="1"/>
  <c r="BG954" i="1"/>
  <c r="BH954" i="1"/>
  <c r="BI954" i="1"/>
  <c r="BJ954" i="1"/>
  <c r="BM954" i="1"/>
  <c r="CA954" i="1"/>
  <c r="CN954" i="1"/>
  <c r="CO954" i="1"/>
  <c r="CP954" i="1"/>
  <c r="CQ954" i="1"/>
  <c r="G211" i="1"/>
  <c r="U211" i="1"/>
  <c r="W211" i="1"/>
  <c r="AE211" i="1"/>
  <c r="AK211" i="1"/>
  <c r="AQ211" i="1"/>
  <c r="AU211" i="1"/>
  <c r="AV211" i="1"/>
  <c r="AW211" i="1"/>
  <c r="AX211" i="1"/>
  <c r="AY211" i="1"/>
  <c r="AZ211" i="1"/>
  <c r="BA211" i="1"/>
  <c r="BC211" i="1"/>
  <c r="BD211" i="1"/>
  <c r="BE211" i="1"/>
  <c r="BF211" i="1"/>
  <c r="BG211" i="1"/>
  <c r="BH211" i="1"/>
  <c r="BI211" i="1"/>
  <c r="BJ211" i="1"/>
  <c r="BM211" i="1"/>
  <c r="CA211" i="1"/>
  <c r="CN211" i="1"/>
  <c r="CO211" i="1"/>
  <c r="CP211" i="1"/>
  <c r="CQ211" i="1"/>
  <c r="G955" i="1"/>
  <c r="U955" i="1"/>
  <c r="W955" i="1"/>
  <c r="AE955" i="1"/>
  <c r="AK955" i="1"/>
  <c r="AQ955" i="1"/>
  <c r="AU955" i="1"/>
  <c r="AV955" i="1"/>
  <c r="AW955" i="1"/>
  <c r="AX955" i="1"/>
  <c r="AY955" i="1"/>
  <c r="AZ955" i="1"/>
  <c r="BA955" i="1"/>
  <c r="BC955" i="1"/>
  <c r="BD955" i="1"/>
  <c r="BE955" i="1"/>
  <c r="BF955" i="1"/>
  <c r="BG955" i="1"/>
  <c r="BH955" i="1"/>
  <c r="BI955" i="1"/>
  <c r="BJ955" i="1"/>
  <c r="BM955" i="1"/>
  <c r="CA955" i="1"/>
  <c r="CN955" i="1"/>
  <c r="CO955" i="1"/>
  <c r="CP955" i="1"/>
  <c r="CQ955" i="1"/>
  <c r="G956" i="1"/>
  <c r="U956" i="1"/>
  <c r="W956" i="1"/>
  <c r="AE956" i="1"/>
  <c r="AK956" i="1"/>
  <c r="AQ956" i="1"/>
  <c r="AU956" i="1"/>
  <c r="AV956" i="1"/>
  <c r="AW956" i="1"/>
  <c r="AX956" i="1"/>
  <c r="AY956" i="1"/>
  <c r="AZ956" i="1"/>
  <c r="BA956" i="1"/>
  <c r="BC956" i="1"/>
  <c r="BD956" i="1"/>
  <c r="BE956" i="1"/>
  <c r="BF956" i="1"/>
  <c r="BG956" i="1"/>
  <c r="BH956" i="1"/>
  <c r="BI956" i="1"/>
  <c r="BJ956" i="1"/>
  <c r="BM956" i="1"/>
  <c r="CA956" i="1"/>
  <c r="CN956" i="1"/>
  <c r="CO956" i="1"/>
  <c r="CP956" i="1"/>
  <c r="CQ956" i="1"/>
  <c r="G212" i="1"/>
  <c r="U212" i="1"/>
  <c r="W212" i="1"/>
  <c r="AE212" i="1"/>
  <c r="AK212" i="1"/>
  <c r="AQ212" i="1"/>
  <c r="AU212" i="1"/>
  <c r="AV212" i="1"/>
  <c r="AW212" i="1"/>
  <c r="AX212" i="1"/>
  <c r="AY212" i="1"/>
  <c r="AZ212" i="1"/>
  <c r="BA212" i="1"/>
  <c r="BC212" i="1"/>
  <c r="BD212" i="1"/>
  <c r="BE212" i="1"/>
  <c r="BF212" i="1"/>
  <c r="BG212" i="1"/>
  <c r="BH212" i="1"/>
  <c r="BI212" i="1"/>
  <c r="BJ212" i="1"/>
  <c r="BM212" i="1"/>
  <c r="CA212" i="1"/>
  <c r="CN212" i="1"/>
  <c r="CO212" i="1"/>
  <c r="CP212" i="1"/>
  <c r="CQ212" i="1"/>
  <c r="G213" i="1"/>
  <c r="U213" i="1"/>
  <c r="W213" i="1"/>
  <c r="AE213" i="1"/>
  <c r="AK213" i="1"/>
  <c r="AQ213" i="1"/>
  <c r="AU213" i="1"/>
  <c r="AV213" i="1"/>
  <c r="AW213" i="1"/>
  <c r="AX213" i="1"/>
  <c r="AY213" i="1"/>
  <c r="AZ213" i="1"/>
  <c r="BA213" i="1"/>
  <c r="BC213" i="1"/>
  <c r="BD213" i="1"/>
  <c r="BE213" i="1"/>
  <c r="BF213" i="1"/>
  <c r="BG213" i="1"/>
  <c r="BH213" i="1"/>
  <c r="BI213" i="1"/>
  <c r="BJ213" i="1"/>
  <c r="BM213" i="1"/>
  <c r="CA213" i="1"/>
  <c r="CN213" i="1"/>
  <c r="CO213" i="1"/>
  <c r="CP213" i="1"/>
  <c r="CQ213" i="1"/>
  <c r="G957" i="1"/>
  <c r="U957" i="1"/>
  <c r="W957" i="1"/>
  <c r="AE957" i="1"/>
  <c r="AK957" i="1"/>
  <c r="AQ957" i="1"/>
  <c r="AU957" i="1"/>
  <c r="AV957" i="1"/>
  <c r="AW957" i="1"/>
  <c r="AX957" i="1"/>
  <c r="AY957" i="1"/>
  <c r="AZ957" i="1"/>
  <c r="BA957" i="1"/>
  <c r="BC957" i="1"/>
  <c r="BD957" i="1"/>
  <c r="BE957" i="1"/>
  <c r="BF957" i="1"/>
  <c r="BG957" i="1"/>
  <c r="BH957" i="1"/>
  <c r="BI957" i="1"/>
  <c r="BJ957" i="1"/>
  <c r="BM957" i="1"/>
  <c r="CA957" i="1"/>
  <c r="CN957" i="1"/>
  <c r="CO957" i="1"/>
  <c r="CP957" i="1"/>
  <c r="CQ957" i="1"/>
  <c r="G958" i="1"/>
  <c r="U958" i="1"/>
  <c r="W958" i="1"/>
  <c r="AE958" i="1"/>
  <c r="AK958" i="1"/>
  <c r="AQ958" i="1"/>
  <c r="AU958" i="1"/>
  <c r="AV958" i="1"/>
  <c r="AW958" i="1"/>
  <c r="AX958" i="1"/>
  <c r="AY958" i="1"/>
  <c r="AZ958" i="1"/>
  <c r="BA958" i="1"/>
  <c r="BC958" i="1"/>
  <c r="BD958" i="1"/>
  <c r="BE958" i="1"/>
  <c r="BF958" i="1"/>
  <c r="BG958" i="1"/>
  <c r="BH958" i="1"/>
  <c r="BI958" i="1"/>
  <c r="BJ958" i="1"/>
  <c r="BM958" i="1"/>
  <c r="CA958" i="1"/>
  <c r="CN958" i="1"/>
  <c r="CO958" i="1"/>
  <c r="CP958" i="1"/>
  <c r="CQ958" i="1"/>
  <c r="G1428" i="1"/>
  <c r="U1428" i="1"/>
  <c r="W1428" i="1"/>
  <c r="AE1428" i="1"/>
  <c r="AK1428" i="1"/>
  <c r="AQ1428" i="1"/>
  <c r="AU1428" i="1"/>
  <c r="AV1428" i="1"/>
  <c r="AW1428" i="1"/>
  <c r="AX1428" i="1"/>
  <c r="AY1428" i="1"/>
  <c r="AZ1428" i="1"/>
  <c r="BA1428" i="1"/>
  <c r="BC1428" i="1"/>
  <c r="BD1428" i="1"/>
  <c r="BE1428" i="1"/>
  <c r="BF1428" i="1"/>
  <c r="BG1428" i="1"/>
  <c r="BH1428" i="1"/>
  <c r="BI1428" i="1"/>
  <c r="BJ1428" i="1"/>
  <c r="BM1428" i="1"/>
  <c r="CA1428" i="1"/>
  <c r="CN1428" i="1"/>
  <c r="CO1428" i="1"/>
  <c r="CP1428" i="1"/>
  <c r="CQ1428" i="1"/>
  <c r="G959" i="1"/>
  <c r="U959" i="1"/>
  <c r="W959" i="1"/>
  <c r="AE959" i="1"/>
  <c r="AK959" i="1"/>
  <c r="AQ959" i="1"/>
  <c r="AU959" i="1"/>
  <c r="AV959" i="1"/>
  <c r="AW959" i="1"/>
  <c r="AX959" i="1"/>
  <c r="AY959" i="1"/>
  <c r="AZ959" i="1"/>
  <c r="BA959" i="1"/>
  <c r="BC959" i="1"/>
  <c r="BD959" i="1"/>
  <c r="BE959" i="1"/>
  <c r="BF959" i="1"/>
  <c r="BG959" i="1"/>
  <c r="BH959" i="1"/>
  <c r="BI959" i="1"/>
  <c r="BJ959" i="1"/>
  <c r="BM959" i="1"/>
  <c r="CA959" i="1"/>
  <c r="CN959" i="1"/>
  <c r="CO959" i="1"/>
  <c r="CP959" i="1"/>
  <c r="CQ959" i="1"/>
  <c r="G960" i="1"/>
  <c r="U960" i="1"/>
  <c r="W960" i="1"/>
  <c r="AE960" i="1"/>
  <c r="AK960" i="1"/>
  <c r="AQ960" i="1"/>
  <c r="AU960" i="1"/>
  <c r="AV960" i="1"/>
  <c r="AW960" i="1"/>
  <c r="AX960" i="1"/>
  <c r="AY960" i="1"/>
  <c r="AZ960" i="1"/>
  <c r="BA960" i="1"/>
  <c r="BC960" i="1"/>
  <c r="BD960" i="1"/>
  <c r="BE960" i="1"/>
  <c r="BF960" i="1"/>
  <c r="BG960" i="1"/>
  <c r="BH960" i="1"/>
  <c r="BI960" i="1"/>
  <c r="BJ960" i="1"/>
  <c r="BM960" i="1"/>
  <c r="CA960" i="1"/>
  <c r="CN960" i="1"/>
  <c r="CO960" i="1"/>
  <c r="CP960" i="1"/>
  <c r="CQ960" i="1"/>
  <c r="G425" i="1"/>
  <c r="U425" i="1"/>
  <c r="W425" i="1"/>
  <c r="AE425" i="1"/>
  <c r="AK425" i="1"/>
  <c r="AQ425" i="1"/>
  <c r="AU425" i="1"/>
  <c r="AV425" i="1"/>
  <c r="AW425" i="1"/>
  <c r="AX425" i="1"/>
  <c r="AY425" i="1"/>
  <c r="AZ425" i="1"/>
  <c r="BA425" i="1"/>
  <c r="BC425" i="1"/>
  <c r="BD425" i="1"/>
  <c r="BE425" i="1"/>
  <c r="BF425" i="1"/>
  <c r="BG425" i="1"/>
  <c r="BH425" i="1"/>
  <c r="BI425" i="1"/>
  <c r="BJ425" i="1"/>
  <c r="BM425" i="1"/>
  <c r="CA425" i="1"/>
  <c r="CN425" i="1"/>
  <c r="CO425" i="1"/>
  <c r="CP425" i="1"/>
  <c r="CQ425" i="1"/>
  <c r="G1588" i="1"/>
  <c r="U1588" i="1"/>
  <c r="W1588" i="1"/>
  <c r="AE1588" i="1"/>
  <c r="AK1588" i="1"/>
  <c r="AQ1588" i="1"/>
  <c r="AU1588" i="1"/>
  <c r="AV1588" i="1"/>
  <c r="AW1588" i="1"/>
  <c r="AX1588" i="1"/>
  <c r="AY1588" i="1"/>
  <c r="AZ1588" i="1"/>
  <c r="BA1588" i="1"/>
  <c r="BC1588" i="1"/>
  <c r="BD1588" i="1"/>
  <c r="BE1588" i="1"/>
  <c r="BF1588" i="1"/>
  <c r="BG1588" i="1"/>
  <c r="BH1588" i="1"/>
  <c r="BI1588" i="1"/>
  <c r="BJ1588" i="1"/>
  <c r="BM1588" i="1"/>
  <c r="CA1588" i="1"/>
  <c r="CN1588" i="1"/>
  <c r="CO1588" i="1"/>
  <c r="CP1588" i="1"/>
  <c r="CQ1588" i="1"/>
  <c r="G214" i="1"/>
  <c r="U214" i="1"/>
  <c r="W214" i="1"/>
  <c r="AE214" i="1"/>
  <c r="AK214" i="1"/>
  <c r="AQ214" i="1"/>
  <c r="AU214" i="1"/>
  <c r="AV214" i="1"/>
  <c r="AW214" i="1"/>
  <c r="AX214" i="1"/>
  <c r="AY214" i="1"/>
  <c r="AZ214" i="1"/>
  <c r="BA214" i="1"/>
  <c r="BC214" i="1"/>
  <c r="BD214" i="1"/>
  <c r="BE214" i="1"/>
  <c r="BF214" i="1"/>
  <c r="BG214" i="1"/>
  <c r="BH214" i="1"/>
  <c r="BI214" i="1"/>
  <c r="BJ214" i="1"/>
  <c r="BM214" i="1"/>
  <c r="CA214" i="1"/>
  <c r="CN214" i="1"/>
  <c r="CO214" i="1"/>
  <c r="CP214" i="1"/>
  <c r="CQ214" i="1"/>
  <c r="G215" i="1"/>
  <c r="U215" i="1"/>
  <c r="W215" i="1"/>
  <c r="AE215" i="1"/>
  <c r="AK215" i="1"/>
  <c r="AQ215" i="1"/>
  <c r="AU215" i="1"/>
  <c r="AV215" i="1"/>
  <c r="AW215" i="1"/>
  <c r="AX215" i="1"/>
  <c r="AY215" i="1"/>
  <c r="AZ215" i="1"/>
  <c r="BA215" i="1"/>
  <c r="BC215" i="1"/>
  <c r="BD215" i="1"/>
  <c r="BE215" i="1"/>
  <c r="BF215" i="1"/>
  <c r="BG215" i="1"/>
  <c r="BH215" i="1"/>
  <c r="BI215" i="1"/>
  <c r="BJ215" i="1"/>
  <c r="BM215" i="1"/>
  <c r="CA215" i="1"/>
  <c r="CN215" i="1"/>
  <c r="CO215" i="1"/>
  <c r="CP215" i="1"/>
  <c r="CQ215" i="1"/>
  <c r="G961" i="1"/>
  <c r="U961" i="1"/>
  <c r="W961" i="1"/>
  <c r="AE961" i="1"/>
  <c r="AK961" i="1"/>
  <c r="AQ961" i="1"/>
  <c r="AU961" i="1"/>
  <c r="AV961" i="1"/>
  <c r="AW961" i="1"/>
  <c r="AX961" i="1"/>
  <c r="AY961" i="1"/>
  <c r="AZ961" i="1"/>
  <c r="BA961" i="1"/>
  <c r="BC961" i="1"/>
  <c r="BD961" i="1"/>
  <c r="BE961" i="1"/>
  <c r="BF961" i="1"/>
  <c r="BG961" i="1"/>
  <c r="BH961" i="1"/>
  <c r="BI961" i="1"/>
  <c r="BJ961" i="1"/>
  <c r="BM961" i="1"/>
  <c r="CA961" i="1"/>
  <c r="CN961" i="1"/>
  <c r="CO961" i="1"/>
  <c r="CP961" i="1"/>
  <c r="CQ961" i="1"/>
  <c r="G962" i="1"/>
  <c r="U962" i="1"/>
  <c r="W962" i="1"/>
  <c r="AE962" i="1"/>
  <c r="AK962" i="1"/>
  <c r="AQ962" i="1"/>
  <c r="AU962" i="1"/>
  <c r="AV962" i="1"/>
  <c r="AW962" i="1"/>
  <c r="AX962" i="1"/>
  <c r="AY962" i="1"/>
  <c r="AZ962" i="1"/>
  <c r="BA962" i="1"/>
  <c r="BC962" i="1"/>
  <c r="BD962" i="1"/>
  <c r="BE962" i="1"/>
  <c r="BF962" i="1"/>
  <c r="BG962" i="1"/>
  <c r="BH962" i="1"/>
  <c r="BI962" i="1"/>
  <c r="BJ962" i="1"/>
  <c r="BM962" i="1"/>
  <c r="CA962" i="1"/>
  <c r="CN962" i="1"/>
  <c r="CO962" i="1"/>
  <c r="CP962" i="1"/>
  <c r="CQ962" i="1"/>
  <c r="G426" i="1"/>
  <c r="U426" i="1"/>
  <c r="W426" i="1"/>
  <c r="AE426" i="1"/>
  <c r="AK426" i="1"/>
  <c r="AQ426" i="1"/>
  <c r="AU426" i="1"/>
  <c r="AV426" i="1"/>
  <c r="AW426" i="1"/>
  <c r="AX426" i="1"/>
  <c r="AY426" i="1"/>
  <c r="AZ426" i="1"/>
  <c r="BA426" i="1"/>
  <c r="BC426" i="1"/>
  <c r="BD426" i="1"/>
  <c r="BE426" i="1"/>
  <c r="BF426" i="1"/>
  <c r="BG426" i="1"/>
  <c r="BH426" i="1"/>
  <c r="BI426" i="1"/>
  <c r="BJ426" i="1"/>
  <c r="BM426" i="1"/>
  <c r="CA426" i="1"/>
  <c r="CN426" i="1"/>
  <c r="CO426" i="1"/>
  <c r="CP426" i="1"/>
  <c r="CQ426" i="1"/>
  <c r="G963" i="1"/>
  <c r="U963" i="1"/>
  <c r="W963" i="1"/>
  <c r="AE963" i="1"/>
  <c r="AK963" i="1"/>
  <c r="AQ963" i="1"/>
  <c r="AU963" i="1"/>
  <c r="AV963" i="1"/>
  <c r="AW963" i="1"/>
  <c r="AX963" i="1"/>
  <c r="AY963" i="1"/>
  <c r="AZ963" i="1"/>
  <c r="BA963" i="1"/>
  <c r="BC963" i="1"/>
  <c r="BD963" i="1"/>
  <c r="BE963" i="1"/>
  <c r="BF963" i="1"/>
  <c r="BG963" i="1"/>
  <c r="BH963" i="1"/>
  <c r="BI963" i="1"/>
  <c r="BJ963" i="1"/>
  <c r="BM963" i="1"/>
  <c r="CA963" i="1"/>
  <c r="CN963" i="1"/>
  <c r="CO963" i="1"/>
  <c r="CP963" i="1"/>
  <c r="CQ963" i="1"/>
  <c r="G1429" i="1"/>
  <c r="U1429" i="1"/>
  <c r="W1429" i="1"/>
  <c r="AE1429" i="1"/>
  <c r="AK1429" i="1"/>
  <c r="AQ1429" i="1"/>
  <c r="AU1429" i="1"/>
  <c r="AV1429" i="1"/>
  <c r="AW1429" i="1"/>
  <c r="AX1429" i="1"/>
  <c r="AY1429" i="1"/>
  <c r="AZ1429" i="1"/>
  <c r="BA1429" i="1"/>
  <c r="BC1429" i="1"/>
  <c r="BD1429" i="1"/>
  <c r="BE1429" i="1"/>
  <c r="BF1429" i="1"/>
  <c r="BG1429" i="1"/>
  <c r="BH1429" i="1"/>
  <c r="BI1429" i="1"/>
  <c r="BJ1429" i="1"/>
  <c r="BM1429" i="1"/>
  <c r="CA1429" i="1"/>
  <c r="CN1429" i="1"/>
  <c r="CO1429" i="1"/>
  <c r="CP1429" i="1"/>
  <c r="CQ1429" i="1"/>
  <c r="G216" i="1"/>
  <c r="U216" i="1"/>
  <c r="W216" i="1"/>
  <c r="AE216" i="1"/>
  <c r="AK216" i="1"/>
  <c r="AQ216" i="1"/>
  <c r="AU216" i="1"/>
  <c r="AV216" i="1"/>
  <c r="AW216" i="1"/>
  <c r="AX216" i="1"/>
  <c r="AY216" i="1"/>
  <c r="AZ216" i="1"/>
  <c r="BA216" i="1"/>
  <c r="BC216" i="1"/>
  <c r="BD216" i="1"/>
  <c r="BE216" i="1"/>
  <c r="BF216" i="1"/>
  <c r="BG216" i="1"/>
  <c r="BH216" i="1"/>
  <c r="BI216" i="1"/>
  <c r="BJ216" i="1"/>
  <c r="BM216" i="1"/>
  <c r="CA216" i="1"/>
  <c r="CN216" i="1"/>
  <c r="CO216" i="1"/>
  <c r="CP216" i="1"/>
  <c r="CQ216" i="1"/>
  <c r="G427" i="1"/>
  <c r="U427" i="1"/>
  <c r="W427" i="1"/>
  <c r="AE427" i="1"/>
  <c r="AK427" i="1"/>
  <c r="AQ427" i="1"/>
  <c r="AU427" i="1"/>
  <c r="AV427" i="1"/>
  <c r="AW427" i="1"/>
  <c r="AX427" i="1"/>
  <c r="AY427" i="1"/>
  <c r="AZ427" i="1"/>
  <c r="BA427" i="1"/>
  <c r="BC427" i="1"/>
  <c r="BD427" i="1"/>
  <c r="BE427" i="1"/>
  <c r="BF427" i="1"/>
  <c r="BG427" i="1"/>
  <c r="BH427" i="1"/>
  <c r="BI427" i="1"/>
  <c r="BJ427" i="1"/>
  <c r="BM427" i="1"/>
  <c r="CA427" i="1"/>
  <c r="CN427" i="1"/>
  <c r="CO427" i="1"/>
  <c r="CP427" i="1"/>
  <c r="CQ427" i="1"/>
  <c r="G1589" i="1"/>
  <c r="U1589" i="1"/>
  <c r="W1589" i="1"/>
  <c r="AE1589" i="1"/>
  <c r="AK1589" i="1"/>
  <c r="AQ1589" i="1"/>
  <c r="AU1589" i="1"/>
  <c r="AV1589" i="1"/>
  <c r="AW1589" i="1"/>
  <c r="AX1589" i="1"/>
  <c r="AY1589" i="1"/>
  <c r="AZ1589" i="1"/>
  <c r="BA1589" i="1"/>
  <c r="BC1589" i="1"/>
  <c r="BD1589" i="1"/>
  <c r="BE1589" i="1"/>
  <c r="BF1589" i="1"/>
  <c r="BG1589" i="1"/>
  <c r="BH1589" i="1"/>
  <c r="BI1589" i="1"/>
  <c r="BJ1589" i="1"/>
  <c r="BM1589" i="1"/>
  <c r="CA1589" i="1"/>
  <c r="CN1589" i="1"/>
  <c r="CO1589" i="1"/>
  <c r="CP1589" i="1"/>
  <c r="CQ1589" i="1"/>
  <c r="G964" i="1"/>
  <c r="U964" i="1"/>
  <c r="W964" i="1"/>
  <c r="AE964" i="1"/>
  <c r="AK964" i="1"/>
  <c r="AQ964" i="1"/>
  <c r="AU964" i="1"/>
  <c r="AV964" i="1"/>
  <c r="AW964" i="1"/>
  <c r="AX964" i="1"/>
  <c r="AY964" i="1"/>
  <c r="AZ964" i="1"/>
  <c r="BA964" i="1"/>
  <c r="BC964" i="1"/>
  <c r="BD964" i="1"/>
  <c r="BE964" i="1"/>
  <c r="BF964" i="1"/>
  <c r="BG964" i="1"/>
  <c r="BH964" i="1"/>
  <c r="BI964" i="1"/>
  <c r="BJ964" i="1"/>
  <c r="BM964" i="1"/>
  <c r="CA964" i="1"/>
  <c r="CN964" i="1"/>
  <c r="CO964" i="1"/>
  <c r="CP964" i="1"/>
  <c r="CQ964" i="1"/>
  <c r="G965" i="1"/>
  <c r="U965" i="1"/>
  <c r="W965" i="1"/>
  <c r="AE965" i="1"/>
  <c r="AK965" i="1"/>
  <c r="AQ965" i="1"/>
  <c r="AU965" i="1"/>
  <c r="AV965" i="1"/>
  <c r="AW965" i="1"/>
  <c r="AX965" i="1"/>
  <c r="AY965" i="1"/>
  <c r="AZ965" i="1"/>
  <c r="BA965" i="1"/>
  <c r="BC965" i="1"/>
  <c r="BD965" i="1"/>
  <c r="BE965" i="1"/>
  <c r="BF965" i="1"/>
  <c r="BG965" i="1"/>
  <c r="BH965" i="1"/>
  <c r="BI965" i="1"/>
  <c r="BJ965" i="1"/>
  <c r="BM965" i="1"/>
  <c r="CA965" i="1"/>
  <c r="CN965" i="1"/>
  <c r="CO965" i="1"/>
  <c r="CP965" i="1"/>
  <c r="CQ965" i="1"/>
  <c r="G966" i="1"/>
  <c r="U966" i="1"/>
  <c r="W966" i="1"/>
  <c r="AE966" i="1"/>
  <c r="AK966" i="1"/>
  <c r="AQ966" i="1"/>
  <c r="AU966" i="1"/>
  <c r="AV966" i="1"/>
  <c r="AW966" i="1"/>
  <c r="AX966" i="1"/>
  <c r="AY966" i="1"/>
  <c r="AZ966" i="1"/>
  <c r="BA966" i="1"/>
  <c r="BC966" i="1"/>
  <c r="BD966" i="1"/>
  <c r="BE966" i="1"/>
  <c r="BF966" i="1"/>
  <c r="BG966" i="1"/>
  <c r="BH966" i="1"/>
  <c r="BI966" i="1"/>
  <c r="BJ966" i="1"/>
  <c r="BM966" i="1"/>
  <c r="CA966" i="1"/>
  <c r="CN966" i="1"/>
  <c r="CO966" i="1"/>
  <c r="CP966" i="1"/>
  <c r="CQ966" i="1"/>
  <c r="G1430" i="1"/>
  <c r="U1430" i="1"/>
  <c r="W1430" i="1"/>
  <c r="AE1430" i="1"/>
  <c r="AK1430" i="1"/>
  <c r="AQ1430" i="1"/>
  <c r="AU1430" i="1"/>
  <c r="AV1430" i="1"/>
  <c r="AW1430" i="1"/>
  <c r="AX1430" i="1"/>
  <c r="AY1430" i="1"/>
  <c r="AZ1430" i="1"/>
  <c r="BA1430" i="1"/>
  <c r="BC1430" i="1"/>
  <c r="BD1430" i="1"/>
  <c r="BE1430" i="1"/>
  <c r="BF1430" i="1"/>
  <c r="BG1430" i="1"/>
  <c r="BH1430" i="1"/>
  <c r="BI1430" i="1"/>
  <c r="BJ1430" i="1"/>
  <c r="BM1430" i="1"/>
  <c r="CA1430" i="1"/>
  <c r="CN1430" i="1"/>
  <c r="CO1430" i="1"/>
  <c r="CP1430" i="1"/>
  <c r="CQ1430" i="1"/>
  <c r="G967" i="1"/>
  <c r="U967" i="1"/>
  <c r="W967" i="1"/>
  <c r="AE967" i="1"/>
  <c r="AK967" i="1"/>
  <c r="AQ967" i="1"/>
  <c r="AU967" i="1"/>
  <c r="AV967" i="1"/>
  <c r="AW967" i="1"/>
  <c r="AX967" i="1"/>
  <c r="AY967" i="1"/>
  <c r="AZ967" i="1"/>
  <c r="BA967" i="1"/>
  <c r="BC967" i="1"/>
  <c r="BD967" i="1"/>
  <c r="BE967" i="1"/>
  <c r="BF967" i="1"/>
  <c r="BG967" i="1"/>
  <c r="BH967" i="1"/>
  <c r="BI967" i="1"/>
  <c r="BJ967" i="1"/>
  <c r="BM967" i="1"/>
  <c r="CA967" i="1"/>
  <c r="CN967" i="1"/>
  <c r="CO967" i="1"/>
  <c r="CP967" i="1"/>
  <c r="CQ967" i="1"/>
  <c r="G428" i="1"/>
  <c r="U428" i="1"/>
  <c r="W428" i="1"/>
  <c r="AE428" i="1"/>
  <c r="AK428" i="1"/>
  <c r="AQ428" i="1"/>
  <c r="AU428" i="1"/>
  <c r="AV428" i="1"/>
  <c r="AW428" i="1"/>
  <c r="AX428" i="1"/>
  <c r="AY428" i="1"/>
  <c r="AZ428" i="1"/>
  <c r="BA428" i="1"/>
  <c r="BC428" i="1"/>
  <c r="BD428" i="1"/>
  <c r="BE428" i="1"/>
  <c r="BF428" i="1"/>
  <c r="BG428" i="1"/>
  <c r="BH428" i="1"/>
  <c r="BI428" i="1"/>
  <c r="BJ428" i="1"/>
  <c r="BM428" i="1"/>
  <c r="CA428" i="1"/>
  <c r="CN428" i="1"/>
  <c r="CO428" i="1"/>
  <c r="CP428" i="1"/>
  <c r="CQ428" i="1"/>
  <c r="G968" i="1"/>
  <c r="U968" i="1"/>
  <c r="W968" i="1"/>
  <c r="AE968" i="1"/>
  <c r="AK968" i="1"/>
  <c r="AQ968" i="1"/>
  <c r="AU968" i="1"/>
  <c r="AV968" i="1"/>
  <c r="AW968" i="1"/>
  <c r="AX968" i="1"/>
  <c r="AY968" i="1"/>
  <c r="AZ968" i="1"/>
  <c r="BA968" i="1"/>
  <c r="BC968" i="1"/>
  <c r="BD968" i="1"/>
  <c r="BE968" i="1"/>
  <c r="BF968" i="1"/>
  <c r="BG968" i="1"/>
  <c r="BH968" i="1"/>
  <c r="BI968" i="1"/>
  <c r="BJ968" i="1"/>
  <c r="BM968" i="1"/>
  <c r="CA968" i="1"/>
  <c r="CN968" i="1"/>
  <c r="CO968" i="1"/>
  <c r="CP968" i="1"/>
  <c r="CQ968" i="1"/>
  <c r="G969" i="1"/>
  <c r="U969" i="1"/>
  <c r="W969" i="1"/>
  <c r="AE969" i="1"/>
  <c r="AK969" i="1"/>
  <c r="AQ969" i="1"/>
  <c r="AU969" i="1"/>
  <c r="AV969" i="1"/>
  <c r="AW969" i="1"/>
  <c r="AX969" i="1"/>
  <c r="AY969" i="1"/>
  <c r="AZ969" i="1"/>
  <c r="BA969" i="1"/>
  <c r="BC969" i="1"/>
  <c r="BD969" i="1"/>
  <c r="BE969" i="1"/>
  <c r="BF969" i="1"/>
  <c r="BG969" i="1"/>
  <c r="BH969" i="1"/>
  <c r="BI969" i="1"/>
  <c r="BJ969" i="1"/>
  <c r="BM969" i="1"/>
  <c r="CA969" i="1"/>
  <c r="CN969" i="1"/>
  <c r="CO969" i="1"/>
  <c r="CP969" i="1"/>
  <c r="CQ969" i="1"/>
  <c r="G1431" i="1"/>
  <c r="U1431" i="1"/>
  <c r="W1431" i="1"/>
  <c r="AE1431" i="1"/>
  <c r="AK1431" i="1"/>
  <c r="AQ1431" i="1"/>
  <c r="AU1431" i="1"/>
  <c r="AV1431" i="1"/>
  <c r="AW1431" i="1"/>
  <c r="AX1431" i="1"/>
  <c r="AY1431" i="1"/>
  <c r="AZ1431" i="1"/>
  <c r="BA1431" i="1"/>
  <c r="BC1431" i="1"/>
  <c r="BD1431" i="1"/>
  <c r="BE1431" i="1"/>
  <c r="BF1431" i="1"/>
  <c r="BG1431" i="1"/>
  <c r="BH1431" i="1"/>
  <c r="BI1431" i="1"/>
  <c r="BJ1431" i="1"/>
  <c r="BM1431" i="1"/>
  <c r="CA1431" i="1"/>
  <c r="CN1431" i="1"/>
  <c r="CO1431" i="1"/>
  <c r="CP1431" i="1"/>
  <c r="CQ1431" i="1"/>
  <c r="G217" i="1"/>
  <c r="U217" i="1"/>
  <c r="W217" i="1"/>
  <c r="AE217" i="1"/>
  <c r="AK217" i="1"/>
  <c r="AQ217" i="1"/>
  <c r="AU217" i="1"/>
  <c r="AV217" i="1"/>
  <c r="AW217" i="1"/>
  <c r="AX217" i="1"/>
  <c r="AY217" i="1"/>
  <c r="AZ217" i="1"/>
  <c r="BA217" i="1"/>
  <c r="BC217" i="1"/>
  <c r="BD217" i="1"/>
  <c r="BE217" i="1"/>
  <c r="BF217" i="1"/>
  <c r="BG217" i="1"/>
  <c r="BH217" i="1"/>
  <c r="BI217" i="1"/>
  <c r="BJ217" i="1"/>
  <c r="BM217" i="1"/>
  <c r="CA217" i="1"/>
  <c r="CN217" i="1"/>
  <c r="CO217" i="1"/>
  <c r="CP217" i="1"/>
  <c r="CQ217" i="1"/>
  <c r="G970" i="1"/>
  <c r="U970" i="1"/>
  <c r="W970" i="1"/>
  <c r="AE970" i="1"/>
  <c r="AK970" i="1"/>
  <c r="AQ970" i="1"/>
  <c r="AU970" i="1"/>
  <c r="AV970" i="1"/>
  <c r="AW970" i="1"/>
  <c r="AX970" i="1"/>
  <c r="AY970" i="1"/>
  <c r="AZ970" i="1"/>
  <c r="BA970" i="1"/>
  <c r="BC970" i="1"/>
  <c r="BD970" i="1"/>
  <c r="BE970" i="1"/>
  <c r="BF970" i="1"/>
  <c r="BG970" i="1"/>
  <c r="BH970" i="1"/>
  <c r="BI970" i="1"/>
  <c r="BJ970" i="1"/>
  <c r="BM970" i="1"/>
  <c r="CA970" i="1"/>
  <c r="CN970" i="1"/>
  <c r="CO970" i="1"/>
  <c r="CP970" i="1"/>
  <c r="CQ970" i="1"/>
  <c r="G971" i="1"/>
  <c r="U971" i="1"/>
  <c r="W971" i="1"/>
  <c r="AE971" i="1"/>
  <c r="AK971" i="1"/>
  <c r="AQ971" i="1"/>
  <c r="AU971" i="1"/>
  <c r="AV971" i="1"/>
  <c r="AW971" i="1"/>
  <c r="AX971" i="1"/>
  <c r="AY971" i="1"/>
  <c r="AZ971" i="1"/>
  <c r="BA971" i="1"/>
  <c r="BC971" i="1"/>
  <c r="BD971" i="1"/>
  <c r="BE971" i="1"/>
  <c r="BF971" i="1"/>
  <c r="BG971" i="1"/>
  <c r="BH971" i="1"/>
  <c r="BI971" i="1"/>
  <c r="BJ971" i="1"/>
  <c r="BM971" i="1"/>
  <c r="CA971" i="1"/>
  <c r="CN971" i="1"/>
  <c r="CO971" i="1"/>
  <c r="CP971" i="1"/>
  <c r="CQ971" i="1"/>
  <c r="G972" i="1"/>
  <c r="U972" i="1"/>
  <c r="W972" i="1"/>
  <c r="AE972" i="1"/>
  <c r="AK972" i="1"/>
  <c r="AQ972" i="1"/>
  <c r="AU972" i="1"/>
  <c r="AV972" i="1"/>
  <c r="AW972" i="1"/>
  <c r="AX972" i="1"/>
  <c r="AY972" i="1"/>
  <c r="AZ972" i="1"/>
  <c r="BA972" i="1"/>
  <c r="BC972" i="1"/>
  <c r="BD972" i="1"/>
  <c r="BE972" i="1"/>
  <c r="BF972" i="1"/>
  <c r="BG972" i="1"/>
  <c r="BH972" i="1"/>
  <c r="BI972" i="1"/>
  <c r="BJ972" i="1"/>
  <c r="BM972" i="1"/>
  <c r="CA972" i="1"/>
  <c r="CN972" i="1"/>
  <c r="CO972" i="1"/>
  <c r="CP972" i="1"/>
  <c r="CQ972" i="1"/>
  <c r="G1590" i="1"/>
  <c r="U1590" i="1"/>
  <c r="W1590" i="1"/>
  <c r="AE1590" i="1"/>
  <c r="AK1590" i="1"/>
  <c r="AQ1590" i="1"/>
  <c r="AU1590" i="1"/>
  <c r="AV1590" i="1"/>
  <c r="AW1590" i="1"/>
  <c r="AX1590" i="1"/>
  <c r="AY1590" i="1"/>
  <c r="AZ1590" i="1"/>
  <c r="BA1590" i="1"/>
  <c r="BC1590" i="1"/>
  <c r="BD1590" i="1"/>
  <c r="BE1590" i="1"/>
  <c r="BF1590" i="1"/>
  <c r="BG1590" i="1"/>
  <c r="BH1590" i="1"/>
  <c r="BI1590" i="1"/>
  <c r="BJ1590" i="1"/>
  <c r="BM1590" i="1"/>
  <c r="CA1590" i="1"/>
  <c r="CN1590" i="1"/>
  <c r="CO1590" i="1"/>
  <c r="CP1590" i="1"/>
  <c r="CQ1590" i="1"/>
  <c r="G218" i="1"/>
  <c r="U218" i="1"/>
  <c r="W218" i="1"/>
  <c r="AE218" i="1"/>
  <c r="AK218" i="1"/>
  <c r="AQ218" i="1"/>
  <c r="AU218" i="1"/>
  <c r="AV218" i="1"/>
  <c r="AW218" i="1"/>
  <c r="AX218" i="1"/>
  <c r="AY218" i="1"/>
  <c r="AZ218" i="1"/>
  <c r="BA218" i="1"/>
  <c r="BC218" i="1"/>
  <c r="BD218" i="1"/>
  <c r="BE218" i="1"/>
  <c r="BF218" i="1"/>
  <c r="BG218" i="1"/>
  <c r="BH218" i="1"/>
  <c r="BI218" i="1"/>
  <c r="BJ218" i="1"/>
  <c r="BM218" i="1"/>
  <c r="CA218" i="1"/>
  <c r="CN218" i="1"/>
  <c r="CO218" i="1"/>
  <c r="CP218" i="1"/>
  <c r="CQ218" i="1"/>
  <c r="G219" i="1"/>
  <c r="U219" i="1"/>
  <c r="W219" i="1"/>
  <c r="AE219" i="1"/>
  <c r="AK219" i="1"/>
  <c r="AQ219" i="1"/>
  <c r="AU219" i="1"/>
  <c r="AV219" i="1"/>
  <c r="AW219" i="1"/>
  <c r="AX219" i="1"/>
  <c r="AY219" i="1"/>
  <c r="AZ219" i="1"/>
  <c r="BA219" i="1"/>
  <c r="BC219" i="1"/>
  <c r="BD219" i="1"/>
  <c r="BE219" i="1"/>
  <c r="BF219" i="1"/>
  <c r="BG219" i="1"/>
  <c r="BH219" i="1"/>
  <c r="BI219" i="1"/>
  <c r="BJ219" i="1"/>
  <c r="BM219" i="1"/>
  <c r="CA219" i="1"/>
  <c r="CN219" i="1"/>
  <c r="CO219" i="1"/>
  <c r="CP219" i="1"/>
  <c r="CQ219" i="1"/>
  <c r="G429" i="1"/>
  <c r="U429" i="1"/>
  <c r="W429" i="1"/>
  <c r="AE429" i="1"/>
  <c r="AK429" i="1"/>
  <c r="AQ429" i="1"/>
  <c r="AU429" i="1"/>
  <c r="AV429" i="1"/>
  <c r="AW429" i="1"/>
  <c r="AX429" i="1"/>
  <c r="AY429" i="1"/>
  <c r="AZ429" i="1"/>
  <c r="BA429" i="1"/>
  <c r="BC429" i="1"/>
  <c r="BD429" i="1"/>
  <c r="BE429" i="1"/>
  <c r="BF429" i="1"/>
  <c r="BG429" i="1"/>
  <c r="BH429" i="1"/>
  <c r="BI429" i="1"/>
  <c r="BJ429" i="1"/>
  <c r="BM429" i="1"/>
  <c r="CA429" i="1"/>
  <c r="CN429" i="1"/>
  <c r="CO429" i="1"/>
  <c r="CP429" i="1"/>
  <c r="CQ429" i="1"/>
  <c r="G973" i="1"/>
  <c r="U973" i="1"/>
  <c r="W973" i="1"/>
  <c r="AE973" i="1"/>
  <c r="AK973" i="1"/>
  <c r="AQ973" i="1"/>
  <c r="AU973" i="1"/>
  <c r="AV973" i="1"/>
  <c r="AW973" i="1"/>
  <c r="AX973" i="1"/>
  <c r="AY973" i="1"/>
  <c r="AZ973" i="1"/>
  <c r="BA973" i="1"/>
  <c r="BC973" i="1"/>
  <c r="BD973" i="1"/>
  <c r="BE973" i="1"/>
  <c r="BF973" i="1"/>
  <c r="BG973" i="1"/>
  <c r="BH973" i="1"/>
  <c r="BI973" i="1"/>
  <c r="BJ973" i="1"/>
  <c r="BM973" i="1"/>
  <c r="CA973" i="1"/>
  <c r="CN973" i="1"/>
  <c r="CO973" i="1"/>
  <c r="CP973" i="1"/>
  <c r="CQ973" i="1"/>
  <c r="G220" i="1"/>
  <c r="U220" i="1"/>
  <c r="W220" i="1"/>
  <c r="AE220" i="1"/>
  <c r="AK220" i="1"/>
  <c r="AQ220" i="1"/>
  <c r="AU220" i="1"/>
  <c r="AV220" i="1"/>
  <c r="AW220" i="1"/>
  <c r="AX220" i="1"/>
  <c r="AY220" i="1"/>
  <c r="AZ220" i="1"/>
  <c r="BA220" i="1"/>
  <c r="BC220" i="1"/>
  <c r="BD220" i="1"/>
  <c r="BE220" i="1"/>
  <c r="BF220" i="1"/>
  <c r="BG220" i="1"/>
  <c r="BH220" i="1"/>
  <c r="BI220" i="1"/>
  <c r="BJ220" i="1"/>
  <c r="BM220" i="1"/>
  <c r="CA220" i="1"/>
  <c r="CN220" i="1"/>
  <c r="CO220" i="1"/>
  <c r="CP220" i="1"/>
  <c r="CQ220" i="1"/>
  <c r="G221" i="1"/>
  <c r="U221" i="1"/>
  <c r="W221" i="1"/>
  <c r="AE221" i="1"/>
  <c r="AK221" i="1"/>
  <c r="AQ221" i="1"/>
  <c r="AU221" i="1"/>
  <c r="AV221" i="1"/>
  <c r="AW221" i="1"/>
  <c r="AX221" i="1"/>
  <c r="AY221" i="1"/>
  <c r="AZ221" i="1"/>
  <c r="BA221" i="1"/>
  <c r="BC221" i="1"/>
  <c r="BD221" i="1"/>
  <c r="BE221" i="1"/>
  <c r="BF221" i="1"/>
  <c r="BG221" i="1"/>
  <c r="BH221" i="1"/>
  <c r="BI221" i="1"/>
  <c r="BJ221" i="1"/>
  <c r="BM221" i="1"/>
  <c r="CA221" i="1"/>
  <c r="CN221" i="1"/>
  <c r="CO221" i="1"/>
  <c r="CP221" i="1"/>
  <c r="CQ221" i="1"/>
  <c r="G974" i="1"/>
  <c r="U974" i="1"/>
  <c r="W974" i="1"/>
  <c r="AE974" i="1"/>
  <c r="AK974" i="1"/>
  <c r="AQ974" i="1"/>
  <c r="AU974" i="1"/>
  <c r="AV974" i="1"/>
  <c r="AW974" i="1"/>
  <c r="AX974" i="1"/>
  <c r="AY974" i="1"/>
  <c r="AZ974" i="1"/>
  <c r="BA974" i="1"/>
  <c r="BC974" i="1"/>
  <c r="BD974" i="1"/>
  <c r="BE974" i="1"/>
  <c r="BF974" i="1"/>
  <c r="BG974" i="1"/>
  <c r="BH974" i="1"/>
  <c r="BI974" i="1"/>
  <c r="BJ974" i="1"/>
  <c r="BM974" i="1"/>
  <c r="CA974" i="1"/>
  <c r="CN974" i="1"/>
  <c r="CO974" i="1"/>
  <c r="CP974" i="1"/>
  <c r="CQ974" i="1"/>
  <c r="G1432" i="1"/>
  <c r="U1432" i="1"/>
  <c r="W1432" i="1"/>
  <c r="AE1432" i="1"/>
  <c r="AK1432" i="1"/>
  <c r="AQ1432" i="1"/>
  <c r="AU1432" i="1"/>
  <c r="AV1432" i="1"/>
  <c r="AW1432" i="1"/>
  <c r="AX1432" i="1"/>
  <c r="AY1432" i="1"/>
  <c r="AZ1432" i="1"/>
  <c r="BA1432" i="1"/>
  <c r="BC1432" i="1"/>
  <c r="BD1432" i="1"/>
  <c r="BE1432" i="1"/>
  <c r="BF1432" i="1"/>
  <c r="BG1432" i="1"/>
  <c r="BH1432" i="1"/>
  <c r="BI1432" i="1"/>
  <c r="BJ1432" i="1"/>
  <c r="BM1432" i="1"/>
  <c r="CA1432" i="1"/>
  <c r="CN1432" i="1"/>
  <c r="CO1432" i="1"/>
  <c r="CP1432" i="1"/>
  <c r="CQ1432" i="1"/>
  <c r="G975" i="1"/>
  <c r="U975" i="1"/>
  <c r="W975" i="1"/>
  <c r="AE975" i="1"/>
  <c r="AK975" i="1"/>
  <c r="AQ975" i="1"/>
  <c r="AU975" i="1"/>
  <c r="AV975" i="1"/>
  <c r="AW975" i="1"/>
  <c r="AX975" i="1"/>
  <c r="AY975" i="1"/>
  <c r="AZ975" i="1"/>
  <c r="BA975" i="1"/>
  <c r="BC975" i="1"/>
  <c r="BD975" i="1"/>
  <c r="BE975" i="1"/>
  <c r="BF975" i="1"/>
  <c r="BG975" i="1"/>
  <c r="BH975" i="1"/>
  <c r="BI975" i="1"/>
  <c r="BJ975" i="1"/>
  <c r="BM975" i="1"/>
  <c r="CA975" i="1"/>
  <c r="CN975" i="1"/>
  <c r="CO975" i="1"/>
  <c r="CP975" i="1"/>
  <c r="CQ975" i="1"/>
  <c r="G222" i="1"/>
  <c r="U222" i="1"/>
  <c r="W222" i="1"/>
  <c r="AE222" i="1"/>
  <c r="AK222" i="1"/>
  <c r="AQ222" i="1"/>
  <c r="AU222" i="1"/>
  <c r="AV222" i="1"/>
  <c r="AW222" i="1"/>
  <c r="AX222" i="1"/>
  <c r="AY222" i="1"/>
  <c r="AZ222" i="1"/>
  <c r="BA222" i="1"/>
  <c r="BC222" i="1"/>
  <c r="BD222" i="1"/>
  <c r="BE222" i="1"/>
  <c r="BF222" i="1"/>
  <c r="BG222" i="1"/>
  <c r="BH222" i="1"/>
  <c r="BI222" i="1"/>
  <c r="BJ222" i="1"/>
  <c r="BM222" i="1"/>
  <c r="CA222" i="1"/>
  <c r="CN222" i="1"/>
  <c r="CO222" i="1"/>
  <c r="CP222" i="1"/>
  <c r="CQ222" i="1"/>
  <c r="G430" i="1"/>
  <c r="U430" i="1"/>
  <c r="W430" i="1"/>
  <c r="AE430" i="1"/>
  <c r="AK430" i="1"/>
  <c r="AQ430" i="1"/>
  <c r="AU430" i="1"/>
  <c r="AV430" i="1"/>
  <c r="AW430" i="1"/>
  <c r="AX430" i="1"/>
  <c r="AY430" i="1"/>
  <c r="AZ430" i="1"/>
  <c r="BA430" i="1"/>
  <c r="BC430" i="1"/>
  <c r="BD430" i="1"/>
  <c r="BE430" i="1"/>
  <c r="BF430" i="1"/>
  <c r="BG430" i="1"/>
  <c r="BH430" i="1"/>
  <c r="BI430" i="1"/>
  <c r="BJ430" i="1"/>
  <c r="BM430" i="1"/>
  <c r="CA430" i="1"/>
  <c r="CN430" i="1"/>
  <c r="CO430" i="1"/>
  <c r="CP430" i="1"/>
  <c r="CQ430" i="1"/>
  <c r="G1433" i="1"/>
  <c r="U1433" i="1"/>
  <c r="W1433" i="1"/>
  <c r="AE1433" i="1"/>
  <c r="AK1433" i="1"/>
  <c r="AQ1433" i="1"/>
  <c r="AU1433" i="1"/>
  <c r="AV1433" i="1"/>
  <c r="AW1433" i="1"/>
  <c r="AX1433" i="1"/>
  <c r="AY1433" i="1"/>
  <c r="AZ1433" i="1"/>
  <c r="BA1433" i="1"/>
  <c r="BC1433" i="1"/>
  <c r="BD1433" i="1"/>
  <c r="BE1433" i="1"/>
  <c r="BF1433" i="1"/>
  <c r="BG1433" i="1"/>
  <c r="BH1433" i="1"/>
  <c r="BI1433" i="1"/>
  <c r="BJ1433" i="1"/>
  <c r="BM1433" i="1"/>
  <c r="CA1433" i="1"/>
  <c r="CN1433" i="1"/>
  <c r="CO1433" i="1"/>
  <c r="CP1433" i="1"/>
  <c r="CQ1433" i="1"/>
  <c r="G976" i="1"/>
  <c r="U976" i="1"/>
  <c r="W976" i="1"/>
  <c r="AE976" i="1"/>
  <c r="AK976" i="1"/>
  <c r="AQ976" i="1"/>
  <c r="AU976" i="1"/>
  <c r="AV976" i="1"/>
  <c r="AW976" i="1"/>
  <c r="AX976" i="1"/>
  <c r="AY976" i="1"/>
  <c r="AZ976" i="1"/>
  <c r="BA976" i="1"/>
  <c r="BC976" i="1"/>
  <c r="BD976" i="1"/>
  <c r="BE976" i="1"/>
  <c r="BF976" i="1"/>
  <c r="BG976" i="1"/>
  <c r="BH976" i="1"/>
  <c r="BI976" i="1"/>
  <c r="BJ976" i="1"/>
  <c r="BM976" i="1"/>
  <c r="CA976" i="1"/>
  <c r="CN976" i="1"/>
  <c r="CO976" i="1"/>
  <c r="CP976" i="1"/>
  <c r="CQ976" i="1"/>
  <c r="G1434" i="1"/>
  <c r="U1434" i="1"/>
  <c r="W1434" i="1"/>
  <c r="AE1434" i="1"/>
  <c r="AK1434" i="1"/>
  <c r="AQ1434" i="1"/>
  <c r="AU1434" i="1"/>
  <c r="AV1434" i="1"/>
  <c r="AW1434" i="1"/>
  <c r="AX1434" i="1"/>
  <c r="AY1434" i="1"/>
  <c r="AZ1434" i="1"/>
  <c r="BA1434" i="1"/>
  <c r="BC1434" i="1"/>
  <c r="BD1434" i="1"/>
  <c r="BE1434" i="1"/>
  <c r="BF1434" i="1"/>
  <c r="BG1434" i="1"/>
  <c r="BH1434" i="1"/>
  <c r="BI1434" i="1"/>
  <c r="BJ1434" i="1"/>
  <c r="BM1434" i="1"/>
  <c r="CA1434" i="1"/>
  <c r="CN1434" i="1"/>
  <c r="CO1434" i="1"/>
  <c r="CP1434" i="1"/>
  <c r="CQ1434" i="1"/>
  <c r="G977" i="1"/>
  <c r="U977" i="1"/>
  <c r="W977" i="1"/>
  <c r="AE977" i="1"/>
  <c r="AK977" i="1"/>
  <c r="AQ977" i="1"/>
  <c r="AU977" i="1"/>
  <c r="AV977" i="1"/>
  <c r="AW977" i="1"/>
  <c r="AX977" i="1"/>
  <c r="AY977" i="1"/>
  <c r="AZ977" i="1"/>
  <c r="BA977" i="1"/>
  <c r="BC977" i="1"/>
  <c r="BD977" i="1"/>
  <c r="BE977" i="1"/>
  <c r="BF977" i="1"/>
  <c r="BG977" i="1"/>
  <c r="BH977" i="1"/>
  <c r="BI977" i="1"/>
  <c r="BJ977" i="1"/>
  <c r="BM977" i="1"/>
  <c r="CA977" i="1"/>
  <c r="CN977" i="1"/>
  <c r="CO977" i="1"/>
  <c r="CP977" i="1"/>
  <c r="CQ977" i="1"/>
  <c r="G978" i="1"/>
  <c r="U978" i="1"/>
  <c r="W978" i="1"/>
  <c r="AE978" i="1"/>
  <c r="AK978" i="1"/>
  <c r="AQ978" i="1"/>
  <c r="AU978" i="1"/>
  <c r="AV978" i="1"/>
  <c r="AW978" i="1"/>
  <c r="AX978" i="1"/>
  <c r="AY978" i="1"/>
  <c r="AZ978" i="1"/>
  <c r="BA978" i="1"/>
  <c r="BC978" i="1"/>
  <c r="BD978" i="1"/>
  <c r="BE978" i="1"/>
  <c r="BF978" i="1"/>
  <c r="BG978" i="1"/>
  <c r="BH978" i="1"/>
  <c r="BI978" i="1"/>
  <c r="BJ978" i="1"/>
  <c r="BM978" i="1"/>
  <c r="CA978" i="1"/>
  <c r="CN978" i="1"/>
  <c r="CO978" i="1"/>
  <c r="CP978" i="1"/>
  <c r="CQ978" i="1"/>
  <c r="G979" i="1"/>
  <c r="U979" i="1"/>
  <c r="W979" i="1"/>
  <c r="AE979" i="1"/>
  <c r="AK979" i="1"/>
  <c r="AQ979" i="1"/>
  <c r="AU979" i="1"/>
  <c r="AV979" i="1"/>
  <c r="AW979" i="1"/>
  <c r="AX979" i="1"/>
  <c r="AY979" i="1"/>
  <c r="AZ979" i="1"/>
  <c r="BA979" i="1"/>
  <c r="BC979" i="1"/>
  <c r="BD979" i="1"/>
  <c r="BE979" i="1"/>
  <c r="BF979" i="1"/>
  <c r="BG979" i="1"/>
  <c r="BH979" i="1"/>
  <c r="BI979" i="1"/>
  <c r="BJ979" i="1"/>
  <c r="BM979" i="1"/>
  <c r="CA979" i="1"/>
  <c r="CN979" i="1"/>
  <c r="CO979" i="1"/>
  <c r="CP979" i="1"/>
  <c r="CQ979" i="1"/>
  <c r="G980" i="1"/>
  <c r="U980" i="1"/>
  <c r="W980" i="1"/>
  <c r="AE980" i="1"/>
  <c r="AK980" i="1"/>
  <c r="AQ980" i="1"/>
  <c r="AU980" i="1"/>
  <c r="AV980" i="1"/>
  <c r="AW980" i="1"/>
  <c r="AX980" i="1"/>
  <c r="AY980" i="1"/>
  <c r="AZ980" i="1"/>
  <c r="BA980" i="1"/>
  <c r="BC980" i="1"/>
  <c r="BD980" i="1"/>
  <c r="BE980" i="1"/>
  <c r="BF980" i="1"/>
  <c r="BG980" i="1"/>
  <c r="BH980" i="1"/>
  <c r="BI980" i="1"/>
  <c r="BJ980" i="1"/>
  <c r="BM980" i="1"/>
  <c r="CA980" i="1"/>
  <c r="CN980" i="1"/>
  <c r="CO980" i="1"/>
  <c r="CP980" i="1"/>
  <c r="CQ980" i="1"/>
  <c r="G981" i="1"/>
  <c r="U981" i="1"/>
  <c r="W981" i="1"/>
  <c r="AE981" i="1"/>
  <c r="AK981" i="1"/>
  <c r="AQ981" i="1"/>
  <c r="AU981" i="1"/>
  <c r="AV981" i="1"/>
  <c r="AW981" i="1"/>
  <c r="AX981" i="1"/>
  <c r="AY981" i="1"/>
  <c r="AZ981" i="1"/>
  <c r="BA981" i="1"/>
  <c r="BC981" i="1"/>
  <c r="BD981" i="1"/>
  <c r="BE981" i="1"/>
  <c r="BF981" i="1"/>
  <c r="BG981" i="1"/>
  <c r="BH981" i="1"/>
  <c r="BI981" i="1"/>
  <c r="BJ981" i="1"/>
  <c r="BM981" i="1"/>
  <c r="CA981" i="1"/>
  <c r="CN981" i="1"/>
  <c r="CO981" i="1"/>
  <c r="CP981" i="1"/>
  <c r="CQ981" i="1"/>
  <c r="G1435" i="1"/>
  <c r="U1435" i="1"/>
  <c r="W1435" i="1"/>
  <c r="AE1435" i="1"/>
  <c r="AK1435" i="1"/>
  <c r="AQ1435" i="1"/>
  <c r="AU1435" i="1"/>
  <c r="AV1435" i="1"/>
  <c r="AW1435" i="1"/>
  <c r="AX1435" i="1"/>
  <c r="AY1435" i="1"/>
  <c r="AZ1435" i="1"/>
  <c r="BA1435" i="1"/>
  <c r="BC1435" i="1"/>
  <c r="BD1435" i="1"/>
  <c r="BE1435" i="1"/>
  <c r="BF1435" i="1"/>
  <c r="BG1435" i="1"/>
  <c r="BH1435" i="1"/>
  <c r="BI1435" i="1"/>
  <c r="BJ1435" i="1"/>
  <c r="BM1435" i="1"/>
  <c r="CA1435" i="1"/>
  <c r="CN1435" i="1"/>
  <c r="CO1435" i="1"/>
  <c r="CP1435" i="1"/>
  <c r="CQ1435" i="1"/>
  <c r="G982" i="1"/>
  <c r="U982" i="1"/>
  <c r="W982" i="1"/>
  <c r="AE982" i="1"/>
  <c r="AK982" i="1"/>
  <c r="AQ982" i="1"/>
  <c r="AU982" i="1"/>
  <c r="AV982" i="1"/>
  <c r="AW982" i="1"/>
  <c r="AX982" i="1"/>
  <c r="AY982" i="1"/>
  <c r="AZ982" i="1"/>
  <c r="BA982" i="1"/>
  <c r="BC982" i="1"/>
  <c r="BD982" i="1"/>
  <c r="BE982" i="1"/>
  <c r="BF982" i="1"/>
  <c r="BG982" i="1"/>
  <c r="BH982" i="1"/>
  <c r="BI982" i="1"/>
  <c r="BJ982" i="1"/>
  <c r="BM982" i="1"/>
  <c r="CA982" i="1"/>
  <c r="CN982" i="1"/>
  <c r="CO982" i="1"/>
  <c r="CP982" i="1"/>
  <c r="CQ982" i="1"/>
  <c r="G431" i="1"/>
  <c r="U431" i="1"/>
  <c r="W431" i="1"/>
  <c r="AE431" i="1"/>
  <c r="AK431" i="1"/>
  <c r="AQ431" i="1"/>
  <c r="AU431" i="1"/>
  <c r="AV431" i="1"/>
  <c r="AW431" i="1"/>
  <c r="AX431" i="1"/>
  <c r="AY431" i="1"/>
  <c r="AZ431" i="1"/>
  <c r="BA431" i="1"/>
  <c r="BC431" i="1"/>
  <c r="BD431" i="1"/>
  <c r="BE431" i="1"/>
  <c r="BF431" i="1"/>
  <c r="BG431" i="1"/>
  <c r="BH431" i="1"/>
  <c r="BI431" i="1"/>
  <c r="BJ431" i="1"/>
  <c r="BM431" i="1"/>
  <c r="CA431" i="1"/>
  <c r="CN431" i="1"/>
  <c r="CO431" i="1"/>
  <c r="CP431" i="1"/>
  <c r="CQ431" i="1"/>
  <c r="G1436" i="1"/>
  <c r="U1436" i="1"/>
  <c r="W1436" i="1"/>
  <c r="AE1436" i="1"/>
  <c r="AK1436" i="1"/>
  <c r="AQ1436" i="1"/>
  <c r="AU1436" i="1"/>
  <c r="AV1436" i="1"/>
  <c r="AW1436" i="1"/>
  <c r="AX1436" i="1"/>
  <c r="AY1436" i="1"/>
  <c r="AZ1436" i="1"/>
  <c r="BA1436" i="1"/>
  <c r="BC1436" i="1"/>
  <c r="BD1436" i="1"/>
  <c r="BE1436" i="1"/>
  <c r="BF1436" i="1"/>
  <c r="BG1436" i="1"/>
  <c r="BH1436" i="1"/>
  <c r="BI1436" i="1"/>
  <c r="BJ1436" i="1"/>
  <c r="BM1436" i="1"/>
  <c r="CA1436" i="1"/>
  <c r="CN1436" i="1"/>
  <c r="CO1436" i="1"/>
  <c r="CP1436" i="1"/>
  <c r="CQ1436" i="1"/>
  <c r="G223" i="1"/>
  <c r="U223" i="1"/>
  <c r="W223" i="1"/>
  <c r="AE223" i="1"/>
  <c r="AK223" i="1"/>
  <c r="AQ223" i="1"/>
  <c r="AU223" i="1"/>
  <c r="AV223" i="1"/>
  <c r="AW223" i="1"/>
  <c r="AX223" i="1"/>
  <c r="AY223" i="1"/>
  <c r="AZ223" i="1"/>
  <c r="BA223" i="1"/>
  <c r="BC223" i="1"/>
  <c r="BD223" i="1"/>
  <c r="BE223" i="1"/>
  <c r="BF223" i="1"/>
  <c r="BG223" i="1"/>
  <c r="BH223" i="1"/>
  <c r="BI223" i="1"/>
  <c r="BJ223" i="1"/>
  <c r="BM223" i="1"/>
  <c r="CA223" i="1"/>
  <c r="CN223" i="1"/>
  <c r="CO223" i="1"/>
  <c r="CP223" i="1"/>
  <c r="CQ223" i="1"/>
  <c r="G983" i="1"/>
  <c r="U983" i="1"/>
  <c r="W983" i="1"/>
  <c r="AE983" i="1"/>
  <c r="AK983" i="1"/>
  <c r="AQ983" i="1"/>
  <c r="AU983" i="1"/>
  <c r="AV983" i="1"/>
  <c r="AW983" i="1"/>
  <c r="AX983" i="1"/>
  <c r="AY983" i="1"/>
  <c r="AZ983" i="1"/>
  <c r="BA983" i="1"/>
  <c r="BC983" i="1"/>
  <c r="BD983" i="1"/>
  <c r="BE983" i="1"/>
  <c r="BF983" i="1"/>
  <c r="BG983" i="1"/>
  <c r="BH983" i="1"/>
  <c r="BI983" i="1"/>
  <c r="BJ983" i="1"/>
  <c r="BM983" i="1"/>
  <c r="CA983" i="1"/>
  <c r="CN983" i="1"/>
  <c r="CO983" i="1"/>
  <c r="CP983" i="1"/>
  <c r="CQ983" i="1"/>
  <c r="G224" i="1"/>
  <c r="U224" i="1"/>
  <c r="W224" i="1"/>
  <c r="AE224" i="1"/>
  <c r="AK224" i="1"/>
  <c r="AQ224" i="1"/>
  <c r="AU224" i="1"/>
  <c r="AV224" i="1"/>
  <c r="AW224" i="1"/>
  <c r="AX224" i="1"/>
  <c r="AY224" i="1"/>
  <c r="AZ224" i="1"/>
  <c r="BA224" i="1"/>
  <c r="BC224" i="1"/>
  <c r="BD224" i="1"/>
  <c r="BE224" i="1"/>
  <c r="BF224" i="1"/>
  <c r="BG224" i="1"/>
  <c r="BH224" i="1"/>
  <c r="BI224" i="1"/>
  <c r="BJ224" i="1"/>
  <c r="BM224" i="1"/>
  <c r="CA224" i="1"/>
  <c r="CN224" i="1"/>
  <c r="CO224" i="1"/>
  <c r="CP224" i="1"/>
  <c r="CQ224" i="1"/>
  <c r="G984" i="1"/>
  <c r="U984" i="1"/>
  <c r="W984" i="1"/>
  <c r="AE984" i="1"/>
  <c r="AK984" i="1"/>
  <c r="AQ984" i="1"/>
  <c r="AU984" i="1"/>
  <c r="AV984" i="1"/>
  <c r="AW984" i="1"/>
  <c r="AX984" i="1"/>
  <c r="AY984" i="1"/>
  <c r="AZ984" i="1"/>
  <c r="BA984" i="1"/>
  <c r="BC984" i="1"/>
  <c r="BD984" i="1"/>
  <c r="BE984" i="1"/>
  <c r="BF984" i="1"/>
  <c r="BG984" i="1"/>
  <c r="BH984" i="1"/>
  <c r="BI984" i="1"/>
  <c r="BJ984" i="1"/>
  <c r="BM984" i="1"/>
  <c r="CA984" i="1"/>
  <c r="CN984" i="1"/>
  <c r="CO984" i="1"/>
  <c r="CP984" i="1"/>
  <c r="CQ984" i="1"/>
  <c r="G225" i="1"/>
  <c r="U225" i="1"/>
  <c r="W225" i="1"/>
  <c r="AE225" i="1"/>
  <c r="AK225" i="1"/>
  <c r="AQ225" i="1"/>
  <c r="AU225" i="1"/>
  <c r="AV225" i="1"/>
  <c r="AW225" i="1"/>
  <c r="AX225" i="1"/>
  <c r="AY225" i="1"/>
  <c r="AZ225" i="1"/>
  <c r="BA225" i="1"/>
  <c r="BC225" i="1"/>
  <c r="BD225" i="1"/>
  <c r="BE225" i="1"/>
  <c r="BF225" i="1"/>
  <c r="BG225" i="1"/>
  <c r="BH225" i="1"/>
  <c r="BI225" i="1"/>
  <c r="BJ225" i="1"/>
  <c r="BM225" i="1"/>
  <c r="CA225" i="1"/>
  <c r="CN225" i="1"/>
  <c r="CO225" i="1"/>
  <c r="CP225" i="1"/>
  <c r="CQ225" i="1"/>
  <c r="G1591" i="1"/>
  <c r="U1591" i="1"/>
  <c r="W1591" i="1"/>
  <c r="AE1591" i="1"/>
  <c r="AK1591" i="1"/>
  <c r="AQ1591" i="1"/>
  <c r="AU1591" i="1"/>
  <c r="AV1591" i="1"/>
  <c r="AW1591" i="1"/>
  <c r="AX1591" i="1"/>
  <c r="AY1591" i="1"/>
  <c r="AZ1591" i="1"/>
  <c r="BA1591" i="1"/>
  <c r="BC1591" i="1"/>
  <c r="BD1591" i="1"/>
  <c r="BE1591" i="1"/>
  <c r="BF1591" i="1"/>
  <c r="BG1591" i="1"/>
  <c r="BH1591" i="1"/>
  <c r="BI1591" i="1"/>
  <c r="BJ1591" i="1"/>
  <c r="BM1591" i="1"/>
  <c r="CA1591" i="1"/>
  <c r="CN1591" i="1"/>
  <c r="CO1591" i="1"/>
  <c r="CP1591" i="1"/>
  <c r="CQ1591" i="1"/>
  <c r="G985" i="1"/>
  <c r="U985" i="1"/>
  <c r="W985" i="1"/>
  <c r="AE985" i="1"/>
  <c r="AK985" i="1"/>
  <c r="AQ985" i="1"/>
  <c r="AU985" i="1"/>
  <c r="AV985" i="1"/>
  <c r="AW985" i="1"/>
  <c r="AX985" i="1"/>
  <c r="AY985" i="1"/>
  <c r="AZ985" i="1"/>
  <c r="BA985" i="1"/>
  <c r="BC985" i="1"/>
  <c r="BD985" i="1"/>
  <c r="BE985" i="1"/>
  <c r="BF985" i="1"/>
  <c r="BG985" i="1"/>
  <c r="BH985" i="1"/>
  <c r="BI985" i="1"/>
  <c r="BJ985" i="1"/>
  <c r="BM985" i="1"/>
  <c r="CA985" i="1"/>
  <c r="CN985" i="1"/>
  <c r="CO985" i="1"/>
  <c r="CP985" i="1"/>
  <c r="CQ985" i="1"/>
  <c r="G986" i="1"/>
  <c r="U986" i="1"/>
  <c r="W986" i="1"/>
  <c r="AE986" i="1"/>
  <c r="AK986" i="1"/>
  <c r="AQ986" i="1"/>
  <c r="AU986" i="1"/>
  <c r="AV986" i="1"/>
  <c r="AW986" i="1"/>
  <c r="AX986" i="1"/>
  <c r="AY986" i="1"/>
  <c r="AZ986" i="1"/>
  <c r="BA986" i="1"/>
  <c r="BC986" i="1"/>
  <c r="BD986" i="1"/>
  <c r="BE986" i="1"/>
  <c r="BF986" i="1"/>
  <c r="BG986" i="1"/>
  <c r="BH986" i="1"/>
  <c r="BI986" i="1"/>
  <c r="BJ986" i="1"/>
  <c r="BM986" i="1"/>
  <c r="CA986" i="1"/>
  <c r="CN986" i="1"/>
  <c r="CO986" i="1"/>
  <c r="CP986" i="1"/>
  <c r="CQ986" i="1"/>
  <c r="G432" i="1"/>
  <c r="U432" i="1"/>
  <c r="W432" i="1"/>
  <c r="AE432" i="1"/>
  <c r="AK432" i="1"/>
  <c r="AQ432" i="1"/>
  <c r="AU432" i="1"/>
  <c r="AV432" i="1"/>
  <c r="AW432" i="1"/>
  <c r="AX432" i="1"/>
  <c r="AY432" i="1"/>
  <c r="AZ432" i="1"/>
  <c r="BA432" i="1"/>
  <c r="BC432" i="1"/>
  <c r="BD432" i="1"/>
  <c r="BE432" i="1"/>
  <c r="BF432" i="1"/>
  <c r="BG432" i="1"/>
  <c r="BH432" i="1"/>
  <c r="BI432" i="1"/>
  <c r="BJ432" i="1"/>
  <c r="BM432" i="1"/>
  <c r="CA432" i="1"/>
  <c r="CN432" i="1"/>
  <c r="CO432" i="1"/>
  <c r="CP432" i="1"/>
  <c r="CQ432" i="1"/>
  <c r="G987" i="1"/>
  <c r="U987" i="1"/>
  <c r="W987" i="1"/>
  <c r="AE987" i="1"/>
  <c r="AK987" i="1"/>
  <c r="AQ987" i="1"/>
  <c r="AU987" i="1"/>
  <c r="AV987" i="1"/>
  <c r="AW987" i="1"/>
  <c r="AX987" i="1"/>
  <c r="AY987" i="1"/>
  <c r="AZ987" i="1"/>
  <c r="BA987" i="1"/>
  <c r="BC987" i="1"/>
  <c r="BD987" i="1"/>
  <c r="BE987" i="1"/>
  <c r="BF987" i="1"/>
  <c r="BG987" i="1"/>
  <c r="BH987" i="1"/>
  <c r="BI987" i="1"/>
  <c r="BJ987" i="1"/>
  <c r="BM987" i="1"/>
  <c r="CA987" i="1"/>
  <c r="CN987" i="1"/>
  <c r="CO987" i="1"/>
  <c r="CP987" i="1"/>
  <c r="CQ987" i="1"/>
  <c r="G988" i="1"/>
  <c r="U988" i="1"/>
  <c r="W988" i="1"/>
  <c r="AE988" i="1"/>
  <c r="AK988" i="1"/>
  <c r="AQ988" i="1"/>
  <c r="AU988" i="1"/>
  <c r="AV988" i="1"/>
  <c r="AW988" i="1"/>
  <c r="AX988" i="1"/>
  <c r="AY988" i="1"/>
  <c r="AZ988" i="1"/>
  <c r="BA988" i="1"/>
  <c r="BC988" i="1"/>
  <c r="BD988" i="1"/>
  <c r="BE988" i="1"/>
  <c r="BF988" i="1"/>
  <c r="BG988" i="1"/>
  <c r="BH988" i="1"/>
  <c r="BI988" i="1"/>
  <c r="BJ988" i="1"/>
  <c r="BM988" i="1"/>
  <c r="CA988" i="1"/>
  <c r="CN988" i="1"/>
  <c r="CO988" i="1"/>
  <c r="CP988" i="1"/>
  <c r="CQ988" i="1"/>
  <c r="G1437" i="1"/>
  <c r="U1437" i="1"/>
  <c r="W1437" i="1"/>
  <c r="AE1437" i="1"/>
  <c r="AK1437" i="1"/>
  <c r="AQ1437" i="1"/>
  <c r="AU1437" i="1"/>
  <c r="AV1437" i="1"/>
  <c r="AW1437" i="1"/>
  <c r="AX1437" i="1"/>
  <c r="AY1437" i="1"/>
  <c r="AZ1437" i="1"/>
  <c r="BA1437" i="1"/>
  <c r="BC1437" i="1"/>
  <c r="BD1437" i="1"/>
  <c r="BE1437" i="1"/>
  <c r="BF1437" i="1"/>
  <c r="BG1437" i="1"/>
  <c r="BH1437" i="1"/>
  <c r="BI1437" i="1"/>
  <c r="BJ1437" i="1"/>
  <c r="BM1437" i="1"/>
  <c r="CA1437" i="1"/>
  <c r="CN1437" i="1"/>
  <c r="CO1437" i="1"/>
  <c r="CP1437" i="1"/>
  <c r="CQ1437" i="1"/>
  <c r="G1592" i="1"/>
  <c r="U1592" i="1"/>
  <c r="W1592" i="1"/>
  <c r="AE1592" i="1"/>
  <c r="AK1592" i="1"/>
  <c r="AQ1592" i="1"/>
  <c r="AU1592" i="1"/>
  <c r="AV1592" i="1"/>
  <c r="AW1592" i="1"/>
  <c r="AX1592" i="1"/>
  <c r="AY1592" i="1"/>
  <c r="AZ1592" i="1"/>
  <c r="BA1592" i="1"/>
  <c r="BC1592" i="1"/>
  <c r="BD1592" i="1"/>
  <c r="BE1592" i="1"/>
  <c r="BF1592" i="1"/>
  <c r="BG1592" i="1"/>
  <c r="BH1592" i="1"/>
  <c r="BI1592" i="1"/>
  <c r="BJ1592" i="1"/>
  <c r="BM1592" i="1"/>
  <c r="CA1592" i="1"/>
  <c r="CN1592" i="1"/>
  <c r="CO1592" i="1"/>
  <c r="CP1592" i="1"/>
  <c r="CQ1592" i="1"/>
  <c r="G1438" i="1"/>
  <c r="U1438" i="1"/>
  <c r="W1438" i="1"/>
  <c r="AE1438" i="1"/>
  <c r="AK1438" i="1"/>
  <c r="AQ1438" i="1"/>
  <c r="AU1438" i="1"/>
  <c r="AV1438" i="1"/>
  <c r="AW1438" i="1"/>
  <c r="AX1438" i="1"/>
  <c r="AY1438" i="1"/>
  <c r="AZ1438" i="1"/>
  <c r="BA1438" i="1"/>
  <c r="BC1438" i="1"/>
  <c r="BD1438" i="1"/>
  <c r="BE1438" i="1"/>
  <c r="BF1438" i="1"/>
  <c r="BG1438" i="1"/>
  <c r="BH1438" i="1"/>
  <c r="BI1438" i="1"/>
  <c r="BJ1438" i="1"/>
  <c r="BM1438" i="1"/>
  <c r="CA1438" i="1"/>
  <c r="CN1438" i="1"/>
  <c r="CO1438" i="1"/>
  <c r="CP1438" i="1"/>
  <c r="CQ1438" i="1"/>
  <c r="G433" i="1"/>
  <c r="U433" i="1"/>
  <c r="W433" i="1"/>
  <c r="AE433" i="1"/>
  <c r="AK433" i="1"/>
  <c r="AQ433" i="1"/>
  <c r="AU433" i="1"/>
  <c r="AV433" i="1"/>
  <c r="AW433" i="1"/>
  <c r="AX433" i="1"/>
  <c r="AY433" i="1"/>
  <c r="AZ433" i="1"/>
  <c r="BA433" i="1"/>
  <c r="BC433" i="1"/>
  <c r="BD433" i="1"/>
  <c r="BE433" i="1"/>
  <c r="BF433" i="1"/>
  <c r="BG433" i="1"/>
  <c r="BH433" i="1"/>
  <c r="BI433" i="1"/>
  <c r="BJ433" i="1"/>
  <c r="BM433" i="1"/>
  <c r="CA433" i="1"/>
  <c r="CN433" i="1"/>
  <c r="CO433" i="1"/>
  <c r="CP433" i="1"/>
  <c r="CQ433" i="1"/>
  <c r="G1619" i="1"/>
  <c r="U1619" i="1"/>
  <c r="W1619" i="1"/>
  <c r="AE1619" i="1"/>
  <c r="AK1619" i="1"/>
  <c r="AQ1619" i="1"/>
  <c r="AU1619" i="1"/>
  <c r="AV1619" i="1"/>
  <c r="AW1619" i="1"/>
  <c r="AX1619" i="1"/>
  <c r="AY1619" i="1"/>
  <c r="AZ1619" i="1"/>
  <c r="BA1619" i="1"/>
  <c r="BC1619" i="1"/>
  <c r="BD1619" i="1"/>
  <c r="BE1619" i="1"/>
  <c r="BF1619" i="1"/>
  <c r="BG1619" i="1"/>
  <c r="BH1619" i="1"/>
  <c r="BI1619" i="1"/>
  <c r="BJ1619" i="1"/>
  <c r="BM1619" i="1"/>
  <c r="CA1619" i="1"/>
  <c r="CN1619" i="1"/>
  <c r="CO1619" i="1"/>
  <c r="CP1619" i="1"/>
  <c r="CQ1619" i="1"/>
  <c r="G226" i="1"/>
  <c r="U226" i="1"/>
  <c r="W226" i="1"/>
  <c r="AE226" i="1"/>
  <c r="AK226" i="1"/>
  <c r="AQ226" i="1"/>
  <c r="AU226" i="1"/>
  <c r="AV226" i="1"/>
  <c r="AW226" i="1"/>
  <c r="AX226" i="1"/>
  <c r="AY226" i="1"/>
  <c r="AZ226" i="1"/>
  <c r="BA226" i="1"/>
  <c r="BC226" i="1"/>
  <c r="BD226" i="1"/>
  <c r="BE226" i="1"/>
  <c r="BF226" i="1"/>
  <c r="BG226" i="1"/>
  <c r="BH226" i="1"/>
  <c r="BI226" i="1"/>
  <c r="BJ226" i="1"/>
  <c r="BM226" i="1"/>
  <c r="CA226" i="1"/>
  <c r="CN226" i="1"/>
  <c r="CO226" i="1"/>
  <c r="CP226" i="1"/>
  <c r="CQ226" i="1"/>
  <c r="G1439" i="1"/>
  <c r="U1439" i="1"/>
  <c r="W1439" i="1"/>
  <c r="AE1439" i="1"/>
  <c r="AK1439" i="1"/>
  <c r="AQ1439" i="1"/>
  <c r="AU1439" i="1"/>
  <c r="AV1439" i="1"/>
  <c r="AW1439" i="1"/>
  <c r="AX1439" i="1"/>
  <c r="AY1439" i="1"/>
  <c r="AZ1439" i="1"/>
  <c r="BA1439" i="1"/>
  <c r="BC1439" i="1"/>
  <c r="BD1439" i="1"/>
  <c r="BE1439" i="1"/>
  <c r="BF1439" i="1"/>
  <c r="BG1439" i="1"/>
  <c r="BH1439" i="1"/>
  <c r="BI1439" i="1"/>
  <c r="BJ1439" i="1"/>
  <c r="BM1439" i="1"/>
  <c r="CA1439" i="1"/>
  <c r="CN1439" i="1"/>
  <c r="CO1439" i="1"/>
  <c r="CP1439" i="1"/>
  <c r="CQ1439" i="1"/>
  <c r="G1440" i="1"/>
  <c r="U1440" i="1"/>
  <c r="W1440" i="1"/>
  <c r="AE1440" i="1"/>
  <c r="AK1440" i="1"/>
  <c r="AQ1440" i="1"/>
  <c r="AU1440" i="1"/>
  <c r="AV1440" i="1"/>
  <c r="AW1440" i="1"/>
  <c r="AX1440" i="1"/>
  <c r="AY1440" i="1"/>
  <c r="AZ1440" i="1"/>
  <c r="BA1440" i="1"/>
  <c r="BC1440" i="1"/>
  <c r="BD1440" i="1"/>
  <c r="BE1440" i="1"/>
  <c r="BF1440" i="1"/>
  <c r="BG1440" i="1"/>
  <c r="BH1440" i="1"/>
  <c r="BI1440" i="1"/>
  <c r="BJ1440" i="1"/>
  <c r="BM1440" i="1"/>
  <c r="CA1440" i="1"/>
  <c r="CN1440" i="1"/>
  <c r="CO1440" i="1"/>
  <c r="CP1440" i="1"/>
  <c r="CQ1440" i="1"/>
  <c r="G1441" i="1"/>
  <c r="U1441" i="1"/>
  <c r="W1441" i="1"/>
  <c r="AE1441" i="1"/>
  <c r="AK1441" i="1"/>
  <c r="AQ1441" i="1"/>
  <c r="AU1441" i="1"/>
  <c r="AV1441" i="1"/>
  <c r="AW1441" i="1"/>
  <c r="AX1441" i="1"/>
  <c r="AY1441" i="1"/>
  <c r="AZ1441" i="1"/>
  <c r="BA1441" i="1"/>
  <c r="BC1441" i="1"/>
  <c r="BD1441" i="1"/>
  <c r="BE1441" i="1"/>
  <c r="BF1441" i="1"/>
  <c r="BG1441" i="1"/>
  <c r="BH1441" i="1"/>
  <c r="BI1441" i="1"/>
  <c r="BJ1441" i="1"/>
  <c r="BM1441" i="1"/>
  <c r="CA1441" i="1"/>
  <c r="CN1441" i="1"/>
  <c r="CO1441" i="1"/>
  <c r="CP1441" i="1"/>
  <c r="CQ1441" i="1"/>
  <c r="G989" i="1"/>
  <c r="U989" i="1"/>
  <c r="W989" i="1"/>
  <c r="AE989" i="1"/>
  <c r="AK989" i="1"/>
  <c r="AQ989" i="1"/>
  <c r="AU989" i="1"/>
  <c r="AV989" i="1"/>
  <c r="AW989" i="1"/>
  <c r="AX989" i="1"/>
  <c r="AY989" i="1"/>
  <c r="AZ989" i="1"/>
  <c r="BA989" i="1"/>
  <c r="BC989" i="1"/>
  <c r="BD989" i="1"/>
  <c r="BE989" i="1"/>
  <c r="BF989" i="1"/>
  <c r="BG989" i="1"/>
  <c r="BH989" i="1"/>
  <c r="BI989" i="1"/>
  <c r="BJ989" i="1"/>
  <c r="BM989" i="1"/>
  <c r="CA989" i="1"/>
  <c r="CN989" i="1"/>
  <c r="CO989" i="1"/>
  <c r="CP989" i="1"/>
  <c r="CQ989" i="1"/>
  <c r="G1442" i="1"/>
  <c r="U1442" i="1"/>
  <c r="W1442" i="1"/>
  <c r="AE1442" i="1"/>
  <c r="AK1442" i="1"/>
  <c r="AQ1442" i="1"/>
  <c r="AU1442" i="1"/>
  <c r="AV1442" i="1"/>
  <c r="AW1442" i="1"/>
  <c r="AX1442" i="1"/>
  <c r="AY1442" i="1"/>
  <c r="AZ1442" i="1"/>
  <c r="BA1442" i="1"/>
  <c r="BC1442" i="1"/>
  <c r="BD1442" i="1"/>
  <c r="BE1442" i="1"/>
  <c r="BF1442" i="1"/>
  <c r="BG1442" i="1"/>
  <c r="BH1442" i="1"/>
  <c r="BI1442" i="1"/>
  <c r="BJ1442" i="1"/>
  <c r="BM1442" i="1"/>
  <c r="CA1442" i="1"/>
  <c r="CN1442" i="1"/>
  <c r="CO1442" i="1"/>
  <c r="CP1442" i="1"/>
  <c r="CQ1442" i="1"/>
  <c r="G990" i="1"/>
  <c r="U990" i="1"/>
  <c r="W990" i="1"/>
  <c r="AE990" i="1"/>
  <c r="AK990" i="1"/>
  <c r="AQ990" i="1"/>
  <c r="AU990" i="1"/>
  <c r="AV990" i="1"/>
  <c r="AW990" i="1"/>
  <c r="AX990" i="1"/>
  <c r="AY990" i="1"/>
  <c r="AZ990" i="1"/>
  <c r="BA990" i="1"/>
  <c r="BC990" i="1"/>
  <c r="BD990" i="1"/>
  <c r="BE990" i="1"/>
  <c r="BF990" i="1"/>
  <c r="BG990" i="1"/>
  <c r="BH990" i="1"/>
  <c r="BI990" i="1"/>
  <c r="BJ990" i="1"/>
  <c r="BM990" i="1"/>
  <c r="CA990" i="1"/>
  <c r="CN990" i="1"/>
  <c r="CO990" i="1"/>
  <c r="CP990" i="1"/>
  <c r="CQ990" i="1"/>
  <c r="G991" i="1"/>
  <c r="U991" i="1"/>
  <c r="W991" i="1"/>
  <c r="AE991" i="1"/>
  <c r="AK991" i="1"/>
  <c r="AQ991" i="1"/>
  <c r="AU991" i="1"/>
  <c r="AV991" i="1"/>
  <c r="AW991" i="1"/>
  <c r="AX991" i="1"/>
  <c r="AY991" i="1"/>
  <c r="AZ991" i="1"/>
  <c r="BA991" i="1"/>
  <c r="BC991" i="1"/>
  <c r="BD991" i="1"/>
  <c r="BE991" i="1"/>
  <c r="BF991" i="1"/>
  <c r="BG991" i="1"/>
  <c r="BH991" i="1"/>
  <c r="BI991" i="1"/>
  <c r="BJ991" i="1"/>
  <c r="BM991" i="1"/>
  <c r="CA991" i="1"/>
  <c r="CN991" i="1"/>
  <c r="CO991" i="1"/>
  <c r="CP991" i="1"/>
  <c r="CQ991" i="1"/>
  <c r="G434" i="1"/>
  <c r="U434" i="1"/>
  <c r="W434" i="1"/>
  <c r="AE434" i="1"/>
  <c r="AK434" i="1"/>
  <c r="AQ434" i="1"/>
  <c r="AU434" i="1"/>
  <c r="AV434" i="1"/>
  <c r="AW434" i="1"/>
  <c r="AX434" i="1"/>
  <c r="AY434" i="1"/>
  <c r="AZ434" i="1"/>
  <c r="BA434" i="1"/>
  <c r="BC434" i="1"/>
  <c r="BD434" i="1"/>
  <c r="BE434" i="1"/>
  <c r="BF434" i="1"/>
  <c r="BG434" i="1"/>
  <c r="BH434" i="1"/>
  <c r="BI434" i="1"/>
  <c r="BJ434" i="1"/>
  <c r="BM434" i="1"/>
  <c r="CA434" i="1"/>
  <c r="CN434" i="1"/>
  <c r="CO434" i="1"/>
  <c r="CP434" i="1"/>
  <c r="CQ434" i="1"/>
  <c r="G227" i="1"/>
  <c r="U227" i="1"/>
  <c r="W227" i="1"/>
  <c r="AE227" i="1"/>
  <c r="AK227" i="1"/>
  <c r="AQ227" i="1"/>
  <c r="AU227" i="1"/>
  <c r="AV227" i="1"/>
  <c r="AW227" i="1"/>
  <c r="AX227" i="1"/>
  <c r="AY227" i="1"/>
  <c r="AZ227" i="1"/>
  <c r="BA227" i="1"/>
  <c r="BC227" i="1"/>
  <c r="BD227" i="1"/>
  <c r="BE227" i="1"/>
  <c r="BF227" i="1"/>
  <c r="BG227" i="1"/>
  <c r="BH227" i="1"/>
  <c r="BI227" i="1"/>
  <c r="BJ227" i="1"/>
  <c r="BM227" i="1"/>
  <c r="CA227" i="1"/>
  <c r="CN227" i="1"/>
  <c r="CO227" i="1"/>
  <c r="CP227" i="1"/>
  <c r="CQ227" i="1"/>
  <c r="G992" i="1"/>
  <c r="U992" i="1"/>
  <c r="W992" i="1"/>
  <c r="AE992" i="1"/>
  <c r="AK992" i="1"/>
  <c r="AQ992" i="1"/>
  <c r="AU992" i="1"/>
  <c r="AV992" i="1"/>
  <c r="AW992" i="1"/>
  <c r="AX992" i="1"/>
  <c r="AY992" i="1"/>
  <c r="AZ992" i="1"/>
  <c r="BA992" i="1"/>
  <c r="BC992" i="1"/>
  <c r="BD992" i="1"/>
  <c r="BE992" i="1"/>
  <c r="BF992" i="1"/>
  <c r="BG992" i="1"/>
  <c r="BH992" i="1"/>
  <c r="BI992" i="1"/>
  <c r="BJ992" i="1"/>
  <c r="BM992" i="1"/>
  <c r="CA992" i="1"/>
  <c r="CN992" i="1"/>
  <c r="CO992" i="1"/>
  <c r="CP992" i="1"/>
  <c r="CQ992" i="1"/>
  <c r="G228" i="1"/>
  <c r="U228" i="1"/>
  <c r="W228" i="1"/>
  <c r="AE228" i="1"/>
  <c r="AK228" i="1"/>
  <c r="AQ228" i="1"/>
  <c r="AU228" i="1"/>
  <c r="AV228" i="1"/>
  <c r="AW228" i="1"/>
  <c r="AX228" i="1"/>
  <c r="AY228" i="1"/>
  <c r="AZ228" i="1"/>
  <c r="BA228" i="1"/>
  <c r="BC228" i="1"/>
  <c r="BD228" i="1"/>
  <c r="BE228" i="1"/>
  <c r="BF228" i="1"/>
  <c r="BG228" i="1"/>
  <c r="BH228" i="1"/>
  <c r="BI228" i="1"/>
  <c r="BJ228" i="1"/>
  <c r="BM228" i="1"/>
  <c r="CA228" i="1"/>
  <c r="CN228" i="1"/>
  <c r="CO228" i="1"/>
  <c r="CP228" i="1"/>
  <c r="CQ228" i="1"/>
  <c r="G435" i="1"/>
  <c r="U435" i="1"/>
  <c r="W435" i="1"/>
  <c r="AE435" i="1"/>
  <c r="AK435" i="1"/>
  <c r="AQ435" i="1"/>
  <c r="AU435" i="1"/>
  <c r="AV435" i="1"/>
  <c r="AW435" i="1"/>
  <c r="AX435" i="1"/>
  <c r="AY435" i="1"/>
  <c r="AZ435" i="1"/>
  <c r="BA435" i="1"/>
  <c r="BC435" i="1"/>
  <c r="BD435" i="1"/>
  <c r="BE435" i="1"/>
  <c r="BF435" i="1"/>
  <c r="BG435" i="1"/>
  <c r="BH435" i="1"/>
  <c r="BI435" i="1"/>
  <c r="BJ435" i="1"/>
  <c r="BM435" i="1"/>
  <c r="CA435" i="1"/>
  <c r="CN435" i="1"/>
  <c r="CO435" i="1"/>
  <c r="CP435" i="1"/>
  <c r="CQ435" i="1"/>
  <c r="G1443" i="1"/>
  <c r="U1443" i="1"/>
  <c r="W1443" i="1"/>
  <c r="AE1443" i="1"/>
  <c r="AK1443" i="1"/>
  <c r="AQ1443" i="1"/>
  <c r="AU1443" i="1"/>
  <c r="AV1443" i="1"/>
  <c r="AW1443" i="1"/>
  <c r="AX1443" i="1"/>
  <c r="AY1443" i="1"/>
  <c r="AZ1443" i="1"/>
  <c r="BA1443" i="1"/>
  <c r="BC1443" i="1"/>
  <c r="BD1443" i="1"/>
  <c r="BE1443" i="1"/>
  <c r="BF1443" i="1"/>
  <c r="BG1443" i="1"/>
  <c r="BH1443" i="1"/>
  <c r="BI1443" i="1"/>
  <c r="BJ1443" i="1"/>
  <c r="BM1443" i="1"/>
  <c r="CA1443" i="1"/>
  <c r="CN1443" i="1"/>
  <c r="CO1443" i="1"/>
  <c r="CP1443" i="1"/>
  <c r="CQ1443" i="1"/>
  <c r="G993" i="1"/>
  <c r="U993" i="1"/>
  <c r="W993" i="1"/>
  <c r="AE993" i="1"/>
  <c r="AK993" i="1"/>
  <c r="AQ993" i="1"/>
  <c r="AU993" i="1"/>
  <c r="AV993" i="1"/>
  <c r="AW993" i="1"/>
  <c r="AX993" i="1"/>
  <c r="AY993" i="1"/>
  <c r="AZ993" i="1"/>
  <c r="BA993" i="1"/>
  <c r="BC993" i="1"/>
  <c r="BD993" i="1"/>
  <c r="BE993" i="1"/>
  <c r="BF993" i="1"/>
  <c r="BG993" i="1"/>
  <c r="BH993" i="1"/>
  <c r="BI993" i="1"/>
  <c r="BJ993" i="1"/>
  <c r="BM993" i="1"/>
  <c r="CA993" i="1"/>
  <c r="CN993" i="1"/>
  <c r="CO993" i="1"/>
  <c r="CP993" i="1"/>
  <c r="CQ993" i="1"/>
  <c r="G994" i="1"/>
  <c r="U994" i="1"/>
  <c r="W994" i="1"/>
  <c r="AE994" i="1"/>
  <c r="AK994" i="1"/>
  <c r="AQ994" i="1"/>
  <c r="AU994" i="1"/>
  <c r="AV994" i="1"/>
  <c r="AW994" i="1"/>
  <c r="AX994" i="1"/>
  <c r="AY994" i="1"/>
  <c r="AZ994" i="1"/>
  <c r="BA994" i="1"/>
  <c r="BC994" i="1"/>
  <c r="BD994" i="1"/>
  <c r="BE994" i="1"/>
  <c r="BF994" i="1"/>
  <c r="BG994" i="1"/>
  <c r="BH994" i="1"/>
  <c r="BI994" i="1"/>
  <c r="BJ994" i="1"/>
  <c r="BM994" i="1"/>
  <c r="CA994" i="1"/>
  <c r="CN994" i="1"/>
  <c r="CO994" i="1"/>
  <c r="CP994" i="1"/>
  <c r="CQ994" i="1"/>
  <c r="G995" i="1"/>
  <c r="U995" i="1"/>
  <c r="W995" i="1"/>
  <c r="AE995" i="1"/>
  <c r="AK995" i="1"/>
  <c r="AQ995" i="1"/>
  <c r="AU995" i="1"/>
  <c r="AV995" i="1"/>
  <c r="AW995" i="1"/>
  <c r="AX995" i="1"/>
  <c r="AY995" i="1"/>
  <c r="AZ995" i="1"/>
  <c r="BA995" i="1"/>
  <c r="BC995" i="1"/>
  <c r="BD995" i="1"/>
  <c r="BE995" i="1"/>
  <c r="BF995" i="1"/>
  <c r="BG995" i="1"/>
  <c r="BH995" i="1"/>
  <c r="BI995" i="1"/>
  <c r="BJ995" i="1"/>
  <c r="BM995" i="1"/>
  <c r="CA995" i="1"/>
  <c r="CN995" i="1"/>
  <c r="CO995" i="1"/>
  <c r="CP995" i="1"/>
  <c r="CQ995" i="1"/>
  <c r="G996" i="1"/>
  <c r="U996" i="1"/>
  <c r="W996" i="1"/>
  <c r="AE996" i="1"/>
  <c r="AK996" i="1"/>
  <c r="AQ996" i="1"/>
  <c r="AU996" i="1"/>
  <c r="AV996" i="1"/>
  <c r="AW996" i="1"/>
  <c r="AX996" i="1"/>
  <c r="AY996" i="1"/>
  <c r="AZ996" i="1"/>
  <c r="BA996" i="1"/>
  <c r="BC996" i="1"/>
  <c r="BD996" i="1"/>
  <c r="BE996" i="1"/>
  <c r="BF996" i="1"/>
  <c r="BG996" i="1"/>
  <c r="BH996" i="1"/>
  <c r="BI996" i="1"/>
  <c r="BJ996" i="1"/>
  <c r="BM996" i="1"/>
  <c r="CA996" i="1"/>
  <c r="CN996" i="1"/>
  <c r="CO996" i="1"/>
  <c r="CP996" i="1"/>
  <c r="CQ996" i="1"/>
  <c r="G997" i="1"/>
  <c r="U997" i="1"/>
  <c r="W997" i="1"/>
  <c r="AE997" i="1"/>
  <c r="AK997" i="1"/>
  <c r="AQ997" i="1"/>
  <c r="AU997" i="1"/>
  <c r="AV997" i="1"/>
  <c r="AW997" i="1"/>
  <c r="AX997" i="1"/>
  <c r="AY997" i="1"/>
  <c r="AZ997" i="1"/>
  <c r="BA997" i="1"/>
  <c r="BC997" i="1"/>
  <c r="BD997" i="1"/>
  <c r="BE997" i="1"/>
  <c r="BF997" i="1"/>
  <c r="BG997" i="1"/>
  <c r="BH997" i="1"/>
  <c r="BI997" i="1"/>
  <c r="BJ997" i="1"/>
  <c r="BM997" i="1"/>
  <c r="CA997" i="1"/>
  <c r="CN997" i="1"/>
  <c r="CO997" i="1"/>
  <c r="CP997" i="1"/>
  <c r="CQ997" i="1"/>
  <c r="G998" i="1"/>
  <c r="U998" i="1"/>
  <c r="W998" i="1"/>
  <c r="AE998" i="1"/>
  <c r="AK998" i="1"/>
  <c r="AQ998" i="1"/>
  <c r="AU998" i="1"/>
  <c r="AV998" i="1"/>
  <c r="AW998" i="1"/>
  <c r="AX998" i="1"/>
  <c r="AY998" i="1"/>
  <c r="AZ998" i="1"/>
  <c r="BA998" i="1"/>
  <c r="BC998" i="1"/>
  <c r="BD998" i="1"/>
  <c r="BE998" i="1"/>
  <c r="BF998" i="1"/>
  <c r="BG998" i="1"/>
  <c r="BH998" i="1"/>
  <c r="BI998" i="1"/>
  <c r="BJ998" i="1"/>
  <c r="BM998" i="1"/>
  <c r="CA998" i="1"/>
  <c r="CN998" i="1"/>
  <c r="CO998" i="1"/>
  <c r="CP998" i="1"/>
  <c r="CQ998" i="1"/>
  <c r="G1444" i="1"/>
  <c r="U1444" i="1"/>
  <c r="W1444" i="1"/>
  <c r="AE1444" i="1"/>
  <c r="AK1444" i="1"/>
  <c r="AQ1444" i="1"/>
  <c r="AU1444" i="1"/>
  <c r="AV1444" i="1"/>
  <c r="AW1444" i="1"/>
  <c r="AX1444" i="1"/>
  <c r="AY1444" i="1"/>
  <c r="AZ1444" i="1"/>
  <c r="BA1444" i="1"/>
  <c r="BC1444" i="1"/>
  <c r="BD1444" i="1"/>
  <c r="BE1444" i="1"/>
  <c r="BF1444" i="1"/>
  <c r="BG1444" i="1"/>
  <c r="BH1444" i="1"/>
  <c r="BI1444" i="1"/>
  <c r="BJ1444" i="1"/>
  <c r="BM1444" i="1"/>
  <c r="CA1444" i="1"/>
  <c r="CN1444" i="1"/>
  <c r="CO1444" i="1"/>
  <c r="CP1444" i="1"/>
  <c r="CQ1444" i="1"/>
  <c r="G999" i="1"/>
  <c r="U999" i="1"/>
  <c r="W999" i="1"/>
  <c r="AE999" i="1"/>
  <c r="AK999" i="1"/>
  <c r="AQ999" i="1"/>
  <c r="AU999" i="1"/>
  <c r="AV999" i="1"/>
  <c r="AW999" i="1"/>
  <c r="AX999" i="1"/>
  <c r="AY999" i="1"/>
  <c r="AZ999" i="1"/>
  <c r="BA999" i="1"/>
  <c r="BC999" i="1"/>
  <c r="BD999" i="1"/>
  <c r="BE999" i="1"/>
  <c r="BF999" i="1"/>
  <c r="BG999" i="1"/>
  <c r="BH999" i="1"/>
  <c r="BI999" i="1"/>
  <c r="BJ999" i="1"/>
  <c r="BM999" i="1"/>
  <c r="CA999" i="1"/>
  <c r="CN999" i="1"/>
  <c r="CO999" i="1"/>
  <c r="CP999" i="1"/>
  <c r="CQ999" i="1"/>
  <c r="G1000" i="1"/>
  <c r="U1000" i="1"/>
  <c r="W1000" i="1"/>
  <c r="AE1000" i="1"/>
  <c r="AK1000" i="1"/>
  <c r="AQ1000" i="1"/>
  <c r="AU1000" i="1"/>
  <c r="AV1000" i="1"/>
  <c r="AW1000" i="1"/>
  <c r="AX1000" i="1"/>
  <c r="AY1000" i="1"/>
  <c r="AZ1000" i="1"/>
  <c r="BA1000" i="1"/>
  <c r="BC1000" i="1"/>
  <c r="BD1000" i="1"/>
  <c r="BE1000" i="1"/>
  <c r="BF1000" i="1"/>
  <c r="BG1000" i="1"/>
  <c r="BH1000" i="1"/>
  <c r="BI1000" i="1"/>
  <c r="BJ1000" i="1"/>
  <c r="BM1000" i="1"/>
  <c r="CA1000" i="1"/>
  <c r="CN1000" i="1"/>
  <c r="CO1000" i="1"/>
  <c r="CP1000" i="1"/>
  <c r="CQ1000" i="1"/>
  <c r="G229" i="1"/>
  <c r="U229" i="1"/>
  <c r="W229" i="1"/>
  <c r="AE229" i="1"/>
  <c r="AK229" i="1"/>
  <c r="AQ229" i="1"/>
  <c r="AU229" i="1"/>
  <c r="AV229" i="1"/>
  <c r="AW229" i="1"/>
  <c r="AX229" i="1"/>
  <c r="AY229" i="1"/>
  <c r="AZ229" i="1"/>
  <c r="BA229" i="1"/>
  <c r="BC229" i="1"/>
  <c r="BD229" i="1"/>
  <c r="BE229" i="1"/>
  <c r="BF229" i="1"/>
  <c r="BG229" i="1"/>
  <c r="BH229" i="1"/>
  <c r="BI229" i="1"/>
  <c r="BJ229" i="1"/>
  <c r="BM229" i="1"/>
  <c r="CA229" i="1"/>
  <c r="CN229" i="1"/>
  <c r="CO229" i="1"/>
  <c r="CP229" i="1"/>
  <c r="CQ229" i="1"/>
  <c r="G230" i="1"/>
  <c r="U230" i="1"/>
  <c r="W230" i="1"/>
  <c r="AE230" i="1"/>
  <c r="AK230" i="1"/>
  <c r="AQ230" i="1"/>
  <c r="AU230" i="1"/>
  <c r="AV230" i="1"/>
  <c r="AW230" i="1"/>
  <c r="AX230" i="1"/>
  <c r="AY230" i="1"/>
  <c r="AZ230" i="1"/>
  <c r="BA230" i="1"/>
  <c r="BC230" i="1"/>
  <c r="BD230" i="1"/>
  <c r="BE230" i="1"/>
  <c r="BF230" i="1"/>
  <c r="BG230" i="1"/>
  <c r="BH230" i="1"/>
  <c r="BI230" i="1"/>
  <c r="BJ230" i="1"/>
  <c r="BM230" i="1"/>
  <c r="CA230" i="1"/>
  <c r="CN230" i="1"/>
  <c r="CO230" i="1"/>
  <c r="CP230" i="1"/>
  <c r="CQ230" i="1"/>
  <c r="G1001" i="1"/>
  <c r="U1001" i="1"/>
  <c r="W1001" i="1"/>
  <c r="AE1001" i="1"/>
  <c r="AK1001" i="1"/>
  <c r="AQ1001" i="1"/>
  <c r="AU1001" i="1"/>
  <c r="AV1001" i="1"/>
  <c r="AW1001" i="1"/>
  <c r="AX1001" i="1"/>
  <c r="AY1001" i="1"/>
  <c r="AZ1001" i="1"/>
  <c r="BA1001" i="1"/>
  <c r="BC1001" i="1"/>
  <c r="BD1001" i="1"/>
  <c r="BE1001" i="1"/>
  <c r="BF1001" i="1"/>
  <c r="BG1001" i="1"/>
  <c r="BH1001" i="1"/>
  <c r="BI1001" i="1"/>
  <c r="BJ1001" i="1"/>
  <c r="BM1001" i="1"/>
  <c r="CA1001" i="1"/>
  <c r="CN1001" i="1"/>
  <c r="CO1001" i="1"/>
  <c r="CP1001" i="1"/>
  <c r="CQ1001" i="1"/>
  <c r="G1445" i="1"/>
  <c r="U1445" i="1"/>
  <c r="W1445" i="1"/>
  <c r="AE1445" i="1"/>
  <c r="AK1445" i="1"/>
  <c r="AQ1445" i="1"/>
  <c r="AU1445" i="1"/>
  <c r="AV1445" i="1"/>
  <c r="AW1445" i="1"/>
  <c r="AX1445" i="1"/>
  <c r="AY1445" i="1"/>
  <c r="AZ1445" i="1"/>
  <c r="BA1445" i="1"/>
  <c r="BC1445" i="1"/>
  <c r="BD1445" i="1"/>
  <c r="BE1445" i="1"/>
  <c r="BF1445" i="1"/>
  <c r="BG1445" i="1"/>
  <c r="BH1445" i="1"/>
  <c r="BI1445" i="1"/>
  <c r="BJ1445" i="1"/>
  <c r="BM1445" i="1"/>
  <c r="CA1445" i="1"/>
  <c r="CN1445" i="1"/>
  <c r="CO1445" i="1"/>
  <c r="CP1445" i="1"/>
  <c r="CQ1445" i="1"/>
  <c r="G1002" i="1"/>
  <c r="U1002" i="1"/>
  <c r="W1002" i="1"/>
  <c r="AE1002" i="1"/>
  <c r="AK1002" i="1"/>
  <c r="AQ1002" i="1"/>
  <c r="AU1002" i="1"/>
  <c r="AV1002" i="1"/>
  <c r="AW1002" i="1"/>
  <c r="AX1002" i="1"/>
  <c r="AY1002" i="1"/>
  <c r="AZ1002" i="1"/>
  <c r="BA1002" i="1"/>
  <c r="BC1002" i="1"/>
  <c r="BD1002" i="1"/>
  <c r="BE1002" i="1"/>
  <c r="BF1002" i="1"/>
  <c r="BG1002" i="1"/>
  <c r="BH1002" i="1"/>
  <c r="BI1002" i="1"/>
  <c r="BJ1002" i="1"/>
  <c r="BM1002" i="1"/>
  <c r="CA1002" i="1"/>
  <c r="CN1002" i="1"/>
  <c r="CO1002" i="1"/>
  <c r="CP1002" i="1"/>
  <c r="CQ1002" i="1"/>
  <c r="G1003" i="1"/>
  <c r="U1003" i="1"/>
  <c r="W1003" i="1"/>
  <c r="AE1003" i="1"/>
  <c r="AK1003" i="1"/>
  <c r="AQ1003" i="1"/>
  <c r="AU1003" i="1"/>
  <c r="AV1003" i="1"/>
  <c r="AW1003" i="1"/>
  <c r="AX1003" i="1"/>
  <c r="AY1003" i="1"/>
  <c r="AZ1003" i="1"/>
  <c r="BA1003" i="1"/>
  <c r="BC1003" i="1"/>
  <c r="BD1003" i="1"/>
  <c r="BE1003" i="1"/>
  <c r="BF1003" i="1"/>
  <c r="BG1003" i="1"/>
  <c r="BH1003" i="1"/>
  <c r="BI1003" i="1"/>
  <c r="BJ1003" i="1"/>
  <c r="BM1003" i="1"/>
  <c r="CA1003" i="1"/>
  <c r="CN1003" i="1"/>
  <c r="CO1003" i="1"/>
  <c r="CP1003" i="1"/>
  <c r="CQ1003" i="1"/>
  <c r="G1446" i="1"/>
  <c r="U1446" i="1"/>
  <c r="W1446" i="1"/>
  <c r="AE1446" i="1"/>
  <c r="AK1446" i="1"/>
  <c r="AQ1446" i="1"/>
  <c r="AU1446" i="1"/>
  <c r="AV1446" i="1"/>
  <c r="AW1446" i="1"/>
  <c r="AX1446" i="1"/>
  <c r="AY1446" i="1"/>
  <c r="AZ1446" i="1"/>
  <c r="BA1446" i="1"/>
  <c r="BC1446" i="1"/>
  <c r="BD1446" i="1"/>
  <c r="BE1446" i="1"/>
  <c r="BF1446" i="1"/>
  <c r="BG1446" i="1"/>
  <c r="BH1446" i="1"/>
  <c r="BI1446" i="1"/>
  <c r="BJ1446" i="1"/>
  <c r="BM1446" i="1"/>
  <c r="CA1446" i="1"/>
  <c r="CN1446" i="1"/>
  <c r="CO1446" i="1"/>
  <c r="CP1446" i="1"/>
  <c r="CQ1446" i="1"/>
  <c r="G1004" i="1"/>
  <c r="U1004" i="1"/>
  <c r="W1004" i="1"/>
  <c r="AE1004" i="1"/>
  <c r="AK1004" i="1"/>
  <c r="AQ1004" i="1"/>
  <c r="AU1004" i="1"/>
  <c r="AV1004" i="1"/>
  <c r="AW1004" i="1"/>
  <c r="AX1004" i="1"/>
  <c r="AY1004" i="1"/>
  <c r="AZ1004" i="1"/>
  <c r="BA1004" i="1"/>
  <c r="BC1004" i="1"/>
  <c r="BD1004" i="1"/>
  <c r="BE1004" i="1"/>
  <c r="BF1004" i="1"/>
  <c r="BG1004" i="1"/>
  <c r="BH1004" i="1"/>
  <c r="BI1004" i="1"/>
  <c r="BJ1004" i="1"/>
  <c r="BM1004" i="1"/>
  <c r="CA1004" i="1"/>
  <c r="CN1004" i="1"/>
  <c r="CO1004" i="1"/>
  <c r="CP1004" i="1"/>
  <c r="CQ1004" i="1"/>
  <c r="G1447" i="1"/>
  <c r="U1447" i="1"/>
  <c r="W1447" i="1"/>
  <c r="AE1447" i="1"/>
  <c r="AK1447" i="1"/>
  <c r="AQ1447" i="1"/>
  <c r="AU1447" i="1"/>
  <c r="AV1447" i="1"/>
  <c r="AW1447" i="1"/>
  <c r="AX1447" i="1"/>
  <c r="AY1447" i="1"/>
  <c r="AZ1447" i="1"/>
  <c r="BA1447" i="1"/>
  <c r="BC1447" i="1"/>
  <c r="BD1447" i="1"/>
  <c r="BE1447" i="1"/>
  <c r="BF1447" i="1"/>
  <c r="BG1447" i="1"/>
  <c r="BH1447" i="1"/>
  <c r="BI1447" i="1"/>
  <c r="BJ1447" i="1"/>
  <c r="BM1447" i="1"/>
  <c r="CA1447" i="1"/>
  <c r="CN1447" i="1"/>
  <c r="CO1447" i="1"/>
  <c r="CP1447" i="1"/>
  <c r="CQ1447" i="1"/>
  <c r="G231" i="1"/>
  <c r="U231" i="1"/>
  <c r="W231" i="1"/>
  <c r="AE231" i="1"/>
  <c r="AK231" i="1"/>
  <c r="AQ231" i="1"/>
  <c r="AU231" i="1"/>
  <c r="AV231" i="1"/>
  <c r="AW231" i="1"/>
  <c r="AX231" i="1"/>
  <c r="AY231" i="1"/>
  <c r="AZ231" i="1"/>
  <c r="BA231" i="1"/>
  <c r="BC231" i="1"/>
  <c r="BD231" i="1"/>
  <c r="BE231" i="1"/>
  <c r="BF231" i="1"/>
  <c r="BG231" i="1"/>
  <c r="BH231" i="1"/>
  <c r="BI231" i="1"/>
  <c r="BJ231" i="1"/>
  <c r="BM231" i="1"/>
  <c r="CA231" i="1"/>
  <c r="CN231" i="1"/>
  <c r="CO231" i="1"/>
  <c r="CP231" i="1"/>
  <c r="CQ231" i="1"/>
  <c r="G1448" i="1"/>
  <c r="U1448" i="1"/>
  <c r="W1448" i="1"/>
  <c r="AE1448" i="1"/>
  <c r="AK1448" i="1"/>
  <c r="AQ1448" i="1"/>
  <c r="AU1448" i="1"/>
  <c r="AV1448" i="1"/>
  <c r="AW1448" i="1"/>
  <c r="AX1448" i="1"/>
  <c r="AY1448" i="1"/>
  <c r="AZ1448" i="1"/>
  <c r="BA1448" i="1"/>
  <c r="BC1448" i="1"/>
  <c r="BD1448" i="1"/>
  <c r="BE1448" i="1"/>
  <c r="BF1448" i="1"/>
  <c r="BG1448" i="1"/>
  <c r="BH1448" i="1"/>
  <c r="BI1448" i="1"/>
  <c r="BJ1448" i="1"/>
  <c r="BM1448" i="1"/>
  <c r="CA1448" i="1"/>
  <c r="CN1448" i="1"/>
  <c r="CO1448" i="1"/>
  <c r="CP1448" i="1"/>
  <c r="CQ1448" i="1"/>
  <c r="G232" i="1"/>
  <c r="U232" i="1"/>
  <c r="W232" i="1"/>
  <c r="AE232" i="1"/>
  <c r="AK232" i="1"/>
  <c r="AQ232" i="1"/>
  <c r="AU232" i="1"/>
  <c r="AV232" i="1"/>
  <c r="AW232" i="1"/>
  <c r="AX232" i="1"/>
  <c r="AY232" i="1"/>
  <c r="AZ232" i="1"/>
  <c r="BA232" i="1"/>
  <c r="BC232" i="1"/>
  <c r="BD232" i="1"/>
  <c r="BE232" i="1"/>
  <c r="BF232" i="1"/>
  <c r="BG232" i="1"/>
  <c r="BH232" i="1"/>
  <c r="BI232" i="1"/>
  <c r="BJ232" i="1"/>
  <c r="BM232" i="1"/>
  <c r="CA232" i="1"/>
  <c r="CN232" i="1"/>
  <c r="CO232" i="1"/>
  <c r="CP232" i="1"/>
  <c r="CQ232" i="1"/>
  <c r="G1005" i="1"/>
  <c r="U1005" i="1"/>
  <c r="W1005" i="1"/>
  <c r="AE1005" i="1"/>
  <c r="AK1005" i="1"/>
  <c r="AQ1005" i="1"/>
  <c r="AU1005" i="1"/>
  <c r="AV1005" i="1"/>
  <c r="AW1005" i="1"/>
  <c r="AX1005" i="1"/>
  <c r="AY1005" i="1"/>
  <c r="AZ1005" i="1"/>
  <c r="BA1005" i="1"/>
  <c r="BC1005" i="1"/>
  <c r="BD1005" i="1"/>
  <c r="BE1005" i="1"/>
  <c r="BF1005" i="1"/>
  <c r="BG1005" i="1"/>
  <c r="BH1005" i="1"/>
  <c r="BI1005" i="1"/>
  <c r="BJ1005" i="1"/>
  <c r="BM1005" i="1"/>
  <c r="CA1005" i="1"/>
  <c r="CN1005" i="1"/>
  <c r="CO1005" i="1"/>
  <c r="CP1005" i="1"/>
  <c r="CQ1005" i="1"/>
  <c r="G233" i="1"/>
  <c r="U233" i="1"/>
  <c r="W233" i="1"/>
  <c r="AE233" i="1"/>
  <c r="AK233" i="1"/>
  <c r="AQ233" i="1"/>
  <c r="AU233" i="1"/>
  <c r="AV233" i="1"/>
  <c r="AW233" i="1"/>
  <c r="AX233" i="1"/>
  <c r="AY233" i="1"/>
  <c r="AZ233" i="1"/>
  <c r="BA233" i="1"/>
  <c r="BC233" i="1"/>
  <c r="BD233" i="1"/>
  <c r="BE233" i="1"/>
  <c r="BF233" i="1"/>
  <c r="BG233" i="1"/>
  <c r="BH233" i="1"/>
  <c r="BI233" i="1"/>
  <c r="BJ233" i="1"/>
  <c r="BM233" i="1"/>
  <c r="CA233" i="1"/>
  <c r="CN233" i="1"/>
  <c r="CO233" i="1"/>
  <c r="CP233" i="1"/>
  <c r="CQ233" i="1"/>
  <c r="G1006" i="1"/>
  <c r="U1006" i="1"/>
  <c r="W1006" i="1"/>
  <c r="AE1006" i="1"/>
  <c r="AK1006" i="1"/>
  <c r="AQ1006" i="1"/>
  <c r="AU1006" i="1"/>
  <c r="AV1006" i="1"/>
  <c r="AW1006" i="1"/>
  <c r="AX1006" i="1"/>
  <c r="AY1006" i="1"/>
  <c r="AZ1006" i="1"/>
  <c r="BA1006" i="1"/>
  <c r="BC1006" i="1"/>
  <c r="BD1006" i="1"/>
  <c r="BE1006" i="1"/>
  <c r="BF1006" i="1"/>
  <c r="BG1006" i="1"/>
  <c r="BH1006" i="1"/>
  <c r="BI1006" i="1"/>
  <c r="BJ1006" i="1"/>
  <c r="BM1006" i="1"/>
  <c r="CA1006" i="1"/>
  <c r="CN1006" i="1"/>
  <c r="CO1006" i="1"/>
  <c r="CP1006" i="1"/>
  <c r="CQ1006" i="1"/>
  <c r="G436" i="1"/>
  <c r="U436" i="1"/>
  <c r="W436" i="1"/>
  <c r="AE436" i="1"/>
  <c r="AK436" i="1"/>
  <c r="AQ436" i="1"/>
  <c r="AU436" i="1"/>
  <c r="AV436" i="1"/>
  <c r="AW436" i="1"/>
  <c r="AX436" i="1"/>
  <c r="AY436" i="1"/>
  <c r="AZ436" i="1"/>
  <c r="BA436" i="1"/>
  <c r="BC436" i="1"/>
  <c r="BD436" i="1"/>
  <c r="BE436" i="1"/>
  <c r="BF436" i="1"/>
  <c r="BG436" i="1"/>
  <c r="BH436" i="1"/>
  <c r="BI436" i="1"/>
  <c r="BJ436" i="1"/>
  <c r="BM436" i="1"/>
  <c r="CA436" i="1"/>
  <c r="CN436" i="1"/>
  <c r="CO436" i="1"/>
  <c r="CP436" i="1"/>
  <c r="CQ436" i="1"/>
  <c r="G1007" i="1"/>
  <c r="U1007" i="1"/>
  <c r="W1007" i="1"/>
  <c r="AE1007" i="1"/>
  <c r="AK1007" i="1"/>
  <c r="AQ1007" i="1"/>
  <c r="AU1007" i="1"/>
  <c r="AV1007" i="1"/>
  <c r="AW1007" i="1"/>
  <c r="AX1007" i="1"/>
  <c r="AY1007" i="1"/>
  <c r="AZ1007" i="1"/>
  <c r="BA1007" i="1"/>
  <c r="BC1007" i="1"/>
  <c r="BD1007" i="1"/>
  <c r="BE1007" i="1"/>
  <c r="BF1007" i="1"/>
  <c r="BG1007" i="1"/>
  <c r="BH1007" i="1"/>
  <c r="BI1007" i="1"/>
  <c r="BJ1007" i="1"/>
  <c r="BM1007" i="1"/>
  <c r="CA1007" i="1"/>
  <c r="CN1007" i="1"/>
  <c r="CO1007" i="1"/>
  <c r="CP1007" i="1"/>
  <c r="CQ1007" i="1"/>
  <c r="G1008" i="1"/>
  <c r="U1008" i="1"/>
  <c r="W1008" i="1"/>
  <c r="AE1008" i="1"/>
  <c r="AK1008" i="1"/>
  <c r="AQ1008" i="1"/>
  <c r="AU1008" i="1"/>
  <c r="AV1008" i="1"/>
  <c r="AW1008" i="1"/>
  <c r="AX1008" i="1"/>
  <c r="AY1008" i="1"/>
  <c r="AZ1008" i="1"/>
  <c r="BA1008" i="1"/>
  <c r="BC1008" i="1"/>
  <c r="BD1008" i="1"/>
  <c r="BE1008" i="1"/>
  <c r="BF1008" i="1"/>
  <c r="BG1008" i="1"/>
  <c r="BH1008" i="1"/>
  <c r="BI1008" i="1"/>
  <c r="BJ1008" i="1"/>
  <c r="BM1008" i="1"/>
  <c r="CA1008" i="1"/>
  <c r="CN1008" i="1"/>
  <c r="CO1008" i="1"/>
  <c r="CP1008" i="1"/>
  <c r="CQ1008" i="1"/>
  <c r="G1593" i="1"/>
  <c r="U1593" i="1"/>
  <c r="W1593" i="1"/>
  <c r="AE1593" i="1"/>
  <c r="AK1593" i="1"/>
  <c r="AQ1593" i="1"/>
  <c r="AU1593" i="1"/>
  <c r="AV1593" i="1"/>
  <c r="AW1593" i="1"/>
  <c r="AX1593" i="1"/>
  <c r="AY1593" i="1"/>
  <c r="AZ1593" i="1"/>
  <c r="BA1593" i="1"/>
  <c r="BC1593" i="1"/>
  <c r="BD1593" i="1"/>
  <c r="BE1593" i="1"/>
  <c r="BF1593" i="1"/>
  <c r="BG1593" i="1"/>
  <c r="BH1593" i="1"/>
  <c r="BI1593" i="1"/>
  <c r="BJ1593" i="1"/>
  <c r="BM1593" i="1"/>
  <c r="CA1593" i="1"/>
  <c r="CN1593" i="1"/>
  <c r="CO1593" i="1"/>
  <c r="CP1593" i="1"/>
  <c r="CQ1593" i="1"/>
  <c r="G1594" i="1"/>
  <c r="U1594" i="1"/>
  <c r="W1594" i="1"/>
  <c r="AE1594" i="1"/>
  <c r="AK1594" i="1"/>
  <c r="AQ1594" i="1"/>
  <c r="AU1594" i="1"/>
  <c r="AV1594" i="1"/>
  <c r="AW1594" i="1"/>
  <c r="AX1594" i="1"/>
  <c r="AY1594" i="1"/>
  <c r="AZ1594" i="1"/>
  <c r="BA1594" i="1"/>
  <c r="BC1594" i="1"/>
  <c r="BD1594" i="1"/>
  <c r="BE1594" i="1"/>
  <c r="BF1594" i="1"/>
  <c r="BG1594" i="1"/>
  <c r="BH1594" i="1"/>
  <c r="BI1594" i="1"/>
  <c r="BJ1594" i="1"/>
  <c r="BM1594" i="1"/>
  <c r="CA1594" i="1"/>
  <c r="CN1594" i="1"/>
  <c r="CO1594" i="1"/>
  <c r="CP1594" i="1"/>
  <c r="CQ1594" i="1"/>
  <c r="G234" i="1"/>
  <c r="U234" i="1"/>
  <c r="W234" i="1"/>
  <c r="AE234" i="1"/>
  <c r="AK234" i="1"/>
  <c r="AQ234" i="1"/>
  <c r="AU234" i="1"/>
  <c r="AV234" i="1"/>
  <c r="AW234" i="1"/>
  <c r="AX234" i="1"/>
  <c r="AY234" i="1"/>
  <c r="AZ234" i="1"/>
  <c r="BA234" i="1"/>
  <c r="BC234" i="1"/>
  <c r="BD234" i="1"/>
  <c r="BE234" i="1"/>
  <c r="BF234" i="1"/>
  <c r="BG234" i="1"/>
  <c r="BH234" i="1"/>
  <c r="BI234" i="1"/>
  <c r="BJ234" i="1"/>
  <c r="BM234" i="1"/>
  <c r="CA234" i="1"/>
  <c r="CN234" i="1"/>
  <c r="CO234" i="1"/>
  <c r="CP234" i="1"/>
  <c r="CQ234" i="1"/>
  <c r="G235" i="1"/>
  <c r="U235" i="1"/>
  <c r="W235" i="1"/>
  <c r="AE235" i="1"/>
  <c r="AK235" i="1"/>
  <c r="AQ235" i="1"/>
  <c r="AU235" i="1"/>
  <c r="AV235" i="1"/>
  <c r="AW235" i="1"/>
  <c r="AX235" i="1"/>
  <c r="AY235" i="1"/>
  <c r="AZ235" i="1"/>
  <c r="BA235" i="1"/>
  <c r="BC235" i="1"/>
  <c r="BD235" i="1"/>
  <c r="BE235" i="1"/>
  <c r="BF235" i="1"/>
  <c r="BG235" i="1"/>
  <c r="BH235" i="1"/>
  <c r="BI235" i="1"/>
  <c r="BJ235" i="1"/>
  <c r="BM235" i="1"/>
  <c r="CA235" i="1"/>
  <c r="CN235" i="1"/>
  <c r="CO235" i="1"/>
  <c r="CP235" i="1"/>
  <c r="CQ235" i="1"/>
  <c r="G1009" i="1"/>
  <c r="U1009" i="1"/>
  <c r="W1009" i="1"/>
  <c r="AE1009" i="1"/>
  <c r="AK1009" i="1"/>
  <c r="AQ1009" i="1"/>
  <c r="AU1009" i="1"/>
  <c r="AV1009" i="1"/>
  <c r="AW1009" i="1"/>
  <c r="AX1009" i="1"/>
  <c r="AY1009" i="1"/>
  <c r="AZ1009" i="1"/>
  <c r="BA1009" i="1"/>
  <c r="BC1009" i="1"/>
  <c r="BD1009" i="1"/>
  <c r="BE1009" i="1"/>
  <c r="BF1009" i="1"/>
  <c r="BG1009" i="1"/>
  <c r="BH1009" i="1"/>
  <c r="BI1009" i="1"/>
  <c r="BJ1009" i="1"/>
  <c r="BM1009" i="1"/>
  <c r="CA1009" i="1"/>
  <c r="CN1009" i="1"/>
  <c r="CO1009" i="1"/>
  <c r="CP1009" i="1"/>
  <c r="CQ1009" i="1"/>
  <c r="G236" i="1"/>
  <c r="U236" i="1"/>
  <c r="W236" i="1"/>
  <c r="AE236" i="1"/>
  <c r="AK236" i="1"/>
  <c r="AQ236" i="1"/>
  <c r="AU236" i="1"/>
  <c r="AV236" i="1"/>
  <c r="AW236" i="1"/>
  <c r="AX236" i="1"/>
  <c r="AY236" i="1"/>
  <c r="AZ236" i="1"/>
  <c r="BA236" i="1"/>
  <c r="BC236" i="1"/>
  <c r="BD236" i="1"/>
  <c r="BE236" i="1"/>
  <c r="BF236" i="1"/>
  <c r="BG236" i="1"/>
  <c r="BH236" i="1"/>
  <c r="BI236" i="1"/>
  <c r="BJ236" i="1"/>
  <c r="BM236" i="1"/>
  <c r="CA236" i="1"/>
  <c r="CN236" i="1"/>
  <c r="CO236" i="1"/>
  <c r="CP236" i="1"/>
  <c r="CQ236" i="1"/>
  <c r="G1010" i="1"/>
  <c r="U1010" i="1"/>
  <c r="W1010" i="1"/>
  <c r="AE1010" i="1"/>
  <c r="AK1010" i="1"/>
  <c r="AQ1010" i="1"/>
  <c r="AU1010" i="1"/>
  <c r="AV1010" i="1"/>
  <c r="AW1010" i="1"/>
  <c r="AX1010" i="1"/>
  <c r="AY1010" i="1"/>
  <c r="AZ1010" i="1"/>
  <c r="BA1010" i="1"/>
  <c r="BC1010" i="1"/>
  <c r="BD1010" i="1"/>
  <c r="BE1010" i="1"/>
  <c r="BF1010" i="1"/>
  <c r="BG1010" i="1"/>
  <c r="BH1010" i="1"/>
  <c r="BI1010" i="1"/>
  <c r="BJ1010" i="1"/>
  <c r="BM1010" i="1"/>
  <c r="CA1010" i="1"/>
  <c r="CN1010" i="1"/>
  <c r="CO1010" i="1"/>
  <c r="CP1010" i="1"/>
  <c r="CQ1010" i="1"/>
  <c r="G237" i="1"/>
  <c r="U237" i="1"/>
  <c r="W237" i="1"/>
  <c r="AE237" i="1"/>
  <c r="AK237" i="1"/>
  <c r="AQ237" i="1"/>
  <c r="AU237" i="1"/>
  <c r="AV237" i="1"/>
  <c r="AW237" i="1"/>
  <c r="AX237" i="1"/>
  <c r="AY237" i="1"/>
  <c r="AZ237" i="1"/>
  <c r="BA237" i="1"/>
  <c r="BC237" i="1"/>
  <c r="BD237" i="1"/>
  <c r="BE237" i="1"/>
  <c r="BF237" i="1"/>
  <c r="BG237" i="1"/>
  <c r="BH237" i="1"/>
  <c r="BI237" i="1"/>
  <c r="BJ237" i="1"/>
  <c r="BM237" i="1"/>
  <c r="CA237" i="1"/>
  <c r="CN237" i="1"/>
  <c r="CO237" i="1"/>
  <c r="CP237" i="1"/>
  <c r="CQ237" i="1"/>
  <c r="G1011" i="1"/>
  <c r="U1011" i="1"/>
  <c r="W1011" i="1"/>
  <c r="AE1011" i="1"/>
  <c r="AK1011" i="1"/>
  <c r="AQ1011" i="1"/>
  <c r="AU1011" i="1"/>
  <c r="AV1011" i="1"/>
  <c r="AW1011" i="1"/>
  <c r="AX1011" i="1"/>
  <c r="AY1011" i="1"/>
  <c r="AZ1011" i="1"/>
  <c r="BA1011" i="1"/>
  <c r="BC1011" i="1"/>
  <c r="BD1011" i="1"/>
  <c r="BE1011" i="1"/>
  <c r="BF1011" i="1"/>
  <c r="BG1011" i="1"/>
  <c r="BH1011" i="1"/>
  <c r="BI1011" i="1"/>
  <c r="BJ1011" i="1"/>
  <c r="BM1011" i="1"/>
  <c r="CA1011" i="1"/>
  <c r="CN1011" i="1"/>
  <c r="CO1011" i="1"/>
  <c r="CP1011" i="1"/>
  <c r="CQ1011" i="1"/>
  <c r="G1449" i="1"/>
  <c r="U1449" i="1"/>
  <c r="W1449" i="1"/>
  <c r="AE1449" i="1"/>
  <c r="AK1449" i="1"/>
  <c r="AQ1449" i="1"/>
  <c r="AU1449" i="1"/>
  <c r="AV1449" i="1"/>
  <c r="AW1449" i="1"/>
  <c r="AX1449" i="1"/>
  <c r="AY1449" i="1"/>
  <c r="AZ1449" i="1"/>
  <c r="BA1449" i="1"/>
  <c r="BC1449" i="1"/>
  <c r="BD1449" i="1"/>
  <c r="BE1449" i="1"/>
  <c r="BF1449" i="1"/>
  <c r="BG1449" i="1"/>
  <c r="BH1449" i="1"/>
  <c r="BI1449" i="1"/>
  <c r="BJ1449" i="1"/>
  <c r="BM1449" i="1"/>
  <c r="CA1449" i="1"/>
  <c r="CN1449" i="1"/>
  <c r="CO1449" i="1"/>
  <c r="CP1449" i="1"/>
  <c r="CQ1449" i="1"/>
  <c r="G1012" i="1"/>
  <c r="U1012" i="1"/>
  <c r="W1012" i="1"/>
  <c r="AE1012" i="1"/>
  <c r="AK1012" i="1"/>
  <c r="AQ1012" i="1"/>
  <c r="AU1012" i="1"/>
  <c r="AV1012" i="1"/>
  <c r="AW1012" i="1"/>
  <c r="AX1012" i="1"/>
  <c r="AY1012" i="1"/>
  <c r="AZ1012" i="1"/>
  <c r="BA1012" i="1"/>
  <c r="BC1012" i="1"/>
  <c r="BD1012" i="1"/>
  <c r="BE1012" i="1"/>
  <c r="BF1012" i="1"/>
  <c r="BG1012" i="1"/>
  <c r="BH1012" i="1"/>
  <c r="BI1012" i="1"/>
  <c r="BJ1012" i="1"/>
  <c r="BM1012" i="1"/>
  <c r="CA1012" i="1"/>
  <c r="CN1012" i="1"/>
  <c r="CO1012" i="1"/>
  <c r="CP1012" i="1"/>
  <c r="CQ1012" i="1"/>
  <c r="G1013" i="1"/>
  <c r="U1013" i="1"/>
  <c r="W1013" i="1"/>
  <c r="AE1013" i="1"/>
  <c r="AK1013" i="1"/>
  <c r="AQ1013" i="1"/>
  <c r="AU1013" i="1"/>
  <c r="AV1013" i="1"/>
  <c r="AW1013" i="1"/>
  <c r="AX1013" i="1"/>
  <c r="AY1013" i="1"/>
  <c r="AZ1013" i="1"/>
  <c r="BA1013" i="1"/>
  <c r="BC1013" i="1"/>
  <c r="BD1013" i="1"/>
  <c r="BE1013" i="1"/>
  <c r="BF1013" i="1"/>
  <c r="BG1013" i="1"/>
  <c r="BH1013" i="1"/>
  <c r="BI1013" i="1"/>
  <c r="BJ1013" i="1"/>
  <c r="BM1013" i="1"/>
  <c r="CA1013" i="1"/>
  <c r="CN1013" i="1"/>
  <c r="CO1013" i="1"/>
  <c r="CP1013" i="1"/>
  <c r="CQ1013" i="1"/>
  <c r="G1450" i="1"/>
  <c r="U1450" i="1"/>
  <c r="W1450" i="1"/>
  <c r="AE1450" i="1"/>
  <c r="AK1450" i="1"/>
  <c r="AQ1450" i="1"/>
  <c r="AU1450" i="1"/>
  <c r="AV1450" i="1"/>
  <c r="AW1450" i="1"/>
  <c r="AX1450" i="1"/>
  <c r="AY1450" i="1"/>
  <c r="AZ1450" i="1"/>
  <c r="BA1450" i="1"/>
  <c r="BC1450" i="1"/>
  <c r="BD1450" i="1"/>
  <c r="BE1450" i="1"/>
  <c r="BF1450" i="1"/>
  <c r="BG1450" i="1"/>
  <c r="BH1450" i="1"/>
  <c r="BI1450" i="1"/>
  <c r="BJ1450" i="1"/>
  <c r="BM1450" i="1"/>
  <c r="CA1450" i="1"/>
  <c r="CN1450" i="1"/>
  <c r="CO1450" i="1"/>
  <c r="CP1450" i="1"/>
  <c r="CQ1450" i="1"/>
  <c r="G1451" i="1"/>
  <c r="U1451" i="1"/>
  <c r="W1451" i="1"/>
  <c r="AE1451" i="1"/>
  <c r="AK1451" i="1"/>
  <c r="AQ1451" i="1"/>
  <c r="AU1451" i="1"/>
  <c r="AV1451" i="1"/>
  <c r="AW1451" i="1"/>
  <c r="AX1451" i="1"/>
  <c r="AY1451" i="1"/>
  <c r="AZ1451" i="1"/>
  <c r="BA1451" i="1"/>
  <c r="BC1451" i="1"/>
  <c r="BD1451" i="1"/>
  <c r="BE1451" i="1"/>
  <c r="BF1451" i="1"/>
  <c r="BG1451" i="1"/>
  <c r="BH1451" i="1"/>
  <c r="BI1451" i="1"/>
  <c r="BJ1451" i="1"/>
  <c r="BM1451" i="1"/>
  <c r="CA1451" i="1"/>
  <c r="CN1451" i="1"/>
  <c r="CO1451" i="1"/>
  <c r="CP1451" i="1"/>
  <c r="CQ1451" i="1"/>
  <c r="G238" i="1"/>
  <c r="U238" i="1"/>
  <c r="W238" i="1"/>
  <c r="AE238" i="1"/>
  <c r="AK238" i="1"/>
  <c r="AQ238" i="1"/>
  <c r="AU238" i="1"/>
  <c r="AV238" i="1"/>
  <c r="AW238" i="1"/>
  <c r="AX238" i="1"/>
  <c r="AY238" i="1"/>
  <c r="AZ238" i="1"/>
  <c r="BA238" i="1"/>
  <c r="BC238" i="1"/>
  <c r="BD238" i="1"/>
  <c r="BE238" i="1"/>
  <c r="BF238" i="1"/>
  <c r="BG238" i="1"/>
  <c r="BH238" i="1"/>
  <c r="BI238" i="1"/>
  <c r="BJ238" i="1"/>
  <c r="BM238" i="1"/>
  <c r="CA238" i="1"/>
  <c r="CN238" i="1"/>
  <c r="CO238" i="1"/>
  <c r="CP238" i="1"/>
  <c r="CQ238" i="1"/>
  <c r="G1014" i="1"/>
  <c r="U1014" i="1"/>
  <c r="W1014" i="1"/>
  <c r="AE1014" i="1"/>
  <c r="AK1014" i="1"/>
  <c r="AQ1014" i="1"/>
  <c r="AU1014" i="1"/>
  <c r="AV1014" i="1"/>
  <c r="AW1014" i="1"/>
  <c r="AX1014" i="1"/>
  <c r="AY1014" i="1"/>
  <c r="AZ1014" i="1"/>
  <c r="BA1014" i="1"/>
  <c r="BC1014" i="1"/>
  <c r="BD1014" i="1"/>
  <c r="BE1014" i="1"/>
  <c r="BF1014" i="1"/>
  <c r="BG1014" i="1"/>
  <c r="BH1014" i="1"/>
  <c r="BI1014" i="1"/>
  <c r="BJ1014" i="1"/>
  <c r="BM1014" i="1"/>
  <c r="CA1014" i="1"/>
  <c r="CN1014" i="1"/>
  <c r="CO1014" i="1"/>
  <c r="CP1014" i="1"/>
  <c r="CQ1014" i="1"/>
  <c r="G437" i="1"/>
  <c r="U437" i="1"/>
  <c r="W437" i="1"/>
  <c r="AE437" i="1"/>
  <c r="AK437" i="1"/>
  <c r="AQ437" i="1"/>
  <c r="AU437" i="1"/>
  <c r="AV437" i="1"/>
  <c r="AW437" i="1"/>
  <c r="AX437" i="1"/>
  <c r="AY437" i="1"/>
  <c r="AZ437" i="1"/>
  <c r="BA437" i="1"/>
  <c r="BC437" i="1"/>
  <c r="BD437" i="1"/>
  <c r="BE437" i="1"/>
  <c r="BF437" i="1"/>
  <c r="BG437" i="1"/>
  <c r="BH437" i="1"/>
  <c r="BI437" i="1"/>
  <c r="BJ437" i="1"/>
  <c r="BM437" i="1"/>
  <c r="CA437" i="1"/>
  <c r="CN437" i="1"/>
  <c r="CO437" i="1"/>
  <c r="CP437" i="1"/>
  <c r="CQ437" i="1"/>
  <c r="G438" i="1"/>
  <c r="U438" i="1"/>
  <c r="W438" i="1"/>
  <c r="AE438" i="1"/>
  <c r="AK438" i="1"/>
  <c r="AQ438" i="1"/>
  <c r="AU438" i="1"/>
  <c r="AV438" i="1"/>
  <c r="AW438" i="1"/>
  <c r="AX438" i="1"/>
  <c r="AY438" i="1"/>
  <c r="AZ438" i="1"/>
  <c r="BA438" i="1"/>
  <c r="BC438" i="1"/>
  <c r="BD438" i="1"/>
  <c r="BE438" i="1"/>
  <c r="BF438" i="1"/>
  <c r="BG438" i="1"/>
  <c r="BH438" i="1"/>
  <c r="BI438" i="1"/>
  <c r="BJ438" i="1"/>
  <c r="BM438" i="1"/>
  <c r="CA438" i="1"/>
  <c r="CN438" i="1"/>
  <c r="CO438" i="1"/>
  <c r="CP438" i="1"/>
  <c r="CQ438" i="1"/>
  <c r="G239" i="1"/>
  <c r="U239" i="1"/>
  <c r="W239" i="1"/>
  <c r="AE239" i="1"/>
  <c r="AK239" i="1"/>
  <c r="AQ239" i="1"/>
  <c r="AU239" i="1"/>
  <c r="AV239" i="1"/>
  <c r="AW239" i="1"/>
  <c r="AX239" i="1"/>
  <c r="AY239" i="1"/>
  <c r="AZ239" i="1"/>
  <c r="BA239" i="1"/>
  <c r="BC239" i="1"/>
  <c r="BD239" i="1"/>
  <c r="BE239" i="1"/>
  <c r="BF239" i="1"/>
  <c r="BG239" i="1"/>
  <c r="BH239" i="1"/>
  <c r="BI239" i="1"/>
  <c r="BJ239" i="1"/>
  <c r="BM239" i="1"/>
  <c r="CA239" i="1"/>
  <c r="CN239" i="1"/>
  <c r="CO239" i="1"/>
  <c r="CP239" i="1"/>
  <c r="CQ239" i="1"/>
  <c r="G1015" i="1"/>
  <c r="U1015" i="1"/>
  <c r="W1015" i="1"/>
  <c r="AE1015" i="1"/>
  <c r="AK1015" i="1"/>
  <c r="AQ1015" i="1"/>
  <c r="AU1015" i="1"/>
  <c r="AV1015" i="1"/>
  <c r="AW1015" i="1"/>
  <c r="AX1015" i="1"/>
  <c r="AY1015" i="1"/>
  <c r="AZ1015" i="1"/>
  <c r="BA1015" i="1"/>
  <c r="BC1015" i="1"/>
  <c r="BD1015" i="1"/>
  <c r="BE1015" i="1"/>
  <c r="BF1015" i="1"/>
  <c r="BG1015" i="1"/>
  <c r="BH1015" i="1"/>
  <c r="BI1015" i="1"/>
  <c r="BJ1015" i="1"/>
  <c r="BM1015" i="1"/>
  <c r="CA1015" i="1"/>
  <c r="CN1015" i="1"/>
  <c r="CO1015" i="1"/>
  <c r="CP1015" i="1"/>
  <c r="CQ1015" i="1"/>
  <c r="G1016" i="1"/>
  <c r="U1016" i="1"/>
  <c r="W1016" i="1"/>
  <c r="AE1016" i="1"/>
  <c r="AK1016" i="1"/>
  <c r="AQ1016" i="1"/>
  <c r="AU1016" i="1"/>
  <c r="AV1016" i="1"/>
  <c r="AW1016" i="1"/>
  <c r="AX1016" i="1"/>
  <c r="AY1016" i="1"/>
  <c r="AZ1016" i="1"/>
  <c r="BA1016" i="1"/>
  <c r="BC1016" i="1"/>
  <c r="BD1016" i="1"/>
  <c r="BE1016" i="1"/>
  <c r="BF1016" i="1"/>
  <c r="BG1016" i="1"/>
  <c r="BH1016" i="1"/>
  <c r="BI1016" i="1"/>
  <c r="BJ1016" i="1"/>
  <c r="BM1016" i="1"/>
  <c r="CA1016" i="1"/>
  <c r="CN1016" i="1"/>
  <c r="CO1016" i="1"/>
  <c r="CP1016" i="1"/>
  <c r="CQ1016" i="1"/>
  <c r="G1017" i="1"/>
  <c r="U1017" i="1"/>
  <c r="W1017" i="1"/>
  <c r="AE1017" i="1"/>
  <c r="AK1017" i="1"/>
  <c r="AQ1017" i="1"/>
  <c r="AU1017" i="1"/>
  <c r="AV1017" i="1"/>
  <c r="AW1017" i="1"/>
  <c r="AX1017" i="1"/>
  <c r="AY1017" i="1"/>
  <c r="AZ1017" i="1"/>
  <c r="BA1017" i="1"/>
  <c r="BC1017" i="1"/>
  <c r="BD1017" i="1"/>
  <c r="BE1017" i="1"/>
  <c r="BF1017" i="1"/>
  <c r="BG1017" i="1"/>
  <c r="BH1017" i="1"/>
  <c r="BI1017" i="1"/>
  <c r="BJ1017" i="1"/>
  <c r="BM1017" i="1"/>
  <c r="CA1017" i="1"/>
  <c r="CN1017" i="1"/>
  <c r="CO1017" i="1"/>
  <c r="CP1017" i="1"/>
  <c r="CQ1017" i="1"/>
  <c r="G240" i="1"/>
  <c r="U240" i="1"/>
  <c r="W240" i="1"/>
  <c r="AE240" i="1"/>
  <c r="AK240" i="1"/>
  <c r="AQ240" i="1"/>
  <c r="AU240" i="1"/>
  <c r="AV240" i="1"/>
  <c r="AW240" i="1"/>
  <c r="AX240" i="1"/>
  <c r="AY240" i="1"/>
  <c r="AZ240" i="1"/>
  <c r="BA240" i="1"/>
  <c r="BC240" i="1"/>
  <c r="BD240" i="1"/>
  <c r="BE240" i="1"/>
  <c r="BF240" i="1"/>
  <c r="BG240" i="1"/>
  <c r="BH240" i="1"/>
  <c r="BI240" i="1"/>
  <c r="BJ240" i="1"/>
  <c r="BM240" i="1"/>
  <c r="CA240" i="1"/>
  <c r="CN240" i="1"/>
  <c r="CO240" i="1"/>
  <c r="CP240" i="1"/>
  <c r="CQ240" i="1"/>
  <c r="G1452" i="1"/>
  <c r="U1452" i="1"/>
  <c r="W1452" i="1"/>
  <c r="AE1452" i="1"/>
  <c r="AK1452" i="1"/>
  <c r="AQ1452" i="1"/>
  <c r="AU1452" i="1"/>
  <c r="AV1452" i="1"/>
  <c r="AW1452" i="1"/>
  <c r="AX1452" i="1"/>
  <c r="AY1452" i="1"/>
  <c r="AZ1452" i="1"/>
  <c r="BA1452" i="1"/>
  <c r="BC1452" i="1"/>
  <c r="BD1452" i="1"/>
  <c r="BE1452" i="1"/>
  <c r="BF1452" i="1"/>
  <c r="BG1452" i="1"/>
  <c r="BH1452" i="1"/>
  <c r="BI1452" i="1"/>
  <c r="BJ1452" i="1"/>
  <c r="BM1452" i="1"/>
  <c r="CA1452" i="1"/>
  <c r="CN1452" i="1"/>
  <c r="CO1452" i="1"/>
  <c r="CP1452" i="1"/>
  <c r="CQ1452" i="1"/>
  <c r="G241" i="1"/>
  <c r="U241" i="1"/>
  <c r="W241" i="1"/>
  <c r="AE241" i="1"/>
  <c r="AK241" i="1"/>
  <c r="AQ241" i="1"/>
  <c r="AU241" i="1"/>
  <c r="AV241" i="1"/>
  <c r="AW241" i="1"/>
  <c r="AX241" i="1"/>
  <c r="AY241" i="1"/>
  <c r="AZ241" i="1"/>
  <c r="BA241" i="1"/>
  <c r="BC241" i="1"/>
  <c r="BD241" i="1"/>
  <c r="BE241" i="1"/>
  <c r="BF241" i="1"/>
  <c r="BG241" i="1"/>
  <c r="BH241" i="1"/>
  <c r="BI241" i="1"/>
  <c r="BJ241" i="1"/>
  <c r="BM241" i="1"/>
  <c r="CA241" i="1"/>
  <c r="CN241" i="1"/>
  <c r="CO241" i="1"/>
  <c r="CP241" i="1"/>
  <c r="CQ241" i="1"/>
  <c r="G1018" i="1"/>
  <c r="U1018" i="1"/>
  <c r="W1018" i="1"/>
  <c r="AE1018" i="1"/>
  <c r="AK1018" i="1"/>
  <c r="AQ1018" i="1"/>
  <c r="AU1018" i="1"/>
  <c r="AV1018" i="1"/>
  <c r="AW1018" i="1"/>
  <c r="AX1018" i="1"/>
  <c r="AY1018" i="1"/>
  <c r="AZ1018" i="1"/>
  <c r="BA1018" i="1"/>
  <c r="BC1018" i="1"/>
  <c r="BD1018" i="1"/>
  <c r="BE1018" i="1"/>
  <c r="BF1018" i="1"/>
  <c r="BG1018" i="1"/>
  <c r="BH1018" i="1"/>
  <c r="BI1018" i="1"/>
  <c r="BJ1018" i="1"/>
  <c r="BM1018" i="1"/>
  <c r="CA1018" i="1"/>
  <c r="CN1018" i="1"/>
  <c r="CO1018" i="1"/>
  <c r="CP1018" i="1"/>
  <c r="CQ1018" i="1"/>
  <c r="G1453" i="1"/>
  <c r="U1453" i="1"/>
  <c r="W1453" i="1"/>
  <c r="AE1453" i="1"/>
  <c r="AK1453" i="1"/>
  <c r="AQ1453" i="1"/>
  <c r="AU1453" i="1"/>
  <c r="AV1453" i="1"/>
  <c r="AW1453" i="1"/>
  <c r="AX1453" i="1"/>
  <c r="AY1453" i="1"/>
  <c r="AZ1453" i="1"/>
  <c r="BA1453" i="1"/>
  <c r="BC1453" i="1"/>
  <c r="BD1453" i="1"/>
  <c r="BE1453" i="1"/>
  <c r="BF1453" i="1"/>
  <c r="BG1453" i="1"/>
  <c r="BH1453" i="1"/>
  <c r="BI1453" i="1"/>
  <c r="BJ1453" i="1"/>
  <c r="BM1453" i="1"/>
  <c r="CA1453" i="1"/>
  <c r="CN1453" i="1"/>
  <c r="CO1453" i="1"/>
  <c r="CP1453" i="1"/>
  <c r="CQ1453" i="1"/>
  <c r="G1019" i="1"/>
  <c r="U1019" i="1"/>
  <c r="W1019" i="1"/>
  <c r="AE1019" i="1"/>
  <c r="AK1019" i="1"/>
  <c r="AQ1019" i="1"/>
  <c r="AU1019" i="1"/>
  <c r="AV1019" i="1"/>
  <c r="AW1019" i="1"/>
  <c r="AX1019" i="1"/>
  <c r="AY1019" i="1"/>
  <c r="AZ1019" i="1"/>
  <c r="BA1019" i="1"/>
  <c r="BC1019" i="1"/>
  <c r="BD1019" i="1"/>
  <c r="BE1019" i="1"/>
  <c r="BF1019" i="1"/>
  <c r="BG1019" i="1"/>
  <c r="BH1019" i="1"/>
  <c r="BI1019" i="1"/>
  <c r="BJ1019" i="1"/>
  <c r="BM1019" i="1"/>
  <c r="CA1019" i="1"/>
  <c r="CN1019" i="1"/>
  <c r="CO1019" i="1"/>
  <c r="CP1019" i="1"/>
  <c r="CQ1019" i="1"/>
  <c r="G1454" i="1"/>
  <c r="U1454" i="1"/>
  <c r="W1454" i="1"/>
  <c r="AE1454" i="1"/>
  <c r="AK1454" i="1"/>
  <c r="AQ1454" i="1"/>
  <c r="AU1454" i="1"/>
  <c r="AV1454" i="1"/>
  <c r="AW1454" i="1"/>
  <c r="AX1454" i="1"/>
  <c r="AY1454" i="1"/>
  <c r="AZ1454" i="1"/>
  <c r="BA1454" i="1"/>
  <c r="BC1454" i="1"/>
  <c r="BD1454" i="1"/>
  <c r="BE1454" i="1"/>
  <c r="BF1454" i="1"/>
  <c r="BG1454" i="1"/>
  <c r="BH1454" i="1"/>
  <c r="BI1454" i="1"/>
  <c r="BJ1454" i="1"/>
  <c r="BM1454" i="1"/>
  <c r="CA1454" i="1"/>
  <c r="CN1454" i="1"/>
  <c r="CO1454" i="1"/>
  <c r="CP1454" i="1"/>
  <c r="CQ1454" i="1"/>
  <c r="G1595" i="1"/>
  <c r="U1595" i="1"/>
  <c r="W1595" i="1"/>
  <c r="AE1595" i="1"/>
  <c r="AK1595" i="1"/>
  <c r="AQ1595" i="1"/>
  <c r="AU1595" i="1"/>
  <c r="AV1595" i="1"/>
  <c r="AW1595" i="1"/>
  <c r="AX1595" i="1"/>
  <c r="AY1595" i="1"/>
  <c r="AZ1595" i="1"/>
  <c r="BA1595" i="1"/>
  <c r="BC1595" i="1"/>
  <c r="BD1595" i="1"/>
  <c r="BE1595" i="1"/>
  <c r="BF1595" i="1"/>
  <c r="BG1595" i="1"/>
  <c r="BH1595" i="1"/>
  <c r="BI1595" i="1"/>
  <c r="BJ1595" i="1"/>
  <c r="BM1595" i="1"/>
  <c r="CA1595" i="1"/>
  <c r="CN1595" i="1"/>
  <c r="CO1595" i="1"/>
  <c r="CP1595" i="1"/>
  <c r="CQ1595" i="1"/>
  <c r="G1020" i="1"/>
  <c r="U1020" i="1"/>
  <c r="W1020" i="1"/>
  <c r="AE1020" i="1"/>
  <c r="AK1020" i="1"/>
  <c r="AQ1020" i="1"/>
  <c r="AU1020" i="1"/>
  <c r="AV1020" i="1"/>
  <c r="AW1020" i="1"/>
  <c r="AX1020" i="1"/>
  <c r="AY1020" i="1"/>
  <c r="AZ1020" i="1"/>
  <c r="BA1020" i="1"/>
  <c r="BC1020" i="1"/>
  <c r="BD1020" i="1"/>
  <c r="BE1020" i="1"/>
  <c r="BF1020" i="1"/>
  <c r="BG1020" i="1"/>
  <c r="BH1020" i="1"/>
  <c r="BI1020" i="1"/>
  <c r="BJ1020" i="1"/>
  <c r="BM1020" i="1"/>
  <c r="CA1020" i="1"/>
  <c r="CN1020" i="1"/>
  <c r="CO1020" i="1"/>
  <c r="CP1020" i="1"/>
  <c r="CQ1020" i="1"/>
  <c r="G1021" i="1"/>
  <c r="U1021" i="1"/>
  <c r="W1021" i="1"/>
  <c r="AE1021" i="1"/>
  <c r="AK1021" i="1"/>
  <c r="AQ1021" i="1"/>
  <c r="AU1021" i="1"/>
  <c r="AV1021" i="1"/>
  <c r="AW1021" i="1"/>
  <c r="AX1021" i="1"/>
  <c r="AY1021" i="1"/>
  <c r="AZ1021" i="1"/>
  <c r="BA1021" i="1"/>
  <c r="BC1021" i="1"/>
  <c r="BD1021" i="1"/>
  <c r="BE1021" i="1"/>
  <c r="BF1021" i="1"/>
  <c r="BG1021" i="1"/>
  <c r="BH1021" i="1"/>
  <c r="BI1021" i="1"/>
  <c r="BJ1021" i="1"/>
  <c r="BM1021" i="1"/>
  <c r="CA1021" i="1"/>
  <c r="CN1021" i="1"/>
  <c r="CO1021" i="1"/>
  <c r="CP1021" i="1"/>
  <c r="CQ1021" i="1"/>
  <c r="G242" i="1"/>
  <c r="U242" i="1"/>
  <c r="W242" i="1"/>
  <c r="AE242" i="1"/>
  <c r="AK242" i="1"/>
  <c r="AQ242" i="1"/>
  <c r="AU242" i="1"/>
  <c r="AV242" i="1"/>
  <c r="AW242" i="1"/>
  <c r="AX242" i="1"/>
  <c r="AY242" i="1"/>
  <c r="AZ242" i="1"/>
  <c r="BA242" i="1"/>
  <c r="BC242" i="1"/>
  <c r="BD242" i="1"/>
  <c r="BE242" i="1"/>
  <c r="BF242" i="1"/>
  <c r="BG242" i="1"/>
  <c r="BH242" i="1"/>
  <c r="BI242" i="1"/>
  <c r="BJ242" i="1"/>
  <c r="BM242" i="1"/>
  <c r="CA242" i="1"/>
  <c r="CN242" i="1"/>
  <c r="CO242" i="1"/>
  <c r="CP242" i="1"/>
  <c r="CQ242" i="1"/>
  <c r="G243" i="1"/>
  <c r="U243" i="1"/>
  <c r="W243" i="1"/>
  <c r="AE243" i="1"/>
  <c r="AK243" i="1"/>
  <c r="AQ243" i="1"/>
  <c r="AU243" i="1"/>
  <c r="AV243" i="1"/>
  <c r="AW243" i="1"/>
  <c r="AX243" i="1"/>
  <c r="AY243" i="1"/>
  <c r="AZ243" i="1"/>
  <c r="BA243" i="1"/>
  <c r="BC243" i="1"/>
  <c r="BD243" i="1"/>
  <c r="BE243" i="1"/>
  <c r="BF243" i="1"/>
  <c r="BG243" i="1"/>
  <c r="BH243" i="1"/>
  <c r="BI243" i="1"/>
  <c r="BJ243" i="1"/>
  <c r="BM243" i="1"/>
  <c r="CA243" i="1"/>
  <c r="CN243" i="1"/>
  <c r="CO243" i="1"/>
  <c r="CP243" i="1"/>
  <c r="CQ243" i="1"/>
  <c r="G1022" i="1"/>
  <c r="U1022" i="1"/>
  <c r="W1022" i="1"/>
  <c r="AE1022" i="1"/>
  <c r="AK1022" i="1"/>
  <c r="AQ1022" i="1"/>
  <c r="AU1022" i="1"/>
  <c r="AV1022" i="1"/>
  <c r="AW1022" i="1"/>
  <c r="AX1022" i="1"/>
  <c r="AY1022" i="1"/>
  <c r="AZ1022" i="1"/>
  <c r="BA1022" i="1"/>
  <c r="BC1022" i="1"/>
  <c r="BD1022" i="1"/>
  <c r="BE1022" i="1"/>
  <c r="BF1022" i="1"/>
  <c r="BG1022" i="1"/>
  <c r="BH1022" i="1"/>
  <c r="BI1022" i="1"/>
  <c r="BJ1022" i="1"/>
  <c r="BM1022" i="1"/>
  <c r="CA1022" i="1"/>
  <c r="CN1022" i="1"/>
  <c r="CO1022" i="1"/>
  <c r="CP1022" i="1"/>
  <c r="CQ1022" i="1"/>
  <c r="G244" i="1"/>
  <c r="U244" i="1"/>
  <c r="W244" i="1"/>
  <c r="AE244" i="1"/>
  <c r="AK244" i="1"/>
  <c r="AQ244" i="1"/>
  <c r="AU244" i="1"/>
  <c r="AV244" i="1"/>
  <c r="AW244" i="1"/>
  <c r="AX244" i="1"/>
  <c r="AY244" i="1"/>
  <c r="AZ244" i="1"/>
  <c r="BA244" i="1"/>
  <c r="BC244" i="1"/>
  <c r="BD244" i="1"/>
  <c r="BE244" i="1"/>
  <c r="BF244" i="1"/>
  <c r="BG244" i="1"/>
  <c r="BH244" i="1"/>
  <c r="BI244" i="1"/>
  <c r="BJ244" i="1"/>
  <c r="BM244" i="1"/>
  <c r="CA244" i="1"/>
  <c r="CN244" i="1"/>
  <c r="CO244" i="1"/>
  <c r="CP244" i="1"/>
  <c r="CQ244" i="1"/>
  <c r="G1023" i="1"/>
  <c r="U1023" i="1"/>
  <c r="W1023" i="1"/>
  <c r="AE1023" i="1"/>
  <c r="AK1023" i="1"/>
  <c r="AQ1023" i="1"/>
  <c r="AU1023" i="1"/>
  <c r="AV1023" i="1"/>
  <c r="AW1023" i="1"/>
  <c r="AX1023" i="1"/>
  <c r="AY1023" i="1"/>
  <c r="AZ1023" i="1"/>
  <c r="BA1023" i="1"/>
  <c r="BC1023" i="1"/>
  <c r="BD1023" i="1"/>
  <c r="BE1023" i="1"/>
  <c r="BF1023" i="1"/>
  <c r="BG1023" i="1"/>
  <c r="BH1023" i="1"/>
  <c r="BI1023" i="1"/>
  <c r="BJ1023" i="1"/>
  <c r="BM1023" i="1"/>
  <c r="CA1023" i="1"/>
  <c r="CN1023" i="1"/>
  <c r="CO1023" i="1"/>
  <c r="CP1023" i="1"/>
  <c r="CQ1023" i="1"/>
  <c r="G245" i="1"/>
  <c r="U245" i="1"/>
  <c r="W245" i="1"/>
  <c r="AE245" i="1"/>
  <c r="AK245" i="1"/>
  <c r="AQ245" i="1"/>
  <c r="AU245" i="1"/>
  <c r="AV245" i="1"/>
  <c r="AW245" i="1"/>
  <c r="AX245" i="1"/>
  <c r="AY245" i="1"/>
  <c r="AZ245" i="1"/>
  <c r="BA245" i="1"/>
  <c r="BC245" i="1"/>
  <c r="BD245" i="1"/>
  <c r="BE245" i="1"/>
  <c r="BF245" i="1"/>
  <c r="BG245" i="1"/>
  <c r="BH245" i="1"/>
  <c r="BI245" i="1"/>
  <c r="BJ245" i="1"/>
  <c r="BM245" i="1"/>
  <c r="CA245" i="1"/>
  <c r="CN245" i="1"/>
  <c r="CO245" i="1"/>
  <c r="CP245" i="1"/>
  <c r="CQ245" i="1"/>
  <c r="G246" i="1"/>
  <c r="U246" i="1"/>
  <c r="W246" i="1"/>
  <c r="AE246" i="1"/>
  <c r="AK246" i="1"/>
  <c r="AQ246" i="1"/>
  <c r="AU246" i="1"/>
  <c r="AV246" i="1"/>
  <c r="AW246" i="1"/>
  <c r="AX246" i="1"/>
  <c r="AY246" i="1"/>
  <c r="AZ246" i="1"/>
  <c r="BA246" i="1"/>
  <c r="BC246" i="1"/>
  <c r="BD246" i="1"/>
  <c r="BE246" i="1"/>
  <c r="BF246" i="1"/>
  <c r="BG246" i="1"/>
  <c r="BH246" i="1"/>
  <c r="BI246" i="1"/>
  <c r="BJ246" i="1"/>
  <c r="BM246" i="1"/>
  <c r="CA246" i="1"/>
  <c r="CN246" i="1"/>
  <c r="CO246" i="1"/>
  <c r="CP246" i="1"/>
  <c r="CQ246" i="1"/>
  <c r="G1455" i="1"/>
  <c r="U1455" i="1"/>
  <c r="W1455" i="1"/>
  <c r="AE1455" i="1"/>
  <c r="AK1455" i="1"/>
  <c r="AQ1455" i="1"/>
  <c r="AU1455" i="1"/>
  <c r="AV1455" i="1"/>
  <c r="AW1455" i="1"/>
  <c r="AX1455" i="1"/>
  <c r="AY1455" i="1"/>
  <c r="AZ1455" i="1"/>
  <c r="BA1455" i="1"/>
  <c r="BC1455" i="1"/>
  <c r="BD1455" i="1"/>
  <c r="BE1455" i="1"/>
  <c r="BF1455" i="1"/>
  <c r="BG1455" i="1"/>
  <c r="BH1455" i="1"/>
  <c r="BI1455" i="1"/>
  <c r="BJ1455" i="1"/>
  <c r="BM1455" i="1"/>
  <c r="CA1455" i="1"/>
  <c r="CN1455" i="1"/>
  <c r="CO1455" i="1"/>
  <c r="CP1455" i="1"/>
  <c r="CQ1455" i="1"/>
  <c r="G247" i="1"/>
  <c r="U247" i="1"/>
  <c r="W247" i="1"/>
  <c r="AE247" i="1"/>
  <c r="AK247" i="1"/>
  <c r="AQ247" i="1"/>
  <c r="AU247" i="1"/>
  <c r="AV247" i="1"/>
  <c r="AW247" i="1"/>
  <c r="AX247" i="1"/>
  <c r="AY247" i="1"/>
  <c r="AZ247" i="1"/>
  <c r="BA247" i="1"/>
  <c r="BC247" i="1"/>
  <c r="BD247" i="1"/>
  <c r="BE247" i="1"/>
  <c r="BF247" i="1"/>
  <c r="BG247" i="1"/>
  <c r="BH247" i="1"/>
  <c r="BI247" i="1"/>
  <c r="BJ247" i="1"/>
  <c r="BM247" i="1"/>
  <c r="CA247" i="1"/>
  <c r="CN247" i="1"/>
  <c r="CO247" i="1"/>
  <c r="CP247" i="1"/>
  <c r="CQ247" i="1"/>
  <c r="G1024" i="1"/>
  <c r="U1024" i="1"/>
  <c r="W1024" i="1"/>
  <c r="AE1024" i="1"/>
  <c r="AK1024" i="1"/>
  <c r="AQ1024" i="1"/>
  <c r="AU1024" i="1"/>
  <c r="AV1024" i="1"/>
  <c r="AW1024" i="1"/>
  <c r="AX1024" i="1"/>
  <c r="AY1024" i="1"/>
  <c r="AZ1024" i="1"/>
  <c r="BA1024" i="1"/>
  <c r="BC1024" i="1"/>
  <c r="BD1024" i="1"/>
  <c r="BE1024" i="1"/>
  <c r="BF1024" i="1"/>
  <c r="BG1024" i="1"/>
  <c r="BH1024" i="1"/>
  <c r="BI1024" i="1"/>
  <c r="BJ1024" i="1"/>
  <c r="BM1024" i="1"/>
  <c r="CA1024" i="1"/>
  <c r="CN1024" i="1"/>
  <c r="CO1024" i="1"/>
  <c r="CP1024" i="1"/>
  <c r="CQ1024" i="1"/>
  <c r="G439" i="1"/>
  <c r="U439" i="1"/>
  <c r="W439" i="1"/>
  <c r="AE439" i="1"/>
  <c r="AK439" i="1"/>
  <c r="AQ439" i="1"/>
  <c r="AU439" i="1"/>
  <c r="AV439" i="1"/>
  <c r="AW439" i="1"/>
  <c r="AX439" i="1"/>
  <c r="AY439" i="1"/>
  <c r="AZ439" i="1"/>
  <c r="BA439" i="1"/>
  <c r="BC439" i="1"/>
  <c r="BD439" i="1"/>
  <c r="BE439" i="1"/>
  <c r="BF439" i="1"/>
  <c r="BG439" i="1"/>
  <c r="BH439" i="1"/>
  <c r="BI439" i="1"/>
  <c r="BJ439" i="1"/>
  <c r="BM439" i="1"/>
  <c r="CA439" i="1"/>
  <c r="CN439" i="1"/>
  <c r="CO439" i="1"/>
  <c r="CP439" i="1"/>
  <c r="CQ439" i="1"/>
  <c r="G1025" i="1"/>
  <c r="U1025" i="1"/>
  <c r="W1025" i="1"/>
  <c r="AE1025" i="1"/>
  <c r="AK1025" i="1"/>
  <c r="AQ1025" i="1"/>
  <c r="AU1025" i="1"/>
  <c r="AV1025" i="1"/>
  <c r="AW1025" i="1"/>
  <c r="AX1025" i="1"/>
  <c r="AY1025" i="1"/>
  <c r="AZ1025" i="1"/>
  <c r="BA1025" i="1"/>
  <c r="BC1025" i="1"/>
  <c r="BD1025" i="1"/>
  <c r="BE1025" i="1"/>
  <c r="BF1025" i="1"/>
  <c r="BG1025" i="1"/>
  <c r="BH1025" i="1"/>
  <c r="BI1025" i="1"/>
  <c r="BJ1025" i="1"/>
  <c r="BM1025" i="1"/>
  <c r="CA1025" i="1"/>
  <c r="CN1025" i="1"/>
  <c r="CO1025" i="1"/>
  <c r="CP1025" i="1"/>
  <c r="CQ1025" i="1"/>
  <c r="G1026" i="1"/>
  <c r="U1026" i="1"/>
  <c r="W1026" i="1"/>
  <c r="AE1026" i="1"/>
  <c r="AK1026" i="1"/>
  <c r="AQ1026" i="1"/>
  <c r="AU1026" i="1"/>
  <c r="AV1026" i="1"/>
  <c r="AW1026" i="1"/>
  <c r="AX1026" i="1"/>
  <c r="AY1026" i="1"/>
  <c r="AZ1026" i="1"/>
  <c r="BA1026" i="1"/>
  <c r="BC1026" i="1"/>
  <c r="BD1026" i="1"/>
  <c r="BE1026" i="1"/>
  <c r="BF1026" i="1"/>
  <c r="BG1026" i="1"/>
  <c r="BH1026" i="1"/>
  <c r="BI1026" i="1"/>
  <c r="BJ1026" i="1"/>
  <c r="BM1026" i="1"/>
  <c r="CA1026" i="1"/>
  <c r="CN1026" i="1"/>
  <c r="CO1026" i="1"/>
  <c r="CP1026" i="1"/>
  <c r="CQ1026" i="1"/>
  <c r="G440" i="1"/>
  <c r="U440" i="1"/>
  <c r="W440" i="1"/>
  <c r="AE440" i="1"/>
  <c r="AK440" i="1"/>
  <c r="AQ440" i="1"/>
  <c r="AU440" i="1"/>
  <c r="AV440" i="1"/>
  <c r="AW440" i="1"/>
  <c r="AX440" i="1"/>
  <c r="AY440" i="1"/>
  <c r="AZ440" i="1"/>
  <c r="BA440" i="1"/>
  <c r="BC440" i="1"/>
  <c r="BD440" i="1"/>
  <c r="BE440" i="1"/>
  <c r="BF440" i="1"/>
  <c r="BG440" i="1"/>
  <c r="BH440" i="1"/>
  <c r="BI440" i="1"/>
  <c r="BJ440" i="1"/>
  <c r="BM440" i="1"/>
  <c r="CA440" i="1"/>
  <c r="CN440" i="1"/>
  <c r="CO440" i="1"/>
  <c r="CP440" i="1"/>
  <c r="CQ440" i="1"/>
  <c r="G1027" i="1"/>
  <c r="U1027" i="1"/>
  <c r="W1027" i="1"/>
  <c r="AE1027" i="1"/>
  <c r="AK1027" i="1"/>
  <c r="AQ1027" i="1"/>
  <c r="AU1027" i="1"/>
  <c r="AV1027" i="1"/>
  <c r="AW1027" i="1"/>
  <c r="AX1027" i="1"/>
  <c r="AY1027" i="1"/>
  <c r="AZ1027" i="1"/>
  <c r="BA1027" i="1"/>
  <c r="BC1027" i="1"/>
  <c r="BD1027" i="1"/>
  <c r="BE1027" i="1"/>
  <c r="BF1027" i="1"/>
  <c r="BG1027" i="1"/>
  <c r="BH1027" i="1"/>
  <c r="BI1027" i="1"/>
  <c r="BJ1027" i="1"/>
  <c r="BM1027" i="1"/>
  <c r="CA1027" i="1"/>
  <c r="CN1027" i="1"/>
  <c r="CO1027" i="1"/>
  <c r="CP1027" i="1"/>
  <c r="CQ1027" i="1"/>
  <c r="G248" i="1"/>
  <c r="U248" i="1"/>
  <c r="W248" i="1"/>
  <c r="AE248" i="1"/>
  <c r="AK248" i="1"/>
  <c r="AQ248" i="1"/>
  <c r="AU248" i="1"/>
  <c r="AV248" i="1"/>
  <c r="AW248" i="1"/>
  <c r="AX248" i="1"/>
  <c r="AY248" i="1"/>
  <c r="AZ248" i="1"/>
  <c r="BA248" i="1"/>
  <c r="BC248" i="1"/>
  <c r="BD248" i="1"/>
  <c r="BE248" i="1"/>
  <c r="BF248" i="1"/>
  <c r="BG248" i="1"/>
  <c r="BH248" i="1"/>
  <c r="BI248" i="1"/>
  <c r="BJ248" i="1"/>
  <c r="BM248" i="1"/>
  <c r="CA248" i="1"/>
  <c r="CN248" i="1"/>
  <c r="CO248" i="1"/>
  <c r="CP248" i="1"/>
  <c r="CQ248" i="1"/>
  <c r="G1028" i="1"/>
  <c r="U1028" i="1"/>
  <c r="W1028" i="1"/>
  <c r="AE1028" i="1"/>
  <c r="AK1028" i="1"/>
  <c r="AQ1028" i="1"/>
  <c r="AU1028" i="1"/>
  <c r="AV1028" i="1"/>
  <c r="AW1028" i="1"/>
  <c r="AX1028" i="1"/>
  <c r="AY1028" i="1"/>
  <c r="AZ1028" i="1"/>
  <c r="BA1028" i="1"/>
  <c r="BC1028" i="1"/>
  <c r="BD1028" i="1"/>
  <c r="BE1028" i="1"/>
  <c r="BF1028" i="1"/>
  <c r="BG1028" i="1"/>
  <c r="BH1028" i="1"/>
  <c r="BI1028" i="1"/>
  <c r="BJ1028" i="1"/>
  <c r="BM1028" i="1"/>
  <c r="CA1028" i="1"/>
  <c r="CN1028" i="1"/>
  <c r="CO1028" i="1"/>
  <c r="CP1028" i="1"/>
  <c r="CQ1028" i="1"/>
  <c r="G1029" i="1"/>
  <c r="U1029" i="1"/>
  <c r="W1029" i="1"/>
  <c r="AE1029" i="1"/>
  <c r="AK1029" i="1"/>
  <c r="AQ1029" i="1"/>
  <c r="AU1029" i="1"/>
  <c r="AV1029" i="1"/>
  <c r="AW1029" i="1"/>
  <c r="AX1029" i="1"/>
  <c r="AY1029" i="1"/>
  <c r="AZ1029" i="1"/>
  <c r="BA1029" i="1"/>
  <c r="BC1029" i="1"/>
  <c r="BD1029" i="1"/>
  <c r="BE1029" i="1"/>
  <c r="BF1029" i="1"/>
  <c r="BG1029" i="1"/>
  <c r="BH1029" i="1"/>
  <c r="BI1029" i="1"/>
  <c r="BJ1029" i="1"/>
  <c r="BM1029" i="1"/>
  <c r="CA1029" i="1"/>
  <c r="CN1029" i="1"/>
  <c r="CO1029" i="1"/>
  <c r="CP1029" i="1"/>
  <c r="CQ1029" i="1"/>
  <c r="G1030" i="1"/>
  <c r="U1030" i="1"/>
  <c r="W1030" i="1"/>
  <c r="AE1030" i="1"/>
  <c r="AK1030" i="1"/>
  <c r="AQ1030" i="1"/>
  <c r="AU1030" i="1"/>
  <c r="AV1030" i="1"/>
  <c r="AW1030" i="1"/>
  <c r="AX1030" i="1"/>
  <c r="AY1030" i="1"/>
  <c r="AZ1030" i="1"/>
  <c r="BA1030" i="1"/>
  <c r="BC1030" i="1"/>
  <c r="BD1030" i="1"/>
  <c r="BE1030" i="1"/>
  <c r="BF1030" i="1"/>
  <c r="BG1030" i="1"/>
  <c r="BH1030" i="1"/>
  <c r="BI1030" i="1"/>
  <c r="BJ1030" i="1"/>
  <c r="BM1030" i="1"/>
  <c r="CA1030" i="1"/>
  <c r="CN1030" i="1"/>
  <c r="CO1030" i="1"/>
  <c r="CP1030" i="1"/>
  <c r="CQ1030" i="1"/>
  <c r="G1456" i="1"/>
  <c r="U1456" i="1"/>
  <c r="W1456" i="1"/>
  <c r="AE1456" i="1"/>
  <c r="AK1456" i="1"/>
  <c r="AQ1456" i="1"/>
  <c r="AU1456" i="1"/>
  <c r="AV1456" i="1"/>
  <c r="AW1456" i="1"/>
  <c r="AX1456" i="1"/>
  <c r="AY1456" i="1"/>
  <c r="AZ1456" i="1"/>
  <c r="BA1456" i="1"/>
  <c r="BC1456" i="1"/>
  <c r="BD1456" i="1"/>
  <c r="BE1456" i="1"/>
  <c r="BF1456" i="1"/>
  <c r="BG1456" i="1"/>
  <c r="BH1456" i="1"/>
  <c r="BI1456" i="1"/>
  <c r="BJ1456" i="1"/>
  <c r="BM1456" i="1"/>
  <c r="CA1456" i="1"/>
  <c r="CN1456" i="1"/>
  <c r="CO1456" i="1"/>
  <c r="CP1456" i="1"/>
  <c r="CQ1456" i="1"/>
  <c r="G249" i="1"/>
  <c r="U249" i="1"/>
  <c r="W249" i="1"/>
  <c r="AE249" i="1"/>
  <c r="AK249" i="1"/>
  <c r="AQ249" i="1"/>
  <c r="AU249" i="1"/>
  <c r="AV249" i="1"/>
  <c r="AW249" i="1"/>
  <c r="AX249" i="1"/>
  <c r="AY249" i="1"/>
  <c r="AZ249" i="1"/>
  <c r="BA249" i="1"/>
  <c r="BC249" i="1"/>
  <c r="BD249" i="1"/>
  <c r="BE249" i="1"/>
  <c r="BF249" i="1"/>
  <c r="BG249" i="1"/>
  <c r="BH249" i="1"/>
  <c r="BI249" i="1"/>
  <c r="BJ249" i="1"/>
  <c r="BM249" i="1"/>
  <c r="CA249" i="1"/>
  <c r="CN249" i="1"/>
  <c r="CO249" i="1"/>
  <c r="CP249" i="1"/>
  <c r="CQ249" i="1"/>
  <c r="G1457" i="1"/>
  <c r="U1457" i="1"/>
  <c r="W1457" i="1"/>
  <c r="AE1457" i="1"/>
  <c r="AK1457" i="1"/>
  <c r="AQ1457" i="1"/>
  <c r="AU1457" i="1"/>
  <c r="AV1457" i="1"/>
  <c r="AW1457" i="1"/>
  <c r="AX1457" i="1"/>
  <c r="AY1457" i="1"/>
  <c r="AZ1457" i="1"/>
  <c r="BA1457" i="1"/>
  <c r="BC1457" i="1"/>
  <c r="BD1457" i="1"/>
  <c r="BE1457" i="1"/>
  <c r="BF1457" i="1"/>
  <c r="BG1457" i="1"/>
  <c r="BH1457" i="1"/>
  <c r="BI1457" i="1"/>
  <c r="BJ1457" i="1"/>
  <c r="BM1457" i="1"/>
  <c r="CA1457" i="1"/>
  <c r="CN1457" i="1"/>
  <c r="CO1457" i="1"/>
  <c r="CP1457" i="1"/>
  <c r="CQ1457" i="1"/>
  <c r="G1458" i="1"/>
  <c r="U1458" i="1"/>
  <c r="W1458" i="1"/>
  <c r="AE1458" i="1"/>
  <c r="AK1458" i="1"/>
  <c r="AQ1458" i="1"/>
  <c r="AU1458" i="1"/>
  <c r="AV1458" i="1"/>
  <c r="AW1458" i="1"/>
  <c r="AX1458" i="1"/>
  <c r="AY1458" i="1"/>
  <c r="AZ1458" i="1"/>
  <c r="BA1458" i="1"/>
  <c r="BC1458" i="1"/>
  <c r="BD1458" i="1"/>
  <c r="BE1458" i="1"/>
  <c r="BF1458" i="1"/>
  <c r="BG1458" i="1"/>
  <c r="BH1458" i="1"/>
  <c r="BI1458" i="1"/>
  <c r="BJ1458" i="1"/>
  <c r="BM1458" i="1"/>
  <c r="CA1458" i="1"/>
  <c r="CN1458" i="1"/>
  <c r="CO1458" i="1"/>
  <c r="CP1458" i="1"/>
  <c r="CQ1458" i="1"/>
  <c r="G441" i="1"/>
  <c r="U441" i="1"/>
  <c r="W441" i="1"/>
  <c r="AE441" i="1"/>
  <c r="AK441" i="1"/>
  <c r="AQ441" i="1"/>
  <c r="AU441" i="1"/>
  <c r="AV441" i="1"/>
  <c r="AW441" i="1"/>
  <c r="AX441" i="1"/>
  <c r="AY441" i="1"/>
  <c r="AZ441" i="1"/>
  <c r="BA441" i="1"/>
  <c r="BC441" i="1"/>
  <c r="BD441" i="1"/>
  <c r="BE441" i="1"/>
  <c r="BF441" i="1"/>
  <c r="BG441" i="1"/>
  <c r="BH441" i="1"/>
  <c r="BI441" i="1"/>
  <c r="BJ441" i="1"/>
  <c r="BM441" i="1"/>
  <c r="CA441" i="1"/>
  <c r="CN441" i="1"/>
  <c r="CO441" i="1"/>
  <c r="CP441" i="1"/>
  <c r="CQ441" i="1"/>
  <c r="G1031" i="1"/>
  <c r="U1031" i="1"/>
  <c r="W1031" i="1"/>
  <c r="AE1031" i="1"/>
  <c r="AK1031" i="1"/>
  <c r="AQ1031" i="1"/>
  <c r="AU1031" i="1"/>
  <c r="AV1031" i="1"/>
  <c r="AW1031" i="1"/>
  <c r="AX1031" i="1"/>
  <c r="AY1031" i="1"/>
  <c r="AZ1031" i="1"/>
  <c r="BA1031" i="1"/>
  <c r="BC1031" i="1"/>
  <c r="BD1031" i="1"/>
  <c r="BE1031" i="1"/>
  <c r="BF1031" i="1"/>
  <c r="BG1031" i="1"/>
  <c r="BH1031" i="1"/>
  <c r="BI1031" i="1"/>
  <c r="BJ1031" i="1"/>
  <c r="BM1031" i="1"/>
  <c r="CA1031" i="1"/>
  <c r="CN1031" i="1"/>
  <c r="CO1031" i="1"/>
  <c r="CP1031" i="1"/>
  <c r="CQ1031" i="1"/>
  <c r="G1032" i="1"/>
  <c r="U1032" i="1"/>
  <c r="W1032" i="1"/>
  <c r="AE1032" i="1"/>
  <c r="AK1032" i="1"/>
  <c r="AQ1032" i="1"/>
  <c r="AU1032" i="1"/>
  <c r="AV1032" i="1"/>
  <c r="AW1032" i="1"/>
  <c r="AX1032" i="1"/>
  <c r="AY1032" i="1"/>
  <c r="AZ1032" i="1"/>
  <c r="BA1032" i="1"/>
  <c r="BC1032" i="1"/>
  <c r="BD1032" i="1"/>
  <c r="BE1032" i="1"/>
  <c r="BF1032" i="1"/>
  <c r="BG1032" i="1"/>
  <c r="BH1032" i="1"/>
  <c r="BI1032" i="1"/>
  <c r="BJ1032" i="1"/>
  <c r="BM1032" i="1"/>
  <c r="CA1032" i="1"/>
  <c r="CN1032" i="1"/>
  <c r="CO1032" i="1"/>
  <c r="CP1032" i="1"/>
  <c r="CQ1032" i="1"/>
  <c r="G1033" i="1"/>
  <c r="U1033" i="1"/>
  <c r="W1033" i="1"/>
  <c r="AE1033" i="1"/>
  <c r="AK1033" i="1"/>
  <c r="AQ1033" i="1"/>
  <c r="AU1033" i="1"/>
  <c r="AV1033" i="1"/>
  <c r="AW1033" i="1"/>
  <c r="AX1033" i="1"/>
  <c r="AY1033" i="1"/>
  <c r="AZ1033" i="1"/>
  <c r="BA1033" i="1"/>
  <c r="BC1033" i="1"/>
  <c r="BD1033" i="1"/>
  <c r="BE1033" i="1"/>
  <c r="BF1033" i="1"/>
  <c r="BG1033" i="1"/>
  <c r="BH1033" i="1"/>
  <c r="BI1033" i="1"/>
  <c r="BJ1033" i="1"/>
  <c r="BM1033" i="1"/>
  <c r="CA1033" i="1"/>
  <c r="CN1033" i="1"/>
  <c r="CO1033" i="1"/>
  <c r="CP1033" i="1"/>
  <c r="CQ1033" i="1"/>
  <c r="G1034" i="1"/>
  <c r="U1034" i="1"/>
  <c r="W1034" i="1"/>
  <c r="AE1034" i="1"/>
  <c r="AK1034" i="1"/>
  <c r="AQ1034" i="1"/>
  <c r="AU1034" i="1"/>
  <c r="AV1034" i="1"/>
  <c r="AW1034" i="1"/>
  <c r="AX1034" i="1"/>
  <c r="AY1034" i="1"/>
  <c r="AZ1034" i="1"/>
  <c r="BA1034" i="1"/>
  <c r="BC1034" i="1"/>
  <c r="BD1034" i="1"/>
  <c r="BE1034" i="1"/>
  <c r="BF1034" i="1"/>
  <c r="BG1034" i="1"/>
  <c r="BH1034" i="1"/>
  <c r="BI1034" i="1"/>
  <c r="BJ1034" i="1"/>
  <c r="BM1034" i="1"/>
  <c r="CA1034" i="1"/>
  <c r="CN1034" i="1"/>
  <c r="CO1034" i="1"/>
  <c r="CP1034" i="1"/>
  <c r="CQ1034" i="1"/>
  <c r="G1035" i="1"/>
  <c r="U1035" i="1"/>
  <c r="W1035" i="1"/>
  <c r="AE1035" i="1"/>
  <c r="AK1035" i="1"/>
  <c r="AQ1035" i="1"/>
  <c r="AU1035" i="1"/>
  <c r="AV1035" i="1"/>
  <c r="AW1035" i="1"/>
  <c r="AX1035" i="1"/>
  <c r="AY1035" i="1"/>
  <c r="AZ1035" i="1"/>
  <c r="BA1035" i="1"/>
  <c r="BC1035" i="1"/>
  <c r="BD1035" i="1"/>
  <c r="BE1035" i="1"/>
  <c r="BF1035" i="1"/>
  <c r="BG1035" i="1"/>
  <c r="BH1035" i="1"/>
  <c r="BI1035" i="1"/>
  <c r="BJ1035" i="1"/>
  <c r="BM1035" i="1"/>
  <c r="CA1035" i="1"/>
  <c r="CN1035" i="1"/>
  <c r="CO1035" i="1"/>
  <c r="CP1035" i="1"/>
  <c r="CQ1035" i="1"/>
  <c r="G1036" i="1"/>
  <c r="U1036" i="1"/>
  <c r="W1036" i="1"/>
  <c r="AE1036" i="1"/>
  <c r="AK1036" i="1"/>
  <c r="AQ1036" i="1"/>
  <c r="AU1036" i="1"/>
  <c r="AV1036" i="1"/>
  <c r="AW1036" i="1"/>
  <c r="AX1036" i="1"/>
  <c r="AY1036" i="1"/>
  <c r="AZ1036" i="1"/>
  <c r="BA1036" i="1"/>
  <c r="BC1036" i="1"/>
  <c r="BD1036" i="1"/>
  <c r="BE1036" i="1"/>
  <c r="BF1036" i="1"/>
  <c r="BG1036" i="1"/>
  <c r="BH1036" i="1"/>
  <c r="BI1036" i="1"/>
  <c r="BJ1036" i="1"/>
  <c r="BM1036" i="1"/>
  <c r="CA1036" i="1"/>
  <c r="CN1036" i="1"/>
  <c r="CO1036" i="1"/>
  <c r="CP1036" i="1"/>
  <c r="CQ1036" i="1"/>
  <c r="G250" i="1"/>
  <c r="U250" i="1"/>
  <c r="W250" i="1"/>
  <c r="AE250" i="1"/>
  <c r="AK250" i="1"/>
  <c r="AQ250" i="1"/>
  <c r="AU250" i="1"/>
  <c r="AV250" i="1"/>
  <c r="AW250" i="1"/>
  <c r="AX250" i="1"/>
  <c r="AY250" i="1"/>
  <c r="AZ250" i="1"/>
  <c r="BA250" i="1"/>
  <c r="BC250" i="1"/>
  <c r="BD250" i="1"/>
  <c r="BE250" i="1"/>
  <c r="BF250" i="1"/>
  <c r="BG250" i="1"/>
  <c r="BH250" i="1"/>
  <c r="BI250" i="1"/>
  <c r="BJ250" i="1"/>
  <c r="BM250" i="1"/>
  <c r="CA250" i="1"/>
  <c r="CN250" i="1"/>
  <c r="CO250" i="1"/>
  <c r="CP250" i="1"/>
  <c r="CQ250" i="1"/>
  <c r="G251" i="1"/>
  <c r="U251" i="1"/>
  <c r="W251" i="1"/>
  <c r="AE251" i="1"/>
  <c r="AK251" i="1"/>
  <c r="AQ251" i="1"/>
  <c r="AU251" i="1"/>
  <c r="AV251" i="1"/>
  <c r="AW251" i="1"/>
  <c r="AX251" i="1"/>
  <c r="AY251" i="1"/>
  <c r="AZ251" i="1"/>
  <c r="BA251" i="1"/>
  <c r="BC251" i="1"/>
  <c r="BD251" i="1"/>
  <c r="BE251" i="1"/>
  <c r="BF251" i="1"/>
  <c r="BG251" i="1"/>
  <c r="BH251" i="1"/>
  <c r="BI251" i="1"/>
  <c r="BJ251" i="1"/>
  <c r="BM251" i="1"/>
  <c r="CA251" i="1"/>
  <c r="CN251" i="1"/>
  <c r="CO251" i="1"/>
  <c r="CP251" i="1"/>
  <c r="CQ251" i="1"/>
  <c r="G442" i="1"/>
  <c r="U442" i="1"/>
  <c r="W442" i="1"/>
  <c r="AE442" i="1"/>
  <c r="AK442" i="1"/>
  <c r="AQ442" i="1"/>
  <c r="AU442" i="1"/>
  <c r="AV442" i="1"/>
  <c r="AW442" i="1"/>
  <c r="AX442" i="1"/>
  <c r="AY442" i="1"/>
  <c r="AZ442" i="1"/>
  <c r="BA442" i="1"/>
  <c r="BC442" i="1"/>
  <c r="BD442" i="1"/>
  <c r="BE442" i="1"/>
  <c r="BF442" i="1"/>
  <c r="BG442" i="1"/>
  <c r="BH442" i="1"/>
  <c r="BI442" i="1"/>
  <c r="BJ442" i="1"/>
  <c r="BM442" i="1"/>
  <c r="CA442" i="1"/>
  <c r="CN442" i="1"/>
  <c r="CO442" i="1"/>
  <c r="CP442" i="1"/>
  <c r="CQ442" i="1"/>
  <c r="G1037" i="1"/>
  <c r="U1037" i="1"/>
  <c r="W1037" i="1"/>
  <c r="AE1037" i="1"/>
  <c r="AK1037" i="1"/>
  <c r="AQ1037" i="1"/>
  <c r="AU1037" i="1"/>
  <c r="AV1037" i="1"/>
  <c r="AW1037" i="1"/>
  <c r="AX1037" i="1"/>
  <c r="AY1037" i="1"/>
  <c r="AZ1037" i="1"/>
  <c r="BA1037" i="1"/>
  <c r="BC1037" i="1"/>
  <c r="BD1037" i="1"/>
  <c r="BE1037" i="1"/>
  <c r="BF1037" i="1"/>
  <c r="BG1037" i="1"/>
  <c r="BH1037" i="1"/>
  <c r="BI1037" i="1"/>
  <c r="BJ1037" i="1"/>
  <c r="BM1037" i="1"/>
  <c r="CA1037" i="1"/>
  <c r="CN1037" i="1"/>
  <c r="CO1037" i="1"/>
  <c r="CP1037" i="1"/>
  <c r="CQ1037" i="1"/>
  <c r="G443" i="1"/>
  <c r="U443" i="1"/>
  <c r="W443" i="1"/>
  <c r="AE443" i="1"/>
  <c r="AK443" i="1"/>
  <c r="AQ443" i="1"/>
  <c r="AU443" i="1"/>
  <c r="AV443" i="1"/>
  <c r="AW443" i="1"/>
  <c r="AX443" i="1"/>
  <c r="AY443" i="1"/>
  <c r="AZ443" i="1"/>
  <c r="BA443" i="1"/>
  <c r="BC443" i="1"/>
  <c r="BD443" i="1"/>
  <c r="BE443" i="1"/>
  <c r="BF443" i="1"/>
  <c r="BG443" i="1"/>
  <c r="BH443" i="1"/>
  <c r="BI443" i="1"/>
  <c r="BJ443" i="1"/>
  <c r="BM443" i="1"/>
  <c r="CA443" i="1"/>
  <c r="CN443" i="1"/>
  <c r="CO443" i="1"/>
  <c r="CP443" i="1"/>
  <c r="CQ443" i="1"/>
  <c r="G1038" i="1"/>
  <c r="U1038" i="1"/>
  <c r="W1038" i="1"/>
  <c r="AE1038" i="1"/>
  <c r="AK1038" i="1"/>
  <c r="AQ1038" i="1"/>
  <c r="AU1038" i="1"/>
  <c r="AV1038" i="1"/>
  <c r="AW1038" i="1"/>
  <c r="AX1038" i="1"/>
  <c r="AY1038" i="1"/>
  <c r="AZ1038" i="1"/>
  <c r="BA1038" i="1"/>
  <c r="BC1038" i="1"/>
  <c r="BD1038" i="1"/>
  <c r="BE1038" i="1"/>
  <c r="BF1038" i="1"/>
  <c r="BG1038" i="1"/>
  <c r="BH1038" i="1"/>
  <c r="BI1038" i="1"/>
  <c r="BJ1038" i="1"/>
  <c r="BM1038" i="1"/>
  <c r="CA1038" i="1"/>
  <c r="CN1038" i="1"/>
  <c r="CO1038" i="1"/>
  <c r="CP1038" i="1"/>
  <c r="CQ1038" i="1"/>
  <c r="G1039" i="1"/>
  <c r="U1039" i="1"/>
  <c r="W1039" i="1"/>
  <c r="AE1039" i="1"/>
  <c r="AK1039" i="1"/>
  <c r="AQ1039" i="1"/>
  <c r="AU1039" i="1"/>
  <c r="AV1039" i="1"/>
  <c r="AW1039" i="1"/>
  <c r="AX1039" i="1"/>
  <c r="AY1039" i="1"/>
  <c r="AZ1039" i="1"/>
  <c r="BA1039" i="1"/>
  <c r="BC1039" i="1"/>
  <c r="BD1039" i="1"/>
  <c r="BE1039" i="1"/>
  <c r="BF1039" i="1"/>
  <c r="BG1039" i="1"/>
  <c r="BH1039" i="1"/>
  <c r="BI1039" i="1"/>
  <c r="BJ1039" i="1"/>
  <c r="BM1039" i="1"/>
  <c r="CA1039" i="1"/>
  <c r="CN1039" i="1"/>
  <c r="CO1039" i="1"/>
  <c r="CP1039" i="1"/>
  <c r="CQ1039" i="1"/>
  <c r="G1459" i="1"/>
  <c r="U1459" i="1"/>
  <c r="W1459" i="1"/>
  <c r="AE1459" i="1"/>
  <c r="AK1459" i="1"/>
  <c r="AQ1459" i="1"/>
  <c r="AU1459" i="1"/>
  <c r="AV1459" i="1"/>
  <c r="AW1459" i="1"/>
  <c r="AX1459" i="1"/>
  <c r="AY1459" i="1"/>
  <c r="AZ1459" i="1"/>
  <c r="BA1459" i="1"/>
  <c r="BC1459" i="1"/>
  <c r="BD1459" i="1"/>
  <c r="BE1459" i="1"/>
  <c r="BF1459" i="1"/>
  <c r="BG1459" i="1"/>
  <c r="BH1459" i="1"/>
  <c r="BI1459" i="1"/>
  <c r="BJ1459" i="1"/>
  <c r="BM1459" i="1"/>
  <c r="CA1459" i="1"/>
  <c r="CN1459" i="1"/>
  <c r="CO1459" i="1"/>
  <c r="CP1459" i="1"/>
  <c r="CQ1459" i="1"/>
  <c r="G1460" i="1"/>
  <c r="U1460" i="1"/>
  <c r="W1460" i="1"/>
  <c r="AE1460" i="1"/>
  <c r="AK1460" i="1"/>
  <c r="AQ1460" i="1"/>
  <c r="AU1460" i="1"/>
  <c r="AV1460" i="1"/>
  <c r="AW1460" i="1"/>
  <c r="AX1460" i="1"/>
  <c r="AY1460" i="1"/>
  <c r="AZ1460" i="1"/>
  <c r="BA1460" i="1"/>
  <c r="BC1460" i="1"/>
  <c r="BD1460" i="1"/>
  <c r="BE1460" i="1"/>
  <c r="BF1460" i="1"/>
  <c r="BG1460" i="1"/>
  <c r="BH1460" i="1"/>
  <c r="BI1460" i="1"/>
  <c r="BJ1460" i="1"/>
  <c r="BM1460" i="1"/>
  <c r="CA1460" i="1"/>
  <c r="CN1460" i="1"/>
  <c r="CO1460" i="1"/>
  <c r="CP1460" i="1"/>
  <c r="CQ1460" i="1"/>
  <c r="G1040" i="1"/>
  <c r="U1040" i="1"/>
  <c r="W1040" i="1"/>
  <c r="AE1040" i="1"/>
  <c r="AK1040" i="1"/>
  <c r="AQ1040" i="1"/>
  <c r="AU1040" i="1"/>
  <c r="AV1040" i="1"/>
  <c r="AW1040" i="1"/>
  <c r="AX1040" i="1"/>
  <c r="AY1040" i="1"/>
  <c r="AZ1040" i="1"/>
  <c r="BA1040" i="1"/>
  <c r="BC1040" i="1"/>
  <c r="BD1040" i="1"/>
  <c r="BE1040" i="1"/>
  <c r="BF1040" i="1"/>
  <c r="BG1040" i="1"/>
  <c r="BH1040" i="1"/>
  <c r="BI1040" i="1"/>
  <c r="BJ1040" i="1"/>
  <c r="BM1040" i="1"/>
  <c r="CA1040" i="1"/>
  <c r="CN1040" i="1"/>
  <c r="CO1040" i="1"/>
  <c r="CP1040" i="1"/>
  <c r="CQ1040" i="1"/>
  <c r="G252" i="1"/>
  <c r="U252" i="1"/>
  <c r="W252" i="1"/>
  <c r="AE252" i="1"/>
  <c r="AK252" i="1"/>
  <c r="AQ252" i="1"/>
  <c r="AU252" i="1"/>
  <c r="AV252" i="1"/>
  <c r="AW252" i="1"/>
  <c r="AX252" i="1"/>
  <c r="AY252" i="1"/>
  <c r="AZ252" i="1"/>
  <c r="BA252" i="1"/>
  <c r="BC252" i="1"/>
  <c r="BD252" i="1"/>
  <c r="BE252" i="1"/>
  <c r="BF252" i="1"/>
  <c r="BG252" i="1"/>
  <c r="BH252" i="1"/>
  <c r="BI252" i="1"/>
  <c r="BJ252" i="1"/>
  <c r="BM252" i="1"/>
  <c r="CA252" i="1"/>
  <c r="CN252" i="1"/>
  <c r="CO252" i="1"/>
  <c r="CP252" i="1"/>
  <c r="CQ252" i="1"/>
  <c r="G1041" i="1"/>
  <c r="U1041" i="1"/>
  <c r="W1041" i="1"/>
  <c r="AE1041" i="1"/>
  <c r="AK1041" i="1"/>
  <c r="AQ1041" i="1"/>
  <c r="AU1041" i="1"/>
  <c r="AV1041" i="1"/>
  <c r="AW1041" i="1"/>
  <c r="AX1041" i="1"/>
  <c r="AY1041" i="1"/>
  <c r="AZ1041" i="1"/>
  <c r="BA1041" i="1"/>
  <c r="BC1041" i="1"/>
  <c r="BD1041" i="1"/>
  <c r="BE1041" i="1"/>
  <c r="BF1041" i="1"/>
  <c r="BG1041" i="1"/>
  <c r="BH1041" i="1"/>
  <c r="BI1041" i="1"/>
  <c r="BJ1041" i="1"/>
  <c r="BM1041" i="1"/>
  <c r="CA1041" i="1"/>
  <c r="CN1041" i="1"/>
  <c r="CO1041" i="1"/>
  <c r="CP1041" i="1"/>
  <c r="CQ1041" i="1"/>
  <c r="G1042" i="1"/>
  <c r="U1042" i="1"/>
  <c r="W1042" i="1"/>
  <c r="AE1042" i="1"/>
  <c r="AK1042" i="1"/>
  <c r="AQ1042" i="1"/>
  <c r="AU1042" i="1"/>
  <c r="AV1042" i="1"/>
  <c r="AW1042" i="1"/>
  <c r="AX1042" i="1"/>
  <c r="AY1042" i="1"/>
  <c r="AZ1042" i="1"/>
  <c r="BA1042" i="1"/>
  <c r="BC1042" i="1"/>
  <c r="BD1042" i="1"/>
  <c r="BE1042" i="1"/>
  <c r="BF1042" i="1"/>
  <c r="BG1042" i="1"/>
  <c r="BH1042" i="1"/>
  <c r="BI1042" i="1"/>
  <c r="BJ1042" i="1"/>
  <c r="BM1042" i="1"/>
  <c r="CA1042" i="1"/>
  <c r="CN1042" i="1"/>
  <c r="CO1042" i="1"/>
  <c r="CP1042" i="1"/>
  <c r="CQ1042" i="1"/>
  <c r="G1043" i="1"/>
  <c r="U1043" i="1"/>
  <c r="W1043" i="1"/>
  <c r="AE1043" i="1"/>
  <c r="AK1043" i="1"/>
  <c r="AQ1043" i="1"/>
  <c r="AU1043" i="1"/>
  <c r="AV1043" i="1"/>
  <c r="AW1043" i="1"/>
  <c r="AX1043" i="1"/>
  <c r="AY1043" i="1"/>
  <c r="AZ1043" i="1"/>
  <c r="BA1043" i="1"/>
  <c r="BC1043" i="1"/>
  <c r="BD1043" i="1"/>
  <c r="BE1043" i="1"/>
  <c r="BF1043" i="1"/>
  <c r="BG1043" i="1"/>
  <c r="BH1043" i="1"/>
  <c r="BI1043" i="1"/>
  <c r="BJ1043" i="1"/>
  <c r="BM1043" i="1"/>
  <c r="CA1043" i="1"/>
  <c r="CN1043" i="1"/>
  <c r="CO1043" i="1"/>
  <c r="CP1043" i="1"/>
  <c r="CQ1043" i="1"/>
  <c r="G253" i="1"/>
  <c r="U253" i="1"/>
  <c r="W253" i="1"/>
  <c r="AE253" i="1"/>
  <c r="AK253" i="1"/>
  <c r="AQ253" i="1"/>
  <c r="AU253" i="1"/>
  <c r="AV253" i="1"/>
  <c r="AW253" i="1"/>
  <c r="AX253" i="1"/>
  <c r="AY253" i="1"/>
  <c r="AZ253" i="1"/>
  <c r="BA253" i="1"/>
  <c r="BC253" i="1"/>
  <c r="BD253" i="1"/>
  <c r="BE253" i="1"/>
  <c r="BF253" i="1"/>
  <c r="BG253" i="1"/>
  <c r="BH253" i="1"/>
  <c r="BI253" i="1"/>
  <c r="BJ253" i="1"/>
  <c r="BM253" i="1"/>
  <c r="CA253" i="1"/>
  <c r="CN253" i="1"/>
  <c r="CO253" i="1"/>
  <c r="CP253" i="1"/>
  <c r="CQ253" i="1"/>
  <c r="G444" i="1"/>
  <c r="U444" i="1"/>
  <c r="W444" i="1"/>
  <c r="AE444" i="1"/>
  <c r="AK444" i="1"/>
  <c r="AQ444" i="1"/>
  <c r="AU444" i="1"/>
  <c r="AV444" i="1"/>
  <c r="AW444" i="1"/>
  <c r="AX444" i="1"/>
  <c r="AY444" i="1"/>
  <c r="AZ444" i="1"/>
  <c r="BA444" i="1"/>
  <c r="BC444" i="1"/>
  <c r="BD444" i="1"/>
  <c r="BE444" i="1"/>
  <c r="BF444" i="1"/>
  <c r="BG444" i="1"/>
  <c r="BH444" i="1"/>
  <c r="BI444" i="1"/>
  <c r="BJ444" i="1"/>
  <c r="BM444" i="1"/>
  <c r="CA444" i="1"/>
  <c r="CN444" i="1"/>
  <c r="CO444" i="1"/>
  <c r="CP444" i="1"/>
  <c r="CQ444" i="1"/>
  <c r="G1044" i="1"/>
  <c r="U1044" i="1"/>
  <c r="W1044" i="1"/>
  <c r="AE1044" i="1"/>
  <c r="AK1044" i="1"/>
  <c r="AQ1044" i="1"/>
  <c r="AU1044" i="1"/>
  <c r="AV1044" i="1"/>
  <c r="AW1044" i="1"/>
  <c r="AX1044" i="1"/>
  <c r="AY1044" i="1"/>
  <c r="AZ1044" i="1"/>
  <c r="BA1044" i="1"/>
  <c r="BC1044" i="1"/>
  <c r="BD1044" i="1"/>
  <c r="BE1044" i="1"/>
  <c r="BF1044" i="1"/>
  <c r="BG1044" i="1"/>
  <c r="BH1044" i="1"/>
  <c r="BI1044" i="1"/>
  <c r="BJ1044" i="1"/>
  <c r="BM1044" i="1"/>
  <c r="CA1044" i="1"/>
  <c r="CN1044" i="1"/>
  <c r="CO1044" i="1"/>
  <c r="CP1044" i="1"/>
  <c r="CQ1044" i="1"/>
  <c r="G445" i="1"/>
  <c r="U445" i="1"/>
  <c r="W445" i="1"/>
  <c r="AE445" i="1"/>
  <c r="AK445" i="1"/>
  <c r="AQ445" i="1"/>
  <c r="AU445" i="1"/>
  <c r="AV445" i="1"/>
  <c r="AW445" i="1"/>
  <c r="AX445" i="1"/>
  <c r="AY445" i="1"/>
  <c r="AZ445" i="1"/>
  <c r="BA445" i="1"/>
  <c r="BC445" i="1"/>
  <c r="BD445" i="1"/>
  <c r="BE445" i="1"/>
  <c r="BF445" i="1"/>
  <c r="BG445" i="1"/>
  <c r="BH445" i="1"/>
  <c r="BI445" i="1"/>
  <c r="BJ445" i="1"/>
  <c r="BM445" i="1"/>
  <c r="CA445" i="1"/>
  <c r="CN445" i="1"/>
  <c r="CO445" i="1"/>
  <c r="CP445" i="1"/>
  <c r="CQ445" i="1"/>
  <c r="G1045" i="1"/>
  <c r="U1045" i="1"/>
  <c r="W1045" i="1"/>
  <c r="AE1045" i="1"/>
  <c r="AK1045" i="1"/>
  <c r="AQ1045" i="1"/>
  <c r="AU1045" i="1"/>
  <c r="AV1045" i="1"/>
  <c r="AW1045" i="1"/>
  <c r="AX1045" i="1"/>
  <c r="AY1045" i="1"/>
  <c r="AZ1045" i="1"/>
  <c r="BA1045" i="1"/>
  <c r="BC1045" i="1"/>
  <c r="BD1045" i="1"/>
  <c r="BE1045" i="1"/>
  <c r="BF1045" i="1"/>
  <c r="BG1045" i="1"/>
  <c r="BH1045" i="1"/>
  <c r="BI1045" i="1"/>
  <c r="BJ1045" i="1"/>
  <c r="BM1045" i="1"/>
  <c r="CA1045" i="1"/>
  <c r="CN1045" i="1"/>
  <c r="CO1045" i="1"/>
  <c r="CP1045" i="1"/>
  <c r="CQ1045" i="1"/>
  <c r="G254" i="1"/>
  <c r="U254" i="1"/>
  <c r="W254" i="1"/>
  <c r="AE254" i="1"/>
  <c r="AK254" i="1"/>
  <c r="AQ254" i="1"/>
  <c r="AU254" i="1"/>
  <c r="AV254" i="1"/>
  <c r="AW254" i="1"/>
  <c r="AX254" i="1"/>
  <c r="AY254" i="1"/>
  <c r="AZ254" i="1"/>
  <c r="BA254" i="1"/>
  <c r="BC254" i="1"/>
  <c r="BD254" i="1"/>
  <c r="BE254" i="1"/>
  <c r="BF254" i="1"/>
  <c r="BG254" i="1"/>
  <c r="BH254" i="1"/>
  <c r="BI254" i="1"/>
  <c r="BJ254" i="1"/>
  <c r="BM254" i="1"/>
  <c r="CA254" i="1"/>
  <c r="CN254" i="1"/>
  <c r="CO254" i="1"/>
  <c r="CP254" i="1"/>
  <c r="CQ254" i="1"/>
  <c r="G255" i="1"/>
  <c r="U255" i="1"/>
  <c r="W255" i="1"/>
  <c r="AE255" i="1"/>
  <c r="AK255" i="1"/>
  <c r="AQ255" i="1"/>
  <c r="AU255" i="1"/>
  <c r="AV255" i="1"/>
  <c r="AW255" i="1"/>
  <c r="AX255" i="1"/>
  <c r="AY255" i="1"/>
  <c r="AZ255" i="1"/>
  <c r="BA255" i="1"/>
  <c r="BC255" i="1"/>
  <c r="BD255" i="1"/>
  <c r="BE255" i="1"/>
  <c r="BF255" i="1"/>
  <c r="BG255" i="1"/>
  <c r="BH255" i="1"/>
  <c r="BI255" i="1"/>
  <c r="BJ255" i="1"/>
  <c r="BM255" i="1"/>
  <c r="CA255" i="1"/>
  <c r="CN255" i="1"/>
  <c r="CO255" i="1"/>
  <c r="CP255" i="1"/>
  <c r="CQ255" i="1"/>
  <c r="G256" i="1"/>
  <c r="U256" i="1"/>
  <c r="W256" i="1"/>
  <c r="AE256" i="1"/>
  <c r="AK256" i="1"/>
  <c r="AQ256" i="1"/>
  <c r="AU256" i="1"/>
  <c r="AV256" i="1"/>
  <c r="AW256" i="1"/>
  <c r="AX256" i="1"/>
  <c r="AY256" i="1"/>
  <c r="AZ256" i="1"/>
  <c r="BA256" i="1"/>
  <c r="BC256" i="1"/>
  <c r="BD256" i="1"/>
  <c r="BE256" i="1"/>
  <c r="BF256" i="1"/>
  <c r="BG256" i="1"/>
  <c r="BH256" i="1"/>
  <c r="BI256" i="1"/>
  <c r="BJ256" i="1"/>
  <c r="BM256" i="1"/>
  <c r="CA256" i="1"/>
  <c r="CN256" i="1"/>
  <c r="CO256" i="1"/>
  <c r="CP256" i="1"/>
  <c r="CQ256" i="1"/>
  <c r="G1461" i="1"/>
  <c r="U1461" i="1"/>
  <c r="W1461" i="1"/>
  <c r="AE1461" i="1"/>
  <c r="AK1461" i="1"/>
  <c r="AQ1461" i="1"/>
  <c r="AU1461" i="1"/>
  <c r="AV1461" i="1"/>
  <c r="AW1461" i="1"/>
  <c r="AX1461" i="1"/>
  <c r="AY1461" i="1"/>
  <c r="AZ1461" i="1"/>
  <c r="BA1461" i="1"/>
  <c r="BC1461" i="1"/>
  <c r="BD1461" i="1"/>
  <c r="BE1461" i="1"/>
  <c r="BF1461" i="1"/>
  <c r="BG1461" i="1"/>
  <c r="BH1461" i="1"/>
  <c r="BI1461" i="1"/>
  <c r="BJ1461" i="1"/>
  <c r="BM1461" i="1"/>
  <c r="CA1461" i="1"/>
  <c r="CN1461" i="1"/>
  <c r="CO1461" i="1"/>
  <c r="CP1461" i="1"/>
  <c r="CQ1461" i="1"/>
  <c r="G446" i="1"/>
  <c r="U446" i="1"/>
  <c r="W446" i="1"/>
  <c r="AE446" i="1"/>
  <c r="AK446" i="1"/>
  <c r="AQ446" i="1"/>
  <c r="AU446" i="1"/>
  <c r="AV446" i="1"/>
  <c r="AW446" i="1"/>
  <c r="AX446" i="1"/>
  <c r="AY446" i="1"/>
  <c r="AZ446" i="1"/>
  <c r="BA446" i="1"/>
  <c r="BC446" i="1"/>
  <c r="BD446" i="1"/>
  <c r="BE446" i="1"/>
  <c r="BF446" i="1"/>
  <c r="BG446" i="1"/>
  <c r="BH446" i="1"/>
  <c r="BI446" i="1"/>
  <c r="BJ446" i="1"/>
  <c r="BM446" i="1"/>
  <c r="CA446" i="1"/>
  <c r="CN446" i="1"/>
  <c r="CO446" i="1"/>
  <c r="CP446" i="1"/>
  <c r="CQ446" i="1"/>
  <c r="G1046" i="1"/>
  <c r="U1046" i="1"/>
  <c r="W1046" i="1"/>
  <c r="AE1046" i="1"/>
  <c r="AK1046" i="1"/>
  <c r="AQ1046" i="1"/>
  <c r="AU1046" i="1"/>
  <c r="AV1046" i="1"/>
  <c r="AW1046" i="1"/>
  <c r="AX1046" i="1"/>
  <c r="AY1046" i="1"/>
  <c r="AZ1046" i="1"/>
  <c r="BA1046" i="1"/>
  <c r="BC1046" i="1"/>
  <c r="BD1046" i="1"/>
  <c r="BE1046" i="1"/>
  <c r="BF1046" i="1"/>
  <c r="BG1046" i="1"/>
  <c r="BH1046" i="1"/>
  <c r="BI1046" i="1"/>
  <c r="BJ1046" i="1"/>
  <c r="BM1046" i="1"/>
  <c r="CA1046" i="1"/>
  <c r="CN1046" i="1"/>
  <c r="CO1046" i="1"/>
  <c r="CP1046" i="1"/>
  <c r="CQ1046" i="1"/>
  <c r="G1047" i="1"/>
  <c r="U1047" i="1"/>
  <c r="W1047" i="1"/>
  <c r="AE1047" i="1"/>
  <c r="AK1047" i="1"/>
  <c r="AQ1047" i="1"/>
  <c r="AU1047" i="1"/>
  <c r="AV1047" i="1"/>
  <c r="AW1047" i="1"/>
  <c r="AX1047" i="1"/>
  <c r="AY1047" i="1"/>
  <c r="AZ1047" i="1"/>
  <c r="BA1047" i="1"/>
  <c r="BC1047" i="1"/>
  <c r="BD1047" i="1"/>
  <c r="BE1047" i="1"/>
  <c r="BF1047" i="1"/>
  <c r="BG1047" i="1"/>
  <c r="BH1047" i="1"/>
  <c r="BI1047" i="1"/>
  <c r="BJ1047" i="1"/>
  <c r="BM1047" i="1"/>
  <c r="CA1047" i="1"/>
  <c r="CN1047" i="1"/>
  <c r="CO1047" i="1"/>
  <c r="CP1047" i="1"/>
  <c r="CQ1047" i="1"/>
  <c r="G1048" i="1"/>
  <c r="U1048" i="1"/>
  <c r="W1048" i="1"/>
  <c r="AE1048" i="1"/>
  <c r="AK1048" i="1"/>
  <c r="AQ1048" i="1"/>
  <c r="AU1048" i="1"/>
  <c r="AV1048" i="1"/>
  <c r="AW1048" i="1"/>
  <c r="AX1048" i="1"/>
  <c r="AY1048" i="1"/>
  <c r="AZ1048" i="1"/>
  <c r="BA1048" i="1"/>
  <c r="BC1048" i="1"/>
  <c r="BD1048" i="1"/>
  <c r="BE1048" i="1"/>
  <c r="BF1048" i="1"/>
  <c r="BG1048" i="1"/>
  <c r="BH1048" i="1"/>
  <c r="BI1048" i="1"/>
  <c r="BJ1048" i="1"/>
  <c r="BM1048" i="1"/>
  <c r="CA1048" i="1"/>
  <c r="CN1048" i="1"/>
  <c r="CO1048" i="1"/>
  <c r="CP1048" i="1"/>
  <c r="CQ1048" i="1"/>
  <c r="G447" i="1"/>
  <c r="U447" i="1"/>
  <c r="W447" i="1"/>
  <c r="AE447" i="1"/>
  <c r="AK447" i="1"/>
  <c r="AQ447" i="1"/>
  <c r="AU447" i="1"/>
  <c r="AV447" i="1"/>
  <c r="AW447" i="1"/>
  <c r="AX447" i="1"/>
  <c r="AY447" i="1"/>
  <c r="AZ447" i="1"/>
  <c r="BA447" i="1"/>
  <c r="BC447" i="1"/>
  <c r="BD447" i="1"/>
  <c r="BE447" i="1"/>
  <c r="BF447" i="1"/>
  <c r="BG447" i="1"/>
  <c r="BH447" i="1"/>
  <c r="BI447" i="1"/>
  <c r="BJ447" i="1"/>
  <c r="BM447" i="1"/>
  <c r="CA447" i="1"/>
  <c r="CN447" i="1"/>
  <c r="CO447" i="1"/>
  <c r="CP447" i="1"/>
  <c r="CQ447" i="1"/>
  <c r="G1462" i="1"/>
  <c r="U1462" i="1"/>
  <c r="W1462" i="1"/>
  <c r="AE1462" i="1"/>
  <c r="AK1462" i="1"/>
  <c r="AQ1462" i="1"/>
  <c r="AU1462" i="1"/>
  <c r="AV1462" i="1"/>
  <c r="AW1462" i="1"/>
  <c r="AX1462" i="1"/>
  <c r="AY1462" i="1"/>
  <c r="AZ1462" i="1"/>
  <c r="BA1462" i="1"/>
  <c r="BC1462" i="1"/>
  <c r="BD1462" i="1"/>
  <c r="BE1462" i="1"/>
  <c r="BF1462" i="1"/>
  <c r="BG1462" i="1"/>
  <c r="BH1462" i="1"/>
  <c r="BI1462" i="1"/>
  <c r="BJ1462" i="1"/>
  <c r="BM1462" i="1"/>
  <c r="CA1462" i="1"/>
  <c r="CN1462" i="1"/>
  <c r="CO1462" i="1"/>
  <c r="CP1462" i="1"/>
  <c r="CQ1462" i="1"/>
  <c r="G1049" i="1"/>
  <c r="U1049" i="1"/>
  <c r="W1049" i="1"/>
  <c r="AE1049" i="1"/>
  <c r="AK1049" i="1"/>
  <c r="AQ1049" i="1"/>
  <c r="AU1049" i="1"/>
  <c r="AV1049" i="1"/>
  <c r="AW1049" i="1"/>
  <c r="AX1049" i="1"/>
  <c r="AY1049" i="1"/>
  <c r="AZ1049" i="1"/>
  <c r="BA1049" i="1"/>
  <c r="BC1049" i="1"/>
  <c r="BD1049" i="1"/>
  <c r="BE1049" i="1"/>
  <c r="BF1049" i="1"/>
  <c r="BG1049" i="1"/>
  <c r="BH1049" i="1"/>
  <c r="BI1049" i="1"/>
  <c r="BJ1049" i="1"/>
  <c r="BM1049" i="1"/>
  <c r="CA1049" i="1"/>
  <c r="CN1049" i="1"/>
  <c r="CO1049" i="1"/>
  <c r="CP1049" i="1"/>
  <c r="CQ1049" i="1"/>
  <c r="G1463" i="1"/>
  <c r="U1463" i="1"/>
  <c r="W1463" i="1"/>
  <c r="AE1463" i="1"/>
  <c r="AK1463" i="1"/>
  <c r="AQ1463" i="1"/>
  <c r="AU1463" i="1"/>
  <c r="AV1463" i="1"/>
  <c r="AW1463" i="1"/>
  <c r="AX1463" i="1"/>
  <c r="AY1463" i="1"/>
  <c r="AZ1463" i="1"/>
  <c r="BA1463" i="1"/>
  <c r="BC1463" i="1"/>
  <c r="BD1463" i="1"/>
  <c r="BE1463" i="1"/>
  <c r="BF1463" i="1"/>
  <c r="BG1463" i="1"/>
  <c r="BH1463" i="1"/>
  <c r="BI1463" i="1"/>
  <c r="BJ1463" i="1"/>
  <c r="BM1463" i="1"/>
  <c r="CA1463" i="1"/>
  <c r="CN1463" i="1"/>
  <c r="CO1463" i="1"/>
  <c r="CP1463" i="1"/>
  <c r="CQ1463" i="1"/>
  <c r="G448" i="1"/>
  <c r="U448" i="1"/>
  <c r="W448" i="1"/>
  <c r="AE448" i="1"/>
  <c r="AK448" i="1"/>
  <c r="AQ448" i="1"/>
  <c r="AU448" i="1"/>
  <c r="AV448" i="1"/>
  <c r="AW448" i="1"/>
  <c r="AX448" i="1"/>
  <c r="AY448" i="1"/>
  <c r="AZ448" i="1"/>
  <c r="BA448" i="1"/>
  <c r="BC448" i="1"/>
  <c r="BD448" i="1"/>
  <c r="BE448" i="1"/>
  <c r="BF448" i="1"/>
  <c r="BG448" i="1"/>
  <c r="BH448" i="1"/>
  <c r="BI448" i="1"/>
  <c r="BJ448" i="1"/>
  <c r="BM448" i="1"/>
  <c r="CA448" i="1"/>
  <c r="CN448" i="1"/>
  <c r="CO448" i="1"/>
  <c r="CP448" i="1"/>
  <c r="CQ448" i="1"/>
  <c r="G1050" i="1"/>
  <c r="U1050" i="1"/>
  <c r="W1050" i="1"/>
  <c r="AE1050" i="1"/>
  <c r="AK1050" i="1"/>
  <c r="AQ1050" i="1"/>
  <c r="AU1050" i="1"/>
  <c r="AV1050" i="1"/>
  <c r="AW1050" i="1"/>
  <c r="AX1050" i="1"/>
  <c r="AY1050" i="1"/>
  <c r="AZ1050" i="1"/>
  <c r="BA1050" i="1"/>
  <c r="BC1050" i="1"/>
  <c r="BD1050" i="1"/>
  <c r="BE1050" i="1"/>
  <c r="BF1050" i="1"/>
  <c r="BG1050" i="1"/>
  <c r="BH1050" i="1"/>
  <c r="BI1050" i="1"/>
  <c r="BJ1050" i="1"/>
  <c r="BM1050" i="1"/>
  <c r="CA1050" i="1"/>
  <c r="CN1050" i="1"/>
  <c r="CO1050" i="1"/>
  <c r="CP1050" i="1"/>
  <c r="CQ1050" i="1"/>
  <c r="G1051" i="1"/>
  <c r="U1051" i="1"/>
  <c r="W1051" i="1"/>
  <c r="AE1051" i="1"/>
  <c r="AK1051" i="1"/>
  <c r="AQ1051" i="1"/>
  <c r="AU1051" i="1"/>
  <c r="AV1051" i="1"/>
  <c r="AW1051" i="1"/>
  <c r="AX1051" i="1"/>
  <c r="AY1051" i="1"/>
  <c r="AZ1051" i="1"/>
  <c r="BA1051" i="1"/>
  <c r="BC1051" i="1"/>
  <c r="BD1051" i="1"/>
  <c r="BE1051" i="1"/>
  <c r="BF1051" i="1"/>
  <c r="BG1051" i="1"/>
  <c r="BH1051" i="1"/>
  <c r="BI1051" i="1"/>
  <c r="BJ1051" i="1"/>
  <c r="BM1051" i="1"/>
  <c r="CA1051" i="1"/>
  <c r="CN1051" i="1"/>
  <c r="CO1051" i="1"/>
  <c r="CP1051" i="1"/>
  <c r="CQ1051" i="1"/>
  <c r="G1052" i="1"/>
  <c r="U1052" i="1"/>
  <c r="W1052" i="1"/>
  <c r="AE1052" i="1"/>
  <c r="AK1052" i="1"/>
  <c r="AQ1052" i="1"/>
  <c r="AU1052" i="1"/>
  <c r="AV1052" i="1"/>
  <c r="AW1052" i="1"/>
  <c r="AX1052" i="1"/>
  <c r="AY1052" i="1"/>
  <c r="AZ1052" i="1"/>
  <c r="BA1052" i="1"/>
  <c r="BC1052" i="1"/>
  <c r="BD1052" i="1"/>
  <c r="BE1052" i="1"/>
  <c r="BF1052" i="1"/>
  <c r="BG1052" i="1"/>
  <c r="BH1052" i="1"/>
  <c r="BI1052" i="1"/>
  <c r="BJ1052" i="1"/>
  <c r="BM1052" i="1"/>
  <c r="CA1052" i="1"/>
  <c r="CN1052" i="1"/>
  <c r="CO1052" i="1"/>
  <c r="CP1052" i="1"/>
  <c r="CQ1052" i="1"/>
  <c r="G257" i="1"/>
  <c r="U257" i="1"/>
  <c r="W257" i="1"/>
  <c r="AE257" i="1"/>
  <c r="AK257" i="1"/>
  <c r="AQ257" i="1"/>
  <c r="AU257" i="1"/>
  <c r="AV257" i="1"/>
  <c r="AW257" i="1"/>
  <c r="AX257" i="1"/>
  <c r="AY257" i="1"/>
  <c r="AZ257" i="1"/>
  <c r="BA257" i="1"/>
  <c r="BC257" i="1"/>
  <c r="BD257" i="1"/>
  <c r="BE257" i="1"/>
  <c r="BF257" i="1"/>
  <c r="BG257" i="1"/>
  <c r="BH257" i="1"/>
  <c r="BI257" i="1"/>
  <c r="BJ257" i="1"/>
  <c r="BM257" i="1"/>
  <c r="CA257" i="1"/>
  <c r="CN257" i="1"/>
  <c r="CO257" i="1"/>
  <c r="CP257" i="1"/>
  <c r="CQ257" i="1"/>
  <c r="G258" i="1"/>
  <c r="U258" i="1"/>
  <c r="W258" i="1"/>
  <c r="AE258" i="1"/>
  <c r="AK258" i="1"/>
  <c r="AQ258" i="1"/>
  <c r="AU258" i="1"/>
  <c r="AV258" i="1"/>
  <c r="AW258" i="1"/>
  <c r="AX258" i="1"/>
  <c r="AY258" i="1"/>
  <c r="AZ258" i="1"/>
  <c r="BA258" i="1"/>
  <c r="BC258" i="1"/>
  <c r="BD258" i="1"/>
  <c r="BE258" i="1"/>
  <c r="BF258" i="1"/>
  <c r="BG258" i="1"/>
  <c r="BH258" i="1"/>
  <c r="BI258" i="1"/>
  <c r="BJ258" i="1"/>
  <c r="BM258" i="1"/>
  <c r="CA258" i="1"/>
  <c r="CN258" i="1"/>
  <c r="CO258" i="1"/>
  <c r="CP258" i="1"/>
  <c r="CQ258" i="1"/>
  <c r="G1053" i="1"/>
  <c r="U1053" i="1"/>
  <c r="W1053" i="1"/>
  <c r="AE1053" i="1"/>
  <c r="AK1053" i="1"/>
  <c r="AQ1053" i="1"/>
  <c r="AU1053" i="1"/>
  <c r="AV1053" i="1"/>
  <c r="AW1053" i="1"/>
  <c r="AX1053" i="1"/>
  <c r="AY1053" i="1"/>
  <c r="AZ1053" i="1"/>
  <c r="BA1053" i="1"/>
  <c r="BC1053" i="1"/>
  <c r="BD1053" i="1"/>
  <c r="BE1053" i="1"/>
  <c r="BF1053" i="1"/>
  <c r="BG1053" i="1"/>
  <c r="BH1053" i="1"/>
  <c r="BI1053" i="1"/>
  <c r="BJ1053" i="1"/>
  <c r="BM1053" i="1"/>
  <c r="CA1053" i="1"/>
  <c r="CN1053" i="1"/>
  <c r="CO1053" i="1"/>
  <c r="CP1053" i="1"/>
  <c r="CQ1053" i="1"/>
  <c r="G1054" i="1"/>
  <c r="U1054" i="1"/>
  <c r="W1054" i="1"/>
  <c r="AE1054" i="1"/>
  <c r="AK1054" i="1"/>
  <c r="AQ1054" i="1"/>
  <c r="AU1054" i="1"/>
  <c r="AV1054" i="1"/>
  <c r="AW1054" i="1"/>
  <c r="AX1054" i="1"/>
  <c r="AY1054" i="1"/>
  <c r="AZ1054" i="1"/>
  <c r="BA1054" i="1"/>
  <c r="BC1054" i="1"/>
  <c r="BD1054" i="1"/>
  <c r="BE1054" i="1"/>
  <c r="BF1054" i="1"/>
  <c r="BG1054" i="1"/>
  <c r="BH1054" i="1"/>
  <c r="BI1054" i="1"/>
  <c r="BJ1054" i="1"/>
  <c r="BM1054" i="1"/>
  <c r="CA1054" i="1"/>
  <c r="CN1054" i="1"/>
  <c r="CO1054" i="1"/>
  <c r="CP1054" i="1"/>
  <c r="CQ1054" i="1"/>
  <c r="G259" i="1"/>
  <c r="U259" i="1"/>
  <c r="W259" i="1"/>
  <c r="AE259" i="1"/>
  <c r="AK259" i="1"/>
  <c r="AQ259" i="1"/>
  <c r="AU259" i="1"/>
  <c r="AV259" i="1"/>
  <c r="AW259" i="1"/>
  <c r="AX259" i="1"/>
  <c r="AY259" i="1"/>
  <c r="AZ259" i="1"/>
  <c r="BA259" i="1"/>
  <c r="BC259" i="1"/>
  <c r="BD259" i="1"/>
  <c r="BE259" i="1"/>
  <c r="BF259" i="1"/>
  <c r="BG259" i="1"/>
  <c r="BH259" i="1"/>
  <c r="BI259" i="1"/>
  <c r="BJ259" i="1"/>
  <c r="BM259" i="1"/>
  <c r="CA259" i="1"/>
  <c r="CN259" i="1"/>
  <c r="CO259" i="1"/>
  <c r="CP259" i="1"/>
  <c r="CQ259" i="1"/>
  <c r="G1055" i="1"/>
  <c r="U1055" i="1"/>
  <c r="W1055" i="1"/>
  <c r="AE1055" i="1"/>
  <c r="AK1055" i="1"/>
  <c r="AQ1055" i="1"/>
  <c r="AU1055" i="1"/>
  <c r="AV1055" i="1"/>
  <c r="AW1055" i="1"/>
  <c r="AX1055" i="1"/>
  <c r="AY1055" i="1"/>
  <c r="AZ1055" i="1"/>
  <c r="BA1055" i="1"/>
  <c r="BC1055" i="1"/>
  <c r="BD1055" i="1"/>
  <c r="BE1055" i="1"/>
  <c r="BF1055" i="1"/>
  <c r="BG1055" i="1"/>
  <c r="BH1055" i="1"/>
  <c r="BI1055" i="1"/>
  <c r="BJ1055" i="1"/>
  <c r="BM1055" i="1"/>
  <c r="CA1055" i="1"/>
  <c r="CN1055" i="1"/>
  <c r="CO1055" i="1"/>
  <c r="CP1055" i="1"/>
  <c r="CQ1055" i="1"/>
  <c r="G1464" i="1"/>
  <c r="U1464" i="1"/>
  <c r="W1464" i="1"/>
  <c r="AE1464" i="1"/>
  <c r="AK1464" i="1"/>
  <c r="AQ1464" i="1"/>
  <c r="AU1464" i="1"/>
  <c r="AV1464" i="1"/>
  <c r="AW1464" i="1"/>
  <c r="AX1464" i="1"/>
  <c r="AY1464" i="1"/>
  <c r="AZ1464" i="1"/>
  <c r="BA1464" i="1"/>
  <c r="BC1464" i="1"/>
  <c r="BD1464" i="1"/>
  <c r="BE1464" i="1"/>
  <c r="BF1464" i="1"/>
  <c r="BG1464" i="1"/>
  <c r="BH1464" i="1"/>
  <c r="BI1464" i="1"/>
  <c r="BJ1464" i="1"/>
  <c r="BM1464" i="1"/>
  <c r="CA1464" i="1"/>
  <c r="CN1464" i="1"/>
  <c r="CO1464" i="1"/>
  <c r="CP1464" i="1"/>
  <c r="CQ1464" i="1"/>
  <c r="G1056" i="1"/>
  <c r="U1056" i="1"/>
  <c r="W1056" i="1"/>
  <c r="AE1056" i="1"/>
  <c r="AK1056" i="1"/>
  <c r="AQ1056" i="1"/>
  <c r="AU1056" i="1"/>
  <c r="AV1056" i="1"/>
  <c r="AW1056" i="1"/>
  <c r="AX1056" i="1"/>
  <c r="AY1056" i="1"/>
  <c r="AZ1056" i="1"/>
  <c r="BA1056" i="1"/>
  <c r="BC1056" i="1"/>
  <c r="BD1056" i="1"/>
  <c r="BE1056" i="1"/>
  <c r="BF1056" i="1"/>
  <c r="BG1056" i="1"/>
  <c r="BH1056" i="1"/>
  <c r="BI1056" i="1"/>
  <c r="BJ1056" i="1"/>
  <c r="BM1056" i="1"/>
  <c r="CA1056" i="1"/>
  <c r="CN1056" i="1"/>
  <c r="CO1056" i="1"/>
  <c r="CP1056" i="1"/>
  <c r="CQ1056" i="1"/>
  <c r="G1057" i="1"/>
  <c r="U1057" i="1"/>
  <c r="W1057" i="1"/>
  <c r="AE1057" i="1"/>
  <c r="AK1057" i="1"/>
  <c r="AQ1057" i="1"/>
  <c r="AU1057" i="1"/>
  <c r="AV1057" i="1"/>
  <c r="AW1057" i="1"/>
  <c r="AX1057" i="1"/>
  <c r="AY1057" i="1"/>
  <c r="AZ1057" i="1"/>
  <c r="BA1057" i="1"/>
  <c r="BC1057" i="1"/>
  <c r="BD1057" i="1"/>
  <c r="BE1057" i="1"/>
  <c r="BF1057" i="1"/>
  <c r="BG1057" i="1"/>
  <c r="BH1057" i="1"/>
  <c r="BI1057" i="1"/>
  <c r="BJ1057" i="1"/>
  <c r="BM1057" i="1"/>
  <c r="CA1057" i="1"/>
  <c r="CN1057" i="1"/>
  <c r="CO1057" i="1"/>
  <c r="CP1057" i="1"/>
  <c r="CQ1057" i="1"/>
  <c r="G260" i="1"/>
  <c r="U260" i="1"/>
  <c r="W260" i="1"/>
  <c r="AE260" i="1"/>
  <c r="AK260" i="1"/>
  <c r="AQ260" i="1"/>
  <c r="AU260" i="1"/>
  <c r="AV260" i="1"/>
  <c r="AW260" i="1"/>
  <c r="AX260" i="1"/>
  <c r="AY260" i="1"/>
  <c r="AZ260" i="1"/>
  <c r="BA260" i="1"/>
  <c r="BC260" i="1"/>
  <c r="BD260" i="1"/>
  <c r="BE260" i="1"/>
  <c r="BF260" i="1"/>
  <c r="BG260" i="1"/>
  <c r="BH260" i="1"/>
  <c r="BI260" i="1"/>
  <c r="BJ260" i="1"/>
  <c r="BM260" i="1"/>
  <c r="CA260" i="1"/>
  <c r="CN260" i="1"/>
  <c r="CO260" i="1"/>
  <c r="CP260" i="1"/>
  <c r="CQ260" i="1"/>
  <c r="G449" i="1"/>
  <c r="U449" i="1"/>
  <c r="W449" i="1"/>
  <c r="AE449" i="1"/>
  <c r="AK449" i="1"/>
  <c r="AQ449" i="1"/>
  <c r="AU449" i="1"/>
  <c r="AV449" i="1"/>
  <c r="AW449" i="1"/>
  <c r="AX449" i="1"/>
  <c r="AY449" i="1"/>
  <c r="AZ449" i="1"/>
  <c r="BA449" i="1"/>
  <c r="BC449" i="1"/>
  <c r="BD449" i="1"/>
  <c r="BE449" i="1"/>
  <c r="BF449" i="1"/>
  <c r="BG449" i="1"/>
  <c r="BH449" i="1"/>
  <c r="BI449" i="1"/>
  <c r="BJ449" i="1"/>
  <c r="BM449" i="1"/>
  <c r="CA449" i="1"/>
  <c r="CN449" i="1"/>
  <c r="CO449" i="1"/>
  <c r="CP449" i="1"/>
  <c r="CQ449" i="1"/>
  <c r="G261" i="1"/>
  <c r="U261" i="1"/>
  <c r="W261" i="1"/>
  <c r="AE261" i="1"/>
  <c r="AK261" i="1"/>
  <c r="AQ261" i="1"/>
  <c r="AU261" i="1"/>
  <c r="AV261" i="1"/>
  <c r="AW261" i="1"/>
  <c r="AX261" i="1"/>
  <c r="AY261" i="1"/>
  <c r="AZ261" i="1"/>
  <c r="BA261" i="1"/>
  <c r="BC261" i="1"/>
  <c r="BD261" i="1"/>
  <c r="BE261" i="1"/>
  <c r="BF261" i="1"/>
  <c r="BG261" i="1"/>
  <c r="BH261" i="1"/>
  <c r="BI261" i="1"/>
  <c r="BJ261" i="1"/>
  <c r="BM261" i="1"/>
  <c r="CA261" i="1"/>
  <c r="CN261" i="1"/>
  <c r="CO261" i="1"/>
  <c r="CP261" i="1"/>
  <c r="CQ261" i="1"/>
  <c r="G1058" i="1"/>
  <c r="U1058" i="1"/>
  <c r="W1058" i="1"/>
  <c r="AE1058" i="1"/>
  <c r="AK1058" i="1"/>
  <c r="AQ1058" i="1"/>
  <c r="AU1058" i="1"/>
  <c r="AV1058" i="1"/>
  <c r="AW1058" i="1"/>
  <c r="AX1058" i="1"/>
  <c r="AY1058" i="1"/>
  <c r="AZ1058" i="1"/>
  <c r="BA1058" i="1"/>
  <c r="BC1058" i="1"/>
  <c r="BD1058" i="1"/>
  <c r="BE1058" i="1"/>
  <c r="BF1058" i="1"/>
  <c r="BG1058" i="1"/>
  <c r="BH1058" i="1"/>
  <c r="BI1058" i="1"/>
  <c r="BJ1058" i="1"/>
  <c r="BM1058" i="1"/>
  <c r="CA1058" i="1"/>
  <c r="CN1058" i="1"/>
  <c r="CO1058" i="1"/>
  <c r="CP1058" i="1"/>
  <c r="CQ1058" i="1"/>
  <c r="G1059" i="1"/>
  <c r="U1059" i="1"/>
  <c r="W1059" i="1"/>
  <c r="AE1059" i="1"/>
  <c r="AK1059" i="1"/>
  <c r="AQ1059" i="1"/>
  <c r="AU1059" i="1"/>
  <c r="AV1059" i="1"/>
  <c r="AW1059" i="1"/>
  <c r="AX1059" i="1"/>
  <c r="AY1059" i="1"/>
  <c r="AZ1059" i="1"/>
  <c r="BA1059" i="1"/>
  <c r="BC1059" i="1"/>
  <c r="BD1059" i="1"/>
  <c r="BE1059" i="1"/>
  <c r="BF1059" i="1"/>
  <c r="BG1059" i="1"/>
  <c r="BH1059" i="1"/>
  <c r="BI1059" i="1"/>
  <c r="BJ1059" i="1"/>
  <c r="BM1059" i="1"/>
  <c r="CA1059" i="1"/>
  <c r="CN1059" i="1"/>
  <c r="CO1059" i="1"/>
  <c r="CP1059" i="1"/>
  <c r="CQ1059" i="1"/>
  <c r="G1465" i="1"/>
  <c r="U1465" i="1"/>
  <c r="W1465" i="1"/>
  <c r="AE1465" i="1"/>
  <c r="AK1465" i="1"/>
  <c r="AQ1465" i="1"/>
  <c r="AU1465" i="1"/>
  <c r="AV1465" i="1"/>
  <c r="AW1465" i="1"/>
  <c r="AX1465" i="1"/>
  <c r="AY1465" i="1"/>
  <c r="AZ1465" i="1"/>
  <c r="BA1465" i="1"/>
  <c r="BC1465" i="1"/>
  <c r="BD1465" i="1"/>
  <c r="BE1465" i="1"/>
  <c r="BF1465" i="1"/>
  <c r="BG1465" i="1"/>
  <c r="BH1465" i="1"/>
  <c r="BI1465" i="1"/>
  <c r="BJ1465" i="1"/>
  <c r="BM1465" i="1"/>
  <c r="CA1465" i="1"/>
  <c r="CN1465" i="1"/>
  <c r="CO1465" i="1"/>
  <c r="CP1465" i="1"/>
  <c r="CQ1465" i="1"/>
  <c r="G1466" i="1"/>
  <c r="U1466" i="1"/>
  <c r="W1466" i="1"/>
  <c r="AE1466" i="1"/>
  <c r="AK1466" i="1"/>
  <c r="AQ1466" i="1"/>
  <c r="AU1466" i="1"/>
  <c r="AV1466" i="1"/>
  <c r="AW1466" i="1"/>
  <c r="AX1466" i="1"/>
  <c r="AY1466" i="1"/>
  <c r="AZ1466" i="1"/>
  <c r="BA1466" i="1"/>
  <c r="BC1466" i="1"/>
  <c r="BD1466" i="1"/>
  <c r="BE1466" i="1"/>
  <c r="BF1466" i="1"/>
  <c r="BG1466" i="1"/>
  <c r="BH1466" i="1"/>
  <c r="BI1466" i="1"/>
  <c r="BJ1466" i="1"/>
  <c r="BM1466" i="1"/>
  <c r="CA1466" i="1"/>
  <c r="CN1466" i="1"/>
  <c r="CO1466" i="1"/>
  <c r="CP1466" i="1"/>
  <c r="CQ1466" i="1"/>
  <c r="G1060" i="1"/>
  <c r="U1060" i="1"/>
  <c r="W1060" i="1"/>
  <c r="AE1060" i="1"/>
  <c r="AK1060" i="1"/>
  <c r="AQ1060" i="1"/>
  <c r="AU1060" i="1"/>
  <c r="AV1060" i="1"/>
  <c r="AW1060" i="1"/>
  <c r="AX1060" i="1"/>
  <c r="AY1060" i="1"/>
  <c r="AZ1060" i="1"/>
  <c r="BA1060" i="1"/>
  <c r="BC1060" i="1"/>
  <c r="BD1060" i="1"/>
  <c r="BE1060" i="1"/>
  <c r="BF1060" i="1"/>
  <c r="BG1060" i="1"/>
  <c r="BH1060" i="1"/>
  <c r="BI1060" i="1"/>
  <c r="BJ1060" i="1"/>
  <c r="BM1060" i="1"/>
  <c r="CA1060" i="1"/>
  <c r="CN1060" i="1"/>
  <c r="CO1060" i="1"/>
  <c r="CP1060" i="1"/>
  <c r="CQ1060" i="1"/>
  <c r="G1061" i="1"/>
  <c r="U1061" i="1"/>
  <c r="W1061" i="1"/>
  <c r="AE1061" i="1"/>
  <c r="AK1061" i="1"/>
  <c r="AQ1061" i="1"/>
  <c r="AU1061" i="1"/>
  <c r="AV1061" i="1"/>
  <c r="AW1061" i="1"/>
  <c r="AX1061" i="1"/>
  <c r="AY1061" i="1"/>
  <c r="AZ1061" i="1"/>
  <c r="BA1061" i="1"/>
  <c r="BC1061" i="1"/>
  <c r="BD1061" i="1"/>
  <c r="BE1061" i="1"/>
  <c r="BF1061" i="1"/>
  <c r="BG1061" i="1"/>
  <c r="BH1061" i="1"/>
  <c r="BI1061" i="1"/>
  <c r="BJ1061" i="1"/>
  <c r="BM1061" i="1"/>
  <c r="CA1061" i="1"/>
  <c r="CN1061" i="1"/>
  <c r="CO1061" i="1"/>
  <c r="CP1061" i="1"/>
  <c r="CQ1061" i="1"/>
  <c r="G1062" i="1"/>
  <c r="U1062" i="1"/>
  <c r="W1062" i="1"/>
  <c r="AE1062" i="1"/>
  <c r="AK1062" i="1"/>
  <c r="AQ1062" i="1"/>
  <c r="AU1062" i="1"/>
  <c r="AV1062" i="1"/>
  <c r="AW1062" i="1"/>
  <c r="AX1062" i="1"/>
  <c r="AY1062" i="1"/>
  <c r="AZ1062" i="1"/>
  <c r="BA1062" i="1"/>
  <c r="BC1062" i="1"/>
  <c r="BD1062" i="1"/>
  <c r="BE1062" i="1"/>
  <c r="BF1062" i="1"/>
  <c r="BG1062" i="1"/>
  <c r="BH1062" i="1"/>
  <c r="BI1062" i="1"/>
  <c r="BJ1062" i="1"/>
  <c r="BM1062" i="1"/>
  <c r="CA1062" i="1"/>
  <c r="CN1062" i="1"/>
  <c r="CO1062" i="1"/>
  <c r="CP1062" i="1"/>
  <c r="CQ1062" i="1"/>
  <c r="G1063" i="1"/>
  <c r="U1063" i="1"/>
  <c r="W1063" i="1"/>
  <c r="AE1063" i="1"/>
  <c r="AK1063" i="1"/>
  <c r="AQ1063" i="1"/>
  <c r="AU1063" i="1"/>
  <c r="AV1063" i="1"/>
  <c r="AW1063" i="1"/>
  <c r="AX1063" i="1"/>
  <c r="AY1063" i="1"/>
  <c r="AZ1063" i="1"/>
  <c r="BA1063" i="1"/>
  <c r="BC1063" i="1"/>
  <c r="BD1063" i="1"/>
  <c r="BE1063" i="1"/>
  <c r="BF1063" i="1"/>
  <c r="BG1063" i="1"/>
  <c r="BH1063" i="1"/>
  <c r="BI1063" i="1"/>
  <c r="BJ1063" i="1"/>
  <c r="BM1063" i="1"/>
  <c r="CA1063" i="1"/>
  <c r="CN1063" i="1"/>
  <c r="CO1063" i="1"/>
  <c r="CP1063" i="1"/>
  <c r="CQ1063" i="1"/>
  <c r="G1064" i="1"/>
  <c r="U1064" i="1"/>
  <c r="W1064" i="1"/>
  <c r="AE1064" i="1"/>
  <c r="AK1064" i="1"/>
  <c r="AQ1064" i="1"/>
  <c r="AU1064" i="1"/>
  <c r="AV1064" i="1"/>
  <c r="AW1064" i="1"/>
  <c r="AX1064" i="1"/>
  <c r="AY1064" i="1"/>
  <c r="AZ1064" i="1"/>
  <c r="BA1064" i="1"/>
  <c r="BC1064" i="1"/>
  <c r="BD1064" i="1"/>
  <c r="BE1064" i="1"/>
  <c r="BF1064" i="1"/>
  <c r="BG1064" i="1"/>
  <c r="BH1064" i="1"/>
  <c r="BI1064" i="1"/>
  <c r="BJ1064" i="1"/>
  <c r="BM1064" i="1"/>
  <c r="CA1064" i="1"/>
  <c r="CN1064" i="1"/>
  <c r="CO1064" i="1"/>
  <c r="CP1064" i="1"/>
  <c r="CQ1064" i="1"/>
  <c r="G1065" i="1"/>
  <c r="U1065" i="1"/>
  <c r="W1065" i="1"/>
  <c r="AE1065" i="1"/>
  <c r="AK1065" i="1"/>
  <c r="AQ1065" i="1"/>
  <c r="AU1065" i="1"/>
  <c r="AV1065" i="1"/>
  <c r="AW1065" i="1"/>
  <c r="AX1065" i="1"/>
  <c r="AY1065" i="1"/>
  <c r="AZ1065" i="1"/>
  <c r="BA1065" i="1"/>
  <c r="BC1065" i="1"/>
  <c r="BD1065" i="1"/>
  <c r="BE1065" i="1"/>
  <c r="BF1065" i="1"/>
  <c r="BG1065" i="1"/>
  <c r="BH1065" i="1"/>
  <c r="BI1065" i="1"/>
  <c r="BJ1065" i="1"/>
  <c r="BM1065" i="1"/>
  <c r="CA1065" i="1"/>
  <c r="CN1065" i="1"/>
  <c r="CO1065" i="1"/>
  <c r="CP1065" i="1"/>
  <c r="CQ1065" i="1"/>
  <c r="G1066" i="1"/>
  <c r="U1066" i="1"/>
  <c r="W1066" i="1"/>
  <c r="AE1066" i="1"/>
  <c r="AK1066" i="1"/>
  <c r="AQ1066" i="1"/>
  <c r="AU1066" i="1"/>
  <c r="AV1066" i="1"/>
  <c r="AW1066" i="1"/>
  <c r="AX1066" i="1"/>
  <c r="AY1066" i="1"/>
  <c r="AZ1066" i="1"/>
  <c r="BA1066" i="1"/>
  <c r="BC1066" i="1"/>
  <c r="BD1066" i="1"/>
  <c r="BE1066" i="1"/>
  <c r="BF1066" i="1"/>
  <c r="BG1066" i="1"/>
  <c r="BH1066" i="1"/>
  <c r="BI1066" i="1"/>
  <c r="BJ1066" i="1"/>
  <c r="BM1066" i="1"/>
  <c r="CA1066" i="1"/>
  <c r="CN1066" i="1"/>
  <c r="CO1066" i="1"/>
  <c r="CP1066" i="1"/>
  <c r="CQ1066" i="1"/>
  <c r="G262" i="1"/>
  <c r="U262" i="1"/>
  <c r="W262" i="1"/>
  <c r="AE262" i="1"/>
  <c r="AK262" i="1"/>
  <c r="AQ262" i="1"/>
  <c r="AU262" i="1"/>
  <c r="AV262" i="1"/>
  <c r="AW262" i="1"/>
  <c r="AX262" i="1"/>
  <c r="AY262" i="1"/>
  <c r="AZ262" i="1"/>
  <c r="BA262" i="1"/>
  <c r="BC262" i="1"/>
  <c r="BD262" i="1"/>
  <c r="BE262" i="1"/>
  <c r="BF262" i="1"/>
  <c r="BG262" i="1"/>
  <c r="BH262" i="1"/>
  <c r="BI262" i="1"/>
  <c r="BJ262" i="1"/>
  <c r="BM262" i="1"/>
  <c r="CA262" i="1"/>
  <c r="CN262" i="1"/>
  <c r="CO262" i="1"/>
  <c r="CP262" i="1"/>
  <c r="CQ262" i="1"/>
  <c r="G1067" i="1"/>
  <c r="U1067" i="1"/>
  <c r="W1067" i="1"/>
  <c r="AE1067" i="1"/>
  <c r="AK1067" i="1"/>
  <c r="AQ1067" i="1"/>
  <c r="AU1067" i="1"/>
  <c r="AV1067" i="1"/>
  <c r="AW1067" i="1"/>
  <c r="AX1067" i="1"/>
  <c r="AY1067" i="1"/>
  <c r="AZ1067" i="1"/>
  <c r="BA1067" i="1"/>
  <c r="BC1067" i="1"/>
  <c r="BD1067" i="1"/>
  <c r="BE1067" i="1"/>
  <c r="BF1067" i="1"/>
  <c r="BG1067" i="1"/>
  <c r="BH1067" i="1"/>
  <c r="BI1067" i="1"/>
  <c r="BJ1067" i="1"/>
  <c r="BM1067" i="1"/>
  <c r="CA1067" i="1"/>
  <c r="CN1067" i="1"/>
  <c r="CO1067" i="1"/>
  <c r="CP1067" i="1"/>
  <c r="CQ1067" i="1"/>
  <c r="G1467" i="1"/>
  <c r="U1467" i="1"/>
  <c r="W1467" i="1"/>
  <c r="AE1467" i="1"/>
  <c r="AK1467" i="1"/>
  <c r="AQ1467" i="1"/>
  <c r="AU1467" i="1"/>
  <c r="AV1467" i="1"/>
  <c r="AW1467" i="1"/>
  <c r="AX1467" i="1"/>
  <c r="AY1467" i="1"/>
  <c r="AZ1467" i="1"/>
  <c r="BA1467" i="1"/>
  <c r="BC1467" i="1"/>
  <c r="BD1467" i="1"/>
  <c r="BE1467" i="1"/>
  <c r="BF1467" i="1"/>
  <c r="BG1467" i="1"/>
  <c r="BH1467" i="1"/>
  <c r="BI1467" i="1"/>
  <c r="BJ1467" i="1"/>
  <c r="BM1467" i="1"/>
  <c r="CA1467" i="1"/>
  <c r="CN1467" i="1"/>
  <c r="CO1467" i="1"/>
  <c r="CP1467" i="1"/>
  <c r="CQ1467" i="1"/>
  <c r="G1596" i="1"/>
  <c r="U1596" i="1"/>
  <c r="W1596" i="1"/>
  <c r="AE1596" i="1"/>
  <c r="AK1596" i="1"/>
  <c r="AQ1596" i="1"/>
  <c r="AU1596" i="1"/>
  <c r="AV1596" i="1"/>
  <c r="AW1596" i="1"/>
  <c r="AX1596" i="1"/>
  <c r="AY1596" i="1"/>
  <c r="AZ1596" i="1"/>
  <c r="BA1596" i="1"/>
  <c r="BC1596" i="1"/>
  <c r="BD1596" i="1"/>
  <c r="BE1596" i="1"/>
  <c r="BF1596" i="1"/>
  <c r="BG1596" i="1"/>
  <c r="BH1596" i="1"/>
  <c r="BI1596" i="1"/>
  <c r="BJ1596" i="1"/>
  <c r="BM1596" i="1"/>
  <c r="CA1596" i="1"/>
  <c r="CN1596" i="1"/>
  <c r="CO1596" i="1"/>
  <c r="CP1596" i="1"/>
  <c r="CQ1596" i="1"/>
  <c r="G1068" i="1"/>
  <c r="U1068" i="1"/>
  <c r="W1068" i="1"/>
  <c r="AE1068" i="1"/>
  <c r="AK1068" i="1"/>
  <c r="AQ1068" i="1"/>
  <c r="AU1068" i="1"/>
  <c r="AV1068" i="1"/>
  <c r="AW1068" i="1"/>
  <c r="AX1068" i="1"/>
  <c r="AY1068" i="1"/>
  <c r="AZ1068" i="1"/>
  <c r="BA1068" i="1"/>
  <c r="BC1068" i="1"/>
  <c r="BD1068" i="1"/>
  <c r="BE1068" i="1"/>
  <c r="BF1068" i="1"/>
  <c r="BG1068" i="1"/>
  <c r="BH1068" i="1"/>
  <c r="BI1068" i="1"/>
  <c r="BJ1068" i="1"/>
  <c r="BM1068" i="1"/>
  <c r="CA1068" i="1"/>
  <c r="CN1068" i="1"/>
  <c r="CO1068" i="1"/>
  <c r="CP1068" i="1"/>
  <c r="CQ1068" i="1"/>
  <c r="G1069" i="1"/>
  <c r="U1069" i="1"/>
  <c r="W1069" i="1"/>
  <c r="AE1069" i="1"/>
  <c r="AK1069" i="1"/>
  <c r="AQ1069" i="1"/>
  <c r="AU1069" i="1"/>
  <c r="AV1069" i="1"/>
  <c r="AW1069" i="1"/>
  <c r="AX1069" i="1"/>
  <c r="AY1069" i="1"/>
  <c r="AZ1069" i="1"/>
  <c r="BA1069" i="1"/>
  <c r="BC1069" i="1"/>
  <c r="BD1069" i="1"/>
  <c r="BE1069" i="1"/>
  <c r="BF1069" i="1"/>
  <c r="BG1069" i="1"/>
  <c r="BH1069" i="1"/>
  <c r="BI1069" i="1"/>
  <c r="BJ1069" i="1"/>
  <c r="BM1069" i="1"/>
  <c r="CA1069" i="1"/>
  <c r="CN1069" i="1"/>
  <c r="CO1069" i="1"/>
  <c r="CP1069" i="1"/>
  <c r="CQ1069" i="1"/>
  <c r="G1070" i="1"/>
  <c r="U1070" i="1"/>
  <c r="W1070" i="1"/>
  <c r="AE1070" i="1"/>
  <c r="AK1070" i="1"/>
  <c r="AQ1070" i="1"/>
  <c r="AU1070" i="1"/>
  <c r="AV1070" i="1"/>
  <c r="AW1070" i="1"/>
  <c r="AX1070" i="1"/>
  <c r="AY1070" i="1"/>
  <c r="AZ1070" i="1"/>
  <c r="BA1070" i="1"/>
  <c r="BC1070" i="1"/>
  <c r="BD1070" i="1"/>
  <c r="BE1070" i="1"/>
  <c r="BF1070" i="1"/>
  <c r="BG1070" i="1"/>
  <c r="BH1070" i="1"/>
  <c r="BI1070" i="1"/>
  <c r="BJ1070" i="1"/>
  <c r="BM1070" i="1"/>
  <c r="CA1070" i="1"/>
  <c r="CN1070" i="1"/>
  <c r="CO1070" i="1"/>
  <c r="CP1070" i="1"/>
  <c r="CQ1070" i="1"/>
  <c r="G1071" i="1"/>
  <c r="U1071" i="1"/>
  <c r="W1071" i="1"/>
  <c r="AE1071" i="1"/>
  <c r="AK1071" i="1"/>
  <c r="AQ1071" i="1"/>
  <c r="AU1071" i="1"/>
  <c r="AV1071" i="1"/>
  <c r="AW1071" i="1"/>
  <c r="AX1071" i="1"/>
  <c r="AY1071" i="1"/>
  <c r="AZ1071" i="1"/>
  <c r="BA1071" i="1"/>
  <c r="BC1071" i="1"/>
  <c r="BD1071" i="1"/>
  <c r="BE1071" i="1"/>
  <c r="BF1071" i="1"/>
  <c r="BG1071" i="1"/>
  <c r="BH1071" i="1"/>
  <c r="BI1071" i="1"/>
  <c r="BJ1071" i="1"/>
  <c r="BM1071" i="1"/>
  <c r="CA1071" i="1"/>
  <c r="CN1071" i="1"/>
  <c r="CO1071" i="1"/>
  <c r="CP1071" i="1"/>
  <c r="CQ1071" i="1"/>
  <c r="G1072" i="1"/>
  <c r="U1072" i="1"/>
  <c r="W1072" i="1"/>
  <c r="AE1072" i="1"/>
  <c r="AK1072" i="1"/>
  <c r="AQ1072" i="1"/>
  <c r="AU1072" i="1"/>
  <c r="AV1072" i="1"/>
  <c r="AW1072" i="1"/>
  <c r="AX1072" i="1"/>
  <c r="AY1072" i="1"/>
  <c r="AZ1072" i="1"/>
  <c r="BA1072" i="1"/>
  <c r="BC1072" i="1"/>
  <c r="BD1072" i="1"/>
  <c r="BE1072" i="1"/>
  <c r="BF1072" i="1"/>
  <c r="BG1072" i="1"/>
  <c r="BH1072" i="1"/>
  <c r="BI1072" i="1"/>
  <c r="BJ1072" i="1"/>
  <c r="BM1072" i="1"/>
  <c r="CA1072" i="1"/>
  <c r="CN1072" i="1"/>
  <c r="CO1072" i="1"/>
  <c r="CP1072" i="1"/>
  <c r="CQ1072" i="1"/>
  <c r="G263" i="1"/>
  <c r="U263" i="1"/>
  <c r="W263" i="1"/>
  <c r="AE263" i="1"/>
  <c r="AK263" i="1"/>
  <c r="AQ263" i="1"/>
  <c r="AU263" i="1"/>
  <c r="AV263" i="1"/>
  <c r="AW263" i="1"/>
  <c r="AX263" i="1"/>
  <c r="AY263" i="1"/>
  <c r="AZ263" i="1"/>
  <c r="BA263" i="1"/>
  <c r="BC263" i="1"/>
  <c r="BD263" i="1"/>
  <c r="BE263" i="1"/>
  <c r="BF263" i="1"/>
  <c r="BG263" i="1"/>
  <c r="BH263" i="1"/>
  <c r="BI263" i="1"/>
  <c r="BJ263" i="1"/>
  <c r="BM263" i="1"/>
  <c r="CA263" i="1"/>
  <c r="CN263" i="1"/>
  <c r="CO263" i="1"/>
  <c r="CP263" i="1"/>
  <c r="CQ263" i="1"/>
  <c r="G1073" i="1"/>
  <c r="U1073" i="1"/>
  <c r="W1073" i="1"/>
  <c r="AE1073" i="1"/>
  <c r="AK1073" i="1"/>
  <c r="AQ1073" i="1"/>
  <c r="AU1073" i="1"/>
  <c r="AV1073" i="1"/>
  <c r="AW1073" i="1"/>
  <c r="AX1073" i="1"/>
  <c r="AY1073" i="1"/>
  <c r="AZ1073" i="1"/>
  <c r="BA1073" i="1"/>
  <c r="BC1073" i="1"/>
  <c r="BD1073" i="1"/>
  <c r="BE1073" i="1"/>
  <c r="BF1073" i="1"/>
  <c r="BG1073" i="1"/>
  <c r="BH1073" i="1"/>
  <c r="BI1073" i="1"/>
  <c r="BJ1073" i="1"/>
  <c r="BM1073" i="1"/>
  <c r="CA1073" i="1"/>
  <c r="CN1073" i="1"/>
  <c r="CO1073" i="1"/>
  <c r="CP1073" i="1"/>
  <c r="CQ1073" i="1"/>
  <c r="G1074" i="1"/>
  <c r="U1074" i="1"/>
  <c r="W1074" i="1"/>
  <c r="AE1074" i="1"/>
  <c r="AK1074" i="1"/>
  <c r="AQ1074" i="1"/>
  <c r="AU1074" i="1"/>
  <c r="AV1074" i="1"/>
  <c r="AW1074" i="1"/>
  <c r="AX1074" i="1"/>
  <c r="AY1074" i="1"/>
  <c r="AZ1074" i="1"/>
  <c r="BA1074" i="1"/>
  <c r="BC1074" i="1"/>
  <c r="BD1074" i="1"/>
  <c r="BE1074" i="1"/>
  <c r="BF1074" i="1"/>
  <c r="BG1074" i="1"/>
  <c r="BH1074" i="1"/>
  <c r="BI1074" i="1"/>
  <c r="BJ1074" i="1"/>
  <c r="BM1074" i="1"/>
  <c r="CA1074" i="1"/>
  <c r="CN1074" i="1"/>
  <c r="CO1074" i="1"/>
  <c r="CP1074" i="1"/>
  <c r="CQ1074" i="1"/>
  <c r="G1075" i="1"/>
  <c r="U1075" i="1"/>
  <c r="W1075" i="1"/>
  <c r="AE1075" i="1"/>
  <c r="AK1075" i="1"/>
  <c r="AQ1075" i="1"/>
  <c r="AU1075" i="1"/>
  <c r="AV1075" i="1"/>
  <c r="AW1075" i="1"/>
  <c r="AX1075" i="1"/>
  <c r="AY1075" i="1"/>
  <c r="AZ1075" i="1"/>
  <c r="BA1075" i="1"/>
  <c r="BC1075" i="1"/>
  <c r="BD1075" i="1"/>
  <c r="BE1075" i="1"/>
  <c r="BF1075" i="1"/>
  <c r="BG1075" i="1"/>
  <c r="BH1075" i="1"/>
  <c r="BI1075" i="1"/>
  <c r="BJ1075" i="1"/>
  <c r="BM1075" i="1"/>
  <c r="CA1075" i="1"/>
  <c r="CN1075" i="1"/>
  <c r="CO1075" i="1"/>
  <c r="CP1075" i="1"/>
  <c r="CQ1075" i="1"/>
  <c r="G1076" i="1"/>
  <c r="U1076" i="1"/>
  <c r="W1076" i="1"/>
  <c r="AE1076" i="1"/>
  <c r="AK1076" i="1"/>
  <c r="AQ1076" i="1"/>
  <c r="AU1076" i="1"/>
  <c r="AV1076" i="1"/>
  <c r="AW1076" i="1"/>
  <c r="AX1076" i="1"/>
  <c r="AY1076" i="1"/>
  <c r="AZ1076" i="1"/>
  <c r="BA1076" i="1"/>
  <c r="BC1076" i="1"/>
  <c r="BD1076" i="1"/>
  <c r="BE1076" i="1"/>
  <c r="BF1076" i="1"/>
  <c r="BG1076" i="1"/>
  <c r="BH1076" i="1"/>
  <c r="BI1076" i="1"/>
  <c r="BJ1076" i="1"/>
  <c r="BM1076" i="1"/>
  <c r="CA1076" i="1"/>
  <c r="CN1076" i="1"/>
  <c r="CO1076" i="1"/>
  <c r="CP1076" i="1"/>
  <c r="CQ1076" i="1"/>
  <c r="G1597" i="1"/>
  <c r="U1597" i="1"/>
  <c r="W1597" i="1"/>
  <c r="AE1597" i="1"/>
  <c r="AK1597" i="1"/>
  <c r="AQ1597" i="1"/>
  <c r="AU1597" i="1"/>
  <c r="AV1597" i="1"/>
  <c r="AW1597" i="1"/>
  <c r="AX1597" i="1"/>
  <c r="AY1597" i="1"/>
  <c r="AZ1597" i="1"/>
  <c r="BA1597" i="1"/>
  <c r="BC1597" i="1"/>
  <c r="BD1597" i="1"/>
  <c r="BE1597" i="1"/>
  <c r="BF1597" i="1"/>
  <c r="BG1597" i="1"/>
  <c r="BH1597" i="1"/>
  <c r="BI1597" i="1"/>
  <c r="BJ1597" i="1"/>
  <c r="BM1597" i="1"/>
  <c r="CA1597" i="1"/>
  <c r="CN1597" i="1"/>
  <c r="CO1597" i="1"/>
  <c r="CP1597" i="1"/>
  <c r="CQ1597" i="1"/>
  <c r="G264" i="1"/>
  <c r="U264" i="1"/>
  <c r="W264" i="1"/>
  <c r="AE264" i="1"/>
  <c r="AK264" i="1"/>
  <c r="AQ264" i="1"/>
  <c r="AU264" i="1"/>
  <c r="AV264" i="1"/>
  <c r="AW264" i="1"/>
  <c r="AX264" i="1"/>
  <c r="AY264" i="1"/>
  <c r="AZ264" i="1"/>
  <c r="BA264" i="1"/>
  <c r="BC264" i="1"/>
  <c r="BD264" i="1"/>
  <c r="BE264" i="1"/>
  <c r="BF264" i="1"/>
  <c r="BG264" i="1"/>
  <c r="BH264" i="1"/>
  <c r="BI264" i="1"/>
  <c r="BJ264" i="1"/>
  <c r="BM264" i="1"/>
  <c r="CA264" i="1"/>
  <c r="CN264" i="1"/>
  <c r="CO264" i="1"/>
  <c r="CP264" i="1"/>
  <c r="CQ264" i="1"/>
  <c r="G1077" i="1"/>
  <c r="U1077" i="1"/>
  <c r="W1077" i="1"/>
  <c r="AE1077" i="1"/>
  <c r="AK1077" i="1"/>
  <c r="AQ1077" i="1"/>
  <c r="AU1077" i="1"/>
  <c r="AV1077" i="1"/>
  <c r="AW1077" i="1"/>
  <c r="AX1077" i="1"/>
  <c r="AY1077" i="1"/>
  <c r="AZ1077" i="1"/>
  <c r="BA1077" i="1"/>
  <c r="BC1077" i="1"/>
  <c r="BD1077" i="1"/>
  <c r="BE1077" i="1"/>
  <c r="BF1077" i="1"/>
  <c r="BG1077" i="1"/>
  <c r="BH1077" i="1"/>
  <c r="BI1077" i="1"/>
  <c r="BJ1077" i="1"/>
  <c r="BM1077" i="1"/>
  <c r="CA1077" i="1"/>
  <c r="CN1077" i="1"/>
  <c r="CO1077" i="1"/>
  <c r="CP1077" i="1"/>
  <c r="CQ1077" i="1"/>
  <c r="G1078" i="1"/>
  <c r="U1078" i="1"/>
  <c r="W1078" i="1"/>
  <c r="AE1078" i="1"/>
  <c r="AK1078" i="1"/>
  <c r="AQ1078" i="1"/>
  <c r="AU1078" i="1"/>
  <c r="AV1078" i="1"/>
  <c r="AW1078" i="1"/>
  <c r="AX1078" i="1"/>
  <c r="AY1078" i="1"/>
  <c r="AZ1078" i="1"/>
  <c r="BA1078" i="1"/>
  <c r="BC1078" i="1"/>
  <c r="BD1078" i="1"/>
  <c r="BE1078" i="1"/>
  <c r="BF1078" i="1"/>
  <c r="BG1078" i="1"/>
  <c r="BH1078" i="1"/>
  <c r="BI1078" i="1"/>
  <c r="BJ1078" i="1"/>
  <c r="BM1078" i="1"/>
  <c r="CA1078" i="1"/>
  <c r="CN1078" i="1"/>
  <c r="CO1078" i="1"/>
  <c r="CP1078" i="1"/>
  <c r="CQ1078" i="1"/>
  <c r="G1079" i="1"/>
  <c r="U1079" i="1"/>
  <c r="W1079" i="1"/>
  <c r="AE1079" i="1"/>
  <c r="AK1079" i="1"/>
  <c r="AQ1079" i="1"/>
  <c r="AU1079" i="1"/>
  <c r="AV1079" i="1"/>
  <c r="AW1079" i="1"/>
  <c r="AX1079" i="1"/>
  <c r="AY1079" i="1"/>
  <c r="AZ1079" i="1"/>
  <c r="BA1079" i="1"/>
  <c r="BC1079" i="1"/>
  <c r="BD1079" i="1"/>
  <c r="BE1079" i="1"/>
  <c r="BF1079" i="1"/>
  <c r="BG1079" i="1"/>
  <c r="BH1079" i="1"/>
  <c r="BI1079" i="1"/>
  <c r="BJ1079" i="1"/>
  <c r="BM1079" i="1"/>
  <c r="CA1079" i="1"/>
  <c r="CN1079" i="1"/>
  <c r="CO1079" i="1"/>
  <c r="CP1079" i="1"/>
  <c r="CQ1079" i="1"/>
  <c r="G265" i="1"/>
  <c r="U265" i="1"/>
  <c r="W265" i="1"/>
  <c r="AE265" i="1"/>
  <c r="AK265" i="1"/>
  <c r="AQ265" i="1"/>
  <c r="AU265" i="1"/>
  <c r="AV265" i="1"/>
  <c r="AW265" i="1"/>
  <c r="AX265" i="1"/>
  <c r="AY265" i="1"/>
  <c r="AZ265" i="1"/>
  <c r="BA265" i="1"/>
  <c r="BC265" i="1"/>
  <c r="BD265" i="1"/>
  <c r="BE265" i="1"/>
  <c r="BF265" i="1"/>
  <c r="BG265" i="1"/>
  <c r="BH265" i="1"/>
  <c r="BI265" i="1"/>
  <c r="BJ265" i="1"/>
  <c r="BM265" i="1"/>
  <c r="CA265" i="1"/>
  <c r="CN265" i="1"/>
  <c r="CO265" i="1"/>
  <c r="CP265" i="1"/>
  <c r="CQ265" i="1"/>
  <c r="G266" i="1"/>
  <c r="U266" i="1"/>
  <c r="W266" i="1"/>
  <c r="AE266" i="1"/>
  <c r="AK266" i="1"/>
  <c r="AQ266" i="1"/>
  <c r="AU266" i="1"/>
  <c r="AV266" i="1"/>
  <c r="AW266" i="1"/>
  <c r="AX266" i="1"/>
  <c r="AY266" i="1"/>
  <c r="AZ266" i="1"/>
  <c r="BA266" i="1"/>
  <c r="BC266" i="1"/>
  <c r="BD266" i="1"/>
  <c r="BE266" i="1"/>
  <c r="BF266" i="1"/>
  <c r="BG266" i="1"/>
  <c r="BH266" i="1"/>
  <c r="BI266" i="1"/>
  <c r="BJ266" i="1"/>
  <c r="BM266" i="1"/>
  <c r="CA266" i="1"/>
  <c r="CN266" i="1"/>
  <c r="CO266" i="1"/>
  <c r="CP266" i="1"/>
  <c r="CQ266" i="1"/>
  <c r="G1080" i="1"/>
  <c r="U1080" i="1"/>
  <c r="W1080" i="1"/>
  <c r="AE1080" i="1"/>
  <c r="AK1080" i="1"/>
  <c r="AQ1080" i="1"/>
  <c r="AU1080" i="1"/>
  <c r="AV1080" i="1"/>
  <c r="AW1080" i="1"/>
  <c r="AX1080" i="1"/>
  <c r="AY1080" i="1"/>
  <c r="AZ1080" i="1"/>
  <c r="BA1080" i="1"/>
  <c r="BC1080" i="1"/>
  <c r="BD1080" i="1"/>
  <c r="BE1080" i="1"/>
  <c r="BF1080" i="1"/>
  <c r="BG1080" i="1"/>
  <c r="BH1080" i="1"/>
  <c r="BI1080" i="1"/>
  <c r="BJ1080" i="1"/>
  <c r="BM1080" i="1"/>
  <c r="CA1080" i="1"/>
  <c r="CN1080" i="1"/>
  <c r="CO1080" i="1"/>
  <c r="CP1080" i="1"/>
  <c r="CQ1080" i="1"/>
  <c r="G1081" i="1"/>
  <c r="U1081" i="1"/>
  <c r="W1081" i="1"/>
  <c r="AE1081" i="1"/>
  <c r="AK1081" i="1"/>
  <c r="AQ1081" i="1"/>
  <c r="AU1081" i="1"/>
  <c r="AV1081" i="1"/>
  <c r="AW1081" i="1"/>
  <c r="AX1081" i="1"/>
  <c r="AY1081" i="1"/>
  <c r="AZ1081" i="1"/>
  <c r="BA1081" i="1"/>
  <c r="BC1081" i="1"/>
  <c r="BD1081" i="1"/>
  <c r="BE1081" i="1"/>
  <c r="BF1081" i="1"/>
  <c r="BG1081" i="1"/>
  <c r="BH1081" i="1"/>
  <c r="BI1081" i="1"/>
  <c r="BJ1081" i="1"/>
  <c r="BM1081" i="1"/>
  <c r="CA1081" i="1"/>
  <c r="CN1081" i="1"/>
  <c r="CO1081" i="1"/>
  <c r="CP1081" i="1"/>
  <c r="CQ1081" i="1"/>
  <c r="G1468" i="1"/>
  <c r="U1468" i="1"/>
  <c r="W1468" i="1"/>
  <c r="AE1468" i="1"/>
  <c r="AK1468" i="1"/>
  <c r="AQ1468" i="1"/>
  <c r="AU1468" i="1"/>
  <c r="AV1468" i="1"/>
  <c r="AW1468" i="1"/>
  <c r="AX1468" i="1"/>
  <c r="AY1468" i="1"/>
  <c r="AZ1468" i="1"/>
  <c r="BA1468" i="1"/>
  <c r="BC1468" i="1"/>
  <c r="BD1468" i="1"/>
  <c r="BE1468" i="1"/>
  <c r="BF1468" i="1"/>
  <c r="BG1468" i="1"/>
  <c r="BH1468" i="1"/>
  <c r="BI1468" i="1"/>
  <c r="BJ1468" i="1"/>
  <c r="BM1468" i="1"/>
  <c r="CA1468" i="1"/>
  <c r="CN1468" i="1"/>
  <c r="CO1468" i="1"/>
  <c r="CP1468" i="1"/>
  <c r="CQ1468" i="1"/>
  <c r="G1082" i="1"/>
  <c r="U1082" i="1"/>
  <c r="W1082" i="1"/>
  <c r="AE1082" i="1"/>
  <c r="AK1082" i="1"/>
  <c r="AQ1082" i="1"/>
  <c r="AU1082" i="1"/>
  <c r="AV1082" i="1"/>
  <c r="AW1082" i="1"/>
  <c r="AX1082" i="1"/>
  <c r="AY1082" i="1"/>
  <c r="AZ1082" i="1"/>
  <c r="BA1082" i="1"/>
  <c r="BC1082" i="1"/>
  <c r="BD1082" i="1"/>
  <c r="BE1082" i="1"/>
  <c r="BF1082" i="1"/>
  <c r="BG1082" i="1"/>
  <c r="BH1082" i="1"/>
  <c r="BI1082" i="1"/>
  <c r="BJ1082" i="1"/>
  <c r="BM1082" i="1"/>
  <c r="CA1082" i="1"/>
  <c r="CN1082" i="1"/>
  <c r="CO1082" i="1"/>
  <c r="CP1082" i="1"/>
  <c r="CQ1082" i="1"/>
  <c r="G1598" i="1"/>
  <c r="U1598" i="1"/>
  <c r="W1598" i="1"/>
  <c r="AE1598" i="1"/>
  <c r="AK1598" i="1"/>
  <c r="AQ1598" i="1"/>
  <c r="AU1598" i="1"/>
  <c r="AV1598" i="1"/>
  <c r="AW1598" i="1"/>
  <c r="AX1598" i="1"/>
  <c r="AY1598" i="1"/>
  <c r="AZ1598" i="1"/>
  <c r="BA1598" i="1"/>
  <c r="BC1598" i="1"/>
  <c r="BD1598" i="1"/>
  <c r="BE1598" i="1"/>
  <c r="BF1598" i="1"/>
  <c r="BG1598" i="1"/>
  <c r="BH1598" i="1"/>
  <c r="BI1598" i="1"/>
  <c r="BJ1598" i="1"/>
  <c r="BM1598" i="1"/>
  <c r="CA1598" i="1"/>
  <c r="CN1598" i="1"/>
  <c r="CO1598" i="1"/>
  <c r="CP1598" i="1"/>
  <c r="CQ1598" i="1"/>
  <c r="G1083" i="1"/>
  <c r="U1083" i="1"/>
  <c r="W1083" i="1"/>
  <c r="AE1083" i="1"/>
  <c r="AK1083" i="1"/>
  <c r="AQ1083" i="1"/>
  <c r="AU1083" i="1"/>
  <c r="AV1083" i="1"/>
  <c r="AW1083" i="1"/>
  <c r="AX1083" i="1"/>
  <c r="AY1083" i="1"/>
  <c r="AZ1083" i="1"/>
  <c r="BA1083" i="1"/>
  <c r="BC1083" i="1"/>
  <c r="BD1083" i="1"/>
  <c r="BE1083" i="1"/>
  <c r="BF1083" i="1"/>
  <c r="BG1083" i="1"/>
  <c r="BH1083" i="1"/>
  <c r="BI1083" i="1"/>
  <c r="BJ1083" i="1"/>
  <c r="BM1083" i="1"/>
  <c r="CA1083" i="1"/>
  <c r="CN1083" i="1"/>
  <c r="CO1083" i="1"/>
  <c r="CP1083" i="1"/>
  <c r="CQ1083" i="1"/>
  <c r="G450" i="1"/>
  <c r="U450" i="1"/>
  <c r="W450" i="1"/>
  <c r="AE450" i="1"/>
  <c r="AK450" i="1"/>
  <c r="AQ450" i="1"/>
  <c r="AU450" i="1"/>
  <c r="AV450" i="1"/>
  <c r="AW450" i="1"/>
  <c r="AX450" i="1"/>
  <c r="AY450" i="1"/>
  <c r="AZ450" i="1"/>
  <c r="BA450" i="1"/>
  <c r="BC450" i="1"/>
  <c r="BD450" i="1"/>
  <c r="BE450" i="1"/>
  <c r="BF450" i="1"/>
  <c r="BG450" i="1"/>
  <c r="BH450" i="1"/>
  <c r="BI450" i="1"/>
  <c r="BJ450" i="1"/>
  <c r="BM450" i="1"/>
  <c r="CA450" i="1"/>
  <c r="CN450" i="1"/>
  <c r="CO450" i="1"/>
  <c r="CP450" i="1"/>
  <c r="CQ450" i="1"/>
  <c r="G1084" i="1"/>
  <c r="U1084" i="1"/>
  <c r="W1084" i="1"/>
  <c r="AE1084" i="1"/>
  <c r="AK1084" i="1"/>
  <c r="AQ1084" i="1"/>
  <c r="AU1084" i="1"/>
  <c r="AV1084" i="1"/>
  <c r="AW1084" i="1"/>
  <c r="AX1084" i="1"/>
  <c r="AY1084" i="1"/>
  <c r="AZ1084" i="1"/>
  <c r="BA1084" i="1"/>
  <c r="BC1084" i="1"/>
  <c r="BD1084" i="1"/>
  <c r="BE1084" i="1"/>
  <c r="BF1084" i="1"/>
  <c r="BG1084" i="1"/>
  <c r="BH1084" i="1"/>
  <c r="BI1084" i="1"/>
  <c r="BJ1084" i="1"/>
  <c r="BM1084" i="1"/>
  <c r="CA1084" i="1"/>
  <c r="CN1084" i="1"/>
  <c r="CO1084" i="1"/>
  <c r="CP1084" i="1"/>
  <c r="CQ1084" i="1"/>
  <c r="G1599" i="1"/>
  <c r="U1599" i="1"/>
  <c r="W1599" i="1"/>
  <c r="AE1599" i="1"/>
  <c r="AK1599" i="1"/>
  <c r="AQ1599" i="1"/>
  <c r="AU1599" i="1"/>
  <c r="AV1599" i="1"/>
  <c r="AW1599" i="1"/>
  <c r="AX1599" i="1"/>
  <c r="AY1599" i="1"/>
  <c r="AZ1599" i="1"/>
  <c r="BA1599" i="1"/>
  <c r="BC1599" i="1"/>
  <c r="BD1599" i="1"/>
  <c r="BE1599" i="1"/>
  <c r="BF1599" i="1"/>
  <c r="BG1599" i="1"/>
  <c r="BH1599" i="1"/>
  <c r="BI1599" i="1"/>
  <c r="BJ1599" i="1"/>
  <c r="BM1599" i="1"/>
  <c r="CA1599" i="1"/>
  <c r="CN1599" i="1"/>
  <c r="CO1599" i="1"/>
  <c r="CP1599" i="1"/>
  <c r="CQ1599" i="1"/>
  <c r="G1085" i="1"/>
  <c r="U1085" i="1"/>
  <c r="W1085" i="1"/>
  <c r="AE1085" i="1"/>
  <c r="AK1085" i="1"/>
  <c r="AQ1085" i="1"/>
  <c r="AU1085" i="1"/>
  <c r="AV1085" i="1"/>
  <c r="AW1085" i="1"/>
  <c r="AX1085" i="1"/>
  <c r="AY1085" i="1"/>
  <c r="AZ1085" i="1"/>
  <c r="BA1085" i="1"/>
  <c r="BC1085" i="1"/>
  <c r="BD1085" i="1"/>
  <c r="BE1085" i="1"/>
  <c r="BF1085" i="1"/>
  <c r="BG1085" i="1"/>
  <c r="BH1085" i="1"/>
  <c r="BI1085" i="1"/>
  <c r="BJ1085" i="1"/>
  <c r="BM1085" i="1"/>
  <c r="CA1085" i="1"/>
  <c r="CN1085" i="1"/>
  <c r="CO1085" i="1"/>
  <c r="CP1085" i="1"/>
  <c r="CQ1085" i="1"/>
  <c r="G1469" i="1"/>
  <c r="U1469" i="1"/>
  <c r="W1469" i="1"/>
  <c r="AE1469" i="1"/>
  <c r="AK1469" i="1"/>
  <c r="AQ1469" i="1"/>
  <c r="AU1469" i="1"/>
  <c r="AV1469" i="1"/>
  <c r="AW1469" i="1"/>
  <c r="AX1469" i="1"/>
  <c r="AY1469" i="1"/>
  <c r="AZ1469" i="1"/>
  <c r="BA1469" i="1"/>
  <c r="BC1469" i="1"/>
  <c r="BD1469" i="1"/>
  <c r="BE1469" i="1"/>
  <c r="BF1469" i="1"/>
  <c r="BG1469" i="1"/>
  <c r="BH1469" i="1"/>
  <c r="BI1469" i="1"/>
  <c r="BJ1469" i="1"/>
  <c r="BM1469" i="1"/>
  <c r="CA1469" i="1"/>
  <c r="CN1469" i="1"/>
  <c r="CO1469" i="1"/>
  <c r="CP1469" i="1"/>
  <c r="CQ1469" i="1"/>
  <c r="G267" i="1"/>
  <c r="U267" i="1"/>
  <c r="W267" i="1"/>
  <c r="AE267" i="1"/>
  <c r="AK267" i="1"/>
  <c r="AQ267" i="1"/>
  <c r="AU267" i="1"/>
  <c r="AV267" i="1"/>
  <c r="AW267" i="1"/>
  <c r="AX267" i="1"/>
  <c r="AY267" i="1"/>
  <c r="AZ267" i="1"/>
  <c r="BA267" i="1"/>
  <c r="BC267" i="1"/>
  <c r="BD267" i="1"/>
  <c r="BE267" i="1"/>
  <c r="BF267" i="1"/>
  <c r="BG267" i="1"/>
  <c r="BH267" i="1"/>
  <c r="BI267" i="1"/>
  <c r="BJ267" i="1"/>
  <c r="BM267" i="1"/>
  <c r="CA267" i="1"/>
  <c r="CN267" i="1"/>
  <c r="CO267" i="1"/>
  <c r="CP267" i="1"/>
  <c r="CQ267" i="1"/>
  <c r="G1470" i="1"/>
  <c r="U1470" i="1"/>
  <c r="W1470" i="1"/>
  <c r="AE1470" i="1"/>
  <c r="AK1470" i="1"/>
  <c r="AQ1470" i="1"/>
  <c r="AU1470" i="1"/>
  <c r="AV1470" i="1"/>
  <c r="AW1470" i="1"/>
  <c r="AX1470" i="1"/>
  <c r="AY1470" i="1"/>
  <c r="AZ1470" i="1"/>
  <c r="BA1470" i="1"/>
  <c r="BC1470" i="1"/>
  <c r="BD1470" i="1"/>
  <c r="BE1470" i="1"/>
  <c r="BF1470" i="1"/>
  <c r="BG1470" i="1"/>
  <c r="BH1470" i="1"/>
  <c r="BI1470" i="1"/>
  <c r="BJ1470" i="1"/>
  <c r="BM1470" i="1"/>
  <c r="CA1470" i="1"/>
  <c r="CN1470" i="1"/>
  <c r="CO1470" i="1"/>
  <c r="CP1470" i="1"/>
  <c r="CQ1470" i="1"/>
  <c r="G1471" i="1"/>
  <c r="U1471" i="1"/>
  <c r="W1471" i="1"/>
  <c r="AE1471" i="1"/>
  <c r="AK1471" i="1"/>
  <c r="AQ1471" i="1"/>
  <c r="AU1471" i="1"/>
  <c r="AV1471" i="1"/>
  <c r="AW1471" i="1"/>
  <c r="AX1471" i="1"/>
  <c r="AY1471" i="1"/>
  <c r="AZ1471" i="1"/>
  <c r="BA1471" i="1"/>
  <c r="BC1471" i="1"/>
  <c r="BD1471" i="1"/>
  <c r="BE1471" i="1"/>
  <c r="BF1471" i="1"/>
  <c r="BG1471" i="1"/>
  <c r="BH1471" i="1"/>
  <c r="BI1471" i="1"/>
  <c r="BJ1471" i="1"/>
  <c r="BM1471" i="1"/>
  <c r="CA1471" i="1"/>
  <c r="CN1471" i="1"/>
  <c r="CO1471" i="1"/>
  <c r="CP1471" i="1"/>
  <c r="CQ1471" i="1"/>
  <c r="G451" i="1"/>
  <c r="U451" i="1"/>
  <c r="W451" i="1"/>
  <c r="AE451" i="1"/>
  <c r="AK451" i="1"/>
  <c r="AQ451" i="1"/>
  <c r="AU451" i="1"/>
  <c r="AV451" i="1"/>
  <c r="AW451" i="1"/>
  <c r="AX451" i="1"/>
  <c r="AY451" i="1"/>
  <c r="AZ451" i="1"/>
  <c r="BA451" i="1"/>
  <c r="BC451" i="1"/>
  <c r="BD451" i="1"/>
  <c r="BE451" i="1"/>
  <c r="BF451" i="1"/>
  <c r="BG451" i="1"/>
  <c r="BH451" i="1"/>
  <c r="BI451" i="1"/>
  <c r="BJ451" i="1"/>
  <c r="BM451" i="1"/>
  <c r="CA451" i="1"/>
  <c r="CN451" i="1"/>
  <c r="CO451" i="1"/>
  <c r="CP451" i="1"/>
  <c r="CQ451" i="1"/>
  <c r="G1086" i="1"/>
  <c r="U1086" i="1"/>
  <c r="W1086" i="1"/>
  <c r="AE1086" i="1"/>
  <c r="AK1086" i="1"/>
  <c r="AQ1086" i="1"/>
  <c r="AU1086" i="1"/>
  <c r="AV1086" i="1"/>
  <c r="AW1086" i="1"/>
  <c r="AX1086" i="1"/>
  <c r="AY1086" i="1"/>
  <c r="AZ1086" i="1"/>
  <c r="BA1086" i="1"/>
  <c r="BC1086" i="1"/>
  <c r="BD1086" i="1"/>
  <c r="BE1086" i="1"/>
  <c r="BF1086" i="1"/>
  <c r="BG1086" i="1"/>
  <c r="BH1086" i="1"/>
  <c r="BI1086" i="1"/>
  <c r="BJ1086" i="1"/>
  <c r="BM1086" i="1"/>
  <c r="CA1086" i="1"/>
  <c r="CN1086" i="1"/>
  <c r="CO1086" i="1"/>
  <c r="CP1086" i="1"/>
  <c r="CQ1086" i="1"/>
  <c r="G1087" i="1"/>
  <c r="U1087" i="1"/>
  <c r="W1087" i="1"/>
  <c r="AE1087" i="1"/>
  <c r="AK1087" i="1"/>
  <c r="AQ1087" i="1"/>
  <c r="AU1087" i="1"/>
  <c r="AV1087" i="1"/>
  <c r="AW1087" i="1"/>
  <c r="AX1087" i="1"/>
  <c r="AY1087" i="1"/>
  <c r="AZ1087" i="1"/>
  <c r="BA1087" i="1"/>
  <c r="BC1087" i="1"/>
  <c r="BD1087" i="1"/>
  <c r="BE1087" i="1"/>
  <c r="BF1087" i="1"/>
  <c r="BG1087" i="1"/>
  <c r="BH1087" i="1"/>
  <c r="BI1087" i="1"/>
  <c r="BJ1087" i="1"/>
  <c r="BM1087" i="1"/>
  <c r="CA1087" i="1"/>
  <c r="CN1087" i="1"/>
  <c r="CO1087" i="1"/>
  <c r="CP1087" i="1"/>
  <c r="CQ1087" i="1"/>
  <c r="G1472" i="1"/>
  <c r="U1472" i="1"/>
  <c r="W1472" i="1"/>
  <c r="AE1472" i="1"/>
  <c r="AK1472" i="1"/>
  <c r="AQ1472" i="1"/>
  <c r="AU1472" i="1"/>
  <c r="AV1472" i="1"/>
  <c r="AW1472" i="1"/>
  <c r="AX1472" i="1"/>
  <c r="AY1472" i="1"/>
  <c r="AZ1472" i="1"/>
  <c r="BA1472" i="1"/>
  <c r="BC1472" i="1"/>
  <c r="BD1472" i="1"/>
  <c r="BE1472" i="1"/>
  <c r="BF1472" i="1"/>
  <c r="BG1472" i="1"/>
  <c r="BH1472" i="1"/>
  <c r="BI1472" i="1"/>
  <c r="BJ1472" i="1"/>
  <c r="BM1472" i="1"/>
  <c r="CA1472" i="1"/>
  <c r="CN1472" i="1"/>
  <c r="CO1472" i="1"/>
  <c r="CP1472" i="1"/>
  <c r="CQ1472" i="1"/>
  <c r="G268" i="1"/>
  <c r="U268" i="1"/>
  <c r="W268" i="1"/>
  <c r="AE268" i="1"/>
  <c r="AK268" i="1"/>
  <c r="AQ268" i="1"/>
  <c r="AU268" i="1"/>
  <c r="AV268" i="1"/>
  <c r="AW268" i="1"/>
  <c r="AX268" i="1"/>
  <c r="AY268" i="1"/>
  <c r="AZ268" i="1"/>
  <c r="BA268" i="1"/>
  <c r="BC268" i="1"/>
  <c r="BD268" i="1"/>
  <c r="BE268" i="1"/>
  <c r="BF268" i="1"/>
  <c r="BG268" i="1"/>
  <c r="BH268" i="1"/>
  <c r="BI268" i="1"/>
  <c r="BJ268" i="1"/>
  <c r="BM268" i="1"/>
  <c r="CA268" i="1"/>
  <c r="CN268" i="1"/>
  <c r="CO268" i="1"/>
  <c r="CP268" i="1"/>
  <c r="CQ268" i="1"/>
  <c r="G1473" i="1"/>
  <c r="U1473" i="1"/>
  <c r="W1473" i="1"/>
  <c r="AE1473" i="1"/>
  <c r="AK1473" i="1"/>
  <c r="AQ1473" i="1"/>
  <c r="AU1473" i="1"/>
  <c r="AV1473" i="1"/>
  <c r="AW1473" i="1"/>
  <c r="AX1473" i="1"/>
  <c r="AY1473" i="1"/>
  <c r="AZ1473" i="1"/>
  <c r="BA1473" i="1"/>
  <c r="BC1473" i="1"/>
  <c r="BD1473" i="1"/>
  <c r="BE1473" i="1"/>
  <c r="BF1473" i="1"/>
  <c r="BG1473" i="1"/>
  <c r="BH1473" i="1"/>
  <c r="BI1473" i="1"/>
  <c r="BJ1473" i="1"/>
  <c r="BM1473" i="1"/>
  <c r="CA1473" i="1"/>
  <c r="CN1473" i="1"/>
  <c r="CO1473" i="1"/>
  <c r="CP1473" i="1"/>
  <c r="CQ1473" i="1"/>
  <c r="G1088" i="1"/>
  <c r="U1088" i="1"/>
  <c r="W1088" i="1"/>
  <c r="AE1088" i="1"/>
  <c r="AK1088" i="1"/>
  <c r="AQ1088" i="1"/>
  <c r="AU1088" i="1"/>
  <c r="AV1088" i="1"/>
  <c r="AW1088" i="1"/>
  <c r="AX1088" i="1"/>
  <c r="AY1088" i="1"/>
  <c r="AZ1088" i="1"/>
  <c r="BA1088" i="1"/>
  <c r="BC1088" i="1"/>
  <c r="BD1088" i="1"/>
  <c r="BE1088" i="1"/>
  <c r="BF1088" i="1"/>
  <c r="BG1088" i="1"/>
  <c r="BH1088" i="1"/>
  <c r="BI1088" i="1"/>
  <c r="BJ1088" i="1"/>
  <c r="BM1088" i="1"/>
  <c r="CA1088" i="1"/>
  <c r="CN1088" i="1"/>
  <c r="CO1088" i="1"/>
  <c r="CP1088" i="1"/>
  <c r="CQ1088" i="1"/>
  <c r="G1089" i="1"/>
  <c r="U1089" i="1"/>
  <c r="W1089" i="1"/>
  <c r="AE1089" i="1"/>
  <c r="AK1089" i="1"/>
  <c r="AQ1089" i="1"/>
  <c r="AU1089" i="1"/>
  <c r="AV1089" i="1"/>
  <c r="AW1089" i="1"/>
  <c r="AX1089" i="1"/>
  <c r="AY1089" i="1"/>
  <c r="AZ1089" i="1"/>
  <c r="BA1089" i="1"/>
  <c r="BC1089" i="1"/>
  <c r="BD1089" i="1"/>
  <c r="BE1089" i="1"/>
  <c r="BF1089" i="1"/>
  <c r="BG1089" i="1"/>
  <c r="BH1089" i="1"/>
  <c r="BI1089" i="1"/>
  <c r="BJ1089" i="1"/>
  <c r="BM1089" i="1"/>
  <c r="CA1089" i="1"/>
  <c r="CN1089" i="1"/>
  <c r="CO1089" i="1"/>
  <c r="CP1089" i="1"/>
  <c r="CQ1089" i="1"/>
  <c r="G1090" i="1"/>
  <c r="U1090" i="1"/>
  <c r="W1090" i="1"/>
  <c r="AE1090" i="1"/>
  <c r="AK1090" i="1"/>
  <c r="AQ1090" i="1"/>
  <c r="AU1090" i="1"/>
  <c r="AV1090" i="1"/>
  <c r="AW1090" i="1"/>
  <c r="AX1090" i="1"/>
  <c r="AY1090" i="1"/>
  <c r="AZ1090" i="1"/>
  <c r="BA1090" i="1"/>
  <c r="BC1090" i="1"/>
  <c r="BD1090" i="1"/>
  <c r="BE1090" i="1"/>
  <c r="BF1090" i="1"/>
  <c r="BG1090" i="1"/>
  <c r="BH1090" i="1"/>
  <c r="BI1090" i="1"/>
  <c r="BJ1090" i="1"/>
  <c r="BM1090" i="1"/>
  <c r="CA1090" i="1"/>
  <c r="CN1090" i="1"/>
  <c r="CO1090" i="1"/>
  <c r="CP1090" i="1"/>
  <c r="CQ1090" i="1"/>
  <c r="G1091" i="1"/>
  <c r="U1091" i="1"/>
  <c r="W1091" i="1"/>
  <c r="AE1091" i="1"/>
  <c r="AK1091" i="1"/>
  <c r="AQ1091" i="1"/>
  <c r="AU1091" i="1"/>
  <c r="AV1091" i="1"/>
  <c r="AW1091" i="1"/>
  <c r="AX1091" i="1"/>
  <c r="AY1091" i="1"/>
  <c r="AZ1091" i="1"/>
  <c r="BA1091" i="1"/>
  <c r="BC1091" i="1"/>
  <c r="BD1091" i="1"/>
  <c r="BE1091" i="1"/>
  <c r="BF1091" i="1"/>
  <c r="BG1091" i="1"/>
  <c r="BH1091" i="1"/>
  <c r="BI1091" i="1"/>
  <c r="BJ1091" i="1"/>
  <c r="BM1091" i="1"/>
  <c r="CA1091" i="1"/>
  <c r="CN1091" i="1"/>
  <c r="CO1091" i="1"/>
  <c r="CP1091" i="1"/>
  <c r="CQ1091" i="1"/>
  <c r="G452" i="1"/>
  <c r="U452" i="1"/>
  <c r="W452" i="1"/>
  <c r="AE452" i="1"/>
  <c r="AK452" i="1"/>
  <c r="AQ452" i="1"/>
  <c r="AU452" i="1"/>
  <c r="AV452" i="1"/>
  <c r="AW452" i="1"/>
  <c r="AX452" i="1"/>
  <c r="AY452" i="1"/>
  <c r="AZ452" i="1"/>
  <c r="BA452" i="1"/>
  <c r="BC452" i="1"/>
  <c r="BD452" i="1"/>
  <c r="BE452" i="1"/>
  <c r="BF452" i="1"/>
  <c r="BG452" i="1"/>
  <c r="BH452" i="1"/>
  <c r="BI452" i="1"/>
  <c r="BJ452" i="1"/>
  <c r="BM452" i="1"/>
  <c r="CA452" i="1"/>
  <c r="CN452" i="1"/>
  <c r="CO452" i="1"/>
  <c r="CP452" i="1"/>
  <c r="CQ452" i="1"/>
  <c r="G1474" i="1"/>
  <c r="U1474" i="1"/>
  <c r="W1474" i="1"/>
  <c r="AE1474" i="1"/>
  <c r="AK1474" i="1"/>
  <c r="AQ1474" i="1"/>
  <c r="AU1474" i="1"/>
  <c r="AV1474" i="1"/>
  <c r="AW1474" i="1"/>
  <c r="AX1474" i="1"/>
  <c r="AY1474" i="1"/>
  <c r="AZ1474" i="1"/>
  <c r="BA1474" i="1"/>
  <c r="BC1474" i="1"/>
  <c r="BD1474" i="1"/>
  <c r="BE1474" i="1"/>
  <c r="BF1474" i="1"/>
  <c r="BG1474" i="1"/>
  <c r="BH1474" i="1"/>
  <c r="BI1474" i="1"/>
  <c r="BJ1474" i="1"/>
  <c r="BM1474" i="1"/>
  <c r="CA1474" i="1"/>
  <c r="CN1474" i="1"/>
  <c r="CO1474" i="1"/>
  <c r="CP1474" i="1"/>
  <c r="CQ1474" i="1"/>
  <c r="G1092" i="1"/>
  <c r="U1092" i="1"/>
  <c r="W1092" i="1"/>
  <c r="AE1092" i="1"/>
  <c r="AK1092" i="1"/>
  <c r="AQ1092" i="1"/>
  <c r="AU1092" i="1"/>
  <c r="AV1092" i="1"/>
  <c r="AW1092" i="1"/>
  <c r="AX1092" i="1"/>
  <c r="AY1092" i="1"/>
  <c r="AZ1092" i="1"/>
  <c r="BA1092" i="1"/>
  <c r="BC1092" i="1"/>
  <c r="BD1092" i="1"/>
  <c r="BE1092" i="1"/>
  <c r="BF1092" i="1"/>
  <c r="BG1092" i="1"/>
  <c r="BH1092" i="1"/>
  <c r="BI1092" i="1"/>
  <c r="BJ1092" i="1"/>
  <c r="BM1092" i="1"/>
  <c r="CA1092" i="1"/>
  <c r="CN1092" i="1"/>
  <c r="CO1092" i="1"/>
  <c r="CP1092" i="1"/>
  <c r="CQ1092" i="1"/>
  <c r="G269" i="1"/>
  <c r="U269" i="1"/>
  <c r="W269" i="1"/>
  <c r="AE269" i="1"/>
  <c r="AK269" i="1"/>
  <c r="AQ269" i="1"/>
  <c r="AU269" i="1"/>
  <c r="AV269" i="1"/>
  <c r="AW269" i="1"/>
  <c r="AX269" i="1"/>
  <c r="AY269" i="1"/>
  <c r="AZ269" i="1"/>
  <c r="BA269" i="1"/>
  <c r="BC269" i="1"/>
  <c r="BD269" i="1"/>
  <c r="BE269" i="1"/>
  <c r="BF269" i="1"/>
  <c r="BG269" i="1"/>
  <c r="BH269" i="1"/>
  <c r="BI269" i="1"/>
  <c r="BJ269" i="1"/>
  <c r="BM269" i="1"/>
  <c r="CA269" i="1"/>
  <c r="CN269" i="1"/>
  <c r="CO269" i="1"/>
  <c r="CP269" i="1"/>
  <c r="CQ269" i="1"/>
  <c r="G1093" i="1"/>
  <c r="U1093" i="1"/>
  <c r="W1093" i="1"/>
  <c r="AE1093" i="1"/>
  <c r="AK1093" i="1"/>
  <c r="AQ1093" i="1"/>
  <c r="AU1093" i="1"/>
  <c r="AV1093" i="1"/>
  <c r="AW1093" i="1"/>
  <c r="AX1093" i="1"/>
  <c r="AY1093" i="1"/>
  <c r="AZ1093" i="1"/>
  <c r="BA1093" i="1"/>
  <c r="BC1093" i="1"/>
  <c r="BD1093" i="1"/>
  <c r="BE1093" i="1"/>
  <c r="BF1093" i="1"/>
  <c r="BG1093" i="1"/>
  <c r="BH1093" i="1"/>
  <c r="BI1093" i="1"/>
  <c r="BJ1093" i="1"/>
  <c r="BM1093" i="1"/>
  <c r="CA1093" i="1"/>
  <c r="CN1093" i="1"/>
  <c r="CO1093" i="1"/>
  <c r="CP1093" i="1"/>
  <c r="CQ1093" i="1"/>
  <c r="G453" i="1"/>
  <c r="U453" i="1"/>
  <c r="W453" i="1"/>
  <c r="AE453" i="1"/>
  <c r="AK453" i="1"/>
  <c r="AQ453" i="1"/>
  <c r="AU453" i="1"/>
  <c r="AV453" i="1"/>
  <c r="AW453" i="1"/>
  <c r="AX453" i="1"/>
  <c r="AY453" i="1"/>
  <c r="AZ453" i="1"/>
  <c r="BA453" i="1"/>
  <c r="BC453" i="1"/>
  <c r="BD453" i="1"/>
  <c r="BE453" i="1"/>
  <c r="BF453" i="1"/>
  <c r="BG453" i="1"/>
  <c r="BH453" i="1"/>
  <c r="BI453" i="1"/>
  <c r="BJ453" i="1"/>
  <c r="BM453" i="1"/>
  <c r="CA453" i="1"/>
  <c r="CN453" i="1"/>
  <c r="CO453" i="1"/>
  <c r="CP453" i="1"/>
  <c r="CQ453" i="1"/>
  <c r="G1475" i="1"/>
  <c r="U1475" i="1"/>
  <c r="W1475" i="1"/>
  <c r="AE1475" i="1"/>
  <c r="AK1475" i="1"/>
  <c r="AQ1475" i="1"/>
  <c r="AU1475" i="1"/>
  <c r="AV1475" i="1"/>
  <c r="AW1475" i="1"/>
  <c r="AX1475" i="1"/>
  <c r="AY1475" i="1"/>
  <c r="AZ1475" i="1"/>
  <c r="BA1475" i="1"/>
  <c r="BC1475" i="1"/>
  <c r="BD1475" i="1"/>
  <c r="BE1475" i="1"/>
  <c r="BF1475" i="1"/>
  <c r="BG1475" i="1"/>
  <c r="BH1475" i="1"/>
  <c r="BI1475" i="1"/>
  <c r="BJ1475" i="1"/>
  <c r="BM1475" i="1"/>
  <c r="CA1475" i="1"/>
  <c r="CN1475" i="1"/>
  <c r="CO1475" i="1"/>
  <c r="CP1475" i="1"/>
  <c r="CQ1475" i="1"/>
  <c r="G1094" i="1"/>
  <c r="U1094" i="1"/>
  <c r="W1094" i="1"/>
  <c r="AE1094" i="1"/>
  <c r="AK1094" i="1"/>
  <c r="AQ1094" i="1"/>
  <c r="AU1094" i="1"/>
  <c r="AV1094" i="1"/>
  <c r="AW1094" i="1"/>
  <c r="AX1094" i="1"/>
  <c r="AY1094" i="1"/>
  <c r="AZ1094" i="1"/>
  <c r="BA1094" i="1"/>
  <c r="BC1094" i="1"/>
  <c r="BD1094" i="1"/>
  <c r="BE1094" i="1"/>
  <c r="BF1094" i="1"/>
  <c r="BG1094" i="1"/>
  <c r="BH1094" i="1"/>
  <c r="BI1094" i="1"/>
  <c r="BJ1094" i="1"/>
  <c r="BM1094" i="1"/>
  <c r="CA1094" i="1"/>
  <c r="CN1094" i="1"/>
  <c r="CO1094" i="1"/>
  <c r="CP1094" i="1"/>
  <c r="CQ1094" i="1"/>
  <c r="G454" i="1"/>
  <c r="U454" i="1"/>
  <c r="W454" i="1"/>
  <c r="AE454" i="1"/>
  <c r="AK454" i="1"/>
  <c r="AQ454" i="1"/>
  <c r="AU454" i="1"/>
  <c r="AV454" i="1"/>
  <c r="AW454" i="1"/>
  <c r="AX454" i="1"/>
  <c r="AY454" i="1"/>
  <c r="AZ454" i="1"/>
  <c r="BA454" i="1"/>
  <c r="BC454" i="1"/>
  <c r="BD454" i="1"/>
  <c r="BE454" i="1"/>
  <c r="BF454" i="1"/>
  <c r="BG454" i="1"/>
  <c r="BH454" i="1"/>
  <c r="BI454" i="1"/>
  <c r="BJ454" i="1"/>
  <c r="BM454" i="1"/>
  <c r="CA454" i="1"/>
  <c r="CN454" i="1"/>
  <c r="CO454" i="1"/>
  <c r="CP454" i="1"/>
  <c r="CQ454" i="1"/>
  <c r="G455" i="1"/>
  <c r="U455" i="1"/>
  <c r="W455" i="1"/>
  <c r="AE455" i="1"/>
  <c r="AK455" i="1"/>
  <c r="AQ455" i="1"/>
  <c r="AU455" i="1"/>
  <c r="AV455" i="1"/>
  <c r="AW455" i="1"/>
  <c r="AX455" i="1"/>
  <c r="AY455" i="1"/>
  <c r="AZ455" i="1"/>
  <c r="BA455" i="1"/>
  <c r="BC455" i="1"/>
  <c r="BD455" i="1"/>
  <c r="BE455" i="1"/>
  <c r="BF455" i="1"/>
  <c r="BG455" i="1"/>
  <c r="BH455" i="1"/>
  <c r="BI455" i="1"/>
  <c r="BJ455" i="1"/>
  <c r="BM455" i="1"/>
  <c r="CA455" i="1"/>
  <c r="CN455" i="1"/>
  <c r="CO455" i="1"/>
  <c r="CP455" i="1"/>
  <c r="CQ455" i="1"/>
  <c r="G1095" i="1"/>
  <c r="U1095" i="1"/>
  <c r="W1095" i="1"/>
  <c r="AE1095" i="1"/>
  <c r="AK1095" i="1"/>
  <c r="AQ1095" i="1"/>
  <c r="AU1095" i="1"/>
  <c r="AV1095" i="1"/>
  <c r="AW1095" i="1"/>
  <c r="AX1095" i="1"/>
  <c r="AY1095" i="1"/>
  <c r="AZ1095" i="1"/>
  <c r="BA1095" i="1"/>
  <c r="BC1095" i="1"/>
  <c r="BD1095" i="1"/>
  <c r="BE1095" i="1"/>
  <c r="BF1095" i="1"/>
  <c r="BG1095" i="1"/>
  <c r="BH1095" i="1"/>
  <c r="BI1095" i="1"/>
  <c r="BJ1095" i="1"/>
  <c r="BM1095" i="1"/>
  <c r="CA1095" i="1"/>
  <c r="CN1095" i="1"/>
  <c r="CO1095" i="1"/>
  <c r="CP1095" i="1"/>
  <c r="CQ1095" i="1"/>
  <c r="G1476" i="1"/>
  <c r="U1476" i="1"/>
  <c r="W1476" i="1"/>
  <c r="AE1476" i="1"/>
  <c r="AK1476" i="1"/>
  <c r="AQ1476" i="1"/>
  <c r="AU1476" i="1"/>
  <c r="AV1476" i="1"/>
  <c r="AW1476" i="1"/>
  <c r="AX1476" i="1"/>
  <c r="AY1476" i="1"/>
  <c r="AZ1476" i="1"/>
  <c r="BA1476" i="1"/>
  <c r="BC1476" i="1"/>
  <c r="BD1476" i="1"/>
  <c r="BE1476" i="1"/>
  <c r="BF1476" i="1"/>
  <c r="BG1476" i="1"/>
  <c r="BH1476" i="1"/>
  <c r="BI1476" i="1"/>
  <c r="BJ1476" i="1"/>
  <c r="BM1476" i="1"/>
  <c r="CA1476" i="1"/>
  <c r="CN1476" i="1"/>
  <c r="CO1476" i="1"/>
  <c r="CP1476" i="1"/>
  <c r="CQ1476" i="1"/>
  <c r="G270" i="1"/>
  <c r="U270" i="1"/>
  <c r="W270" i="1"/>
  <c r="AE270" i="1"/>
  <c r="AK270" i="1"/>
  <c r="AQ270" i="1"/>
  <c r="AU270" i="1"/>
  <c r="AV270" i="1"/>
  <c r="AW270" i="1"/>
  <c r="AX270" i="1"/>
  <c r="AY270" i="1"/>
  <c r="AZ270" i="1"/>
  <c r="BA270" i="1"/>
  <c r="BC270" i="1"/>
  <c r="BD270" i="1"/>
  <c r="BE270" i="1"/>
  <c r="BF270" i="1"/>
  <c r="BG270" i="1"/>
  <c r="BH270" i="1"/>
  <c r="BI270" i="1"/>
  <c r="BJ270" i="1"/>
  <c r="BM270" i="1"/>
  <c r="CA270" i="1"/>
  <c r="CN270" i="1"/>
  <c r="CO270" i="1"/>
  <c r="CP270" i="1"/>
  <c r="CQ270" i="1"/>
  <c r="G1096" i="1"/>
  <c r="U1096" i="1"/>
  <c r="W1096" i="1"/>
  <c r="AE1096" i="1"/>
  <c r="AK1096" i="1"/>
  <c r="AQ1096" i="1"/>
  <c r="AU1096" i="1"/>
  <c r="AV1096" i="1"/>
  <c r="AW1096" i="1"/>
  <c r="AX1096" i="1"/>
  <c r="AY1096" i="1"/>
  <c r="AZ1096" i="1"/>
  <c r="BA1096" i="1"/>
  <c r="BC1096" i="1"/>
  <c r="BD1096" i="1"/>
  <c r="BE1096" i="1"/>
  <c r="BF1096" i="1"/>
  <c r="BG1096" i="1"/>
  <c r="BH1096" i="1"/>
  <c r="BI1096" i="1"/>
  <c r="BJ1096" i="1"/>
  <c r="BM1096" i="1"/>
  <c r="CA1096" i="1"/>
  <c r="CN1096" i="1"/>
  <c r="CO1096" i="1"/>
  <c r="CP1096" i="1"/>
  <c r="CQ1096" i="1"/>
  <c r="G1097" i="1"/>
  <c r="U1097" i="1"/>
  <c r="W1097" i="1"/>
  <c r="AE1097" i="1"/>
  <c r="AK1097" i="1"/>
  <c r="AQ1097" i="1"/>
  <c r="AU1097" i="1"/>
  <c r="AV1097" i="1"/>
  <c r="AW1097" i="1"/>
  <c r="AX1097" i="1"/>
  <c r="AY1097" i="1"/>
  <c r="AZ1097" i="1"/>
  <c r="BA1097" i="1"/>
  <c r="BC1097" i="1"/>
  <c r="BD1097" i="1"/>
  <c r="BE1097" i="1"/>
  <c r="BF1097" i="1"/>
  <c r="BG1097" i="1"/>
  <c r="BH1097" i="1"/>
  <c r="BI1097" i="1"/>
  <c r="BJ1097" i="1"/>
  <c r="BM1097" i="1"/>
  <c r="CA1097" i="1"/>
  <c r="CN1097" i="1"/>
  <c r="CO1097" i="1"/>
  <c r="CP1097" i="1"/>
  <c r="CQ1097" i="1"/>
  <c r="G1477" i="1"/>
  <c r="U1477" i="1"/>
  <c r="W1477" i="1"/>
  <c r="AE1477" i="1"/>
  <c r="AK1477" i="1"/>
  <c r="AQ1477" i="1"/>
  <c r="AU1477" i="1"/>
  <c r="AV1477" i="1"/>
  <c r="AW1477" i="1"/>
  <c r="AX1477" i="1"/>
  <c r="AY1477" i="1"/>
  <c r="AZ1477" i="1"/>
  <c r="BA1477" i="1"/>
  <c r="BC1477" i="1"/>
  <c r="BD1477" i="1"/>
  <c r="BE1477" i="1"/>
  <c r="BF1477" i="1"/>
  <c r="BG1477" i="1"/>
  <c r="BH1477" i="1"/>
  <c r="BI1477" i="1"/>
  <c r="BJ1477" i="1"/>
  <c r="BM1477" i="1"/>
  <c r="CA1477" i="1"/>
  <c r="CN1477" i="1"/>
  <c r="CO1477" i="1"/>
  <c r="CP1477" i="1"/>
  <c r="CQ1477" i="1"/>
  <c r="G1098" i="1"/>
  <c r="U1098" i="1"/>
  <c r="W1098" i="1"/>
  <c r="AE1098" i="1"/>
  <c r="AK1098" i="1"/>
  <c r="AQ1098" i="1"/>
  <c r="AU1098" i="1"/>
  <c r="AV1098" i="1"/>
  <c r="AW1098" i="1"/>
  <c r="AX1098" i="1"/>
  <c r="AY1098" i="1"/>
  <c r="AZ1098" i="1"/>
  <c r="BA1098" i="1"/>
  <c r="BC1098" i="1"/>
  <c r="BD1098" i="1"/>
  <c r="BE1098" i="1"/>
  <c r="BF1098" i="1"/>
  <c r="BG1098" i="1"/>
  <c r="BH1098" i="1"/>
  <c r="BI1098" i="1"/>
  <c r="BJ1098" i="1"/>
  <c r="BM1098" i="1"/>
  <c r="CA1098" i="1"/>
  <c r="CN1098" i="1"/>
  <c r="CO1098" i="1"/>
  <c r="CP1098" i="1"/>
  <c r="CQ1098" i="1"/>
  <c r="G456" i="1"/>
  <c r="U456" i="1"/>
  <c r="W456" i="1"/>
  <c r="AE456" i="1"/>
  <c r="AK456" i="1"/>
  <c r="AQ456" i="1"/>
  <c r="AU456" i="1"/>
  <c r="AV456" i="1"/>
  <c r="AW456" i="1"/>
  <c r="AX456" i="1"/>
  <c r="AY456" i="1"/>
  <c r="AZ456" i="1"/>
  <c r="BA456" i="1"/>
  <c r="BC456" i="1"/>
  <c r="BD456" i="1"/>
  <c r="BE456" i="1"/>
  <c r="BF456" i="1"/>
  <c r="BG456" i="1"/>
  <c r="BH456" i="1"/>
  <c r="BI456" i="1"/>
  <c r="BJ456" i="1"/>
  <c r="BM456" i="1"/>
  <c r="CA456" i="1"/>
  <c r="CN456" i="1"/>
  <c r="CO456" i="1"/>
  <c r="CP456" i="1"/>
  <c r="CQ456" i="1"/>
  <c r="G271" i="1"/>
  <c r="U271" i="1"/>
  <c r="W271" i="1"/>
  <c r="AE271" i="1"/>
  <c r="AK271" i="1"/>
  <c r="AQ271" i="1"/>
  <c r="AU271" i="1"/>
  <c r="AV271" i="1"/>
  <c r="AW271" i="1"/>
  <c r="AX271" i="1"/>
  <c r="AY271" i="1"/>
  <c r="AZ271" i="1"/>
  <c r="BA271" i="1"/>
  <c r="BC271" i="1"/>
  <c r="BD271" i="1"/>
  <c r="BE271" i="1"/>
  <c r="BF271" i="1"/>
  <c r="BG271" i="1"/>
  <c r="BH271" i="1"/>
  <c r="BI271" i="1"/>
  <c r="BJ271" i="1"/>
  <c r="BM271" i="1"/>
  <c r="CA271" i="1"/>
  <c r="CN271" i="1"/>
  <c r="CO271" i="1"/>
  <c r="CP271" i="1"/>
  <c r="CQ271" i="1"/>
  <c r="G1478" i="1"/>
  <c r="U1478" i="1"/>
  <c r="W1478" i="1"/>
  <c r="AE1478" i="1"/>
  <c r="AK1478" i="1"/>
  <c r="AQ1478" i="1"/>
  <c r="AU1478" i="1"/>
  <c r="AV1478" i="1"/>
  <c r="AW1478" i="1"/>
  <c r="AX1478" i="1"/>
  <c r="AY1478" i="1"/>
  <c r="AZ1478" i="1"/>
  <c r="BA1478" i="1"/>
  <c r="BC1478" i="1"/>
  <c r="BD1478" i="1"/>
  <c r="BE1478" i="1"/>
  <c r="BF1478" i="1"/>
  <c r="BG1478" i="1"/>
  <c r="BH1478" i="1"/>
  <c r="BI1478" i="1"/>
  <c r="BJ1478" i="1"/>
  <c r="BM1478" i="1"/>
  <c r="CA1478" i="1"/>
  <c r="CN1478" i="1"/>
  <c r="CO1478" i="1"/>
  <c r="CP1478" i="1"/>
  <c r="CQ1478" i="1"/>
  <c r="G1479" i="1"/>
  <c r="U1479" i="1"/>
  <c r="W1479" i="1"/>
  <c r="AE1479" i="1"/>
  <c r="AK1479" i="1"/>
  <c r="AQ1479" i="1"/>
  <c r="AU1479" i="1"/>
  <c r="AV1479" i="1"/>
  <c r="AW1479" i="1"/>
  <c r="AX1479" i="1"/>
  <c r="AY1479" i="1"/>
  <c r="AZ1479" i="1"/>
  <c r="BA1479" i="1"/>
  <c r="BC1479" i="1"/>
  <c r="BD1479" i="1"/>
  <c r="BE1479" i="1"/>
  <c r="BF1479" i="1"/>
  <c r="BG1479" i="1"/>
  <c r="BH1479" i="1"/>
  <c r="BI1479" i="1"/>
  <c r="BJ1479" i="1"/>
  <c r="BM1479" i="1"/>
  <c r="CA1479" i="1"/>
  <c r="CN1479" i="1"/>
  <c r="CO1479" i="1"/>
  <c r="CP1479" i="1"/>
  <c r="CQ1479" i="1"/>
  <c r="G272" i="1"/>
  <c r="U272" i="1"/>
  <c r="W272" i="1"/>
  <c r="AE272" i="1"/>
  <c r="AK272" i="1"/>
  <c r="AQ272" i="1"/>
  <c r="AU272" i="1"/>
  <c r="AV272" i="1"/>
  <c r="AW272" i="1"/>
  <c r="AX272" i="1"/>
  <c r="AY272" i="1"/>
  <c r="AZ272" i="1"/>
  <c r="BA272" i="1"/>
  <c r="BC272" i="1"/>
  <c r="BD272" i="1"/>
  <c r="BE272" i="1"/>
  <c r="BF272" i="1"/>
  <c r="BG272" i="1"/>
  <c r="BH272" i="1"/>
  <c r="BI272" i="1"/>
  <c r="BJ272" i="1"/>
  <c r="BM272" i="1"/>
  <c r="CA272" i="1"/>
  <c r="CN272" i="1"/>
  <c r="CO272" i="1"/>
  <c r="CP272" i="1"/>
  <c r="CQ272" i="1"/>
  <c r="G1099" i="1"/>
  <c r="U1099" i="1"/>
  <c r="W1099" i="1"/>
  <c r="AE1099" i="1"/>
  <c r="AK1099" i="1"/>
  <c r="AQ1099" i="1"/>
  <c r="AU1099" i="1"/>
  <c r="AV1099" i="1"/>
  <c r="AW1099" i="1"/>
  <c r="AX1099" i="1"/>
  <c r="AY1099" i="1"/>
  <c r="AZ1099" i="1"/>
  <c r="BA1099" i="1"/>
  <c r="BC1099" i="1"/>
  <c r="BD1099" i="1"/>
  <c r="BE1099" i="1"/>
  <c r="BF1099" i="1"/>
  <c r="BG1099" i="1"/>
  <c r="BH1099" i="1"/>
  <c r="BI1099" i="1"/>
  <c r="BJ1099" i="1"/>
  <c r="BM1099" i="1"/>
  <c r="CA1099" i="1"/>
  <c r="CN1099" i="1"/>
  <c r="CO1099" i="1"/>
  <c r="CP1099" i="1"/>
  <c r="CQ1099" i="1"/>
  <c r="G1100" i="1"/>
  <c r="U1100" i="1"/>
  <c r="W1100" i="1"/>
  <c r="AE1100" i="1"/>
  <c r="AK1100" i="1"/>
  <c r="AQ1100" i="1"/>
  <c r="AU1100" i="1"/>
  <c r="AV1100" i="1"/>
  <c r="AW1100" i="1"/>
  <c r="AX1100" i="1"/>
  <c r="AY1100" i="1"/>
  <c r="AZ1100" i="1"/>
  <c r="BA1100" i="1"/>
  <c r="BC1100" i="1"/>
  <c r="BD1100" i="1"/>
  <c r="BE1100" i="1"/>
  <c r="BF1100" i="1"/>
  <c r="BG1100" i="1"/>
  <c r="BH1100" i="1"/>
  <c r="BI1100" i="1"/>
  <c r="BJ1100" i="1"/>
  <c r="BM1100" i="1"/>
  <c r="CA1100" i="1"/>
  <c r="CN1100" i="1"/>
  <c r="CO1100" i="1"/>
  <c r="CP1100" i="1"/>
  <c r="CQ1100" i="1"/>
  <c r="G1101" i="1"/>
  <c r="U1101" i="1"/>
  <c r="W1101" i="1"/>
  <c r="AE1101" i="1"/>
  <c r="AK1101" i="1"/>
  <c r="AQ1101" i="1"/>
  <c r="AU1101" i="1"/>
  <c r="AV1101" i="1"/>
  <c r="AW1101" i="1"/>
  <c r="AX1101" i="1"/>
  <c r="AY1101" i="1"/>
  <c r="AZ1101" i="1"/>
  <c r="BA1101" i="1"/>
  <c r="BC1101" i="1"/>
  <c r="BD1101" i="1"/>
  <c r="BE1101" i="1"/>
  <c r="BF1101" i="1"/>
  <c r="BG1101" i="1"/>
  <c r="BH1101" i="1"/>
  <c r="BI1101" i="1"/>
  <c r="BJ1101" i="1"/>
  <c r="BM1101" i="1"/>
  <c r="CA1101" i="1"/>
  <c r="CN1101" i="1"/>
  <c r="CO1101" i="1"/>
  <c r="CP1101" i="1"/>
  <c r="CQ1101" i="1"/>
  <c r="G457" i="1"/>
  <c r="U457" i="1"/>
  <c r="W457" i="1"/>
  <c r="AE457" i="1"/>
  <c r="AK457" i="1"/>
  <c r="AQ457" i="1"/>
  <c r="AU457" i="1"/>
  <c r="AV457" i="1"/>
  <c r="AW457" i="1"/>
  <c r="AX457" i="1"/>
  <c r="AY457" i="1"/>
  <c r="AZ457" i="1"/>
  <c r="BA457" i="1"/>
  <c r="BC457" i="1"/>
  <c r="BD457" i="1"/>
  <c r="BE457" i="1"/>
  <c r="BF457" i="1"/>
  <c r="BG457" i="1"/>
  <c r="BH457" i="1"/>
  <c r="BI457" i="1"/>
  <c r="BJ457" i="1"/>
  <c r="BM457" i="1"/>
  <c r="CA457" i="1"/>
  <c r="CN457" i="1"/>
  <c r="CO457" i="1"/>
  <c r="CP457" i="1"/>
  <c r="CQ457" i="1"/>
  <c r="G1102" i="1"/>
  <c r="U1102" i="1"/>
  <c r="W1102" i="1"/>
  <c r="AE1102" i="1"/>
  <c r="AK1102" i="1"/>
  <c r="AQ1102" i="1"/>
  <c r="AU1102" i="1"/>
  <c r="AV1102" i="1"/>
  <c r="AW1102" i="1"/>
  <c r="AX1102" i="1"/>
  <c r="AY1102" i="1"/>
  <c r="AZ1102" i="1"/>
  <c r="BA1102" i="1"/>
  <c r="BC1102" i="1"/>
  <c r="BD1102" i="1"/>
  <c r="BE1102" i="1"/>
  <c r="BF1102" i="1"/>
  <c r="BG1102" i="1"/>
  <c r="BH1102" i="1"/>
  <c r="BI1102" i="1"/>
  <c r="BJ1102" i="1"/>
  <c r="BM1102" i="1"/>
  <c r="CA1102" i="1"/>
  <c r="CN1102" i="1"/>
  <c r="CO1102" i="1"/>
  <c r="CP1102" i="1"/>
  <c r="CQ1102" i="1"/>
  <c r="G1103" i="1"/>
  <c r="U1103" i="1"/>
  <c r="W1103" i="1"/>
  <c r="AE1103" i="1"/>
  <c r="AK1103" i="1"/>
  <c r="AQ1103" i="1"/>
  <c r="AU1103" i="1"/>
  <c r="AV1103" i="1"/>
  <c r="AW1103" i="1"/>
  <c r="AX1103" i="1"/>
  <c r="AY1103" i="1"/>
  <c r="AZ1103" i="1"/>
  <c r="BA1103" i="1"/>
  <c r="BC1103" i="1"/>
  <c r="BD1103" i="1"/>
  <c r="BE1103" i="1"/>
  <c r="BF1103" i="1"/>
  <c r="BG1103" i="1"/>
  <c r="BH1103" i="1"/>
  <c r="BI1103" i="1"/>
  <c r="BJ1103" i="1"/>
  <c r="BM1103" i="1"/>
  <c r="CA1103" i="1"/>
  <c r="CN1103" i="1"/>
  <c r="CO1103" i="1"/>
  <c r="CP1103" i="1"/>
  <c r="CQ1103" i="1"/>
  <c r="G1104" i="1"/>
  <c r="U1104" i="1"/>
  <c r="W1104" i="1"/>
  <c r="AE1104" i="1"/>
  <c r="AK1104" i="1"/>
  <c r="AQ1104" i="1"/>
  <c r="AU1104" i="1"/>
  <c r="AV1104" i="1"/>
  <c r="AW1104" i="1"/>
  <c r="AX1104" i="1"/>
  <c r="AY1104" i="1"/>
  <c r="AZ1104" i="1"/>
  <c r="BA1104" i="1"/>
  <c r="BC1104" i="1"/>
  <c r="BD1104" i="1"/>
  <c r="BE1104" i="1"/>
  <c r="BF1104" i="1"/>
  <c r="BG1104" i="1"/>
  <c r="BH1104" i="1"/>
  <c r="BI1104" i="1"/>
  <c r="BJ1104" i="1"/>
  <c r="BM1104" i="1"/>
  <c r="CA1104" i="1"/>
  <c r="CN1104" i="1"/>
  <c r="CO1104" i="1"/>
  <c r="CP1104" i="1"/>
  <c r="CQ1104" i="1"/>
  <c r="G1480" i="1"/>
  <c r="U1480" i="1"/>
  <c r="W1480" i="1"/>
  <c r="AE1480" i="1"/>
  <c r="AK1480" i="1"/>
  <c r="AQ1480" i="1"/>
  <c r="AU1480" i="1"/>
  <c r="AV1480" i="1"/>
  <c r="AW1480" i="1"/>
  <c r="AX1480" i="1"/>
  <c r="AY1480" i="1"/>
  <c r="AZ1480" i="1"/>
  <c r="BA1480" i="1"/>
  <c r="BC1480" i="1"/>
  <c r="BD1480" i="1"/>
  <c r="BE1480" i="1"/>
  <c r="BF1480" i="1"/>
  <c r="BG1480" i="1"/>
  <c r="BH1480" i="1"/>
  <c r="BI1480" i="1"/>
  <c r="BJ1480" i="1"/>
  <c r="BM1480" i="1"/>
  <c r="CA1480" i="1"/>
  <c r="CN1480" i="1"/>
  <c r="CO1480" i="1"/>
  <c r="CP1480" i="1"/>
  <c r="CQ1480" i="1"/>
  <c r="G1600" i="1"/>
  <c r="U1600" i="1"/>
  <c r="W1600" i="1"/>
  <c r="AE1600" i="1"/>
  <c r="AK1600" i="1"/>
  <c r="AQ1600" i="1"/>
  <c r="AU1600" i="1"/>
  <c r="AV1600" i="1"/>
  <c r="AW1600" i="1"/>
  <c r="AX1600" i="1"/>
  <c r="AY1600" i="1"/>
  <c r="AZ1600" i="1"/>
  <c r="BA1600" i="1"/>
  <c r="BC1600" i="1"/>
  <c r="BD1600" i="1"/>
  <c r="BE1600" i="1"/>
  <c r="BF1600" i="1"/>
  <c r="BG1600" i="1"/>
  <c r="BH1600" i="1"/>
  <c r="BI1600" i="1"/>
  <c r="BJ1600" i="1"/>
  <c r="BM1600" i="1"/>
  <c r="CA1600" i="1"/>
  <c r="CN1600" i="1"/>
  <c r="CO1600" i="1"/>
  <c r="CP1600" i="1"/>
  <c r="CQ1600" i="1"/>
  <c r="G1105" i="1"/>
  <c r="U1105" i="1"/>
  <c r="W1105" i="1"/>
  <c r="AE1105" i="1"/>
  <c r="AK1105" i="1"/>
  <c r="AQ1105" i="1"/>
  <c r="AU1105" i="1"/>
  <c r="AV1105" i="1"/>
  <c r="AW1105" i="1"/>
  <c r="AX1105" i="1"/>
  <c r="AY1105" i="1"/>
  <c r="AZ1105" i="1"/>
  <c r="BA1105" i="1"/>
  <c r="BC1105" i="1"/>
  <c r="BD1105" i="1"/>
  <c r="BE1105" i="1"/>
  <c r="BF1105" i="1"/>
  <c r="BG1105" i="1"/>
  <c r="BH1105" i="1"/>
  <c r="BI1105" i="1"/>
  <c r="BJ1105" i="1"/>
  <c r="BM1105" i="1"/>
  <c r="CA1105" i="1"/>
  <c r="CN1105" i="1"/>
  <c r="CO1105" i="1"/>
  <c r="CP1105" i="1"/>
  <c r="CQ1105" i="1"/>
  <c r="G1106" i="1"/>
  <c r="U1106" i="1"/>
  <c r="W1106" i="1"/>
  <c r="AE1106" i="1"/>
  <c r="AK1106" i="1"/>
  <c r="AQ1106" i="1"/>
  <c r="AU1106" i="1"/>
  <c r="AV1106" i="1"/>
  <c r="AW1106" i="1"/>
  <c r="AX1106" i="1"/>
  <c r="AY1106" i="1"/>
  <c r="AZ1106" i="1"/>
  <c r="BA1106" i="1"/>
  <c r="BC1106" i="1"/>
  <c r="BD1106" i="1"/>
  <c r="BE1106" i="1"/>
  <c r="BF1106" i="1"/>
  <c r="BG1106" i="1"/>
  <c r="BH1106" i="1"/>
  <c r="BI1106" i="1"/>
  <c r="BJ1106" i="1"/>
  <c r="BM1106" i="1"/>
  <c r="CA1106" i="1"/>
  <c r="CN1106" i="1"/>
  <c r="CO1106" i="1"/>
  <c r="CP1106" i="1"/>
  <c r="CQ1106" i="1"/>
  <c r="G1107" i="1"/>
  <c r="U1107" i="1"/>
  <c r="W1107" i="1"/>
  <c r="AE1107" i="1"/>
  <c r="AK1107" i="1"/>
  <c r="AQ1107" i="1"/>
  <c r="AU1107" i="1"/>
  <c r="AV1107" i="1"/>
  <c r="AW1107" i="1"/>
  <c r="AX1107" i="1"/>
  <c r="AY1107" i="1"/>
  <c r="AZ1107" i="1"/>
  <c r="BA1107" i="1"/>
  <c r="BC1107" i="1"/>
  <c r="BD1107" i="1"/>
  <c r="BE1107" i="1"/>
  <c r="BF1107" i="1"/>
  <c r="BG1107" i="1"/>
  <c r="BH1107" i="1"/>
  <c r="BI1107" i="1"/>
  <c r="BJ1107" i="1"/>
  <c r="BM1107" i="1"/>
  <c r="CA1107" i="1"/>
  <c r="CN1107" i="1"/>
  <c r="CO1107" i="1"/>
  <c r="CP1107" i="1"/>
  <c r="CQ1107" i="1"/>
  <c r="G1108" i="1"/>
  <c r="U1108" i="1"/>
  <c r="W1108" i="1"/>
  <c r="AE1108" i="1"/>
  <c r="AK1108" i="1"/>
  <c r="AQ1108" i="1"/>
  <c r="AU1108" i="1"/>
  <c r="AV1108" i="1"/>
  <c r="AW1108" i="1"/>
  <c r="AX1108" i="1"/>
  <c r="AY1108" i="1"/>
  <c r="AZ1108" i="1"/>
  <c r="BA1108" i="1"/>
  <c r="BC1108" i="1"/>
  <c r="BD1108" i="1"/>
  <c r="BE1108" i="1"/>
  <c r="BF1108" i="1"/>
  <c r="BG1108" i="1"/>
  <c r="BH1108" i="1"/>
  <c r="BI1108" i="1"/>
  <c r="BJ1108" i="1"/>
  <c r="BM1108" i="1"/>
  <c r="CA1108" i="1"/>
  <c r="CN1108" i="1"/>
  <c r="CO1108" i="1"/>
  <c r="CP1108" i="1"/>
  <c r="CQ1108" i="1"/>
  <c r="G1109" i="1"/>
  <c r="U1109" i="1"/>
  <c r="W1109" i="1"/>
  <c r="AE1109" i="1"/>
  <c r="AK1109" i="1"/>
  <c r="AQ1109" i="1"/>
  <c r="AU1109" i="1"/>
  <c r="AV1109" i="1"/>
  <c r="AW1109" i="1"/>
  <c r="AX1109" i="1"/>
  <c r="AY1109" i="1"/>
  <c r="AZ1109" i="1"/>
  <c r="BA1109" i="1"/>
  <c r="BC1109" i="1"/>
  <c r="BD1109" i="1"/>
  <c r="BE1109" i="1"/>
  <c r="BF1109" i="1"/>
  <c r="BG1109" i="1"/>
  <c r="BH1109" i="1"/>
  <c r="BI1109" i="1"/>
  <c r="BJ1109" i="1"/>
  <c r="BM1109" i="1"/>
  <c r="CA1109" i="1"/>
  <c r="CN1109" i="1"/>
  <c r="CO1109" i="1"/>
  <c r="CP1109" i="1"/>
  <c r="CQ1109" i="1"/>
  <c r="G1481" i="1"/>
  <c r="U1481" i="1"/>
  <c r="W1481" i="1"/>
  <c r="AE1481" i="1"/>
  <c r="AK1481" i="1"/>
  <c r="AQ1481" i="1"/>
  <c r="AU1481" i="1"/>
  <c r="AV1481" i="1"/>
  <c r="AW1481" i="1"/>
  <c r="AX1481" i="1"/>
  <c r="AY1481" i="1"/>
  <c r="AZ1481" i="1"/>
  <c r="BA1481" i="1"/>
  <c r="BC1481" i="1"/>
  <c r="BD1481" i="1"/>
  <c r="BE1481" i="1"/>
  <c r="BF1481" i="1"/>
  <c r="BG1481" i="1"/>
  <c r="BH1481" i="1"/>
  <c r="BI1481" i="1"/>
  <c r="BJ1481" i="1"/>
  <c r="BM1481" i="1"/>
  <c r="CA1481" i="1"/>
  <c r="CN1481" i="1"/>
  <c r="CO1481" i="1"/>
  <c r="CP1481" i="1"/>
  <c r="CQ1481" i="1"/>
  <c r="G273" i="1"/>
  <c r="U273" i="1"/>
  <c r="W273" i="1"/>
  <c r="AE273" i="1"/>
  <c r="AK273" i="1"/>
  <c r="AQ273" i="1"/>
  <c r="AU273" i="1"/>
  <c r="AV273" i="1"/>
  <c r="AW273" i="1"/>
  <c r="AX273" i="1"/>
  <c r="AY273" i="1"/>
  <c r="AZ273" i="1"/>
  <c r="BA273" i="1"/>
  <c r="BC273" i="1"/>
  <c r="BD273" i="1"/>
  <c r="BE273" i="1"/>
  <c r="BF273" i="1"/>
  <c r="BG273" i="1"/>
  <c r="BH273" i="1"/>
  <c r="BI273" i="1"/>
  <c r="BJ273" i="1"/>
  <c r="BM273" i="1"/>
  <c r="CA273" i="1"/>
  <c r="CN273" i="1"/>
  <c r="CO273" i="1"/>
  <c r="CP273" i="1"/>
  <c r="CQ273" i="1"/>
  <c r="G1110" i="1"/>
  <c r="U1110" i="1"/>
  <c r="W1110" i="1"/>
  <c r="AE1110" i="1"/>
  <c r="AK1110" i="1"/>
  <c r="AQ1110" i="1"/>
  <c r="AU1110" i="1"/>
  <c r="AV1110" i="1"/>
  <c r="AW1110" i="1"/>
  <c r="AX1110" i="1"/>
  <c r="AY1110" i="1"/>
  <c r="AZ1110" i="1"/>
  <c r="BA1110" i="1"/>
  <c r="BC1110" i="1"/>
  <c r="BD1110" i="1"/>
  <c r="BE1110" i="1"/>
  <c r="BF1110" i="1"/>
  <c r="BG1110" i="1"/>
  <c r="BH1110" i="1"/>
  <c r="BI1110" i="1"/>
  <c r="BJ1110" i="1"/>
  <c r="BM1110" i="1"/>
  <c r="CA1110" i="1"/>
  <c r="CN1110" i="1"/>
  <c r="CO1110" i="1"/>
  <c r="CP1110" i="1"/>
  <c r="CQ1110" i="1"/>
  <c r="G274" i="1"/>
  <c r="U274" i="1"/>
  <c r="W274" i="1"/>
  <c r="AE274" i="1"/>
  <c r="AK274" i="1"/>
  <c r="AQ274" i="1"/>
  <c r="AU274" i="1"/>
  <c r="AV274" i="1"/>
  <c r="AW274" i="1"/>
  <c r="AX274" i="1"/>
  <c r="AY274" i="1"/>
  <c r="AZ274" i="1"/>
  <c r="BA274" i="1"/>
  <c r="BC274" i="1"/>
  <c r="BD274" i="1"/>
  <c r="BE274" i="1"/>
  <c r="BF274" i="1"/>
  <c r="BG274" i="1"/>
  <c r="BH274" i="1"/>
  <c r="BI274" i="1"/>
  <c r="BJ274" i="1"/>
  <c r="BM274" i="1"/>
  <c r="CA274" i="1"/>
  <c r="CN274" i="1"/>
  <c r="CO274" i="1"/>
  <c r="CP274" i="1"/>
  <c r="CQ274" i="1"/>
  <c r="G1111" i="1"/>
  <c r="U1111" i="1"/>
  <c r="W1111" i="1"/>
  <c r="AE1111" i="1"/>
  <c r="AK1111" i="1"/>
  <c r="AQ1111" i="1"/>
  <c r="AU1111" i="1"/>
  <c r="AV1111" i="1"/>
  <c r="AW1111" i="1"/>
  <c r="AX1111" i="1"/>
  <c r="AY1111" i="1"/>
  <c r="AZ1111" i="1"/>
  <c r="BA1111" i="1"/>
  <c r="BC1111" i="1"/>
  <c r="BD1111" i="1"/>
  <c r="BE1111" i="1"/>
  <c r="BF1111" i="1"/>
  <c r="BG1111" i="1"/>
  <c r="BH1111" i="1"/>
  <c r="BI1111" i="1"/>
  <c r="BJ1111" i="1"/>
  <c r="BM1111" i="1"/>
  <c r="CA1111" i="1"/>
  <c r="CN1111" i="1"/>
  <c r="CO1111" i="1"/>
  <c r="CP1111" i="1"/>
  <c r="CQ1111" i="1"/>
  <c r="G1112" i="1"/>
  <c r="U1112" i="1"/>
  <c r="W1112" i="1"/>
  <c r="AE1112" i="1"/>
  <c r="AK1112" i="1"/>
  <c r="AQ1112" i="1"/>
  <c r="AU1112" i="1"/>
  <c r="AV1112" i="1"/>
  <c r="AW1112" i="1"/>
  <c r="AX1112" i="1"/>
  <c r="AY1112" i="1"/>
  <c r="AZ1112" i="1"/>
  <c r="BA1112" i="1"/>
  <c r="BC1112" i="1"/>
  <c r="BD1112" i="1"/>
  <c r="BE1112" i="1"/>
  <c r="BF1112" i="1"/>
  <c r="BG1112" i="1"/>
  <c r="BH1112" i="1"/>
  <c r="BI1112" i="1"/>
  <c r="BJ1112" i="1"/>
  <c r="BM1112" i="1"/>
  <c r="CA1112" i="1"/>
  <c r="CN1112" i="1"/>
  <c r="CO1112" i="1"/>
  <c r="CP1112" i="1"/>
  <c r="CQ1112" i="1"/>
  <c r="G275" i="1"/>
  <c r="U275" i="1"/>
  <c r="W275" i="1"/>
  <c r="AE275" i="1"/>
  <c r="AK275" i="1"/>
  <c r="AQ275" i="1"/>
  <c r="AU275" i="1"/>
  <c r="AV275" i="1"/>
  <c r="AW275" i="1"/>
  <c r="AX275" i="1"/>
  <c r="AY275" i="1"/>
  <c r="AZ275" i="1"/>
  <c r="BA275" i="1"/>
  <c r="BC275" i="1"/>
  <c r="BD275" i="1"/>
  <c r="BE275" i="1"/>
  <c r="BF275" i="1"/>
  <c r="BG275" i="1"/>
  <c r="BH275" i="1"/>
  <c r="BI275" i="1"/>
  <c r="BJ275" i="1"/>
  <c r="BM275" i="1"/>
  <c r="CA275" i="1"/>
  <c r="CN275" i="1"/>
  <c r="CO275" i="1"/>
  <c r="CP275" i="1"/>
  <c r="CQ275" i="1"/>
  <c r="G458" i="1"/>
  <c r="U458" i="1"/>
  <c r="W458" i="1"/>
  <c r="AE458" i="1"/>
  <c r="AK458" i="1"/>
  <c r="AQ458" i="1"/>
  <c r="AU458" i="1"/>
  <c r="AV458" i="1"/>
  <c r="AW458" i="1"/>
  <c r="AX458" i="1"/>
  <c r="AY458" i="1"/>
  <c r="AZ458" i="1"/>
  <c r="BA458" i="1"/>
  <c r="BC458" i="1"/>
  <c r="BD458" i="1"/>
  <c r="BE458" i="1"/>
  <c r="BF458" i="1"/>
  <c r="BG458" i="1"/>
  <c r="BH458" i="1"/>
  <c r="BI458" i="1"/>
  <c r="BJ458" i="1"/>
  <c r="BM458" i="1"/>
  <c r="CA458" i="1"/>
  <c r="CN458" i="1"/>
  <c r="CO458" i="1"/>
  <c r="CP458" i="1"/>
  <c r="CQ458" i="1"/>
  <c r="G276" i="1"/>
  <c r="U276" i="1"/>
  <c r="W276" i="1"/>
  <c r="AE276" i="1"/>
  <c r="AK276" i="1"/>
  <c r="AQ276" i="1"/>
  <c r="AU276" i="1"/>
  <c r="AV276" i="1"/>
  <c r="AW276" i="1"/>
  <c r="AX276" i="1"/>
  <c r="AY276" i="1"/>
  <c r="AZ276" i="1"/>
  <c r="BA276" i="1"/>
  <c r="BC276" i="1"/>
  <c r="BD276" i="1"/>
  <c r="BE276" i="1"/>
  <c r="BF276" i="1"/>
  <c r="BG276" i="1"/>
  <c r="BH276" i="1"/>
  <c r="BI276" i="1"/>
  <c r="BJ276" i="1"/>
  <c r="BM276" i="1"/>
  <c r="CA276" i="1"/>
  <c r="CN276" i="1"/>
  <c r="CO276" i="1"/>
  <c r="CP276" i="1"/>
  <c r="CQ276" i="1"/>
  <c r="G1113" i="1"/>
  <c r="U1113" i="1"/>
  <c r="W1113" i="1"/>
  <c r="AE1113" i="1"/>
  <c r="AK1113" i="1"/>
  <c r="AQ1113" i="1"/>
  <c r="AU1113" i="1"/>
  <c r="AV1113" i="1"/>
  <c r="AW1113" i="1"/>
  <c r="AX1113" i="1"/>
  <c r="AY1113" i="1"/>
  <c r="AZ1113" i="1"/>
  <c r="BA1113" i="1"/>
  <c r="BC1113" i="1"/>
  <c r="BD1113" i="1"/>
  <c r="BE1113" i="1"/>
  <c r="BF1113" i="1"/>
  <c r="BG1113" i="1"/>
  <c r="BH1113" i="1"/>
  <c r="BI1113" i="1"/>
  <c r="BJ1113" i="1"/>
  <c r="BM1113" i="1"/>
  <c r="CA1113" i="1"/>
  <c r="CN1113" i="1"/>
  <c r="CO1113" i="1"/>
  <c r="CP1113" i="1"/>
  <c r="CQ1113" i="1"/>
  <c r="G1114" i="1"/>
  <c r="U1114" i="1"/>
  <c r="W1114" i="1"/>
  <c r="AE1114" i="1"/>
  <c r="AK1114" i="1"/>
  <c r="AQ1114" i="1"/>
  <c r="AU1114" i="1"/>
  <c r="AV1114" i="1"/>
  <c r="AW1114" i="1"/>
  <c r="AX1114" i="1"/>
  <c r="AY1114" i="1"/>
  <c r="AZ1114" i="1"/>
  <c r="BA1114" i="1"/>
  <c r="BC1114" i="1"/>
  <c r="BD1114" i="1"/>
  <c r="BE1114" i="1"/>
  <c r="BF1114" i="1"/>
  <c r="BG1114" i="1"/>
  <c r="BH1114" i="1"/>
  <c r="BI1114" i="1"/>
  <c r="BJ1114" i="1"/>
  <c r="BM1114" i="1"/>
  <c r="CA1114" i="1"/>
  <c r="CN1114" i="1"/>
  <c r="CO1114" i="1"/>
  <c r="CP1114" i="1"/>
  <c r="CQ1114" i="1"/>
  <c r="G1115" i="1"/>
  <c r="U1115" i="1"/>
  <c r="W1115" i="1"/>
  <c r="AE1115" i="1"/>
  <c r="AK1115" i="1"/>
  <c r="AQ1115" i="1"/>
  <c r="AU1115" i="1"/>
  <c r="AV1115" i="1"/>
  <c r="AW1115" i="1"/>
  <c r="AX1115" i="1"/>
  <c r="AY1115" i="1"/>
  <c r="AZ1115" i="1"/>
  <c r="BA1115" i="1"/>
  <c r="BC1115" i="1"/>
  <c r="BD1115" i="1"/>
  <c r="BE1115" i="1"/>
  <c r="BF1115" i="1"/>
  <c r="BG1115" i="1"/>
  <c r="BH1115" i="1"/>
  <c r="BI1115" i="1"/>
  <c r="BJ1115" i="1"/>
  <c r="BM1115" i="1"/>
  <c r="CA1115" i="1"/>
  <c r="CN1115" i="1"/>
  <c r="CO1115" i="1"/>
  <c r="CP1115" i="1"/>
  <c r="CQ1115" i="1"/>
  <c r="G1482" i="1"/>
  <c r="U1482" i="1"/>
  <c r="W1482" i="1"/>
  <c r="AE1482" i="1"/>
  <c r="AK1482" i="1"/>
  <c r="AQ1482" i="1"/>
  <c r="AU1482" i="1"/>
  <c r="AV1482" i="1"/>
  <c r="AW1482" i="1"/>
  <c r="AX1482" i="1"/>
  <c r="AY1482" i="1"/>
  <c r="AZ1482" i="1"/>
  <c r="BA1482" i="1"/>
  <c r="BC1482" i="1"/>
  <c r="BD1482" i="1"/>
  <c r="BE1482" i="1"/>
  <c r="BF1482" i="1"/>
  <c r="BG1482" i="1"/>
  <c r="BH1482" i="1"/>
  <c r="BI1482" i="1"/>
  <c r="BJ1482" i="1"/>
  <c r="BM1482" i="1"/>
  <c r="CA1482" i="1"/>
  <c r="CN1482" i="1"/>
  <c r="CO1482" i="1"/>
  <c r="CP1482" i="1"/>
  <c r="CQ1482" i="1"/>
  <c r="G1483" i="1"/>
  <c r="U1483" i="1"/>
  <c r="W1483" i="1"/>
  <c r="AE1483" i="1"/>
  <c r="AK1483" i="1"/>
  <c r="AQ1483" i="1"/>
  <c r="AU1483" i="1"/>
  <c r="AV1483" i="1"/>
  <c r="AW1483" i="1"/>
  <c r="AX1483" i="1"/>
  <c r="AY1483" i="1"/>
  <c r="AZ1483" i="1"/>
  <c r="BA1483" i="1"/>
  <c r="BC1483" i="1"/>
  <c r="BD1483" i="1"/>
  <c r="BE1483" i="1"/>
  <c r="BF1483" i="1"/>
  <c r="BG1483" i="1"/>
  <c r="BH1483" i="1"/>
  <c r="BI1483" i="1"/>
  <c r="BJ1483" i="1"/>
  <c r="BM1483" i="1"/>
  <c r="CA1483" i="1"/>
  <c r="CN1483" i="1"/>
  <c r="CO1483" i="1"/>
  <c r="CP1483" i="1"/>
  <c r="CQ1483" i="1"/>
  <c r="G1116" i="1"/>
  <c r="U1116" i="1"/>
  <c r="W1116" i="1"/>
  <c r="AE1116" i="1"/>
  <c r="AK1116" i="1"/>
  <c r="AQ1116" i="1"/>
  <c r="AU1116" i="1"/>
  <c r="AV1116" i="1"/>
  <c r="AW1116" i="1"/>
  <c r="AX1116" i="1"/>
  <c r="AY1116" i="1"/>
  <c r="AZ1116" i="1"/>
  <c r="BA1116" i="1"/>
  <c r="BC1116" i="1"/>
  <c r="BD1116" i="1"/>
  <c r="BE1116" i="1"/>
  <c r="BF1116" i="1"/>
  <c r="BG1116" i="1"/>
  <c r="BH1116" i="1"/>
  <c r="BI1116" i="1"/>
  <c r="BJ1116" i="1"/>
  <c r="BM1116" i="1"/>
  <c r="CA1116" i="1"/>
  <c r="CN1116" i="1"/>
  <c r="CO1116" i="1"/>
  <c r="CP1116" i="1"/>
  <c r="CQ1116" i="1"/>
  <c r="G277" i="1"/>
  <c r="U277" i="1"/>
  <c r="W277" i="1"/>
  <c r="AE277" i="1"/>
  <c r="AK277" i="1"/>
  <c r="AQ277" i="1"/>
  <c r="AU277" i="1"/>
  <c r="AV277" i="1"/>
  <c r="AW277" i="1"/>
  <c r="AX277" i="1"/>
  <c r="AY277" i="1"/>
  <c r="AZ277" i="1"/>
  <c r="BA277" i="1"/>
  <c r="BC277" i="1"/>
  <c r="BD277" i="1"/>
  <c r="BE277" i="1"/>
  <c r="BF277" i="1"/>
  <c r="BG277" i="1"/>
  <c r="BH277" i="1"/>
  <c r="BI277" i="1"/>
  <c r="BJ277" i="1"/>
  <c r="BM277" i="1"/>
  <c r="CA277" i="1"/>
  <c r="CN277" i="1"/>
  <c r="CO277" i="1"/>
  <c r="CP277" i="1"/>
  <c r="CQ277" i="1"/>
  <c r="G278" i="1"/>
  <c r="U278" i="1"/>
  <c r="W278" i="1"/>
  <c r="AE278" i="1"/>
  <c r="AK278" i="1"/>
  <c r="AQ278" i="1"/>
  <c r="AU278" i="1"/>
  <c r="AV278" i="1"/>
  <c r="AW278" i="1"/>
  <c r="AX278" i="1"/>
  <c r="AY278" i="1"/>
  <c r="AZ278" i="1"/>
  <c r="BA278" i="1"/>
  <c r="BC278" i="1"/>
  <c r="BD278" i="1"/>
  <c r="BE278" i="1"/>
  <c r="BF278" i="1"/>
  <c r="BG278" i="1"/>
  <c r="BH278" i="1"/>
  <c r="BI278" i="1"/>
  <c r="BJ278" i="1"/>
  <c r="BM278" i="1"/>
  <c r="CA278" i="1"/>
  <c r="CN278" i="1"/>
  <c r="CO278" i="1"/>
  <c r="CP278" i="1"/>
  <c r="CQ278" i="1"/>
  <c r="G1117" i="1"/>
  <c r="U1117" i="1"/>
  <c r="W1117" i="1"/>
  <c r="AE1117" i="1"/>
  <c r="AK1117" i="1"/>
  <c r="AQ1117" i="1"/>
  <c r="AU1117" i="1"/>
  <c r="AV1117" i="1"/>
  <c r="AW1117" i="1"/>
  <c r="AX1117" i="1"/>
  <c r="AY1117" i="1"/>
  <c r="AZ1117" i="1"/>
  <c r="BA1117" i="1"/>
  <c r="BC1117" i="1"/>
  <c r="BD1117" i="1"/>
  <c r="BE1117" i="1"/>
  <c r="BF1117" i="1"/>
  <c r="BG1117" i="1"/>
  <c r="BH1117" i="1"/>
  <c r="BI1117" i="1"/>
  <c r="BJ1117" i="1"/>
  <c r="BM1117" i="1"/>
  <c r="CA1117" i="1"/>
  <c r="CN1117" i="1"/>
  <c r="CO1117" i="1"/>
  <c r="CP1117" i="1"/>
  <c r="CQ1117" i="1"/>
  <c r="G279" i="1"/>
  <c r="U279" i="1"/>
  <c r="W279" i="1"/>
  <c r="AE279" i="1"/>
  <c r="AK279" i="1"/>
  <c r="AQ279" i="1"/>
  <c r="AU279" i="1"/>
  <c r="AV279" i="1"/>
  <c r="AW279" i="1"/>
  <c r="AX279" i="1"/>
  <c r="AY279" i="1"/>
  <c r="AZ279" i="1"/>
  <c r="BA279" i="1"/>
  <c r="BC279" i="1"/>
  <c r="BD279" i="1"/>
  <c r="BE279" i="1"/>
  <c r="BF279" i="1"/>
  <c r="BG279" i="1"/>
  <c r="BH279" i="1"/>
  <c r="BI279" i="1"/>
  <c r="BJ279" i="1"/>
  <c r="BM279" i="1"/>
  <c r="CA279" i="1"/>
  <c r="CN279" i="1"/>
  <c r="CO279" i="1"/>
  <c r="CP279" i="1"/>
  <c r="CQ279" i="1"/>
  <c r="G280" i="1"/>
  <c r="U280" i="1"/>
  <c r="W280" i="1"/>
  <c r="AE280" i="1"/>
  <c r="AK280" i="1"/>
  <c r="AQ280" i="1"/>
  <c r="AU280" i="1"/>
  <c r="AV280" i="1"/>
  <c r="AW280" i="1"/>
  <c r="AX280" i="1"/>
  <c r="AY280" i="1"/>
  <c r="AZ280" i="1"/>
  <c r="BA280" i="1"/>
  <c r="BC280" i="1"/>
  <c r="BD280" i="1"/>
  <c r="BE280" i="1"/>
  <c r="BF280" i="1"/>
  <c r="BG280" i="1"/>
  <c r="BH280" i="1"/>
  <c r="BI280" i="1"/>
  <c r="BJ280" i="1"/>
  <c r="BM280" i="1"/>
  <c r="CA280" i="1"/>
  <c r="CN280" i="1"/>
  <c r="CO280" i="1"/>
  <c r="CP280" i="1"/>
  <c r="CQ280" i="1"/>
  <c r="G1118" i="1"/>
  <c r="U1118" i="1"/>
  <c r="W1118" i="1"/>
  <c r="AE1118" i="1"/>
  <c r="AK1118" i="1"/>
  <c r="AQ1118" i="1"/>
  <c r="AU1118" i="1"/>
  <c r="AV1118" i="1"/>
  <c r="AW1118" i="1"/>
  <c r="AX1118" i="1"/>
  <c r="AY1118" i="1"/>
  <c r="AZ1118" i="1"/>
  <c r="BA1118" i="1"/>
  <c r="BC1118" i="1"/>
  <c r="BD1118" i="1"/>
  <c r="BE1118" i="1"/>
  <c r="BF1118" i="1"/>
  <c r="BG1118" i="1"/>
  <c r="BH1118" i="1"/>
  <c r="BI1118" i="1"/>
  <c r="BJ1118" i="1"/>
  <c r="BM1118" i="1"/>
  <c r="CA1118" i="1"/>
  <c r="CN1118" i="1"/>
  <c r="CO1118" i="1"/>
  <c r="CP1118" i="1"/>
  <c r="CQ1118" i="1"/>
  <c r="G1119" i="1"/>
  <c r="U1119" i="1"/>
  <c r="W1119" i="1"/>
  <c r="AE1119" i="1"/>
  <c r="AK1119" i="1"/>
  <c r="AQ1119" i="1"/>
  <c r="AU1119" i="1"/>
  <c r="AV1119" i="1"/>
  <c r="AW1119" i="1"/>
  <c r="AX1119" i="1"/>
  <c r="AY1119" i="1"/>
  <c r="AZ1119" i="1"/>
  <c r="BA1119" i="1"/>
  <c r="BC1119" i="1"/>
  <c r="BD1119" i="1"/>
  <c r="BE1119" i="1"/>
  <c r="BF1119" i="1"/>
  <c r="BG1119" i="1"/>
  <c r="BH1119" i="1"/>
  <c r="BI1119" i="1"/>
  <c r="BJ1119" i="1"/>
  <c r="BM1119" i="1"/>
  <c r="CA1119" i="1"/>
  <c r="CN1119" i="1"/>
  <c r="CO1119" i="1"/>
  <c r="CP1119" i="1"/>
  <c r="CQ1119" i="1"/>
  <c r="G1120" i="1"/>
  <c r="U1120" i="1"/>
  <c r="W1120" i="1"/>
  <c r="AE1120" i="1"/>
  <c r="AK1120" i="1"/>
  <c r="AQ1120" i="1"/>
  <c r="AU1120" i="1"/>
  <c r="AV1120" i="1"/>
  <c r="AW1120" i="1"/>
  <c r="AX1120" i="1"/>
  <c r="AY1120" i="1"/>
  <c r="AZ1120" i="1"/>
  <c r="BA1120" i="1"/>
  <c r="BC1120" i="1"/>
  <c r="BD1120" i="1"/>
  <c r="BE1120" i="1"/>
  <c r="BF1120" i="1"/>
  <c r="BG1120" i="1"/>
  <c r="BH1120" i="1"/>
  <c r="BI1120" i="1"/>
  <c r="BJ1120" i="1"/>
  <c r="BM1120" i="1"/>
  <c r="CA1120" i="1"/>
  <c r="CN1120" i="1"/>
  <c r="CO1120" i="1"/>
  <c r="CP1120" i="1"/>
  <c r="CQ1120" i="1"/>
  <c r="G1121" i="1"/>
  <c r="U1121" i="1"/>
  <c r="W1121" i="1"/>
  <c r="AE1121" i="1"/>
  <c r="AK1121" i="1"/>
  <c r="AQ1121" i="1"/>
  <c r="AU1121" i="1"/>
  <c r="AV1121" i="1"/>
  <c r="AW1121" i="1"/>
  <c r="AX1121" i="1"/>
  <c r="AY1121" i="1"/>
  <c r="AZ1121" i="1"/>
  <c r="BA1121" i="1"/>
  <c r="BC1121" i="1"/>
  <c r="BD1121" i="1"/>
  <c r="BE1121" i="1"/>
  <c r="BF1121" i="1"/>
  <c r="BG1121" i="1"/>
  <c r="BH1121" i="1"/>
  <c r="BI1121" i="1"/>
  <c r="BJ1121" i="1"/>
  <c r="BM1121" i="1"/>
  <c r="CA1121" i="1"/>
  <c r="CN1121" i="1"/>
  <c r="CO1121" i="1"/>
  <c r="CP1121" i="1"/>
  <c r="CQ1121" i="1"/>
  <c r="G281" i="1"/>
  <c r="U281" i="1"/>
  <c r="W281" i="1"/>
  <c r="AE281" i="1"/>
  <c r="AK281" i="1"/>
  <c r="AQ281" i="1"/>
  <c r="AU281" i="1"/>
  <c r="AV281" i="1"/>
  <c r="AW281" i="1"/>
  <c r="AX281" i="1"/>
  <c r="AY281" i="1"/>
  <c r="AZ281" i="1"/>
  <c r="BA281" i="1"/>
  <c r="BC281" i="1"/>
  <c r="BD281" i="1"/>
  <c r="BE281" i="1"/>
  <c r="BF281" i="1"/>
  <c r="BG281" i="1"/>
  <c r="BH281" i="1"/>
  <c r="BI281" i="1"/>
  <c r="BJ281" i="1"/>
  <c r="BM281" i="1"/>
  <c r="CA281" i="1"/>
  <c r="CN281" i="1"/>
  <c r="CO281" i="1"/>
  <c r="CP281" i="1"/>
  <c r="CQ281" i="1"/>
  <c r="G1601" i="1"/>
  <c r="U1601" i="1"/>
  <c r="W1601" i="1"/>
  <c r="AE1601" i="1"/>
  <c r="AK1601" i="1"/>
  <c r="AQ1601" i="1"/>
  <c r="AU1601" i="1"/>
  <c r="AV1601" i="1"/>
  <c r="AW1601" i="1"/>
  <c r="AX1601" i="1"/>
  <c r="AY1601" i="1"/>
  <c r="AZ1601" i="1"/>
  <c r="BA1601" i="1"/>
  <c r="BC1601" i="1"/>
  <c r="BD1601" i="1"/>
  <c r="BE1601" i="1"/>
  <c r="BF1601" i="1"/>
  <c r="BG1601" i="1"/>
  <c r="BH1601" i="1"/>
  <c r="BI1601" i="1"/>
  <c r="BJ1601" i="1"/>
  <c r="BM1601" i="1"/>
  <c r="CA1601" i="1"/>
  <c r="CN1601" i="1"/>
  <c r="CO1601" i="1"/>
  <c r="CP1601" i="1"/>
  <c r="CQ1601" i="1"/>
  <c r="G1122" i="1"/>
  <c r="U1122" i="1"/>
  <c r="W1122" i="1"/>
  <c r="AE1122" i="1"/>
  <c r="AK1122" i="1"/>
  <c r="AQ1122" i="1"/>
  <c r="AU1122" i="1"/>
  <c r="AV1122" i="1"/>
  <c r="AW1122" i="1"/>
  <c r="AX1122" i="1"/>
  <c r="AY1122" i="1"/>
  <c r="AZ1122" i="1"/>
  <c r="BA1122" i="1"/>
  <c r="BC1122" i="1"/>
  <c r="BD1122" i="1"/>
  <c r="BE1122" i="1"/>
  <c r="BF1122" i="1"/>
  <c r="BG1122" i="1"/>
  <c r="BH1122" i="1"/>
  <c r="BI1122" i="1"/>
  <c r="BJ1122" i="1"/>
  <c r="BM1122" i="1"/>
  <c r="CA1122" i="1"/>
  <c r="CN1122" i="1"/>
  <c r="CO1122" i="1"/>
  <c r="CP1122" i="1"/>
  <c r="CQ1122" i="1"/>
  <c r="G1123" i="1"/>
  <c r="U1123" i="1"/>
  <c r="W1123" i="1"/>
  <c r="AE1123" i="1"/>
  <c r="AK1123" i="1"/>
  <c r="AQ1123" i="1"/>
  <c r="AU1123" i="1"/>
  <c r="AV1123" i="1"/>
  <c r="AW1123" i="1"/>
  <c r="AX1123" i="1"/>
  <c r="AY1123" i="1"/>
  <c r="AZ1123" i="1"/>
  <c r="BA1123" i="1"/>
  <c r="BC1123" i="1"/>
  <c r="BD1123" i="1"/>
  <c r="BE1123" i="1"/>
  <c r="BF1123" i="1"/>
  <c r="BG1123" i="1"/>
  <c r="BH1123" i="1"/>
  <c r="BI1123" i="1"/>
  <c r="BJ1123" i="1"/>
  <c r="BM1123" i="1"/>
  <c r="CA1123" i="1"/>
  <c r="CN1123" i="1"/>
  <c r="CO1123" i="1"/>
  <c r="CP1123" i="1"/>
  <c r="CQ1123" i="1"/>
  <c r="G1484" i="1"/>
  <c r="U1484" i="1"/>
  <c r="W1484" i="1"/>
  <c r="AE1484" i="1"/>
  <c r="AK1484" i="1"/>
  <c r="AQ1484" i="1"/>
  <c r="AU1484" i="1"/>
  <c r="AV1484" i="1"/>
  <c r="AW1484" i="1"/>
  <c r="AX1484" i="1"/>
  <c r="AY1484" i="1"/>
  <c r="AZ1484" i="1"/>
  <c r="BA1484" i="1"/>
  <c r="BC1484" i="1"/>
  <c r="BD1484" i="1"/>
  <c r="BE1484" i="1"/>
  <c r="BF1484" i="1"/>
  <c r="BG1484" i="1"/>
  <c r="BH1484" i="1"/>
  <c r="BI1484" i="1"/>
  <c r="BJ1484" i="1"/>
  <c r="BM1484" i="1"/>
  <c r="CA1484" i="1"/>
  <c r="CN1484" i="1"/>
  <c r="CO1484" i="1"/>
  <c r="CP1484" i="1"/>
  <c r="CQ1484" i="1"/>
  <c r="G1485" i="1"/>
  <c r="U1485" i="1"/>
  <c r="W1485" i="1"/>
  <c r="AE1485" i="1"/>
  <c r="AK1485" i="1"/>
  <c r="AQ1485" i="1"/>
  <c r="AU1485" i="1"/>
  <c r="AV1485" i="1"/>
  <c r="AW1485" i="1"/>
  <c r="AX1485" i="1"/>
  <c r="AY1485" i="1"/>
  <c r="AZ1485" i="1"/>
  <c r="BA1485" i="1"/>
  <c r="BC1485" i="1"/>
  <c r="BD1485" i="1"/>
  <c r="BE1485" i="1"/>
  <c r="BF1485" i="1"/>
  <c r="BG1485" i="1"/>
  <c r="BH1485" i="1"/>
  <c r="BI1485" i="1"/>
  <c r="BJ1485" i="1"/>
  <c r="BM1485" i="1"/>
  <c r="CA1485" i="1"/>
  <c r="CN1485" i="1"/>
  <c r="CO1485" i="1"/>
  <c r="CP1485" i="1"/>
  <c r="CQ1485" i="1"/>
  <c r="G1124" i="1"/>
  <c r="U1124" i="1"/>
  <c r="W1124" i="1"/>
  <c r="AE1124" i="1"/>
  <c r="AK1124" i="1"/>
  <c r="AQ1124" i="1"/>
  <c r="AU1124" i="1"/>
  <c r="AV1124" i="1"/>
  <c r="AW1124" i="1"/>
  <c r="AX1124" i="1"/>
  <c r="AY1124" i="1"/>
  <c r="AZ1124" i="1"/>
  <c r="BA1124" i="1"/>
  <c r="BC1124" i="1"/>
  <c r="BD1124" i="1"/>
  <c r="BE1124" i="1"/>
  <c r="BF1124" i="1"/>
  <c r="BG1124" i="1"/>
  <c r="BH1124" i="1"/>
  <c r="BI1124" i="1"/>
  <c r="BJ1124" i="1"/>
  <c r="BM1124" i="1"/>
  <c r="CA1124" i="1"/>
  <c r="CN1124" i="1"/>
  <c r="CO1124" i="1"/>
  <c r="CP1124" i="1"/>
  <c r="CQ1124" i="1"/>
  <c r="G1125" i="1"/>
  <c r="U1125" i="1"/>
  <c r="W1125" i="1"/>
  <c r="AE1125" i="1"/>
  <c r="AK1125" i="1"/>
  <c r="AQ1125" i="1"/>
  <c r="AU1125" i="1"/>
  <c r="AV1125" i="1"/>
  <c r="AW1125" i="1"/>
  <c r="AX1125" i="1"/>
  <c r="AY1125" i="1"/>
  <c r="AZ1125" i="1"/>
  <c r="BA1125" i="1"/>
  <c r="BC1125" i="1"/>
  <c r="BD1125" i="1"/>
  <c r="BE1125" i="1"/>
  <c r="BF1125" i="1"/>
  <c r="BG1125" i="1"/>
  <c r="BH1125" i="1"/>
  <c r="BI1125" i="1"/>
  <c r="BJ1125" i="1"/>
  <c r="BM1125" i="1"/>
  <c r="CA1125" i="1"/>
  <c r="CN1125" i="1"/>
  <c r="CO1125" i="1"/>
  <c r="CP1125" i="1"/>
  <c r="CQ1125" i="1"/>
  <c r="G282" i="1"/>
  <c r="U282" i="1"/>
  <c r="W282" i="1"/>
  <c r="AE282" i="1"/>
  <c r="AK282" i="1"/>
  <c r="AQ282" i="1"/>
  <c r="AU282" i="1"/>
  <c r="AV282" i="1"/>
  <c r="AW282" i="1"/>
  <c r="AX282" i="1"/>
  <c r="AY282" i="1"/>
  <c r="AZ282" i="1"/>
  <c r="BA282" i="1"/>
  <c r="BC282" i="1"/>
  <c r="BD282" i="1"/>
  <c r="BE282" i="1"/>
  <c r="BF282" i="1"/>
  <c r="BG282" i="1"/>
  <c r="BH282" i="1"/>
  <c r="BI282" i="1"/>
  <c r="BJ282" i="1"/>
  <c r="BM282" i="1"/>
  <c r="CA282" i="1"/>
  <c r="CN282" i="1"/>
  <c r="CO282" i="1"/>
  <c r="CP282" i="1"/>
  <c r="CQ282" i="1"/>
  <c r="G1486" i="1"/>
  <c r="U1486" i="1"/>
  <c r="W1486" i="1"/>
  <c r="AE1486" i="1"/>
  <c r="AK1486" i="1"/>
  <c r="AQ1486" i="1"/>
  <c r="AU1486" i="1"/>
  <c r="AV1486" i="1"/>
  <c r="AW1486" i="1"/>
  <c r="AX1486" i="1"/>
  <c r="AY1486" i="1"/>
  <c r="AZ1486" i="1"/>
  <c r="BA1486" i="1"/>
  <c r="BC1486" i="1"/>
  <c r="BD1486" i="1"/>
  <c r="BE1486" i="1"/>
  <c r="BF1486" i="1"/>
  <c r="BG1486" i="1"/>
  <c r="BH1486" i="1"/>
  <c r="BI1486" i="1"/>
  <c r="BJ1486" i="1"/>
  <c r="BM1486" i="1"/>
  <c r="CA1486" i="1"/>
  <c r="CN1486" i="1"/>
  <c r="CO1486" i="1"/>
  <c r="CP1486" i="1"/>
  <c r="CQ1486" i="1"/>
  <c r="G1487" i="1"/>
  <c r="U1487" i="1"/>
  <c r="W1487" i="1"/>
  <c r="AE1487" i="1"/>
  <c r="AK1487" i="1"/>
  <c r="AQ1487" i="1"/>
  <c r="AU1487" i="1"/>
  <c r="AV1487" i="1"/>
  <c r="AW1487" i="1"/>
  <c r="AX1487" i="1"/>
  <c r="AY1487" i="1"/>
  <c r="AZ1487" i="1"/>
  <c r="BA1487" i="1"/>
  <c r="BC1487" i="1"/>
  <c r="BD1487" i="1"/>
  <c r="BE1487" i="1"/>
  <c r="BF1487" i="1"/>
  <c r="BG1487" i="1"/>
  <c r="BH1487" i="1"/>
  <c r="BI1487" i="1"/>
  <c r="BJ1487" i="1"/>
  <c r="BM1487" i="1"/>
  <c r="CA1487" i="1"/>
  <c r="CN1487" i="1"/>
  <c r="CO1487" i="1"/>
  <c r="CP1487" i="1"/>
  <c r="CQ1487" i="1"/>
  <c r="G283" i="1"/>
  <c r="U283" i="1"/>
  <c r="W283" i="1"/>
  <c r="AE283" i="1"/>
  <c r="AK283" i="1"/>
  <c r="AQ283" i="1"/>
  <c r="AU283" i="1"/>
  <c r="AV283" i="1"/>
  <c r="AW283" i="1"/>
  <c r="AX283" i="1"/>
  <c r="AY283" i="1"/>
  <c r="AZ283" i="1"/>
  <c r="BA283" i="1"/>
  <c r="BC283" i="1"/>
  <c r="BD283" i="1"/>
  <c r="BE283" i="1"/>
  <c r="BF283" i="1"/>
  <c r="BG283" i="1"/>
  <c r="BH283" i="1"/>
  <c r="BI283" i="1"/>
  <c r="BJ283" i="1"/>
  <c r="BM283" i="1"/>
  <c r="CA283" i="1"/>
  <c r="CN283" i="1"/>
  <c r="CO283" i="1"/>
  <c r="CP283" i="1"/>
  <c r="CQ283" i="1"/>
  <c r="G1126" i="1"/>
  <c r="U1126" i="1"/>
  <c r="W1126" i="1"/>
  <c r="AE1126" i="1"/>
  <c r="AK1126" i="1"/>
  <c r="AQ1126" i="1"/>
  <c r="AU1126" i="1"/>
  <c r="AV1126" i="1"/>
  <c r="AW1126" i="1"/>
  <c r="AX1126" i="1"/>
  <c r="AY1126" i="1"/>
  <c r="AZ1126" i="1"/>
  <c r="BA1126" i="1"/>
  <c r="BC1126" i="1"/>
  <c r="BD1126" i="1"/>
  <c r="BE1126" i="1"/>
  <c r="BF1126" i="1"/>
  <c r="BG1126" i="1"/>
  <c r="BH1126" i="1"/>
  <c r="BI1126" i="1"/>
  <c r="BJ1126" i="1"/>
  <c r="BM1126" i="1"/>
  <c r="CA1126" i="1"/>
  <c r="CN1126" i="1"/>
  <c r="CO1126" i="1"/>
  <c r="CP1126" i="1"/>
  <c r="CQ1126" i="1"/>
  <c r="G284" i="1"/>
  <c r="U284" i="1"/>
  <c r="W284" i="1"/>
  <c r="AE284" i="1"/>
  <c r="AK284" i="1"/>
  <c r="AQ284" i="1"/>
  <c r="AU284" i="1"/>
  <c r="AV284" i="1"/>
  <c r="AW284" i="1"/>
  <c r="AX284" i="1"/>
  <c r="AY284" i="1"/>
  <c r="AZ284" i="1"/>
  <c r="BA284" i="1"/>
  <c r="BC284" i="1"/>
  <c r="BD284" i="1"/>
  <c r="BE284" i="1"/>
  <c r="BF284" i="1"/>
  <c r="BG284" i="1"/>
  <c r="BH284" i="1"/>
  <c r="BI284" i="1"/>
  <c r="BJ284" i="1"/>
  <c r="BM284" i="1"/>
  <c r="CA284" i="1"/>
  <c r="CN284" i="1"/>
  <c r="CO284" i="1"/>
  <c r="CP284" i="1"/>
  <c r="CQ284" i="1"/>
  <c r="G1127" i="1"/>
  <c r="U1127" i="1"/>
  <c r="W1127" i="1"/>
  <c r="AE1127" i="1"/>
  <c r="AK1127" i="1"/>
  <c r="AQ1127" i="1"/>
  <c r="AU1127" i="1"/>
  <c r="AV1127" i="1"/>
  <c r="AW1127" i="1"/>
  <c r="AX1127" i="1"/>
  <c r="AY1127" i="1"/>
  <c r="AZ1127" i="1"/>
  <c r="BA1127" i="1"/>
  <c r="BC1127" i="1"/>
  <c r="BD1127" i="1"/>
  <c r="BE1127" i="1"/>
  <c r="BF1127" i="1"/>
  <c r="BG1127" i="1"/>
  <c r="BH1127" i="1"/>
  <c r="BI1127" i="1"/>
  <c r="BJ1127" i="1"/>
  <c r="BM1127" i="1"/>
  <c r="CA1127" i="1"/>
  <c r="CN1127" i="1"/>
  <c r="CO1127" i="1"/>
  <c r="CP1127" i="1"/>
  <c r="CQ1127" i="1"/>
  <c r="G459" i="1"/>
  <c r="U459" i="1"/>
  <c r="W459" i="1"/>
  <c r="AE459" i="1"/>
  <c r="AK459" i="1"/>
  <c r="AQ459" i="1"/>
  <c r="AU459" i="1"/>
  <c r="AV459" i="1"/>
  <c r="AW459" i="1"/>
  <c r="AX459" i="1"/>
  <c r="AY459" i="1"/>
  <c r="AZ459" i="1"/>
  <c r="BA459" i="1"/>
  <c r="BC459" i="1"/>
  <c r="BD459" i="1"/>
  <c r="BE459" i="1"/>
  <c r="BF459" i="1"/>
  <c r="BG459" i="1"/>
  <c r="BH459" i="1"/>
  <c r="BI459" i="1"/>
  <c r="BJ459" i="1"/>
  <c r="BM459" i="1"/>
  <c r="CA459" i="1"/>
  <c r="CN459" i="1"/>
  <c r="CO459" i="1"/>
  <c r="CP459" i="1"/>
  <c r="CQ459" i="1"/>
  <c r="G1128" i="1"/>
  <c r="U1128" i="1"/>
  <c r="W1128" i="1"/>
  <c r="AE1128" i="1"/>
  <c r="AK1128" i="1"/>
  <c r="AQ1128" i="1"/>
  <c r="AU1128" i="1"/>
  <c r="AV1128" i="1"/>
  <c r="AW1128" i="1"/>
  <c r="AX1128" i="1"/>
  <c r="AY1128" i="1"/>
  <c r="AZ1128" i="1"/>
  <c r="BA1128" i="1"/>
  <c r="BC1128" i="1"/>
  <c r="BD1128" i="1"/>
  <c r="BE1128" i="1"/>
  <c r="BF1128" i="1"/>
  <c r="BG1128" i="1"/>
  <c r="BH1128" i="1"/>
  <c r="BI1128" i="1"/>
  <c r="BJ1128" i="1"/>
  <c r="BM1128" i="1"/>
  <c r="CA1128" i="1"/>
  <c r="CN1128" i="1"/>
  <c r="CO1128" i="1"/>
  <c r="CP1128" i="1"/>
  <c r="CQ1128" i="1"/>
  <c r="G1129" i="1"/>
  <c r="U1129" i="1"/>
  <c r="W1129" i="1"/>
  <c r="AE1129" i="1"/>
  <c r="AK1129" i="1"/>
  <c r="AQ1129" i="1"/>
  <c r="AU1129" i="1"/>
  <c r="AV1129" i="1"/>
  <c r="AW1129" i="1"/>
  <c r="AX1129" i="1"/>
  <c r="AY1129" i="1"/>
  <c r="AZ1129" i="1"/>
  <c r="BA1129" i="1"/>
  <c r="BC1129" i="1"/>
  <c r="BD1129" i="1"/>
  <c r="BE1129" i="1"/>
  <c r="BF1129" i="1"/>
  <c r="BG1129" i="1"/>
  <c r="BH1129" i="1"/>
  <c r="BI1129" i="1"/>
  <c r="BJ1129" i="1"/>
  <c r="BM1129" i="1"/>
  <c r="CA1129" i="1"/>
  <c r="CN1129" i="1"/>
  <c r="CO1129" i="1"/>
  <c r="CP1129" i="1"/>
  <c r="CQ1129" i="1"/>
  <c r="G285" i="1"/>
  <c r="U285" i="1"/>
  <c r="W285" i="1"/>
  <c r="AE285" i="1"/>
  <c r="AK285" i="1"/>
  <c r="AQ285" i="1"/>
  <c r="AU285" i="1"/>
  <c r="AV285" i="1"/>
  <c r="AW285" i="1"/>
  <c r="AX285" i="1"/>
  <c r="AY285" i="1"/>
  <c r="AZ285" i="1"/>
  <c r="BA285" i="1"/>
  <c r="BC285" i="1"/>
  <c r="BD285" i="1"/>
  <c r="BE285" i="1"/>
  <c r="BF285" i="1"/>
  <c r="BG285" i="1"/>
  <c r="BH285" i="1"/>
  <c r="BI285" i="1"/>
  <c r="BJ285" i="1"/>
  <c r="BM285" i="1"/>
  <c r="CA285" i="1"/>
  <c r="CN285" i="1"/>
  <c r="CO285" i="1"/>
  <c r="CP285" i="1"/>
  <c r="CQ285" i="1"/>
  <c r="G1130" i="1"/>
  <c r="U1130" i="1"/>
  <c r="W1130" i="1"/>
  <c r="AE1130" i="1"/>
  <c r="AK1130" i="1"/>
  <c r="AQ1130" i="1"/>
  <c r="AU1130" i="1"/>
  <c r="AV1130" i="1"/>
  <c r="AW1130" i="1"/>
  <c r="AX1130" i="1"/>
  <c r="AY1130" i="1"/>
  <c r="AZ1130" i="1"/>
  <c r="BA1130" i="1"/>
  <c r="BC1130" i="1"/>
  <c r="BD1130" i="1"/>
  <c r="BE1130" i="1"/>
  <c r="BF1130" i="1"/>
  <c r="BG1130" i="1"/>
  <c r="BH1130" i="1"/>
  <c r="BI1130" i="1"/>
  <c r="BJ1130" i="1"/>
  <c r="BM1130" i="1"/>
  <c r="CA1130" i="1"/>
  <c r="CN1130" i="1"/>
  <c r="CO1130" i="1"/>
  <c r="CP1130" i="1"/>
  <c r="CQ1130" i="1"/>
  <c r="G1131" i="1"/>
  <c r="U1131" i="1"/>
  <c r="W1131" i="1"/>
  <c r="AE1131" i="1"/>
  <c r="AK1131" i="1"/>
  <c r="AQ1131" i="1"/>
  <c r="AU1131" i="1"/>
  <c r="AV1131" i="1"/>
  <c r="AW1131" i="1"/>
  <c r="AX1131" i="1"/>
  <c r="AY1131" i="1"/>
  <c r="AZ1131" i="1"/>
  <c r="BA1131" i="1"/>
  <c r="BC1131" i="1"/>
  <c r="BD1131" i="1"/>
  <c r="BE1131" i="1"/>
  <c r="BF1131" i="1"/>
  <c r="BG1131" i="1"/>
  <c r="BH1131" i="1"/>
  <c r="BI1131" i="1"/>
  <c r="BJ1131" i="1"/>
  <c r="BM1131" i="1"/>
  <c r="CA1131" i="1"/>
  <c r="CN1131" i="1"/>
  <c r="CO1131" i="1"/>
  <c r="CP1131" i="1"/>
  <c r="CQ1131" i="1"/>
  <c r="G1132" i="1"/>
  <c r="U1132" i="1"/>
  <c r="W1132" i="1"/>
  <c r="AE1132" i="1"/>
  <c r="AK1132" i="1"/>
  <c r="AQ1132" i="1"/>
  <c r="AU1132" i="1"/>
  <c r="AV1132" i="1"/>
  <c r="AW1132" i="1"/>
  <c r="AX1132" i="1"/>
  <c r="AY1132" i="1"/>
  <c r="AZ1132" i="1"/>
  <c r="BA1132" i="1"/>
  <c r="BC1132" i="1"/>
  <c r="BD1132" i="1"/>
  <c r="BE1132" i="1"/>
  <c r="BF1132" i="1"/>
  <c r="BG1132" i="1"/>
  <c r="BH1132" i="1"/>
  <c r="BI1132" i="1"/>
  <c r="BJ1132" i="1"/>
  <c r="BM1132" i="1"/>
  <c r="CA1132" i="1"/>
  <c r="CN1132" i="1"/>
  <c r="CO1132" i="1"/>
  <c r="CP1132" i="1"/>
  <c r="CQ1132" i="1"/>
  <c r="G1488" i="1"/>
  <c r="U1488" i="1"/>
  <c r="W1488" i="1"/>
  <c r="AE1488" i="1"/>
  <c r="AK1488" i="1"/>
  <c r="AQ1488" i="1"/>
  <c r="AU1488" i="1"/>
  <c r="AV1488" i="1"/>
  <c r="AW1488" i="1"/>
  <c r="AX1488" i="1"/>
  <c r="AY1488" i="1"/>
  <c r="AZ1488" i="1"/>
  <c r="BA1488" i="1"/>
  <c r="BC1488" i="1"/>
  <c r="BD1488" i="1"/>
  <c r="BE1488" i="1"/>
  <c r="BF1488" i="1"/>
  <c r="BG1488" i="1"/>
  <c r="BH1488" i="1"/>
  <c r="BI1488" i="1"/>
  <c r="BJ1488" i="1"/>
  <c r="BM1488" i="1"/>
  <c r="CA1488" i="1"/>
  <c r="CN1488" i="1"/>
  <c r="CO1488" i="1"/>
  <c r="CP1488" i="1"/>
  <c r="CQ1488" i="1"/>
  <c r="G1602" i="1"/>
  <c r="U1602" i="1"/>
  <c r="W1602" i="1"/>
  <c r="AE1602" i="1"/>
  <c r="AK1602" i="1"/>
  <c r="AQ1602" i="1"/>
  <c r="AU1602" i="1"/>
  <c r="AV1602" i="1"/>
  <c r="AW1602" i="1"/>
  <c r="AX1602" i="1"/>
  <c r="AY1602" i="1"/>
  <c r="AZ1602" i="1"/>
  <c r="BA1602" i="1"/>
  <c r="BC1602" i="1"/>
  <c r="BD1602" i="1"/>
  <c r="BE1602" i="1"/>
  <c r="BF1602" i="1"/>
  <c r="BG1602" i="1"/>
  <c r="BH1602" i="1"/>
  <c r="BI1602" i="1"/>
  <c r="BJ1602" i="1"/>
  <c r="BM1602" i="1"/>
  <c r="CA1602" i="1"/>
  <c r="CN1602" i="1"/>
  <c r="CO1602" i="1"/>
  <c r="CP1602" i="1"/>
  <c r="CQ1602" i="1"/>
  <c r="G286" i="1"/>
  <c r="U286" i="1"/>
  <c r="W286" i="1"/>
  <c r="AE286" i="1"/>
  <c r="AK286" i="1"/>
  <c r="AQ286" i="1"/>
  <c r="AU286" i="1"/>
  <c r="AV286" i="1"/>
  <c r="AW286" i="1"/>
  <c r="AX286" i="1"/>
  <c r="AY286" i="1"/>
  <c r="AZ286" i="1"/>
  <c r="BA286" i="1"/>
  <c r="BC286" i="1"/>
  <c r="BD286" i="1"/>
  <c r="BE286" i="1"/>
  <c r="BF286" i="1"/>
  <c r="BG286" i="1"/>
  <c r="BH286" i="1"/>
  <c r="BI286" i="1"/>
  <c r="BJ286" i="1"/>
  <c r="BM286" i="1"/>
  <c r="CA286" i="1"/>
  <c r="CN286" i="1"/>
  <c r="CO286" i="1"/>
  <c r="CP286" i="1"/>
  <c r="CQ286" i="1"/>
  <c r="G287" i="1"/>
  <c r="U287" i="1"/>
  <c r="W287" i="1"/>
  <c r="AE287" i="1"/>
  <c r="AK287" i="1"/>
  <c r="AQ287" i="1"/>
  <c r="AU287" i="1"/>
  <c r="AV287" i="1"/>
  <c r="AW287" i="1"/>
  <c r="AX287" i="1"/>
  <c r="AY287" i="1"/>
  <c r="AZ287" i="1"/>
  <c r="BA287" i="1"/>
  <c r="BC287" i="1"/>
  <c r="BD287" i="1"/>
  <c r="BE287" i="1"/>
  <c r="BF287" i="1"/>
  <c r="BG287" i="1"/>
  <c r="BH287" i="1"/>
  <c r="BI287" i="1"/>
  <c r="BJ287" i="1"/>
  <c r="BM287" i="1"/>
  <c r="CA287" i="1"/>
  <c r="CN287" i="1"/>
  <c r="CO287" i="1"/>
  <c r="CP287" i="1"/>
  <c r="CQ287" i="1"/>
  <c r="G1133" i="1"/>
  <c r="U1133" i="1"/>
  <c r="W1133" i="1"/>
  <c r="AE1133" i="1"/>
  <c r="AK1133" i="1"/>
  <c r="AQ1133" i="1"/>
  <c r="AU1133" i="1"/>
  <c r="AV1133" i="1"/>
  <c r="AW1133" i="1"/>
  <c r="AX1133" i="1"/>
  <c r="AY1133" i="1"/>
  <c r="AZ1133" i="1"/>
  <c r="BA1133" i="1"/>
  <c r="BC1133" i="1"/>
  <c r="BD1133" i="1"/>
  <c r="BE1133" i="1"/>
  <c r="BF1133" i="1"/>
  <c r="BG1133" i="1"/>
  <c r="BH1133" i="1"/>
  <c r="BI1133" i="1"/>
  <c r="BJ1133" i="1"/>
  <c r="BM1133" i="1"/>
  <c r="CA1133" i="1"/>
  <c r="CN1133" i="1"/>
  <c r="CO1133" i="1"/>
  <c r="CP1133" i="1"/>
  <c r="CQ1133" i="1"/>
  <c r="G1134" i="1"/>
  <c r="U1134" i="1"/>
  <c r="W1134" i="1"/>
  <c r="AE1134" i="1"/>
  <c r="AK1134" i="1"/>
  <c r="AQ1134" i="1"/>
  <c r="AU1134" i="1"/>
  <c r="AV1134" i="1"/>
  <c r="AW1134" i="1"/>
  <c r="AX1134" i="1"/>
  <c r="AY1134" i="1"/>
  <c r="AZ1134" i="1"/>
  <c r="BA1134" i="1"/>
  <c r="BC1134" i="1"/>
  <c r="BD1134" i="1"/>
  <c r="BE1134" i="1"/>
  <c r="BF1134" i="1"/>
  <c r="BG1134" i="1"/>
  <c r="BH1134" i="1"/>
  <c r="BI1134" i="1"/>
  <c r="BJ1134" i="1"/>
  <c r="BM1134" i="1"/>
  <c r="CA1134" i="1"/>
  <c r="CN1134" i="1"/>
  <c r="CO1134" i="1"/>
  <c r="CP1134" i="1"/>
  <c r="CQ1134" i="1"/>
  <c r="G1135" i="1"/>
  <c r="U1135" i="1"/>
  <c r="W1135" i="1"/>
  <c r="AE1135" i="1"/>
  <c r="AK1135" i="1"/>
  <c r="AQ1135" i="1"/>
  <c r="AU1135" i="1"/>
  <c r="AV1135" i="1"/>
  <c r="AW1135" i="1"/>
  <c r="AX1135" i="1"/>
  <c r="AY1135" i="1"/>
  <c r="AZ1135" i="1"/>
  <c r="BA1135" i="1"/>
  <c r="BC1135" i="1"/>
  <c r="BD1135" i="1"/>
  <c r="BE1135" i="1"/>
  <c r="BF1135" i="1"/>
  <c r="BG1135" i="1"/>
  <c r="BH1135" i="1"/>
  <c r="BI1135" i="1"/>
  <c r="BJ1135" i="1"/>
  <c r="BM1135" i="1"/>
  <c r="CA1135" i="1"/>
  <c r="CN1135" i="1"/>
  <c r="CO1135" i="1"/>
  <c r="CP1135" i="1"/>
  <c r="CQ1135" i="1"/>
  <c r="G460" i="1"/>
  <c r="U460" i="1"/>
  <c r="W460" i="1"/>
  <c r="AE460" i="1"/>
  <c r="AK460" i="1"/>
  <c r="AQ460" i="1"/>
  <c r="AU460" i="1"/>
  <c r="AV460" i="1"/>
  <c r="AW460" i="1"/>
  <c r="AX460" i="1"/>
  <c r="AY460" i="1"/>
  <c r="AZ460" i="1"/>
  <c r="BA460" i="1"/>
  <c r="BC460" i="1"/>
  <c r="BD460" i="1"/>
  <c r="BE460" i="1"/>
  <c r="BF460" i="1"/>
  <c r="BG460" i="1"/>
  <c r="BH460" i="1"/>
  <c r="BI460" i="1"/>
  <c r="BJ460" i="1"/>
  <c r="BM460" i="1"/>
  <c r="CA460" i="1"/>
  <c r="CN460" i="1"/>
  <c r="CO460" i="1"/>
  <c r="CP460" i="1"/>
  <c r="CQ460" i="1"/>
  <c r="G1136" i="1"/>
  <c r="U1136" i="1"/>
  <c r="W1136" i="1"/>
  <c r="AE1136" i="1"/>
  <c r="AK1136" i="1"/>
  <c r="AQ1136" i="1"/>
  <c r="AU1136" i="1"/>
  <c r="AV1136" i="1"/>
  <c r="AW1136" i="1"/>
  <c r="AX1136" i="1"/>
  <c r="AY1136" i="1"/>
  <c r="AZ1136" i="1"/>
  <c r="BA1136" i="1"/>
  <c r="BC1136" i="1"/>
  <c r="BD1136" i="1"/>
  <c r="BE1136" i="1"/>
  <c r="BF1136" i="1"/>
  <c r="BG1136" i="1"/>
  <c r="BH1136" i="1"/>
  <c r="BI1136" i="1"/>
  <c r="BJ1136" i="1"/>
  <c r="BM1136" i="1"/>
  <c r="CA1136" i="1"/>
  <c r="CN1136" i="1"/>
  <c r="CO1136" i="1"/>
  <c r="CP1136" i="1"/>
  <c r="CQ1136" i="1"/>
  <c r="G1137" i="1"/>
  <c r="U1137" i="1"/>
  <c r="W1137" i="1"/>
  <c r="AE1137" i="1"/>
  <c r="AK1137" i="1"/>
  <c r="AQ1137" i="1"/>
  <c r="AU1137" i="1"/>
  <c r="AV1137" i="1"/>
  <c r="AW1137" i="1"/>
  <c r="AX1137" i="1"/>
  <c r="AY1137" i="1"/>
  <c r="AZ1137" i="1"/>
  <c r="BA1137" i="1"/>
  <c r="BC1137" i="1"/>
  <c r="BD1137" i="1"/>
  <c r="BE1137" i="1"/>
  <c r="BF1137" i="1"/>
  <c r="BG1137" i="1"/>
  <c r="BH1137" i="1"/>
  <c r="BI1137" i="1"/>
  <c r="BJ1137" i="1"/>
  <c r="BM1137" i="1"/>
  <c r="CA1137" i="1"/>
  <c r="CN1137" i="1"/>
  <c r="CO1137" i="1"/>
  <c r="CP1137" i="1"/>
  <c r="CQ1137" i="1"/>
  <c r="G1138" i="1"/>
  <c r="U1138" i="1"/>
  <c r="W1138" i="1"/>
  <c r="AE1138" i="1"/>
  <c r="AK1138" i="1"/>
  <c r="AQ1138" i="1"/>
  <c r="AU1138" i="1"/>
  <c r="AV1138" i="1"/>
  <c r="AW1138" i="1"/>
  <c r="AX1138" i="1"/>
  <c r="AY1138" i="1"/>
  <c r="AZ1138" i="1"/>
  <c r="BA1138" i="1"/>
  <c r="BC1138" i="1"/>
  <c r="BD1138" i="1"/>
  <c r="BE1138" i="1"/>
  <c r="BF1138" i="1"/>
  <c r="BG1138" i="1"/>
  <c r="BH1138" i="1"/>
  <c r="BI1138" i="1"/>
  <c r="BJ1138" i="1"/>
  <c r="BM1138" i="1"/>
  <c r="CA1138" i="1"/>
  <c r="CN1138" i="1"/>
  <c r="CO1138" i="1"/>
  <c r="CP1138" i="1"/>
  <c r="CQ1138" i="1"/>
  <c r="G1139" i="1"/>
  <c r="U1139" i="1"/>
  <c r="W1139" i="1"/>
  <c r="AE1139" i="1"/>
  <c r="AK1139" i="1"/>
  <c r="AQ1139" i="1"/>
  <c r="AU1139" i="1"/>
  <c r="AV1139" i="1"/>
  <c r="AW1139" i="1"/>
  <c r="AX1139" i="1"/>
  <c r="AY1139" i="1"/>
  <c r="AZ1139" i="1"/>
  <c r="BA1139" i="1"/>
  <c r="BC1139" i="1"/>
  <c r="BD1139" i="1"/>
  <c r="BE1139" i="1"/>
  <c r="BF1139" i="1"/>
  <c r="BG1139" i="1"/>
  <c r="BH1139" i="1"/>
  <c r="BI1139" i="1"/>
  <c r="BJ1139" i="1"/>
  <c r="BM1139" i="1"/>
  <c r="CA1139" i="1"/>
  <c r="CN1139" i="1"/>
  <c r="CO1139" i="1"/>
  <c r="CP1139" i="1"/>
  <c r="CQ1139" i="1"/>
  <c r="G1489" i="1"/>
  <c r="U1489" i="1"/>
  <c r="W1489" i="1"/>
  <c r="AE1489" i="1"/>
  <c r="AK1489" i="1"/>
  <c r="AQ1489" i="1"/>
  <c r="AU1489" i="1"/>
  <c r="AV1489" i="1"/>
  <c r="AW1489" i="1"/>
  <c r="AX1489" i="1"/>
  <c r="AY1489" i="1"/>
  <c r="AZ1489" i="1"/>
  <c r="BA1489" i="1"/>
  <c r="BC1489" i="1"/>
  <c r="BD1489" i="1"/>
  <c r="BE1489" i="1"/>
  <c r="BF1489" i="1"/>
  <c r="BG1489" i="1"/>
  <c r="BH1489" i="1"/>
  <c r="BI1489" i="1"/>
  <c r="BJ1489" i="1"/>
  <c r="BM1489" i="1"/>
  <c r="CA1489" i="1"/>
  <c r="CN1489" i="1"/>
  <c r="CO1489" i="1"/>
  <c r="CP1489" i="1"/>
  <c r="CQ1489" i="1"/>
  <c r="G1490" i="1"/>
  <c r="U1490" i="1"/>
  <c r="W1490" i="1"/>
  <c r="AE1490" i="1"/>
  <c r="AK1490" i="1"/>
  <c r="AQ1490" i="1"/>
  <c r="AU1490" i="1"/>
  <c r="AV1490" i="1"/>
  <c r="AW1490" i="1"/>
  <c r="AX1490" i="1"/>
  <c r="AY1490" i="1"/>
  <c r="AZ1490" i="1"/>
  <c r="BA1490" i="1"/>
  <c r="BC1490" i="1"/>
  <c r="BD1490" i="1"/>
  <c r="BE1490" i="1"/>
  <c r="BF1490" i="1"/>
  <c r="BG1490" i="1"/>
  <c r="BH1490" i="1"/>
  <c r="BI1490" i="1"/>
  <c r="BJ1490" i="1"/>
  <c r="BM1490" i="1"/>
  <c r="CA1490" i="1"/>
  <c r="CN1490" i="1"/>
  <c r="CO1490" i="1"/>
  <c r="CP1490" i="1"/>
  <c r="CQ1490" i="1"/>
  <c r="G288" i="1"/>
  <c r="U288" i="1"/>
  <c r="W288" i="1"/>
  <c r="AE288" i="1"/>
  <c r="AK288" i="1"/>
  <c r="AQ288" i="1"/>
  <c r="AU288" i="1"/>
  <c r="AV288" i="1"/>
  <c r="AW288" i="1"/>
  <c r="AX288" i="1"/>
  <c r="AY288" i="1"/>
  <c r="AZ288" i="1"/>
  <c r="BA288" i="1"/>
  <c r="BC288" i="1"/>
  <c r="BD288" i="1"/>
  <c r="BE288" i="1"/>
  <c r="BF288" i="1"/>
  <c r="BG288" i="1"/>
  <c r="BH288" i="1"/>
  <c r="BI288" i="1"/>
  <c r="BJ288" i="1"/>
  <c r="BM288" i="1"/>
  <c r="CA288" i="1"/>
  <c r="CN288" i="1"/>
  <c r="CO288" i="1"/>
  <c r="CP288" i="1"/>
  <c r="CQ288" i="1"/>
  <c r="G289" i="1"/>
  <c r="U289" i="1"/>
  <c r="W289" i="1"/>
  <c r="AE289" i="1"/>
  <c r="AK289" i="1"/>
  <c r="AQ289" i="1"/>
  <c r="AU289" i="1"/>
  <c r="AV289" i="1"/>
  <c r="AW289" i="1"/>
  <c r="AX289" i="1"/>
  <c r="AY289" i="1"/>
  <c r="AZ289" i="1"/>
  <c r="BA289" i="1"/>
  <c r="BC289" i="1"/>
  <c r="BD289" i="1"/>
  <c r="BE289" i="1"/>
  <c r="BF289" i="1"/>
  <c r="BG289" i="1"/>
  <c r="BH289" i="1"/>
  <c r="BI289" i="1"/>
  <c r="BJ289" i="1"/>
  <c r="BM289" i="1"/>
  <c r="CA289" i="1"/>
  <c r="CN289" i="1"/>
  <c r="CO289" i="1"/>
  <c r="CP289" i="1"/>
  <c r="CQ289" i="1"/>
  <c r="G1140" i="1"/>
  <c r="U1140" i="1"/>
  <c r="W1140" i="1"/>
  <c r="AE1140" i="1"/>
  <c r="AK1140" i="1"/>
  <c r="AQ1140" i="1"/>
  <c r="AU1140" i="1"/>
  <c r="AV1140" i="1"/>
  <c r="AW1140" i="1"/>
  <c r="AX1140" i="1"/>
  <c r="AY1140" i="1"/>
  <c r="AZ1140" i="1"/>
  <c r="BA1140" i="1"/>
  <c r="BC1140" i="1"/>
  <c r="BD1140" i="1"/>
  <c r="BE1140" i="1"/>
  <c r="BF1140" i="1"/>
  <c r="BG1140" i="1"/>
  <c r="BH1140" i="1"/>
  <c r="BI1140" i="1"/>
  <c r="BJ1140" i="1"/>
  <c r="BM1140" i="1"/>
  <c r="CA1140" i="1"/>
  <c r="CN1140" i="1"/>
  <c r="CO1140" i="1"/>
  <c r="CP1140" i="1"/>
  <c r="CQ1140" i="1"/>
  <c r="G1141" i="1"/>
  <c r="U1141" i="1"/>
  <c r="W1141" i="1"/>
  <c r="AE1141" i="1"/>
  <c r="AK1141" i="1"/>
  <c r="AQ1141" i="1"/>
  <c r="AU1141" i="1"/>
  <c r="AV1141" i="1"/>
  <c r="AW1141" i="1"/>
  <c r="AX1141" i="1"/>
  <c r="AY1141" i="1"/>
  <c r="AZ1141" i="1"/>
  <c r="BA1141" i="1"/>
  <c r="BC1141" i="1"/>
  <c r="BD1141" i="1"/>
  <c r="BE1141" i="1"/>
  <c r="BF1141" i="1"/>
  <c r="BG1141" i="1"/>
  <c r="BH1141" i="1"/>
  <c r="BI1141" i="1"/>
  <c r="BJ1141" i="1"/>
  <c r="BM1141" i="1"/>
  <c r="CA1141" i="1"/>
  <c r="CN1141" i="1"/>
  <c r="CO1141" i="1"/>
  <c r="CP1141" i="1"/>
  <c r="CQ1141" i="1"/>
  <c r="G1491" i="1"/>
  <c r="U1491" i="1"/>
  <c r="W1491" i="1"/>
  <c r="AE1491" i="1"/>
  <c r="AK1491" i="1"/>
  <c r="AQ1491" i="1"/>
  <c r="AU1491" i="1"/>
  <c r="AV1491" i="1"/>
  <c r="AW1491" i="1"/>
  <c r="AX1491" i="1"/>
  <c r="AY1491" i="1"/>
  <c r="AZ1491" i="1"/>
  <c r="BA1491" i="1"/>
  <c r="BC1491" i="1"/>
  <c r="BD1491" i="1"/>
  <c r="BE1491" i="1"/>
  <c r="BF1491" i="1"/>
  <c r="BG1491" i="1"/>
  <c r="BH1491" i="1"/>
  <c r="BI1491" i="1"/>
  <c r="BJ1491" i="1"/>
  <c r="BM1491" i="1"/>
  <c r="CA1491" i="1"/>
  <c r="CN1491" i="1"/>
  <c r="CO1491" i="1"/>
  <c r="CP1491" i="1"/>
  <c r="CQ1491" i="1"/>
  <c r="G1142" i="1"/>
  <c r="U1142" i="1"/>
  <c r="W1142" i="1"/>
  <c r="AE1142" i="1"/>
  <c r="AK1142" i="1"/>
  <c r="AQ1142" i="1"/>
  <c r="AU1142" i="1"/>
  <c r="AV1142" i="1"/>
  <c r="AW1142" i="1"/>
  <c r="AX1142" i="1"/>
  <c r="AY1142" i="1"/>
  <c r="AZ1142" i="1"/>
  <c r="BA1142" i="1"/>
  <c r="BC1142" i="1"/>
  <c r="BD1142" i="1"/>
  <c r="BE1142" i="1"/>
  <c r="BF1142" i="1"/>
  <c r="BG1142" i="1"/>
  <c r="BH1142" i="1"/>
  <c r="BI1142" i="1"/>
  <c r="BJ1142" i="1"/>
  <c r="BM1142" i="1"/>
  <c r="CA1142" i="1"/>
  <c r="CN1142" i="1"/>
  <c r="CO1142" i="1"/>
  <c r="CP1142" i="1"/>
  <c r="CQ1142" i="1"/>
  <c r="G1143" i="1"/>
  <c r="U1143" i="1"/>
  <c r="W1143" i="1"/>
  <c r="AE1143" i="1"/>
  <c r="AK1143" i="1"/>
  <c r="AQ1143" i="1"/>
  <c r="AU1143" i="1"/>
  <c r="AV1143" i="1"/>
  <c r="AW1143" i="1"/>
  <c r="AX1143" i="1"/>
  <c r="AY1143" i="1"/>
  <c r="AZ1143" i="1"/>
  <c r="BA1143" i="1"/>
  <c r="BC1143" i="1"/>
  <c r="BD1143" i="1"/>
  <c r="BE1143" i="1"/>
  <c r="BF1143" i="1"/>
  <c r="BG1143" i="1"/>
  <c r="BH1143" i="1"/>
  <c r="BI1143" i="1"/>
  <c r="BJ1143" i="1"/>
  <c r="BM1143" i="1"/>
  <c r="CA1143" i="1"/>
  <c r="CN1143" i="1"/>
  <c r="CO1143" i="1"/>
  <c r="CP1143" i="1"/>
  <c r="CQ1143" i="1"/>
  <c r="G1144" i="1"/>
  <c r="U1144" i="1"/>
  <c r="W1144" i="1"/>
  <c r="AE1144" i="1"/>
  <c r="AK1144" i="1"/>
  <c r="AQ1144" i="1"/>
  <c r="AU1144" i="1"/>
  <c r="AV1144" i="1"/>
  <c r="AW1144" i="1"/>
  <c r="AX1144" i="1"/>
  <c r="AY1144" i="1"/>
  <c r="AZ1144" i="1"/>
  <c r="BA1144" i="1"/>
  <c r="BC1144" i="1"/>
  <c r="BD1144" i="1"/>
  <c r="BE1144" i="1"/>
  <c r="BF1144" i="1"/>
  <c r="BG1144" i="1"/>
  <c r="BH1144" i="1"/>
  <c r="BI1144" i="1"/>
  <c r="BJ1144" i="1"/>
  <c r="BM1144" i="1"/>
  <c r="CA1144" i="1"/>
  <c r="CN1144" i="1"/>
  <c r="CO1144" i="1"/>
  <c r="CP1144" i="1"/>
  <c r="CQ1144" i="1"/>
  <c r="G1145" i="1"/>
  <c r="U1145" i="1"/>
  <c r="W1145" i="1"/>
  <c r="AE1145" i="1"/>
  <c r="AK1145" i="1"/>
  <c r="AQ1145" i="1"/>
  <c r="AU1145" i="1"/>
  <c r="AV1145" i="1"/>
  <c r="AW1145" i="1"/>
  <c r="AX1145" i="1"/>
  <c r="AY1145" i="1"/>
  <c r="AZ1145" i="1"/>
  <c r="BA1145" i="1"/>
  <c r="BC1145" i="1"/>
  <c r="BD1145" i="1"/>
  <c r="BE1145" i="1"/>
  <c r="BF1145" i="1"/>
  <c r="BG1145" i="1"/>
  <c r="BH1145" i="1"/>
  <c r="BI1145" i="1"/>
  <c r="BJ1145" i="1"/>
  <c r="BM1145" i="1"/>
  <c r="CA1145" i="1"/>
  <c r="CN1145" i="1"/>
  <c r="CO1145" i="1"/>
  <c r="CP1145" i="1"/>
  <c r="CQ1145" i="1"/>
  <c r="G1146" i="1"/>
  <c r="U1146" i="1"/>
  <c r="W1146" i="1"/>
  <c r="AE1146" i="1"/>
  <c r="AK1146" i="1"/>
  <c r="AQ1146" i="1"/>
  <c r="AU1146" i="1"/>
  <c r="AV1146" i="1"/>
  <c r="AW1146" i="1"/>
  <c r="AX1146" i="1"/>
  <c r="AY1146" i="1"/>
  <c r="AZ1146" i="1"/>
  <c r="BA1146" i="1"/>
  <c r="BC1146" i="1"/>
  <c r="BD1146" i="1"/>
  <c r="BE1146" i="1"/>
  <c r="BF1146" i="1"/>
  <c r="BG1146" i="1"/>
  <c r="BH1146" i="1"/>
  <c r="BI1146" i="1"/>
  <c r="BJ1146" i="1"/>
  <c r="BM1146" i="1"/>
  <c r="CA1146" i="1"/>
  <c r="CN1146" i="1"/>
  <c r="CO1146" i="1"/>
  <c r="CP1146" i="1"/>
  <c r="CQ1146" i="1"/>
  <c r="G1147" i="1"/>
  <c r="U1147" i="1"/>
  <c r="W1147" i="1"/>
  <c r="AE1147" i="1"/>
  <c r="AK1147" i="1"/>
  <c r="AQ1147" i="1"/>
  <c r="AU1147" i="1"/>
  <c r="AV1147" i="1"/>
  <c r="AW1147" i="1"/>
  <c r="AX1147" i="1"/>
  <c r="AY1147" i="1"/>
  <c r="AZ1147" i="1"/>
  <c r="BA1147" i="1"/>
  <c r="BC1147" i="1"/>
  <c r="BD1147" i="1"/>
  <c r="BE1147" i="1"/>
  <c r="BF1147" i="1"/>
  <c r="BG1147" i="1"/>
  <c r="BH1147" i="1"/>
  <c r="BI1147" i="1"/>
  <c r="BJ1147" i="1"/>
  <c r="BM1147" i="1"/>
  <c r="CA1147" i="1"/>
  <c r="CN1147" i="1"/>
  <c r="CO1147" i="1"/>
  <c r="CP1147" i="1"/>
  <c r="CQ1147" i="1"/>
  <c r="G1148" i="1"/>
  <c r="U1148" i="1"/>
  <c r="W1148" i="1"/>
  <c r="AE1148" i="1"/>
  <c r="AK1148" i="1"/>
  <c r="AQ1148" i="1"/>
  <c r="AU1148" i="1"/>
  <c r="AV1148" i="1"/>
  <c r="AW1148" i="1"/>
  <c r="AX1148" i="1"/>
  <c r="AY1148" i="1"/>
  <c r="AZ1148" i="1"/>
  <c r="BA1148" i="1"/>
  <c r="BC1148" i="1"/>
  <c r="BD1148" i="1"/>
  <c r="BE1148" i="1"/>
  <c r="BF1148" i="1"/>
  <c r="BG1148" i="1"/>
  <c r="BH1148" i="1"/>
  <c r="BI1148" i="1"/>
  <c r="BJ1148" i="1"/>
  <c r="BM1148" i="1"/>
  <c r="CA1148" i="1"/>
  <c r="CN1148" i="1"/>
  <c r="CO1148" i="1"/>
  <c r="CP1148" i="1"/>
  <c r="CQ1148" i="1"/>
  <c r="G1603" i="1"/>
  <c r="U1603" i="1"/>
  <c r="W1603" i="1"/>
  <c r="AE1603" i="1"/>
  <c r="AK1603" i="1"/>
  <c r="AQ1603" i="1"/>
  <c r="AU1603" i="1"/>
  <c r="AV1603" i="1"/>
  <c r="AW1603" i="1"/>
  <c r="AX1603" i="1"/>
  <c r="AY1603" i="1"/>
  <c r="AZ1603" i="1"/>
  <c r="BA1603" i="1"/>
  <c r="BC1603" i="1"/>
  <c r="BD1603" i="1"/>
  <c r="BE1603" i="1"/>
  <c r="BF1603" i="1"/>
  <c r="BG1603" i="1"/>
  <c r="BH1603" i="1"/>
  <c r="BI1603" i="1"/>
  <c r="BJ1603" i="1"/>
  <c r="BM1603" i="1"/>
  <c r="CA1603" i="1"/>
  <c r="CN1603" i="1"/>
  <c r="CO1603" i="1"/>
  <c r="CP1603" i="1"/>
  <c r="CQ1603" i="1"/>
  <c r="G461" i="1"/>
  <c r="U461" i="1"/>
  <c r="W461" i="1"/>
  <c r="AE461" i="1"/>
  <c r="AK461" i="1"/>
  <c r="AQ461" i="1"/>
  <c r="AU461" i="1"/>
  <c r="AV461" i="1"/>
  <c r="AW461" i="1"/>
  <c r="AX461" i="1"/>
  <c r="AY461" i="1"/>
  <c r="AZ461" i="1"/>
  <c r="BA461" i="1"/>
  <c r="BC461" i="1"/>
  <c r="BD461" i="1"/>
  <c r="BE461" i="1"/>
  <c r="BF461" i="1"/>
  <c r="BG461" i="1"/>
  <c r="BH461" i="1"/>
  <c r="BI461" i="1"/>
  <c r="BJ461" i="1"/>
  <c r="BM461" i="1"/>
  <c r="CA461" i="1"/>
  <c r="CN461" i="1"/>
  <c r="CO461" i="1"/>
  <c r="CP461" i="1"/>
  <c r="CQ461" i="1"/>
  <c r="G1149" i="1"/>
  <c r="U1149" i="1"/>
  <c r="W1149" i="1"/>
  <c r="AE1149" i="1"/>
  <c r="AK1149" i="1"/>
  <c r="AQ1149" i="1"/>
  <c r="AU1149" i="1"/>
  <c r="AV1149" i="1"/>
  <c r="AW1149" i="1"/>
  <c r="AX1149" i="1"/>
  <c r="AY1149" i="1"/>
  <c r="AZ1149" i="1"/>
  <c r="BA1149" i="1"/>
  <c r="BC1149" i="1"/>
  <c r="BD1149" i="1"/>
  <c r="BE1149" i="1"/>
  <c r="BF1149" i="1"/>
  <c r="BG1149" i="1"/>
  <c r="BH1149" i="1"/>
  <c r="BI1149" i="1"/>
  <c r="BJ1149" i="1"/>
  <c r="BM1149" i="1"/>
  <c r="CA1149" i="1"/>
  <c r="CN1149" i="1"/>
  <c r="CO1149" i="1"/>
  <c r="CP1149" i="1"/>
  <c r="CQ1149" i="1"/>
  <c r="G1150" i="1"/>
  <c r="U1150" i="1"/>
  <c r="W1150" i="1"/>
  <c r="AE1150" i="1"/>
  <c r="AK1150" i="1"/>
  <c r="AQ1150" i="1"/>
  <c r="AU1150" i="1"/>
  <c r="AV1150" i="1"/>
  <c r="AW1150" i="1"/>
  <c r="AX1150" i="1"/>
  <c r="AY1150" i="1"/>
  <c r="AZ1150" i="1"/>
  <c r="BA1150" i="1"/>
  <c r="BC1150" i="1"/>
  <c r="BD1150" i="1"/>
  <c r="BE1150" i="1"/>
  <c r="BF1150" i="1"/>
  <c r="BG1150" i="1"/>
  <c r="BH1150" i="1"/>
  <c r="BI1150" i="1"/>
  <c r="BJ1150" i="1"/>
  <c r="BM1150" i="1"/>
  <c r="CA1150" i="1"/>
  <c r="CN1150" i="1"/>
  <c r="CO1150" i="1"/>
  <c r="CP1150" i="1"/>
  <c r="CQ1150" i="1"/>
  <c r="G1151" i="1"/>
  <c r="U1151" i="1"/>
  <c r="W1151" i="1"/>
  <c r="AE1151" i="1"/>
  <c r="AK1151" i="1"/>
  <c r="AQ1151" i="1"/>
  <c r="AU1151" i="1"/>
  <c r="AV1151" i="1"/>
  <c r="AW1151" i="1"/>
  <c r="AX1151" i="1"/>
  <c r="AY1151" i="1"/>
  <c r="AZ1151" i="1"/>
  <c r="BA1151" i="1"/>
  <c r="BC1151" i="1"/>
  <c r="BD1151" i="1"/>
  <c r="BE1151" i="1"/>
  <c r="BF1151" i="1"/>
  <c r="BG1151" i="1"/>
  <c r="BH1151" i="1"/>
  <c r="BI1151" i="1"/>
  <c r="BJ1151" i="1"/>
  <c r="BM1151" i="1"/>
  <c r="CA1151" i="1"/>
  <c r="CN1151" i="1"/>
  <c r="CO1151" i="1"/>
  <c r="CP1151" i="1"/>
  <c r="CQ1151" i="1"/>
  <c r="G462" i="1"/>
  <c r="U462" i="1"/>
  <c r="W462" i="1"/>
  <c r="AE462" i="1"/>
  <c r="AK462" i="1"/>
  <c r="AQ462" i="1"/>
  <c r="AU462" i="1"/>
  <c r="AV462" i="1"/>
  <c r="AW462" i="1"/>
  <c r="AX462" i="1"/>
  <c r="AY462" i="1"/>
  <c r="AZ462" i="1"/>
  <c r="BA462" i="1"/>
  <c r="BC462" i="1"/>
  <c r="BD462" i="1"/>
  <c r="BE462" i="1"/>
  <c r="BF462" i="1"/>
  <c r="BG462" i="1"/>
  <c r="BH462" i="1"/>
  <c r="BI462" i="1"/>
  <c r="BJ462" i="1"/>
  <c r="BM462" i="1"/>
  <c r="CA462" i="1"/>
  <c r="CN462" i="1"/>
  <c r="CO462" i="1"/>
  <c r="CP462" i="1"/>
  <c r="CQ462" i="1"/>
  <c r="G1152" i="1"/>
  <c r="U1152" i="1"/>
  <c r="W1152" i="1"/>
  <c r="AE1152" i="1"/>
  <c r="AK1152" i="1"/>
  <c r="AQ1152" i="1"/>
  <c r="AU1152" i="1"/>
  <c r="AV1152" i="1"/>
  <c r="AW1152" i="1"/>
  <c r="AX1152" i="1"/>
  <c r="AY1152" i="1"/>
  <c r="AZ1152" i="1"/>
  <c r="BA1152" i="1"/>
  <c r="BC1152" i="1"/>
  <c r="BD1152" i="1"/>
  <c r="BE1152" i="1"/>
  <c r="BF1152" i="1"/>
  <c r="BG1152" i="1"/>
  <c r="BH1152" i="1"/>
  <c r="BI1152" i="1"/>
  <c r="BJ1152" i="1"/>
  <c r="BM1152" i="1"/>
  <c r="CA1152" i="1"/>
  <c r="CN1152" i="1"/>
  <c r="CO1152" i="1"/>
  <c r="CP1152" i="1"/>
  <c r="CQ1152" i="1"/>
  <c r="G1604" i="1"/>
  <c r="U1604" i="1"/>
  <c r="W1604" i="1"/>
  <c r="AE1604" i="1"/>
  <c r="AK1604" i="1"/>
  <c r="AQ1604" i="1"/>
  <c r="AU1604" i="1"/>
  <c r="AV1604" i="1"/>
  <c r="AW1604" i="1"/>
  <c r="AX1604" i="1"/>
  <c r="AY1604" i="1"/>
  <c r="AZ1604" i="1"/>
  <c r="BA1604" i="1"/>
  <c r="BC1604" i="1"/>
  <c r="BD1604" i="1"/>
  <c r="BE1604" i="1"/>
  <c r="BF1604" i="1"/>
  <c r="BG1604" i="1"/>
  <c r="BH1604" i="1"/>
  <c r="BI1604" i="1"/>
  <c r="BJ1604" i="1"/>
  <c r="BM1604" i="1"/>
  <c r="CA1604" i="1"/>
  <c r="CN1604" i="1"/>
  <c r="CO1604" i="1"/>
  <c r="CP1604" i="1"/>
  <c r="CQ1604" i="1"/>
  <c r="G1153" i="1"/>
  <c r="U1153" i="1"/>
  <c r="W1153" i="1"/>
  <c r="AE1153" i="1"/>
  <c r="AK1153" i="1"/>
  <c r="AQ1153" i="1"/>
  <c r="AU1153" i="1"/>
  <c r="AV1153" i="1"/>
  <c r="AW1153" i="1"/>
  <c r="AX1153" i="1"/>
  <c r="AY1153" i="1"/>
  <c r="AZ1153" i="1"/>
  <c r="BA1153" i="1"/>
  <c r="BC1153" i="1"/>
  <c r="BD1153" i="1"/>
  <c r="BE1153" i="1"/>
  <c r="BF1153" i="1"/>
  <c r="BG1153" i="1"/>
  <c r="BH1153" i="1"/>
  <c r="BI1153" i="1"/>
  <c r="BJ1153" i="1"/>
  <c r="BM1153" i="1"/>
  <c r="CA1153" i="1"/>
  <c r="CN1153" i="1"/>
  <c r="CO1153" i="1"/>
  <c r="CP1153" i="1"/>
  <c r="CQ1153" i="1"/>
  <c r="G1492" i="1"/>
  <c r="U1492" i="1"/>
  <c r="W1492" i="1"/>
  <c r="AE1492" i="1"/>
  <c r="AK1492" i="1"/>
  <c r="AQ1492" i="1"/>
  <c r="AU1492" i="1"/>
  <c r="AV1492" i="1"/>
  <c r="AW1492" i="1"/>
  <c r="AX1492" i="1"/>
  <c r="AY1492" i="1"/>
  <c r="AZ1492" i="1"/>
  <c r="BA1492" i="1"/>
  <c r="BC1492" i="1"/>
  <c r="BD1492" i="1"/>
  <c r="BE1492" i="1"/>
  <c r="BF1492" i="1"/>
  <c r="BG1492" i="1"/>
  <c r="BH1492" i="1"/>
  <c r="BI1492" i="1"/>
  <c r="BJ1492" i="1"/>
  <c r="BM1492" i="1"/>
  <c r="CA1492" i="1"/>
  <c r="CN1492" i="1"/>
  <c r="CO1492" i="1"/>
  <c r="CP1492" i="1"/>
  <c r="CQ1492" i="1"/>
  <c r="G1154" i="1"/>
  <c r="U1154" i="1"/>
  <c r="W1154" i="1"/>
  <c r="AE1154" i="1"/>
  <c r="AK1154" i="1"/>
  <c r="AQ1154" i="1"/>
  <c r="AU1154" i="1"/>
  <c r="AV1154" i="1"/>
  <c r="AW1154" i="1"/>
  <c r="AX1154" i="1"/>
  <c r="AY1154" i="1"/>
  <c r="AZ1154" i="1"/>
  <c r="BA1154" i="1"/>
  <c r="BC1154" i="1"/>
  <c r="BD1154" i="1"/>
  <c r="BE1154" i="1"/>
  <c r="BF1154" i="1"/>
  <c r="BG1154" i="1"/>
  <c r="BH1154" i="1"/>
  <c r="BI1154" i="1"/>
  <c r="BJ1154" i="1"/>
  <c r="BM1154" i="1"/>
  <c r="CA1154" i="1"/>
  <c r="CN1154" i="1"/>
  <c r="CO1154" i="1"/>
  <c r="CP1154" i="1"/>
  <c r="CQ1154" i="1"/>
  <c r="G290" i="1"/>
  <c r="U290" i="1"/>
  <c r="W290" i="1"/>
  <c r="AE290" i="1"/>
  <c r="AK290" i="1"/>
  <c r="AQ290" i="1"/>
  <c r="AU290" i="1"/>
  <c r="AV290" i="1"/>
  <c r="AW290" i="1"/>
  <c r="AX290" i="1"/>
  <c r="AY290" i="1"/>
  <c r="AZ290" i="1"/>
  <c r="BA290" i="1"/>
  <c r="BC290" i="1"/>
  <c r="BD290" i="1"/>
  <c r="BE290" i="1"/>
  <c r="BF290" i="1"/>
  <c r="BG290" i="1"/>
  <c r="BH290" i="1"/>
  <c r="BI290" i="1"/>
  <c r="BJ290" i="1"/>
  <c r="BM290" i="1"/>
  <c r="CA290" i="1"/>
  <c r="CN290" i="1"/>
  <c r="CO290" i="1"/>
  <c r="CP290" i="1"/>
  <c r="CQ290" i="1"/>
  <c r="G1155" i="1"/>
  <c r="U1155" i="1"/>
  <c r="W1155" i="1"/>
  <c r="AE1155" i="1"/>
  <c r="AK1155" i="1"/>
  <c r="AQ1155" i="1"/>
  <c r="AU1155" i="1"/>
  <c r="AV1155" i="1"/>
  <c r="AW1155" i="1"/>
  <c r="AX1155" i="1"/>
  <c r="AY1155" i="1"/>
  <c r="AZ1155" i="1"/>
  <c r="BA1155" i="1"/>
  <c r="BC1155" i="1"/>
  <c r="BD1155" i="1"/>
  <c r="BE1155" i="1"/>
  <c r="BF1155" i="1"/>
  <c r="BG1155" i="1"/>
  <c r="BH1155" i="1"/>
  <c r="BI1155" i="1"/>
  <c r="BJ1155" i="1"/>
  <c r="BM1155" i="1"/>
  <c r="CA1155" i="1"/>
  <c r="CN1155" i="1"/>
  <c r="CO1155" i="1"/>
  <c r="CP1155" i="1"/>
  <c r="CQ1155" i="1"/>
  <c r="G1156" i="1"/>
  <c r="U1156" i="1"/>
  <c r="W1156" i="1"/>
  <c r="AE1156" i="1"/>
  <c r="AK1156" i="1"/>
  <c r="AQ1156" i="1"/>
  <c r="AU1156" i="1"/>
  <c r="AV1156" i="1"/>
  <c r="AW1156" i="1"/>
  <c r="AX1156" i="1"/>
  <c r="AY1156" i="1"/>
  <c r="AZ1156" i="1"/>
  <c r="BA1156" i="1"/>
  <c r="BC1156" i="1"/>
  <c r="BD1156" i="1"/>
  <c r="BE1156" i="1"/>
  <c r="BF1156" i="1"/>
  <c r="BG1156" i="1"/>
  <c r="BH1156" i="1"/>
  <c r="BI1156" i="1"/>
  <c r="BJ1156" i="1"/>
  <c r="BM1156" i="1"/>
  <c r="CA1156" i="1"/>
  <c r="CN1156" i="1"/>
  <c r="CO1156" i="1"/>
  <c r="CP1156" i="1"/>
  <c r="CQ1156" i="1"/>
  <c r="G1605" i="1"/>
  <c r="U1605" i="1"/>
  <c r="W1605" i="1"/>
  <c r="AE1605" i="1"/>
  <c r="AK1605" i="1"/>
  <c r="AQ1605" i="1"/>
  <c r="AU1605" i="1"/>
  <c r="AV1605" i="1"/>
  <c r="AW1605" i="1"/>
  <c r="AX1605" i="1"/>
  <c r="AY1605" i="1"/>
  <c r="AZ1605" i="1"/>
  <c r="BA1605" i="1"/>
  <c r="BC1605" i="1"/>
  <c r="BD1605" i="1"/>
  <c r="BE1605" i="1"/>
  <c r="BF1605" i="1"/>
  <c r="BG1605" i="1"/>
  <c r="BH1605" i="1"/>
  <c r="BI1605" i="1"/>
  <c r="BJ1605" i="1"/>
  <c r="BM1605" i="1"/>
  <c r="CA1605" i="1"/>
  <c r="CN1605" i="1"/>
  <c r="CO1605" i="1"/>
  <c r="CP1605" i="1"/>
  <c r="CQ1605" i="1"/>
  <c r="G1157" i="1"/>
  <c r="U1157" i="1"/>
  <c r="W1157" i="1"/>
  <c r="AE1157" i="1"/>
  <c r="AK1157" i="1"/>
  <c r="AQ1157" i="1"/>
  <c r="AU1157" i="1"/>
  <c r="AV1157" i="1"/>
  <c r="AW1157" i="1"/>
  <c r="AX1157" i="1"/>
  <c r="AY1157" i="1"/>
  <c r="AZ1157" i="1"/>
  <c r="BA1157" i="1"/>
  <c r="BC1157" i="1"/>
  <c r="BD1157" i="1"/>
  <c r="BE1157" i="1"/>
  <c r="BF1157" i="1"/>
  <c r="BG1157" i="1"/>
  <c r="BH1157" i="1"/>
  <c r="BI1157" i="1"/>
  <c r="BJ1157" i="1"/>
  <c r="BM1157" i="1"/>
  <c r="CA1157" i="1"/>
  <c r="CN1157" i="1"/>
  <c r="CO1157" i="1"/>
  <c r="CP1157" i="1"/>
  <c r="CQ1157" i="1"/>
  <c r="G1158" i="1"/>
  <c r="U1158" i="1"/>
  <c r="W1158" i="1"/>
  <c r="AE1158" i="1"/>
  <c r="AK1158" i="1"/>
  <c r="AQ1158" i="1"/>
  <c r="AU1158" i="1"/>
  <c r="AV1158" i="1"/>
  <c r="AW1158" i="1"/>
  <c r="AX1158" i="1"/>
  <c r="AY1158" i="1"/>
  <c r="AZ1158" i="1"/>
  <c r="BA1158" i="1"/>
  <c r="BC1158" i="1"/>
  <c r="BD1158" i="1"/>
  <c r="BE1158" i="1"/>
  <c r="BF1158" i="1"/>
  <c r="BG1158" i="1"/>
  <c r="BH1158" i="1"/>
  <c r="BI1158" i="1"/>
  <c r="BJ1158" i="1"/>
  <c r="BM1158" i="1"/>
  <c r="CA1158" i="1"/>
  <c r="CN1158" i="1"/>
  <c r="CO1158" i="1"/>
  <c r="CP1158" i="1"/>
  <c r="CQ1158" i="1"/>
  <c r="G291" i="1"/>
  <c r="U291" i="1"/>
  <c r="W291" i="1"/>
  <c r="AE291" i="1"/>
  <c r="AK291" i="1"/>
  <c r="AQ291" i="1"/>
  <c r="AU291" i="1"/>
  <c r="AV291" i="1"/>
  <c r="AW291" i="1"/>
  <c r="AX291" i="1"/>
  <c r="AY291" i="1"/>
  <c r="AZ291" i="1"/>
  <c r="BA291" i="1"/>
  <c r="BC291" i="1"/>
  <c r="BD291" i="1"/>
  <c r="BE291" i="1"/>
  <c r="BF291" i="1"/>
  <c r="BG291" i="1"/>
  <c r="BH291" i="1"/>
  <c r="BI291" i="1"/>
  <c r="BJ291" i="1"/>
  <c r="BM291" i="1"/>
  <c r="CA291" i="1"/>
  <c r="CN291" i="1"/>
  <c r="CO291" i="1"/>
  <c r="CP291" i="1"/>
  <c r="CQ291" i="1"/>
  <c r="G1159" i="1"/>
  <c r="U1159" i="1"/>
  <c r="W1159" i="1"/>
  <c r="AE1159" i="1"/>
  <c r="AK1159" i="1"/>
  <c r="AQ1159" i="1"/>
  <c r="AU1159" i="1"/>
  <c r="AV1159" i="1"/>
  <c r="AW1159" i="1"/>
  <c r="AX1159" i="1"/>
  <c r="AY1159" i="1"/>
  <c r="AZ1159" i="1"/>
  <c r="BA1159" i="1"/>
  <c r="BC1159" i="1"/>
  <c r="BD1159" i="1"/>
  <c r="BE1159" i="1"/>
  <c r="BF1159" i="1"/>
  <c r="BG1159" i="1"/>
  <c r="BH1159" i="1"/>
  <c r="BI1159" i="1"/>
  <c r="BJ1159" i="1"/>
  <c r="BM1159" i="1"/>
  <c r="CA1159" i="1"/>
  <c r="CN1159" i="1"/>
  <c r="CO1159" i="1"/>
  <c r="CP1159" i="1"/>
  <c r="CQ1159" i="1"/>
  <c r="G1493" i="1"/>
  <c r="U1493" i="1"/>
  <c r="W1493" i="1"/>
  <c r="AE1493" i="1"/>
  <c r="AK1493" i="1"/>
  <c r="AQ1493" i="1"/>
  <c r="AU1493" i="1"/>
  <c r="AV1493" i="1"/>
  <c r="AW1493" i="1"/>
  <c r="AX1493" i="1"/>
  <c r="AY1493" i="1"/>
  <c r="AZ1493" i="1"/>
  <c r="BA1493" i="1"/>
  <c r="BC1493" i="1"/>
  <c r="BD1493" i="1"/>
  <c r="BE1493" i="1"/>
  <c r="BF1493" i="1"/>
  <c r="BG1493" i="1"/>
  <c r="BH1493" i="1"/>
  <c r="BI1493" i="1"/>
  <c r="BJ1493" i="1"/>
  <c r="BM1493" i="1"/>
  <c r="CA1493" i="1"/>
  <c r="CN1493" i="1"/>
  <c r="CO1493" i="1"/>
  <c r="CP1493" i="1"/>
  <c r="CQ1493" i="1"/>
  <c r="G1160" i="1"/>
  <c r="U1160" i="1"/>
  <c r="W1160" i="1"/>
  <c r="AE1160" i="1"/>
  <c r="AK1160" i="1"/>
  <c r="AQ1160" i="1"/>
  <c r="AU1160" i="1"/>
  <c r="AV1160" i="1"/>
  <c r="AW1160" i="1"/>
  <c r="AX1160" i="1"/>
  <c r="AY1160" i="1"/>
  <c r="AZ1160" i="1"/>
  <c r="BA1160" i="1"/>
  <c r="BC1160" i="1"/>
  <c r="BD1160" i="1"/>
  <c r="BE1160" i="1"/>
  <c r="BF1160" i="1"/>
  <c r="BG1160" i="1"/>
  <c r="BH1160" i="1"/>
  <c r="BI1160" i="1"/>
  <c r="BJ1160" i="1"/>
  <c r="BM1160" i="1"/>
  <c r="CA1160" i="1"/>
  <c r="CN1160" i="1"/>
  <c r="CO1160" i="1"/>
  <c r="CP1160" i="1"/>
  <c r="CQ1160" i="1"/>
  <c r="G292" i="1"/>
  <c r="U292" i="1"/>
  <c r="W292" i="1"/>
  <c r="AE292" i="1"/>
  <c r="AK292" i="1"/>
  <c r="AQ292" i="1"/>
  <c r="AU292" i="1"/>
  <c r="AV292" i="1"/>
  <c r="AW292" i="1"/>
  <c r="AX292" i="1"/>
  <c r="AY292" i="1"/>
  <c r="AZ292" i="1"/>
  <c r="BA292" i="1"/>
  <c r="BC292" i="1"/>
  <c r="BD292" i="1"/>
  <c r="BE292" i="1"/>
  <c r="BF292" i="1"/>
  <c r="BG292" i="1"/>
  <c r="BH292" i="1"/>
  <c r="BI292" i="1"/>
  <c r="BJ292" i="1"/>
  <c r="BM292" i="1"/>
  <c r="CA292" i="1"/>
  <c r="CN292" i="1"/>
  <c r="CO292" i="1"/>
  <c r="CP292" i="1"/>
  <c r="CQ292" i="1"/>
  <c r="G1161" i="1"/>
  <c r="U1161" i="1"/>
  <c r="W1161" i="1"/>
  <c r="AE1161" i="1"/>
  <c r="AK1161" i="1"/>
  <c r="AQ1161" i="1"/>
  <c r="AU1161" i="1"/>
  <c r="AV1161" i="1"/>
  <c r="AW1161" i="1"/>
  <c r="AX1161" i="1"/>
  <c r="AY1161" i="1"/>
  <c r="AZ1161" i="1"/>
  <c r="BA1161" i="1"/>
  <c r="BC1161" i="1"/>
  <c r="BD1161" i="1"/>
  <c r="BE1161" i="1"/>
  <c r="BF1161" i="1"/>
  <c r="BG1161" i="1"/>
  <c r="BH1161" i="1"/>
  <c r="BI1161" i="1"/>
  <c r="BJ1161" i="1"/>
  <c r="BM1161" i="1"/>
  <c r="CA1161" i="1"/>
  <c r="CN1161" i="1"/>
  <c r="CO1161" i="1"/>
  <c r="CP1161" i="1"/>
  <c r="CQ1161" i="1"/>
  <c r="G463" i="1"/>
  <c r="U463" i="1"/>
  <c r="W463" i="1"/>
  <c r="AE463" i="1"/>
  <c r="AK463" i="1"/>
  <c r="AQ463" i="1"/>
  <c r="AU463" i="1"/>
  <c r="AV463" i="1"/>
  <c r="AW463" i="1"/>
  <c r="AX463" i="1"/>
  <c r="AY463" i="1"/>
  <c r="AZ463" i="1"/>
  <c r="BA463" i="1"/>
  <c r="BC463" i="1"/>
  <c r="BD463" i="1"/>
  <c r="BE463" i="1"/>
  <c r="BF463" i="1"/>
  <c r="BG463" i="1"/>
  <c r="BH463" i="1"/>
  <c r="BI463" i="1"/>
  <c r="BJ463" i="1"/>
  <c r="BM463" i="1"/>
  <c r="CA463" i="1"/>
  <c r="CN463" i="1"/>
  <c r="CO463" i="1"/>
  <c r="CP463" i="1"/>
  <c r="CQ463" i="1"/>
  <c r="G1494" i="1"/>
  <c r="U1494" i="1"/>
  <c r="W1494" i="1"/>
  <c r="AE1494" i="1"/>
  <c r="AK1494" i="1"/>
  <c r="AQ1494" i="1"/>
  <c r="AU1494" i="1"/>
  <c r="AV1494" i="1"/>
  <c r="AW1494" i="1"/>
  <c r="AX1494" i="1"/>
  <c r="AY1494" i="1"/>
  <c r="AZ1494" i="1"/>
  <c r="BA1494" i="1"/>
  <c r="BC1494" i="1"/>
  <c r="BD1494" i="1"/>
  <c r="BE1494" i="1"/>
  <c r="BF1494" i="1"/>
  <c r="BG1494" i="1"/>
  <c r="BH1494" i="1"/>
  <c r="BI1494" i="1"/>
  <c r="BJ1494" i="1"/>
  <c r="BM1494" i="1"/>
  <c r="CA1494" i="1"/>
  <c r="CN1494" i="1"/>
  <c r="CO1494" i="1"/>
  <c r="CP1494" i="1"/>
  <c r="CQ1494" i="1"/>
  <c r="G1162" i="1"/>
  <c r="U1162" i="1"/>
  <c r="W1162" i="1"/>
  <c r="AE1162" i="1"/>
  <c r="AK1162" i="1"/>
  <c r="AQ1162" i="1"/>
  <c r="AU1162" i="1"/>
  <c r="AV1162" i="1"/>
  <c r="AW1162" i="1"/>
  <c r="AX1162" i="1"/>
  <c r="AY1162" i="1"/>
  <c r="AZ1162" i="1"/>
  <c r="BA1162" i="1"/>
  <c r="BC1162" i="1"/>
  <c r="BD1162" i="1"/>
  <c r="BE1162" i="1"/>
  <c r="BF1162" i="1"/>
  <c r="BG1162" i="1"/>
  <c r="BH1162" i="1"/>
  <c r="BI1162" i="1"/>
  <c r="BJ1162" i="1"/>
  <c r="BM1162" i="1"/>
  <c r="CA1162" i="1"/>
  <c r="CN1162" i="1"/>
  <c r="CO1162" i="1"/>
  <c r="CP1162" i="1"/>
  <c r="CQ1162" i="1"/>
  <c r="G293" i="1"/>
  <c r="U293" i="1"/>
  <c r="W293" i="1"/>
  <c r="AE293" i="1"/>
  <c r="AK293" i="1"/>
  <c r="AQ293" i="1"/>
  <c r="AU293" i="1"/>
  <c r="AV293" i="1"/>
  <c r="AW293" i="1"/>
  <c r="AX293" i="1"/>
  <c r="AY293" i="1"/>
  <c r="AZ293" i="1"/>
  <c r="BA293" i="1"/>
  <c r="BC293" i="1"/>
  <c r="BD293" i="1"/>
  <c r="BE293" i="1"/>
  <c r="BF293" i="1"/>
  <c r="BG293" i="1"/>
  <c r="BH293" i="1"/>
  <c r="BI293" i="1"/>
  <c r="BJ293" i="1"/>
  <c r="BM293" i="1"/>
  <c r="CA293" i="1"/>
  <c r="CN293" i="1"/>
  <c r="CO293" i="1"/>
  <c r="CP293" i="1"/>
  <c r="CQ293" i="1"/>
  <c r="G1620" i="1"/>
  <c r="U1620" i="1"/>
  <c r="W1620" i="1"/>
  <c r="AE1620" i="1"/>
  <c r="AK1620" i="1"/>
  <c r="AQ1620" i="1"/>
  <c r="AU1620" i="1"/>
  <c r="AV1620" i="1"/>
  <c r="AW1620" i="1"/>
  <c r="AX1620" i="1"/>
  <c r="AY1620" i="1"/>
  <c r="AZ1620" i="1"/>
  <c r="BA1620" i="1"/>
  <c r="BC1620" i="1"/>
  <c r="BD1620" i="1"/>
  <c r="BE1620" i="1"/>
  <c r="BF1620" i="1"/>
  <c r="BG1620" i="1"/>
  <c r="BH1620" i="1"/>
  <c r="BI1620" i="1"/>
  <c r="BJ1620" i="1"/>
  <c r="BM1620" i="1"/>
  <c r="CA1620" i="1"/>
  <c r="CN1620" i="1"/>
  <c r="CO1620" i="1"/>
  <c r="CP1620" i="1"/>
  <c r="CQ1620" i="1"/>
  <c r="G1163" i="1"/>
  <c r="U1163" i="1"/>
  <c r="W1163" i="1"/>
  <c r="AE1163" i="1"/>
  <c r="AK1163" i="1"/>
  <c r="AQ1163" i="1"/>
  <c r="AU1163" i="1"/>
  <c r="AV1163" i="1"/>
  <c r="AW1163" i="1"/>
  <c r="AX1163" i="1"/>
  <c r="AY1163" i="1"/>
  <c r="AZ1163" i="1"/>
  <c r="BA1163" i="1"/>
  <c r="BC1163" i="1"/>
  <c r="BD1163" i="1"/>
  <c r="BE1163" i="1"/>
  <c r="BF1163" i="1"/>
  <c r="BG1163" i="1"/>
  <c r="BH1163" i="1"/>
  <c r="BI1163" i="1"/>
  <c r="BJ1163" i="1"/>
  <c r="BM1163" i="1"/>
  <c r="CA1163" i="1"/>
  <c r="CN1163" i="1"/>
  <c r="CO1163" i="1"/>
  <c r="CP1163" i="1"/>
  <c r="CQ1163" i="1"/>
  <c r="G1164" i="1"/>
  <c r="U1164" i="1"/>
  <c r="W1164" i="1"/>
  <c r="AE1164" i="1"/>
  <c r="AK1164" i="1"/>
  <c r="AQ1164" i="1"/>
  <c r="AU1164" i="1"/>
  <c r="AV1164" i="1"/>
  <c r="AW1164" i="1"/>
  <c r="AX1164" i="1"/>
  <c r="AY1164" i="1"/>
  <c r="AZ1164" i="1"/>
  <c r="BA1164" i="1"/>
  <c r="BC1164" i="1"/>
  <c r="BD1164" i="1"/>
  <c r="BE1164" i="1"/>
  <c r="BF1164" i="1"/>
  <c r="BG1164" i="1"/>
  <c r="BH1164" i="1"/>
  <c r="BI1164" i="1"/>
  <c r="BJ1164" i="1"/>
  <c r="BM1164" i="1"/>
  <c r="CA1164" i="1"/>
  <c r="CN1164" i="1"/>
  <c r="CO1164" i="1"/>
  <c r="CP1164" i="1"/>
  <c r="CQ1164" i="1"/>
  <c r="G1495" i="1"/>
  <c r="U1495" i="1"/>
  <c r="W1495" i="1"/>
  <c r="AE1495" i="1"/>
  <c r="AK1495" i="1"/>
  <c r="AQ1495" i="1"/>
  <c r="AU1495" i="1"/>
  <c r="AV1495" i="1"/>
  <c r="AW1495" i="1"/>
  <c r="AX1495" i="1"/>
  <c r="AY1495" i="1"/>
  <c r="AZ1495" i="1"/>
  <c r="BA1495" i="1"/>
  <c r="BC1495" i="1"/>
  <c r="BD1495" i="1"/>
  <c r="BE1495" i="1"/>
  <c r="BF1495" i="1"/>
  <c r="BG1495" i="1"/>
  <c r="BH1495" i="1"/>
  <c r="BI1495" i="1"/>
  <c r="BJ1495" i="1"/>
  <c r="BM1495" i="1"/>
  <c r="CA1495" i="1"/>
  <c r="CN1495" i="1"/>
  <c r="CO1495" i="1"/>
  <c r="CP1495" i="1"/>
  <c r="CQ1495" i="1"/>
  <c r="G1606" i="1"/>
  <c r="U1606" i="1"/>
  <c r="W1606" i="1"/>
  <c r="AE1606" i="1"/>
  <c r="AK1606" i="1"/>
  <c r="AQ1606" i="1"/>
  <c r="AU1606" i="1"/>
  <c r="AV1606" i="1"/>
  <c r="AW1606" i="1"/>
  <c r="AX1606" i="1"/>
  <c r="AY1606" i="1"/>
  <c r="AZ1606" i="1"/>
  <c r="BA1606" i="1"/>
  <c r="BC1606" i="1"/>
  <c r="BD1606" i="1"/>
  <c r="BE1606" i="1"/>
  <c r="BF1606" i="1"/>
  <c r="BG1606" i="1"/>
  <c r="BH1606" i="1"/>
  <c r="BI1606" i="1"/>
  <c r="BJ1606" i="1"/>
  <c r="BM1606" i="1"/>
  <c r="CA1606" i="1"/>
  <c r="CN1606" i="1"/>
  <c r="CO1606" i="1"/>
  <c r="CP1606" i="1"/>
  <c r="CQ1606" i="1"/>
  <c r="G1165" i="1"/>
  <c r="U1165" i="1"/>
  <c r="W1165" i="1"/>
  <c r="AE1165" i="1"/>
  <c r="AK1165" i="1"/>
  <c r="AQ1165" i="1"/>
  <c r="AU1165" i="1"/>
  <c r="AV1165" i="1"/>
  <c r="AW1165" i="1"/>
  <c r="AX1165" i="1"/>
  <c r="AY1165" i="1"/>
  <c r="AZ1165" i="1"/>
  <c r="BA1165" i="1"/>
  <c r="BC1165" i="1"/>
  <c r="BD1165" i="1"/>
  <c r="BE1165" i="1"/>
  <c r="BF1165" i="1"/>
  <c r="BG1165" i="1"/>
  <c r="BH1165" i="1"/>
  <c r="BI1165" i="1"/>
  <c r="BJ1165" i="1"/>
  <c r="BM1165" i="1"/>
  <c r="CA1165" i="1"/>
  <c r="CN1165" i="1"/>
  <c r="CO1165" i="1"/>
  <c r="CP1165" i="1"/>
  <c r="CQ1165" i="1"/>
  <c r="G1166" i="1"/>
  <c r="U1166" i="1"/>
  <c r="W1166" i="1"/>
  <c r="AE1166" i="1"/>
  <c r="AK1166" i="1"/>
  <c r="AQ1166" i="1"/>
  <c r="AU1166" i="1"/>
  <c r="AV1166" i="1"/>
  <c r="AW1166" i="1"/>
  <c r="AX1166" i="1"/>
  <c r="AY1166" i="1"/>
  <c r="AZ1166" i="1"/>
  <c r="BA1166" i="1"/>
  <c r="BC1166" i="1"/>
  <c r="BD1166" i="1"/>
  <c r="BE1166" i="1"/>
  <c r="BF1166" i="1"/>
  <c r="BG1166" i="1"/>
  <c r="BH1166" i="1"/>
  <c r="BI1166" i="1"/>
  <c r="BJ1166" i="1"/>
  <c r="BM1166" i="1"/>
  <c r="CA1166" i="1"/>
  <c r="CN1166" i="1"/>
  <c r="CO1166" i="1"/>
  <c r="CP1166" i="1"/>
  <c r="CQ1166" i="1"/>
  <c r="G1167" i="1"/>
  <c r="U1167" i="1"/>
  <c r="W1167" i="1"/>
  <c r="AE1167" i="1"/>
  <c r="AK1167" i="1"/>
  <c r="AQ1167" i="1"/>
  <c r="AU1167" i="1"/>
  <c r="AV1167" i="1"/>
  <c r="AW1167" i="1"/>
  <c r="AX1167" i="1"/>
  <c r="AY1167" i="1"/>
  <c r="AZ1167" i="1"/>
  <c r="BA1167" i="1"/>
  <c r="BC1167" i="1"/>
  <c r="BD1167" i="1"/>
  <c r="BE1167" i="1"/>
  <c r="BF1167" i="1"/>
  <c r="BG1167" i="1"/>
  <c r="BH1167" i="1"/>
  <c r="BI1167" i="1"/>
  <c r="BJ1167" i="1"/>
  <c r="BM1167" i="1"/>
  <c r="CA1167" i="1"/>
  <c r="CN1167" i="1"/>
  <c r="CO1167" i="1"/>
  <c r="CP1167" i="1"/>
  <c r="CQ1167" i="1"/>
  <c r="G464" i="1"/>
  <c r="U464" i="1"/>
  <c r="W464" i="1"/>
  <c r="AE464" i="1"/>
  <c r="AK464" i="1"/>
  <c r="AQ464" i="1"/>
  <c r="AU464" i="1"/>
  <c r="AV464" i="1"/>
  <c r="AW464" i="1"/>
  <c r="AX464" i="1"/>
  <c r="AY464" i="1"/>
  <c r="AZ464" i="1"/>
  <c r="BA464" i="1"/>
  <c r="BC464" i="1"/>
  <c r="BD464" i="1"/>
  <c r="BE464" i="1"/>
  <c r="BF464" i="1"/>
  <c r="BG464" i="1"/>
  <c r="BH464" i="1"/>
  <c r="BI464" i="1"/>
  <c r="BJ464" i="1"/>
  <c r="BM464" i="1"/>
  <c r="CA464" i="1"/>
  <c r="CN464" i="1"/>
  <c r="CO464" i="1"/>
  <c r="CP464" i="1"/>
  <c r="CQ464" i="1"/>
  <c r="G1496" i="1"/>
  <c r="U1496" i="1"/>
  <c r="W1496" i="1"/>
  <c r="AE1496" i="1"/>
  <c r="AK1496" i="1"/>
  <c r="AQ1496" i="1"/>
  <c r="AU1496" i="1"/>
  <c r="AV1496" i="1"/>
  <c r="AW1496" i="1"/>
  <c r="AX1496" i="1"/>
  <c r="AY1496" i="1"/>
  <c r="AZ1496" i="1"/>
  <c r="BA1496" i="1"/>
  <c r="BC1496" i="1"/>
  <c r="BD1496" i="1"/>
  <c r="BE1496" i="1"/>
  <c r="BF1496" i="1"/>
  <c r="BG1496" i="1"/>
  <c r="BH1496" i="1"/>
  <c r="BI1496" i="1"/>
  <c r="BJ1496" i="1"/>
  <c r="BM1496" i="1"/>
  <c r="CA1496" i="1"/>
  <c r="CN1496" i="1"/>
  <c r="CO1496" i="1"/>
  <c r="CP1496" i="1"/>
  <c r="CQ1496" i="1"/>
  <c r="G1168" i="1"/>
  <c r="U1168" i="1"/>
  <c r="W1168" i="1"/>
  <c r="AE1168" i="1"/>
  <c r="AK1168" i="1"/>
  <c r="AQ1168" i="1"/>
  <c r="AU1168" i="1"/>
  <c r="AV1168" i="1"/>
  <c r="AW1168" i="1"/>
  <c r="AX1168" i="1"/>
  <c r="AY1168" i="1"/>
  <c r="AZ1168" i="1"/>
  <c r="BA1168" i="1"/>
  <c r="BC1168" i="1"/>
  <c r="BD1168" i="1"/>
  <c r="BE1168" i="1"/>
  <c r="BF1168" i="1"/>
  <c r="BG1168" i="1"/>
  <c r="BH1168" i="1"/>
  <c r="BI1168" i="1"/>
  <c r="BJ1168" i="1"/>
  <c r="BM1168" i="1"/>
  <c r="CA1168" i="1"/>
  <c r="CN1168" i="1"/>
  <c r="CO1168" i="1"/>
  <c r="CP1168" i="1"/>
  <c r="CQ1168" i="1"/>
  <c r="G294" i="1"/>
  <c r="U294" i="1"/>
  <c r="W294" i="1"/>
  <c r="AE294" i="1"/>
  <c r="AK294" i="1"/>
  <c r="AQ294" i="1"/>
  <c r="AU294" i="1"/>
  <c r="AV294" i="1"/>
  <c r="AW294" i="1"/>
  <c r="AX294" i="1"/>
  <c r="AY294" i="1"/>
  <c r="AZ294" i="1"/>
  <c r="BA294" i="1"/>
  <c r="BC294" i="1"/>
  <c r="BD294" i="1"/>
  <c r="BE294" i="1"/>
  <c r="BF294" i="1"/>
  <c r="BG294" i="1"/>
  <c r="BH294" i="1"/>
  <c r="BI294" i="1"/>
  <c r="BJ294" i="1"/>
  <c r="BM294" i="1"/>
  <c r="CA294" i="1"/>
  <c r="CN294" i="1"/>
  <c r="CO294" i="1"/>
  <c r="CP294" i="1"/>
  <c r="CQ294" i="1"/>
  <c r="G1169" i="1"/>
  <c r="U1169" i="1"/>
  <c r="W1169" i="1"/>
  <c r="AE1169" i="1"/>
  <c r="AK1169" i="1"/>
  <c r="AQ1169" i="1"/>
  <c r="AU1169" i="1"/>
  <c r="AV1169" i="1"/>
  <c r="AW1169" i="1"/>
  <c r="AX1169" i="1"/>
  <c r="AY1169" i="1"/>
  <c r="AZ1169" i="1"/>
  <c r="BA1169" i="1"/>
  <c r="BC1169" i="1"/>
  <c r="BD1169" i="1"/>
  <c r="BE1169" i="1"/>
  <c r="BF1169" i="1"/>
  <c r="BG1169" i="1"/>
  <c r="BH1169" i="1"/>
  <c r="BI1169" i="1"/>
  <c r="BJ1169" i="1"/>
  <c r="BM1169" i="1"/>
  <c r="CA1169" i="1"/>
  <c r="CN1169" i="1"/>
  <c r="CO1169" i="1"/>
  <c r="CP1169" i="1"/>
  <c r="CQ1169" i="1"/>
  <c r="G295" i="1"/>
  <c r="U295" i="1"/>
  <c r="W295" i="1"/>
  <c r="AE295" i="1"/>
  <c r="AK295" i="1"/>
  <c r="AQ295" i="1"/>
  <c r="AU295" i="1"/>
  <c r="AV295" i="1"/>
  <c r="AW295" i="1"/>
  <c r="AX295" i="1"/>
  <c r="AY295" i="1"/>
  <c r="AZ295" i="1"/>
  <c r="BA295" i="1"/>
  <c r="BC295" i="1"/>
  <c r="BD295" i="1"/>
  <c r="BE295" i="1"/>
  <c r="BF295" i="1"/>
  <c r="BG295" i="1"/>
  <c r="BH295" i="1"/>
  <c r="BI295" i="1"/>
  <c r="BJ295" i="1"/>
  <c r="BM295" i="1"/>
  <c r="CA295" i="1"/>
  <c r="CN295" i="1"/>
  <c r="CO295" i="1"/>
  <c r="CP295" i="1"/>
  <c r="CQ295" i="1"/>
  <c r="G465" i="1"/>
  <c r="U465" i="1"/>
  <c r="W465" i="1"/>
  <c r="AE465" i="1"/>
  <c r="AK465" i="1"/>
  <c r="AQ465" i="1"/>
  <c r="AU465" i="1"/>
  <c r="AV465" i="1"/>
  <c r="AW465" i="1"/>
  <c r="AX465" i="1"/>
  <c r="AY465" i="1"/>
  <c r="AZ465" i="1"/>
  <c r="BA465" i="1"/>
  <c r="BC465" i="1"/>
  <c r="BD465" i="1"/>
  <c r="BE465" i="1"/>
  <c r="BF465" i="1"/>
  <c r="BG465" i="1"/>
  <c r="BH465" i="1"/>
  <c r="BI465" i="1"/>
  <c r="BJ465" i="1"/>
  <c r="BM465" i="1"/>
  <c r="CA465" i="1"/>
  <c r="CN465" i="1"/>
  <c r="CO465" i="1"/>
  <c r="CP465" i="1"/>
  <c r="CQ465" i="1"/>
  <c r="G1170" i="1"/>
  <c r="U1170" i="1"/>
  <c r="W1170" i="1"/>
  <c r="AE1170" i="1"/>
  <c r="AK1170" i="1"/>
  <c r="AQ1170" i="1"/>
  <c r="AU1170" i="1"/>
  <c r="AV1170" i="1"/>
  <c r="AW1170" i="1"/>
  <c r="AX1170" i="1"/>
  <c r="AY1170" i="1"/>
  <c r="AZ1170" i="1"/>
  <c r="BA1170" i="1"/>
  <c r="BC1170" i="1"/>
  <c r="BD1170" i="1"/>
  <c r="BE1170" i="1"/>
  <c r="BF1170" i="1"/>
  <c r="BG1170" i="1"/>
  <c r="BH1170" i="1"/>
  <c r="BI1170" i="1"/>
  <c r="BJ1170" i="1"/>
  <c r="BM1170" i="1"/>
  <c r="CA1170" i="1"/>
  <c r="CN1170" i="1"/>
  <c r="CO1170" i="1"/>
  <c r="CP1170" i="1"/>
  <c r="CQ1170" i="1"/>
  <c r="G1171" i="1"/>
  <c r="U1171" i="1"/>
  <c r="W1171" i="1"/>
  <c r="AE1171" i="1"/>
  <c r="AK1171" i="1"/>
  <c r="AQ1171" i="1"/>
  <c r="AU1171" i="1"/>
  <c r="AV1171" i="1"/>
  <c r="AW1171" i="1"/>
  <c r="AX1171" i="1"/>
  <c r="AY1171" i="1"/>
  <c r="AZ1171" i="1"/>
  <c r="BA1171" i="1"/>
  <c r="BC1171" i="1"/>
  <c r="BD1171" i="1"/>
  <c r="BE1171" i="1"/>
  <c r="BF1171" i="1"/>
  <c r="BG1171" i="1"/>
  <c r="BH1171" i="1"/>
  <c r="BI1171" i="1"/>
  <c r="BJ1171" i="1"/>
  <c r="BM1171" i="1"/>
  <c r="CA1171" i="1"/>
  <c r="CN1171" i="1"/>
  <c r="CO1171" i="1"/>
  <c r="CP1171" i="1"/>
  <c r="CQ1171" i="1"/>
  <c r="G1172" i="1"/>
  <c r="U1172" i="1"/>
  <c r="W1172" i="1"/>
  <c r="AE1172" i="1"/>
  <c r="AK1172" i="1"/>
  <c r="AQ1172" i="1"/>
  <c r="AU1172" i="1"/>
  <c r="AV1172" i="1"/>
  <c r="AW1172" i="1"/>
  <c r="AX1172" i="1"/>
  <c r="AY1172" i="1"/>
  <c r="AZ1172" i="1"/>
  <c r="BA1172" i="1"/>
  <c r="BC1172" i="1"/>
  <c r="BD1172" i="1"/>
  <c r="BE1172" i="1"/>
  <c r="BF1172" i="1"/>
  <c r="BG1172" i="1"/>
  <c r="BH1172" i="1"/>
  <c r="BI1172" i="1"/>
  <c r="BJ1172" i="1"/>
  <c r="BM1172" i="1"/>
  <c r="CA1172" i="1"/>
  <c r="CN1172" i="1"/>
  <c r="CO1172" i="1"/>
  <c r="CP1172" i="1"/>
  <c r="CQ1172" i="1"/>
  <c r="G466" i="1"/>
  <c r="U466" i="1"/>
  <c r="W466" i="1"/>
  <c r="AE466" i="1"/>
  <c r="AK466" i="1"/>
  <c r="AQ466" i="1"/>
  <c r="AU466" i="1"/>
  <c r="AV466" i="1"/>
  <c r="AW466" i="1"/>
  <c r="AX466" i="1"/>
  <c r="AY466" i="1"/>
  <c r="AZ466" i="1"/>
  <c r="BA466" i="1"/>
  <c r="BC466" i="1"/>
  <c r="BD466" i="1"/>
  <c r="BE466" i="1"/>
  <c r="BF466" i="1"/>
  <c r="BG466" i="1"/>
  <c r="BH466" i="1"/>
  <c r="BI466" i="1"/>
  <c r="BJ466" i="1"/>
  <c r="BM466" i="1"/>
  <c r="CA466" i="1"/>
  <c r="CN466" i="1"/>
  <c r="CO466" i="1"/>
  <c r="CP466" i="1"/>
  <c r="CQ466" i="1"/>
  <c r="G1173" i="1"/>
  <c r="U1173" i="1"/>
  <c r="W1173" i="1"/>
  <c r="AE1173" i="1"/>
  <c r="AK1173" i="1"/>
  <c r="AQ1173" i="1"/>
  <c r="AU1173" i="1"/>
  <c r="AV1173" i="1"/>
  <c r="AW1173" i="1"/>
  <c r="AX1173" i="1"/>
  <c r="AY1173" i="1"/>
  <c r="AZ1173" i="1"/>
  <c r="BA1173" i="1"/>
  <c r="BC1173" i="1"/>
  <c r="BD1173" i="1"/>
  <c r="BE1173" i="1"/>
  <c r="BF1173" i="1"/>
  <c r="BG1173" i="1"/>
  <c r="BH1173" i="1"/>
  <c r="BI1173" i="1"/>
  <c r="BJ1173" i="1"/>
  <c r="BM1173" i="1"/>
  <c r="CA1173" i="1"/>
  <c r="CN1173" i="1"/>
  <c r="CO1173" i="1"/>
  <c r="CP1173" i="1"/>
  <c r="CQ1173" i="1"/>
  <c r="G1174" i="1"/>
  <c r="U1174" i="1"/>
  <c r="W1174" i="1"/>
  <c r="AE1174" i="1"/>
  <c r="AK1174" i="1"/>
  <c r="AQ1174" i="1"/>
  <c r="AU1174" i="1"/>
  <c r="AV1174" i="1"/>
  <c r="AW1174" i="1"/>
  <c r="AX1174" i="1"/>
  <c r="AY1174" i="1"/>
  <c r="AZ1174" i="1"/>
  <c r="BA1174" i="1"/>
  <c r="BC1174" i="1"/>
  <c r="BD1174" i="1"/>
  <c r="BE1174" i="1"/>
  <c r="BF1174" i="1"/>
  <c r="BG1174" i="1"/>
  <c r="BH1174" i="1"/>
  <c r="BI1174" i="1"/>
  <c r="BJ1174" i="1"/>
  <c r="BM1174" i="1"/>
  <c r="CA1174" i="1"/>
  <c r="CN1174" i="1"/>
  <c r="CO1174" i="1"/>
  <c r="CP1174" i="1"/>
  <c r="CQ1174" i="1"/>
  <c r="G1175" i="1"/>
  <c r="U1175" i="1"/>
  <c r="W1175" i="1"/>
  <c r="AE1175" i="1"/>
  <c r="AK1175" i="1"/>
  <c r="AQ1175" i="1"/>
  <c r="AU1175" i="1"/>
  <c r="AV1175" i="1"/>
  <c r="AW1175" i="1"/>
  <c r="AX1175" i="1"/>
  <c r="AY1175" i="1"/>
  <c r="AZ1175" i="1"/>
  <c r="BA1175" i="1"/>
  <c r="BC1175" i="1"/>
  <c r="BD1175" i="1"/>
  <c r="BE1175" i="1"/>
  <c r="BF1175" i="1"/>
  <c r="BG1175" i="1"/>
  <c r="BH1175" i="1"/>
  <c r="BI1175" i="1"/>
  <c r="BJ1175" i="1"/>
  <c r="BM1175" i="1"/>
  <c r="CA1175" i="1"/>
  <c r="CN1175" i="1"/>
  <c r="CO1175" i="1"/>
  <c r="CP1175" i="1"/>
  <c r="CQ1175" i="1"/>
  <c r="G1176" i="1"/>
  <c r="U1176" i="1"/>
  <c r="W1176" i="1"/>
  <c r="AE1176" i="1"/>
  <c r="AK1176" i="1"/>
  <c r="AQ1176" i="1"/>
  <c r="AU1176" i="1"/>
  <c r="AV1176" i="1"/>
  <c r="AW1176" i="1"/>
  <c r="AX1176" i="1"/>
  <c r="AY1176" i="1"/>
  <c r="AZ1176" i="1"/>
  <c r="BA1176" i="1"/>
  <c r="BC1176" i="1"/>
  <c r="BD1176" i="1"/>
  <c r="BE1176" i="1"/>
  <c r="BF1176" i="1"/>
  <c r="BG1176" i="1"/>
  <c r="BH1176" i="1"/>
  <c r="BI1176" i="1"/>
  <c r="BJ1176" i="1"/>
  <c r="BM1176" i="1"/>
  <c r="CA1176" i="1"/>
  <c r="CN1176" i="1"/>
  <c r="CO1176" i="1"/>
  <c r="CP1176" i="1"/>
  <c r="CQ1176" i="1"/>
  <c r="G296" i="1"/>
  <c r="U296" i="1"/>
  <c r="W296" i="1"/>
  <c r="AE296" i="1"/>
  <c r="AK296" i="1"/>
  <c r="AQ296" i="1"/>
  <c r="AU296" i="1"/>
  <c r="AV296" i="1"/>
  <c r="AW296" i="1"/>
  <c r="AX296" i="1"/>
  <c r="AY296" i="1"/>
  <c r="AZ296" i="1"/>
  <c r="BA296" i="1"/>
  <c r="BC296" i="1"/>
  <c r="BD296" i="1"/>
  <c r="BE296" i="1"/>
  <c r="BF296" i="1"/>
  <c r="BG296" i="1"/>
  <c r="BH296" i="1"/>
  <c r="BI296" i="1"/>
  <c r="BJ296" i="1"/>
  <c r="BM296" i="1"/>
  <c r="CA296" i="1"/>
  <c r="CN296" i="1"/>
  <c r="CO296" i="1"/>
  <c r="CP296" i="1"/>
  <c r="CQ296" i="1"/>
  <c r="G1497" i="1"/>
  <c r="U1497" i="1"/>
  <c r="W1497" i="1"/>
  <c r="AE1497" i="1"/>
  <c r="AK1497" i="1"/>
  <c r="AQ1497" i="1"/>
  <c r="AU1497" i="1"/>
  <c r="AV1497" i="1"/>
  <c r="AW1497" i="1"/>
  <c r="AX1497" i="1"/>
  <c r="AY1497" i="1"/>
  <c r="AZ1497" i="1"/>
  <c r="BA1497" i="1"/>
  <c r="BC1497" i="1"/>
  <c r="BD1497" i="1"/>
  <c r="BE1497" i="1"/>
  <c r="BF1497" i="1"/>
  <c r="BG1497" i="1"/>
  <c r="BH1497" i="1"/>
  <c r="BI1497" i="1"/>
  <c r="BJ1497" i="1"/>
  <c r="BM1497" i="1"/>
  <c r="CA1497" i="1"/>
  <c r="CN1497" i="1"/>
  <c r="CO1497" i="1"/>
  <c r="CP1497" i="1"/>
  <c r="CQ1497" i="1"/>
  <c r="G1177" i="1"/>
  <c r="U1177" i="1"/>
  <c r="W1177" i="1"/>
  <c r="AE1177" i="1"/>
  <c r="AK1177" i="1"/>
  <c r="AQ1177" i="1"/>
  <c r="AU1177" i="1"/>
  <c r="AV1177" i="1"/>
  <c r="AW1177" i="1"/>
  <c r="AX1177" i="1"/>
  <c r="AY1177" i="1"/>
  <c r="AZ1177" i="1"/>
  <c r="BA1177" i="1"/>
  <c r="BC1177" i="1"/>
  <c r="BD1177" i="1"/>
  <c r="BE1177" i="1"/>
  <c r="BF1177" i="1"/>
  <c r="BG1177" i="1"/>
  <c r="BH1177" i="1"/>
  <c r="BI1177" i="1"/>
  <c r="BJ1177" i="1"/>
  <c r="BM1177" i="1"/>
  <c r="CA1177" i="1"/>
  <c r="CN1177" i="1"/>
  <c r="CO1177" i="1"/>
  <c r="CP1177" i="1"/>
  <c r="CQ1177" i="1"/>
  <c r="G1178" i="1"/>
  <c r="U1178" i="1"/>
  <c r="W1178" i="1"/>
  <c r="AE1178" i="1"/>
  <c r="AK1178" i="1"/>
  <c r="AQ1178" i="1"/>
  <c r="AU1178" i="1"/>
  <c r="AV1178" i="1"/>
  <c r="AW1178" i="1"/>
  <c r="AX1178" i="1"/>
  <c r="AY1178" i="1"/>
  <c r="AZ1178" i="1"/>
  <c r="BA1178" i="1"/>
  <c r="BC1178" i="1"/>
  <c r="BD1178" i="1"/>
  <c r="BE1178" i="1"/>
  <c r="BF1178" i="1"/>
  <c r="BG1178" i="1"/>
  <c r="BH1178" i="1"/>
  <c r="BI1178" i="1"/>
  <c r="BJ1178" i="1"/>
  <c r="BM1178" i="1"/>
  <c r="CA1178" i="1"/>
  <c r="CN1178" i="1"/>
  <c r="CO1178" i="1"/>
  <c r="CP1178" i="1"/>
  <c r="CQ1178" i="1"/>
  <c r="G297" i="1"/>
  <c r="U297" i="1"/>
  <c r="W297" i="1"/>
  <c r="AE297" i="1"/>
  <c r="AK297" i="1"/>
  <c r="AQ297" i="1"/>
  <c r="AU297" i="1"/>
  <c r="AV297" i="1"/>
  <c r="AW297" i="1"/>
  <c r="AX297" i="1"/>
  <c r="AY297" i="1"/>
  <c r="AZ297" i="1"/>
  <c r="BA297" i="1"/>
  <c r="BC297" i="1"/>
  <c r="BD297" i="1"/>
  <c r="BE297" i="1"/>
  <c r="BF297" i="1"/>
  <c r="BG297" i="1"/>
  <c r="BH297" i="1"/>
  <c r="BI297" i="1"/>
  <c r="BJ297" i="1"/>
  <c r="BM297" i="1"/>
  <c r="CA297" i="1"/>
  <c r="CN297" i="1"/>
  <c r="CO297" i="1"/>
  <c r="CP297" i="1"/>
  <c r="CQ297" i="1"/>
  <c r="G467" i="1"/>
  <c r="U467" i="1"/>
  <c r="W467" i="1"/>
  <c r="AE467" i="1"/>
  <c r="AK467" i="1"/>
  <c r="AQ467" i="1"/>
  <c r="AU467" i="1"/>
  <c r="AV467" i="1"/>
  <c r="AW467" i="1"/>
  <c r="AX467" i="1"/>
  <c r="AY467" i="1"/>
  <c r="AZ467" i="1"/>
  <c r="BA467" i="1"/>
  <c r="BC467" i="1"/>
  <c r="BD467" i="1"/>
  <c r="BE467" i="1"/>
  <c r="BF467" i="1"/>
  <c r="BG467" i="1"/>
  <c r="BH467" i="1"/>
  <c r="BI467" i="1"/>
  <c r="BJ467" i="1"/>
  <c r="BM467" i="1"/>
  <c r="CA467" i="1"/>
  <c r="CN467" i="1"/>
  <c r="CO467" i="1"/>
  <c r="CP467" i="1"/>
  <c r="CQ467" i="1"/>
  <c r="G298" i="1"/>
  <c r="U298" i="1"/>
  <c r="W298" i="1"/>
  <c r="AE298" i="1"/>
  <c r="AK298" i="1"/>
  <c r="AQ298" i="1"/>
  <c r="AU298" i="1"/>
  <c r="AV298" i="1"/>
  <c r="AW298" i="1"/>
  <c r="AX298" i="1"/>
  <c r="AY298" i="1"/>
  <c r="AZ298" i="1"/>
  <c r="BA298" i="1"/>
  <c r="BC298" i="1"/>
  <c r="BD298" i="1"/>
  <c r="BE298" i="1"/>
  <c r="BF298" i="1"/>
  <c r="BG298" i="1"/>
  <c r="BH298" i="1"/>
  <c r="BI298" i="1"/>
  <c r="BJ298" i="1"/>
  <c r="BM298" i="1"/>
  <c r="CA298" i="1"/>
  <c r="CN298" i="1"/>
  <c r="CO298" i="1"/>
  <c r="CP298" i="1"/>
  <c r="CQ298" i="1"/>
  <c r="G1498" i="1"/>
  <c r="U1498" i="1"/>
  <c r="W1498" i="1"/>
  <c r="AE1498" i="1"/>
  <c r="AK1498" i="1"/>
  <c r="AQ1498" i="1"/>
  <c r="AU1498" i="1"/>
  <c r="AV1498" i="1"/>
  <c r="AW1498" i="1"/>
  <c r="AX1498" i="1"/>
  <c r="AY1498" i="1"/>
  <c r="AZ1498" i="1"/>
  <c r="BA1498" i="1"/>
  <c r="BC1498" i="1"/>
  <c r="BD1498" i="1"/>
  <c r="BE1498" i="1"/>
  <c r="BF1498" i="1"/>
  <c r="BG1498" i="1"/>
  <c r="BH1498" i="1"/>
  <c r="BI1498" i="1"/>
  <c r="BJ1498" i="1"/>
  <c r="BM1498" i="1"/>
  <c r="CA1498" i="1"/>
  <c r="CN1498" i="1"/>
  <c r="CO1498" i="1"/>
  <c r="CP1498" i="1"/>
  <c r="CQ1498" i="1"/>
  <c r="G1499" i="1"/>
  <c r="U1499" i="1"/>
  <c r="W1499" i="1"/>
  <c r="AE1499" i="1"/>
  <c r="AK1499" i="1"/>
  <c r="AQ1499" i="1"/>
  <c r="AU1499" i="1"/>
  <c r="AV1499" i="1"/>
  <c r="AW1499" i="1"/>
  <c r="AX1499" i="1"/>
  <c r="AY1499" i="1"/>
  <c r="AZ1499" i="1"/>
  <c r="BA1499" i="1"/>
  <c r="BC1499" i="1"/>
  <c r="BD1499" i="1"/>
  <c r="BE1499" i="1"/>
  <c r="BF1499" i="1"/>
  <c r="BG1499" i="1"/>
  <c r="BH1499" i="1"/>
  <c r="BI1499" i="1"/>
  <c r="BJ1499" i="1"/>
  <c r="BM1499" i="1"/>
  <c r="CA1499" i="1"/>
  <c r="CN1499" i="1"/>
  <c r="CO1499" i="1"/>
  <c r="CP1499" i="1"/>
  <c r="CQ1499" i="1"/>
  <c r="G299" i="1"/>
  <c r="U299" i="1"/>
  <c r="W299" i="1"/>
  <c r="AE299" i="1"/>
  <c r="AK299" i="1"/>
  <c r="AQ299" i="1"/>
  <c r="AU299" i="1"/>
  <c r="AV299" i="1"/>
  <c r="AW299" i="1"/>
  <c r="AX299" i="1"/>
  <c r="AY299" i="1"/>
  <c r="AZ299" i="1"/>
  <c r="BA299" i="1"/>
  <c r="BC299" i="1"/>
  <c r="BD299" i="1"/>
  <c r="BE299" i="1"/>
  <c r="BF299" i="1"/>
  <c r="BG299" i="1"/>
  <c r="BH299" i="1"/>
  <c r="BI299" i="1"/>
  <c r="BJ299" i="1"/>
  <c r="BM299" i="1"/>
  <c r="CA299" i="1"/>
  <c r="CN299" i="1"/>
  <c r="CO299" i="1"/>
  <c r="CP299" i="1"/>
  <c r="CQ299" i="1"/>
  <c r="G1179" i="1"/>
  <c r="U1179" i="1"/>
  <c r="W1179" i="1"/>
  <c r="AE1179" i="1"/>
  <c r="AK1179" i="1"/>
  <c r="AQ1179" i="1"/>
  <c r="AU1179" i="1"/>
  <c r="AV1179" i="1"/>
  <c r="AW1179" i="1"/>
  <c r="AX1179" i="1"/>
  <c r="AY1179" i="1"/>
  <c r="AZ1179" i="1"/>
  <c r="BA1179" i="1"/>
  <c r="BC1179" i="1"/>
  <c r="BD1179" i="1"/>
  <c r="BE1179" i="1"/>
  <c r="BF1179" i="1"/>
  <c r="BG1179" i="1"/>
  <c r="BH1179" i="1"/>
  <c r="BI1179" i="1"/>
  <c r="BJ1179" i="1"/>
  <c r="BM1179" i="1"/>
  <c r="CA1179" i="1"/>
  <c r="CN1179" i="1"/>
  <c r="CO1179" i="1"/>
  <c r="CP1179" i="1"/>
  <c r="CQ1179" i="1"/>
  <c r="G1180" i="1"/>
  <c r="U1180" i="1"/>
  <c r="W1180" i="1"/>
  <c r="AE1180" i="1"/>
  <c r="AK1180" i="1"/>
  <c r="AQ1180" i="1"/>
  <c r="AU1180" i="1"/>
  <c r="AV1180" i="1"/>
  <c r="AW1180" i="1"/>
  <c r="AX1180" i="1"/>
  <c r="AY1180" i="1"/>
  <c r="AZ1180" i="1"/>
  <c r="BA1180" i="1"/>
  <c r="BC1180" i="1"/>
  <c r="BD1180" i="1"/>
  <c r="BE1180" i="1"/>
  <c r="BF1180" i="1"/>
  <c r="BG1180" i="1"/>
  <c r="BH1180" i="1"/>
  <c r="BI1180" i="1"/>
  <c r="BJ1180" i="1"/>
  <c r="BM1180" i="1"/>
  <c r="CA1180" i="1"/>
  <c r="CN1180" i="1"/>
  <c r="CO1180" i="1"/>
  <c r="CP1180" i="1"/>
  <c r="CQ1180" i="1"/>
  <c r="G1181" i="1"/>
  <c r="U1181" i="1"/>
  <c r="W1181" i="1"/>
  <c r="AE1181" i="1"/>
  <c r="AK1181" i="1"/>
  <c r="AQ1181" i="1"/>
  <c r="AU1181" i="1"/>
  <c r="AV1181" i="1"/>
  <c r="AW1181" i="1"/>
  <c r="AX1181" i="1"/>
  <c r="AY1181" i="1"/>
  <c r="AZ1181" i="1"/>
  <c r="BA1181" i="1"/>
  <c r="BC1181" i="1"/>
  <c r="BD1181" i="1"/>
  <c r="BE1181" i="1"/>
  <c r="BF1181" i="1"/>
  <c r="BG1181" i="1"/>
  <c r="BH1181" i="1"/>
  <c r="BI1181" i="1"/>
  <c r="BJ1181" i="1"/>
  <c r="BM1181" i="1"/>
  <c r="CA1181" i="1"/>
  <c r="CN1181" i="1"/>
  <c r="CO1181" i="1"/>
  <c r="CP1181" i="1"/>
  <c r="CQ1181" i="1"/>
  <c r="G300" i="1"/>
  <c r="U300" i="1"/>
  <c r="W300" i="1"/>
  <c r="AE300" i="1"/>
  <c r="AK300" i="1"/>
  <c r="AQ300" i="1"/>
  <c r="AU300" i="1"/>
  <c r="AV300" i="1"/>
  <c r="AW300" i="1"/>
  <c r="AX300" i="1"/>
  <c r="AY300" i="1"/>
  <c r="AZ300" i="1"/>
  <c r="BA300" i="1"/>
  <c r="BC300" i="1"/>
  <c r="BD300" i="1"/>
  <c r="BE300" i="1"/>
  <c r="BF300" i="1"/>
  <c r="BG300" i="1"/>
  <c r="BH300" i="1"/>
  <c r="BI300" i="1"/>
  <c r="BJ300" i="1"/>
  <c r="BM300" i="1"/>
  <c r="CA300" i="1"/>
  <c r="CN300" i="1"/>
  <c r="CO300" i="1"/>
  <c r="CP300" i="1"/>
  <c r="CQ300" i="1"/>
  <c r="G468" i="1"/>
  <c r="U468" i="1"/>
  <c r="W468" i="1"/>
  <c r="AE468" i="1"/>
  <c r="AK468" i="1"/>
  <c r="AQ468" i="1"/>
  <c r="AU468" i="1"/>
  <c r="AV468" i="1"/>
  <c r="AW468" i="1"/>
  <c r="AX468" i="1"/>
  <c r="AY468" i="1"/>
  <c r="AZ468" i="1"/>
  <c r="BA468" i="1"/>
  <c r="BC468" i="1"/>
  <c r="BD468" i="1"/>
  <c r="BE468" i="1"/>
  <c r="BF468" i="1"/>
  <c r="BG468" i="1"/>
  <c r="BH468" i="1"/>
  <c r="BI468" i="1"/>
  <c r="BJ468" i="1"/>
  <c r="BM468" i="1"/>
  <c r="CA468" i="1"/>
  <c r="CN468" i="1"/>
  <c r="CO468" i="1"/>
  <c r="CP468" i="1"/>
  <c r="CQ468" i="1"/>
  <c r="G301" i="1"/>
  <c r="U301" i="1"/>
  <c r="W301" i="1"/>
  <c r="AE301" i="1"/>
  <c r="AK301" i="1"/>
  <c r="AQ301" i="1"/>
  <c r="AU301" i="1"/>
  <c r="AV301" i="1"/>
  <c r="AW301" i="1"/>
  <c r="AX301" i="1"/>
  <c r="AY301" i="1"/>
  <c r="AZ301" i="1"/>
  <c r="BA301" i="1"/>
  <c r="BC301" i="1"/>
  <c r="BD301" i="1"/>
  <c r="BE301" i="1"/>
  <c r="BF301" i="1"/>
  <c r="BG301" i="1"/>
  <c r="BH301" i="1"/>
  <c r="BI301" i="1"/>
  <c r="BJ301" i="1"/>
  <c r="BM301" i="1"/>
  <c r="CA301" i="1"/>
  <c r="CN301" i="1"/>
  <c r="CO301" i="1"/>
  <c r="CP301" i="1"/>
  <c r="CQ301" i="1"/>
  <c r="G1182" i="1"/>
  <c r="U1182" i="1"/>
  <c r="W1182" i="1"/>
  <c r="AE1182" i="1"/>
  <c r="AK1182" i="1"/>
  <c r="AQ1182" i="1"/>
  <c r="AU1182" i="1"/>
  <c r="AV1182" i="1"/>
  <c r="AW1182" i="1"/>
  <c r="AX1182" i="1"/>
  <c r="AY1182" i="1"/>
  <c r="AZ1182" i="1"/>
  <c r="BA1182" i="1"/>
  <c r="BC1182" i="1"/>
  <c r="BD1182" i="1"/>
  <c r="BE1182" i="1"/>
  <c r="BF1182" i="1"/>
  <c r="BG1182" i="1"/>
  <c r="BH1182" i="1"/>
  <c r="BI1182" i="1"/>
  <c r="BJ1182" i="1"/>
  <c r="BM1182" i="1"/>
  <c r="CA1182" i="1"/>
  <c r="CN1182" i="1"/>
  <c r="CO1182" i="1"/>
  <c r="CP1182" i="1"/>
  <c r="CQ1182" i="1"/>
  <c r="G1500" i="1"/>
  <c r="U1500" i="1"/>
  <c r="W1500" i="1"/>
  <c r="AE1500" i="1"/>
  <c r="AK1500" i="1"/>
  <c r="AQ1500" i="1"/>
  <c r="AU1500" i="1"/>
  <c r="AV1500" i="1"/>
  <c r="AW1500" i="1"/>
  <c r="AX1500" i="1"/>
  <c r="AY1500" i="1"/>
  <c r="AZ1500" i="1"/>
  <c r="BA1500" i="1"/>
  <c r="BC1500" i="1"/>
  <c r="BD1500" i="1"/>
  <c r="BE1500" i="1"/>
  <c r="BF1500" i="1"/>
  <c r="BG1500" i="1"/>
  <c r="BH1500" i="1"/>
  <c r="BI1500" i="1"/>
  <c r="BJ1500" i="1"/>
  <c r="BM1500" i="1"/>
  <c r="CA1500" i="1"/>
  <c r="CN1500" i="1"/>
  <c r="CO1500" i="1"/>
  <c r="CP1500" i="1"/>
  <c r="CQ1500" i="1"/>
  <c r="G1183" i="1"/>
  <c r="U1183" i="1"/>
  <c r="W1183" i="1"/>
  <c r="AE1183" i="1"/>
  <c r="AK1183" i="1"/>
  <c r="AQ1183" i="1"/>
  <c r="AU1183" i="1"/>
  <c r="AV1183" i="1"/>
  <c r="AW1183" i="1"/>
  <c r="AX1183" i="1"/>
  <c r="AY1183" i="1"/>
  <c r="AZ1183" i="1"/>
  <c r="BA1183" i="1"/>
  <c r="BC1183" i="1"/>
  <c r="BD1183" i="1"/>
  <c r="BE1183" i="1"/>
  <c r="BF1183" i="1"/>
  <c r="BG1183" i="1"/>
  <c r="BH1183" i="1"/>
  <c r="BI1183" i="1"/>
  <c r="BJ1183" i="1"/>
  <c r="BM1183" i="1"/>
  <c r="CA1183" i="1"/>
  <c r="CN1183" i="1"/>
  <c r="CO1183" i="1"/>
  <c r="CP1183" i="1"/>
  <c r="CQ1183" i="1"/>
  <c r="G1184" i="1"/>
  <c r="U1184" i="1"/>
  <c r="W1184" i="1"/>
  <c r="AE1184" i="1"/>
  <c r="AK1184" i="1"/>
  <c r="AQ1184" i="1"/>
  <c r="AU1184" i="1"/>
  <c r="AV1184" i="1"/>
  <c r="AW1184" i="1"/>
  <c r="AX1184" i="1"/>
  <c r="AY1184" i="1"/>
  <c r="AZ1184" i="1"/>
  <c r="BA1184" i="1"/>
  <c r="BC1184" i="1"/>
  <c r="BD1184" i="1"/>
  <c r="BE1184" i="1"/>
  <c r="BF1184" i="1"/>
  <c r="BG1184" i="1"/>
  <c r="BH1184" i="1"/>
  <c r="BI1184" i="1"/>
  <c r="BJ1184" i="1"/>
  <c r="BM1184" i="1"/>
  <c r="CA1184" i="1"/>
  <c r="CN1184" i="1"/>
  <c r="CO1184" i="1"/>
  <c r="CP1184" i="1"/>
  <c r="CQ1184" i="1"/>
  <c r="G469" i="1"/>
  <c r="U469" i="1"/>
  <c r="W469" i="1"/>
  <c r="AE469" i="1"/>
  <c r="AK469" i="1"/>
  <c r="AQ469" i="1"/>
  <c r="AU469" i="1"/>
  <c r="AV469" i="1"/>
  <c r="AW469" i="1"/>
  <c r="AX469" i="1"/>
  <c r="AY469" i="1"/>
  <c r="AZ469" i="1"/>
  <c r="BA469" i="1"/>
  <c r="BC469" i="1"/>
  <c r="BD469" i="1"/>
  <c r="BE469" i="1"/>
  <c r="BF469" i="1"/>
  <c r="BG469" i="1"/>
  <c r="BH469" i="1"/>
  <c r="BI469" i="1"/>
  <c r="BJ469" i="1"/>
  <c r="BM469" i="1"/>
  <c r="CA469" i="1"/>
  <c r="CN469" i="1"/>
  <c r="CO469" i="1"/>
  <c r="CP469" i="1"/>
  <c r="CQ469" i="1"/>
  <c r="G470" i="1"/>
  <c r="U470" i="1"/>
  <c r="W470" i="1"/>
  <c r="AE470" i="1"/>
  <c r="AK470" i="1"/>
  <c r="AQ470" i="1"/>
  <c r="AU470" i="1"/>
  <c r="AV470" i="1"/>
  <c r="AW470" i="1"/>
  <c r="AX470" i="1"/>
  <c r="AY470" i="1"/>
  <c r="AZ470" i="1"/>
  <c r="BA470" i="1"/>
  <c r="BC470" i="1"/>
  <c r="BD470" i="1"/>
  <c r="BE470" i="1"/>
  <c r="BF470" i="1"/>
  <c r="BG470" i="1"/>
  <c r="BH470" i="1"/>
  <c r="BI470" i="1"/>
  <c r="BJ470" i="1"/>
  <c r="BM470" i="1"/>
  <c r="CA470" i="1"/>
  <c r="CN470" i="1"/>
  <c r="CO470" i="1"/>
  <c r="CP470" i="1"/>
  <c r="CQ470" i="1"/>
  <c r="G1185" i="1"/>
  <c r="U1185" i="1"/>
  <c r="W1185" i="1"/>
  <c r="AE1185" i="1"/>
  <c r="AK1185" i="1"/>
  <c r="AQ1185" i="1"/>
  <c r="AU1185" i="1"/>
  <c r="AV1185" i="1"/>
  <c r="AW1185" i="1"/>
  <c r="AX1185" i="1"/>
  <c r="AY1185" i="1"/>
  <c r="AZ1185" i="1"/>
  <c r="BA1185" i="1"/>
  <c r="BC1185" i="1"/>
  <c r="BD1185" i="1"/>
  <c r="BE1185" i="1"/>
  <c r="BF1185" i="1"/>
  <c r="BG1185" i="1"/>
  <c r="BH1185" i="1"/>
  <c r="BI1185" i="1"/>
  <c r="BJ1185" i="1"/>
  <c r="BM1185" i="1"/>
  <c r="CA1185" i="1"/>
  <c r="CN1185" i="1"/>
  <c r="CO1185" i="1"/>
  <c r="CP1185" i="1"/>
  <c r="CQ1185" i="1"/>
  <c r="G1186" i="1"/>
  <c r="U1186" i="1"/>
  <c r="W1186" i="1"/>
  <c r="AE1186" i="1"/>
  <c r="AK1186" i="1"/>
  <c r="AQ1186" i="1"/>
  <c r="AU1186" i="1"/>
  <c r="AV1186" i="1"/>
  <c r="AW1186" i="1"/>
  <c r="AX1186" i="1"/>
  <c r="AY1186" i="1"/>
  <c r="AZ1186" i="1"/>
  <c r="BA1186" i="1"/>
  <c r="BC1186" i="1"/>
  <c r="BD1186" i="1"/>
  <c r="BE1186" i="1"/>
  <c r="BF1186" i="1"/>
  <c r="BG1186" i="1"/>
  <c r="BH1186" i="1"/>
  <c r="BI1186" i="1"/>
  <c r="BJ1186" i="1"/>
  <c r="BM1186" i="1"/>
  <c r="CA1186" i="1"/>
  <c r="CN1186" i="1"/>
  <c r="CO1186" i="1"/>
  <c r="CP1186" i="1"/>
  <c r="CQ1186" i="1"/>
  <c r="G302" i="1"/>
  <c r="U302" i="1"/>
  <c r="W302" i="1"/>
  <c r="AE302" i="1"/>
  <c r="AK302" i="1"/>
  <c r="AQ302" i="1"/>
  <c r="AU302" i="1"/>
  <c r="AV302" i="1"/>
  <c r="AW302" i="1"/>
  <c r="AX302" i="1"/>
  <c r="AY302" i="1"/>
  <c r="AZ302" i="1"/>
  <c r="BA302" i="1"/>
  <c r="BC302" i="1"/>
  <c r="BD302" i="1"/>
  <c r="BE302" i="1"/>
  <c r="BF302" i="1"/>
  <c r="BG302" i="1"/>
  <c r="BH302" i="1"/>
  <c r="BI302" i="1"/>
  <c r="BJ302" i="1"/>
  <c r="BM302" i="1"/>
  <c r="CA302" i="1"/>
  <c r="CN302" i="1"/>
  <c r="CO302" i="1"/>
  <c r="CP302" i="1"/>
  <c r="CQ302" i="1"/>
  <c r="G1187" i="1"/>
  <c r="U1187" i="1"/>
  <c r="W1187" i="1"/>
  <c r="AE1187" i="1"/>
  <c r="AK1187" i="1"/>
  <c r="AQ1187" i="1"/>
  <c r="AU1187" i="1"/>
  <c r="AV1187" i="1"/>
  <c r="AW1187" i="1"/>
  <c r="AX1187" i="1"/>
  <c r="AY1187" i="1"/>
  <c r="AZ1187" i="1"/>
  <c r="BA1187" i="1"/>
  <c r="BC1187" i="1"/>
  <c r="BD1187" i="1"/>
  <c r="BE1187" i="1"/>
  <c r="BF1187" i="1"/>
  <c r="BG1187" i="1"/>
  <c r="BH1187" i="1"/>
  <c r="BI1187" i="1"/>
  <c r="BJ1187" i="1"/>
  <c r="BM1187" i="1"/>
  <c r="CA1187" i="1"/>
  <c r="CN1187" i="1"/>
  <c r="CO1187" i="1"/>
  <c r="CP1187" i="1"/>
  <c r="CQ1187" i="1"/>
  <c r="G1188" i="1"/>
  <c r="U1188" i="1"/>
  <c r="W1188" i="1"/>
  <c r="AE1188" i="1"/>
  <c r="AK1188" i="1"/>
  <c r="AQ1188" i="1"/>
  <c r="AU1188" i="1"/>
  <c r="AV1188" i="1"/>
  <c r="AW1188" i="1"/>
  <c r="AX1188" i="1"/>
  <c r="AY1188" i="1"/>
  <c r="AZ1188" i="1"/>
  <c r="BA1188" i="1"/>
  <c r="BC1188" i="1"/>
  <c r="BD1188" i="1"/>
  <c r="BE1188" i="1"/>
  <c r="BF1188" i="1"/>
  <c r="BG1188" i="1"/>
  <c r="BH1188" i="1"/>
  <c r="BI1188" i="1"/>
  <c r="BJ1188" i="1"/>
  <c r="BM1188" i="1"/>
  <c r="CA1188" i="1"/>
  <c r="CN1188" i="1"/>
  <c r="CO1188" i="1"/>
  <c r="CP1188" i="1"/>
  <c r="CQ1188" i="1"/>
  <c r="G1189" i="1"/>
  <c r="U1189" i="1"/>
  <c r="W1189" i="1"/>
  <c r="AE1189" i="1"/>
  <c r="AK1189" i="1"/>
  <c r="AQ1189" i="1"/>
  <c r="AU1189" i="1"/>
  <c r="AV1189" i="1"/>
  <c r="AW1189" i="1"/>
  <c r="AX1189" i="1"/>
  <c r="AY1189" i="1"/>
  <c r="AZ1189" i="1"/>
  <c r="BA1189" i="1"/>
  <c r="BC1189" i="1"/>
  <c r="BD1189" i="1"/>
  <c r="BE1189" i="1"/>
  <c r="BF1189" i="1"/>
  <c r="BG1189" i="1"/>
  <c r="BH1189" i="1"/>
  <c r="BI1189" i="1"/>
  <c r="BJ1189" i="1"/>
  <c r="BM1189" i="1"/>
  <c r="CA1189" i="1"/>
  <c r="CN1189" i="1"/>
  <c r="CO1189" i="1"/>
  <c r="CP1189" i="1"/>
  <c r="CQ1189" i="1"/>
  <c r="G1190" i="1"/>
  <c r="U1190" i="1"/>
  <c r="W1190" i="1"/>
  <c r="AE1190" i="1"/>
  <c r="AK1190" i="1"/>
  <c r="AQ1190" i="1"/>
  <c r="AU1190" i="1"/>
  <c r="AV1190" i="1"/>
  <c r="AW1190" i="1"/>
  <c r="AX1190" i="1"/>
  <c r="AY1190" i="1"/>
  <c r="AZ1190" i="1"/>
  <c r="BA1190" i="1"/>
  <c r="BC1190" i="1"/>
  <c r="BD1190" i="1"/>
  <c r="BE1190" i="1"/>
  <c r="BF1190" i="1"/>
  <c r="BG1190" i="1"/>
  <c r="BH1190" i="1"/>
  <c r="BI1190" i="1"/>
  <c r="BJ1190" i="1"/>
  <c r="BM1190" i="1"/>
  <c r="CA1190" i="1"/>
  <c r="CN1190" i="1"/>
  <c r="CO1190" i="1"/>
  <c r="CP1190" i="1"/>
  <c r="CQ1190" i="1"/>
  <c r="G1191" i="1"/>
  <c r="U1191" i="1"/>
  <c r="W1191" i="1"/>
  <c r="AE1191" i="1"/>
  <c r="AK1191" i="1"/>
  <c r="AQ1191" i="1"/>
  <c r="AU1191" i="1"/>
  <c r="AV1191" i="1"/>
  <c r="AW1191" i="1"/>
  <c r="AX1191" i="1"/>
  <c r="AY1191" i="1"/>
  <c r="AZ1191" i="1"/>
  <c r="BA1191" i="1"/>
  <c r="BC1191" i="1"/>
  <c r="BD1191" i="1"/>
  <c r="BE1191" i="1"/>
  <c r="BF1191" i="1"/>
  <c r="BG1191" i="1"/>
  <c r="BH1191" i="1"/>
  <c r="BI1191" i="1"/>
  <c r="BJ1191" i="1"/>
  <c r="BM1191" i="1"/>
  <c r="CA1191" i="1"/>
  <c r="CN1191" i="1"/>
  <c r="CO1191" i="1"/>
  <c r="CP1191" i="1"/>
  <c r="CQ1191" i="1"/>
  <c r="G1192" i="1"/>
  <c r="U1192" i="1"/>
  <c r="W1192" i="1"/>
  <c r="AE1192" i="1"/>
  <c r="AK1192" i="1"/>
  <c r="AQ1192" i="1"/>
  <c r="AU1192" i="1"/>
  <c r="AV1192" i="1"/>
  <c r="AW1192" i="1"/>
  <c r="AX1192" i="1"/>
  <c r="AY1192" i="1"/>
  <c r="AZ1192" i="1"/>
  <c r="BA1192" i="1"/>
  <c r="BC1192" i="1"/>
  <c r="BD1192" i="1"/>
  <c r="BE1192" i="1"/>
  <c r="BF1192" i="1"/>
  <c r="BG1192" i="1"/>
  <c r="BH1192" i="1"/>
  <c r="BI1192" i="1"/>
  <c r="BJ1192" i="1"/>
  <c r="BM1192" i="1"/>
  <c r="CA1192" i="1"/>
  <c r="CN1192" i="1"/>
  <c r="CO1192" i="1"/>
  <c r="CP1192" i="1"/>
  <c r="CQ1192" i="1"/>
  <c r="G1193" i="1"/>
  <c r="U1193" i="1"/>
  <c r="W1193" i="1"/>
  <c r="AE1193" i="1"/>
  <c r="AK1193" i="1"/>
  <c r="AQ1193" i="1"/>
  <c r="AU1193" i="1"/>
  <c r="AV1193" i="1"/>
  <c r="AW1193" i="1"/>
  <c r="AX1193" i="1"/>
  <c r="AY1193" i="1"/>
  <c r="AZ1193" i="1"/>
  <c r="BA1193" i="1"/>
  <c r="BC1193" i="1"/>
  <c r="BD1193" i="1"/>
  <c r="BE1193" i="1"/>
  <c r="BF1193" i="1"/>
  <c r="BG1193" i="1"/>
  <c r="BH1193" i="1"/>
  <c r="BI1193" i="1"/>
  <c r="BJ1193" i="1"/>
  <c r="BM1193" i="1"/>
  <c r="CA1193" i="1"/>
  <c r="CN1193" i="1"/>
  <c r="CO1193" i="1"/>
  <c r="CP1193" i="1"/>
  <c r="CQ1193" i="1"/>
  <c r="G1194" i="1"/>
  <c r="U1194" i="1"/>
  <c r="W1194" i="1"/>
  <c r="AE1194" i="1"/>
  <c r="AK1194" i="1"/>
  <c r="AQ1194" i="1"/>
  <c r="AU1194" i="1"/>
  <c r="AV1194" i="1"/>
  <c r="AW1194" i="1"/>
  <c r="AX1194" i="1"/>
  <c r="AY1194" i="1"/>
  <c r="AZ1194" i="1"/>
  <c r="BA1194" i="1"/>
  <c r="BC1194" i="1"/>
  <c r="BD1194" i="1"/>
  <c r="BE1194" i="1"/>
  <c r="BF1194" i="1"/>
  <c r="BG1194" i="1"/>
  <c r="BH1194" i="1"/>
  <c r="BI1194" i="1"/>
  <c r="BJ1194" i="1"/>
  <c r="BM1194" i="1"/>
  <c r="CA1194" i="1"/>
  <c r="CN1194" i="1"/>
  <c r="CO1194" i="1"/>
  <c r="CP1194" i="1"/>
  <c r="CQ1194" i="1"/>
  <c r="G303" i="1"/>
  <c r="U303" i="1"/>
  <c r="W303" i="1"/>
  <c r="AE303" i="1"/>
  <c r="AK303" i="1"/>
  <c r="AQ303" i="1"/>
  <c r="AU303" i="1"/>
  <c r="AV303" i="1"/>
  <c r="AW303" i="1"/>
  <c r="AX303" i="1"/>
  <c r="AY303" i="1"/>
  <c r="AZ303" i="1"/>
  <c r="BA303" i="1"/>
  <c r="BC303" i="1"/>
  <c r="BD303" i="1"/>
  <c r="BE303" i="1"/>
  <c r="BF303" i="1"/>
  <c r="BG303" i="1"/>
  <c r="BH303" i="1"/>
  <c r="BI303" i="1"/>
  <c r="BJ303" i="1"/>
  <c r="BM303" i="1"/>
  <c r="CA303" i="1"/>
  <c r="CN303" i="1"/>
  <c r="CO303" i="1"/>
  <c r="CP303" i="1"/>
  <c r="CQ303" i="1"/>
  <c r="G1195" i="1"/>
  <c r="U1195" i="1"/>
  <c r="W1195" i="1"/>
  <c r="AE1195" i="1"/>
  <c r="AK1195" i="1"/>
  <c r="AQ1195" i="1"/>
  <c r="AU1195" i="1"/>
  <c r="AV1195" i="1"/>
  <c r="AW1195" i="1"/>
  <c r="AX1195" i="1"/>
  <c r="AY1195" i="1"/>
  <c r="AZ1195" i="1"/>
  <c r="BA1195" i="1"/>
  <c r="BC1195" i="1"/>
  <c r="BD1195" i="1"/>
  <c r="BE1195" i="1"/>
  <c r="BF1195" i="1"/>
  <c r="BG1195" i="1"/>
  <c r="BH1195" i="1"/>
  <c r="BI1195" i="1"/>
  <c r="BJ1195" i="1"/>
  <c r="BM1195" i="1"/>
  <c r="CA1195" i="1"/>
  <c r="CN1195" i="1"/>
  <c r="CO1195" i="1"/>
  <c r="CP1195" i="1"/>
  <c r="CQ1195" i="1"/>
  <c r="G304" i="1"/>
  <c r="U304" i="1"/>
  <c r="W304" i="1"/>
  <c r="AE304" i="1"/>
  <c r="AK304" i="1"/>
  <c r="AQ304" i="1"/>
  <c r="AU304" i="1"/>
  <c r="AV304" i="1"/>
  <c r="AW304" i="1"/>
  <c r="AX304" i="1"/>
  <c r="AY304" i="1"/>
  <c r="AZ304" i="1"/>
  <c r="BA304" i="1"/>
  <c r="BC304" i="1"/>
  <c r="BD304" i="1"/>
  <c r="BE304" i="1"/>
  <c r="BF304" i="1"/>
  <c r="BG304" i="1"/>
  <c r="BH304" i="1"/>
  <c r="BI304" i="1"/>
  <c r="BJ304" i="1"/>
  <c r="BM304" i="1"/>
  <c r="CA304" i="1"/>
  <c r="CN304" i="1"/>
  <c r="CO304" i="1"/>
  <c r="CP304" i="1"/>
  <c r="CQ304" i="1"/>
  <c r="G1501" i="1"/>
  <c r="U1501" i="1"/>
  <c r="W1501" i="1"/>
  <c r="AE1501" i="1"/>
  <c r="AK1501" i="1"/>
  <c r="AQ1501" i="1"/>
  <c r="AU1501" i="1"/>
  <c r="AV1501" i="1"/>
  <c r="AW1501" i="1"/>
  <c r="AX1501" i="1"/>
  <c r="AY1501" i="1"/>
  <c r="AZ1501" i="1"/>
  <c r="BA1501" i="1"/>
  <c r="BC1501" i="1"/>
  <c r="BD1501" i="1"/>
  <c r="BE1501" i="1"/>
  <c r="BF1501" i="1"/>
  <c r="BG1501" i="1"/>
  <c r="BH1501" i="1"/>
  <c r="BI1501" i="1"/>
  <c r="BJ1501" i="1"/>
  <c r="BM1501" i="1"/>
  <c r="CA1501" i="1"/>
  <c r="CN1501" i="1"/>
  <c r="CO1501" i="1"/>
  <c r="CP1501" i="1"/>
  <c r="CQ1501" i="1"/>
  <c r="G471" i="1"/>
  <c r="U471" i="1"/>
  <c r="W471" i="1"/>
  <c r="AE471" i="1"/>
  <c r="AK471" i="1"/>
  <c r="AQ471" i="1"/>
  <c r="AU471" i="1"/>
  <c r="AV471" i="1"/>
  <c r="AW471" i="1"/>
  <c r="AX471" i="1"/>
  <c r="AY471" i="1"/>
  <c r="AZ471" i="1"/>
  <c r="BA471" i="1"/>
  <c r="BC471" i="1"/>
  <c r="BD471" i="1"/>
  <c r="BE471" i="1"/>
  <c r="BF471" i="1"/>
  <c r="BG471" i="1"/>
  <c r="BH471" i="1"/>
  <c r="BI471" i="1"/>
  <c r="BJ471" i="1"/>
  <c r="BM471" i="1"/>
  <c r="CA471" i="1"/>
  <c r="CN471" i="1"/>
  <c r="CO471" i="1"/>
  <c r="CP471" i="1"/>
  <c r="CQ471" i="1"/>
  <c r="G1502" i="1"/>
  <c r="U1502" i="1"/>
  <c r="W1502" i="1"/>
  <c r="AE1502" i="1"/>
  <c r="AK1502" i="1"/>
  <c r="AQ1502" i="1"/>
  <c r="AU1502" i="1"/>
  <c r="AV1502" i="1"/>
  <c r="AW1502" i="1"/>
  <c r="AX1502" i="1"/>
  <c r="AY1502" i="1"/>
  <c r="AZ1502" i="1"/>
  <c r="BA1502" i="1"/>
  <c r="BC1502" i="1"/>
  <c r="BD1502" i="1"/>
  <c r="BE1502" i="1"/>
  <c r="BF1502" i="1"/>
  <c r="BG1502" i="1"/>
  <c r="BH1502" i="1"/>
  <c r="BI1502" i="1"/>
  <c r="BJ1502" i="1"/>
  <c r="BM1502" i="1"/>
  <c r="CA1502" i="1"/>
  <c r="CN1502" i="1"/>
  <c r="CO1502" i="1"/>
  <c r="CP1502" i="1"/>
  <c r="CQ1502" i="1"/>
  <c r="G1607" i="1"/>
  <c r="U1607" i="1"/>
  <c r="W1607" i="1"/>
  <c r="AE1607" i="1"/>
  <c r="AK1607" i="1"/>
  <c r="AQ1607" i="1"/>
  <c r="AU1607" i="1"/>
  <c r="AV1607" i="1"/>
  <c r="AW1607" i="1"/>
  <c r="AX1607" i="1"/>
  <c r="AY1607" i="1"/>
  <c r="AZ1607" i="1"/>
  <c r="BA1607" i="1"/>
  <c r="BC1607" i="1"/>
  <c r="BD1607" i="1"/>
  <c r="BE1607" i="1"/>
  <c r="BF1607" i="1"/>
  <c r="BG1607" i="1"/>
  <c r="BH1607" i="1"/>
  <c r="BI1607" i="1"/>
  <c r="BJ1607" i="1"/>
  <c r="BM1607" i="1"/>
  <c r="CA1607" i="1"/>
  <c r="CN1607" i="1"/>
  <c r="CO1607" i="1"/>
  <c r="CP1607" i="1"/>
  <c r="CQ1607" i="1"/>
  <c r="G1196" i="1"/>
  <c r="U1196" i="1"/>
  <c r="W1196" i="1"/>
  <c r="AE1196" i="1"/>
  <c r="AK1196" i="1"/>
  <c r="AQ1196" i="1"/>
  <c r="AU1196" i="1"/>
  <c r="AV1196" i="1"/>
  <c r="AW1196" i="1"/>
  <c r="AX1196" i="1"/>
  <c r="AY1196" i="1"/>
  <c r="AZ1196" i="1"/>
  <c r="BA1196" i="1"/>
  <c r="BC1196" i="1"/>
  <c r="BD1196" i="1"/>
  <c r="BE1196" i="1"/>
  <c r="BF1196" i="1"/>
  <c r="BG1196" i="1"/>
  <c r="BH1196" i="1"/>
  <c r="BI1196" i="1"/>
  <c r="BJ1196" i="1"/>
  <c r="BM1196" i="1"/>
  <c r="CA1196" i="1"/>
  <c r="CN1196" i="1"/>
  <c r="CO1196" i="1"/>
  <c r="CP1196" i="1"/>
  <c r="CQ1196" i="1"/>
  <c r="G1197" i="1"/>
  <c r="U1197" i="1"/>
  <c r="W1197" i="1"/>
  <c r="AE1197" i="1"/>
  <c r="AK1197" i="1"/>
  <c r="AQ1197" i="1"/>
  <c r="AU1197" i="1"/>
  <c r="AV1197" i="1"/>
  <c r="AW1197" i="1"/>
  <c r="AX1197" i="1"/>
  <c r="AY1197" i="1"/>
  <c r="AZ1197" i="1"/>
  <c r="BA1197" i="1"/>
  <c r="BC1197" i="1"/>
  <c r="BD1197" i="1"/>
  <c r="BE1197" i="1"/>
  <c r="BF1197" i="1"/>
  <c r="BG1197" i="1"/>
  <c r="BH1197" i="1"/>
  <c r="BI1197" i="1"/>
  <c r="BJ1197" i="1"/>
  <c r="BM1197" i="1"/>
  <c r="CA1197" i="1"/>
  <c r="CN1197" i="1"/>
  <c r="CO1197" i="1"/>
  <c r="CP1197" i="1"/>
  <c r="CQ1197" i="1"/>
  <c r="G1503" i="1"/>
  <c r="U1503" i="1"/>
  <c r="W1503" i="1"/>
  <c r="AE1503" i="1"/>
  <c r="AK1503" i="1"/>
  <c r="AQ1503" i="1"/>
  <c r="AU1503" i="1"/>
  <c r="AV1503" i="1"/>
  <c r="AW1503" i="1"/>
  <c r="AX1503" i="1"/>
  <c r="AY1503" i="1"/>
  <c r="AZ1503" i="1"/>
  <c r="BA1503" i="1"/>
  <c r="BC1503" i="1"/>
  <c r="BD1503" i="1"/>
  <c r="BE1503" i="1"/>
  <c r="BF1503" i="1"/>
  <c r="BG1503" i="1"/>
  <c r="BH1503" i="1"/>
  <c r="BI1503" i="1"/>
  <c r="BJ1503" i="1"/>
  <c r="BM1503" i="1"/>
  <c r="CA1503" i="1"/>
  <c r="CN1503" i="1"/>
  <c r="CO1503" i="1"/>
  <c r="CP1503" i="1"/>
  <c r="CQ1503" i="1"/>
  <c r="G1198" i="1"/>
  <c r="U1198" i="1"/>
  <c r="W1198" i="1"/>
  <c r="AE1198" i="1"/>
  <c r="AK1198" i="1"/>
  <c r="AQ1198" i="1"/>
  <c r="AU1198" i="1"/>
  <c r="AV1198" i="1"/>
  <c r="AW1198" i="1"/>
  <c r="AX1198" i="1"/>
  <c r="AY1198" i="1"/>
  <c r="AZ1198" i="1"/>
  <c r="BA1198" i="1"/>
  <c r="BC1198" i="1"/>
  <c r="BD1198" i="1"/>
  <c r="BE1198" i="1"/>
  <c r="BF1198" i="1"/>
  <c r="BG1198" i="1"/>
  <c r="BH1198" i="1"/>
  <c r="BI1198" i="1"/>
  <c r="BJ1198" i="1"/>
  <c r="BM1198" i="1"/>
  <c r="CA1198" i="1"/>
  <c r="CN1198" i="1"/>
  <c r="CO1198" i="1"/>
  <c r="CP1198" i="1"/>
  <c r="CQ1198" i="1"/>
  <c r="G1504" i="1"/>
  <c r="U1504" i="1"/>
  <c r="W1504" i="1"/>
  <c r="AE1504" i="1"/>
  <c r="AK1504" i="1"/>
  <c r="AQ1504" i="1"/>
  <c r="AU1504" i="1"/>
  <c r="AV1504" i="1"/>
  <c r="AW1504" i="1"/>
  <c r="AX1504" i="1"/>
  <c r="AY1504" i="1"/>
  <c r="AZ1504" i="1"/>
  <c r="BA1504" i="1"/>
  <c r="BC1504" i="1"/>
  <c r="BD1504" i="1"/>
  <c r="BE1504" i="1"/>
  <c r="BF1504" i="1"/>
  <c r="BG1504" i="1"/>
  <c r="BH1504" i="1"/>
  <c r="BI1504" i="1"/>
  <c r="BJ1504" i="1"/>
  <c r="BM1504" i="1"/>
  <c r="CA1504" i="1"/>
  <c r="CN1504" i="1"/>
  <c r="CO1504" i="1"/>
  <c r="CP1504" i="1"/>
  <c r="CQ1504" i="1"/>
  <c r="G1199" i="1"/>
  <c r="U1199" i="1"/>
  <c r="W1199" i="1"/>
  <c r="AE1199" i="1"/>
  <c r="AK1199" i="1"/>
  <c r="AQ1199" i="1"/>
  <c r="AU1199" i="1"/>
  <c r="AV1199" i="1"/>
  <c r="AW1199" i="1"/>
  <c r="AX1199" i="1"/>
  <c r="AY1199" i="1"/>
  <c r="AZ1199" i="1"/>
  <c r="BA1199" i="1"/>
  <c r="BC1199" i="1"/>
  <c r="BD1199" i="1"/>
  <c r="BE1199" i="1"/>
  <c r="BF1199" i="1"/>
  <c r="BG1199" i="1"/>
  <c r="BH1199" i="1"/>
  <c r="BI1199" i="1"/>
  <c r="BJ1199" i="1"/>
  <c r="BM1199" i="1"/>
  <c r="CA1199" i="1"/>
  <c r="CN1199" i="1"/>
  <c r="CO1199" i="1"/>
  <c r="CP1199" i="1"/>
  <c r="CQ1199" i="1"/>
  <c r="G1200" i="1"/>
  <c r="U1200" i="1"/>
  <c r="W1200" i="1"/>
  <c r="AE1200" i="1"/>
  <c r="AK1200" i="1"/>
  <c r="AQ1200" i="1"/>
  <c r="AU1200" i="1"/>
  <c r="AV1200" i="1"/>
  <c r="AW1200" i="1"/>
  <c r="AX1200" i="1"/>
  <c r="AY1200" i="1"/>
  <c r="AZ1200" i="1"/>
  <c r="BA1200" i="1"/>
  <c r="BC1200" i="1"/>
  <c r="BD1200" i="1"/>
  <c r="BE1200" i="1"/>
  <c r="BF1200" i="1"/>
  <c r="BG1200" i="1"/>
  <c r="BH1200" i="1"/>
  <c r="BI1200" i="1"/>
  <c r="BJ1200" i="1"/>
  <c r="BM1200" i="1"/>
  <c r="CA1200" i="1"/>
  <c r="CN1200" i="1"/>
  <c r="CO1200" i="1"/>
  <c r="CP1200" i="1"/>
  <c r="CQ1200" i="1"/>
  <c r="G1201" i="1"/>
  <c r="U1201" i="1"/>
  <c r="W1201" i="1"/>
  <c r="AE1201" i="1"/>
  <c r="AK1201" i="1"/>
  <c r="AQ1201" i="1"/>
  <c r="AU1201" i="1"/>
  <c r="AV1201" i="1"/>
  <c r="AW1201" i="1"/>
  <c r="AX1201" i="1"/>
  <c r="AY1201" i="1"/>
  <c r="AZ1201" i="1"/>
  <c r="BA1201" i="1"/>
  <c r="BC1201" i="1"/>
  <c r="BD1201" i="1"/>
  <c r="BE1201" i="1"/>
  <c r="BF1201" i="1"/>
  <c r="BG1201" i="1"/>
  <c r="BH1201" i="1"/>
  <c r="BI1201" i="1"/>
  <c r="BJ1201" i="1"/>
  <c r="BM1201" i="1"/>
  <c r="CA1201" i="1"/>
  <c r="CN1201" i="1"/>
  <c r="CO1201" i="1"/>
  <c r="CP1201" i="1"/>
  <c r="CQ1201" i="1"/>
  <c r="G1202" i="1"/>
  <c r="U1202" i="1"/>
  <c r="W1202" i="1"/>
  <c r="AE1202" i="1"/>
  <c r="AK1202" i="1"/>
  <c r="AQ1202" i="1"/>
  <c r="AU1202" i="1"/>
  <c r="AV1202" i="1"/>
  <c r="AW1202" i="1"/>
  <c r="AX1202" i="1"/>
  <c r="AY1202" i="1"/>
  <c r="AZ1202" i="1"/>
  <c r="BA1202" i="1"/>
  <c r="BC1202" i="1"/>
  <c r="BD1202" i="1"/>
  <c r="BE1202" i="1"/>
  <c r="BF1202" i="1"/>
  <c r="BG1202" i="1"/>
  <c r="BH1202" i="1"/>
  <c r="BI1202" i="1"/>
  <c r="BJ1202" i="1"/>
  <c r="BM1202" i="1"/>
  <c r="CA1202" i="1"/>
  <c r="CN1202" i="1"/>
  <c r="CO1202" i="1"/>
  <c r="CP1202" i="1"/>
  <c r="CQ1202" i="1"/>
  <c r="G1608" i="1"/>
  <c r="U1608" i="1"/>
  <c r="W1608" i="1"/>
  <c r="AE1608" i="1"/>
  <c r="AK1608" i="1"/>
  <c r="AQ1608" i="1"/>
  <c r="AU1608" i="1"/>
  <c r="AV1608" i="1"/>
  <c r="AW1608" i="1"/>
  <c r="AX1608" i="1"/>
  <c r="AY1608" i="1"/>
  <c r="AZ1608" i="1"/>
  <c r="BA1608" i="1"/>
  <c r="BC1608" i="1"/>
  <c r="BD1608" i="1"/>
  <c r="BE1608" i="1"/>
  <c r="BF1608" i="1"/>
  <c r="BG1608" i="1"/>
  <c r="BH1608" i="1"/>
  <c r="BI1608" i="1"/>
  <c r="BJ1608" i="1"/>
  <c r="BM1608" i="1"/>
  <c r="CA1608" i="1"/>
  <c r="CN1608" i="1"/>
  <c r="CO1608" i="1"/>
  <c r="CP1608" i="1"/>
  <c r="CQ1608" i="1"/>
  <c r="G1203" i="1"/>
  <c r="U1203" i="1"/>
  <c r="W1203" i="1"/>
  <c r="AE1203" i="1"/>
  <c r="AK1203" i="1"/>
  <c r="AQ1203" i="1"/>
  <c r="AU1203" i="1"/>
  <c r="AV1203" i="1"/>
  <c r="AW1203" i="1"/>
  <c r="AX1203" i="1"/>
  <c r="AY1203" i="1"/>
  <c r="AZ1203" i="1"/>
  <c r="BA1203" i="1"/>
  <c r="BC1203" i="1"/>
  <c r="BD1203" i="1"/>
  <c r="BE1203" i="1"/>
  <c r="BF1203" i="1"/>
  <c r="BG1203" i="1"/>
  <c r="BH1203" i="1"/>
  <c r="BI1203" i="1"/>
  <c r="BJ1203" i="1"/>
  <c r="BM1203" i="1"/>
  <c r="CA1203" i="1"/>
  <c r="CN1203" i="1"/>
  <c r="CO1203" i="1"/>
  <c r="CP1203" i="1"/>
  <c r="CQ1203" i="1"/>
  <c r="G305" i="1"/>
  <c r="U305" i="1"/>
  <c r="W305" i="1"/>
  <c r="AE305" i="1"/>
  <c r="AK305" i="1"/>
  <c r="AQ305" i="1"/>
  <c r="AU305" i="1"/>
  <c r="AV305" i="1"/>
  <c r="AW305" i="1"/>
  <c r="AX305" i="1"/>
  <c r="AY305" i="1"/>
  <c r="AZ305" i="1"/>
  <c r="BA305" i="1"/>
  <c r="BC305" i="1"/>
  <c r="BD305" i="1"/>
  <c r="BE305" i="1"/>
  <c r="BF305" i="1"/>
  <c r="BG305" i="1"/>
  <c r="BH305" i="1"/>
  <c r="BI305" i="1"/>
  <c r="BJ305" i="1"/>
  <c r="BM305" i="1"/>
  <c r="CA305" i="1"/>
  <c r="CN305" i="1"/>
  <c r="CO305" i="1"/>
  <c r="CP305" i="1"/>
  <c r="CQ305" i="1"/>
  <c r="G1204" i="1"/>
  <c r="U1204" i="1"/>
  <c r="W1204" i="1"/>
  <c r="AE1204" i="1"/>
  <c r="AK1204" i="1"/>
  <c r="AQ1204" i="1"/>
  <c r="AU1204" i="1"/>
  <c r="AV1204" i="1"/>
  <c r="AW1204" i="1"/>
  <c r="AX1204" i="1"/>
  <c r="AY1204" i="1"/>
  <c r="AZ1204" i="1"/>
  <c r="BA1204" i="1"/>
  <c r="BC1204" i="1"/>
  <c r="BD1204" i="1"/>
  <c r="BE1204" i="1"/>
  <c r="BF1204" i="1"/>
  <c r="BG1204" i="1"/>
  <c r="BH1204" i="1"/>
  <c r="BI1204" i="1"/>
  <c r="BJ1204" i="1"/>
  <c r="BM1204" i="1"/>
  <c r="CA1204" i="1"/>
  <c r="CN1204" i="1"/>
  <c r="CO1204" i="1"/>
  <c r="CP1204" i="1"/>
  <c r="CQ1204" i="1"/>
  <c r="G1205" i="1"/>
  <c r="U1205" i="1"/>
  <c r="W1205" i="1"/>
  <c r="AE1205" i="1"/>
  <c r="AK1205" i="1"/>
  <c r="AQ1205" i="1"/>
  <c r="AU1205" i="1"/>
  <c r="AV1205" i="1"/>
  <c r="AW1205" i="1"/>
  <c r="AX1205" i="1"/>
  <c r="AY1205" i="1"/>
  <c r="AZ1205" i="1"/>
  <c r="BA1205" i="1"/>
  <c r="BC1205" i="1"/>
  <c r="BD1205" i="1"/>
  <c r="BE1205" i="1"/>
  <c r="BF1205" i="1"/>
  <c r="BG1205" i="1"/>
  <c r="BH1205" i="1"/>
  <c r="BI1205" i="1"/>
  <c r="BJ1205" i="1"/>
  <c r="BM1205" i="1"/>
  <c r="CA1205" i="1"/>
  <c r="CN1205" i="1"/>
  <c r="CO1205" i="1"/>
  <c r="CP1205" i="1"/>
  <c r="CQ1205" i="1"/>
  <c r="G306" i="1"/>
  <c r="U306" i="1"/>
  <c r="W306" i="1"/>
  <c r="AE306" i="1"/>
  <c r="AK306" i="1"/>
  <c r="AQ306" i="1"/>
  <c r="AU306" i="1"/>
  <c r="AV306" i="1"/>
  <c r="AW306" i="1"/>
  <c r="AX306" i="1"/>
  <c r="AY306" i="1"/>
  <c r="AZ306" i="1"/>
  <c r="BA306" i="1"/>
  <c r="BC306" i="1"/>
  <c r="BD306" i="1"/>
  <c r="BE306" i="1"/>
  <c r="BF306" i="1"/>
  <c r="BG306" i="1"/>
  <c r="BH306" i="1"/>
  <c r="BI306" i="1"/>
  <c r="BJ306" i="1"/>
  <c r="BM306" i="1"/>
  <c r="CA306" i="1"/>
  <c r="CN306" i="1"/>
  <c r="CO306" i="1"/>
  <c r="CP306" i="1"/>
  <c r="CQ306" i="1"/>
  <c r="G1206" i="1"/>
  <c r="U1206" i="1"/>
  <c r="W1206" i="1"/>
  <c r="AE1206" i="1"/>
  <c r="AK1206" i="1"/>
  <c r="AQ1206" i="1"/>
  <c r="AU1206" i="1"/>
  <c r="AV1206" i="1"/>
  <c r="AW1206" i="1"/>
  <c r="AX1206" i="1"/>
  <c r="AY1206" i="1"/>
  <c r="AZ1206" i="1"/>
  <c r="BA1206" i="1"/>
  <c r="BC1206" i="1"/>
  <c r="BD1206" i="1"/>
  <c r="BE1206" i="1"/>
  <c r="BF1206" i="1"/>
  <c r="BG1206" i="1"/>
  <c r="BH1206" i="1"/>
  <c r="BI1206" i="1"/>
  <c r="BJ1206" i="1"/>
  <c r="BM1206" i="1"/>
  <c r="CA1206" i="1"/>
  <c r="CN1206" i="1"/>
  <c r="CO1206" i="1"/>
  <c r="CP1206" i="1"/>
  <c r="CQ1206" i="1"/>
  <c r="G1207" i="1"/>
  <c r="U1207" i="1"/>
  <c r="W1207" i="1"/>
  <c r="AE1207" i="1"/>
  <c r="AK1207" i="1"/>
  <c r="AQ1207" i="1"/>
  <c r="AU1207" i="1"/>
  <c r="AV1207" i="1"/>
  <c r="AW1207" i="1"/>
  <c r="AX1207" i="1"/>
  <c r="AY1207" i="1"/>
  <c r="AZ1207" i="1"/>
  <c r="BA1207" i="1"/>
  <c r="BC1207" i="1"/>
  <c r="BD1207" i="1"/>
  <c r="BE1207" i="1"/>
  <c r="BF1207" i="1"/>
  <c r="BG1207" i="1"/>
  <c r="BH1207" i="1"/>
  <c r="BI1207" i="1"/>
  <c r="BJ1207" i="1"/>
  <c r="BM1207" i="1"/>
  <c r="CA1207" i="1"/>
  <c r="CN1207" i="1"/>
  <c r="CO1207" i="1"/>
  <c r="CP1207" i="1"/>
  <c r="CQ1207" i="1"/>
  <c r="G1208" i="1"/>
  <c r="U1208" i="1"/>
  <c r="W1208" i="1"/>
  <c r="AE1208" i="1"/>
  <c r="AK1208" i="1"/>
  <c r="AQ1208" i="1"/>
  <c r="AU1208" i="1"/>
  <c r="AV1208" i="1"/>
  <c r="AW1208" i="1"/>
  <c r="AX1208" i="1"/>
  <c r="AY1208" i="1"/>
  <c r="AZ1208" i="1"/>
  <c r="BA1208" i="1"/>
  <c r="BC1208" i="1"/>
  <c r="BD1208" i="1"/>
  <c r="BE1208" i="1"/>
  <c r="BF1208" i="1"/>
  <c r="BG1208" i="1"/>
  <c r="BH1208" i="1"/>
  <c r="BI1208" i="1"/>
  <c r="BJ1208" i="1"/>
  <c r="BM1208" i="1"/>
  <c r="CA1208" i="1"/>
  <c r="CN1208" i="1"/>
  <c r="CO1208" i="1"/>
  <c r="CP1208" i="1"/>
  <c r="CQ1208" i="1"/>
  <c r="G1209" i="1"/>
  <c r="U1209" i="1"/>
  <c r="W1209" i="1"/>
  <c r="AE1209" i="1"/>
  <c r="AK1209" i="1"/>
  <c r="AQ1209" i="1"/>
  <c r="AU1209" i="1"/>
  <c r="AV1209" i="1"/>
  <c r="AW1209" i="1"/>
  <c r="AX1209" i="1"/>
  <c r="AY1209" i="1"/>
  <c r="AZ1209" i="1"/>
  <c r="BA1209" i="1"/>
  <c r="BC1209" i="1"/>
  <c r="BD1209" i="1"/>
  <c r="BE1209" i="1"/>
  <c r="BF1209" i="1"/>
  <c r="BG1209" i="1"/>
  <c r="BH1209" i="1"/>
  <c r="BI1209" i="1"/>
  <c r="BJ1209" i="1"/>
  <c r="BM1209" i="1"/>
  <c r="CA1209" i="1"/>
  <c r="CN1209" i="1"/>
  <c r="CO1209" i="1"/>
  <c r="CP1209" i="1"/>
  <c r="CQ1209" i="1"/>
  <c r="G1210" i="1"/>
  <c r="U1210" i="1"/>
  <c r="W1210" i="1"/>
  <c r="AE1210" i="1"/>
  <c r="AK1210" i="1"/>
  <c r="AQ1210" i="1"/>
  <c r="AU1210" i="1"/>
  <c r="AV1210" i="1"/>
  <c r="AW1210" i="1"/>
  <c r="AX1210" i="1"/>
  <c r="AY1210" i="1"/>
  <c r="AZ1210" i="1"/>
  <c r="BA1210" i="1"/>
  <c r="BC1210" i="1"/>
  <c r="BD1210" i="1"/>
  <c r="BE1210" i="1"/>
  <c r="BF1210" i="1"/>
  <c r="BG1210" i="1"/>
  <c r="BH1210" i="1"/>
  <c r="BI1210" i="1"/>
  <c r="BJ1210" i="1"/>
  <c r="BM1210" i="1"/>
  <c r="CA1210" i="1"/>
  <c r="CN1210" i="1"/>
  <c r="CO1210" i="1"/>
  <c r="CP1210" i="1"/>
  <c r="CQ1210" i="1"/>
  <c r="G472" i="1"/>
  <c r="U472" i="1"/>
  <c r="W472" i="1"/>
  <c r="AE472" i="1"/>
  <c r="AK472" i="1"/>
  <c r="AQ472" i="1"/>
  <c r="AU472" i="1"/>
  <c r="AV472" i="1"/>
  <c r="AW472" i="1"/>
  <c r="AX472" i="1"/>
  <c r="AY472" i="1"/>
  <c r="AZ472" i="1"/>
  <c r="BA472" i="1"/>
  <c r="BC472" i="1"/>
  <c r="BD472" i="1"/>
  <c r="BE472" i="1"/>
  <c r="BF472" i="1"/>
  <c r="BG472" i="1"/>
  <c r="BH472" i="1"/>
  <c r="BI472" i="1"/>
  <c r="BJ472" i="1"/>
  <c r="BM472" i="1"/>
  <c r="CA472" i="1"/>
  <c r="CN472" i="1"/>
  <c r="CO472" i="1"/>
  <c r="CP472" i="1"/>
  <c r="CQ472" i="1"/>
  <c r="G1211" i="1"/>
  <c r="U1211" i="1"/>
  <c r="W1211" i="1"/>
  <c r="AE1211" i="1"/>
  <c r="AK1211" i="1"/>
  <c r="AQ1211" i="1"/>
  <c r="AU1211" i="1"/>
  <c r="AV1211" i="1"/>
  <c r="AW1211" i="1"/>
  <c r="AX1211" i="1"/>
  <c r="AY1211" i="1"/>
  <c r="AZ1211" i="1"/>
  <c r="BA1211" i="1"/>
  <c r="BC1211" i="1"/>
  <c r="BD1211" i="1"/>
  <c r="BE1211" i="1"/>
  <c r="BF1211" i="1"/>
  <c r="BG1211" i="1"/>
  <c r="BH1211" i="1"/>
  <c r="BI1211" i="1"/>
  <c r="BJ1211" i="1"/>
  <c r="BM1211" i="1"/>
  <c r="CA1211" i="1"/>
  <c r="CN1211" i="1"/>
  <c r="CO1211" i="1"/>
  <c r="CP1211" i="1"/>
  <c r="CQ1211" i="1"/>
  <c r="G307" i="1"/>
  <c r="U307" i="1"/>
  <c r="W307" i="1"/>
  <c r="AE307" i="1"/>
  <c r="AK307" i="1"/>
  <c r="AQ307" i="1"/>
  <c r="AU307" i="1"/>
  <c r="AV307" i="1"/>
  <c r="AW307" i="1"/>
  <c r="AX307" i="1"/>
  <c r="AY307" i="1"/>
  <c r="AZ307" i="1"/>
  <c r="BA307" i="1"/>
  <c r="BC307" i="1"/>
  <c r="BD307" i="1"/>
  <c r="BE307" i="1"/>
  <c r="BF307" i="1"/>
  <c r="BG307" i="1"/>
  <c r="BH307" i="1"/>
  <c r="BI307" i="1"/>
  <c r="BJ307" i="1"/>
  <c r="BM307" i="1"/>
  <c r="CA307" i="1"/>
  <c r="CN307" i="1"/>
  <c r="CO307" i="1"/>
  <c r="CP307" i="1"/>
  <c r="CQ307" i="1"/>
  <c r="G1212" i="1"/>
  <c r="U1212" i="1"/>
  <c r="W1212" i="1"/>
  <c r="AE1212" i="1"/>
  <c r="AK1212" i="1"/>
  <c r="AQ1212" i="1"/>
  <c r="AU1212" i="1"/>
  <c r="AV1212" i="1"/>
  <c r="AW1212" i="1"/>
  <c r="AX1212" i="1"/>
  <c r="AY1212" i="1"/>
  <c r="AZ1212" i="1"/>
  <c r="BA1212" i="1"/>
  <c r="BC1212" i="1"/>
  <c r="BD1212" i="1"/>
  <c r="BE1212" i="1"/>
  <c r="BF1212" i="1"/>
  <c r="BG1212" i="1"/>
  <c r="BH1212" i="1"/>
  <c r="BI1212" i="1"/>
  <c r="BJ1212" i="1"/>
  <c r="BM1212" i="1"/>
  <c r="CA1212" i="1"/>
  <c r="CN1212" i="1"/>
  <c r="CO1212" i="1"/>
  <c r="CP1212" i="1"/>
  <c r="CQ1212" i="1"/>
  <c r="G308" i="1"/>
  <c r="U308" i="1"/>
  <c r="W308" i="1"/>
  <c r="AE308" i="1"/>
  <c r="AK308" i="1"/>
  <c r="AQ308" i="1"/>
  <c r="AU308" i="1"/>
  <c r="AV308" i="1"/>
  <c r="AW308" i="1"/>
  <c r="AX308" i="1"/>
  <c r="AY308" i="1"/>
  <c r="AZ308" i="1"/>
  <c r="BA308" i="1"/>
  <c r="BC308" i="1"/>
  <c r="BD308" i="1"/>
  <c r="BE308" i="1"/>
  <c r="BF308" i="1"/>
  <c r="BG308" i="1"/>
  <c r="BH308" i="1"/>
  <c r="BI308" i="1"/>
  <c r="BJ308" i="1"/>
  <c r="BM308" i="1"/>
  <c r="CA308" i="1"/>
  <c r="CN308" i="1"/>
  <c r="CO308" i="1"/>
  <c r="CP308" i="1"/>
  <c r="CQ308" i="1"/>
  <c r="G1505" i="1"/>
  <c r="U1505" i="1"/>
  <c r="W1505" i="1"/>
  <c r="AE1505" i="1"/>
  <c r="AK1505" i="1"/>
  <c r="AQ1505" i="1"/>
  <c r="AU1505" i="1"/>
  <c r="AV1505" i="1"/>
  <c r="AW1505" i="1"/>
  <c r="AX1505" i="1"/>
  <c r="AY1505" i="1"/>
  <c r="AZ1505" i="1"/>
  <c r="BA1505" i="1"/>
  <c r="BC1505" i="1"/>
  <c r="BD1505" i="1"/>
  <c r="BE1505" i="1"/>
  <c r="BF1505" i="1"/>
  <c r="BG1505" i="1"/>
  <c r="BH1505" i="1"/>
  <c r="BI1505" i="1"/>
  <c r="BJ1505" i="1"/>
  <c r="BM1505" i="1"/>
  <c r="CA1505" i="1"/>
  <c r="CN1505" i="1"/>
  <c r="CO1505" i="1"/>
  <c r="CP1505" i="1"/>
  <c r="CQ1505" i="1"/>
  <c r="G1213" i="1"/>
  <c r="U1213" i="1"/>
  <c r="W1213" i="1"/>
  <c r="AE1213" i="1"/>
  <c r="AK1213" i="1"/>
  <c r="AQ1213" i="1"/>
  <c r="AU1213" i="1"/>
  <c r="AV1213" i="1"/>
  <c r="AW1213" i="1"/>
  <c r="AX1213" i="1"/>
  <c r="AY1213" i="1"/>
  <c r="AZ1213" i="1"/>
  <c r="BA1213" i="1"/>
  <c r="BC1213" i="1"/>
  <c r="BD1213" i="1"/>
  <c r="BE1213" i="1"/>
  <c r="BF1213" i="1"/>
  <c r="BG1213" i="1"/>
  <c r="BH1213" i="1"/>
  <c r="BI1213" i="1"/>
  <c r="BJ1213" i="1"/>
  <c r="BM1213" i="1"/>
  <c r="CA1213" i="1"/>
  <c r="CN1213" i="1"/>
  <c r="CO1213" i="1"/>
  <c r="CP1213" i="1"/>
  <c r="CQ1213" i="1"/>
  <c r="G1506" i="1"/>
  <c r="U1506" i="1"/>
  <c r="W1506" i="1"/>
  <c r="AE1506" i="1"/>
  <c r="AK1506" i="1"/>
  <c r="AQ1506" i="1"/>
  <c r="AU1506" i="1"/>
  <c r="AV1506" i="1"/>
  <c r="AW1506" i="1"/>
  <c r="AX1506" i="1"/>
  <c r="AY1506" i="1"/>
  <c r="AZ1506" i="1"/>
  <c r="BA1506" i="1"/>
  <c r="BC1506" i="1"/>
  <c r="BD1506" i="1"/>
  <c r="BE1506" i="1"/>
  <c r="BF1506" i="1"/>
  <c r="BG1506" i="1"/>
  <c r="BH1506" i="1"/>
  <c r="BI1506" i="1"/>
  <c r="BJ1506" i="1"/>
  <c r="BM1506" i="1"/>
  <c r="CA1506" i="1"/>
  <c r="CN1506" i="1"/>
  <c r="CO1506" i="1"/>
  <c r="CP1506" i="1"/>
  <c r="CQ1506" i="1"/>
  <c r="G309" i="1"/>
  <c r="U309" i="1"/>
  <c r="W309" i="1"/>
  <c r="AE309" i="1"/>
  <c r="AK309" i="1"/>
  <c r="AQ309" i="1"/>
  <c r="AU309" i="1"/>
  <c r="AV309" i="1"/>
  <c r="AW309" i="1"/>
  <c r="AX309" i="1"/>
  <c r="AY309" i="1"/>
  <c r="AZ309" i="1"/>
  <c r="BA309" i="1"/>
  <c r="BC309" i="1"/>
  <c r="BD309" i="1"/>
  <c r="BE309" i="1"/>
  <c r="BF309" i="1"/>
  <c r="BG309" i="1"/>
  <c r="BH309" i="1"/>
  <c r="BI309" i="1"/>
  <c r="BJ309" i="1"/>
  <c r="BM309" i="1"/>
  <c r="CA309" i="1"/>
  <c r="CN309" i="1"/>
  <c r="CO309" i="1"/>
  <c r="CP309" i="1"/>
  <c r="CQ309" i="1"/>
  <c r="G1214" i="1"/>
  <c r="U1214" i="1"/>
  <c r="W1214" i="1"/>
  <c r="AE1214" i="1"/>
  <c r="AK1214" i="1"/>
  <c r="AQ1214" i="1"/>
  <c r="AU1214" i="1"/>
  <c r="AV1214" i="1"/>
  <c r="AW1214" i="1"/>
  <c r="AX1214" i="1"/>
  <c r="AY1214" i="1"/>
  <c r="AZ1214" i="1"/>
  <c r="BA1214" i="1"/>
  <c r="BC1214" i="1"/>
  <c r="BD1214" i="1"/>
  <c r="BE1214" i="1"/>
  <c r="BF1214" i="1"/>
  <c r="BG1214" i="1"/>
  <c r="BH1214" i="1"/>
  <c r="BI1214" i="1"/>
  <c r="BJ1214" i="1"/>
  <c r="BM1214" i="1"/>
  <c r="CA1214" i="1"/>
  <c r="CN1214" i="1"/>
  <c r="CO1214" i="1"/>
  <c r="CP1214" i="1"/>
  <c r="CQ1214" i="1"/>
  <c r="G1215" i="1"/>
  <c r="U1215" i="1"/>
  <c r="W1215" i="1"/>
  <c r="AE1215" i="1"/>
  <c r="AK1215" i="1"/>
  <c r="AQ1215" i="1"/>
  <c r="AU1215" i="1"/>
  <c r="AV1215" i="1"/>
  <c r="AW1215" i="1"/>
  <c r="AX1215" i="1"/>
  <c r="AY1215" i="1"/>
  <c r="AZ1215" i="1"/>
  <c r="BA1215" i="1"/>
  <c r="BC1215" i="1"/>
  <c r="BD1215" i="1"/>
  <c r="BE1215" i="1"/>
  <c r="BF1215" i="1"/>
  <c r="BG1215" i="1"/>
  <c r="BH1215" i="1"/>
  <c r="BI1215" i="1"/>
  <c r="BJ1215" i="1"/>
  <c r="BM1215" i="1"/>
  <c r="CA1215" i="1"/>
  <c r="CN1215" i="1"/>
  <c r="CO1215" i="1"/>
  <c r="CP1215" i="1"/>
  <c r="CQ1215" i="1"/>
  <c r="G473" i="1"/>
  <c r="U473" i="1"/>
  <c r="W473" i="1"/>
  <c r="AE473" i="1"/>
  <c r="AK473" i="1"/>
  <c r="AQ473" i="1"/>
  <c r="AU473" i="1"/>
  <c r="AV473" i="1"/>
  <c r="AW473" i="1"/>
  <c r="AX473" i="1"/>
  <c r="AY473" i="1"/>
  <c r="AZ473" i="1"/>
  <c r="BA473" i="1"/>
  <c r="BC473" i="1"/>
  <c r="BD473" i="1"/>
  <c r="BE473" i="1"/>
  <c r="BF473" i="1"/>
  <c r="BG473" i="1"/>
  <c r="BH473" i="1"/>
  <c r="BI473" i="1"/>
  <c r="BJ473" i="1"/>
  <c r="BM473" i="1"/>
  <c r="CA473" i="1"/>
  <c r="CN473" i="1"/>
  <c r="CO473" i="1"/>
  <c r="CP473" i="1"/>
  <c r="CQ473" i="1"/>
  <c r="G310" i="1"/>
  <c r="U310" i="1"/>
  <c r="W310" i="1"/>
  <c r="AE310" i="1"/>
  <c r="AK310" i="1"/>
  <c r="AQ310" i="1"/>
  <c r="AU310" i="1"/>
  <c r="AV310" i="1"/>
  <c r="AW310" i="1"/>
  <c r="AX310" i="1"/>
  <c r="AY310" i="1"/>
  <c r="AZ310" i="1"/>
  <c r="BA310" i="1"/>
  <c r="BC310" i="1"/>
  <c r="BD310" i="1"/>
  <c r="BE310" i="1"/>
  <c r="BF310" i="1"/>
  <c r="BG310" i="1"/>
  <c r="BH310" i="1"/>
  <c r="BI310" i="1"/>
  <c r="BJ310" i="1"/>
  <c r="BM310" i="1"/>
  <c r="CA310" i="1"/>
  <c r="CN310" i="1"/>
  <c r="CO310" i="1"/>
  <c r="CP310" i="1"/>
  <c r="CQ310" i="1"/>
  <c r="G1507" i="1"/>
  <c r="U1507" i="1"/>
  <c r="W1507" i="1"/>
  <c r="AE1507" i="1"/>
  <c r="AK1507" i="1"/>
  <c r="AQ1507" i="1"/>
  <c r="AU1507" i="1"/>
  <c r="AV1507" i="1"/>
  <c r="AW1507" i="1"/>
  <c r="AX1507" i="1"/>
  <c r="AY1507" i="1"/>
  <c r="AZ1507" i="1"/>
  <c r="BA1507" i="1"/>
  <c r="BC1507" i="1"/>
  <c r="BD1507" i="1"/>
  <c r="BE1507" i="1"/>
  <c r="BF1507" i="1"/>
  <c r="BG1507" i="1"/>
  <c r="BH1507" i="1"/>
  <c r="BI1507" i="1"/>
  <c r="BJ1507" i="1"/>
  <c r="BM1507" i="1"/>
  <c r="CA1507" i="1"/>
  <c r="CN1507" i="1"/>
  <c r="CO1507" i="1"/>
  <c r="CP1507" i="1"/>
  <c r="CQ1507" i="1"/>
  <c r="G1216" i="1"/>
  <c r="U1216" i="1"/>
  <c r="W1216" i="1"/>
  <c r="AE1216" i="1"/>
  <c r="AK1216" i="1"/>
  <c r="AQ1216" i="1"/>
  <c r="AU1216" i="1"/>
  <c r="AV1216" i="1"/>
  <c r="AW1216" i="1"/>
  <c r="AX1216" i="1"/>
  <c r="AY1216" i="1"/>
  <c r="AZ1216" i="1"/>
  <c r="BA1216" i="1"/>
  <c r="BC1216" i="1"/>
  <c r="BD1216" i="1"/>
  <c r="BE1216" i="1"/>
  <c r="BF1216" i="1"/>
  <c r="BG1216" i="1"/>
  <c r="BH1216" i="1"/>
  <c r="BI1216" i="1"/>
  <c r="BJ1216" i="1"/>
  <c r="BM1216" i="1"/>
  <c r="CA1216" i="1"/>
  <c r="CN1216" i="1"/>
  <c r="CO1216" i="1"/>
  <c r="CP1216" i="1"/>
  <c r="CQ1216" i="1"/>
  <c r="G1217" i="1"/>
  <c r="U1217" i="1"/>
  <c r="W1217" i="1"/>
  <c r="AE1217" i="1"/>
  <c r="AK1217" i="1"/>
  <c r="AQ1217" i="1"/>
  <c r="AU1217" i="1"/>
  <c r="AV1217" i="1"/>
  <c r="AW1217" i="1"/>
  <c r="AX1217" i="1"/>
  <c r="AY1217" i="1"/>
  <c r="AZ1217" i="1"/>
  <c r="BA1217" i="1"/>
  <c r="BC1217" i="1"/>
  <c r="BD1217" i="1"/>
  <c r="BE1217" i="1"/>
  <c r="BF1217" i="1"/>
  <c r="BG1217" i="1"/>
  <c r="BH1217" i="1"/>
  <c r="BI1217" i="1"/>
  <c r="BJ1217" i="1"/>
  <c r="BM1217" i="1"/>
  <c r="CA1217" i="1"/>
  <c r="CN1217" i="1"/>
  <c r="CO1217" i="1"/>
  <c r="CP1217" i="1"/>
  <c r="CQ1217" i="1"/>
  <c r="G1508" i="1"/>
  <c r="U1508" i="1"/>
  <c r="W1508" i="1"/>
  <c r="AE1508" i="1"/>
  <c r="AK1508" i="1"/>
  <c r="AQ1508" i="1"/>
  <c r="AU1508" i="1"/>
  <c r="AV1508" i="1"/>
  <c r="AW1508" i="1"/>
  <c r="AX1508" i="1"/>
  <c r="AY1508" i="1"/>
  <c r="AZ1508" i="1"/>
  <c r="BA1508" i="1"/>
  <c r="BC1508" i="1"/>
  <c r="BD1508" i="1"/>
  <c r="BE1508" i="1"/>
  <c r="BF1508" i="1"/>
  <c r="BG1508" i="1"/>
  <c r="BH1508" i="1"/>
  <c r="BI1508" i="1"/>
  <c r="BJ1508" i="1"/>
  <c r="BM1508" i="1"/>
  <c r="CA1508" i="1"/>
  <c r="CN1508" i="1"/>
  <c r="CO1508" i="1"/>
  <c r="CP1508" i="1"/>
  <c r="CQ1508" i="1"/>
  <c r="G1218" i="1"/>
  <c r="U1218" i="1"/>
  <c r="W1218" i="1"/>
  <c r="AE1218" i="1"/>
  <c r="AK1218" i="1"/>
  <c r="AQ1218" i="1"/>
  <c r="AU1218" i="1"/>
  <c r="AV1218" i="1"/>
  <c r="AW1218" i="1"/>
  <c r="AX1218" i="1"/>
  <c r="AY1218" i="1"/>
  <c r="AZ1218" i="1"/>
  <c r="BA1218" i="1"/>
  <c r="BC1218" i="1"/>
  <c r="BD1218" i="1"/>
  <c r="BE1218" i="1"/>
  <c r="BF1218" i="1"/>
  <c r="BG1218" i="1"/>
  <c r="BH1218" i="1"/>
  <c r="BI1218" i="1"/>
  <c r="BJ1218" i="1"/>
  <c r="BM1218" i="1"/>
  <c r="CA1218" i="1"/>
  <c r="CN1218" i="1"/>
  <c r="CO1218" i="1"/>
  <c r="CP1218" i="1"/>
  <c r="CQ1218" i="1"/>
  <c r="G311" i="1"/>
  <c r="U311" i="1"/>
  <c r="W311" i="1"/>
  <c r="AE311" i="1"/>
  <c r="AK311" i="1"/>
  <c r="AQ311" i="1"/>
  <c r="AU311" i="1"/>
  <c r="AV311" i="1"/>
  <c r="AW311" i="1"/>
  <c r="AX311" i="1"/>
  <c r="AY311" i="1"/>
  <c r="AZ311" i="1"/>
  <c r="BA311" i="1"/>
  <c r="BC311" i="1"/>
  <c r="BD311" i="1"/>
  <c r="BE311" i="1"/>
  <c r="BF311" i="1"/>
  <c r="BG311" i="1"/>
  <c r="BH311" i="1"/>
  <c r="BI311" i="1"/>
  <c r="BJ311" i="1"/>
  <c r="BM311" i="1"/>
  <c r="CA311" i="1"/>
  <c r="CN311" i="1"/>
  <c r="CO311" i="1"/>
  <c r="CP311" i="1"/>
  <c r="CQ311" i="1"/>
  <c r="G1219" i="1"/>
  <c r="U1219" i="1"/>
  <c r="W1219" i="1"/>
  <c r="AE1219" i="1"/>
  <c r="AK1219" i="1"/>
  <c r="AQ1219" i="1"/>
  <c r="AU1219" i="1"/>
  <c r="AV1219" i="1"/>
  <c r="AW1219" i="1"/>
  <c r="AX1219" i="1"/>
  <c r="AY1219" i="1"/>
  <c r="AZ1219" i="1"/>
  <c r="BA1219" i="1"/>
  <c r="BC1219" i="1"/>
  <c r="BD1219" i="1"/>
  <c r="BE1219" i="1"/>
  <c r="BF1219" i="1"/>
  <c r="BG1219" i="1"/>
  <c r="BH1219" i="1"/>
  <c r="BI1219" i="1"/>
  <c r="BJ1219" i="1"/>
  <c r="BM1219" i="1"/>
  <c r="CA1219" i="1"/>
  <c r="CN1219" i="1"/>
  <c r="CO1219" i="1"/>
  <c r="CP1219" i="1"/>
  <c r="CQ1219" i="1"/>
  <c r="G474" i="1"/>
  <c r="U474" i="1"/>
  <c r="W474" i="1"/>
  <c r="AE474" i="1"/>
  <c r="AK474" i="1"/>
  <c r="AQ474" i="1"/>
  <c r="AU474" i="1"/>
  <c r="AV474" i="1"/>
  <c r="AW474" i="1"/>
  <c r="AX474" i="1"/>
  <c r="AY474" i="1"/>
  <c r="AZ474" i="1"/>
  <c r="BA474" i="1"/>
  <c r="BC474" i="1"/>
  <c r="BD474" i="1"/>
  <c r="BE474" i="1"/>
  <c r="BF474" i="1"/>
  <c r="BG474" i="1"/>
  <c r="BH474" i="1"/>
  <c r="BI474" i="1"/>
  <c r="BJ474" i="1"/>
  <c r="BM474" i="1"/>
  <c r="CA474" i="1"/>
  <c r="CN474" i="1"/>
  <c r="CO474" i="1"/>
  <c r="CP474" i="1"/>
  <c r="CQ474" i="1"/>
  <c r="G1509" i="1"/>
  <c r="U1509" i="1"/>
  <c r="W1509" i="1"/>
  <c r="AE1509" i="1"/>
  <c r="AK1509" i="1"/>
  <c r="AQ1509" i="1"/>
  <c r="AU1509" i="1"/>
  <c r="AV1509" i="1"/>
  <c r="AW1509" i="1"/>
  <c r="AX1509" i="1"/>
  <c r="AY1509" i="1"/>
  <c r="AZ1509" i="1"/>
  <c r="BA1509" i="1"/>
  <c r="BC1509" i="1"/>
  <c r="BD1509" i="1"/>
  <c r="BE1509" i="1"/>
  <c r="BF1509" i="1"/>
  <c r="BG1509" i="1"/>
  <c r="BH1509" i="1"/>
  <c r="BI1509" i="1"/>
  <c r="BJ1509" i="1"/>
  <c r="BM1509" i="1"/>
  <c r="CA1509" i="1"/>
  <c r="CN1509" i="1"/>
  <c r="CO1509" i="1"/>
  <c r="CP1509" i="1"/>
  <c r="CQ1509" i="1"/>
  <c r="G1220" i="1"/>
  <c r="U1220" i="1"/>
  <c r="W1220" i="1"/>
  <c r="AE1220" i="1"/>
  <c r="AK1220" i="1"/>
  <c r="AQ1220" i="1"/>
  <c r="AU1220" i="1"/>
  <c r="AV1220" i="1"/>
  <c r="AW1220" i="1"/>
  <c r="AX1220" i="1"/>
  <c r="AY1220" i="1"/>
  <c r="AZ1220" i="1"/>
  <c r="BA1220" i="1"/>
  <c r="BC1220" i="1"/>
  <c r="BD1220" i="1"/>
  <c r="BE1220" i="1"/>
  <c r="BF1220" i="1"/>
  <c r="BG1220" i="1"/>
  <c r="BH1220" i="1"/>
  <c r="BI1220" i="1"/>
  <c r="BJ1220" i="1"/>
  <c r="BM1220" i="1"/>
  <c r="CA1220" i="1"/>
  <c r="CN1220" i="1"/>
  <c r="CO1220" i="1"/>
  <c r="CP1220" i="1"/>
  <c r="CQ1220" i="1"/>
  <c r="G1221" i="1"/>
  <c r="U1221" i="1"/>
  <c r="W1221" i="1"/>
  <c r="AE1221" i="1"/>
  <c r="AK1221" i="1"/>
  <c r="AQ1221" i="1"/>
  <c r="AU1221" i="1"/>
  <c r="AV1221" i="1"/>
  <c r="AW1221" i="1"/>
  <c r="AX1221" i="1"/>
  <c r="AY1221" i="1"/>
  <c r="AZ1221" i="1"/>
  <c r="BA1221" i="1"/>
  <c r="BC1221" i="1"/>
  <c r="BD1221" i="1"/>
  <c r="BE1221" i="1"/>
  <c r="BF1221" i="1"/>
  <c r="BG1221" i="1"/>
  <c r="BH1221" i="1"/>
  <c r="BI1221" i="1"/>
  <c r="BJ1221" i="1"/>
  <c r="BM1221" i="1"/>
  <c r="CA1221" i="1"/>
  <c r="CN1221" i="1"/>
  <c r="CO1221" i="1"/>
  <c r="CP1221" i="1"/>
  <c r="CQ1221" i="1"/>
  <c r="G1222" i="1"/>
  <c r="U1222" i="1"/>
  <c r="W1222" i="1"/>
  <c r="AE1222" i="1"/>
  <c r="AK1222" i="1"/>
  <c r="AQ1222" i="1"/>
  <c r="AU1222" i="1"/>
  <c r="AV1222" i="1"/>
  <c r="AW1222" i="1"/>
  <c r="AX1222" i="1"/>
  <c r="AY1222" i="1"/>
  <c r="AZ1222" i="1"/>
  <c r="BA1222" i="1"/>
  <c r="BC1222" i="1"/>
  <c r="BD1222" i="1"/>
  <c r="BE1222" i="1"/>
  <c r="BF1222" i="1"/>
  <c r="BG1222" i="1"/>
  <c r="BH1222" i="1"/>
  <c r="BI1222" i="1"/>
  <c r="BJ1222" i="1"/>
  <c r="BM1222" i="1"/>
  <c r="CA1222" i="1"/>
  <c r="CN1222" i="1"/>
  <c r="CO1222" i="1"/>
  <c r="CP1222" i="1"/>
  <c r="CQ1222" i="1"/>
  <c r="G1223" i="1"/>
  <c r="U1223" i="1"/>
  <c r="W1223" i="1"/>
  <c r="AE1223" i="1"/>
  <c r="AK1223" i="1"/>
  <c r="AQ1223" i="1"/>
  <c r="AU1223" i="1"/>
  <c r="AV1223" i="1"/>
  <c r="AW1223" i="1"/>
  <c r="AX1223" i="1"/>
  <c r="AY1223" i="1"/>
  <c r="AZ1223" i="1"/>
  <c r="BA1223" i="1"/>
  <c r="BC1223" i="1"/>
  <c r="BD1223" i="1"/>
  <c r="BE1223" i="1"/>
  <c r="BF1223" i="1"/>
  <c r="BG1223" i="1"/>
  <c r="BH1223" i="1"/>
  <c r="BI1223" i="1"/>
  <c r="BJ1223" i="1"/>
  <c r="BM1223" i="1"/>
  <c r="CA1223" i="1"/>
  <c r="CN1223" i="1"/>
  <c r="CO1223" i="1"/>
  <c r="CP1223" i="1"/>
  <c r="CQ1223" i="1"/>
  <c r="G1510" i="1"/>
  <c r="U1510" i="1"/>
  <c r="W1510" i="1"/>
  <c r="AE1510" i="1"/>
  <c r="AK1510" i="1"/>
  <c r="AQ1510" i="1"/>
  <c r="AU1510" i="1"/>
  <c r="AV1510" i="1"/>
  <c r="AW1510" i="1"/>
  <c r="AX1510" i="1"/>
  <c r="AY1510" i="1"/>
  <c r="AZ1510" i="1"/>
  <c r="BA1510" i="1"/>
  <c r="BC1510" i="1"/>
  <c r="BD1510" i="1"/>
  <c r="BE1510" i="1"/>
  <c r="BF1510" i="1"/>
  <c r="BG1510" i="1"/>
  <c r="BH1510" i="1"/>
  <c r="BI1510" i="1"/>
  <c r="BJ1510" i="1"/>
  <c r="BM1510" i="1"/>
  <c r="CA1510" i="1"/>
  <c r="CN1510" i="1"/>
  <c r="CO1510" i="1"/>
  <c r="CP1510" i="1"/>
  <c r="CQ1510" i="1"/>
  <c r="G1224" i="1"/>
  <c r="U1224" i="1"/>
  <c r="W1224" i="1"/>
  <c r="AE1224" i="1"/>
  <c r="AK1224" i="1"/>
  <c r="AQ1224" i="1"/>
  <c r="AU1224" i="1"/>
  <c r="AV1224" i="1"/>
  <c r="AW1224" i="1"/>
  <c r="AX1224" i="1"/>
  <c r="AY1224" i="1"/>
  <c r="AZ1224" i="1"/>
  <c r="BA1224" i="1"/>
  <c r="BC1224" i="1"/>
  <c r="BD1224" i="1"/>
  <c r="BE1224" i="1"/>
  <c r="BF1224" i="1"/>
  <c r="BG1224" i="1"/>
  <c r="BH1224" i="1"/>
  <c r="BI1224" i="1"/>
  <c r="BJ1224" i="1"/>
  <c r="BM1224" i="1"/>
  <c r="CA1224" i="1"/>
  <c r="CN1224" i="1"/>
  <c r="CO1224" i="1"/>
  <c r="CP1224" i="1"/>
  <c r="CQ1224" i="1"/>
  <c r="G1511" i="1"/>
  <c r="U1511" i="1"/>
  <c r="W1511" i="1"/>
  <c r="AE1511" i="1"/>
  <c r="AK1511" i="1"/>
  <c r="AQ1511" i="1"/>
  <c r="AU1511" i="1"/>
  <c r="AV1511" i="1"/>
  <c r="AW1511" i="1"/>
  <c r="AX1511" i="1"/>
  <c r="AY1511" i="1"/>
  <c r="AZ1511" i="1"/>
  <c r="BA1511" i="1"/>
  <c r="BC1511" i="1"/>
  <c r="BD1511" i="1"/>
  <c r="BE1511" i="1"/>
  <c r="BF1511" i="1"/>
  <c r="BG1511" i="1"/>
  <c r="BH1511" i="1"/>
  <c r="BI1511" i="1"/>
  <c r="BJ1511" i="1"/>
  <c r="BM1511" i="1"/>
  <c r="CA1511" i="1"/>
  <c r="CN1511" i="1"/>
  <c r="CO1511" i="1"/>
  <c r="CP1511" i="1"/>
  <c r="CQ1511" i="1"/>
  <c r="G475" i="1"/>
  <c r="U475" i="1"/>
  <c r="W475" i="1"/>
  <c r="AE475" i="1"/>
  <c r="AK475" i="1"/>
  <c r="AQ475" i="1"/>
  <c r="AU475" i="1"/>
  <c r="AV475" i="1"/>
  <c r="AW475" i="1"/>
  <c r="AX475" i="1"/>
  <c r="AY475" i="1"/>
  <c r="AZ475" i="1"/>
  <c r="BA475" i="1"/>
  <c r="BC475" i="1"/>
  <c r="BD475" i="1"/>
  <c r="BE475" i="1"/>
  <c r="BF475" i="1"/>
  <c r="BG475" i="1"/>
  <c r="BH475" i="1"/>
  <c r="BI475" i="1"/>
  <c r="BJ475" i="1"/>
  <c r="BM475" i="1"/>
  <c r="CA475" i="1"/>
  <c r="CN475" i="1"/>
  <c r="CO475" i="1"/>
  <c r="CP475" i="1"/>
  <c r="CQ475" i="1"/>
  <c r="G1512" i="1"/>
  <c r="U1512" i="1"/>
  <c r="W1512" i="1"/>
  <c r="AE1512" i="1"/>
  <c r="AK1512" i="1"/>
  <c r="AQ1512" i="1"/>
  <c r="AU1512" i="1"/>
  <c r="AV1512" i="1"/>
  <c r="AW1512" i="1"/>
  <c r="AX1512" i="1"/>
  <c r="AY1512" i="1"/>
  <c r="AZ1512" i="1"/>
  <c r="BA1512" i="1"/>
  <c r="BC1512" i="1"/>
  <c r="BD1512" i="1"/>
  <c r="BE1512" i="1"/>
  <c r="BF1512" i="1"/>
  <c r="BG1512" i="1"/>
  <c r="BH1512" i="1"/>
  <c r="BI1512" i="1"/>
  <c r="BJ1512" i="1"/>
  <c r="BM1512" i="1"/>
  <c r="CA1512" i="1"/>
  <c r="CN1512" i="1"/>
  <c r="CO1512" i="1"/>
  <c r="CP1512" i="1"/>
  <c r="CQ1512" i="1"/>
  <c r="G312" i="1"/>
  <c r="U312" i="1"/>
  <c r="W312" i="1"/>
  <c r="AE312" i="1"/>
  <c r="AK312" i="1"/>
  <c r="AQ312" i="1"/>
  <c r="AU312" i="1"/>
  <c r="AV312" i="1"/>
  <c r="AW312" i="1"/>
  <c r="AX312" i="1"/>
  <c r="AY312" i="1"/>
  <c r="AZ312" i="1"/>
  <c r="BA312" i="1"/>
  <c r="BC312" i="1"/>
  <c r="BD312" i="1"/>
  <c r="BE312" i="1"/>
  <c r="BF312" i="1"/>
  <c r="BG312" i="1"/>
  <c r="BH312" i="1"/>
  <c r="BI312" i="1"/>
  <c r="BJ312" i="1"/>
  <c r="BM312" i="1"/>
  <c r="CA312" i="1"/>
  <c r="CN312" i="1"/>
  <c r="CO312" i="1"/>
  <c r="CP312" i="1"/>
  <c r="CQ312" i="1"/>
  <c r="G1225" i="1"/>
  <c r="U1225" i="1"/>
  <c r="W1225" i="1"/>
  <c r="AE1225" i="1"/>
  <c r="AK1225" i="1"/>
  <c r="AQ1225" i="1"/>
  <c r="AU1225" i="1"/>
  <c r="AV1225" i="1"/>
  <c r="AW1225" i="1"/>
  <c r="AX1225" i="1"/>
  <c r="AY1225" i="1"/>
  <c r="AZ1225" i="1"/>
  <c r="BA1225" i="1"/>
  <c r="BC1225" i="1"/>
  <c r="BD1225" i="1"/>
  <c r="BE1225" i="1"/>
  <c r="BF1225" i="1"/>
  <c r="BG1225" i="1"/>
  <c r="BH1225" i="1"/>
  <c r="BI1225" i="1"/>
  <c r="BJ1225" i="1"/>
  <c r="BM1225" i="1"/>
  <c r="CA1225" i="1"/>
  <c r="CN1225" i="1"/>
  <c r="CO1225" i="1"/>
  <c r="CP1225" i="1"/>
  <c r="CQ1225" i="1"/>
  <c r="G1226" i="1"/>
  <c r="U1226" i="1"/>
  <c r="W1226" i="1"/>
  <c r="AE1226" i="1"/>
  <c r="AK1226" i="1"/>
  <c r="AQ1226" i="1"/>
  <c r="AU1226" i="1"/>
  <c r="AV1226" i="1"/>
  <c r="AW1226" i="1"/>
  <c r="AX1226" i="1"/>
  <c r="AY1226" i="1"/>
  <c r="AZ1226" i="1"/>
  <c r="BA1226" i="1"/>
  <c r="BC1226" i="1"/>
  <c r="BD1226" i="1"/>
  <c r="BE1226" i="1"/>
  <c r="BF1226" i="1"/>
  <c r="BG1226" i="1"/>
  <c r="BH1226" i="1"/>
  <c r="BI1226" i="1"/>
  <c r="BJ1226" i="1"/>
  <c r="BM1226" i="1"/>
  <c r="CA1226" i="1"/>
  <c r="CN1226" i="1"/>
  <c r="CO1226" i="1"/>
  <c r="CP1226" i="1"/>
  <c r="CQ1226" i="1"/>
  <c r="G1227" i="1"/>
  <c r="U1227" i="1"/>
  <c r="W1227" i="1"/>
  <c r="AE1227" i="1"/>
  <c r="AK1227" i="1"/>
  <c r="AQ1227" i="1"/>
  <c r="AU1227" i="1"/>
  <c r="AV1227" i="1"/>
  <c r="AW1227" i="1"/>
  <c r="AX1227" i="1"/>
  <c r="AY1227" i="1"/>
  <c r="AZ1227" i="1"/>
  <c r="BA1227" i="1"/>
  <c r="BC1227" i="1"/>
  <c r="BD1227" i="1"/>
  <c r="BE1227" i="1"/>
  <c r="BF1227" i="1"/>
  <c r="BG1227" i="1"/>
  <c r="BH1227" i="1"/>
  <c r="BI1227" i="1"/>
  <c r="BJ1227" i="1"/>
  <c r="BM1227" i="1"/>
  <c r="CA1227" i="1"/>
  <c r="CN1227" i="1"/>
  <c r="CO1227" i="1"/>
  <c r="CP1227" i="1"/>
  <c r="CQ1227" i="1"/>
  <c r="G1513" i="1"/>
  <c r="U1513" i="1"/>
  <c r="W1513" i="1"/>
  <c r="AE1513" i="1"/>
  <c r="AK1513" i="1"/>
  <c r="AQ1513" i="1"/>
  <c r="AU1513" i="1"/>
  <c r="AV1513" i="1"/>
  <c r="AW1513" i="1"/>
  <c r="AX1513" i="1"/>
  <c r="AY1513" i="1"/>
  <c r="AZ1513" i="1"/>
  <c r="BA1513" i="1"/>
  <c r="BC1513" i="1"/>
  <c r="BD1513" i="1"/>
  <c r="BE1513" i="1"/>
  <c r="BF1513" i="1"/>
  <c r="BG1513" i="1"/>
  <c r="BH1513" i="1"/>
  <c r="BI1513" i="1"/>
  <c r="BJ1513" i="1"/>
  <c r="BM1513" i="1"/>
  <c r="CA1513" i="1"/>
  <c r="CN1513" i="1"/>
  <c r="CO1513" i="1"/>
  <c r="CP1513" i="1"/>
  <c r="CQ1513" i="1"/>
  <c r="G313" i="1"/>
  <c r="U313" i="1"/>
  <c r="W313" i="1"/>
  <c r="AE313" i="1"/>
  <c r="AK313" i="1"/>
  <c r="AQ313" i="1"/>
  <c r="AU313" i="1"/>
  <c r="AV313" i="1"/>
  <c r="AW313" i="1"/>
  <c r="AX313" i="1"/>
  <c r="AY313" i="1"/>
  <c r="AZ313" i="1"/>
  <c r="BA313" i="1"/>
  <c r="BC313" i="1"/>
  <c r="BD313" i="1"/>
  <c r="BE313" i="1"/>
  <c r="BF313" i="1"/>
  <c r="BG313" i="1"/>
  <c r="BH313" i="1"/>
  <c r="BI313" i="1"/>
  <c r="BJ313" i="1"/>
  <c r="BM313" i="1"/>
  <c r="CA313" i="1"/>
  <c r="CN313" i="1"/>
  <c r="CO313" i="1"/>
  <c r="CP313" i="1"/>
  <c r="CQ313" i="1"/>
  <c r="G314" i="1"/>
  <c r="U314" i="1"/>
  <c r="W314" i="1"/>
  <c r="AE314" i="1"/>
  <c r="AK314" i="1"/>
  <c r="AQ314" i="1"/>
  <c r="AU314" i="1"/>
  <c r="AV314" i="1"/>
  <c r="AW314" i="1"/>
  <c r="AX314" i="1"/>
  <c r="AY314" i="1"/>
  <c r="AZ314" i="1"/>
  <c r="BA314" i="1"/>
  <c r="BC314" i="1"/>
  <c r="BD314" i="1"/>
  <c r="BE314" i="1"/>
  <c r="BF314" i="1"/>
  <c r="BG314" i="1"/>
  <c r="BH314" i="1"/>
  <c r="BI314" i="1"/>
  <c r="BJ314" i="1"/>
  <c r="BM314" i="1"/>
  <c r="CA314" i="1"/>
  <c r="CN314" i="1"/>
  <c r="CO314" i="1"/>
  <c r="CP314" i="1"/>
  <c r="CQ314" i="1"/>
  <c r="G1609" i="1"/>
  <c r="U1609" i="1"/>
  <c r="W1609" i="1"/>
  <c r="AE1609" i="1"/>
  <c r="AK1609" i="1"/>
  <c r="AQ1609" i="1"/>
  <c r="AU1609" i="1"/>
  <c r="AV1609" i="1"/>
  <c r="AW1609" i="1"/>
  <c r="AX1609" i="1"/>
  <c r="AY1609" i="1"/>
  <c r="AZ1609" i="1"/>
  <c r="BA1609" i="1"/>
  <c r="BC1609" i="1"/>
  <c r="BD1609" i="1"/>
  <c r="BE1609" i="1"/>
  <c r="BF1609" i="1"/>
  <c r="BG1609" i="1"/>
  <c r="BH1609" i="1"/>
  <c r="BI1609" i="1"/>
  <c r="BJ1609" i="1"/>
  <c r="BM1609" i="1"/>
  <c r="CA1609" i="1"/>
  <c r="CN1609" i="1"/>
  <c r="CO1609" i="1"/>
  <c r="CP1609" i="1"/>
  <c r="CQ1609" i="1"/>
  <c r="G1228" i="1"/>
  <c r="U1228" i="1"/>
  <c r="W1228" i="1"/>
  <c r="AE1228" i="1"/>
  <c r="AK1228" i="1"/>
  <c r="AQ1228" i="1"/>
  <c r="AU1228" i="1"/>
  <c r="AV1228" i="1"/>
  <c r="AW1228" i="1"/>
  <c r="AX1228" i="1"/>
  <c r="AY1228" i="1"/>
  <c r="AZ1228" i="1"/>
  <c r="BA1228" i="1"/>
  <c r="BC1228" i="1"/>
  <c r="BD1228" i="1"/>
  <c r="BE1228" i="1"/>
  <c r="BF1228" i="1"/>
  <c r="BG1228" i="1"/>
  <c r="BH1228" i="1"/>
  <c r="BI1228" i="1"/>
  <c r="BJ1228" i="1"/>
  <c r="BM1228" i="1"/>
  <c r="CA1228" i="1"/>
  <c r="CN1228" i="1"/>
  <c r="CO1228" i="1"/>
  <c r="CP1228" i="1"/>
  <c r="CQ1228" i="1"/>
  <c r="G1229" i="1"/>
  <c r="U1229" i="1"/>
  <c r="W1229" i="1"/>
  <c r="AE1229" i="1"/>
  <c r="AK1229" i="1"/>
  <c r="AQ1229" i="1"/>
  <c r="AU1229" i="1"/>
  <c r="AV1229" i="1"/>
  <c r="AW1229" i="1"/>
  <c r="AX1229" i="1"/>
  <c r="AY1229" i="1"/>
  <c r="AZ1229" i="1"/>
  <c r="BA1229" i="1"/>
  <c r="BC1229" i="1"/>
  <c r="BD1229" i="1"/>
  <c r="BE1229" i="1"/>
  <c r="BF1229" i="1"/>
  <c r="BG1229" i="1"/>
  <c r="BH1229" i="1"/>
  <c r="BI1229" i="1"/>
  <c r="BJ1229" i="1"/>
  <c r="BM1229" i="1"/>
  <c r="CA1229" i="1"/>
  <c r="CN1229" i="1"/>
  <c r="CO1229" i="1"/>
  <c r="CP1229" i="1"/>
  <c r="CQ1229" i="1"/>
  <c r="G315" i="1"/>
  <c r="U315" i="1"/>
  <c r="W315" i="1"/>
  <c r="AE315" i="1"/>
  <c r="AK315" i="1"/>
  <c r="AQ315" i="1"/>
  <c r="AU315" i="1"/>
  <c r="AV315" i="1"/>
  <c r="AW315" i="1"/>
  <c r="AX315" i="1"/>
  <c r="AY315" i="1"/>
  <c r="AZ315" i="1"/>
  <c r="BA315" i="1"/>
  <c r="BC315" i="1"/>
  <c r="BD315" i="1"/>
  <c r="BE315" i="1"/>
  <c r="BF315" i="1"/>
  <c r="BG315" i="1"/>
  <c r="BH315" i="1"/>
  <c r="BI315" i="1"/>
  <c r="BJ315" i="1"/>
  <c r="BM315" i="1"/>
  <c r="CA315" i="1"/>
  <c r="CN315" i="1"/>
  <c r="CO315" i="1"/>
  <c r="CP315" i="1"/>
  <c r="CQ315" i="1"/>
  <c r="G1514" i="1"/>
  <c r="U1514" i="1"/>
  <c r="W1514" i="1"/>
  <c r="AE1514" i="1"/>
  <c r="AK1514" i="1"/>
  <c r="AQ1514" i="1"/>
  <c r="AU1514" i="1"/>
  <c r="AV1514" i="1"/>
  <c r="AW1514" i="1"/>
  <c r="AX1514" i="1"/>
  <c r="AY1514" i="1"/>
  <c r="AZ1514" i="1"/>
  <c r="BA1514" i="1"/>
  <c r="BC1514" i="1"/>
  <c r="BD1514" i="1"/>
  <c r="BE1514" i="1"/>
  <c r="BF1514" i="1"/>
  <c r="BG1514" i="1"/>
  <c r="BH1514" i="1"/>
  <c r="BI1514" i="1"/>
  <c r="BJ1514" i="1"/>
  <c r="BM1514" i="1"/>
  <c r="CA1514" i="1"/>
  <c r="CN1514" i="1"/>
  <c r="CO1514" i="1"/>
  <c r="CP1514" i="1"/>
  <c r="CQ1514" i="1"/>
  <c r="G1230" i="1"/>
  <c r="U1230" i="1"/>
  <c r="W1230" i="1"/>
  <c r="AE1230" i="1"/>
  <c r="AK1230" i="1"/>
  <c r="AQ1230" i="1"/>
  <c r="AU1230" i="1"/>
  <c r="AV1230" i="1"/>
  <c r="AW1230" i="1"/>
  <c r="AX1230" i="1"/>
  <c r="AY1230" i="1"/>
  <c r="AZ1230" i="1"/>
  <c r="BA1230" i="1"/>
  <c r="BC1230" i="1"/>
  <c r="BD1230" i="1"/>
  <c r="BE1230" i="1"/>
  <c r="BF1230" i="1"/>
  <c r="BG1230" i="1"/>
  <c r="BH1230" i="1"/>
  <c r="BI1230" i="1"/>
  <c r="BJ1230" i="1"/>
  <c r="BM1230" i="1"/>
  <c r="CA1230" i="1"/>
  <c r="CN1230" i="1"/>
  <c r="CO1230" i="1"/>
  <c r="CP1230" i="1"/>
  <c r="CQ1230" i="1"/>
  <c r="G1231" i="1"/>
  <c r="U1231" i="1"/>
  <c r="W1231" i="1"/>
  <c r="AE1231" i="1"/>
  <c r="AK1231" i="1"/>
  <c r="AQ1231" i="1"/>
  <c r="AU1231" i="1"/>
  <c r="AV1231" i="1"/>
  <c r="AW1231" i="1"/>
  <c r="AX1231" i="1"/>
  <c r="AY1231" i="1"/>
  <c r="AZ1231" i="1"/>
  <c r="BA1231" i="1"/>
  <c r="BC1231" i="1"/>
  <c r="BD1231" i="1"/>
  <c r="BE1231" i="1"/>
  <c r="BF1231" i="1"/>
  <c r="BG1231" i="1"/>
  <c r="BH1231" i="1"/>
  <c r="BI1231" i="1"/>
  <c r="BJ1231" i="1"/>
  <c r="BM1231" i="1"/>
  <c r="CA1231" i="1"/>
  <c r="CN1231" i="1"/>
  <c r="CO1231" i="1"/>
  <c r="CP1231" i="1"/>
  <c r="CQ1231" i="1"/>
  <c r="G1232" i="1"/>
  <c r="U1232" i="1"/>
  <c r="W1232" i="1"/>
  <c r="AE1232" i="1"/>
  <c r="AK1232" i="1"/>
  <c r="AQ1232" i="1"/>
  <c r="AU1232" i="1"/>
  <c r="AV1232" i="1"/>
  <c r="AW1232" i="1"/>
  <c r="AX1232" i="1"/>
  <c r="AY1232" i="1"/>
  <c r="AZ1232" i="1"/>
  <c r="BA1232" i="1"/>
  <c r="BC1232" i="1"/>
  <c r="BD1232" i="1"/>
  <c r="BE1232" i="1"/>
  <c r="BF1232" i="1"/>
  <c r="BG1232" i="1"/>
  <c r="BH1232" i="1"/>
  <c r="BI1232" i="1"/>
  <c r="BJ1232" i="1"/>
  <c r="BM1232" i="1"/>
  <c r="CA1232" i="1"/>
  <c r="CN1232" i="1"/>
  <c r="CO1232" i="1"/>
  <c r="CP1232" i="1"/>
  <c r="CQ1232" i="1"/>
  <c r="G1233" i="1"/>
  <c r="U1233" i="1"/>
  <c r="W1233" i="1"/>
  <c r="AE1233" i="1"/>
  <c r="AK1233" i="1"/>
  <c r="AQ1233" i="1"/>
  <c r="AU1233" i="1"/>
  <c r="AV1233" i="1"/>
  <c r="AW1233" i="1"/>
  <c r="AX1233" i="1"/>
  <c r="AY1233" i="1"/>
  <c r="AZ1233" i="1"/>
  <c r="BA1233" i="1"/>
  <c r="BC1233" i="1"/>
  <c r="BD1233" i="1"/>
  <c r="BE1233" i="1"/>
  <c r="BF1233" i="1"/>
  <c r="BG1233" i="1"/>
  <c r="BH1233" i="1"/>
  <c r="BI1233" i="1"/>
  <c r="BJ1233" i="1"/>
  <c r="BM1233" i="1"/>
  <c r="CA1233" i="1"/>
  <c r="CN1233" i="1"/>
  <c r="CO1233" i="1"/>
  <c r="CP1233" i="1"/>
  <c r="CQ1233" i="1"/>
  <c r="G1234" i="1"/>
  <c r="U1234" i="1"/>
  <c r="W1234" i="1"/>
  <c r="AE1234" i="1"/>
  <c r="AK1234" i="1"/>
  <c r="AQ1234" i="1"/>
  <c r="AU1234" i="1"/>
  <c r="AV1234" i="1"/>
  <c r="AW1234" i="1"/>
  <c r="AX1234" i="1"/>
  <c r="AY1234" i="1"/>
  <c r="AZ1234" i="1"/>
  <c r="BA1234" i="1"/>
  <c r="BC1234" i="1"/>
  <c r="BD1234" i="1"/>
  <c r="BE1234" i="1"/>
  <c r="BF1234" i="1"/>
  <c r="BG1234" i="1"/>
  <c r="BH1234" i="1"/>
  <c r="BI1234" i="1"/>
  <c r="BJ1234" i="1"/>
  <c r="BM1234" i="1"/>
  <c r="CA1234" i="1"/>
  <c r="CN1234" i="1"/>
  <c r="CO1234" i="1"/>
  <c r="CP1234" i="1"/>
  <c r="CQ1234" i="1"/>
  <c r="G1515" i="1"/>
  <c r="U1515" i="1"/>
  <c r="W1515" i="1"/>
  <c r="AE1515" i="1"/>
  <c r="AK1515" i="1"/>
  <c r="AQ1515" i="1"/>
  <c r="AU1515" i="1"/>
  <c r="AV1515" i="1"/>
  <c r="AW1515" i="1"/>
  <c r="AX1515" i="1"/>
  <c r="AY1515" i="1"/>
  <c r="AZ1515" i="1"/>
  <c r="BA1515" i="1"/>
  <c r="BC1515" i="1"/>
  <c r="BD1515" i="1"/>
  <c r="BE1515" i="1"/>
  <c r="BF1515" i="1"/>
  <c r="BG1515" i="1"/>
  <c r="BH1515" i="1"/>
  <c r="BI1515" i="1"/>
  <c r="BJ1515" i="1"/>
  <c r="BM1515" i="1"/>
  <c r="CA1515" i="1"/>
  <c r="CN1515" i="1"/>
  <c r="CO1515" i="1"/>
  <c r="CP1515" i="1"/>
  <c r="CQ1515" i="1"/>
  <c r="G1235" i="1"/>
  <c r="U1235" i="1"/>
  <c r="W1235" i="1"/>
  <c r="AE1235" i="1"/>
  <c r="AK1235" i="1"/>
  <c r="AQ1235" i="1"/>
  <c r="AU1235" i="1"/>
  <c r="AV1235" i="1"/>
  <c r="AW1235" i="1"/>
  <c r="AX1235" i="1"/>
  <c r="AY1235" i="1"/>
  <c r="AZ1235" i="1"/>
  <c r="BA1235" i="1"/>
  <c r="BC1235" i="1"/>
  <c r="BD1235" i="1"/>
  <c r="BE1235" i="1"/>
  <c r="BF1235" i="1"/>
  <c r="BG1235" i="1"/>
  <c r="BH1235" i="1"/>
  <c r="BI1235" i="1"/>
  <c r="BJ1235" i="1"/>
  <c r="BM1235" i="1"/>
  <c r="CA1235" i="1"/>
  <c r="CN1235" i="1"/>
  <c r="CO1235" i="1"/>
  <c r="CP1235" i="1"/>
  <c r="CQ1235" i="1"/>
  <c r="G316" i="1"/>
  <c r="U316" i="1"/>
  <c r="W316" i="1"/>
  <c r="AE316" i="1"/>
  <c r="AK316" i="1"/>
  <c r="AQ316" i="1"/>
  <c r="AU316" i="1"/>
  <c r="AV316" i="1"/>
  <c r="AW316" i="1"/>
  <c r="AX316" i="1"/>
  <c r="AY316" i="1"/>
  <c r="AZ316" i="1"/>
  <c r="BA316" i="1"/>
  <c r="BC316" i="1"/>
  <c r="BD316" i="1"/>
  <c r="BE316" i="1"/>
  <c r="BF316" i="1"/>
  <c r="BG316" i="1"/>
  <c r="BH316" i="1"/>
  <c r="BI316" i="1"/>
  <c r="BJ316" i="1"/>
  <c r="BM316" i="1"/>
  <c r="CA316" i="1"/>
  <c r="CN316" i="1"/>
  <c r="CO316" i="1"/>
  <c r="CP316" i="1"/>
  <c r="CQ316" i="1"/>
  <c r="G1236" i="1"/>
  <c r="U1236" i="1"/>
  <c r="W1236" i="1"/>
  <c r="AE1236" i="1"/>
  <c r="AK1236" i="1"/>
  <c r="AQ1236" i="1"/>
  <c r="AU1236" i="1"/>
  <c r="AV1236" i="1"/>
  <c r="AW1236" i="1"/>
  <c r="AX1236" i="1"/>
  <c r="AY1236" i="1"/>
  <c r="AZ1236" i="1"/>
  <c r="BA1236" i="1"/>
  <c r="BC1236" i="1"/>
  <c r="BD1236" i="1"/>
  <c r="BE1236" i="1"/>
  <c r="BF1236" i="1"/>
  <c r="BG1236" i="1"/>
  <c r="BH1236" i="1"/>
  <c r="BI1236" i="1"/>
  <c r="BJ1236" i="1"/>
  <c r="BM1236" i="1"/>
  <c r="CA1236" i="1"/>
  <c r="CN1236" i="1"/>
  <c r="CO1236" i="1"/>
  <c r="CP1236" i="1"/>
  <c r="CQ1236" i="1"/>
  <c r="G1237" i="1"/>
  <c r="U1237" i="1"/>
  <c r="W1237" i="1"/>
  <c r="AE1237" i="1"/>
  <c r="AK1237" i="1"/>
  <c r="AQ1237" i="1"/>
  <c r="AU1237" i="1"/>
  <c r="AV1237" i="1"/>
  <c r="AW1237" i="1"/>
  <c r="AX1237" i="1"/>
  <c r="AY1237" i="1"/>
  <c r="AZ1237" i="1"/>
  <c r="BA1237" i="1"/>
  <c r="BC1237" i="1"/>
  <c r="BD1237" i="1"/>
  <c r="BE1237" i="1"/>
  <c r="BF1237" i="1"/>
  <c r="BG1237" i="1"/>
  <c r="BH1237" i="1"/>
  <c r="BI1237" i="1"/>
  <c r="BJ1237" i="1"/>
  <c r="BM1237" i="1"/>
  <c r="CA1237" i="1"/>
  <c r="CN1237" i="1"/>
  <c r="CO1237" i="1"/>
  <c r="CP1237" i="1"/>
  <c r="CQ1237" i="1"/>
  <c r="G1238" i="1"/>
  <c r="U1238" i="1"/>
  <c r="W1238" i="1"/>
  <c r="AE1238" i="1"/>
  <c r="AK1238" i="1"/>
  <c r="AQ1238" i="1"/>
  <c r="AU1238" i="1"/>
  <c r="AV1238" i="1"/>
  <c r="AW1238" i="1"/>
  <c r="AX1238" i="1"/>
  <c r="AY1238" i="1"/>
  <c r="AZ1238" i="1"/>
  <c r="BA1238" i="1"/>
  <c r="BC1238" i="1"/>
  <c r="BD1238" i="1"/>
  <c r="BE1238" i="1"/>
  <c r="BF1238" i="1"/>
  <c r="BG1238" i="1"/>
  <c r="BH1238" i="1"/>
  <c r="BI1238" i="1"/>
  <c r="BJ1238" i="1"/>
  <c r="BM1238" i="1"/>
  <c r="CA1238" i="1"/>
  <c r="CN1238" i="1"/>
  <c r="CO1238" i="1"/>
  <c r="CP1238" i="1"/>
  <c r="CQ1238" i="1"/>
  <c r="G1239" i="1"/>
  <c r="U1239" i="1"/>
  <c r="W1239" i="1"/>
  <c r="AE1239" i="1"/>
  <c r="AK1239" i="1"/>
  <c r="AQ1239" i="1"/>
  <c r="AU1239" i="1"/>
  <c r="AV1239" i="1"/>
  <c r="AW1239" i="1"/>
  <c r="AX1239" i="1"/>
  <c r="AY1239" i="1"/>
  <c r="AZ1239" i="1"/>
  <c r="BA1239" i="1"/>
  <c r="BC1239" i="1"/>
  <c r="BD1239" i="1"/>
  <c r="BE1239" i="1"/>
  <c r="BF1239" i="1"/>
  <c r="BG1239" i="1"/>
  <c r="BH1239" i="1"/>
  <c r="BI1239" i="1"/>
  <c r="BJ1239" i="1"/>
  <c r="BM1239" i="1"/>
  <c r="CA1239" i="1"/>
  <c r="CN1239" i="1"/>
  <c r="CO1239" i="1"/>
  <c r="CP1239" i="1"/>
  <c r="CQ1239" i="1"/>
  <c r="G476" i="1"/>
  <c r="U476" i="1"/>
  <c r="W476" i="1"/>
  <c r="AE476" i="1"/>
  <c r="AK476" i="1"/>
  <c r="AQ476" i="1"/>
  <c r="AU476" i="1"/>
  <c r="AV476" i="1"/>
  <c r="AW476" i="1"/>
  <c r="AX476" i="1"/>
  <c r="AY476" i="1"/>
  <c r="AZ476" i="1"/>
  <c r="BA476" i="1"/>
  <c r="BC476" i="1"/>
  <c r="BD476" i="1"/>
  <c r="BE476" i="1"/>
  <c r="BF476" i="1"/>
  <c r="BG476" i="1"/>
  <c r="BH476" i="1"/>
  <c r="BI476" i="1"/>
  <c r="BJ476" i="1"/>
  <c r="BM476" i="1"/>
  <c r="CA476" i="1"/>
  <c r="CN476" i="1"/>
  <c r="CO476" i="1"/>
  <c r="CP476" i="1"/>
  <c r="CQ476" i="1"/>
  <c r="G317" i="1"/>
  <c r="U317" i="1"/>
  <c r="W317" i="1"/>
  <c r="AE317" i="1"/>
  <c r="AK317" i="1"/>
  <c r="AQ317" i="1"/>
  <c r="AU317" i="1"/>
  <c r="AV317" i="1"/>
  <c r="AW317" i="1"/>
  <c r="AX317" i="1"/>
  <c r="AY317" i="1"/>
  <c r="AZ317" i="1"/>
  <c r="BA317" i="1"/>
  <c r="BC317" i="1"/>
  <c r="BD317" i="1"/>
  <c r="BE317" i="1"/>
  <c r="BF317" i="1"/>
  <c r="BG317" i="1"/>
  <c r="BH317" i="1"/>
  <c r="BI317" i="1"/>
  <c r="BJ317" i="1"/>
  <c r="BM317" i="1"/>
  <c r="CA317" i="1"/>
  <c r="CN317" i="1"/>
  <c r="CO317" i="1"/>
  <c r="CP317" i="1"/>
  <c r="CQ317" i="1"/>
  <c r="G1516" i="1"/>
  <c r="U1516" i="1"/>
  <c r="W1516" i="1"/>
  <c r="AE1516" i="1"/>
  <c r="AK1516" i="1"/>
  <c r="AQ1516" i="1"/>
  <c r="AU1516" i="1"/>
  <c r="AV1516" i="1"/>
  <c r="AW1516" i="1"/>
  <c r="AX1516" i="1"/>
  <c r="AY1516" i="1"/>
  <c r="AZ1516" i="1"/>
  <c r="BA1516" i="1"/>
  <c r="BC1516" i="1"/>
  <c r="BD1516" i="1"/>
  <c r="BE1516" i="1"/>
  <c r="BF1516" i="1"/>
  <c r="BG1516" i="1"/>
  <c r="BH1516" i="1"/>
  <c r="BI1516" i="1"/>
  <c r="BJ1516" i="1"/>
  <c r="BM1516" i="1"/>
  <c r="CA1516" i="1"/>
  <c r="CN1516" i="1"/>
  <c r="CO1516" i="1"/>
  <c r="CP1516" i="1"/>
  <c r="CQ1516" i="1"/>
  <c r="G1517" i="1"/>
  <c r="U1517" i="1"/>
  <c r="W1517" i="1"/>
  <c r="AE1517" i="1"/>
  <c r="AK1517" i="1"/>
  <c r="AQ1517" i="1"/>
  <c r="AU1517" i="1"/>
  <c r="AV1517" i="1"/>
  <c r="AW1517" i="1"/>
  <c r="AX1517" i="1"/>
  <c r="AY1517" i="1"/>
  <c r="AZ1517" i="1"/>
  <c r="BA1517" i="1"/>
  <c r="BC1517" i="1"/>
  <c r="BD1517" i="1"/>
  <c r="BE1517" i="1"/>
  <c r="BF1517" i="1"/>
  <c r="BG1517" i="1"/>
  <c r="BH1517" i="1"/>
  <c r="BI1517" i="1"/>
  <c r="BJ1517" i="1"/>
  <c r="BM1517" i="1"/>
  <c r="CA1517" i="1"/>
  <c r="CN1517" i="1"/>
  <c r="CO1517" i="1"/>
  <c r="CP1517" i="1"/>
  <c r="CQ1517" i="1"/>
  <c r="G1240" i="1"/>
  <c r="U1240" i="1"/>
  <c r="W1240" i="1"/>
  <c r="AE1240" i="1"/>
  <c r="AK1240" i="1"/>
  <c r="AQ1240" i="1"/>
  <c r="AU1240" i="1"/>
  <c r="AV1240" i="1"/>
  <c r="AW1240" i="1"/>
  <c r="AX1240" i="1"/>
  <c r="AY1240" i="1"/>
  <c r="AZ1240" i="1"/>
  <c r="BA1240" i="1"/>
  <c r="BC1240" i="1"/>
  <c r="BD1240" i="1"/>
  <c r="BE1240" i="1"/>
  <c r="BF1240" i="1"/>
  <c r="BG1240" i="1"/>
  <c r="BH1240" i="1"/>
  <c r="BI1240" i="1"/>
  <c r="BJ1240" i="1"/>
  <c r="BM1240" i="1"/>
  <c r="CA1240" i="1"/>
  <c r="CN1240" i="1"/>
  <c r="CO1240" i="1"/>
  <c r="CP1240" i="1"/>
  <c r="CQ1240" i="1"/>
  <c r="G318" i="1"/>
  <c r="U318" i="1"/>
  <c r="W318" i="1"/>
  <c r="AE318" i="1"/>
  <c r="AK318" i="1"/>
  <c r="AQ318" i="1"/>
  <c r="AU318" i="1"/>
  <c r="AV318" i="1"/>
  <c r="AW318" i="1"/>
  <c r="AX318" i="1"/>
  <c r="AY318" i="1"/>
  <c r="AZ318" i="1"/>
  <c r="BA318" i="1"/>
  <c r="BC318" i="1"/>
  <c r="BD318" i="1"/>
  <c r="BE318" i="1"/>
  <c r="BF318" i="1"/>
  <c r="BG318" i="1"/>
  <c r="BH318" i="1"/>
  <c r="BI318" i="1"/>
  <c r="BJ318" i="1"/>
  <c r="BM318" i="1"/>
  <c r="CA318" i="1"/>
  <c r="CN318" i="1"/>
  <c r="CO318" i="1"/>
  <c r="CP318" i="1"/>
  <c r="CQ318" i="1"/>
  <c r="G1610" i="1"/>
  <c r="U1610" i="1"/>
  <c r="W1610" i="1"/>
  <c r="AE1610" i="1"/>
  <c r="AK1610" i="1"/>
  <c r="AQ1610" i="1"/>
  <c r="AU1610" i="1"/>
  <c r="AV1610" i="1"/>
  <c r="AW1610" i="1"/>
  <c r="AX1610" i="1"/>
  <c r="AY1610" i="1"/>
  <c r="AZ1610" i="1"/>
  <c r="BA1610" i="1"/>
  <c r="BC1610" i="1"/>
  <c r="BD1610" i="1"/>
  <c r="BE1610" i="1"/>
  <c r="BF1610" i="1"/>
  <c r="BG1610" i="1"/>
  <c r="BH1610" i="1"/>
  <c r="BI1610" i="1"/>
  <c r="BJ1610" i="1"/>
  <c r="BM1610" i="1"/>
  <c r="CA1610" i="1"/>
  <c r="CN1610" i="1"/>
  <c r="CO1610" i="1"/>
  <c r="CP1610" i="1"/>
  <c r="CQ1610" i="1"/>
  <c r="G319" i="1"/>
  <c r="U319" i="1"/>
  <c r="W319" i="1"/>
  <c r="AE319" i="1"/>
  <c r="AK319" i="1"/>
  <c r="AQ319" i="1"/>
  <c r="AU319" i="1"/>
  <c r="AV319" i="1"/>
  <c r="AW319" i="1"/>
  <c r="AX319" i="1"/>
  <c r="AY319" i="1"/>
  <c r="AZ319" i="1"/>
  <c r="BA319" i="1"/>
  <c r="BC319" i="1"/>
  <c r="BD319" i="1"/>
  <c r="BE319" i="1"/>
  <c r="BF319" i="1"/>
  <c r="BG319" i="1"/>
  <c r="BH319" i="1"/>
  <c r="BI319" i="1"/>
  <c r="BJ319" i="1"/>
  <c r="BM319" i="1"/>
  <c r="CA319" i="1"/>
  <c r="CN319" i="1"/>
  <c r="CO319" i="1"/>
  <c r="CP319" i="1"/>
  <c r="CQ319" i="1"/>
  <c r="G1518" i="1"/>
  <c r="U1518" i="1"/>
  <c r="W1518" i="1"/>
  <c r="AE1518" i="1"/>
  <c r="AK1518" i="1"/>
  <c r="AQ1518" i="1"/>
  <c r="AU1518" i="1"/>
  <c r="AV1518" i="1"/>
  <c r="AW1518" i="1"/>
  <c r="AX1518" i="1"/>
  <c r="AY1518" i="1"/>
  <c r="AZ1518" i="1"/>
  <c r="BA1518" i="1"/>
  <c r="BC1518" i="1"/>
  <c r="BD1518" i="1"/>
  <c r="BE1518" i="1"/>
  <c r="BF1518" i="1"/>
  <c r="BG1518" i="1"/>
  <c r="BH1518" i="1"/>
  <c r="BI1518" i="1"/>
  <c r="BJ1518" i="1"/>
  <c r="BM1518" i="1"/>
  <c r="CA1518" i="1"/>
  <c r="CN1518" i="1"/>
  <c r="CO1518" i="1"/>
  <c r="CP1518" i="1"/>
  <c r="CQ1518" i="1"/>
  <c r="G1519" i="1"/>
  <c r="U1519" i="1"/>
  <c r="W1519" i="1"/>
  <c r="AE1519" i="1"/>
  <c r="AK1519" i="1"/>
  <c r="AQ1519" i="1"/>
  <c r="AU1519" i="1"/>
  <c r="AV1519" i="1"/>
  <c r="AW1519" i="1"/>
  <c r="AX1519" i="1"/>
  <c r="AY1519" i="1"/>
  <c r="AZ1519" i="1"/>
  <c r="BA1519" i="1"/>
  <c r="BC1519" i="1"/>
  <c r="BD1519" i="1"/>
  <c r="BE1519" i="1"/>
  <c r="BF1519" i="1"/>
  <c r="BG1519" i="1"/>
  <c r="BH1519" i="1"/>
  <c r="BI1519" i="1"/>
  <c r="BJ1519" i="1"/>
  <c r="BM1519" i="1"/>
  <c r="CA1519" i="1"/>
  <c r="CN1519" i="1"/>
  <c r="CO1519" i="1"/>
  <c r="CP1519" i="1"/>
  <c r="CQ1519" i="1"/>
  <c r="G1611" i="1"/>
  <c r="U1611" i="1"/>
  <c r="W1611" i="1"/>
  <c r="AE1611" i="1"/>
  <c r="AK1611" i="1"/>
  <c r="AQ1611" i="1"/>
  <c r="AU1611" i="1"/>
  <c r="AV1611" i="1"/>
  <c r="AW1611" i="1"/>
  <c r="AX1611" i="1"/>
  <c r="AY1611" i="1"/>
  <c r="AZ1611" i="1"/>
  <c r="BA1611" i="1"/>
  <c r="BC1611" i="1"/>
  <c r="BD1611" i="1"/>
  <c r="BE1611" i="1"/>
  <c r="BF1611" i="1"/>
  <c r="BG1611" i="1"/>
  <c r="BH1611" i="1"/>
  <c r="BI1611" i="1"/>
  <c r="BJ1611" i="1"/>
  <c r="BM1611" i="1"/>
  <c r="CA1611" i="1"/>
  <c r="CN1611" i="1"/>
  <c r="CO1611" i="1"/>
  <c r="CP1611" i="1"/>
  <c r="CQ1611" i="1"/>
  <c r="G1241" i="1"/>
  <c r="U1241" i="1"/>
  <c r="W1241" i="1"/>
  <c r="AE1241" i="1"/>
  <c r="AK1241" i="1"/>
  <c r="AQ1241" i="1"/>
  <c r="AU1241" i="1"/>
  <c r="AV1241" i="1"/>
  <c r="AW1241" i="1"/>
  <c r="AX1241" i="1"/>
  <c r="AY1241" i="1"/>
  <c r="AZ1241" i="1"/>
  <c r="BA1241" i="1"/>
  <c r="BC1241" i="1"/>
  <c r="BD1241" i="1"/>
  <c r="BE1241" i="1"/>
  <c r="BF1241" i="1"/>
  <c r="BG1241" i="1"/>
  <c r="BH1241" i="1"/>
  <c r="BI1241" i="1"/>
  <c r="BJ1241" i="1"/>
  <c r="BM1241" i="1"/>
  <c r="CA1241" i="1"/>
  <c r="CN1241" i="1"/>
  <c r="CO1241" i="1"/>
  <c r="CP1241" i="1"/>
  <c r="CQ1241" i="1"/>
  <c r="G477" i="1"/>
  <c r="U477" i="1"/>
  <c r="W477" i="1"/>
  <c r="AE477" i="1"/>
  <c r="AK477" i="1"/>
  <c r="AQ477" i="1"/>
  <c r="AU477" i="1"/>
  <c r="AV477" i="1"/>
  <c r="AW477" i="1"/>
  <c r="AX477" i="1"/>
  <c r="AY477" i="1"/>
  <c r="AZ477" i="1"/>
  <c r="BA477" i="1"/>
  <c r="BC477" i="1"/>
  <c r="BD477" i="1"/>
  <c r="BE477" i="1"/>
  <c r="BF477" i="1"/>
  <c r="BG477" i="1"/>
  <c r="BH477" i="1"/>
  <c r="BI477" i="1"/>
  <c r="BJ477" i="1"/>
  <c r="BM477" i="1"/>
  <c r="CA477" i="1"/>
  <c r="CN477" i="1"/>
  <c r="CO477" i="1"/>
  <c r="CP477" i="1"/>
  <c r="CQ477" i="1"/>
  <c r="G1242" i="1"/>
  <c r="U1242" i="1"/>
  <c r="W1242" i="1"/>
  <c r="AE1242" i="1"/>
  <c r="AK1242" i="1"/>
  <c r="AQ1242" i="1"/>
  <c r="AU1242" i="1"/>
  <c r="AV1242" i="1"/>
  <c r="AW1242" i="1"/>
  <c r="AX1242" i="1"/>
  <c r="AY1242" i="1"/>
  <c r="AZ1242" i="1"/>
  <c r="BA1242" i="1"/>
  <c r="BC1242" i="1"/>
  <c r="BD1242" i="1"/>
  <c r="BE1242" i="1"/>
  <c r="BF1242" i="1"/>
  <c r="BG1242" i="1"/>
  <c r="BH1242" i="1"/>
  <c r="BI1242" i="1"/>
  <c r="BJ1242" i="1"/>
  <c r="BM1242" i="1"/>
  <c r="CA1242" i="1"/>
  <c r="CN1242" i="1"/>
  <c r="CO1242" i="1"/>
  <c r="CP1242" i="1"/>
  <c r="CQ1242" i="1"/>
  <c r="G1612" i="1"/>
  <c r="U1612" i="1"/>
  <c r="W1612" i="1"/>
  <c r="AE1612" i="1"/>
  <c r="AK1612" i="1"/>
  <c r="AQ1612" i="1"/>
  <c r="AU1612" i="1"/>
  <c r="AV1612" i="1"/>
  <c r="AW1612" i="1"/>
  <c r="AX1612" i="1"/>
  <c r="AY1612" i="1"/>
  <c r="AZ1612" i="1"/>
  <c r="BA1612" i="1"/>
  <c r="BC1612" i="1"/>
  <c r="BD1612" i="1"/>
  <c r="BE1612" i="1"/>
  <c r="BF1612" i="1"/>
  <c r="BG1612" i="1"/>
  <c r="BH1612" i="1"/>
  <c r="BI1612" i="1"/>
  <c r="BJ1612" i="1"/>
  <c r="BM1612" i="1"/>
  <c r="CA1612" i="1"/>
  <c r="CN1612" i="1"/>
  <c r="CO1612" i="1"/>
  <c r="CP1612" i="1"/>
  <c r="CQ1612" i="1"/>
  <c r="G1243" i="1"/>
  <c r="U1243" i="1"/>
  <c r="W1243" i="1"/>
  <c r="AE1243" i="1"/>
  <c r="AK1243" i="1"/>
  <c r="AQ1243" i="1"/>
  <c r="AU1243" i="1"/>
  <c r="AV1243" i="1"/>
  <c r="AW1243" i="1"/>
  <c r="AX1243" i="1"/>
  <c r="AY1243" i="1"/>
  <c r="AZ1243" i="1"/>
  <c r="BA1243" i="1"/>
  <c r="BC1243" i="1"/>
  <c r="BD1243" i="1"/>
  <c r="BE1243" i="1"/>
  <c r="BF1243" i="1"/>
  <c r="BG1243" i="1"/>
  <c r="BH1243" i="1"/>
  <c r="BI1243" i="1"/>
  <c r="BJ1243" i="1"/>
  <c r="BM1243" i="1"/>
  <c r="CA1243" i="1"/>
  <c r="CN1243" i="1"/>
  <c r="CO1243" i="1"/>
  <c r="CP1243" i="1"/>
  <c r="CQ1243" i="1"/>
  <c r="G320" i="1"/>
  <c r="U320" i="1"/>
  <c r="W320" i="1"/>
  <c r="AE320" i="1"/>
  <c r="AK320" i="1"/>
  <c r="AQ320" i="1"/>
  <c r="AU320" i="1"/>
  <c r="AV320" i="1"/>
  <c r="AW320" i="1"/>
  <c r="AX320" i="1"/>
  <c r="AY320" i="1"/>
  <c r="AZ320" i="1"/>
  <c r="BA320" i="1"/>
  <c r="BC320" i="1"/>
  <c r="BD320" i="1"/>
  <c r="BE320" i="1"/>
  <c r="BF320" i="1"/>
  <c r="BG320" i="1"/>
  <c r="BH320" i="1"/>
  <c r="BI320" i="1"/>
  <c r="BJ320" i="1"/>
  <c r="BM320" i="1"/>
  <c r="CA320" i="1"/>
  <c r="CN320" i="1"/>
  <c r="CO320" i="1"/>
  <c r="CP320" i="1"/>
  <c r="CQ320" i="1"/>
  <c r="G321" i="1"/>
  <c r="U321" i="1"/>
  <c r="W321" i="1"/>
  <c r="AE321" i="1"/>
  <c r="AK321" i="1"/>
  <c r="AQ321" i="1"/>
  <c r="AU321" i="1"/>
  <c r="AV321" i="1"/>
  <c r="AW321" i="1"/>
  <c r="AX321" i="1"/>
  <c r="AY321" i="1"/>
  <c r="AZ321" i="1"/>
  <c r="BA321" i="1"/>
  <c r="BC321" i="1"/>
  <c r="BD321" i="1"/>
  <c r="BE321" i="1"/>
  <c r="BF321" i="1"/>
  <c r="BG321" i="1"/>
  <c r="BH321" i="1"/>
  <c r="BI321" i="1"/>
  <c r="BJ321" i="1"/>
  <c r="BM321" i="1"/>
  <c r="CA321" i="1"/>
  <c r="CN321" i="1"/>
  <c r="CO321" i="1"/>
  <c r="CP321" i="1"/>
  <c r="CQ321" i="1"/>
  <c r="G1520" i="1"/>
  <c r="U1520" i="1"/>
  <c r="W1520" i="1"/>
  <c r="AE1520" i="1"/>
  <c r="AK1520" i="1"/>
  <c r="AQ1520" i="1"/>
  <c r="AU1520" i="1"/>
  <c r="AV1520" i="1"/>
  <c r="AW1520" i="1"/>
  <c r="AX1520" i="1"/>
  <c r="AY1520" i="1"/>
  <c r="AZ1520" i="1"/>
  <c r="BA1520" i="1"/>
  <c r="BC1520" i="1"/>
  <c r="BD1520" i="1"/>
  <c r="BE1520" i="1"/>
  <c r="BF1520" i="1"/>
  <c r="BG1520" i="1"/>
  <c r="BH1520" i="1"/>
  <c r="BI1520" i="1"/>
  <c r="BJ1520" i="1"/>
  <c r="BM1520" i="1"/>
  <c r="CA1520" i="1"/>
  <c r="CN1520" i="1"/>
  <c r="CO1520" i="1"/>
  <c r="CP1520" i="1"/>
  <c r="CQ1520" i="1"/>
  <c r="G322" i="1"/>
  <c r="U322" i="1"/>
  <c r="W322" i="1"/>
  <c r="AE322" i="1"/>
  <c r="AK322" i="1"/>
  <c r="AQ322" i="1"/>
  <c r="AU322" i="1"/>
  <c r="AV322" i="1"/>
  <c r="AW322" i="1"/>
  <c r="AX322" i="1"/>
  <c r="AY322" i="1"/>
  <c r="AZ322" i="1"/>
  <c r="BA322" i="1"/>
  <c r="BC322" i="1"/>
  <c r="BD322" i="1"/>
  <c r="BE322" i="1"/>
  <c r="BF322" i="1"/>
  <c r="BG322" i="1"/>
  <c r="BH322" i="1"/>
  <c r="BI322" i="1"/>
  <c r="BJ322" i="1"/>
  <c r="BM322" i="1"/>
  <c r="CA322" i="1"/>
  <c r="CN322" i="1"/>
  <c r="CO322" i="1"/>
  <c r="CP322" i="1"/>
  <c r="CQ322" i="1"/>
  <c r="G323" i="1"/>
  <c r="U323" i="1"/>
  <c r="W323" i="1"/>
  <c r="AE323" i="1"/>
  <c r="AK323" i="1"/>
  <c r="AQ323" i="1"/>
  <c r="AU323" i="1"/>
  <c r="AV323" i="1"/>
  <c r="AW323" i="1"/>
  <c r="AX323" i="1"/>
  <c r="AY323" i="1"/>
  <c r="AZ323" i="1"/>
  <c r="BA323" i="1"/>
  <c r="BC323" i="1"/>
  <c r="BD323" i="1"/>
  <c r="BE323" i="1"/>
  <c r="BF323" i="1"/>
  <c r="BG323" i="1"/>
  <c r="BH323" i="1"/>
  <c r="BI323" i="1"/>
  <c r="BJ323" i="1"/>
  <c r="BM323" i="1"/>
  <c r="CA323" i="1"/>
  <c r="CN323" i="1"/>
  <c r="CO323" i="1"/>
  <c r="CP323" i="1"/>
  <c r="CQ323" i="1"/>
  <c r="G1244" i="1"/>
  <c r="U1244" i="1"/>
  <c r="W1244" i="1"/>
  <c r="AE1244" i="1"/>
  <c r="AK1244" i="1"/>
  <c r="AQ1244" i="1"/>
  <c r="AU1244" i="1"/>
  <c r="AV1244" i="1"/>
  <c r="AW1244" i="1"/>
  <c r="AX1244" i="1"/>
  <c r="AY1244" i="1"/>
  <c r="AZ1244" i="1"/>
  <c r="BA1244" i="1"/>
  <c r="BC1244" i="1"/>
  <c r="BD1244" i="1"/>
  <c r="BE1244" i="1"/>
  <c r="BF1244" i="1"/>
  <c r="BG1244" i="1"/>
  <c r="BH1244" i="1"/>
  <c r="BI1244" i="1"/>
  <c r="BJ1244" i="1"/>
  <c r="BM1244" i="1"/>
  <c r="CA1244" i="1"/>
  <c r="CN1244" i="1"/>
  <c r="CO1244" i="1"/>
  <c r="CP1244" i="1"/>
  <c r="CQ1244" i="1"/>
  <c r="G324" i="1"/>
  <c r="U324" i="1"/>
  <c r="W324" i="1"/>
  <c r="AE324" i="1"/>
  <c r="AK324" i="1"/>
  <c r="AQ324" i="1"/>
  <c r="AU324" i="1"/>
  <c r="AV324" i="1"/>
  <c r="AW324" i="1"/>
  <c r="AX324" i="1"/>
  <c r="AY324" i="1"/>
  <c r="AZ324" i="1"/>
  <c r="BA324" i="1"/>
  <c r="BC324" i="1"/>
  <c r="BD324" i="1"/>
  <c r="BE324" i="1"/>
  <c r="BF324" i="1"/>
  <c r="BG324" i="1"/>
  <c r="BH324" i="1"/>
  <c r="BI324" i="1"/>
  <c r="BJ324" i="1"/>
  <c r="BM324" i="1"/>
  <c r="CA324" i="1"/>
  <c r="CN324" i="1"/>
  <c r="CO324" i="1"/>
  <c r="CP324" i="1"/>
  <c r="CQ324" i="1"/>
  <c r="G1245" i="1"/>
  <c r="U1245" i="1"/>
  <c r="W1245" i="1"/>
  <c r="AE1245" i="1"/>
  <c r="AK1245" i="1"/>
  <c r="AQ1245" i="1"/>
  <c r="AU1245" i="1"/>
  <c r="AV1245" i="1"/>
  <c r="AW1245" i="1"/>
  <c r="AX1245" i="1"/>
  <c r="AY1245" i="1"/>
  <c r="AZ1245" i="1"/>
  <c r="BA1245" i="1"/>
  <c r="BC1245" i="1"/>
  <c r="BD1245" i="1"/>
  <c r="BE1245" i="1"/>
  <c r="BF1245" i="1"/>
  <c r="BG1245" i="1"/>
  <c r="BH1245" i="1"/>
  <c r="BI1245" i="1"/>
  <c r="BJ1245" i="1"/>
  <c r="BM1245" i="1"/>
  <c r="CA1245" i="1"/>
  <c r="CN1245" i="1"/>
  <c r="CO1245" i="1"/>
  <c r="CP1245" i="1"/>
  <c r="CQ1245" i="1"/>
  <c r="G1246" i="1"/>
  <c r="U1246" i="1"/>
  <c r="W1246" i="1"/>
  <c r="AE1246" i="1"/>
  <c r="AK1246" i="1"/>
  <c r="AQ1246" i="1"/>
  <c r="AU1246" i="1"/>
  <c r="AV1246" i="1"/>
  <c r="AW1246" i="1"/>
  <c r="AX1246" i="1"/>
  <c r="AY1246" i="1"/>
  <c r="AZ1246" i="1"/>
  <c r="BA1246" i="1"/>
  <c r="BC1246" i="1"/>
  <c r="BD1246" i="1"/>
  <c r="BE1246" i="1"/>
  <c r="BF1246" i="1"/>
  <c r="BG1246" i="1"/>
  <c r="BH1246" i="1"/>
  <c r="BI1246" i="1"/>
  <c r="BJ1246" i="1"/>
  <c r="BM1246" i="1"/>
  <c r="CA1246" i="1"/>
  <c r="CN1246" i="1"/>
  <c r="CO1246" i="1"/>
  <c r="CP1246" i="1"/>
  <c r="CQ1246" i="1"/>
  <c r="G325" i="1"/>
  <c r="U325" i="1"/>
  <c r="W325" i="1"/>
  <c r="AE325" i="1"/>
  <c r="AK325" i="1"/>
  <c r="AQ325" i="1"/>
  <c r="AU325" i="1"/>
  <c r="AV325" i="1"/>
  <c r="AW325" i="1"/>
  <c r="AX325" i="1"/>
  <c r="AY325" i="1"/>
  <c r="AZ325" i="1"/>
  <c r="BA325" i="1"/>
  <c r="BC325" i="1"/>
  <c r="BD325" i="1"/>
  <c r="BE325" i="1"/>
  <c r="BF325" i="1"/>
  <c r="BG325" i="1"/>
  <c r="BH325" i="1"/>
  <c r="BI325" i="1"/>
  <c r="BJ325" i="1"/>
  <c r="BM325" i="1"/>
  <c r="CA325" i="1"/>
  <c r="CN325" i="1"/>
  <c r="CO325" i="1"/>
  <c r="CP325" i="1"/>
  <c r="CQ325" i="1"/>
  <c r="G1521" i="1"/>
  <c r="U1521" i="1"/>
  <c r="W1521" i="1"/>
  <c r="AE1521" i="1"/>
  <c r="AK1521" i="1"/>
  <c r="AQ1521" i="1"/>
  <c r="AU1521" i="1"/>
  <c r="AV1521" i="1"/>
  <c r="AW1521" i="1"/>
  <c r="AX1521" i="1"/>
  <c r="AY1521" i="1"/>
  <c r="AZ1521" i="1"/>
  <c r="BA1521" i="1"/>
  <c r="BC1521" i="1"/>
  <c r="BD1521" i="1"/>
  <c r="BE1521" i="1"/>
  <c r="BF1521" i="1"/>
  <c r="BG1521" i="1"/>
  <c r="BH1521" i="1"/>
  <c r="BI1521" i="1"/>
  <c r="BJ1521" i="1"/>
  <c r="BM1521" i="1"/>
  <c r="CA1521" i="1"/>
  <c r="CN1521" i="1"/>
  <c r="CO1521" i="1"/>
  <c r="CP1521" i="1"/>
  <c r="CQ1521" i="1"/>
  <c r="G478" i="1"/>
  <c r="U478" i="1"/>
  <c r="W478" i="1"/>
  <c r="AE478" i="1"/>
  <c r="AK478" i="1"/>
  <c r="AQ478" i="1"/>
  <c r="AU478" i="1"/>
  <c r="AV478" i="1"/>
  <c r="AW478" i="1"/>
  <c r="AX478" i="1"/>
  <c r="AY478" i="1"/>
  <c r="AZ478" i="1"/>
  <c r="BA478" i="1"/>
  <c r="BC478" i="1"/>
  <c r="BD478" i="1"/>
  <c r="BE478" i="1"/>
  <c r="BF478" i="1"/>
  <c r="BG478" i="1"/>
  <c r="BH478" i="1"/>
  <c r="BI478" i="1"/>
  <c r="BJ478" i="1"/>
  <c r="BM478" i="1"/>
  <c r="CA478" i="1"/>
  <c r="CN478" i="1"/>
  <c r="CO478" i="1"/>
  <c r="CP478" i="1"/>
  <c r="CQ478" i="1"/>
  <c r="G1522" i="1"/>
  <c r="U1522" i="1"/>
  <c r="W1522" i="1"/>
  <c r="AE1522" i="1"/>
  <c r="AK1522" i="1"/>
  <c r="AQ1522" i="1"/>
  <c r="AU1522" i="1"/>
  <c r="AV1522" i="1"/>
  <c r="AW1522" i="1"/>
  <c r="AX1522" i="1"/>
  <c r="AY1522" i="1"/>
  <c r="AZ1522" i="1"/>
  <c r="BA1522" i="1"/>
  <c r="BC1522" i="1"/>
  <c r="BD1522" i="1"/>
  <c r="BE1522" i="1"/>
  <c r="BF1522" i="1"/>
  <c r="BG1522" i="1"/>
  <c r="BH1522" i="1"/>
  <c r="BI1522" i="1"/>
  <c r="BJ1522" i="1"/>
  <c r="BM1522" i="1"/>
  <c r="CA1522" i="1"/>
  <c r="CN1522" i="1"/>
  <c r="CO1522" i="1"/>
  <c r="CP1522" i="1"/>
  <c r="CQ1522" i="1"/>
  <c r="G1247" i="1"/>
  <c r="U1247" i="1"/>
  <c r="W1247" i="1"/>
  <c r="AE1247" i="1"/>
  <c r="AK1247" i="1"/>
  <c r="AQ1247" i="1"/>
  <c r="AU1247" i="1"/>
  <c r="AV1247" i="1"/>
  <c r="AW1247" i="1"/>
  <c r="AX1247" i="1"/>
  <c r="AY1247" i="1"/>
  <c r="AZ1247" i="1"/>
  <c r="BA1247" i="1"/>
  <c r="BC1247" i="1"/>
  <c r="BD1247" i="1"/>
  <c r="BE1247" i="1"/>
  <c r="BF1247" i="1"/>
  <c r="BG1247" i="1"/>
  <c r="BH1247" i="1"/>
  <c r="BI1247" i="1"/>
  <c r="BJ1247" i="1"/>
  <c r="BM1247" i="1"/>
  <c r="CA1247" i="1"/>
  <c r="CN1247" i="1"/>
  <c r="CO1247" i="1"/>
  <c r="CP1247" i="1"/>
  <c r="CQ1247" i="1"/>
  <c r="G1248" i="1"/>
  <c r="U1248" i="1"/>
  <c r="W1248" i="1"/>
  <c r="AE1248" i="1"/>
  <c r="AK1248" i="1"/>
  <c r="AQ1248" i="1"/>
  <c r="AU1248" i="1"/>
  <c r="AV1248" i="1"/>
  <c r="AW1248" i="1"/>
  <c r="AX1248" i="1"/>
  <c r="AY1248" i="1"/>
  <c r="AZ1248" i="1"/>
  <c r="BA1248" i="1"/>
  <c r="BC1248" i="1"/>
  <c r="BD1248" i="1"/>
  <c r="BE1248" i="1"/>
  <c r="BF1248" i="1"/>
  <c r="BG1248" i="1"/>
  <c r="BH1248" i="1"/>
  <c r="BI1248" i="1"/>
  <c r="BJ1248" i="1"/>
  <c r="BM1248" i="1"/>
  <c r="CA1248" i="1"/>
  <c r="CN1248" i="1"/>
  <c r="CO1248" i="1"/>
  <c r="CP1248" i="1"/>
  <c r="CQ1248" i="1"/>
  <c r="G326" i="1"/>
  <c r="U326" i="1"/>
  <c r="W326" i="1"/>
  <c r="AE326" i="1"/>
  <c r="AK326" i="1"/>
  <c r="AQ326" i="1"/>
  <c r="AU326" i="1"/>
  <c r="AV326" i="1"/>
  <c r="AW326" i="1"/>
  <c r="AX326" i="1"/>
  <c r="AY326" i="1"/>
  <c r="AZ326" i="1"/>
  <c r="BA326" i="1"/>
  <c r="BC326" i="1"/>
  <c r="BD326" i="1"/>
  <c r="BE326" i="1"/>
  <c r="BF326" i="1"/>
  <c r="BG326" i="1"/>
  <c r="BH326" i="1"/>
  <c r="BI326" i="1"/>
  <c r="BJ326" i="1"/>
  <c r="BM326" i="1"/>
  <c r="CA326" i="1"/>
  <c r="CN326" i="1"/>
  <c r="CO326" i="1"/>
  <c r="CP326" i="1"/>
  <c r="CQ326" i="1"/>
  <c r="G1249" i="1"/>
  <c r="U1249" i="1"/>
  <c r="W1249" i="1"/>
  <c r="AE1249" i="1"/>
  <c r="AK1249" i="1"/>
  <c r="AQ1249" i="1"/>
  <c r="AU1249" i="1"/>
  <c r="AV1249" i="1"/>
  <c r="AW1249" i="1"/>
  <c r="AX1249" i="1"/>
  <c r="AY1249" i="1"/>
  <c r="AZ1249" i="1"/>
  <c r="BA1249" i="1"/>
  <c r="BC1249" i="1"/>
  <c r="BD1249" i="1"/>
  <c r="BE1249" i="1"/>
  <c r="BF1249" i="1"/>
  <c r="BG1249" i="1"/>
  <c r="BH1249" i="1"/>
  <c r="BI1249" i="1"/>
  <c r="BJ1249" i="1"/>
  <c r="BM1249" i="1"/>
  <c r="CA1249" i="1"/>
  <c r="CN1249" i="1"/>
  <c r="CO1249" i="1"/>
  <c r="CP1249" i="1"/>
  <c r="CQ1249" i="1"/>
  <c r="G327" i="1"/>
  <c r="U327" i="1"/>
  <c r="W327" i="1"/>
  <c r="AE327" i="1"/>
  <c r="AK327" i="1"/>
  <c r="AQ327" i="1"/>
  <c r="AU327" i="1"/>
  <c r="AV327" i="1"/>
  <c r="AW327" i="1"/>
  <c r="AX327" i="1"/>
  <c r="AY327" i="1"/>
  <c r="AZ327" i="1"/>
  <c r="BA327" i="1"/>
  <c r="BC327" i="1"/>
  <c r="BD327" i="1"/>
  <c r="BE327" i="1"/>
  <c r="BF327" i="1"/>
  <c r="BG327" i="1"/>
  <c r="BH327" i="1"/>
  <c r="BI327" i="1"/>
  <c r="BJ327" i="1"/>
  <c r="BM327" i="1"/>
  <c r="CA327" i="1"/>
  <c r="CN327" i="1"/>
  <c r="CO327" i="1"/>
  <c r="CP327" i="1"/>
  <c r="CQ327" i="1"/>
  <c r="G1250" i="1"/>
  <c r="U1250" i="1"/>
  <c r="W1250" i="1"/>
  <c r="AE1250" i="1"/>
  <c r="AK1250" i="1"/>
  <c r="AQ1250" i="1"/>
  <c r="AU1250" i="1"/>
  <c r="AV1250" i="1"/>
  <c r="AW1250" i="1"/>
  <c r="AX1250" i="1"/>
  <c r="AY1250" i="1"/>
  <c r="AZ1250" i="1"/>
  <c r="BA1250" i="1"/>
  <c r="BC1250" i="1"/>
  <c r="BD1250" i="1"/>
  <c r="BE1250" i="1"/>
  <c r="BF1250" i="1"/>
  <c r="BG1250" i="1"/>
  <c r="BH1250" i="1"/>
  <c r="BI1250" i="1"/>
  <c r="BJ1250" i="1"/>
  <c r="BM1250" i="1"/>
  <c r="CA1250" i="1"/>
  <c r="CN1250" i="1"/>
  <c r="CO1250" i="1"/>
  <c r="CP1250" i="1"/>
  <c r="CQ1250" i="1"/>
  <c r="G1251" i="1"/>
  <c r="U1251" i="1"/>
  <c r="W1251" i="1"/>
  <c r="AE1251" i="1"/>
  <c r="AK1251" i="1"/>
  <c r="AQ1251" i="1"/>
  <c r="AU1251" i="1"/>
  <c r="AV1251" i="1"/>
  <c r="AW1251" i="1"/>
  <c r="AX1251" i="1"/>
  <c r="AY1251" i="1"/>
  <c r="AZ1251" i="1"/>
  <c r="BA1251" i="1"/>
  <c r="BC1251" i="1"/>
  <c r="BD1251" i="1"/>
  <c r="BE1251" i="1"/>
  <c r="BF1251" i="1"/>
  <c r="BG1251" i="1"/>
  <c r="BH1251" i="1"/>
  <c r="BI1251" i="1"/>
  <c r="BJ1251" i="1"/>
  <c r="BM1251" i="1"/>
  <c r="CA1251" i="1"/>
  <c r="CN1251" i="1"/>
  <c r="CO1251" i="1"/>
  <c r="CP1251" i="1"/>
  <c r="CQ1251" i="1"/>
  <c r="G479" i="1"/>
  <c r="U479" i="1"/>
  <c r="W479" i="1"/>
  <c r="AE479" i="1"/>
  <c r="AK479" i="1"/>
  <c r="AQ479" i="1"/>
  <c r="AU479" i="1"/>
  <c r="AV479" i="1"/>
  <c r="AW479" i="1"/>
  <c r="AX479" i="1"/>
  <c r="AY479" i="1"/>
  <c r="AZ479" i="1"/>
  <c r="BA479" i="1"/>
  <c r="BC479" i="1"/>
  <c r="BD479" i="1"/>
  <c r="BE479" i="1"/>
  <c r="BF479" i="1"/>
  <c r="BG479" i="1"/>
  <c r="BH479" i="1"/>
  <c r="BI479" i="1"/>
  <c r="BJ479" i="1"/>
  <c r="BM479" i="1"/>
  <c r="CA479" i="1"/>
  <c r="CN479" i="1"/>
  <c r="CO479" i="1"/>
  <c r="CP479" i="1"/>
  <c r="CQ479" i="1"/>
  <c r="G1252" i="1"/>
  <c r="U1252" i="1"/>
  <c r="W1252" i="1"/>
  <c r="AE1252" i="1"/>
  <c r="AK1252" i="1"/>
  <c r="AQ1252" i="1"/>
  <c r="AU1252" i="1"/>
  <c r="AV1252" i="1"/>
  <c r="AW1252" i="1"/>
  <c r="AX1252" i="1"/>
  <c r="AY1252" i="1"/>
  <c r="AZ1252" i="1"/>
  <c r="BA1252" i="1"/>
  <c r="BC1252" i="1"/>
  <c r="BD1252" i="1"/>
  <c r="BE1252" i="1"/>
  <c r="BF1252" i="1"/>
  <c r="BG1252" i="1"/>
  <c r="BH1252" i="1"/>
  <c r="BI1252" i="1"/>
  <c r="BJ1252" i="1"/>
  <c r="BM1252" i="1"/>
  <c r="CA1252" i="1"/>
  <c r="CN1252" i="1"/>
  <c r="CO1252" i="1"/>
  <c r="CP1252" i="1"/>
  <c r="CQ1252" i="1"/>
  <c r="G1253" i="1"/>
  <c r="U1253" i="1"/>
  <c r="W1253" i="1"/>
  <c r="AE1253" i="1"/>
  <c r="AK1253" i="1"/>
  <c r="AQ1253" i="1"/>
  <c r="AU1253" i="1"/>
  <c r="AV1253" i="1"/>
  <c r="AW1253" i="1"/>
  <c r="AX1253" i="1"/>
  <c r="AY1253" i="1"/>
  <c r="AZ1253" i="1"/>
  <c r="BA1253" i="1"/>
  <c r="BC1253" i="1"/>
  <c r="BD1253" i="1"/>
  <c r="BE1253" i="1"/>
  <c r="BF1253" i="1"/>
  <c r="BG1253" i="1"/>
  <c r="BH1253" i="1"/>
  <c r="BI1253" i="1"/>
  <c r="BJ1253" i="1"/>
  <c r="BM1253" i="1"/>
  <c r="CA1253" i="1"/>
  <c r="CN1253" i="1"/>
  <c r="CO1253" i="1"/>
  <c r="CP1253" i="1"/>
  <c r="CQ1253" i="1"/>
  <c r="G1254" i="1"/>
  <c r="U1254" i="1"/>
  <c r="W1254" i="1"/>
  <c r="AE1254" i="1"/>
  <c r="AK1254" i="1"/>
  <c r="AQ1254" i="1"/>
  <c r="AU1254" i="1"/>
  <c r="AV1254" i="1"/>
  <c r="AW1254" i="1"/>
  <c r="AX1254" i="1"/>
  <c r="AY1254" i="1"/>
  <c r="AZ1254" i="1"/>
  <c r="BA1254" i="1"/>
  <c r="BC1254" i="1"/>
  <c r="BD1254" i="1"/>
  <c r="BE1254" i="1"/>
  <c r="BF1254" i="1"/>
  <c r="BG1254" i="1"/>
  <c r="BH1254" i="1"/>
  <c r="BI1254" i="1"/>
  <c r="BJ1254" i="1"/>
  <c r="BM1254" i="1"/>
  <c r="CA1254" i="1"/>
  <c r="CN1254" i="1"/>
  <c r="CO1254" i="1"/>
  <c r="CP1254" i="1"/>
  <c r="CQ1254" i="1"/>
  <c r="G480" i="1"/>
  <c r="U480" i="1"/>
  <c r="W480" i="1"/>
  <c r="AE480" i="1"/>
  <c r="AK480" i="1"/>
  <c r="AQ480" i="1"/>
  <c r="AU480" i="1"/>
  <c r="AV480" i="1"/>
  <c r="AW480" i="1"/>
  <c r="AX480" i="1"/>
  <c r="AY480" i="1"/>
  <c r="AZ480" i="1"/>
  <c r="BA480" i="1"/>
  <c r="BC480" i="1"/>
  <c r="BD480" i="1"/>
  <c r="BE480" i="1"/>
  <c r="BF480" i="1"/>
  <c r="BG480" i="1"/>
  <c r="BH480" i="1"/>
  <c r="BI480" i="1"/>
  <c r="BJ480" i="1"/>
  <c r="BM480" i="1"/>
  <c r="CA480" i="1"/>
  <c r="CN480" i="1"/>
  <c r="CO480" i="1"/>
  <c r="CP480" i="1"/>
  <c r="CQ480" i="1"/>
  <c r="G328" i="1"/>
  <c r="U328" i="1"/>
  <c r="W328" i="1"/>
  <c r="AE328" i="1"/>
  <c r="AK328" i="1"/>
  <c r="AQ328" i="1"/>
  <c r="AU328" i="1"/>
  <c r="AV328" i="1"/>
  <c r="AW328" i="1"/>
  <c r="AX328" i="1"/>
  <c r="AY328" i="1"/>
  <c r="AZ328" i="1"/>
  <c r="BA328" i="1"/>
  <c r="BC328" i="1"/>
  <c r="BD328" i="1"/>
  <c r="BE328" i="1"/>
  <c r="BF328" i="1"/>
  <c r="BG328" i="1"/>
  <c r="BH328" i="1"/>
  <c r="BI328" i="1"/>
  <c r="BJ328" i="1"/>
  <c r="BM328" i="1"/>
  <c r="CA328" i="1"/>
  <c r="CN328" i="1"/>
  <c r="CO328" i="1"/>
  <c r="CP328" i="1"/>
  <c r="CQ328" i="1"/>
  <c r="G481" i="1"/>
  <c r="U481" i="1"/>
  <c r="W481" i="1"/>
  <c r="AE481" i="1"/>
  <c r="AK481" i="1"/>
  <c r="AQ481" i="1"/>
  <c r="AU481" i="1"/>
  <c r="AV481" i="1"/>
  <c r="AW481" i="1"/>
  <c r="AX481" i="1"/>
  <c r="AY481" i="1"/>
  <c r="AZ481" i="1"/>
  <c r="BA481" i="1"/>
  <c r="BC481" i="1"/>
  <c r="BD481" i="1"/>
  <c r="BE481" i="1"/>
  <c r="BF481" i="1"/>
  <c r="BG481" i="1"/>
  <c r="BH481" i="1"/>
  <c r="BI481" i="1"/>
  <c r="BJ481" i="1"/>
  <c r="BM481" i="1"/>
  <c r="CA481" i="1"/>
  <c r="CN481" i="1"/>
  <c r="CO481" i="1"/>
  <c r="CP481" i="1"/>
  <c r="CQ481" i="1"/>
  <c r="G1255" i="1"/>
  <c r="U1255" i="1"/>
  <c r="W1255" i="1"/>
  <c r="AE1255" i="1"/>
  <c r="AK1255" i="1"/>
  <c r="AQ1255" i="1"/>
  <c r="AU1255" i="1"/>
  <c r="AV1255" i="1"/>
  <c r="AW1255" i="1"/>
  <c r="AX1255" i="1"/>
  <c r="AY1255" i="1"/>
  <c r="AZ1255" i="1"/>
  <c r="BA1255" i="1"/>
  <c r="BC1255" i="1"/>
  <c r="BD1255" i="1"/>
  <c r="BE1255" i="1"/>
  <c r="BF1255" i="1"/>
  <c r="BG1255" i="1"/>
  <c r="BH1255" i="1"/>
  <c r="BI1255" i="1"/>
  <c r="BJ1255" i="1"/>
  <c r="BM1255" i="1"/>
  <c r="CA1255" i="1"/>
  <c r="CN1255" i="1"/>
  <c r="CO1255" i="1"/>
  <c r="CP1255" i="1"/>
  <c r="CQ1255" i="1"/>
  <c r="G482" i="1"/>
  <c r="U482" i="1"/>
  <c r="W482" i="1"/>
  <c r="AE482" i="1"/>
  <c r="AK482" i="1"/>
  <c r="AQ482" i="1"/>
  <c r="AU482" i="1"/>
  <c r="AV482" i="1"/>
  <c r="AW482" i="1"/>
  <c r="AX482" i="1"/>
  <c r="AY482" i="1"/>
  <c r="AZ482" i="1"/>
  <c r="BA482" i="1"/>
  <c r="BC482" i="1"/>
  <c r="BD482" i="1"/>
  <c r="BE482" i="1"/>
  <c r="BF482" i="1"/>
  <c r="BG482" i="1"/>
  <c r="BH482" i="1"/>
  <c r="BI482" i="1"/>
  <c r="BJ482" i="1"/>
  <c r="BM482" i="1"/>
  <c r="CA482" i="1"/>
  <c r="CN482" i="1"/>
  <c r="CO482" i="1"/>
  <c r="CP482" i="1"/>
  <c r="CQ482" i="1"/>
  <c r="G329" i="1"/>
  <c r="U329" i="1"/>
  <c r="W329" i="1"/>
  <c r="AE329" i="1"/>
  <c r="AK329" i="1"/>
  <c r="AQ329" i="1"/>
  <c r="AU329" i="1"/>
  <c r="AV329" i="1"/>
  <c r="AW329" i="1"/>
  <c r="AX329" i="1"/>
  <c r="AY329" i="1"/>
  <c r="AZ329" i="1"/>
  <c r="BA329" i="1"/>
  <c r="BC329" i="1"/>
  <c r="BD329" i="1"/>
  <c r="BE329" i="1"/>
  <c r="BF329" i="1"/>
  <c r="BG329" i="1"/>
  <c r="BH329" i="1"/>
  <c r="BI329" i="1"/>
  <c r="BJ329" i="1"/>
  <c r="BM329" i="1"/>
  <c r="CA329" i="1"/>
  <c r="CN329" i="1"/>
  <c r="CO329" i="1"/>
  <c r="CP329" i="1"/>
  <c r="CQ329" i="1"/>
  <c r="G1256" i="1"/>
  <c r="U1256" i="1"/>
  <c r="W1256" i="1"/>
  <c r="AE1256" i="1"/>
  <c r="AK1256" i="1"/>
  <c r="AQ1256" i="1"/>
  <c r="AU1256" i="1"/>
  <c r="AV1256" i="1"/>
  <c r="AW1256" i="1"/>
  <c r="AX1256" i="1"/>
  <c r="AY1256" i="1"/>
  <c r="AZ1256" i="1"/>
  <c r="BA1256" i="1"/>
  <c r="BC1256" i="1"/>
  <c r="BD1256" i="1"/>
  <c r="BE1256" i="1"/>
  <c r="BF1256" i="1"/>
  <c r="BG1256" i="1"/>
  <c r="BH1256" i="1"/>
  <c r="BI1256" i="1"/>
  <c r="BJ1256" i="1"/>
  <c r="BM1256" i="1"/>
  <c r="CA1256" i="1"/>
  <c r="CN1256" i="1"/>
  <c r="CO1256" i="1"/>
  <c r="CP1256" i="1"/>
  <c r="CQ1256" i="1"/>
  <c r="G1523" i="1"/>
  <c r="U1523" i="1"/>
  <c r="W1523" i="1"/>
  <c r="AE1523" i="1"/>
  <c r="AK1523" i="1"/>
  <c r="AQ1523" i="1"/>
  <c r="AU1523" i="1"/>
  <c r="AV1523" i="1"/>
  <c r="AW1523" i="1"/>
  <c r="AX1523" i="1"/>
  <c r="AY1523" i="1"/>
  <c r="AZ1523" i="1"/>
  <c r="BA1523" i="1"/>
  <c r="BC1523" i="1"/>
  <c r="BD1523" i="1"/>
  <c r="BE1523" i="1"/>
  <c r="BF1523" i="1"/>
  <c r="BG1523" i="1"/>
  <c r="BH1523" i="1"/>
  <c r="BI1523" i="1"/>
  <c r="BJ1523" i="1"/>
  <c r="BM1523" i="1"/>
  <c r="CA1523" i="1"/>
  <c r="CN1523" i="1"/>
  <c r="CO1523" i="1"/>
  <c r="CP1523" i="1"/>
  <c r="CQ1523" i="1"/>
  <c r="G1257" i="1"/>
  <c r="U1257" i="1"/>
  <c r="W1257" i="1"/>
  <c r="AE1257" i="1"/>
  <c r="AK1257" i="1"/>
  <c r="AQ1257" i="1"/>
  <c r="AU1257" i="1"/>
  <c r="AV1257" i="1"/>
  <c r="AW1257" i="1"/>
  <c r="AX1257" i="1"/>
  <c r="AY1257" i="1"/>
  <c r="AZ1257" i="1"/>
  <c r="BA1257" i="1"/>
  <c r="BC1257" i="1"/>
  <c r="BD1257" i="1"/>
  <c r="BE1257" i="1"/>
  <c r="BF1257" i="1"/>
  <c r="BG1257" i="1"/>
  <c r="BH1257" i="1"/>
  <c r="BI1257" i="1"/>
  <c r="BJ1257" i="1"/>
  <c r="BM1257" i="1"/>
  <c r="CA1257" i="1"/>
  <c r="CN1257" i="1"/>
  <c r="CO1257" i="1"/>
  <c r="CP1257" i="1"/>
  <c r="CQ1257" i="1"/>
  <c r="G330" i="1"/>
  <c r="U330" i="1"/>
  <c r="W330" i="1"/>
  <c r="AE330" i="1"/>
  <c r="AK330" i="1"/>
  <c r="AQ330" i="1"/>
  <c r="AU330" i="1"/>
  <c r="AV330" i="1"/>
  <c r="AW330" i="1"/>
  <c r="AX330" i="1"/>
  <c r="AY330" i="1"/>
  <c r="AZ330" i="1"/>
  <c r="BA330" i="1"/>
  <c r="BC330" i="1"/>
  <c r="BD330" i="1"/>
  <c r="BE330" i="1"/>
  <c r="BF330" i="1"/>
  <c r="BG330" i="1"/>
  <c r="BH330" i="1"/>
  <c r="BI330" i="1"/>
  <c r="BJ330" i="1"/>
  <c r="BM330" i="1"/>
  <c r="CA330" i="1"/>
  <c r="CN330" i="1"/>
  <c r="CO330" i="1"/>
  <c r="CP330" i="1"/>
  <c r="CQ330" i="1"/>
  <c r="G1258" i="1"/>
  <c r="U1258" i="1"/>
  <c r="W1258" i="1"/>
  <c r="AE1258" i="1"/>
  <c r="AK1258" i="1"/>
  <c r="AQ1258" i="1"/>
  <c r="AU1258" i="1"/>
  <c r="AV1258" i="1"/>
  <c r="AW1258" i="1"/>
  <c r="AX1258" i="1"/>
  <c r="AY1258" i="1"/>
  <c r="AZ1258" i="1"/>
  <c r="BA1258" i="1"/>
  <c r="BC1258" i="1"/>
  <c r="BD1258" i="1"/>
  <c r="BE1258" i="1"/>
  <c r="BF1258" i="1"/>
  <c r="BG1258" i="1"/>
  <c r="BH1258" i="1"/>
  <c r="BI1258" i="1"/>
  <c r="BJ1258" i="1"/>
  <c r="BM1258" i="1"/>
  <c r="CA1258" i="1"/>
  <c r="CN1258" i="1"/>
  <c r="CO1258" i="1"/>
  <c r="CP1258" i="1"/>
  <c r="CQ1258" i="1"/>
  <c r="G1613" i="1"/>
  <c r="U1613" i="1"/>
  <c r="W1613" i="1"/>
  <c r="AE1613" i="1"/>
  <c r="AK1613" i="1"/>
  <c r="AQ1613" i="1"/>
  <c r="AU1613" i="1"/>
  <c r="AV1613" i="1"/>
  <c r="AW1613" i="1"/>
  <c r="AX1613" i="1"/>
  <c r="AY1613" i="1"/>
  <c r="AZ1613" i="1"/>
  <c r="BA1613" i="1"/>
  <c r="BC1613" i="1"/>
  <c r="BD1613" i="1"/>
  <c r="BE1613" i="1"/>
  <c r="BF1613" i="1"/>
  <c r="BG1613" i="1"/>
  <c r="BH1613" i="1"/>
  <c r="BI1613" i="1"/>
  <c r="BJ1613" i="1"/>
  <c r="BM1613" i="1"/>
  <c r="CA1613" i="1"/>
  <c r="CN1613" i="1"/>
  <c r="CO1613" i="1"/>
  <c r="CP1613" i="1"/>
  <c r="CQ1613" i="1"/>
  <c r="G1259" i="1"/>
  <c r="U1259" i="1"/>
  <c r="W1259" i="1"/>
  <c r="AE1259" i="1"/>
  <c r="AK1259" i="1"/>
  <c r="AQ1259" i="1"/>
  <c r="AU1259" i="1"/>
  <c r="AV1259" i="1"/>
  <c r="AW1259" i="1"/>
  <c r="AX1259" i="1"/>
  <c r="AY1259" i="1"/>
  <c r="AZ1259" i="1"/>
  <c r="BA1259" i="1"/>
  <c r="BC1259" i="1"/>
  <c r="BD1259" i="1"/>
  <c r="BE1259" i="1"/>
  <c r="BF1259" i="1"/>
  <c r="BG1259" i="1"/>
  <c r="BH1259" i="1"/>
  <c r="BI1259" i="1"/>
  <c r="BJ1259" i="1"/>
  <c r="BM1259" i="1"/>
  <c r="CA1259" i="1"/>
  <c r="CN1259" i="1"/>
  <c r="CO1259" i="1"/>
  <c r="CP1259" i="1"/>
  <c r="CQ1259" i="1"/>
  <c r="G1260" i="1"/>
  <c r="U1260" i="1"/>
  <c r="W1260" i="1"/>
  <c r="AE1260" i="1"/>
  <c r="AK1260" i="1"/>
  <c r="AQ1260" i="1"/>
  <c r="AU1260" i="1"/>
  <c r="AV1260" i="1"/>
  <c r="AW1260" i="1"/>
  <c r="AX1260" i="1"/>
  <c r="AY1260" i="1"/>
  <c r="AZ1260" i="1"/>
  <c r="BA1260" i="1"/>
  <c r="BC1260" i="1"/>
  <c r="BD1260" i="1"/>
  <c r="BE1260" i="1"/>
  <c r="BF1260" i="1"/>
  <c r="BG1260" i="1"/>
  <c r="BH1260" i="1"/>
  <c r="BI1260" i="1"/>
  <c r="BJ1260" i="1"/>
  <c r="BM1260" i="1"/>
  <c r="CA1260" i="1"/>
  <c r="CN1260" i="1"/>
  <c r="CO1260" i="1"/>
  <c r="CP1260" i="1"/>
  <c r="CQ1260" i="1"/>
  <c r="G1524" i="1"/>
  <c r="U1524" i="1"/>
  <c r="W1524" i="1"/>
  <c r="AE1524" i="1"/>
  <c r="AK1524" i="1"/>
  <c r="AQ1524" i="1"/>
  <c r="AU1524" i="1"/>
  <c r="AV1524" i="1"/>
  <c r="AW1524" i="1"/>
  <c r="AX1524" i="1"/>
  <c r="AY1524" i="1"/>
  <c r="AZ1524" i="1"/>
  <c r="BA1524" i="1"/>
  <c r="BC1524" i="1"/>
  <c r="BD1524" i="1"/>
  <c r="BE1524" i="1"/>
  <c r="BF1524" i="1"/>
  <c r="BG1524" i="1"/>
  <c r="BH1524" i="1"/>
  <c r="BI1524" i="1"/>
  <c r="BJ1524" i="1"/>
  <c r="BM1524" i="1"/>
  <c r="CA1524" i="1"/>
  <c r="CN1524" i="1"/>
  <c r="CO1524" i="1"/>
  <c r="CP1524" i="1"/>
  <c r="CQ1524" i="1"/>
  <c r="G1261" i="1"/>
  <c r="U1261" i="1"/>
  <c r="W1261" i="1"/>
  <c r="AE1261" i="1"/>
  <c r="AK1261" i="1"/>
  <c r="AQ1261" i="1"/>
  <c r="AU1261" i="1"/>
  <c r="AV1261" i="1"/>
  <c r="AW1261" i="1"/>
  <c r="AX1261" i="1"/>
  <c r="AY1261" i="1"/>
  <c r="AZ1261" i="1"/>
  <c r="BA1261" i="1"/>
  <c r="BC1261" i="1"/>
  <c r="BD1261" i="1"/>
  <c r="BE1261" i="1"/>
  <c r="BF1261" i="1"/>
  <c r="BG1261" i="1"/>
  <c r="BH1261" i="1"/>
  <c r="BI1261" i="1"/>
  <c r="BJ1261" i="1"/>
  <c r="BM1261" i="1"/>
  <c r="CA1261" i="1"/>
  <c r="CN1261" i="1"/>
  <c r="CO1261" i="1"/>
  <c r="CP1261" i="1"/>
  <c r="CQ1261" i="1"/>
  <c r="G331" i="1"/>
  <c r="U331" i="1"/>
  <c r="W331" i="1"/>
  <c r="AE331" i="1"/>
  <c r="AK331" i="1"/>
  <c r="AQ331" i="1"/>
  <c r="AU331" i="1"/>
  <c r="AV331" i="1"/>
  <c r="AW331" i="1"/>
  <c r="AX331" i="1"/>
  <c r="AY331" i="1"/>
  <c r="AZ331" i="1"/>
  <c r="BA331" i="1"/>
  <c r="BC331" i="1"/>
  <c r="BD331" i="1"/>
  <c r="BE331" i="1"/>
  <c r="BF331" i="1"/>
  <c r="BG331" i="1"/>
  <c r="BH331" i="1"/>
  <c r="BI331" i="1"/>
  <c r="BJ331" i="1"/>
  <c r="BM331" i="1"/>
  <c r="CA331" i="1"/>
  <c r="CN331" i="1"/>
  <c r="CO331" i="1"/>
  <c r="CP331" i="1"/>
  <c r="CQ331" i="1"/>
  <c r="G332" i="1"/>
  <c r="U332" i="1"/>
  <c r="W332" i="1"/>
  <c r="AE332" i="1"/>
  <c r="AK332" i="1"/>
  <c r="AQ332" i="1"/>
  <c r="AU332" i="1"/>
  <c r="AV332" i="1"/>
  <c r="AW332" i="1"/>
  <c r="AX332" i="1"/>
  <c r="AY332" i="1"/>
  <c r="AZ332" i="1"/>
  <c r="BA332" i="1"/>
  <c r="BC332" i="1"/>
  <c r="BD332" i="1"/>
  <c r="BE332" i="1"/>
  <c r="BF332" i="1"/>
  <c r="BG332" i="1"/>
  <c r="BH332" i="1"/>
  <c r="BI332" i="1"/>
  <c r="BJ332" i="1"/>
  <c r="BM332" i="1"/>
  <c r="CA332" i="1"/>
  <c r="CN332" i="1"/>
  <c r="CO332" i="1"/>
  <c r="CP332" i="1"/>
  <c r="CQ332" i="1"/>
  <c r="G1262" i="1"/>
  <c r="U1262" i="1"/>
  <c r="W1262" i="1"/>
  <c r="AE1262" i="1"/>
  <c r="AK1262" i="1"/>
  <c r="AQ1262" i="1"/>
  <c r="AU1262" i="1"/>
  <c r="AV1262" i="1"/>
  <c r="AW1262" i="1"/>
  <c r="AX1262" i="1"/>
  <c r="AY1262" i="1"/>
  <c r="AZ1262" i="1"/>
  <c r="BA1262" i="1"/>
  <c r="BC1262" i="1"/>
  <c r="BD1262" i="1"/>
  <c r="BE1262" i="1"/>
  <c r="BF1262" i="1"/>
  <c r="BG1262" i="1"/>
  <c r="BH1262" i="1"/>
  <c r="BI1262" i="1"/>
  <c r="BJ1262" i="1"/>
  <c r="BM1262" i="1"/>
  <c r="CA1262" i="1"/>
  <c r="CN1262" i="1"/>
  <c r="CO1262" i="1"/>
  <c r="CP1262" i="1"/>
  <c r="CQ1262" i="1"/>
  <c r="G1263" i="1"/>
  <c r="U1263" i="1"/>
  <c r="W1263" i="1"/>
  <c r="AE1263" i="1"/>
  <c r="AK1263" i="1"/>
  <c r="AQ1263" i="1"/>
  <c r="AU1263" i="1"/>
  <c r="AV1263" i="1"/>
  <c r="AW1263" i="1"/>
  <c r="AX1263" i="1"/>
  <c r="AY1263" i="1"/>
  <c r="AZ1263" i="1"/>
  <c r="BA1263" i="1"/>
  <c r="BC1263" i="1"/>
  <c r="BD1263" i="1"/>
  <c r="BE1263" i="1"/>
  <c r="BF1263" i="1"/>
  <c r="BG1263" i="1"/>
  <c r="BH1263" i="1"/>
  <c r="BI1263" i="1"/>
  <c r="BJ1263" i="1"/>
  <c r="BM1263" i="1"/>
  <c r="CA1263" i="1"/>
  <c r="CN1263" i="1"/>
  <c r="CO1263" i="1"/>
  <c r="CP1263" i="1"/>
  <c r="CQ1263" i="1"/>
  <c r="G1614" i="1"/>
  <c r="U1614" i="1"/>
  <c r="W1614" i="1"/>
  <c r="AE1614" i="1"/>
  <c r="AK1614" i="1"/>
  <c r="AQ1614" i="1"/>
  <c r="AU1614" i="1"/>
  <c r="AV1614" i="1"/>
  <c r="AW1614" i="1"/>
  <c r="AX1614" i="1"/>
  <c r="AY1614" i="1"/>
  <c r="AZ1614" i="1"/>
  <c r="BA1614" i="1"/>
  <c r="BC1614" i="1"/>
  <c r="BD1614" i="1"/>
  <c r="BE1614" i="1"/>
  <c r="BF1614" i="1"/>
  <c r="BG1614" i="1"/>
  <c r="BH1614" i="1"/>
  <c r="BI1614" i="1"/>
  <c r="BJ1614" i="1"/>
  <c r="BM1614" i="1"/>
  <c r="CA1614" i="1"/>
  <c r="CN1614" i="1"/>
  <c r="CO1614" i="1"/>
  <c r="CP1614" i="1"/>
  <c r="CQ1614" i="1"/>
  <c r="G1525" i="1"/>
  <c r="U1525" i="1"/>
  <c r="W1525" i="1"/>
  <c r="AE1525" i="1"/>
  <c r="AK1525" i="1"/>
  <c r="AQ1525" i="1"/>
  <c r="AU1525" i="1"/>
  <c r="AV1525" i="1"/>
  <c r="AW1525" i="1"/>
  <c r="AX1525" i="1"/>
  <c r="AY1525" i="1"/>
  <c r="AZ1525" i="1"/>
  <c r="BA1525" i="1"/>
  <c r="BC1525" i="1"/>
  <c r="BD1525" i="1"/>
  <c r="BE1525" i="1"/>
  <c r="BF1525" i="1"/>
  <c r="BG1525" i="1"/>
  <c r="BH1525" i="1"/>
  <c r="BI1525" i="1"/>
  <c r="BJ1525" i="1"/>
  <c r="BM1525" i="1"/>
  <c r="CA1525" i="1"/>
  <c r="CN1525" i="1"/>
  <c r="CO1525" i="1"/>
  <c r="CP1525" i="1"/>
  <c r="CQ1525" i="1"/>
  <c r="G333" i="1"/>
  <c r="U333" i="1"/>
  <c r="W333" i="1"/>
  <c r="AE333" i="1"/>
  <c r="AK333" i="1"/>
  <c r="AQ333" i="1"/>
  <c r="AU333" i="1"/>
  <c r="AV333" i="1"/>
  <c r="AW333" i="1"/>
  <c r="AX333" i="1"/>
  <c r="AY333" i="1"/>
  <c r="AZ333" i="1"/>
  <c r="BA333" i="1"/>
  <c r="BC333" i="1"/>
  <c r="BD333" i="1"/>
  <c r="BE333" i="1"/>
  <c r="BF333" i="1"/>
  <c r="BG333" i="1"/>
  <c r="BH333" i="1"/>
  <c r="BI333" i="1"/>
  <c r="BJ333" i="1"/>
  <c r="BM333" i="1"/>
  <c r="CA333" i="1"/>
  <c r="CN333" i="1"/>
  <c r="CO333" i="1"/>
  <c r="CP333" i="1"/>
  <c r="CQ333" i="1"/>
  <c r="G1526" i="1"/>
  <c r="U1526" i="1"/>
  <c r="W1526" i="1"/>
  <c r="AE1526" i="1"/>
  <c r="AK1526" i="1"/>
  <c r="AQ1526" i="1"/>
  <c r="AU1526" i="1"/>
  <c r="AV1526" i="1"/>
  <c r="AW1526" i="1"/>
  <c r="AX1526" i="1"/>
  <c r="AY1526" i="1"/>
  <c r="AZ1526" i="1"/>
  <c r="BA1526" i="1"/>
  <c r="BC1526" i="1"/>
  <c r="BD1526" i="1"/>
  <c r="BE1526" i="1"/>
  <c r="BF1526" i="1"/>
  <c r="BG1526" i="1"/>
  <c r="BH1526" i="1"/>
  <c r="BI1526" i="1"/>
  <c r="BJ1526" i="1"/>
  <c r="BM1526" i="1"/>
  <c r="CA1526" i="1"/>
  <c r="CN1526" i="1"/>
  <c r="CO1526" i="1"/>
  <c r="CP1526" i="1"/>
  <c r="CQ1526" i="1"/>
  <c r="G1264" i="1"/>
  <c r="U1264" i="1"/>
  <c r="W1264" i="1"/>
  <c r="AE1264" i="1"/>
  <c r="AK1264" i="1"/>
  <c r="AQ1264" i="1"/>
  <c r="AU1264" i="1"/>
  <c r="AV1264" i="1"/>
  <c r="AW1264" i="1"/>
  <c r="AX1264" i="1"/>
  <c r="AY1264" i="1"/>
  <c r="AZ1264" i="1"/>
  <c r="BA1264" i="1"/>
  <c r="BC1264" i="1"/>
  <c r="BD1264" i="1"/>
  <c r="BE1264" i="1"/>
  <c r="BF1264" i="1"/>
  <c r="BG1264" i="1"/>
  <c r="BH1264" i="1"/>
  <c r="BI1264" i="1"/>
  <c r="BJ1264" i="1"/>
  <c r="BM1264" i="1"/>
  <c r="CA1264" i="1"/>
  <c r="CN1264" i="1"/>
  <c r="CO1264" i="1"/>
  <c r="CP1264" i="1"/>
  <c r="CQ1264" i="1"/>
  <c r="G1265" i="1"/>
  <c r="U1265" i="1"/>
  <c r="W1265" i="1"/>
  <c r="AE1265" i="1"/>
  <c r="AK1265" i="1"/>
  <c r="AQ1265" i="1"/>
  <c r="AU1265" i="1"/>
  <c r="AV1265" i="1"/>
  <c r="AW1265" i="1"/>
  <c r="AX1265" i="1"/>
  <c r="AY1265" i="1"/>
  <c r="AZ1265" i="1"/>
  <c r="BA1265" i="1"/>
  <c r="BC1265" i="1"/>
  <c r="BD1265" i="1"/>
  <c r="BE1265" i="1"/>
  <c r="BF1265" i="1"/>
  <c r="BG1265" i="1"/>
  <c r="BH1265" i="1"/>
  <c r="BI1265" i="1"/>
  <c r="BJ1265" i="1"/>
  <c r="BM1265" i="1"/>
  <c r="CA1265" i="1"/>
  <c r="CN1265" i="1"/>
  <c r="CO1265" i="1"/>
  <c r="CP1265" i="1"/>
  <c r="CQ1265" i="1"/>
  <c r="G1266" i="1"/>
  <c r="U1266" i="1"/>
  <c r="W1266" i="1"/>
  <c r="AE1266" i="1"/>
  <c r="AK1266" i="1"/>
  <c r="AQ1266" i="1"/>
  <c r="AU1266" i="1"/>
  <c r="AV1266" i="1"/>
  <c r="AW1266" i="1"/>
  <c r="AX1266" i="1"/>
  <c r="AY1266" i="1"/>
  <c r="AZ1266" i="1"/>
  <c r="BA1266" i="1"/>
  <c r="BC1266" i="1"/>
  <c r="BD1266" i="1"/>
  <c r="BE1266" i="1"/>
  <c r="BF1266" i="1"/>
  <c r="BG1266" i="1"/>
  <c r="BH1266" i="1"/>
  <c r="BI1266" i="1"/>
  <c r="BJ1266" i="1"/>
  <c r="BM1266" i="1"/>
  <c r="CA1266" i="1"/>
  <c r="CN1266" i="1"/>
  <c r="CO1266" i="1"/>
  <c r="CP1266" i="1"/>
  <c r="CQ1266" i="1"/>
  <c r="G1267" i="1"/>
  <c r="U1267" i="1"/>
  <c r="W1267" i="1"/>
  <c r="AE1267" i="1"/>
  <c r="AK1267" i="1"/>
  <c r="AQ1267" i="1"/>
  <c r="AU1267" i="1"/>
  <c r="AV1267" i="1"/>
  <c r="AW1267" i="1"/>
  <c r="AX1267" i="1"/>
  <c r="AY1267" i="1"/>
  <c r="AZ1267" i="1"/>
  <c r="BA1267" i="1"/>
  <c r="BC1267" i="1"/>
  <c r="BD1267" i="1"/>
  <c r="BE1267" i="1"/>
  <c r="BF1267" i="1"/>
  <c r="BG1267" i="1"/>
  <c r="BH1267" i="1"/>
  <c r="BI1267" i="1"/>
  <c r="BJ1267" i="1"/>
  <c r="BM1267" i="1"/>
  <c r="CA1267" i="1"/>
  <c r="CN1267" i="1"/>
  <c r="CO1267" i="1"/>
  <c r="CP1267" i="1"/>
  <c r="CQ1267" i="1"/>
  <c r="G1268" i="1"/>
  <c r="U1268" i="1"/>
  <c r="W1268" i="1"/>
  <c r="AE1268" i="1"/>
  <c r="AK1268" i="1"/>
  <c r="AQ1268" i="1"/>
  <c r="AU1268" i="1"/>
  <c r="AV1268" i="1"/>
  <c r="AW1268" i="1"/>
  <c r="AX1268" i="1"/>
  <c r="AY1268" i="1"/>
  <c r="AZ1268" i="1"/>
  <c r="BA1268" i="1"/>
  <c r="BC1268" i="1"/>
  <c r="BD1268" i="1"/>
  <c r="BE1268" i="1"/>
  <c r="BF1268" i="1"/>
  <c r="BG1268" i="1"/>
  <c r="BH1268" i="1"/>
  <c r="BI1268" i="1"/>
  <c r="BJ1268" i="1"/>
  <c r="BM1268" i="1"/>
  <c r="CA1268" i="1"/>
  <c r="CN1268" i="1"/>
  <c r="CO1268" i="1"/>
  <c r="CP1268" i="1"/>
  <c r="CQ1268" i="1"/>
  <c r="G1527" i="1"/>
  <c r="U1527" i="1"/>
  <c r="W1527" i="1"/>
  <c r="AE1527" i="1"/>
  <c r="AK1527" i="1"/>
  <c r="AQ1527" i="1"/>
  <c r="AU1527" i="1"/>
  <c r="AV1527" i="1"/>
  <c r="AW1527" i="1"/>
  <c r="AX1527" i="1"/>
  <c r="AY1527" i="1"/>
  <c r="AZ1527" i="1"/>
  <c r="BA1527" i="1"/>
  <c r="BC1527" i="1"/>
  <c r="BD1527" i="1"/>
  <c r="BE1527" i="1"/>
  <c r="BF1527" i="1"/>
  <c r="BG1527" i="1"/>
  <c r="BH1527" i="1"/>
  <c r="BI1527" i="1"/>
  <c r="BJ1527" i="1"/>
  <c r="BM1527" i="1"/>
  <c r="CA1527" i="1"/>
  <c r="CN1527" i="1"/>
  <c r="CO1527" i="1"/>
  <c r="CP1527" i="1"/>
  <c r="CQ1527" i="1"/>
  <c r="G334" i="1"/>
  <c r="U334" i="1"/>
  <c r="W334" i="1"/>
  <c r="AE334" i="1"/>
  <c r="AK334" i="1"/>
  <c r="AQ334" i="1"/>
  <c r="AU334" i="1"/>
  <c r="AV334" i="1"/>
  <c r="AW334" i="1"/>
  <c r="AX334" i="1"/>
  <c r="AY334" i="1"/>
  <c r="AZ334" i="1"/>
  <c r="BA334" i="1"/>
  <c r="BC334" i="1"/>
  <c r="BD334" i="1"/>
  <c r="BE334" i="1"/>
  <c r="BF334" i="1"/>
  <c r="BG334" i="1"/>
  <c r="BH334" i="1"/>
  <c r="BI334" i="1"/>
  <c r="BJ334" i="1"/>
  <c r="BM334" i="1"/>
  <c r="CA334" i="1"/>
  <c r="CN334" i="1"/>
  <c r="CO334" i="1"/>
  <c r="CP334" i="1"/>
  <c r="CQ334" i="1"/>
  <c r="G1269" i="1"/>
  <c r="U1269" i="1"/>
  <c r="W1269" i="1"/>
  <c r="AE1269" i="1"/>
  <c r="AK1269" i="1"/>
  <c r="AQ1269" i="1"/>
  <c r="AU1269" i="1"/>
  <c r="AV1269" i="1"/>
  <c r="AW1269" i="1"/>
  <c r="AX1269" i="1"/>
  <c r="AY1269" i="1"/>
  <c r="AZ1269" i="1"/>
  <c r="BA1269" i="1"/>
  <c r="BC1269" i="1"/>
  <c r="BD1269" i="1"/>
  <c r="BE1269" i="1"/>
  <c r="BF1269" i="1"/>
  <c r="BG1269" i="1"/>
  <c r="BH1269" i="1"/>
  <c r="BI1269" i="1"/>
  <c r="BJ1269" i="1"/>
  <c r="BM1269" i="1"/>
  <c r="CA1269" i="1"/>
  <c r="CN1269" i="1"/>
  <c r="CO1269" i="1"/>
  <c r="CP1269" i="1"/>
  <c r="CQ1269" i="1"/>
  <c r="G1528" i="1"/>
  <c r="U1528" i="1"/>
  <c r="W1528" i="1"/>
  <c r="AE1528" i="1"/>
  <c r="AK1528" i="1"/>
  <c r="AQ1528" i="1"/>
  <c r="AU1528" i="1"/>
  <c r="AV1528" i="1"/>
  <c r="AW1528" i="1"/>
  <c r="AX1528" i="1"/>
  <c r="AY1528" i="1"/>
  <c r="AZ1528" i="1"/>
  <c r="BA1528" i="1"/>
  <c r="BC1528" i="1"/>
  <c r="BD1528" i="1"/>
  <c r="BE1528" i="1"/>
  <c r="BF1528" i="1"/>
  <c r="BG1528" i="1"/>
  <c r="BH1528" i="1"/>
  <c r="BI1528" i="1"/>
  <c r="BJ1528" i="1"/>
  <c r="BM1528" i="1"/>
  <c r="CA1528" i="1"/>
  <c r="CN1528" i="1"/>
  <c r="CO1528" i="1"/>
  <c r="CP1528" i="1"/>
  <c r="CQ1528" i="1"/>
  <c r="G335" i="1"/>
  <c r="U335" i="1"/>
  <c r="W335" i="1"/>
  <c r="AE335" i="1"/>
  <c r="AK335" i="1"/>
  <c r="AQ335" i="1"/>
  <c r="AU335" i="1"/>
  <c r="AV335" i="1"/>
  <c r="AW335" i="1"/>
  <c r="AX335" i="1"/>
  <c r="AY335" i="1"/>
  <c r="AZ335" i="1"/>
  <c r="BA335" i="1"/>
  <c r="BC335" i="1"/>
  <c r="BD335" i="1"/>
  <c r="BE335" i="1"/>
  <c r="BF335" i="1"/>
  <c r="BG335" i="1"/>
  <c r="BH335" i="1"/>
  <c r="BI335" i="1"/>
  <c r="BJ335" i="1"/>
  <c r="BM335" i="1"/>
  <c r="CA335" i="1"/>
  <c r="CN335" i="1"/>
  <c r="CO335" i="1"/>
  <c r="CP335" i="1"/>
  <c r="CQ335" i="1"/>
  <c r="G1270" i="1"/>
  <c r="U1270" i="1"/>
  <c r="W1270" i="1"/>
  <c r="AE1270" i="1"/>
  <c r="AK1270" i="1"/>
  <c r="AQ1270" i="1"/>
  <c r="AU1270" i="1"/>
  <c r="AV1270" i="1"/>
  <c r="AW1270" i="1"/>
  <c r="AX1270" i="1"/>
  <c r="AY1270" i="1"/>
  <c r="AZ1270" i="1"/>
  <c r="BA1270" i="1"/>
  <c r="BC1270" i="1"/>
  <c r="BD1270" i="1"/>
  <c r="BE1270" i="1"/>
  <c r="BF1270" i="1"/>
  <c r="BG1270" i="1"/>
  <c r="BH1270" i="1"/>
  <c r="BI1270" i="1"/>
  <c r="BJ1270" i="1"/>
  <c r="BM1270" i="1"/>
  <c r="CA1270" i="1"/>
  <c r="CN1270" i="1"/>
  <c r="CO1270" i="1"/>
  <c r="CP1270" i="1"/>
  <c r="CQ1270" i="1"/>
  <c r="G483" i="1"/>
  <c r="U483" i="1"/>
  <c r="W483" i="1"/>
  <c r="AE483" i="1"/>
  <c r="AK483" i="1"/>
  <c r="AQ483" i="1"/>
  <c r="AU483" i="1"/>
  <c r="AV483" i="1"/>
  <c r="AW483" i="1"/>
  <c r="AX483" i="1"/>
  <c r="AY483" i="1"/>
  <c r="AZ483" i="1"/>
  <c r="BA483" i="1"/>
  <c r="BC483" i="1"/>
  <c r="BD483" i="1"/>
  <c r="BE483" i="1"/>
  <c r="BF483" i="1"/>
  <c r="BG483" i="1"/>
  <c r="BH483" i="1"/>
  <c r="BI483" i="1"/>
  <c r="BJ483" i="1"/>
  <c r="BM483" i="1"/>
  <c r="CA483" i="1"/>
  <c r="CN483" i="1"/>
  <c r="CO483" i="1"/>
  <c r="CP483" i="1"/>
  <c r="CQ483" i="1"/>
  <c r="G1271" i="1"/>
  <c r="U1271" i="1"/>
  <c r="W1271" i="1"/>
  <c r="AE1271" i="1"/>
  <c r="AK1271" i="1"/>
  <c r="AQ1271" i="1"/>
  <c r="AU1271" i="1"/>
  <c r="AV1271" i="1"/>
  <c r="AW1271" i="1"/>
  <c r="AX1271" i="1"/>
  <c r="AY1271" i="1"/>
  <c r="AZ1271" i="1"/>
  <c r="BA1271" i="1"/>
  <c r="BC1271" i="1"/>
  <c r="BD1271" i="1"/>
  <c r="BE1271" i="1"/>
  <c r="BF1271" i="1"/>
  <c r="BG1271" i="1"/>
  <c r="BH1271" i="1"/>
  <c r="BI1271" i="1"/>
  <c r="BJ1271" i="1"/>
  <c r="BM1271" i="1"/>
  <c r="CA1271" i="1"/>
  <c r="CN1271" i="1"/>
  <c r="CO1271" i="1"/>
  <c r="CP1271" i="1"/>
  <c r="CQ1271" i="1"/>
  <c r="G1272" i="1"/>
  <c r="U1272" i="1"/>
  <c r="W1272" i="1"/>
  <c r="AE1272" i="1"/>
  <c r="AK1272" i="1"/>
  <c r="AQ1272" i="1"/>
  <c r="AU1272" i="1"/>
  <c r="AV1272" i="1"/>
  <c r="AW1272" i="1"/>
  <c r="AX1272" i="1"/>
  <c r="AY1272" i="1"/>
  <c r="AZ1272" i="1"/>
  <c r="BA1272" i="1"/>
  <c r="BC1272" i="1"/>
  <c r="BD1272" i="1"/>
  <c r="BE1272" i="1"/>
  <c r="BF1272" i="1"/>
  <c r="BG1272" i="1"/>
  <c r="BH1272" i="1"/>
  <c r="BI1272" i="1"/>
  <c r="BJ1272" i="1"/>
  <c r="BM1272" i="1"/>
  <c r="CA1272" i="1"/>
  <c r="CN1272" i="1"/>
  <c r="CO1272" i="1"/>
  <c r="CP1272" i="1"/>
  <c r="CQ1272" i="1"/>
  <c r="G336" i="1"/>
  <c r="U336" i="1"/>
  <c r="W336" i="1"/>
  <c r="AE336" i="1"/>
  <c r="AK336" i="1"/>
  <c r="AQ336" i="1"/>
  <c r="AU336" i="1"/>
  <c r="AV336" i="1"/>
  <c r="AW336" i="1"/>
  <c r="AX336" i="1"/>
  <c r="AY336" i="1"/>
  <c r="AZ336" i="1"/>
  <c r="BA336" i="1"/>
  <c r="BC336" i="1"/>
  <c r="BD336" i="1"/>
  <c r="BE336" i="1"/>
  <c r="BF336" i="1"/>
  <c r="BG336" i="1"/>
  <c r="BH336" i="1"/>
  <c r="BI336" i="1"/>
  <c r="BJ336" i="1"/>
  <c r="BM336" i="1"/>
  <c r="CA336" i="1"/>
  <c r="CN336" i="1"/>
  <c r="CO336" i="1"/>
  <c r="CP336" i="1"/>
  <c r="CQ336" i="1"/>
  <c r="G1273" i="1"/>
  <c r="U1273" i="1"/>
  <c r="W1273" i="1"/>
  <c r="AE1273" i="1"/>
  <c r="AK1273" i="1"/>
  <c r="AQ1273" i="1"/>
  <c r="AU1273" i="1"/>
  <c r="AV1273" i="1"/>
  <c r="AW1273" i="1"/>
  <c r="AX1273" i="1"/>
  <c r="AY1273" i="1"/>
  <c r="AZ1273" i="1"/>
  <c r="BA1273" i="1"/>
  <c r="BC1273" i="1"/>
  <c r="BD1273" i="1"/>
  <c r="BE1273" i="1"/>
  <c r="BF1273" i="1"/>
  <c r="BG1273" i="1"/>
  <c r="BH1273" i="1"/>
  <c r="BI1273" i="1"/>
  <c r="BJ1273" i="1"/>
  <c r="BM1273" i="1"/>
  <c r="CA1273" i="1"/>
  <c r="CN1273" i="1"/>
  <c r="CO1273" i="1"/>
  <c r="CP1273" i="1"/>
  <c r="CQ1273" i="1"/>
  <c r="G1274" i="1"/>
  <c r="U1274" i="1"/>
  <c r="W1274" i="1"/>
  <c r="AE1274" i="1"/>
  <c r="AK1274" i="1"/>
  <c r="AQ1274" i="1"/>
  <c r="AU1274" i="1"/>
  <c r="AV1274" i="1"/>
  <c r="AW1274" i="1"/>
  <c r="AX1274" i="1"/>
  <c r="AY1274" i="1"/>
  <c r="AZ1274" i="1"/>
  <c r="BA1274" i="1"/>
  <c r="BC1274" i="1"/>
  <c r="BD1274" i="1"/>
  <c r="BE1274" i="1"/>
  <c r="BF1274" i="1"/>
  <c r="BG1274" i="1"/>
  <c r="BH1274" i="1"/>
  <c r="BI1274" i="1"/>
  <c r="BJ1274" i="1"/>
  <c r="BM1274" i="1"/>
  <c r="CA1274" i="1"/>
  <c r="CN1274" i="1"/>
  <c r="CO1274" i="1"/>
  <c r="CP1274" i="1"/>
  <c r="CQ1274" i="1"/>
  <c r="G484" i="1"/>
  <c r="U484" i="1"/>
  <c r="W484" i="1"/>
  <c r="AE484" i="1"/>
  <c r="AK484" i="1"/>
  <c r="AQ484" i="1"/>
  <c r="AU484" i="1"/>
  <c r="AV484" i="1"/>
  <c r="AW484" i="1"/>
  <c r="AX484" i="1"/>
  <c r="AY484" i="1"/>
  <c r="AZ484" i="1"/>
  <c r="BA484" i="1"/>
  <c r="BC484" i="1"/>
  <c r="BD484" i="1"/>
  <c r="BE484" i="1"/>
  <c r="BF484" i="1"/>
  <c r="BG484" i="1"/>
  <c r="BH484" i="1"/>
  <c r="BI484" i="1"/>
  <c r="BJ484" i="1"/>
  <c r="BM484" i="1"/>
  <c r="CA484" i="1"/>
  <c r="CN484" i="1"/>
  <c r="CO484" i="1"/>
  <c r="CP484" i="1"/>
  <c r="CQ484" i="1"/>
  <c r="G1275" i="1"/>
  <c r="U1275" i="1"/>
  <c r="W1275" i="1"/>
  <c r="AE1275" i="1"/>
  <c r="AK1275" i="1"/>
  <c r="AQ1275" i="1"/>
  <c r="AU1275" i="1"/>
  <c r="AV1275" i="1"/>
  <c r="AW1275" i="1"/>
  <c r="AX1275" i="1"/>
  <c r="AY1275" i="1"/>
  <c r="AZ1275" i="1"/>
  <c r="BA1275" i="1"/>
  <c r="BC1275" i="1"/>
  <c r="BD1275" i="1"/>
  <c r="BE1275" i="1"/>
  <c r="BF1275" i="1"/>
  <c r="BG1275" i="1"/>
  <c r="BH1275" i="1"/>
  <c r="BI1275" i="1"/>
  <c r="BJ1275" i="1"/>
  <c r="BM1275" i="1"/>
  <c r="CA1275" i="1"/>
  <c r="CN1275" i="1"/>
  <c r="CO1275" i="1"/>
  <c r="CP1275" i="1"/>
  <c r="CQ1275" i="1"/>
  <c r="G337" i="1"/>
  <c r="U337" i="1"/>
  <c r="W337" i="1"/>
  <c r="AE337" i="1"/>
  <c r="AK337" i="1"/>
  <c r="AQ337" i="1"/>
  <c r="AU337" i="1"/>
  <c r="AV337" i="1"/>
  <c r="AW337" i="1"/>
  <c r="AX337" i="1"/>
  <c r="AY337" i="1"/>
  <c r="AZ337" i="1"/>
  <c r="BA337" i="1"/>
  <c r="BC337" i="1"/>
  <c r="BD337" i="1"/>
  <c r="BE337" i="1"/>
  <c r="BF337" i="1"/>
  <c r="BG337" i="1"/>
  <c r="BH337" i="1"/>
  <c r="BI337" i="1"/>
  <c r="BJ337" i="1"/>
  <c r="BM337" i="1"/>
  <c r="CA337" i="1"/>
  <c r="CN337" i="1"/>
  <c r="CO337" i="1"/>
  <c r="CP337" i="1"/>
  <c r="CQ337" i="1"/>
  <c r="G1529" i="1"/>
  <c r="U1529" i="1"/>
  <c r="W1529" i="1"/>
  <c r="AE1529" i="1"/>
  <c r="AK1529" i="1"/>
  <c r="AQ1529" i="1"/>
  <c r="AU1529" i="1"/>
  <c r="AV1529" i="1"/>
  <c r="AW1529" i="1"/>
  <c r="AX1529" i="1"/>
  <c r="AY1529" i="1"/>
  <c r="AZ1529" i="1"/>
  <c r="BA1529" i="1"/>
  <c r="BC1529" i="1"/>
  <c r="BD1529" i="1"/>
  <c r="BE1529" i="1"/>
  <c r="BF1529" i="1"/>
  <c r="BG1529" i="1"/>
  <c r="BH1529" i="1"/>
  <c r="BI1529" i="1"/>
  <c r="BJ1529" i="1"/>
  <c r="BM1529" i="1"/>
  <c r="CA1529" i="1"/>
  <c r="CN1529" i="1"/>
  <c r="CO1529" i="1"/>
  <c r="CP1529" i="1"/>
  <c r="CQ1529" i="1"/>
  <c r="G338" i="1"/>
  <c r="U338" i="1"/>
  <c r="W338" i="1"/>
  <c r="AE338" i="1"/>
  <c r="AK338" i="1"/>
  <c r="AQ338" i="1"/>
  <c r="AU338" i="1"/>
  <c r="AV338" i="1"/>
  <c r="AW338" i="1"/>
  <c r="AX338" i="1"/>
  <c r="AY338" i="1"/>
  <c r="AZ338" i="1"/>
  <c r="BA338" i="1"/>
  <c r="BC338" i="1"/>
  <c r="BD338" i="1"/>
  <c r="BE338" i="1"/>
  <c r="BF338" i="1"/>
  <c r="BG338" i="1"/>
  <c r="BH338" i="1"/>
  <c r="BI338" i="1"/>
  <c r="BJ338" i="1"/>
  <c r="BM338" i="1"/>
  <c r="CA338" i="1"/>
  <c r="CN338" i="1"/>
  <c r="CO338" i="1"/>
  <c r="CP338" i="1"/>
  <c r="CQ338" i="1"/>
  <c r="G1276" i="1"/>
  <c r="U1276" i="1"/>
  <c r="W1276" i="1"/>
  <c r="AE1276" i="1"/>
  <c r="AK1276" i="1"/>
  <c r="AQ1276" i="1"/>
  <c r="AU1276" i="1"/>
  <c r="AV1276" i="1"/>
  <c r="AW1276" i="1"/>
  <c r="AX1276" i="1"/>
  <c r="AY1276" i="1"/>
  <c r="AZ1276" i="1"/>
  <c r="BA1276" i="1"/>
  <c r="BC1276" i="1"/>
  <c r="BD1276" i="1"/>
  <c r="BE1276" i="1"/>
  <c r="BF1276" i="1"/>
  <c r="BG1276" i="1"/>
  <c r="BH1276" i="1"/>
  <c r="BI1276" i="1"/>
  <c r="BJ1276" i="1"/>
  <c r="BM1276" i="1"/>
  <c r="CA1276" i="1"/>
  <c r="CN1276" i="1"/>
  <c r="CO1276" i="1"/>
  <c r="CP1276" i="1"/>
  <c r="CQ1276" i="1"/>
  <c r="G1615" i="1"/>
  <c r="U1615" i="1"/>
  <c r="W1615" i="1"/>
  <c r="AE1615" i="1"/>
  <c r="AK1615" i="1"/>
  <c r="AQ1615" i="1"/>
  <c r="AU1615" i="1"/>
  <c r="AV1615" i="1"/>
  <c r="AW1615" i="1"/>
  <c r="AX1615" i="1"/>
  <c r="AY1615" i="1"/>
  <c r="AZ1615" i="1"/>
  <c r="BA1615" i="1"/>
  <c r="BC1615" i="1"/>
  <c r="BD1615" i="1"/>
  <c r="BE1615" i="1"/>
  <c r="BF1615" i="1"/>
  <c r="BG1615" i="1"/>
  <c r="BH1615" i="1"/>
  <c r="BI1615" i="1"/>
  <c r="BJ1615" i="1"/>
  <c r="BM1615" i="1"/>
  <c r="CA1615" i="1"/>
  <c r="CN1615" i="1"/>
  <c r="CO1615" i="1"/>
  <c r="CP1615" i="1"/>
  <c r="CQ1615" i="1"/>
  <c r="G1277" i="1"/>
  <c r="U1277" i="1"/>
  <c r="W1277" i="1"/>
  <c r="AE1277" i="1"/>
  <c r="AK1277" i="1"/>
  <c r="AQ1277" i="1"/>
  <c r="AU1277" i="1"/>
  <c r="AV1277" i="1"/>
  <c r="AW1277" i="1"/>
  <c r="AX1277" i="1"/>
  <c r="AY1277" i="1"/>
  <c r="AZ1277" i="1"/>
  <c r="BA1277" i="1"/>
  <c r="BC1277" i="1"/>
  <c r="BD1277" i="1"/>
  <c r="BE1277" i="1"/>
  <c r="BF1277" i="1"/>
  <c r="BG1277" i="1"/>
  <c r="BH1277" i="1"/>
  <c r="BI1277" i="1"/>
  <c r="BJ1277" i="1"/>
  <c r="BM1277" i="1"/>
  <c r="CA1277" i="1"/>
  <c r="CN1277" i="1"/>
  <c r="CO1277" i="1"/>
  <c r="CP1277" i="1"/>
  <c r="CQ1277" i="1"/>
  <c r="G339" i="1"/>
  <c r="U339" i="1"/>
  <c r="W339" i="1"/>
  <c r="AE339" i="1"/>
  <c r="AK339" i="1"/>
  <c r="AQ339" i="1"/>
  <c r="AU339" i="1"/>
  <c r="AV339" i="1"/>
  <c r="AW339" i="1"/>
  <c r="AX339" i="1"/>
  <c r="AY339" i="1"/>
  <c r="AZ339" i="1"/>
  <c r="BA339" i="1"/>
  <c r="BC339" i="1"/>
  <c r="BD339" i="1"/>
  <c r="BE339" i="1"/>
  <c r="BF339" i="1"/>
  <c r="BG339" i="1"/>
  <c r="BH339" i="1"/>
  <c r="BI339" i="1"/>
  <c r="BJ339" i="1"/>
  <c r="BM339" i="1"/>
  <c r="CA339" i="1"/>
  <c r="CN339" i="1"/>
  <c r="CO339" i="1"/>
  <c r="CP339" i="1"/>
  <c r="CQ339" i="1"/>
  <c r="G1278" i="1"/>
  <c r="U1278" i="1"/>
  <c r="W1278" i="1"/>
  <c r="AE1278" i="1"/>
  <c r="AK1278" i="1"/>
  <c r="AQ1278" i="1"/>
  <c r="AU1278" i="1"/>
  <c r="AV1278" i="1"/>
  <c r="AW1278" i="1"/>
  <c r="AX1278" i="1"/>
  <c r="AY1278" i="1"/>
  <c r="AZ1278" i="1"/>
  <c r="BA1278" i="1"/>
  <c r="BC1278" i="1"/>
  <c r="BD1278" i="1"/>
  <c r="BE1278" i="1"/>
  <c r="BF1278" i="1"/>
  <c r="BG1278" i="1"/>
  <c r="BH1278" i="1"/>
  <c r="BI1278" i="1"/>
  <c r="BJ1278" i="1"/>
  <c r="BM1278" i="1"/>
  <c r="CA1278" i="1"/>
  <c r="CN1278" i="1"/>
  <c r="CO1278" i="1"/>
  <c r="CP1278" i="1"/>
  <c r="CQ1278" i="1"/>
  <c r="G340" i="1"/>
  <c r="U340" i="1"/>
  <c r="W340" i="1"/>
  <c r="AE340" i="1"/>
  <c r="AK340" i="1"/>
  <c r="AQ340" i="1"/>
  <c r="AU340" i="1"/>
  <c r="AV340" i="1"/>
  <c r="AW340" i="1"/>
  <c r="AX340" i="1"/>
  <c r="AY340" i="1"/>
  <c r="AZ340" i="1"/>
  <c r="BA340" i="1"/>
  <c r="BC340" i="1"/>
  <c r="BD340" i="1"/>
  <c r="BE340" i="1"/>
  <c r="BF340" i="1"/>
  <c r="BG340" i="1"/>
  <c r="BH340" i="1"/>
  <c r="BI340" i="1"/>
  <c r="BJ340" i="1"/>
  <c r="BM340" i="1"/>
  <c r="CA340" i="1"/>
  <c r="CN340" i="1"/>
  <c r="CO340" i="1"/>
  <c r="CP340" i="1"/>
  <c r="CQ340" i="1"/>
  <c r="G1279" i="1"/>
  <c r="U1279" i="1"/>
  <c r="W1279" i="1"/>
  <c r="AE1279" i="1"/>
  <c r="AK1279" i="1"/>
  <c r="AQ1279" i="1"/>
  <c r="AU1279" i="1"/>
  <c r="AV1279" i="1"/>
  <c r="AW1279" i="1"/>
  <c r="AX1279" i="1"/>
  <c r="AY1279" i="1"/>
  <c r="AZ1279" i="1"/>
  <c r="BA1279" i="1"/>
  <c r="BC1279" i="1"/>
  <c r="BD1279" i="1"/>
  <c r="BE1279" i="1"/>
  <c r="BF1279" i="1"/>
  <c r="BG1279" i="1"/>
  <c r="BH1279" i="1"/>
  <c r="BI1279" i="1"/>
  <c r="BJ1279" i="1"/>
  <c r="BM1279" i="1"/>
  <c r="CA1279" i="1"/>
  <c r="CN1279" i="1"/>
  <c r="CO1279" i="1"/>
  <c r="CP1279" i="1"/>
  <c r="CQ1279" i="1"/>
  <c r="G341" i="1"/>
  <c r="U341" i="1"/>
  <c r="W341" i="1"/>
  <c r="AE341" i="1"/>
  <c r="AK341" i="1"/>
  <c r="AQ341" i="1"/>
  <c r="AU341" i="1"/>
  <c r="AV341" i="1"/>
  <c r="AW341" i="1"/>
  <c r="AX341" i="1"/>
  <c r="AY341" i="1"/>
  <c r="AZ341" i="1"/>
  <c r="BA341" i="1"/>
  <c r="BC341" i="1"/>
  <c r="BD341" i="1"/>
  <c r="BE341" i="1"/>
  <c r="BF341" i="1"/>
  <c r="BG341" i="1"/>
  <c r="BH341" i="1"/>
  <c r="BI341" i="1"/>
  <c r="BJ341" i="1"/>
  <c r="BM341" i="1"/>
  <c r="CA341" i="1"/>
  <c r="CN341" i="1"/>
  <c r="CO341" i="1"/>
  <c r="CP341" i="1"/>
  <c r="CQ341" i="1"/>
  <c r="G342" i="1"/>
  <c r="U342" i="1"/>
  <c r="W342" i="1"/>
  <c r="AE342" i="1"/>
  <c r="AK342" i="1"/>
  <c r="AQ342" i="1"/>
  <c r="AU342" i="1"/>
  <c r="AV342" i="1"/>
  <c r="AW342" i="1"/>
  <c r="AX342" i="1"/>
  <c r="AY342" i="1"/>
  <c r="AZ342" i="1"/>
  <c r="BA342" i="1"/>
  <c r="BC342" i="1"/>
  <c r="BD342" i="1"/>
  <c r="BE342" i="1"/>
  <c r="BF342" i="1"/>
  <c r="BG342" i="1"/>
  <c r="BH342" i="1"/>
  <c r="BI342" i="1"/>
  <c r="BJ342" i="1"/>
  <c r="BM342" i="1"/>
  <c r="CA342" i="1"/>
  <c r="CN342" i="1"/>
  <c r="CO342" i="1"/>
  <c r="CP342" i="1"/>
  <c r="CQ342" i="1"/>
  <c r="G1530" i="1"/>
  <c r="U1530" i="1"/>
  <c r="W1530" i="1"/>
  <c r="AE1530" i="1"/>
  <c r="AK1530" i="1"/>
  <c r="AQ1530" i="1"/>
  <c r="AU1530" i="1"/>
  <c r="AV1530" i="1"/>
  <c r="AW1530" i="1"/>
  <c r="AX1530" i="1"/>
  <c r="AY1530" i="1"/>
  <c r="AZ1530" i="1"/>
  <c r="BA1530" i="1"/>
  <c r="BC1530" i="1"/>
  <c r="BD1530" i="1"/>
  <c r="BE1530" i="1"/>
  <c r="BF1530" i="1"/>
  <c r="BG1530" i="1"/>
  <c r="BH1530" i="1"/>
  <c r="BI1530" i="1"/>
  <c r="BJ1530" i="1"/>
  <c r="BM1530" i="1"/>
  <c r="CA1530" i="1"/>
  <c r="CN1530" i="1"/>
  <c r="CO1530" i="1"/>
  <c r="CP1530" i="1"/>
  <c r="CQ1530" i="1"/>
  <c r="G1280" i="1"/>
  <c r="U1280" i="1"/>
  <c r="W1280" i="1"/>
  <c r="AE1280" i="1"/>
  <c r="AK1280" i="1"/>
  <c r="AQ1280" i="1"/>
  <c r="AU1280" i="1"/>
  <c r="AV1280" i="1"/>
  <c r="AW1280" i="1"/>
  <c r="AX1280" i="1"/>
  <c r="AY1280" i="1"/>
  <c r="AZ1280" i="1"/>
  <c r="BA1280" i="1"/>
  <c r="BC1280" i="1"/>
  <c r="BD1280" i="1"/>
  <c r="BE1280" i="1"/>
  <c r="BF1280" i="1"/>
  <c r="BG1280" i="1"/>
  <c r="BH1280" i="1"/>
  <c r="BI1280" i="1"/>
  <c r="BJ1280" i="1"/>
  <c r="BM1280" i="1"/>
  <c r="CA1280" i="1"/>
  <c r="CN1280" i="1"/>
  <c r="CO1280" i="1"/>
  <c r="CP1280" i="1"/>
  <c r="CQ1280" i="1"/>
  <c r="G1281" i="1"/>
  <c r="U1281" i="1"/>
  <c r="W1281" i="1"/>
  <c r="AE1281" i="1"/>
  <c r="AK1281" i="1"/>
  <c r="AQ1281" i="1"/>
  <c r="AU1281" i="1"/>
  <c r="AV1281" i="1"/>
  <c r="AW1281" i="1"/>
  <c r="AX1281" i="1"/>
  <c r="AY1281" i="1"/>
  <c r="AZ1281" i="1"/>
  <c r="BA1281" i="1"/>
  <c r="BC1281" i="1"/>
  <c r="BD1281" i="1"/>
  <c r="BE1281" i="1"/>
  <c r="BF1281" i="1"/>
  <c r="BG1281" i="1"/>
  <c r="BH1281" i="1"/>
  <c r="BI1281" i="1"/>
  <c r="BJ1281" i="1"/>
  <c r="BM1281" i="1"/>
  <c r="CA1281" i="1"/>
  <c r="CN1281" i="1"/>
  <c r="CO1281" i="1"/>
  <c r="CP1281" i="1"/>
  <c r="CQ1281" i="1"/>
  <c r="G1282" i="1"/>
  <c r="U1282" i="1"/>
  <c r="W1282" i="1"/>
  <c r="AE1282" i="1"/>
  <c r="AK1282" i="1"/>
  <c r="AQ1282" i="1"/>
  <c r="AU1282" i="1"/>
  <c r="AV1282" i="1"/>
  <c r="AW1282" i="1"/>
  <c r="AX1282" i="1"/>
  <c r="AY1282" i="1"/>
  <c r="AZ1282" i="1"/>
  <c r="BA1282" i="1"/>
  <c r="BC1282" i="1"/>
  <c r="BD1282" i="1"/>
  <c r="BE1282" i="1"/>
  <c r="BF1282" i="1"/>
  <c r="BG1282" i="1"/>
  <c r="BH1282" i="1"/>
  <c r="BI1282" i="1"/>
  <c r="BJ1282" i="1"/>
  <c r="BM1282" i="1"/>
  <c r="CA1282" i="1"/>
  <c r="CN1282" i="1"/>
  <c r="CO1282" i="1"/>
  <c r="CP1282" i="1"/>
  <c r="CQ1282" i="1"/>
  <c r="G1531" i="1"/>
  <c r="U1531" i="1"/>
  <c r="W1531" i="1"/>
  <c r="AE1531" i="1"/>
  <c r="AK1531" i="1"/>
  <c r="AQ1531" i="1"/>
  <c r="AU1531" i="1"/>
  <c r="AV1531" i="1"/>
  <c r="AW1531" i="1"/>
  <c r="AX1531" i="1"/>
  <c r="AY1531" i="1"/>
  <c r="AZ1531" i="1"/>
  <c r="BA1531" i="1"/>
  <c r="BC1531" i="1"/>
  <c r="BD1531" i="1"/>
  <c r="BE1531" i="1"/>
  <c r="BF1531" i="1"/>
  <c r="BG1531" i="1"/>
  <c r="BH1531" i="1"/>
  <c r="BI1531" i="1"/>
  <c r="BJ1531" i="1"/>
  <c r="BM1531" i="1"/>
  <c r="CA1531" i="1"/>
  <c r="CN1531" i="1"/>
  <c r="CO1531" i="1"/>
  <c r="CP1531" i="1"/>
  <c r="CQ1531" i="1"/>
  <c r="G485" i="1"/>
  <c r="U485" i="1"/>
  <c r="W485" i="1"/>
  <c r="AE485" i="1"/>
  <c r="AK485" i="1"/>
  <c r="AQ485" i="1"/>
  <c r="AU485" i="1"/>
  <c r="AV485" i="1"/>
  <c r="AW485" i="1"/>
  <c r="AX485" i="1"/>
  <c r="AY485" i="1"/>
  <c r="AZ485" i="1"/>
  <c r="BA485" i="1"/>
  <c r="BC485" i="1"/>
  <c r="BD485" i="1"/>
  <c r="BE485" i="1"/>
  <c r="BF485" i="1"/>
  <c r="BG485" i="1"/>
  <c r="BH485" i="1"/>
  <c r="BI485" i="1"/>
  <c r="BJ485" i="1"/>
  <c r="BM485" i="1"/>
  <c r="CA485" i="1"/>
  <c r="CN485" i="1"/>
  <c r="CO485" i="1"/>
  <c r="CP485" i="1"/>
  <c r="CQ485" i="1"/>
  <c r="G1283" i="1"/>
  <c r="U1283" i="1"/>
  <c r="W1283" i="1"/>
  <c r="AE1283" i="1"/>
  <c r="AK1283" i="1"/>
  <c r="AQ1283" i="1"/>
  <c r="AU1283" i="1"/>
  <c r="AV1283" i="1"/>
  <c r="AW1283" i="1"/>
  <c r="AX1283" i="1"/>
  <c r="AY1283" i="1"/>
  <c r="AZ1283" i="1"/>
  <c r="BA1283" i="1"/>
  <c r="BC1283" i="1"/>
  <c r="BD1283" i="1"/>
  <c r="BE1283" i="1"/>
  <c r="BF1283" i="1"/>
  <c r="BG1283" i="1"/>
  <c r="BH1283" i="1"/>
  <c r="BI1283" i="1"/>
  <c r="BJ1283" i="1"/>
  <c r="BM1283" i="1"/>
  <c r="CA1283" i="1"/>
  <c r="CN1283" i="1"/>
  <c r="CO1283" i="1"/>
  <c r="CP1283" i="1"/>
  <c r="CQ1283" i="1"/>
  <c r="G1284" i="1"/>
  <c r="U1284" i="1"/>
  <c r="W1284" i="1"/>
  <c r="AE1284" i="1"/>
  <c r="AK1284" i="1"/>
  <c r="AQ1284" i="1"/>
  <c r="AU1284" i="1"/>
  <c r="AV1284" i="1"/>
  <c r="AW1284" i="1"/>
  <c r="AX1284" i="1"/>
  <c r="AY1284" i="1"/>
  <c r="AZ1284" i="1"/>
  <c r="BA1284" i="1"/>
  <c r="BC1284" i="1"/>
  <c r="BD1284" i="1"/>
  <c r="BE1284" i="1"/>
  <c r="BF1284" i="1"/>
  <c r="BG1284" i="1"/>
  <c r="BH1284" i="1"/>
  <c r="BI1284" i="1"/>
  <c r="BJ1284" i="1"/>
  <c r="BM1284" i="1"/>
  <c r="CA1284" i="1"/>
  <c r="CN1284" i="1"/>
  <c r="CO1284" i="1"/>
  <c r="CP1284" i="1"/>
  <c r="CQ1284" i="1"/>
  <c r="G1616" i="1"/>
  <c r="U1616" i="1"/>
  <c r="W1616" i="1"/>
  <c r="AE1616" i="1"/>
  <c r="AK1616" i="1"/>
  <c r="AQ1616" i="1"/>
  <c r="AU1616" i="1"/>
  <c r="AV1616" i="1"/>
  <c r="AW1616" i="1"/>
  <c r="AX1616" i="1"/>
  <c r="AY1616" i="1"/>
  <c r="AZ1616" i="1"/>
  <c r="BA1616" i="1"/>
  <c r="BC1616" i="1"/>
  <c r="BD1616" i="1"/>
  <c r="BE1616" i="1"/>
  <c r="BF1616" i="1"/>
  <c r="BG1616" i="1"/>
  <c r="BH1616" i="1"/>
  <c r="BI1616" i="1"/>
  <c r="BJ1616" i="1"/>
  <c r="BM1616" i="1"/>
  <c r="CA1616" i="1"/>
  <c r="CN1616" i="1"/>
  <c r="CO1616" i="1"/>
  <c r="CP1616" i="1"/>
  <c r="CQ1616" i="1"/>
  <c r="G1285" i="1"/>
  <c r="U1285" i="1"/>
  <c r="W1285" i="1"/>
  <c r="AE1285" i="1"/>
  <c r="AK1285" i="1"/>
  <c r="AQ1285" i="1"/>
  <c r="AU1285" i="1"/>
  <c r="AV1285" i="1"/>
  <c r="AW1285" i="1"/>
  <c r="AX1285" i="1"/>
  <c r="AY1285" i="1"/>
  <c r="AZ1285" i="1"/>
  <c r="BA1285" i="1"/>
  <c r="BC1285" i="1"/>
  <c r="BD1285" i="1"/>
  <c r="BE1285" i="1"/>
  <c r="BF1285" i="1"/>
  <c r="BG1285" i="1"/>
  <c r="BH1285" i="1"/>
  <c r="BI1285" i="1"/>
  <c r="BJ1285" i="1"/>
  <c r="BM1285" i="1"/>
  <c r="CA1285" i="1"/>
  <c r="CN1285" i="1"/>
  <c r="CO1285" i="1"/>
  <c r="CP1285" i="1"/>
  <c r="CQ1285" i="1"/>
  <c r="G1286" i="1"/>
  <c r="U1286" i="1"/>
  <c r="W1286" i="1"/>
  <c r="AE1286" i="1"/>
  <c r="AK1286" i="1"/>
  <c r="AQ1286" i="1"/>
  <c r="AU1286" i="1"/>
  <c r="AV1286" i="1"/>
  <c r="AW1286" i="1"/>
  <c r="AX1286" i="1"/>
  <c r="AY1286" i="1"/>
  <c r="AZ1286" i="1"/>
  <c r="BA1286" i="1"/>
  <c r="BC1286" i="1"/>
  <c r="BD1286" i="1"/>
  <c r="BE1286" i="1"/>
  <c r="BF1286" i="1"/>
  <c r="BG1286" i="1"/>
  <c r="BH1286" i="1"/>
  <c r="BI1286" i="1"/>
  <c r="BJ1286" i="1"/>
  <c r="BM1286" i="1"/>
  <c r="CA1286" i="1"/>
  <c r="CN1286" i="1"/>
  <c r="CO1286" i="1"/>
  <c r="CP1286" i="1"/>
  <c r="CQ1286" i="1"/>
  <c r="G486" i="1"/>
  <c r="U486" i="1"/>
  <c r="W486" i="1"/>
  <c r="AE486" i="1"/>
  <c r="AK486" i="1"/>
  <c r="AQ486" i="1"/>
  <c r="AU486" i="1"/>
  <c r="AV486" i="1"/>
  <c r="AW486" i="1"/>
  <c r="AX486" i="1"/>
  <c r="AY486" i="1"/>
  <c r="AZ486" i="1"/>
  <c r="BA486" i="1"/>
  <c r="BC486" i="1"/>
  <c r="BD486" i="1"/>
  <c r="BE486" i="1"/>
  <c r="BF486" i="1"/>
  <c r="BG486" i="1"/>
  <c r="BH486" i="1"/>
  <c r="BI486" i="1"/>
  <c r="BJ486" i="1"/>
  <c r="BM486" i="1"/>
  <c r="CA486" i="1"/>
  <c r="CN486" i="1"/>
  <c r="CO486" i="1"/>
  <c r="CP486" i="1"/>
  <c r="CQ486" i="1"/>
  <c r="G1287" i="1"/>
  <c r="U1287" i="1"/>
  <c r="W1287" i="1"/>
  <c r="AE1287" i="1"/>
  <c r="AK1287" i="1"/>
  <c r="AQ1287" i="1"/>
  <c r="AU1287" i="1"/>
  <c r="AV1287" i="1"/>
  <c r="AW1287" i="1"/>
  <c r="AX1287" i="1"/>
  <c r="AY1287" i="1"/>
  <c r="AZ1287" i="1"/>
  <c r="BA1287" i="1"/>
  <c r="BC1287" i="1"/>
  <c r="BD1287" i="1"/>
  <c r="BE1287" i="1"/>
  <c r="BF1287" i="1"/>
  <c r="BG1287" i="1"/>
  <c r="BH1287" i="1"/>
  <c r="BI1287" i="1"/>
  <c r="BJ1287" i="1"/>
  <c r="BM1287" i="1"/>
  <c r="CA1287" i="1"/>
  <c r="CN1287" i="1"/>
  <c r="CO1287" i="1"/>
  <c r="CP1287" i="1"/>
  <c r="CQ1287" i="1"/>
  <c r="G1288" i="1"/>
  <c r="U1288" i="1"/>
  <c r="W1288" i="1"/>
  <c r="AE1288" i="1"/>
  <c r="AK1288" i="1"/>
  <c r="AQ1288" i="1"/>
  <c r="AU1288" i="1"/>
  <c r="AV1288" i="1"/>
  <c r="AW1288" i="1"/>
  <c r="AX1288" i="1"/>
  <c r="AY1288" i="1"/>
  <c r="AZ1288" i="1"/>
  <c r="BA1288" i="1"/>
  <c r="BC1288" i="1"/>
  <c r="BD1288" i="1"/>
  <c r="BE1288" i="1"/>
  <c r="BF1288" i="1"/>
  <c r="BG1288" i="1"/>
  <c r="BH1288" i="1"/>
  <c r="BI1288" i="1"/>
  <c r="BJ1288" i="1"/>
  <c r="BM1288" i="1"/>
  <c r="CA1288" i="1"/>
  <c r="CN1288" i="1"/>
  <c r="CO1288" i="1"/>
  <c r="CP1288" i="1"/>
  <c r="CQ1288" i="1"/>
  <c r="G343" i="1"/>
  <c r="U343" i="1"/>
  <c r="W343" i="1"/>
  <c r="AE343" i="1"/>
  <c r="AK343" i="1"/>
  <c r="AQ343" i="1"/>
  <c r="AU343" i="1"/>
  <c r="AV343" i="1"/>
  <c r="AW343" i="1"/>
  <c r="AX343" i="1"/>
  <c r="AY343" i="1"/>
  <c r="AZ343" i="1"/>
  <c r="BA343" i="1"/>
  <c r="BC343" i="1"/>
  <c r="BD343" i="1"/>
  <c r="BE343" i="1"/>
  <c r="BF343" i="1"/>
  <c r="BG343" i="1"/>
  <c r="BH343" i="1"/>
  <c r="BI343" i="1"/>
  <c r="BJ343" i="1"/>
  <c r="BM343" i="1"/>
  <c r="CA343" i="1"/>
  <c r="CN343" i="1"/>
  <c r="CO343" i="1"/>
  <c r="CP343" i="1"/>
  <c r="CQ343" i="1"/>
  <c r="G344" i="1"/>
  <c r="U344" i="1"/>
  <c r="W344" i="1"/>
  <c r="AE344" i="1"/>
  <c r="AK344" i="1"/>
  <c r="AQ344" i="1"/>
  <c r="AU344" i="1"/>
  <c r="AV344" i="1"/>
  <c r="AW344" i="1"/>
  <c r="AX344" i="1"/>
  <c r="AY344" i="1"/>
  <c r="AZ344" i="1"/>
  <c r="BA344" i="1"/>
  <c r="BC344" i="1"/>
  <c r="BD344" i="1"/>
  <c r="BE344" i="1"/>
  <c r="BF344" i="1"/>
  <c r="BG344" i="1"/>
  <c r="BH344" i="1"/>
  <c r="BI344" i="1"/>
  <c r="BJ344" i="1"/>
  <c r="BM344" i="1"/>
  <c r="CA344" i="1"/>
  <c r="CN344" i="1"/>
  <c r="CO344" i="1"/>
  <c r="CP344" i="1"/>
  <c r="CQ344" i="1"/>
  <c r="G1289" i="1"/>
  <c r="U1289" i="1"/>
  <c r="W1289" i="1"/>
  <c r="AE1289" i="1"/>
  <c r="AK1289" i="1"/>
  <c r="AQ1289" i="1"/>
  <c r="AU1289" i="1"/>
  <c r="AV1289" i="1"/>
  <c r="AW1289" i="1"/>
  <c r="AX1289" i="1"/>
  <c r="AY1289" i="1"/>
  <c r="AZ1289" i="1"/>
  <c r="BA1289" i="1"/>
  <c r="BC1289" i="1"/>
  <c r="BD1289" i="1"/>
  <c r="BE1289" i="1"/>
  <c r="BF1289" i="1"/>
  <c r="BG1289" i="1"/>
  <c r="BH1289" i="1"/>
  <c r="BI1289" i="1"/>
  <c r="BJ1289" i="1"/>
  <c r="BM1289" i="1"/>
  <c r="CA1289" i="1"/>
  <c r="CN1289" i="1"/>
  <c r="CO1289" i="1"/>
  <c r="CP1289" i="1"/>
  <c r="CQ1289" i="1"/>
  <c r="G1290" i="1"/>
  <c r="U1290" i="1"/>
  <c r="W1290" i="1"/>
  <c r="AE1290" i="1"/>
  <c r="AK1290" i="1"/>
  <c r="AQ1290" i="1"/>
  <c r="AU1290" i="1"/>
  <c r="AV1290" i="1"/>
  <c r="AW1290" i="1"/>
  <c r="AX1290" i="1"/>
  <c r="AY1290" i="1"/>
  <c r="AZ1290" i="1"/>
  <c r="BA1290" i="1"/>
  <c r="BC1290" i="1"/>
  <c r="BD1290" i="1"/>
  <c r="BE1290" i="1"/>
  <c r="BF1290" i="1"/>
  <c r="BG1290" i="1"/>
  <c r="BH1290" i="1"/>
  <c r="BI1290" i="1"/>
  <c r="BJ1290" i="1"/>
  <c r="BM1290" i="1"/>
  <c r="CA1290" i="1"/>
  <c r="CN1290" i="1"/>
  <c r="CO1290" i="1"/>
  <c r="CP1290" i="1"/>
  <c r="CQ1290" i="1"/>
  <c r="G1291" i="1"/>
  <c r="U1291" i="1"/>
  <c r="W1291" i="1"/>
  <c r="AE1291" i="1"/>
  <c r="AK1291" i="1"/>
  <c r="AQ1291" i="1"/>
  <c r="AU1291" i="1"/>
  <c r="AV1291" i="1"/>
  <c r="AW1291" i="1"/>
  <c r="AX1291" i="1"/>
  <c r="AY1291" i="1"/>
  <c r="AZ1291" i="1"/>
  <c r="BA1291" i="1"/>
  <c r="BC1291" i="1"/>
  <c r="BD1291" i="1"/>
  <c r="BE1291" i="1"/>
  <c r="BF1291" i="1"/>
  <c r="BG1291" i="1"/>
  <c r="BH1291" i="1"/>
  <c r="BI1291" i="1"/>
  <c r="BJ1291" i="1"/>
  <c r="BM1291" i="1"/>
  <c r="CA1291" i="1"/>
  <c r="CN1291" i="1"/>
  <c r="CO1291" i="1"/>
  <c r="CP1291" i="1"/>
  <c r="CQ1291" i="1"/>
  <c r="G1532" i="1"/>
  <c r="U1532" i="1"/>
  <c r="W1532" i="1"/>
  <c r="AE1532" i="1"/>
  <c r="AK1532" i="1"/>
  <c r="AQ1532" i="1"/>
  <c r="AU1532" i="1"/>
  <c r="AV1532" i="1"/>
  <c r="AW1532" i="1"/>
  <c r="AX1532" i="1"/>
  <c r="AY1532" i="1"/>
  <c r="AZ1532" i="1"/>
  <c r="BA1532" i="1"/>
  <c r="BC1532" i="1"/>
  <c r="BD1532" i="1"/>
  <c r="BE1532" i="1"/>
  <c r="BF1532" i="1"/>
  <c r="BG1532" i="1"/>
  <c r="BH1532" i="1"/>
  <c r="BI1532" i="1"/>
  <c r="BJ1532" i="1"/>
  <c r="BM1532" i="1"/>
  <c r="CA1532" i="1"/>
  <c r="CN1532" i="1"/>
  <c r="CO1532" i="1"/>
  <c r="CP1532" i="1"/>
  <c r="CQ1532" i="1"/>
  <c r="G1292" i="1"/>
  <c r="U1292" i="1"/>
  <c r="W1292" i="1"/>
  <c r="AE1292" i="1"/>
  <c r="AK1292" i="1"/>
  <c r="AQ1292" i="1"/>
  <c r="AU1292" i="1"/>
  <c r="AV1292" i="1"/>
  <c r="AW1292" i="1"/>
  <c r="AX1292" i="1"/>
  <c r="AY1292" i="1"/>
  <c r="AZ1292" i="1"/>
  <c r="BA1292" i="1"/>
  <c r="BC1292" i="1"/>
  <c r="BD1292" i="1"/>
  <c r="BE1292" i="1"/>
  <c r="BF1292" i="1"/>
  <c r="BG1292" i="1"/>
  <c r="BH1292" i="1"/>
  <c r="BI1292" i="1"/>
  <c r="BJ1292" i="1"/>
  <c r="BM1292" i="1"/>
  <c r="CA1292" i="1"/>
  <c r="CN1292" i="1"/>
  <c r="CO1292" i="1"/>
  <c r="CP1292" i="1"/>
  <c r="CQ1292" i="1"/>
  <c r="G1293" i="1"/>
  <c r="U1293" i="1"/>
  <c r="W1293" i="1"/>
  <c r="AE1293" i="1"/>
  <c r="AK1293" i="1"/>
  <c r="AQ1293" i="1"/>
  <c r="AU1293" i="1"/>
  <c r="AV1293" i="1"/>
  <c r="AW1293" i="1"/>
  <c r="AX1293" i="1"/>
  <c r="AY1293" i="1"/>
  <c r="AZ1293" i="1"/>
  <c r="BA1293" i="1"/>
  <c r="BC1293" i="1"/>
  <c r="BD1293" i="1"/>
  <c r="BE1293" i="1"/>
  <c r="BF1293" i="1"/>
  <c r="BG1293" i="1"/>
  <c r="BH1293" i="1"/>
  <c r="BI1293" i="1"/>
  <c r="BJ1293" i="1"/>
  <c r="BM1293" i="1"/>
  <c r="CA1293" i="1"/>
  <c r="CN1293" i="1"/>
  <c r="CO1293" i="1"/>
  <c r="CP1293" i="1"/>
  <c r="CQ1293" i="1"/>
  <c r="G345" i="1"/>
  <c r="U345" i="1"/>
  <c r="W345" i="1"/>
  <c r="AE345" i="1"/>
  <c r="AK345" i="1"/>
  <c r="AQ345" i="1"/>
  <c r="AU345" i="1"/>
  <c r="AV345" i="1"/>
  <c r="AW345" i="1"/>
  <c r="AX345" i="1"/>
  <c r="AY345" i="1"/>
  <c r="AZ345" i="1"/>
  <c r="BA345" i="1"/>
  <c r="BC345" i="1"/>
  <c r="BD345" i="1"/>
  <c r="BE345" i="1"/>
  <c r="BF345" i="1"/>
  <c r="BG345" i="1"/>
  <c r="BH345" i="1"/>
  <c r="BI345" i="1"/>
  <c r="BJ345" i="1"/>
  <c r="BM345" i="1"/>
  <c r="CA345" i="1"/>
  <c r="CN345" i="1"/>
  <c r="CO345" i="1"/>
  <c r="CP345" i="1"/>
  <c r="CQ345" i="1"/>
  <c r="G1533" i="1"/>
  <c r="U1533" i="1"/>
  <c r="W1533" i="1"/>
  <c r="AE1533" i="1"/>
  <c r="AK1533" i="1"/>
  <c r="AQ1533" i="1"/>
  <c r="AU1533" i="1"/>
  <c r="AV1533" i="1"/>
  <c r="AW1533" i="1"/>
  <c r="AX1533" i="1"/>
  <c r="AY1533" i="1"/>
  <c r="AZ1533" i="1"/>
  <c r="BA1533" i="1"/>
  <c r="BC1533" i="1"/>
  <c r="BD1533" i="1"/>
  <c r="BE1533" i="1"/>
  <c r="BF1533" i="1"/>
  <c r="BG1533" i="1"/>
  <c r="BH1533" i="1"/>
  <c r="BI1533" i="1"/>
  <c r="BJ1533" i="1"/>
  <c r="BM1533" i="1"/>
  <c r="CA1533" i="1"/>
  <c r="CN1533" i="1"/>
  <c r="CO1533" i="1"/>
  <c r="CP1533" i="1"/>
  <c r="CQ1533" i="1"/>
  <c r="G1294" i="1"/>
  <c r="U1294" i="1"/>
  <c r="W1294" i="1"/>
  <c r="AE1294" i="1"/>
  <c r="AK1294" i="1"/>
  <c r="AQ1294" i="1"/>
  <c r="AU1294" i="1"/>
  <c r="AV1294" i="1"/>
  <c r="AW1294" i="1"/>
  <c r="AX1294" i="1"/>
  <c r="AY1294" i="1"/>
  <c r="AZ1294" i="1"/>
  <c r="BA1294" i="1"/>
  <c r="BC1294" i="1"/>
  <c r="BD1294" i="1"/>
  <c r="BE1294" i="1"/>
  <c r="BF1294" i="1"/>
  <c r="BG1294" i="1"/>
  <c r="BH1294" i="1"/>
  <c r="BI1294" i="1"/>
  <c r="BJ1294" i="1"/>
  <c r="BM1294" i="1"/>
  <c r="CA1294" i="1"/>
  <c r="CN1294" i="1"/>
  <c r="CO1294" i="1"/>
  <c r="CP1294" i="1"/>
  <c r="CQ1294" i="1"/>
  <c r="G1534" i="1"/>
  <c r="U1534" i="1"/>
  <c r="W1534" i="1"/>
  <c r="AE1534" i="1"/>
  <c r="AK1534" i="1"/>
  <c r="AQ1534" i="1"/>
  <c r="AU1534" i="1"/>
  <c r="AV1534" i="1"/>
  <c r="AW1534" i="1"/>
  <c r="AX1534" i="1"/>
  <c r="AY1534" i="1"/>
  <c r="AZ1534" i="1"/>
  <c r="BA1534" i="1"/>
  <c r="BC1534" i="1"/>
  <c r="BD1534" i="1"/>
  <c r="BE1534" i="1"/>
  <c r="BF1534" i="1"/>
  <c r="BG1534" i="1"/>
  <c r="BH1534" i="1"/>
  <c r="BI1534" i="1"/>
  <c r="BJ1534" i="1"/>
  <c r="BM1534" i="1"/>
  <c r="CA1534" i="1"/>
  <c r="CN1534" i="1"/>
  <c r="CO1534" i="1"/>
  <c r="CP1534" i="1"/>
  <c r="CQ1534" i="1"/>
  <c r="G1295" i="1"/>
  <c r="U1295" i="1"/>
  <c r="W1295" i="1"/>
  <c r="AE1295" i="1"/>
  <c r="AK1295" i="1"/>
  <c r="AQ1295" i="1"/>
  <c r="AU1295" i="1"/>
  <c r="AV1295" i="1"/>
  <c r="AW1295" i="1"/>
  <c r="AX1295" i="1"/>
  <c r="AY1295" i="1"/>
  <c r="AZ1295" i="1"/>
  <c r="BA1295" i="1"/>
  <c r="BC1295" i="1"/>
  <c r="BD1295" i="1"/>
  <c r="BE1295" i="1"/>
  <c r="BF1295" i="1"/>
  <c r="BG1295" i="1"/>
  <c r="BH1295" i="1"/>
  <c r="BI1295" i="1"/>
  <c r="BJ1295" i="1"/>
  <c r="BM1295" i="1"/>
  <c r="CA1295" i="1"/>
  <c r="CN1295" i="1"/>
  <c r="CO1295" i="1"/>
  <c r="CP1295" i="1"/>
  <c r="CQ1295" i="1"/>
  <c r="G346" i="1"/>
  <c r="U346" i="1"/>
  <c r="W346" i="1"/>
  <c r="AE346" i="1"/>
  <c r="AK346" i="1"/>
  <c r="AQ346" i="1"/>
  <c r="AU346" i="1"/>
  <c r="AV346" i="1"/>
  <c r="AW346" i="1"/>
  <c r="AX346" i="1"/>
  <c r="AY346" i="1"/>
  <c r="AZ346" i="1"/>
  <c r="BA346" i="1"/>
  <c r="BC346" i="1"/>
  <c r="BD346" i="1"/>
  <c r="BE346" i="1"/>
  <c r="BF346" i="1"/>
  <c r="BG346" i="1"/>
  <c r="BH346" i="1"/>
  <c r="BI346" i="1"/>
  <c r="BJ346" i="1"/>
  <c r="BM346" i="1"/>
  <c r="CA346" i="1"/>
  <c r="CN346" i="1"/>
  <c r="CO346" i="1"/>
  <c r="CP346" i="1"/>
  <c r="CQ346" i="1"/>
  <c r="G347" i="1"/>
  <c r="U347" i="1"/>
  <c r="W347" i="1"/>
  <c r="AE347" i="1"/>
  <c r="AK347" i="1"/>
  <c r="AQ347" i="1"/>
  <c r="AU347" i="1"/>
  <c r="AV347" i="1"/>
  <c r="AW347" i="1"/>
  <c r="AX347" i="1"/>
  <c r="AY347" i="1"/>
  <c r="AZ347" i="1"/>
  <c r="BA347" i="1"/>
  <c r="BC347" i="1"/>
  <c r="BD347" i="1"/>
  <c r="BE347" i="1"/>
  <c r="BF347" i="1"/>
  <c r="BG347" i="1"/>
  <c r="BH347" i="1"/>
  <c r="BI347" i="1"/>
  <c r="BJ347" i="1"/>
  <c r="BM347" i="1"/>
  <c r="CA347" i="1"/>
  <c r="CN347" i="1"/>
  <c r="CO347" i="1"/>
  <c r="CP347" i="1"/>
  <c r="CQ347" i="1"/>
  <c r="G1296" i="1"/>
  <c r="U1296" i="1"/>
  <c r="W1296" i="1"/>
  <c r="AE1296" i="1"/>
  <c r="AK1296" i="1"/>
  <c r="AQ1296" i="1"/>
  <c r="AU1296" i="1"/>
  <c r="AV1296" i="1"/>
  <c r="AW1296" i="1"/>
  <c r="AX1296" i="1"/>
  <c r="AY1296" i="1"/>
  <c r="AZ1296" i="1"/>
  <c r="BA1296" i="1"/>
  <c r="BC1296" i="1"/>
  <c r="BD1296" i="1"/>
  <c r="BE1296" i="1"/>
  <c r="BF1296" i="1"/>
  <c r="BG1296" i="1"/>
  <c r="BH1296" i="1"/>
  <c r="BI1296" i="1"/>
  <c r="BJ1296" i="1"/>
  <c r="BM1296" i="1"/>
  <c r="CA1296" i="1"/>
  <c r="CN1296" i="1"/>
  <c r="CO1296" i="1"/>
  <c r="CP1296" i="1"/>
  <c r="CQ1296" i="1"/>
  <c r="G487" i="1"/>
  <c r="U487" i="1"/>
  <c r="W487" i="1"/>
  <c r="AE487" i="1"/>
  <c r="AK487" i="1"/>
  <c r="AQ487" i="1"/>
  <c r="AU487" i="1"/>
  <c r="AV487" i="1"/>
  <c r="AW487" i="1"/>
  <c r="AX487" i="1"/>
  <c r="AY487" i="1"/>
  <c r="AZ487" i="1"/>
  <c r="BA487" i="1"/>
  <c r="BC487" i="1"/>
  <c r="BD487" i="1"/>
  <c r="BE487" i="1"/>
  <c r="BF487" i="1"/>
  <c r="BG487" i="1"/>
  <c r="BH487" i="1"/>
  <c r="BI487" i="1"/>
  <c r="BJ487" i="1"/>
  <c r="BM487" i="1"/>
  <c r="CA487" i="1"/>
  <c r="CN487" i="1"/>
  <c r="CO487" i="1"/>
  <c r="CP487" i="1"/>
  <c r="CQ487" i="1"/>
  <c r="G1297" i="1"/>
  <c r="U1297" i="1"/>
  <c r="W1297" i="1"/>
  <c r="AE1297" i="1"/>
  <c r="AK1297" i="1"/>
  <c r="AQ1297" i="1"/>
  <c r="AU1297" i="1"/>
  <c r="AV1297" i="1"/>
  <c r="AW1297" i="1"/>
  <c r="AX1297" i="1"/>
  <c r="AY1297" i="1"/>
  <c r="AZ1297" i="1"/>
  <c r="BA1297" i="1"/>
  <c r="BC1297" i="1"/>
  <c r="BD1297" i="1"/>
  <c r="BE1297" i="1"/>
  <c r="BF1297" i="1"/>
  <c r="BG1297" i="1"/>
  <c r="BH1297" i="1"/>
  <c r="BI1297" i="1"/>
  <c r="BJ1297" i="1"/>
  <c r="BM1297" i="1"/>
  <c r="CA1297" i="1"/>
  <c r="CN1297" i="1"/>
  <c r="CO1297" i="1"/>
  <c r="CP1297" i="1"/>
  <c r="CQ1297" i="1"/>
  <c r="G348" i="1"/>
  <c r="U348" i="1"/>
  <c r="W348" i="1"/>
  <c r="AE348" i="1"/>
  <c r="AK348" i="1"/>
  <c r="AQ348" i="1"/>
  <c r="AU348" i="1"/>
  <c r="AV348" i="1"/>
  <c r="AW348" i="1"/>
  <c r="AX348" i="1"/>
  <c r="AY348" i="1"/>
  <c r="AZ348" i="1"/>
  <c r="BA348" i="1"/>
  <c r="BC348" i="1"/>
  <c r="BD348" i="1"/>
  <c r="BE348" i="1"/>
  <c r="BF348" i="1"/>
  <c r="BG348" i="1"/>
  <c r="BH348" i="1"/>
  <c r="BI348" i="1"/>
  <c r="BJ348" i="1"/>
  <c r="BM348" i="1"/>
  <c r="CA348" i="1"/>
  <c r="CN348" i="1"/>
  <c r="CO348" i="1"/>
  <c r="CP348" i="1"/>
  <c r="CQ348" i="1"/>
  <c r="G1535" i="1"/>
  <c r="U1535" i="1"/>
  <c r="W1535" i="1"/>
  <c r="AE1535" i="1"/>
  <c r="AK1535" i="1"/>
  <c r="AQ1535" i="1"/>
  <c r="AU1535" i="1"/>
  <c r="AV1535" i="1"/>
  <c r="AW1535" i="1"/>
  <c r="AX1535" i="1"/>
  <c r="AY1535" i="1"/>
  <c r="AZ1535" i="1"/>
  <c r="BA1535" i="1"/>
  <c r="BC1535" i="1"/>
  <c r="BD1535" i="1"/>
  <c r="BE1535" i="1"/>
  <c r="BF1535" i="1"/>
  <c r="BG1535" i="1"/>
  <c r="BH1535" i="1"/>
  <c r="BI1535" i="1"/>
  <c r="BJ1535" i="1"/>
  <c r="BM1535" i="1"/>
  <c r="CA1535" i="1"/>
  <c r="CN1535" i="1"/>
  <c r="CO1535" i="1"/>
  <c r="CP1535" i="1"/>
  <c r="CQ1535" i="1"/>
  <c r="G1536" i="1"/>
  <c r="U1536" i="1"/>
  <c r="W1536" i="1"/>
  <c r="AE1536" i="1"/>
  <c r="AK1536" i="1"/>
  <c r="AQ1536" i="1"/>
  <c r="AU1536" i="1"/>
  <c r="AV1536" i="1"/>
  <c r="AW1536" i="1"/>
  <c r="AX1536" i="1"/>
  <c r="AY1536" i="1"/>
  <c r="AZ1536" i="1"/>
  <c r="BA1536" i="1"/>
  <c r="BC1536" i="1"/>
  <c r="BD1536" i="1"/>
  <c r="BE1536" i="1"/>
  <c r="BF1536" i="1"/>
  <c r="BG1536" i="1"/>
  <c r="BH1536" i="1"/>
  <c r="BI1536" i="1"/>
  <c r="BJ1536" i="1"/>
  <c r="BM1536" i="1"/>
  <c r="CA1536" i="1"/>
  <c r="CN1536" i="1"/>
  <c r="CO1536" i="1"/>
  <c r="CP1536" i="1"/>
  <c r="CQ1536" i="1"/>
  <c r="G1298" i="1"/>
  <c r="U1298" i="1"/>
  <c r="W1298" i="1"/>
  <c r="AE1298" i="1"/>
  <c r="AK1298" i="1"/>
  <c r="AQ1298" i="1"/>
  <c r="AU1298" i="1"/>
  <c r="AV1298" i="1"/>
  <c r="AW1298" i="1"/>
  <c r="AX1298" i="1"/>
  <c r="AY1298" i="1"/>
  <c r="AZ1298" i="1"/>
  <c r="BA1298" i="1"/>
  <c r="BC1298" i="1"/>
  <c r="BD1298" i="1"/>
  <c r="BE1298" i="1"/>
  <c r="BF1298" i="1"/>
  <c r="BG1298" i="1"/>
  <c r="BH1298" i="1"/>
  <c r="BI1298" i="1"/>
  <c r="BJ1298" i="1"/>
  <c r="BM1298" i="1"/>
  <c r="CA1298" i="1"/>
  <c r="CN1298" i="1"/>
  <c r="CO1298" i="1"/>
  <c r="CP1298" i="1"/>
  <c r="CQ1298" i="1"/>
  <c r="G1299" i="1"/>
  <c r="U1299" i="1"/>
  <c r="W1299" i="1"/>
  <c r="AE1299" i="1"/>
  <c r="AK1299" i="1"/>
  <c r="AQ1299" i="1"/>
  <c r="AU1299" i="1"/>
  <c r="AV1299" i="1"/>
  <c r="AW1299" i="1"/>
  <c r="AX1299" i="1"/>
  <c r="AY1299" i="1"/>
  <c r="AZ1299" i="1"/>
  <c r="BA1299" i="1"/>
  <c r="BC1299" i="1"/>
  <c r="BD1299" i="1"/>
  <c r="BE1299" i="1"/>
  <c r="BF1299" i="1"/>
  <c r="BG1299" i="1"/>
  <c r="BH1299" i="1"/>
  <c r="BI1299" i="1"/>
  <c r="BJ1299" i="1"/>
  <c r="BM1299" i="1"/>
  <c r="CA1299" i="1"/>
  <c r="CN1299" i="1"/>
  <c r="CO1299" i="1"/>
  <c r="CP1299" i="1"/>
  <c r="CQ1299" i="1"/>
  <c r="G1300" i="1"/>
  <c r="U1300" i="1"/>
  <c r="W1300" i="1"/>
  <c r="AE1300" i="1"/>
  <c r="AK1300" i="1"/>
  <c r="AQ1300" i="1"/>
  <c r="AU1300" i="1"/>
  <c r="AV1300" i="1"/>
  <c r="AW1300" i="1"/>
  <c r="AX1300" i="1"/>
  <c r="AY1300" i="1"/>
  <c r="AZ1300" i="1"/>
  <c r="BA1300" i="1"/>
  <c r="BC1300" i="1"/>
  <c r="BD1300" i="1"/>
  <c r="BE1300" i="1"/>
  <c r="BF1300" i="1"/>
  <c r="BG1300" i="1"/>
  <c r="BH1300" i="1"/>
  <c r="BI1300" i="1"/>
  <c r="BJ1300" i="1"/>
  <c r="BM1300" i="1"/>
  <c r="CA1300" i="1"/>
  <c r="CN1300" i="1"/>
  <c r="CO1300" i="1"/>
  <c r="CP1300" i="1"/>
  <c r="CQ1300" i="1"/>
  <c r="G349" i="1"/>
  <c r="U349" i="1"/>
  <c r="W349" i="1"/>
  <c r="AE349" i="1"/>
  <c r="AK349" i="1"/>
  <c r="AQ349" i="1"/>
  <c r="AU349" i="1"/>
  <c r="AV349" i="1"/>
  <c r="AW349" i="1"/>
  <c r="AX349" i="1"/>
  <c r="AY349" i="1"/>
  <c r="AZ349" i="1"/>
  <c r="BA349" i="1"/>
  <c r="BC349" i="1"/>
  <c r="BD349" i="1"/>
  <c r="BE349" i="1"/>
  <c r="BF349" i="1"/>
  <c r="BG349" i="1"/>
  <c r="BH349" i="1"/>
  <c r="BI349" i="1"/>
  <c r="BJ349" i="1"/>
  <c r="BM349" i="1"/>
  <c r="CA349" i="1"/>
  <c r="CN349" i="1"/>
  <c r="CO349" i="1"/>
  <c r="CP349" i="1"/>
  <c r="CQ349" i="1"/>
  <c r="G350" i="1"/>
  <c r="U350" i="1"/>
  <c r="W350" i="1"/>
  <c r="AE350" i="1"/>
  <c r="AK350" i="1"/>
  <c r="AQ350" i="1"/>
  <c r="AU350" i="1"/>
  <c r="AV350" i="1"/>
  <c r="AW350" i="1"/>
  <c r="AX350" i="1"/>
  <c r="AY350" i="1"/>
  <c r="AZ350" i="1"/>
  <c r="BA350" i="1"/>
  <c r="BC350" i="1"/>
  <c r="BD350" i="1"/>
  <c r="BE350" i="1"/>
  <c r="BF350" i="1"/>
  <c r="BG350" i="1"/>
  <c r="BH350" i="1"/>
  <c r="BI350" i="1"/>
  <c r="BJ350" i="1"/>
  <c r="BM350" i="1"/>
  <c r="CA350" i="1"/>
  <c r="CN350" i="1"/>
  <c r="CO350" i="1"/>
  <c r="CP350" i="1"/>
  <c r="CQ350" i="1"/>
  <c r="G1301" i="1"/>
  <c r="U1301" i="1"/>
  <c r="W1301" i="1"/>
  <c r="AE1301" i="1"/>
  <c r="AK1301" i="1"/>
  <c r="AQ1301" i="1"/>
  <c r="AU1301" i="1"/>
  <c r="AV1301" i="1"/>
  <c r="AW1301" i="1"/>
  <c r="AX1301" i="1"/>
  <c r="AY1301" i="1"/>
  <c r="AZ1301" i="1"/>
  <c r="BA1301" i="1"/>
  <c r="BC1301" i="1"/>
  <c r="BD1301" i="1"/>
  <c r="BE1301" i="1"/>
  <c r="BF1301" i="1"/>
  <c r="BG1301" i="1"/>
  <c r="BH1301" i="1"/>
  <c r="BI1301" i="1"/>
  <c r="BJ1301" i="1"/>
  <c r="BM1301" i="1"/>
  <c r="CA1301" i="1"/>
  <c r="CN1301" i="1"/>
  <c r="CO1301" i="1"/>
  <c r="CP1301" i="1"/>
  <c r="CQ1301" i="1"/>
  <c r="G1302" i="1"/>
  <c r="U1302" i="1"/>
  <c r="W1302" i="1"/>
  <c r="AE1302" i="1"/>
  <c r="AK1302" i="1"/>
  <c r="AQ1302" i="1"/>
  <c r="AU1302" i="1"/>
  <c r="AV1302" i="1"/>
  <c r="AW1302" i="1"/>
  <c r="AX1302" i="1"/>
  <c r="AY1302" i="1"/>
  <c r="AZ1302" i="1"/>
  <c r="BA1302" i="1"/>
  <c r="BC1302" i="1"/>
  <c r="BD1302" i="1"/>
  <c r="BE1302" i="1"/>
  <c r="BF1302" i="1"/>
  <c r="BG1302" i="1"/>
  <c r="BH1302" i="1"/>
  <c r="BI1302" i="1"/>
  <c r="BJ1302" i="1"/>
  <c r="BM1302" i="1"/>
  <c r="CA1302" i="1"/>
  <c r="CN1302" i="1"/>
  <c r="CO1302" i="1"/>
  <c r="CP1302" i="1"/>
  <c r="CQ1302" i="1"/>
  <c r="G1617" i="1"/>
  <c r="U1617" i="1"/>
  <c r="W1617" i="1"/>
  <c r="AE1617" i="1"/>
  <c r="AK1617" i="1"/>
  <c r="AQ1617" i="1"/>
  <c r="AU1617" i="1"/>
  <c r="AV1617" i="1"/>
  <c r="AW1617" i="1"/>
  <c r="AX1617" i="1"/>
  <c r="AY1617" i="1"/>
  <c r="AZ1617" i="1"/>
  <c r="BA1617" i="1"/>
  <c r="BC1617" i="1"/>
  <c r="BD1617" i="1"/>
  <c r="BE1617" i="1"/>
  <c r="BF1617" i="1"/>
  <c r="BG1617" i="1"/>
  <c r="BH1617" i="1"/>
  <c r="BI1617" i="1"/>
  <c r="BJ1617" i="1"/>
  <c r="BM1617" i="1"/>
  <c r="CA1617" i="1"/>
  <c r="CN1617" i="1"/>
  <c r="CO1617" i="1"/>
  <c r="CP1617" i="1"/>
  <c r="CQ1617" i="1"/>
  <c r="G1303" i="1"/>
  <c r="U1303" i="1"/>
  <c r="W1303" i="1"/>
  <c r="AE1303" i="1"/>
  <c r="AK1303" i="1"/>
  <c r="AQ1303" i="1"/>
  <c r="AU1303" i="1"/>
  <c r="AV1303" i="1"/>
  <c r="AW1303" i="1"/>
  <c r="AX1303" i="1"/>
  <c r="AY1303" i="1"/>
  <c r="AZ1303" i="1"/>
  <c r="BA1303" i="1"/>
  <c r="BC1303" i="1"/>
  <c r="BD1303" i="1"/>
  <c r="BE1303" i="1"/>
  <c r="BF1303" i="1"/>
  <c r="BG1303" i="1"/>
  <c r="BH1303" i="1"/>
  <c r="BI1303" i="1"/>
  <c r="BJ1303" i="1"/>
  <c r="BM1303" i="1"/>
  <c r="CA1303" i="1"/>
  <c r="CN1303" i="1"/>
  <c r="CO1303" i="1"/>
  <c r="CP1303" i="1"/>
  <c r="CQ1303" i="1"/>
  <c r="G1304" i="1"/>
  <c r="U1304" i="1"/>
  <c r="W1304" i="1"/>
  <c r="AE1304" i="1"/>
  <c r="AK1304" i="1"/>
  <c r="AQ1304" i="1"/>
  <c r="AU1304" i="1"/>
  <c r="AV1304" i="1"/>
  <c r="AW1304" i="1"/>
  <c r="AX1304" i="1"/>
  <c r="AY1304" i="1"/>
  <c r="AZ1304" i="1"/>
  <c r="BA1304" i="1"/>
  <c r="BC1304" i="1"/>
  <c r="BD1304" i="1"/>
  <c r="BE1304" i="1"/>
  <c r="BF1304" i="1"/>
  <c r="BG1304" i="1"/>
  <c r="BH1304" i="1"/>
  <c r="BI1304" i="1"/>
  <c r="BJ1304" i="1"/>
  <c r="BM1304" i="1"/>
  <c r="CA1304" i="1"/>
  <c r="CN1304" i="1"/>
  <c r="CO1304" i="1"/>
  <c r="CP1304" i="1"/>
  <c r="CQ1304" i="1"/>
  <c r="G1537" i="1"/>
  <c r="U1537" i="1"/>
  <c r="W1537" i="1"/>
  <c r="AE1537" i="1"/>
  <c r="AK1537" i="1"/>
  <c r="AQ1537" i="1"/>
  <c r="AU1537" i="1"/>
  <c r="AV1537" i="1"/>
  <c r="AW1537" i="1"/>
  <c r="AX1537" i="1"/>
  <c r="AY1537" i="1"/>
  <c r="AZ1537" i="1"/>
  <c r="BA1537" i="1"/>
  <c r="BC1537" i="1"/>
  <c r="BD1537" i="1"/>
  <c r="BE1537" i="1"/>
  <c r="BF1537" i="1"/>
  <c r="BG1537" i="1"/>
  <c r="BH1537" i="1"/>
  <c r="BI1537" i="1"/>
  <c r="BJ1537" i="1"/>
  <c r="BM1537" i="1"/>
  <c r="CA1537" i="1"/>
  <c r="CN1537" i="1"/>
  <c r="CO1537" i="1"/>
  <c r="CP1537" i="1"/>
  <c r="CQ1537" i="1"/>
  <c r="G1305" i="1"/>
  <c r="U1305" i="1"/>
  <c r="W1305" i="1"/>
  <c r="AE1305" i="1"/>
  <c r="AK1305" i="1"/>
  <c r="AQ1305" i="1"/>
  <c r="AU1305" i="1"/>
  <c r="AV1305" i="1"/>
  <c r="AW1305" i="1"/>
  <c r="AX1305" i="1"/>
  <c r="AY1305" i="1"/>
  <c r="AZ1305" i="1"/>
  <c r="BA1305" i="1"/>
  <c r="BC1305" i="1"/>
  <c r="BD1305" i="1"/>
  <c r="BE1305" i="1"/>
  <c r="BF1305" i="1"/>
  <c r="BG1305" i="1"/>
  <c r="BH1305" i="1"/>
  <c r="BI1305" i="1"/>
  <c r="BJ1305" i="1"/>
  <c r="BM1305" i="1"/>
  <c r="CA1305" i="1"/>
  <c r="CN1305" i="1"/>
  <c r="CO1305" i="1"/>
  <c r="CP1305" i="1"/>
  <c r="CQ1305" i="1"/>
  <c r="G1306" i="1"/>
  <c r="U1306" i="1"/>
  <c r="W1306" i="1"/>
  <c r="AE1306" i="1"/>
  <c r="AK1306" i="1"/>
  <c r="AQ1306" i="1"/>
  <c r="AU1306" i="1"/>
  <c r="AV1306" i="1"/>
  <c r="AW1306" i="1"/>
  <c r="AX1306" i="1"/>
  <c r="AY1306" i="1"/>
  <c r="AZ1306" i="1"/>
  <c r="BA1306" i="1"/>
  <c r="BC1306" i="1"/>
  <c r="BD1306" i="1"/>
  <c r="BE1306" i="1"/>
  <c r="BF1306" i="1"/>
  <c r="BG1306" i="1"/>
  <c r="BH1306" i="1"/>
  <c r="BI1306" i="1"/>
  <c r="BJ1306" i="1"/>
  <c r="BM1306" i="1"/>
  <c r="CA1306" i="1"/>
  <c r="CN1306" i="1"/>
  <c r="CO1306" i="1"/>
  <c r="CP1306" i="1"/>
  <c r="CQ1306" i="1"/>
  <c r="G351" i="1"/>
  <c r="U351" i="1"/>
  <c r="W351" i="1"/>
  <c r="AE351" i="1"/>
  <c r="AK351" i="1"/>
  <c r="AQ351" i="1"/>
  <c r="AU351" i="1"/>
  <c r="AV351" i="1"/>
  <c r="AW351" i="1"/>
  <c r="AX351" i="1"/>
  <c r="AY351" i="1"/>
  <c r="AZ351" i="1"/>
  <c r="BA351" i="1"/>
  <c r="BC351" i="1"/>
  <c r="BD351" i="1"/>
  <c r="BE351" i="1"/>
  <c r="BF351" i="1"/>
  <c r="BG351" i="1"/>
  <c r="BH351" i="1"/>
  <c r="BI351" i="1"/>
  <c r="BJ351" i="1"/>
  <c r="BM351" i="1"/>
  <c r="CA351" i="1"/>
  <c r="CN351" i="1"/>
  <c r="CO351" i="1"/>
  <c r="CP351" i="1"/>
  <c r="CQ351" i="1"/>
  <c r="G352" i="1"/>
  <c r="U352" i="1"/>
  <c r="W352" i="1"/>
  <c r="AE352" i="1"/>
  <c r="AK352" i="1"/>
  <c r="AQ352" i="1"/>
  <c r="AU352" i="1"/>
  <c r="AV352" i="1"/>
  <c r="AW352" i="1"/>
  <c r="AX352" i="1"/>
  <c r="AY352" i="1"/>
  <c r="AZ352" i="1"/>
  <c r="BA352" i="1"/>
  <c r="BC352" i="1"/>
  <c r="BD352" i="1"/>
  <c r="BE352" i="1"/>
  <c r="BF352" i="1"/>
  <c r="BG352" i="1"/>
  <c r="BH352" i="1"/>
  <c r="BI352" i="1"/>
  <c r="BJ352" i="1"/>
  <c r="BM352" i="1"/>
  <c r="CA352" i="1"/>
  <c r="CN352" i="1"/>
  <c r="CO352" i="1"/>
  <c r="CP352" i="1"/>
  <c r="CQ352" i="1"/>
  <c r="G1307" i="1"/>
  <c r="U1307" i="1"/>
  <c r="W1307" i="1"/>
  <c r="AE1307" i="1"/>
  <c r="AK1307" i="1"/>
  <c r="AQ1307" i="1"/>
  <c r="AU1307" i="1"/>
  <c r="AV1307" i="1"/>
  <c r="AW1307" i="1"/>
  <c r="AX1307" i="1"/>
  <c r="AY1307" i="1"/>
  <c r="AZ1307" i="1"/>
  <c r="BA1307" i="1"/>
  <c r="BC1307" i="1"/>
  <c r="BD1307" i="1"/>
  <c r="BE1307" i="1"/>
  <c r="BF1307" i="1"/>
  <c r="BG1307" i="1"/>
  <c r="BH1307" i="1"/>
  <c r="BI1307" i="1"/>
  <c r="BJ1307" i="1"/>
  <c r="BM1307" i="1"/>
  <c r="CA1307" i="1"/>
  <c r="CN1307" i="1"/>
  <c r="CO1307" i="1"/>
  <c r="CP1307" i="1"/>
  <c r="CQ1307" i="1"/>
  <c r="G353" i="1"/>
  <c r="U353" i="1"/>
  <c r="W353" i="1"/>
  <c r="AE353" i="1"/>
  <c r="AK353" i="1"/>
  <c r="AQ353" i="1"/>
  <c r="AU353" i="1"/>
  <c r="AV353" i="1"/>
  <c r="AW353" i="1"/>
  <c r="AX353" i="1"/>
  <c r="AY353" i="1"/>
  <c r="AZ353" i="1"/>
  <c r="BA353" i="1"/>
  <c r="BC353" i="1"/>
  <c r="BD353" i="1"/>
  <c r="BE353" i="1"/>
  <c r="BF353" i="1"/>
  <c r="BG353" i="1"/>
  <c r="BH353" i="1"/>
  <c r="BI353" i="1"/>
  <c r="BJ353" i="1"/>
  <c r="BM353" i="1"/>
  <c r="CA353" i="1"/>
  <c r="CN353" i="1"/>
  <c r="CO353" i="1"/>
  <c r="CP353" i="1"/>
  <c r="CQ353" i="1"/>
  <c r="G354" i="1"/>
  <c r="U354" i="1"/>
  <c r="W354" i="1"/>
  <c r="AE354" i="1"/>
  <c r="AK354" i="1"/>
  <c r="AQ354" i="1"/>
  <c r="AU354" i="1"/>
  <c r="AV354" i="1"/>
  <c r="AW354" i="1"/>
  <c r="AX354" i="1"/>
  <c r="AY354" i="1"/>
  <c r="AZ354" i="1"/>
  <c r="BA354" i="1"/>
  <c r="BC354" i="1"/>
  <c r="BD354" i="1"/>
  <c r="BE354" i="1"/>
  <c r="BF354" i="1"/>
  <c r="BG354" i="1"/>
  <c r="BH354" i="1"/>
  <c r="BI354" i="1"/>
  <c r="BJ354" i="1"/>
  <c r="BM354" i="1"/>
  <c r="CA354" i="1"/>
  <c r="CN354" i="1"/>
  <c r="CO354" i="1"/>
  <c r="CP354" i="1"/>
  <c r="CQ354" i="1"/>
  <c r="G1308" i="1"/>
  <c r="U1308" i="1"/>
  <c r="W1308" i="1"/>
  <c r="AE1308" i="1"/>
  <c r="AK1308" i="1"/>
  <c r="AQ1308" i="1"/>
  <c r="AU1308" i="1"/>
  <c r="AV1308" i="1"/>
  <c r="AW1308" i="1"/>
  <c r="AX1308" i="1"/>
  <c r="AY1308" i="1"/>
  <c r="AZ1308" i="1"/>
  <c r="BA1308" i="1"/>
  <c r="BC1308" i="1"/>
  <c r="BD1308" i="1"/>
  <c r="BE1308" i="1"/>
  <c r="BF1308" i="1"/>
  <c r="BG1308" i="1"/>
  <c r="BH1308" i="1"/>
  <c r="BI1308" i="1"/>
  <c r="BJ1308" i="1"/>
  <c r="BM1308" i="1"/>
  <c r="CA1308" i="1"/>
  <c r="CN1308" i="1"/>
  <c r="CO1308" i="1"/>
  <c r="CP1308" i="1"/>
  <c r="CQ1308" i="1"/>
  <c r="G1309" i="1"/>
  <c r="U1309" i="1"/>
  <c r="W1309" i="1"/>
  <c r="AE1309" i="1"/>
  <c r="AK1309" i="1"/>
  <c r="AQ1309" i="1"/>
  <c r="AU1309" i="1"/>
  <c r="AV1309" i="1"/>
  <c r="AW1309" i="1"/>
  <c r="AX1309" i="1"/>
  <c r="AY1309" i="1"/>
  <c r="AZ1309" i="1"/>
  <c r="BA1309" i="1"/>
  <c r="BC1309" i="1"/>
  <c r="BD1309" i="1"/>
  <c r="BE1309" i="1"/>
  <c r="BF1309" i="1"/>
  <c r="BG1309" i="1"/>
  <c r="BH1309" i="1"/>
  <c r="BI1309" i="1"/>
  <c r="BJ1309" i="1"/>
  <c r="BM1309" i="1"/>
  <c r="CA1309" i="1"/>
  <c r="CN1309" i="1"/>
  <c r="CO1309" i="1"/>
  <c r="CP1309" i="1"/>
  <c r="CQ1309" i="1"/>
</calcChain>
</file>

<file path=xl/sharedStrings.xml><?xml version="1.0" encoding="utf-8"?>
<sst xmlns="http://schemas.openxmlformats.org/spreadsheetml/2006/main" count="70241" uniqueCount="12326">
  <si>
    <t>CASE_NUMBER</t>
  </si>
  <si>
    <t>CASE_STATUS</t>
  </si>
  <si>
    <t>RECEIVED_DATE</t>
  </si>
  <si>
    <t>DECISION_DATE</t>
  </si>
  <si>
    <t>ORIGINAL_CERT_DATE</t>
  </si>
  <si>
    <t>VISA_CLASS</t>
  </si>
  <si>
    <t>JOB_TITLE</t>
  </si>
  <si>
    <t>SOC_CODE</t>
  </si>
  <si>
    <t>SOC_TITLE</t>
  </si>
  <si>
    <t>FULL_TIME_POSITION</t>
  </si>
  <si>
    <t>BEGIN_DATE</t>
  </si>
  <si>
    <t>END_DATE</t>
  </si>
  <si>
    <t>TOTAL_WORKER_POSITIONS</t>
  </si>
  <si>
    <t>NEW_EMPLOYMENT</t>
  </si>
  <si>
    <t>CONTINUED_EMPLOYMENT</t>
  </si>
  <si>
    <t>CHANGE_PREVIOUS_EMPLOYMENT</t>
  </si>
  <si>
    <t>NEW_CONCURRENT_EMPLOYMENT</t>
  </si>
  <si>
    <t>CHANGE_EMPLOYER</t>
  </si>
  <si>
    <t>AMENDED_PETITION</t>
  </si>
  <si>
    <t>EMPLOYER_NAME</t>
  </si>
  <si>
    <t>TRADE_NAME_DBA</t>
  </si>
  <si>
    <t>EMPLOYER_ADDRESS1</t>
  </si>
  <si>
    <t>EMPLOYER_ADDRESS2</t>
  </si>
  <si>
    <t>EMPLOYER_CITY</t>
  </si>
  <si>
    <t>EMPLOYER_STATE</t>
  </si>
  <si>
    <t>EMPLOYER_POSTAL_CODE</t>
  </si>
  <si>
    <t>EMPLOYER_COUNTRY</t>
  </si>
  <si>
    <t>EMPLOYER_PROVINCE</t>
  </si>
  <si>
    <t>EMPLOYER_PHONE</t>
  </si>
  <si>
    <t>EMPLOYER_PHONE_EXT</t>
  </si>
  <si>
    <t>NAICS_CODE</t>
  </si>
  <si>
    <t>EMPLOYER_POC_LAST_NAME</t>
  </si>
  <si>
    <t>EMPLOYER_POC_FIRST_NAME</t>
  </si>
  <si>
    <t>EMPLOYER_POC_MIDDLE_NAME</t>
  </si>
  <si>
    <t>EMPLOYER_POC_JOB_TITLE</t>
  </si>
  <si>
    <t>EMPLOYER_POC_ADDRESS_1</t>
  </si>
  <si>
    <t>EMPLOYER_POC_ADDRESS_2</t>
  </si>
  <si>
    <t>EMPLOYER_POC_CITY</t>
  </si>
  <si>
    <t>EMPLOYER_POC_STATE</t>
  </si>
  <si>
    <t>EMPLOYER_POC_POSTAL_CODE</t>
  </si>
  <si>
    <t>EMPLOYER_POC_COUNTRY</t>
  </si>
  <si>
    <t>EMPLOYER_POC_PROVINCE</t>
  </si>
  <si>
    <t>EMPLOYER_POC_PHONE</t>
  </si>
  <si>
    <t>EMPLOYER_POC_PHONE_EXT</t>
  </si>
  <si>
    <t>EMPLOYER_POC_EMAIL</t>
  </si>
  <si>
    <t>AGENT_REPRESENTING_EMPLOYER</t>
  </si>
  <si>
    <t>AGENT_ATTORNEY_LAST_NAME</t>
  </si>
  <si>
    <t>AGENT_ATTORNEY_FIRST_NAME</t>
  </si>
  <si>
    <t>AGENT_ATTORNEY_MIDDLE_NAME</t>
  </si>
  <si>
    <t>AGENT_ATTORNEY_ADDRESS1</t>
  </si>
  <si>
    <t>AGENT_ATTORNEY_ADDRESS2</t>
  </si>
  <si>
    <t>AGENT_ATTORNEY_CITY</t>
  </si>
  <si>
    <t>AGENT_ATTORNEY_STATE</t>
  </si>
  <si>
    <t>AGENT_ATTORNEY_POSTAL_CODE</t>
  </si>
  <si>
    <t>AGENT_ATTORNEY_COUNTRY</t>
  </si>
  <si>
    <t>AGENT_ATTORNEY_PROVINCE</t>
  </si>
  <si>
    <t>AGENT_ATTORNEY_PHONE</t>
  </si>
  <si>
    <t>AGENT_ATTORNEY_PHONE_EXT</t>
  </si>
  <si>
    <t>AGENT_ATTORNEY_EMAIL_ADDRESS</t>
  </si>
  <si>
    <t>LAWFIRM_NAME_BUSINESS_NAME</t>
  </si>
  <si>
    <t>STATE_OF_HIGHEST_COURT</t>
  </si>
  <si>
    <t>NAME_OF_HIGHEST_STATE_COURT</t>
  </si>
  <si>
    <t>WORKSITE_WORKERS</t>
  </si>
  <si>
    <t>SECONDARY_ENTITY</t>
  </si>
  <si>
    <t>SECONDARY_ENTITY_BUSINESS_NAME</t>
  </si>
  <si>
    <t>WORKSITE_ADDRESS1</t>
  </si>
  <si>
    <t>WORKSITE_ADDRESS2</t>
  </si>
  <si>
    <t>WORKSITE_CITY</t>
  </si>
  <si>
    <t>WORKSITE_COUNTY</t>
  </si>
  <si>
    <t>WORKSITE_STATE</t>
  </si>
  <si>
    <t>WORKSITE_POSTAL_CODE</t>
  </si>
  <si>
    <t>WAGE_RATE_OF_PAY_FROM</t>
  </si>
  <si>
    <t>WAGE_RATE_OF_PAY_TO</t>
  </si>
  <si>
    <t>WAGE_UNIT_OF_PAY</t>
  </si>
  <si>
    <t>PREVAILING_WAGE</t>
  </si>
  <si>
    <t>PW_UNIT_OF_PAY</t>
  </si>
  <si>
    <t>PW_TRACKING_NUMBER</t>
  </si>
  <si>
    <t>PW_WAGE_LEVEL</t>
  </si>
  <si>
    <t>PW_OES_YEAR</t>
  </si>
  <si>
    <t>PW_OTHER_SOURCE</t>
  </si>
  <si>
    <t>PW_OTHER_YEAR</t>
  </si>
  <si>
    <t>PW_SURVEY_PUBLISHER</t>
  </si>
  <si>
    <t>PW_SURVEY_NAME</t>
  </si>
  <si>
    <t>TOTAL_WORKSITE_LOCATIONS</t>
  </si>
  <si>
    <t>AGREE_TO_LC_STATEMENT</t>
  </si>
  <si>
    <t>H1B_DEPENDENT</t>
  </si>
  <si>
    <t>WILLFUL_VIOLATOR</t>
  </si>
  <si>
    <t>SUPPORT_H1B</t>
  </si>
  <si>
    <t>STATUTORY_BASIS</t>
  </si>
  <si>
    <t>APPENDIX_A_ATTACHED</t>
  </si>
  <si>
    <t>PUBLIC_DISCLOSURE</t>
  </si>
  <si>
    <t>PREPARER_LAST_NAME</t>
  </si>
  <si>
    <t>PREPARER_FIRST_NAME</t>
  </si>
  <si>
    <t>PREPARER_MIDDLE_INITIAL</t>
  </si>
  <si>
    <t>PREPARER_BUSINESS_NAME</t>
  </si>
  <si>
    <t>PREPARER_EMAIL</t>
  </si>
  <si>
    <t>Certified</t>
  </si>
  <si>
    <t>H-1B</t>
  </si>
  <si>
    <t>Y</t>
  </si>
  <si>
    <t>New Brunswick</t>
  </si>
  <si>
    <t>NJ</t>
  </si>
  <si>
    <t>UNITED STATES OF AMERICA</t>
  </si>
  <si>
    <t>No</t>
  </si>
  <si>
    <t>Piscataway</t>
  </si>
  <si>
    <t>MIDDLESEX</t>
  </si>
  <si>
    <t>Year</t>
  </si>
  <si>
    <t>CBA</t>
  </si>
  <si>
    <t>Yes</t>
  </si>
  <si>
    <t>N/A</t>
  </si>
  <si>
    <t>Disclose Business</t>
  </si>
  <si>
    <t>Computer Systems Analysts</t>
  </si>
  <si>
    <t>COGNIZANT TECHNOLOGY SOLUTIONS US CORP</t>
  </si>
  <si>
    <t>211 QUALITY CIRCLE</t>
  </si>
  <si>
    <t>COLLEGE STATION</t>
  </si>
  <si>
    <t>TX</t>
  </si>
  <si>
    <t>Chandrasekaran</t>
  </si>
  <si>
    <t>Sabarish</t>
  </si>
  <si>
    <t>Associate Director</t>
  </si>
  <si>
    <t>211 Quality Circle</t>
  </si>
  <si>
    <t>College Station</t>
  </si>
  <si>
    <t>lca.immigration@cognizant.com</t>
  </si>
  <si>
    <t>MECKLENBURG</t>
  </si>
  <si>
    <t>NC</t>
  </si>
  <si>
    <t>III</t>
  </si>
  <si>
    <t>Software Developers, Applications</t>
  </si>
  <si>
    <t>3999 WEST CHESTER PIKE</t>
  </si>
  <si>
    <t>NEWTOWN SQUARE</t>
  </si>
  <si>
    <t>PA</t>
  </si>
  <si>
    <t>MANGHISI</t>
  </si>
  <si>
    <t>CRISSA</t>
  </si>
  <si>
    <t>HR SERVICES CONSULTANT (AME IMMIGRATION)</t>
  </si>
  <si>
    <t>SAP.LOCAL.HR.SERVICES.NA.IMMIGRATION@SAP.COM</t>
  </si>
  <si>
    <t>Suite 400</t>
  </si>
  <si>
    <t>Reston</t>
  </si>
  <si>
    <t>FAIRFAX CITY</t>
  </si>
  <si>
    <t>VA</t>
  </si>
  <si>
    <t>JROJAS@FRAGOMEN.COM</t>
  </si>
  <si>
    <t>Information Security Analysts</t>
  </si>
  <si>
    <t xml:space="preserve">Salesforce.com, Inc. </t>
  </si>
  <si>
    <t>415 Mission Street</t>
  </si>
  <si>
    <t>San Francisco</t>
  </si>
  <si>
    <t>CA</t>
  </si>
  <si>
    <t xml:space="preserve">Browning </t>
  </si>
  <si>
    <t xml:space="preserve">Melissa </t>
  </si>
  <si>
    <t xml:space="preserve">Immigration Manager, Global Mobility &amp; Immigration </t>
  </si>
  <si>
    <t>melissa.browning@salesforce.com</t>
  </si>
  <si>
    <t xml:space="preserve">San Francisco </t>
  </si>
  <si>
    <t>SAN FRANCISCO</t>
  </si>
  <si>
    <t>INTUIT INC.</t>
  </si>
  <si>
    <t>2600 CASEY AVENUE</t>
  </si>
  <si>
    <t>MOUNTAIN VIEW</t>
  </si>
  <si>
    <t>Verstreate</t>
  </si>
  <si>
    <t>Olivia</t>
  </si>
  <si>
    <t>U.S. Immigration Program Manager</t>
  </si>
  <si>
    <t>2600 Casey Avenue</t>
  </si>
  <si>
    <t>Mountain View</t>
  </si>
  <si>
    <t>olivia_verstreate@intuit.com</t>
  </si>
  <si>
    <t>San Diego</t>
  </si>
  <si>
    <t>SAN DIEGO</t>
  </si>
  <si>
    <t>IV</t>
  </si>
  <si>
    <t>Computer Systems Engineers/Architects</t>
  </si>
  <si>
    <t>666 PLAINSBORO ROAD</t>
  </si>
  <si>
    <t>PLAINSBORO</t>
  </si>
  <si>
    <t>Suite 800</t>
  </si>
  <si>
    <t>Greenwood Village</t>
  </si>
  <si>
    <t>ARAPAHOE</t>
  </si>
  <si>
    <t>CO</t>
  </si>
  <si>
    <t>II</t>
  </si>
  <si>
    <t>Operations Research Analysts</t>
  </si>
  <si>
    <t>UT</t>
  </si>
  <si>
    <t>FRAMINGHAM</t>
  </si>
  <si>
    <t>MA</t>
  </si>
  <si>
    <t>KFORTUNE@FRAGOMEN.COM</t>
  </si>
  <si>
    <t>Microsoft Corporation</t>
  </si>
  <si>
    <t>1 Microsoft Way</t>
  </si>
  <si>
    <t>Redmond</t>
  </si>
  <si>
    <t>WA</t>
  </si>
  <si>
    <t>Covington</t>
  </si>
  <si>
    <t>Lee Mary</t>
  </si>
  <si>
    <t>Business Program Manager</t>
  </si>
  <si>
    <t>PAF@MICROSOFT.COM</t>
  </si>
  <si>
    <t>3007 160th Ave SE</t>
  </si>
  <si>
    <t>Bellevue</t>
  </si>
  <si>
    <t>KING</t>
  </si>
  <si>
    <t>Eden Prairie</t>
  </si>
  <si>
    <t>HENNEPIN</t>
  </si>
  <si>
    <t>MN</t>
  </si>
  <si>
    <t>VT</t>
  </si>
  <si>
    <t>HUMAN RESOURCES MANAGER</t>
  </si>
  <si>
    <t>NEW YORK</t>
  </si>
  <si>
    <t>NY</t>
  </si>
  <si>
    <t>I</t>
  </si>
  <si>
    <t>Internists, General</t>
  </si>
  <si>
    <t>KS</t>
  </si>
  <si>
    <t>Stephanie</t>
  </si>
  <si>
    <t>MD</t>
  </si>
  <si>
    <t>Laura</t>
  </si>
  <si>
    <t>BELLEVUE</t>
  </si>
  <si>
    <t>Industrial Engineers</t>
  </si>
  <si>
    <t>Columbia</t>
  </si>
  <si>
    <t>Kelly</t>
  </si>
  <si>
    <t>Vice President, Human Resources</t>
  </si>
  <si>
    <t xml:space="preserve">Columbia </t>
  </si>
  <si>
    <t>HOWARD</t>
  </si>
  <si>
    <t>russell@fordmurraylaw.com</t>
  </si>
  <si>
    <t>Engineering Teachers, Postsecondary</t>
  </si>
  <si>
    <t>N</t>
  </si>
  <si>
    <t>Boston</t>
  </si>
  <si>
    <t>Patel</t>
  </si>
  <si>
    <t>BOSTON CITY</t>
  </si>
  <si>
    <t>Hour</t>
  </si>
  <si>
    <t>EDISON</t>
  </si>
  <si>
    <t xml:space="preserve">100 METROPLEX DR </t>
  </si>
  <si>
    <t>Atlanta</t>
  </si>
  <si>
    <t>FULTON</t>
  </si>
  <si>
    <t>GA</t>
  </si>
  <si>
    <t>Deloitte &amp; Touche LLP</t>
  </si>
  <si>
    <t>1700 Market Street</t>
  </si>
  <si>
    <t>Philadelphia</t>
  </si>
  <si>
    <t>Lutz</t>
  </si>
  <si>
    <t>Amy</t>
  </si>
  <si>
    <t>Immigration Specialist</t>
  </si>
  <si>
    <t>usdeloitteimmigration@deloitte.com</t>
  </si>
  <si>
    <t>Dublin</t>
  </si>
  <si>
    <t>FRANKLIN</t>
  </si>
  <si>
    <t>OH</t>
  </si>
  <si>
    <t>Riverside</t>
  </si>
  <si>
    <t>MICHELLE</t>
  </si>
  <si>
    <t>HR MANAGER</t>
  </si>
  <si>
    <t>Sunnyvale</t>
  </si>
  <si>
    <t>SANTA CLARA</t>
  </si>
  <si>
    <t>v-sukodi@microsoft.com</t>
  </si>
  <si>
    <t>Electronics Engineers, Except Computer</t>
  </si>
  <si>
    <t>Apple Inc.</t>
  </si>
  <si>
    <t>One Apple Park Way</t>
  </si>
  <si>
    <t>Cupertino</t>
  </si>
  <si>
    <t>WATKINS</t>
  </si>
  <si>
    <t>MARSHA</t>
  </si>
  <si>
    <t>U.S. IMMIGRATION MANAGER</t>
  </si>
  <si>
    <t>ONE APPLE PARK WAY</t>
  </si>
  <si>
    <t>CUPERTINO</t>
  </si>
  <si>
    <t>USIMMIGRATION@APPLE.COM</t>
  </si>
  <si>
    <t>KCOOK@FRAGOMEN.COM</t>
  </si>
  <si>
    <t>Jain</t>
  </si>
  <si>
    <t>Survey</t>
  </si>
  <si>
    <t>Willis Towers Watson</t>
  </si>
  <si>
    <t>Software Developers, Systems Software</t>
  </si>
  <si>
    <t>Santa Clara</t>
  </si>
  <si>
    <t>2nd Floor</t>
  </si>
  <si>
    <t>Business Intelligence Analysts</t>
  </si>
  <si>
    <t>Twilio, Inc.</t>
  </si>
  <si>
    <t>101 Spear Street</t>
  </si>
  <si>
    <t xml:space="preserve">Auraghi </t>
  </si>
  <si>
    <t>Marine</t>
  </si>
  <si>
    <t>Global Mobility Specialist</t>
  </si>
  <si>
    <t>mauraghi@twilio.com</t>
  </si>
  <si>
    <t>Chandler</t>
  </si>
  <si>
    <t>MARICOPA</t>
  </si>
  <si>
    <t>AZ</t>
  </si>
  <si>
    <t>chanleakna@eiglaw.com</t>
  </si>
  <si>
    <t>Amazon Web Services Inc</t>
  </si>
  <si>
    <t>Seattle</t>
  </si>
  <si>
    <t>IMMIGRATION SPECIALIST</t>
  </si>
  <si>
    <t>AMAZONIMMIGRATION@AMAZON.COM</t>
  </si>
  <si>
    <t>EATON</t>
  </si>
  <si>
    <t>MI</t>
  </si>
  <si>
    <t>9601 S. MERIDIAN BLVD.</t>
  </si>
  <si>
    <t xml:space="preserve">ENGLEWOOD </t>
  </si>
  <si>
    <t xml:space="preserve">MILLER </t>
  </si>
  <si>
    <t>S</t>
  </si>
  <si>
    <t xml:space="preserve">HR COMPLIANCE MANAGER </t>
  </si>
  <si>
    <t>ENGLEWOOD</t>
  </si>
  <si>
    <t>AMYKRISTINE.MILLER@DISH.COM</t>
  </si>
  <si>
    <t>9601 S. Meridian Blvd.</t>
  </si>
  <si>
    <t xml:space="preserve">Englewood </t>
  </si>
  <si>
    <t>ANGIE.DEJESUS@JACKSONLEWIS.COM</t>
  </si>
  <si>
    <t>Management Analysts</t>
  </si>
  <si>
    <t>New York</t>
  </si>
  <si>
    <t>Jennifer</t>
  </si>
  <si>
    <t>Molecular and Cellular Biologists</t>
  </si>
  <si>
    <t>CT</t>
  </si>
  <si>
    <t>Erin</t>
  </si>
  <si>
    <t>NEW HAVEN CITY</t>
  </si>
  <si>
    <t>Qualcomm Technologies, Inc.</t>
  </si>
  <si>
    <t>5775 Morehouse Drive</t>
  </si>
  <si>
    <t>Wight</t>
  </si>
  <si>
    <t>Daniel</t>
  </si>
  <si>
    <t>Manager, HR (Immigration)</t>
  </si>
  <si>
    <t>immigration.status@qualcomm.com</t>
  </si>
  <si>
    <t>Google LLC</t>
  </si>
  <si>
    <t>1600 Amphitheatre Parkway</t>
  </si>
  <si>
    <t>Murphy,Manimalethu,Crandall,Cheng</t>
  </si>
  <si>
    <t xml:space="preserve">Virginia,Laya Ann,Boshion,Victoria </t>
  </si>
  <si>
    <t>Program Managers</t>
  </si>
  <si>
    <t>gitamer@google.com</t>
  </si>
  <si>
    <t xml:space="preserve">New York </t>
  </si>
  <si>
    <t>Deezana.Allen@balglobal.com</t>
  </si>
  <si>
    <t>Plano</t>
  </si>
  <si>
    <t>HR Manager</t>
  </si>
  <si>
    <t>Phoenix</t>
  </si>
  <si>
    <t>IBM INDIA PRIVATE LIMITED</t>
  </si>
  <si>
    <t>3039 E CORNWALLIS ROAD</t>
  </si>
  <si>
    <t>DURHAM</t>
  </si>
  <si>
    <t>MANGS</t>
  </si>
  <si>
    <t>BIRGITTA</t>
  </si>
  <si>
    <t>IMMIGRATION CASE SPECIALIST</t>
  </si>
  <si>
    <t>Bkmangs@ibm.com</t>
  </si>
  <si>
    <t>3 Penn Plaza East</t>
  </si>
  <si>
    <t>Newark</t>
  </si>
  <si>
    <t>ESSEX</t>
  </si>
  <si>
    <t>ATOS SYNTEL INC</t>
  </si>
  <si>
    <t>525 EAST BIG BEAVER ROAD</t>
  </si>
  <si>
    <t>TROY</t>
  </si>
  <si>
    <t>Ramanathan</t>
  </si>
  <si>
    <t>Anand</t>
  </si>
  <si>
    <t>SPECIALIST - HUMAN RESOURCES</t>
  </si>
  <si>
    <t>ODCCORETEAM@ATOS.NET</t>
  </si>
  <si>
    <t>18850 N 56th Street</t>
  </si>
  <si>
    <t>samson.fernandes@atos.net</t>
  </si>
  <si>
    <t>Software Quality Assurance Engineers and Testers</t>
  </si>
  <si>
    <t>R.</t>
  </si>
  <si>
    <t>Assistant General Counsel</t>
  </si>
  <si>
    <t>Mechanical Engineers</t>
  </si>
  <si>
    <t>Nemak USA, Inc.</t>
  </si>
  <si>
    <t>2 Towne Square</t>
  </si>
  <si>
    <t>Southfield</t>
  </si>
  <si>
    <t>Oatney</t>
  </si>
  <si>
    <t>Compensation &amp; Benefits Specialist USA/CAN</t>
  </si>
  <si>
    <t>laura.oatney@nemak.com</t>
  </si>
  <si>
    <t>SHEBOYGAN</t>
  </si>
  <si>
    <t>WI</t>
  </si>
  <si>
    <t>Network and Computer Systems Administrators</t>
  </si>
  <si>
    <t>Nguyen</t>
  </si>
  <si>
    <t>Pittsburgh</t>
  </si>
  <si>
    <t>Stamford</t>
  </si>
  <si>
    <t>FAIRFIELD</t>
  </si>
  <si>
    <t>Charlottesville</t>
  </si>
  <si>
    <t>White</t>
  </si>
  <si>
    <t>Timothy</t>
  </si>
  <si>
    <t>J</t>
  </si>
  <si>
    <t>Manager, Immigration Services</t>
  </si>
  <si>
    <t>ALBEMARLE</t>
  </si>
  <si>
    <t>Metuchen</t>
  </si>
  <si>
    <t>Bloomington</t>
  </si>
  <si>
    <t>MCLEAN</t>
  </si>
  <si>
    <t>IL</t>
  </si>
  <si>
    <t>Valeo North America, Inc.</t>
  </si>
  <si>
    <t>150 Stephenson Highway</t>
  </si>
  <si>
    <t>Troy</t>
  </si>
  <si>
    <t>Kimberly</t>
  </si>
  <si>
    <t>D.</t>
  </si>
  <si>
    <t>HR Business Partner</t>
  </si>
  <si>
    <t>IN</t>
  </si>
  <si>
    <t>Disclose Employment</t>
  </si>
  <si>
    <t>Database Architects</t>
  </si>
  <si>
    <t>Radford Global Technology Survey</t>
  </si>
  <si>
    <t>UST Global Inc</t>
  </si>
  <si>
    <t>5 Polaris Way</t>
  </si>
  <si>
    <t>Aliso Viejo</t>
  </si>
  <si>
    <t>JOSEPH</t>
  </si>
  <si>
    <t>ARUN</t>
  </si>
  <si>
    <t>SENIOR MANAGER - HUMAN RESOURCES</t>
  </si>
  <si>
    <t>5 POLARIS WAY</t>
  </si>
  <si>
    <t>ALISO VIEJO</t>
  </si>
  <si>
    <t>WOODLAND HILLS</t>
  </si>
  <si>
    <t>LOS ANGELES</t>
  </si>
  <si>
    <t>DANIELA.OCHOA@CHUGH.COM</t>
  </si>
  <si>
    <t>Information Technology Project Managers</t>
  </si>
  <si>
    <t>Louisville</t>
  </si>
  <si>
    <t>JEFFERSON</t>
  </si>
  <si>
    <t>KY</t>
  </si>
  <si>
    <t>OK</t>
  </si>
  <si>
    <t>2200 MASTERCARD BLVD</t>
  </si>
  <si>
    <t>ST CHARLES</t>
  </si>
  <si>
    <t>MO</t>
  </si>
  <si>
    <t>Linda</t>
  </si>
  <si>
    <t>Costa Mesa</t>
  </si>
  <si>
    <t>ORANGE</t>
  </si>
  <si>
    <t>Computer Programmers</t>
  </si>
  <si>
    <t>Tata Consultancy Services Limited</t>
  </si>
  <si>
    <t>9201 Corporate Boulevard</t>
  </si>
  <si>
    <t>Rockville</t>
  </si>
  <si>
    <t>n/a</t>
  </si>
  <si>
    <t>Jindal / Yarasinghu</t>
  </si>
  <si>
    <t>Amit / Venkata Srinath</t>
  </si>
  <si>
    <t>Head-Immigration &amp; HR Compliance, N.A. / Immigration Manager</t>
  </si>
  <si>
    <t>C/O TCSL, 9201 Corporate Boulevard</t>
  </si>
  <si>
    <t>amit1.jindal@tcs.com / srinath.y@tcs.com</t>
  </si>
  <si>
    <t>Columbus</t>
  </si>
  <si>
    <t>martin.uribe@goellaw.com</t>
  </si>
  <si>
    <t>Statisticians</t>
  </si>
  <si>
    <t xml:space="preserve">Houston </t>
  </si>
  <si>
    <t>IMMIGRATION MANAGER</t>
  </si>
  <si>
    <t>Suite 2700</t>
  </si>
  <si>
    <t>Houston</t>
  </si>
  <si>
    <t>HARRIS</t>
  </si>
  <si>
    <t>Director, Human Resources</t>
  </si>
  <si>
    <t>bolayirk@gtlaw.com</t>
  </si>
  <si>
    <t>Fremont</t>
  </si>
  <si>
    <t>FREMONT</t>
  </si>
  <si>
    <t>FORT BEND</t>
  </si>
  <si>
    <t>DEEPIKA.SINGH@CHUGH.COM</t>
  </si>
  <si>
    <t>Chemists</t>
  </si>
  <si>
    <t>PRINCETON</t>
  </si>
  <si>
    <t>MERCER</t>
  </si>
  <si>
    <t xml:space="preserve"> DoorDash, Inc. </t>
  </si>
  <si>
    <t xml:space="preserve">303  2nd Street </t>
  </si>
  <si>
    <t>King</t>
  </si>
  <si>
    <t>Lesley</t>
  </si>
  <si>
    <t xml:space="preserve">HR Program Manager </t>
  </si>
  <si>
    <t>lesley@doordash.com</t>
  </si>
  <si>
    <t xml:space="preserve">Willis Towers Watson </t>
  </si>
  <si>
    <t>FACEBOOK INC.</t>
  </si>
  <si>
    <t>1 HACKER WAY*</t>
  </si>
  <si>
    <t>MENLO PARK</t>
  </si>
  <si>
    <t>ABOOBAKER</t>
  </si>
  <si>
    <t>AZMINA</t>
  </si>
  <si>
    <t>US IMMIGRATION MANAGER</t>
  </si>
  <si>
    <t>ImmigrationFYI@fb.com</t>
  </si>
  <si>
    <t>ALAMEDA</t>
  </si>
  <si>
    <t>Dentists, General</t>
  </si>
  <si>
    <t>Springfield</t>
  </si>
  <si>
    <t>BARBARA</t>
  </si>
  <si>
    <t>SCHAUMBURG</t>
  </si>
  <si>
    <t>SANGAMON</t>
  </si>
  <si>
    <t>PRESIDENT</t>
  </si>
  <si>
    <t>Ste 100</t>
  </si>
  <si>
    <t>Manimalethu/Cheng/Murphy/Crandall</t>
  </si>
  <si>
    <t>Laya Ann/Victoria/Virginia/Boshion</t>
  </si>
  <si>
    <t>GITAMER@GOOGLE.COM</t>
  </si>
  <si>
    <t>Transportation, Storage, and Distribution Managers</t>
  </si>
  <si>
    <t>Amazon.com Services LLC</t>
  </si>
  <si>
    <t>2021 7TH AVENUE</t>
  </si>
  <si>
    <t>SEATTLE</t>
  </si>
  <si>
    <t>HR IMMIGRATION</t>
  </si>
  <si>
    <t xml:space="preserve">Seattle </t>
  </si>
  <si>
    <t>Cambridge</t>
  </si>
  <si>
    <t>Norwood</t>
  </si>
  <si>
    <t>NORWOOD</t>
  </si>
  <si>
    <t>hds@msk.com</t>
  </si>
  <si>
    <t>AMAZON.COM SERVICES LLC</t>
  </si>
  <si>
    <t>2250 7TH AVENUE</t>
  </si>
  <si>
    <t>GERLING/ WILBURN/ VAN DEN HANDEL</t>
  </si>
  <si>
    <t>ANDREAS/CHARLES/DANIEL</t>
  </si>
  <si>
    <t>I-200-20268-843329</t>
  </si>
  <si>
    <t>Hexaware Technologies Inc.</t>
  </si>
  <si>
    <t>101 Wood Ave. S.</t>
  </si>
  <si>
    <t>Iselin</t>
  </si>
  <si>
    <t>Fernando</t>
  </si>
  <si>
    <t>Caroline</t>
  </si>
  <si>
    <t>Deputy Manager - Human Resources</t>
  </si>
  <si>
    <t>carolinef@hexaware.com</t>
  </si>
  <si>
    <t>13150 World Gate Drive,</t>
  </si>
  <si>
    <t>Herndon,</t>
  </si>
  <si>
    <t>FAIRFAX</t>
  </si>
  <si>
    <t>gov@poorvichothani.com</t>
  </si>
  <si>
    <t>17095 Via Del Campo</t>
  </si>
  <si>
    <t>Marshall</t>
  </si>
  <si>
    <t>Carla</t>
  </si>
  <si>
    <t>C</t>
  </si>
  <si>
    <t>Global Mobility Manager</t>
  </si>
  <si>
    <t>Carla.Marshall@Teradata.com</t>
  </si>
  <si>
    <t>GUILFORD</t>
  </si>
  <si>
    <t>Tanya.Singh@ca.ey.com</t>
  </si>
  <si>
    <t>Amanda</t>
  </si>
  <si>
    <t>tdharlo@ggw.com</t>
  </si>
  <si>
    <t xml:space="preserve">Facebook, Inc. </t>
  </si>
  <si>
    <t xml:space="preserve">1 Hacker Way </t>
  </si>
  <si>
    <t>Menlo Park</t>
  </si>
  <si>
    <t>Aboobaker</t>
  </si>
  <si>
    <t>Azmina</t>
  </si>
  <si>
    <t>US Immigration Manager</t>
  </si>
  <si>
    <t xml:space="preserve">Menlo Park </t>
  </si>
  <si>
    <t>vicky.johnson@ogletreedeakins.com</t>
  </si>
  <si>
    <t>SACRAMENTO</t>
  </si>
  <si>
    <t>Mercer</t>
  </si>
  <si>
    <t>Sheila</t>
  </si>
  <si>
    <t>R</t>
  </si>
  <si>
    <t>T-Mobile USA, Inc.</t>
  </si>
  <si>
    <t>12920 SE 38th Street</t>
  </si>
  <si>
    <t>ATLANTA</t>
  </si>
  <si>
    <t>DEKALB</t>
  </si>
  <si>
    <t>RENEE</t>
  </si>
  <si>
    <t>Irving</t>
  </si>
  <si>
    <t>DALLAS</t>
  </si>
  <si>
    <t>I-200-20269-846067</t>
  </si>
  <si>
    <t>Biological Technicians</t>
  </si>
  <si>
    <t>Columbia University</t>
  </si>
  <si>
    <t>630 West 168th Street</t>
  </si>
  <si>
    <t>Smith</t>
  </si>
  <si>
    <t>Gwyneth</t>
  </si>
  <si>
    <t>Anne</t>
  </si>
  <si>
    <t>gs2258@columbia.edu</t>
  </si>
  <si>
    <t>Financial Analysts</t>
  </si>
  <si>
    <t>Shane</t>
  </si>
  <si>
    <t>UNITED KINGDOM</t>
  </si>
  <si>
    <t>Photonics Engineers</t>
  </si>
  <si>
    <t>VICE PRESIDENT</t>
  </si>
  <si>
    <t>REDMOND</t>
  </si>
  <si>
    <t>BICKFORD</t>
  </si>
  <si>
    <t>SENIOR PARALEGAL</t>
  </si>
  <si>
    <t>222 Jacobs Street, Third Floor</t>
  </si>
  <si>
    <t>BARBARA.BICKFORD@PHILIPS.COM</t>
  </si>
  <si>
    <t>COMPUNNEL SOFTWARE GROUP, INC</t>
  </si>
  <si>
    <t>103 MORGAN LANE</t>
  </si>
  <si>
    <t>NEW JERSEY</t>
  </si>
  <si>
    <t>Shah</t>
  </si>
  <si>
    <t>Rakesh</t>
  </si>
  <si>
    <t>President</t>
  </si>
  <si>
    <t>IMMIGRATION@COMPUNNEL.COM</t>
  </si>
  <si>
    <t>PHILADELPHIA</t>
  </si>
  <si>
    <t>VIRTUSA CORPORATION</t>
  </si>
  <si>
    <t>132 Turnpike Road</t>
  </si>
  <si>
    <t>Southborough</t>
  </si>
  <si>
    <t>Massachusetts</t>
  </si>
  <si>
    <t>CHAU</t>
  </si>
  <si>
    <t>QUYEN</t>
  </si>
  <si>
    <t>ASSOCIATE DIRECTOR - HR</t>
  </si>
  <si>
    <t>132 TURNPIKE ROAD</t>
  </si>
  <si>
    <t>SOUTHBOROUGH</t>
  </si>
  <si>
    <t>QCHAU@VIRTUSA.COM</t>
  </si>
  <si>
    <t>COLUMBUS</t>
  </si>
  <si>
    <t>Databricks, Inc.</t>
  </si>
  <si>
    <t>160 Spear Street, 13th Floor</t>
  </si>
  <si>
    <t>AON</t>
  </si>
  <si>
    <t>Health Specialties Teachers, Postsecondary</t>
  </si>
  <si>
    <t>WAYNE STATE UNIVERSITY</t>
  </si>
  <si>
    <t>42 WEST WARREN AVENUE</t>
  </si>
  <si>
    <t>DETROIT</t>
  </si>
  <si>
    <t>MONTGOMERY</t>
  </si>
  <si>
    <t>LASHARA</t>
  </si>
  <si>
    <t>PROGRAM SPECIALIST</t>
  </si>
  <si>
    <t>AB0314@WAYNE.EDU</t>
  </si>
  <si>
    <t>WAYNE</t>
  </si>
  <si>
    <t>Controller</t>
  </si>
  <si>
    <t>SOMERSET</t>
  </si>
  <si>
    <t>Sunraise Technologies INC</t>
  </si>
  <si>
    <t>9516 Lee Hwy</t>
  </si>
  <si>
    <t>Fairfax</t>
  </si>
  <si>
    <t>Goluguri</t>
  </si>
  <si>
    <t>Srinivasa</t>
  </si>
  <si>
    <t>TR</t>
  </si>
  <si>
    <t>hr@sunraisetechnologies.com</t>
  </si>
  <si>
    <t>MACOMB</t>
  </si>
  <si>
    <t>LCAS@SYSSLAW.COM</t>
  </si>
  <si>
    <t>TN</t>
  </si>
  <si>
    <t>BROWN</t>
  </si>
  <si>
    <t>HARTFORD CITY</t>
  </si>
  <si>
    <t>EPAM Systems Inc.</t>
  </si>
  <si>
    <t>41 University Drive</t>
  </si>
  <si>
    <t>Newtown</t>
  </si>
  <si>
    <t>Bobin</t>
  </si>
  <si>
    <t>Olga</t>
  </si>
  <si>
    <t>Senior Director, Global Mobility</t>
  </si>
  <si>
    <t>WFARelocationUS@epam.com</t>
  </si>
  <si>
    <t>Frisco</t>
  </si>
  <si>
    <t>COLLIN</t>
  </si>
  <si>
    <t>gmccain@fragomen.com</t>
  </si>
  <si>
    <t>Computer Network Support Specialists</t>
  </si>
  <si>
    <t xml:space="preserve">Larsen &amp; Toubro Infotech Limited </t>
  </si>
  <si>
    <t xml:space="preserve">2035 Lincoln Highway, Edison Square West   </t>
  </si>
  <si>
    <t>Edison</t>
  </si>
  <si>
    <t xml:space="preserve">Mehta		</t>
  </si>
  <si>
    <t xml:space="preserve">Vikram 	</t>
  </si>
  <si>
    <t>Senior Manager Immigration</t>
  </si>
  <si>
    <t>vikram.mehta@lntinfotech.com</t>
  </si>
  <si>
    <t>Lawyers</t>
  </si>
  <si>
    <t>Rebecca</t>
  </si>
  <si>
    <t>Palo Alto</t>
  </si>
  <si>
    <t>Radford</t>
  </si>
  <si>
    <t>Chief Operations Officer</t>
  </si>
  <si>
    <t xml:space="preserve">SECUREAPP TECHNOLOGIES </t>
  </si>
  <si>
    <t>510 THORNALL ST</t>
  </si>
  <si>
    <t>KURANI</t>
  </si>
  <si>
    <t>BHUPAT</t>
  </si>
  <si>
    <t>HRADMIN@SECUREAPPTECH.COM</t>
  </si>
  <si>
    <t>BROWARD</t>
  </si>
  <si>
    <t>FL</t>
  </si>
  <si>
    <t>General and Operations Managers</t>
  </si>
  <si>
    <t>MARK</t>
  </si>
  <si>
    <t>APPLE-USIMM@FRAGOMEN.COM</t>
  </si>
  <si>
    <t>Middle Management, Professional, and Support Comp. Survey</t>
  </si>
  <si>
    <t>Computer and Information Systems Managers</t>
  </si>
  <si>
    <t>PayPal, Inc.</t>
  </si>
  <si>
    <t>2211 North First Street</t>
  </si>
  <si>
    <t>San Jose</t>
  </si>
  <si>
    <t>Barafwala</t>
  </si>
  <si>
    <t>Tarique</t>
  </si>
  <si>
    <t>global_mobility@paypal.com</t>
  </si>
  <si>
    <t>cameron@eiglaw.com</t>
  </si>
  <si>
    <t>Westborough</t>
  </si>
  <si>
    <t>Sullivan</t>
  </si>
  <si>
    <t>Marie</t>
  </si>
  <si>
    <t>LEXINGTON</t>
  </si>
  <si>
    <t>SC</t>
  </si>
  <si>
    <t>Dallas</t>
  </si>
  <si>
    <t>Managing Director</t>
  </si>
  <si>
    <t>2019 General Industry MMPS Compensation Survey</t>
  </si>
  <si>
    <t>Xavient Digital LLC</t>
  </si>
  <si>
    <t>21700 OXNARD STREET</t>
  </si>
  <si>
    <t>LEWIS-METCALFE</t>
  </si>
  <si>
    <t>DEITRA</t>
  </si>
  <si>
    <t>MANAGER, HUMAN RESOURCES</t>
  </si>
  <si>
    <t>DMETCALFE@XAVIENT.COM</t>
  </si>
  <si>
    <t>Charlotte</t>
  </si>
  <si>
    <t>Iowa State University of Science and Technology</t>
  </si>
  <si>
    <t>2229 Lincoln Way</t>
  </si>
  <si>
    <t>Ames</t>
  </si>
  <si>
    <t>IA</t>
  </si>
  <si>
    <t>Vance</t>
  </si>
  <si>
    <t>Deborah</t>
  </si>
  <si>
    <t>Lynn</t>
  </si>
  <si>
    <t>Assistant Director, International Students &amp; Scholars Office</t>
  </si>
  <si>
    <t>dvance@iastate.edu</t>
  </si>
  <si>
    <t>STORY</t>
  </si>
  <si>
    <t>GALAX-ESYSTEMS CORPORATION</t>
  </si>
  <si>
    <t>ONE OXFORD CENTRE</t>
  </si>
  <si>
    <t>PITTSBURGH</t>
  </si>
  <si>
    <t>ALAPATI</t>
  </si>
  <si>
    <t>SRINIVAS</t>
  </si>
  <si>
    <t>HUMAN RESOURCE MANAGER</t>
  </si>
  <si>
    <t>NIVAS@GALAXESYSTEMS.COM</t>
  </si>
  <si>
    <t>Washington</t>
  </si>
  <si>
    <t>DISTRICT OF COLUMBIA</t>
  </si>
  <si>
    <t>DC</t>
  </si>
  <si>
    <t>seth@sethlegal.com</t>
  </si>
  <si>
    <t>MONROE</t>
  </si>
  <si>
    <t>ANN</t>
  </si>
  <si>
    <t>Database Administrators</t>
  </si>
  <si>
    <t>Director</t>
  </si>
  <si>
    <t>5810 Owens Dr</t>
  </si>
  <si>
    <t>Pleasanton</t>
  </si>
  <si>
    <t>MIRACLE SOFTWARE SYSTEMS, INC.</t>
  </si>
  <si>
    <t>45625 GRAND RIVER AVENUE</t>
  </si>
  <si>
    <t>NOVI</t>
  </si>
  <si>
    <t>LOKAM</t>
  </si>
  <si>
    <t>PRASAD</t>
  </si>
  <si>
    <t>VENKATA</t>
  </si>
  <si>
    <t>PRESIDENT/ CEO</t>
  </si>
  <si>
    <t>PMANUBALLA@MIRACLESOFT.COM</t>
  </si>
  <si>
    <t>BENTON</t>
  </si>
  <si>
    <t>AR</t>
  </si>
  <si>
    <t>RRATNALA@MIRACLESOFT.COM</t>
  </si>
  <si>
    <t>Lead IT Corporation</t>
  </si>
  <si>
    <t>1999 Wabash Ave</t>
  </si>
  <si>
    <t>Rajani</t>
  </si>
  <si>
    <t>Chief Executive Officer</t>
  </si>
  <si>
    <t>legal@leaditgroup.com</t>
  </si>
  <si>
    <t>6565 Headquarters Drive</t>
  </si>
  <si>
    <t>Computer and Information Research Scientists</t>
  </si>
  <si>
    <t>JSUNNY@FRAGOMEN.COM</t>
  </si>
  <si>
    <t>SAN JOSE</t>
  </si>
  <si>
    <t>SUITE 300</t>
  </si>
  <si>
    <t>Electrical Engineers, R&amp;D</t>
  </si>
  <si>
    <t>Alliance for Sustainable Energy, LLC</t>
  </si>
  <si>
    <t>15013 Denver West Parkway</t>
  </si>
  <si>
    <t>Golden</t>
  </si>
  <si>
    <t>Blake</t>
  </si>
  <si>
    <t>Guli</t>
  </si>
  <si>
    <t>Global Mobility Analyst</t>
  </si>
  <si>
    <t>Guli.Blake@nrel.gov</t>
  </si>
  <si>
    <t>justin.silver@ogletreedeakins.com</t>
  </si>
  <si>
    <t>Southlake</t>
  </si>
  <si>
    <t>Vikram</t>
  </si>
  <si>
    <t>Suite 600</t>
  </si>
  <si>
    <t>Civil Engineers</t>
  </si>
  <si>
    <t>L</t>
  </si>
  <si>
    <t>Suite 100</t>
  </si>
  <si>
    <t>WILLIAMSON</t>
  </si>
  <si>
    <t>HCL AMERICA, INC.</t>
  </si>
  <si>
    <t>330 POTRERO AVENUE</t>
  </si>
  <si>
    <t>SUNNYVALE</t>
  </si>
  <si>
    <t>Heh</t>
  </si>
  <si>
    <t>Jack</t>
  </si>
  <si>
    <t>Associate Manager</t>
  </si>
  <si>
    <t>JHeh@hcl.com</t>
  </si>
  <si>
    <t>600 Riverpark Drive</t>
  </si>
  <si>
    <t>North Reading</t>
  </si>
  <si>
    <t>NORTH READING</t>
  </si>
  <si>
    <t>Burlington</t>
  </si>
  <si>
    <t>Singh</t>
  </si>
  <si>
    <t>Senior Human Resources Business Partner</t>
  </si>
  <si>
    <t>BURLINGTON</t>
  </si>
  <si>
    <t>ISELIN</t>
  </si>
  <si>
    <t>ROSELAND</t>
  </si>
  <si>
    <t>Medical Scientists, Except Epidemiologists</t>
  </si>
  <si>
    <t>LEE</t>
  </si>
  <si>
    <t>Lexington</t>
  </si>
  <si>
    <t>FAYETTE</t>
  </si>
  <si>
    <t>3 Hawthorn Parkway</t>
  </si>
  <si>
    <t>Vernon Hills</t>
  </si>
  <si>
    <t>LAKE</t>
  </si>
  <si>
    <t>Megan</t>
  </si>
  <si>
    <t>Richmond</t>
  </si>
  <si>
    <t>Graphic Designers</t>
  </si>
  <si>
    <t>CHARLES</t>
  </si>
  <si>
    <t>krider@balglobal.com</t>
  </si>
  <si>
    <t>Ernst &amp; Young U.S. LLP</t>
  </si>
  <si>
    <t>200 Plaza Drive</t>
  </si>
  <si>
    <t>Secaucus</t>
  </si>
  <si>
    <t>Rubenstein</t>
  </si>
  <si>
    <t>Sunday</t>
  </si>
  <si>
    <t>D</t>
  </si>
  <si>
    <t>Associate Director, Americas Talent Team</t>
  </si>
  <si>
    <t>US.Visaimmigrationsupport@EY.com</t>
  </si>
  <si>
    <t>TOWERS WATSON</t>
  </si>
  <si>
    <t>niveyus@ca.ey.com</t>
  </si>
  <si>
    <t>Natural Sciences Managers</t>
  </si>
  <si>
    <t>AL</t>
  </si>
  <si>
    <t>Carolyn</t>
  </si>
  <si>
    <t>Vice President, Global Human Resources</t>
  </si>
  <si>
    <t>Suite 1700</t>
  </si>
  <si>
    <t>MADISON</t>
  </si>
  <si>
    <t>sdavis@maynardcooper.com</t>
  </si>
  <si>
    <t>G</t>
  </si>
  <si>
    <t>RICHLAND</t>
  </si>
  <si>
    <t>KCook@fragomen.com</t>
  </si>
  <si>
    <t>Orange</t>
  </si>
  <si>
    <t>Disclose Business and Employment</t>
  </si>
  <si>
    <t>OAKLAND</t>
  </si>
  <si>
    <t>AUSTIN</t>
  </si>
  <si>
    <t>TRAVIS</t>
  </si>
  <si>
    <t>Computer Occupations, All Other</t>
  </si>
  <si>
    <t>INFOSYS LIMITED</t>
  </si>
  <si>
    <t>2400 N. GLENVILLE DR</t>
  </si>
  <si>
    <t>RICHARDSON</t>
  </si>
  <si>
    <t>HANDE</t>
  </si>
  <si>
    <t>MITHUN</t>
  </si>
  <si>
    <t>PRACTICE LEAD - GLOBAL IMMIGRATION</t>
  </si>
  <si>
    <t>MITHUN_HANDE@INFOSYS.COM</t>
  </si>
  <si>
    <t>Marketing Managers</t>
  </si>
  <si>
    <t>JUUL Labs, Inc.</t>
  </si>
  <si>
    <t>560 20th Street</t>
  </si>
  <si>
    <t>Mayorga</t>
  </si>
  <si>
    <t>Katherine</t>
  </si>
  <si>
    <t>Manager, Global Immigration and Mobility</t>
  </si>
  <si>
    <t>I-200-20268-843799</t>
  </si>
  <si>
    <t>Deloitte Consulting LLP</t>
  </si>
  <si>
    <t>1700 MARKET STREET</t>
  </si>
  <si>
    <t>DEL CAMPO</t>
  </si>
  <si>
    <t>KATHRYN</t>
  </si>
  <si>
    <t>1700 Market Street Suite 2700</t>
  </si>
  <si>
    <t>anhamm@balglobal.com</t>
  </si>
  <si>
    <t>I-200-20268-844297</t>
  </si>
  <si>
    <t>Aclara Smart Grid Solutions, LLC</t>
  </si>
  <si>
    <t>77 West Port Plaza Drive</t>
  </si>
  <si>
    <t>St. Louis</t>
  </si>
  <si>
    <t>Krzywicki</t>
  </si>
  <si>
    <t>James</t>
  </si>
  <si>
    <t>HR Dir, Global Sales, Engineer &amp; Software Tech</t>
  </si>
  <si>
    <t>30400 Solon Road</t>
  </si>
  <si>
    <t>Solon</t>
  </si>
  <si>
    <t>jkrzywicki@aclara.com</t>
  </si>
  <si>
    <t>13650 Dulles Technology Drive</t>
  </si>
  <si>
    <t>Suite 300</t>
  </si>
  <si>
    <t>Herndon</t>
  </si>
  <si>
    <t>RICHMOND CITY</t>
  </si>
  <si>
    <t>6565 Headquarters Dr</t>
  </si>
  <si>
    <t>Texas Instruments Incorporated</t>
  </si>
  <si>
    <t>13570 NORTH CENTRAL EXPRESSWAY</t>
  </si>
  <si>
    <t>HR Assistant</t>
  </si>
  <si>
    <t>Richardson</t>
  </si>
  <si>
    <t>Milpitas</t>
  </si>
  <si>
    <t>HR Generalist</t>
  </si>
  <si>
    <t>Suite 120</t>
  </si>
  <si>
    <t>Austin</t>
  </si>
  <si>
    <t>Sales Engineers</t>
  </si>
  <si>
    <t>Cisco Systems, Inc.</t>
  </si>
  <si>
    <t>170 West Tasman Drive</t>
  </si>
  <si>
    <t xml:space="preserve"> Contreras / D'Souza / Renault</t>
  </si>
  <si>
    <t>Sergio / Kyle / Lisa</t>
  </si>
  <si>
    <t>M.</t>
  </si>
  <si>
    <t>Imm Consultant / Mobility Consultant, Imm Mgr / Mobility Spc</t>
  </si>
  <si>
    <t>secontre@cisco.com</t>
  </si>
  <si>
    <t>SUMMIT</t>
  </si>
  <si>
    <t>ERP Analysts, Inc.</t>
  </si>
  <si>
    <t>Akkapeddi</t>
  </si>
  <si>
    <t>HR Lead</t>
  </si>
  <si>
    <t>Validation Engineers</t>
  </si>
  <si>
    <t>Santa Rosa</t>
  </si>
  <si>
    <t>SONOMA</t>
  </si>
  <si>
    <t>LA</t>
  </si>
  <si>
    <t>V</t>
  </si>
  <si>
    <t>ORLEANS</t>
  </si>
  <si>
    <t>CUPA-HR</t>
  </si>
  <si>
    <t>WILLIS TOWERS WATSON</t>
  </si>
  <si>
    <t>CHIEF OPERATING OFFICER</t>
  </si>
  <si>
    <t>Suite 200</t>
  </si>
  <si>
    <t>COOK</t>
  </si>
  <si>
    <t>Plainsboro</t>
  </si>
  <si>
    <t>Partner</t>
  </si>
  <si>
    <t>Jane</t>
  </si>
  <si>
    <t>TARRANT</t>
  </si>
  <si>
    <t>10900 NE 8th Street</t>
  </si>
  <si>
    <t>Indianapolis</t>
  </si>
  <si>
    <t>MARION</t>
  </si>
  <si>
    <t>asif_ali@infosys.com</t>
  </si>
  <si>
    <t>345 Spear Street</t>
  </si>
  <si>
    <t xml:space="preserve">Shah  </t>
  </si>
  <si>
    <t>President </t>
  </si>
  <si>
    <t xml:space="preserve">103 MORGAN LANE                     </t>
  </si>
  <si>
    <t xml:space="preserve">PLAINSBORO  </t>
  </si>
  <si>
    <t>Sioux Falls</t>
  </si>
  <si>
    <t>SD</t>
  </si>
  <si>
    <t>PISCATAWAY</t>
  </si>
  <si>
    <t>HOUSTON</t>
  </si>
  <si>
    <t>Novi</t>
  </si>
  <si>
    <t>HR Administrator</t>
  </si>
  <si>
    <t>Suite 1300</t>
  </si>
  <si>
    <t>2201 WESTLAKE AVENUE</t>
  </si>
  <si>
    <t>Construction Managers</t>
  </si>
  <si>
    <t>Greenville</t>
  </si>
  <si>
    <t>Hillsboro</t>
  </si>
  <si>
    <t>WASHINGTON</t>
  </si>
  <si>
    <t>OR</t>
  </si>
  <si>
    <t>EBYTE TECHNOLOGIES INC</t>
  </si>
  <si>
    <t>8751 WEST BROWARD BLVD</t>
  </si>
  <si>
    <t>PLANTATION</t>
  </si>
  <si>
    <t>MANAGER</t>
  </si>
  <si>
    <t>HR@EBYTETECHNOLOGIES.COM</t>
  </si>
  <si>
    <t>MIAMI-DADE</t>
  </si>
  <si>
    <t>hr@ebytetechnologies.com</t>
  </si>
  <si>
    <t>Stansource Inc.</t>
  </si>
  <si>
    <t>22375 Broderick Dr.</t>
  </si>
  <si>
    <t>Dulles</t>
  </si>
  <si>
    <t>Thakker</t>
  </si>
  <si>
    <t>Dipak</t>
  </si>
  <si>
    <t>Dipak@stansource.com</t>
  </si>
  <si>
    <t>Shah@shahandkishore.com</t>
  </si>
  <si>
    <t>American Express Travel Related Services Company, Inc.</t>
  </si>
  <si>
    <t>200 Vesey Street</t>
  </si>
  <si>
    <t>PHOENIX</t>
  </si>
  <si>
    <t>Risk Management Specialists</t>
  </si>
  <si>
    <t>Chicago</t>
  </si>
  <si>
    <t>Mark</t>
  </si>
  <si>
    <t>UTAH</t>
  </si>
  <si>
    <t>Suite 700</t>
  </si>
  <si>
    <t>RAMSEY</t>
  </si>
  <si>
    <t>Accenture LLP</t>
  </si>
  <si>
    <t>161 N. Clark</t>
  </si>
  <si>
    <t>KURCZEWSKI</t>
  </si>
  <si>
    <t>LUCY</t>
  </si>
  <si>
    <t>161 N CLARK STREET</t>
  </si>
  <si>
    <t>CHICAGO</t>
  </si>
  <si>
    <t>ACCENTURESITEVISITS@ACCENTURE.COM</t>
  </si>
  <si>
    <t>SUN CLOUD LLC</t>
  </si>
  <si>
    <t>5455 McGinnis Village Place</t>
  </si>
  <si>
    <t>Alpharetta</t>
  </si>
  <si>
    <t>Vanamala</t>
  </si>
  <si>
    <t>Sushuma</t>
  </si>
  <si>
    <t>Admin@suncloudllc.com</t>
  </si>
  <si>
    <t>Suite 202</t>
  </si>
  <si>
    <t>FORSYTH</t>
  </si>
  <si>
    <t>Los Angeles</t>
  </si>
  <si>
    <t>Principal</t>
  </si>
  <si>
    <t>Accountants</t>
  </si>
  <si>
    <t>Providence</t>
  </si>
  <si>
    <t>RI</t>
  </si>
  <si>
    <t>Miller</t>
  </si>
  <si>
    <t>Aimee</t>
  </si>
  <si>
    <t>Director of Human Resources</t>
  </si>
  <si>
    <t>ALLEGHENY</t>
  </si>
  <si>
    <t>brandy.oconnell@dentons.com</t>
  </si>
  <si>
    <t>Computer Hardware Engineers</t>
  </si>
  <si>
    <t>TATA CONSULTANCY SERVICES LIMITED</t>
  </si>
  <si>
    <t>9201 CORPORATE BOULEVARD</t>
  </si>
  <si>
    <t>ROCKVILLE</t>
  </si>
  <si>
    <t>JINDAL</t>
  </si>
  <si>
    <t>AMIT</t>
  </si>
  <si>
    <t>HEAD IMMIGRATION &amp; HR COMPLIANCE NORTH AMERICA</t>
  </si>
  <si>
    <t>AMIT1.JINDAL@TCS.COM</t>
  </si>
  <si>
    <t>Teradata U.S, Inc</t>
  </si>
  <si>
    <t>5550 Peachtree Parkway</t>
  </si>
  <si>
    <t>Norcross</t>
  </si>
  <si>
    <t>2055 Laurelwood Rd</t>
  </si>
  <si>
    <t>Amit</t>
  </si>
  <si>
    <t>Vice President</t>
  </si>
  <si>
    <t>I-200-20268-844146</t>
  </si>
  <si>
    <t>DISH NETWORK LLC</t>
  </si>
  <si>
    <t xml:space="preserve">AMY KRISTINE </t>
  </si>
  <si>
    <t xml:space="preserve">WHITE PLAINS </t>
  </si>
  <si>
    <t>Melissa</t>
  </si>
  <si>
    <t>1 N Waukegan Road</t>
  </si>
  <si>
    <t>North Chicago</t>
  </si>
  <si>
    <t>Polacek</t>
  </si>
  <si>
    <t>Jeanna</t>
  </si>
  <si>
    <t>Immigration &amp; Employment Paralegal</t>
  </si>
  <si>
    <t>jeanna.polacek@abbvie.com</t>
  </si>
  <si>
    <t>South San Francisco</t>
  </si>
  <si>
    <t>katherine@hebf.com</t>
  </si>
  <si>
    <t>GOOGLE LLC</t>
  </si>
  <si>
    <t>MANIMALETHU/CHENG/MURPHY/CRANDALL</t>
  </si>
  <si>
    <t>LAYA ANN/VICTORIA/VIRGINIA/BOSHION</t>
  </si>
  <si>
    <t>PROGRAM MANAGERS</t>
  </si>
  <si>
    <t>Boulder</t>
  </si>
  <si>
    <t>BOULDER</t>
  </si>
  <si>
    <t>AGALVEZ@BALGLOBAL.COM</t>
  </si>
  <si>
    <t xml:space="preserve">NEW YORK </t>
  </si>
  <si>
    <t>HR Director</t>
  </si>
  <si>
    <t xml:space="preserve">Indianapolis </t>
  </si>
  <si>
    <t>hajeera_khanum@infosys.com</t>
  </si>
  <si>
    <t>SINGH</t>
  </si>
  <si>
    <t>WIPRO LIMITED</t>
  </si>
  <si>
    <t>2 TOWER CENTER BLVD</t>
  </si>
  <si>
    <t>EAST BRUNSWICK</t>
  </si>
  <si>
    <t>KAMBLE</t>
  </si>
  <si>
    <t>DEEPALI</t>
  </si>
  <si>
    <t>deepali.kamble@wipro.com;gims-lca@wipro.com</t>
  </si>
  <si>
    <t>del Campo</t>
  </si>
  <si>
    <t>Kathryn</t>
  </si>
  <si>
    <t>Immigration Manager</t>
  </si>
  <si>
    <t>Denver</t>
  </si>
  <si>
    <t>DENVER</t>
  </si>
  <si>
    <t>#TeamAyu@balglobal.com</t>
  </si>
  <si>
    <t>Rahman</t>
  </si>
  <si>
    <t>persis.pavri@irissoftware.com</t>
  </si>
  <si>
    <t>200 Metroplex Drive</t>
  </si>
  <si>
    <t>Physicists</t>
  </si>
  <si>
    <t>The University of Chicago</t>
  </si>
  <si>
    <t>The Office of International Affairs</t>
  </si>
  <si>
    <t>P.</t>
  </si>
  <si>
    <t>HACKENSACK</t>
  </si>
  <si>
    <t>I-200-20269-846480</t>
  </si>
  <si>
    <t>Computer Sciences Corporation</t>
  </si>
  <si>
    <t>1775 Tysons Blvd.</t>
  </si>
  <si>
    <t>Tysons</t>
  </si>
  <si>
    <t>Jordan</t>
  </si>
  <si>
    <t>Elizabeth</t>
  </si>
  <si>
    <t>Global Immigration</t>
  </si>
  <si>
    <t>3400 N Central Expy</t>
  </si>
  <si>
    <t>liz.jordan@dxc.com</t>
  </si>
  <si>
    <t xml:space="preserve">6750 Mercy Road </t>
  </si>
  <si>
    <t xml:space="preserve">Omaha </t>
  </si>
  <si>
    <t>DOUGLAS</t>
  </si>
  <si>
    <t>NE</t>
  </si>
  <si>
    <t>DXCTechnology@Fragomen.com</t>
  </si>
  <si>
    <t>Burbank</t>
  </si>
  <si>
    <t>Manager, Immigration</t>
  </si>
  <si>
    <t>161 North Clark Street</t>
  </si>
  <si>
    <t>Janine</t>
  </si>
  <si>
    <t>Marlborough</t>
  </si>
  <si>
    <t>MARLBOROUGH CITY</t>
  </si>
  <si>
    <t>Kathy</t>
  </si>
  <si>
    <t>101 Cambridge St. Suite 360</t>
  </si>
  <si>
    <t>Sehgal</t>
  </si>
  <si>
    <t>Manju</t>
  </si>
  <si>
    <t>hr@iconsoft.net</t>
  </si>
  <si>
    <t>Princeton</t>
  </si>
  <si>
    <t>nicholas.kim@chugh.com</t>
  </si>
  <si>
    <t>LIBERTY MUTUAL TECHNOLOGY GROUP, INC.</t>
  </si>
  <si>
    <t>175 BERKELEY STREET</t>
  </si>
  <si>
    <t>BOSTON</t>
  </si>
  <si>
    <t>MASSACHUSETTS</t>
  </si>
  <si>
    <t>Attia</t>
  </si>
  <si>
    <t>Mary</t>
  </si>
  <si>
    <t>Global Mobility Consultant</t>
  </si>
  <si>
    <t>Mary.Attia@libertymutual.com</t>
  </si>
  <si>
    <t>BOONE</t>
  </si>
  <si>
    <t>McLean</t>
  </si>
  <si>
    <t>Sacramento</t>
  </si>
  <si>
    <t>Venkata</t>
  </si>
  <si>
    <t>I-200-20269-845231</t>
  </si>
  <si>
    <t>One Microsoft Way</t>
  </si>
  <si>
    <t>Financial Quantitative Analysts</t>
  </si>
  <si>
    <t>Thomas</t>
  </si>
  <si>
    <t>Marianne</t>
  </si>
  <si>
    <t>Logisticians</t>
  </si>
  <si>
    <t>AMAZON.COM SERVICES LLC.</t>
  </si>
  <si>
    <t>2021 7th Ave</t>
  </si>
  <si>
    <t>BATENHORST/DENMAN/ARODA/SEEMANGAL</t>
  </si>
  <si>
    <t>JENNY/CHRISTIAN/SHEETAL/OMESH</t>
  </si>
  <si>
    <t xml:space="preserve">2021 7th Ave </t>
  </si>
  <si>
    <t>Amazonimmigration@amazon.com</t>
  </si>
  <si>
    <t>TECH MAHINDRA (AMERICAS), INC</t>
  </si>
  <si>
    <t>500 HILLS DRIVE</t>
  </si>
  <si>
    <t>BEDMINSTER</t>
  </si>
  <si>
    <t>SHUKLA</t>
  </si>
  <si>
    <t>ULPA</t>
  </si>
  <si>
    <t>OPERATIONS MANAGER</t>
  </si>
  <si>
    <t>NC00471966@TECHMAHINDRA.COM</t>
  </si>
  <si>
    <t>PLANO</t>
  </si>
  <si>
    <t>MV00574429@TECHMAHINDRA.COM</t>
  </si>
  <si>
    <t>Livonia</t>
  </si>
  <si>
    <t>17177 N. Laurel Park Drive</t>
  </si>
  <si>
    <t>Lincoln</t>
  </si>
  <si>
    <t>sandra@gowda.com</t>
  </si>
  <si>
    <t>Visa U.S.A. Inc.</t>
  </si>
  <si>
    <t>900 Metro Center Blvd.</t>
  </si>
  <si>
    <t>Foster City</t>
  </si>
  <si>
    <t>JARIWALA</t>
  </si>
  <si>
    <t>Lina</t>
  </si>
  <si>
    <t>GLOBAL MOBILITY MANAGER</t>
  </si>
  <si>
    <t>900 METRO CENTER BLVD.</t>
  </si>
  <si>
    <t>IMMIGRATION@VISA.COM</t>
  </si>
  <si>
    <t>SAN MATEO</t>
  </si>
  <si>
    <t xml:space="preserve">Radford </t>
  </si>
  <si>
    <t xml:space="preserve">Radford Global Technology Survey </t>
  </si>
  <si>
    <t>Physicians and Surgeons, All Other</t>
  </si>
  <si>
    <t>CHARLOTTE</t>
  </si>
  <si>
    <t>General Motors Financial Company, Inc.</t>
  </si>
  <si>
    <t>801 Cherry Street</t>
  </si>
  <si>
    <t>Fort Worth</t>
  </si>
  <si>
    <t>Halleck</t>
  </si>
  <si>
    <t>David</t>
  </si>
  <si>
    <t>david.halleck@gmfinancial.com</t>
  </si>
  <si>
    <t>Arlington</t>
  </si>
  <si>
    <t>Johns Hopkins University</t>
  </si>
  <si>
    <t>3400 N. Charles Street</t>
  </si>
  <si>
    <t>Baltimore</t>
  </si>
  <si>
    <t>Sr. Intl Srvcs Advisor/Petitioner</t>
  </si>
  <si>
    <t>1620 McElderry Street</t>
  </si>
  <si>
    <t>BALTIMORE CITY</t>
  </si>
  <si>
    <t>Stanford</t>
  </si>
  <si>
    <t>Christopher</t>
  </si>
  <si>
    <t>POLK</t>
  </si>
  <si>
    <t>Brookfield</t>
  </si>
  <si>
    <t>Suresh</t>
  </si>
  <si>
    <t>6000 American Parkway</t>
  </si>
  <si>
    <t>Madison</t>
  </si>
  <si>
    <t>DANE</t>
  </si>
  <si>
    <t>PLEASANTON</t>
  </si>
  <si>
    <t xml:space="preserve">Sunnyvale </t>
  </si>
  <si>
    <t>Sarah</t>
  </si>
  <si>
    <t>PRICEWATERHOUSECOOPERS ADVISORY SERVICES LLC</t>
  </si>
  <si>
    <t>4040 WEST BOY SCOUT BOULEVARD</t>
  </si>
  <si>
    <t>TAMPA</t>
  </si>
  <si>
    <t xml:space="preserve"> 4040 W. Boy Scout Boulevard</t>
  </si>
  <si>
    <t xml:space="preserve"> Tampa</t>
  </si>
  <si>
    <t xml:space="preserve"> us_inbound_immigration@pwc.com</t>
  </si>
  <si>
    <t>MORRIS</t>
  </si>
  <si>
    <t>SHAH</t>
  </si>
  <si>
    <t>RAKESH</t>
  </si>
  <si>
    <t>NA</t>
  </si>
  <si>
    <t>MERRIMACK</t>
  </si>
  <si>
    <t>HILLSBOROUGH</t>
  </si>
  <si>
    <t>NH</t>
  </si>
  <si>
    <t>Fiserv Solutions, LLC</t>
  </si>
  <si>
    <t>Fiserv, Inc., 255 Fiserv Drive</t>
  </si>
  <si>
    <t>GALL</t>
  </si>
  <si>
    <t>ELIZABETH</t>
  </si>
  <si>
    <t>MANAGER, HR OPERATIONS, GLOBAL MOBILITY</t>
  </si>
  <si>
    <t>FISERV, INC., 255 FISERV DRIVE</t>
  </si>
  <si>
    <t>BROOKFIELD</t>
  </si>
  <si>
    <t>globalmobility.corporatehr@fiserv.com</t>
  </si>
  <si>
    <t>300 Kimball Dr</t>
  </si>
  <si>
    <t>Parsippany</t>
  </si>
  <si>
    <t>LCATeamPham@Fragomen.com</t>
  </si>
  <si>
    <t xml:space="preserve">ValueMomentum, Inc. </t>
  </si>
  <si>
    <t>220 Old New Brunswick Rd.</t>
  </si>
  <si>
    <t>Noria</t>
  </si>
  <si>
    <t>Cyrus</t>
  </si>
  <si>
    <t>Sr. Director - HR</t>
  </si>
  <si>
    <t>220 OLD NEW BRUNSWICK RD.</t>
  </si>
  <si>
    <t>CYRUS.NORIA@VALUEMOMENTUM.COM</t>
  </si>
  <si>
    <t>ERIE</t>
  </si>
  <si>
    <t>natallia@cyrusmehta.com</t>
  </si>
  <si>
    <t>Suite 1600</t>
  </si>
  <si>
    <t>Chief Financial Officer</t>
  </si>
  <si>
    <t>Warren</t>
  </si>
  <si>
    <t>807 11th Avenue</t>
  </si>
  <si>
    <t>A.</t>
  </si>
  <si>
    <t>CUPA-HR Faculty in Higher Education Survey</t>
  </si>
  <si>
    <t>ADOBE INC.</t>
  </si>
  <si>
    <t xml:space="preserve">345 PARK AVENUE </t>
  </si>
  <si>
    <t>Arlene</t>
  </si>
  <si>
    <t>Wilson</t>
  </si>
  <si>
    <t>Raleigh</t>
  </si>
  <si>
    <t>WAKE</t>
  </si>
  <si>
    <t>Johnston</t>
  </si>
  <si>
    <t>Priscilla</t>
  </si>
  <si>
    <t>JOHNSTON</t>
  </si>
  <si>
    <t>SRIDHAR</t>
  </si>
  <si>
    <t>Biochemists and Biophysicists</t>
  </si>
  <si>
    <t>UNIVERSITY OF CALIFORNIA, SAN DIEGO</t>
  </si>
  <si>
    <t>INT'L FACULTY &amp; SCHOLARS OFFICE</t>
  </si>
  <si>
    <t>LA JOLLA</t>
  </si>
  <si>
    <t>Danielle</t>
  </si>
  <si>
    <t>La Jolla</t>
  </si>
  <si>
    <t>Kalamazoo</t>
  </si>
  <si>
    <t>Lee</t>
  </si>
  <si>
    <t>A</t>
  </si>
  <si>
    <t>1305 Cherrington Parkway</t>
  </si>
  <si>
    <t>Moon Township</t>
  </si>
  <si>
    <t>Palermo</t>
  </si>
  <si>
    <t>Wendy</t>
  </si>
  <si>
    <t>Manager - Immigration</t>
  </si>
  <si>
    <t>immigrationflag@mastechdigital.com</t>
  </si>
  <si>
    <t>CUYAHOGA</t>
  </si>
  <si>
    <t>2500 LAKE COOK ROAD</t>
  </si>
  <si>
    <t>Riverwoods</t>
  </si>
  <si>
    <t>Vaughn</t>
  </si>
  <si>
    <t>Ashley</t>
  </si>
  <si>
    <t>Onboarding Coordinator</t>
  </si>
  <si>
    <t>2500 Lake Cook Road</t>
  </si>
  <si>
    <t>benjaminbaney@discover.com</t>
  </si>
  <si>
    <t>SALT LAKE</t>
  </si>
  <si>
    <t>Director of Operations</t>
  </si>
  <si>
    <t>U.S. Immigration Manager</t>
  </si>
  <si>
    <t xml:space="preserve">AKA 1601 Willow Road </t>
  </si>
  <si>
    <t xml:space="preserve">Birlasoft Inc			</t>
  </si>
  <si>
    <t xml:space="preserve">399 Thornall Street		</t>
  </si>
  <si>
    <t xml:space="preserve">Bahadur	</t>
  </si>
  <si>
    <t xml:space="preserve">John		</t>
  </si>
  <si>
    <t>VP - Human Resources</t>
  </si>
  <si>
    <t>kanika.bhatia@birlasoft.com</t>
  </si>
  <si>
    <t>Floor 4</t>
  </si>
  <si>
    <t>Sandra</t>
  </si>
  <si>
    <t>Tampa</t>
  </si>
  <si>
    <t>6301 Owensmouth Ave</t>
  </si>
  <si>
    <t>Woodland Hills</t>
  </si>
  <si>
    <t>3401 Hillview Avenue</t>
  </si>
  <si>
    <t>Global Talent Immigration Partner</t>
  </si>
  <si>
    <t>RALEIGH</t>
  </si>
  <si>
    <t>Durham</t>
  </si>
  <si>
    <t>MANHATTAN ASSOCIATES, INC.</t>
  </si>
  <si>
    <t>2300 WINDY RIDGE PARKWAY</t>
  </si>
  <si>
    <t>Jasper</t>
  </si>
  <si>
    <t>Senior Manager Global Mobility</t>
  </si>
  <si>
    <t>AJASPER@MANH.COM</t>
  </si>
  <si>
    <t>2300 Windy Ridge Parkway</t>
  </si>
  <si>
    <t>10th Floor</t>
  </si>
  <si>
    <t>COBB</t>
  </si>
  <si>
    <t>One Riverfront Plaza</t>
  </si>
  <si>
    <t>Corning</t>
  </si>
  <si>
    <t>Menard</t>
  </si>
  <si>
    <t>Catherine</t>
  </si>
  <si>
    <t>L.</t>
  </si>
  <si>
    <t>CABARRUS</t>
  </si>
  <si>
    <t>twrisley@hodgsonruss.com</t>
  </si>
  <si>
    <t>AMAZON WEB SERVICES, INC.</t>
  </si>
  <si>
    <t>13455 NOEL ROAD</t>
  </si>
  <si>
    <t>GALLERIA TOWER TWO, SUITE 600</t>
  </si>
  <si>
    <t>3001, Hackberry Road</t>
  </si>
  <si>
    <t>Redwood City</t>
  </si>
  <si>
    <t>Suite 102</t>
  </si>
  <si>
    <t>Burlingame</t>
  </si>
  <si>
    <t>Paul</t>
  </si>
  <si>
    <t>cameron@reinhornlaw.com</t>
  </si>
  <si>
    <t>PALM BEACH</t>
  </si>
  <si>
    <t>jennifer.brigham@ogletree.com</t>
  </si>
  <si>
    <t>1 Hartford Plaza</t>
  </si>
  <si>
    <t>.</t>
  </si>
  <si>
    <t>Hartford</t>
  </si>
  <si>
    <t>MINDTREE LIMITED</t>
  </si>
  <si>
    <t>25 INDEPENDENCE BLVD</t>
  </si>
  <si>
    <t>WARREN</t>
  </si>
  <si>
    <t>RAMESH</t>
  </si>
  <si>
    <t>MANAGER - IMMIGRATION</t>
  </si>
  <si>
    <t>5010 148TH AVENUE NE</t>
  </si>
  <si>
    <t>JOSEPH.RAMESH@MINDTREE.COM</t>
  </si>
  <si>
    <t>SSHAJI@FRAGOMEN.COM</t>
  </si>
  <si>
    <t>San Mateo</t>
  </si>
  <si>
    <t>Bentonville</t>
  </si>
  <si>
    <t>HR Coordinator</t>
  </si>
  <si>
    <t>Suite 302</t>
  </si>
  <si>
    <t>Willis Towers Watson Data Services</t>
  </si>
  <si>
    <t>Accountants and Auditors</t>
  </si>
  <si>
    <t>PRICEWATERHOUSECOOPERS LLP</t>
  </si>
  <si>
    <t>Urbanski</t>
  </si>
  <si>
    <t>Diane</t>
  </si>
  <si>
    <t>4040 W. Boy Scout Boulevard</t>
  </si>
  <si>
    <t>us_inbound_immigration@pwc.com</t>
  </si>
  <si>
    <t>Suite 1800</t>
  </si>
  <si>
    <t>MORGAN STANLEY SERVICES GROUP, INC.</t>
  </si>
  <si>
    <t>1585 BROADWAY</t>
  </si>
  <si>
    <t>AON PLC</t>
  </si>
  <si>
    <t>Kristen</t>
  </si>
  <si>
    <t>NASSAU</t>
  </si>
  <si>
    <t>2400 MEADOWBROOK PARKWAY</t>
  </si>
  <si>
    <t>DULUTH</t>
  </si>
  <si>
    <t>IMMIGRATION@ACSICORP.COM</t>
  </si>
  <si>
    <t>MASON</t>
  </si>
  <si>
    <t>TECHMILEAGE SOFTWARE SOLUTIONS LLC</t>
  </si>
  <si>
    <t>7272 E. INDIAN SCHOOL ROAD, SUITE 220</t>
  </si>
  <si>
    <t>SCOTTSDALE</t>
  </si>
  <si>
    <t>KRISHNAMURTHY</t>
  </si>
  <si>
    <t>HARISH</t>
  </si>
  <si>
    <t>RACHELP@TECHMILEAGE.COM</t>
  </si>
  <si>
    <t>JIHAN@KMWLAWOFFICES.COM</t>
  </si>
  <si>
    <t>JAISWAL</t>
  </si>
  <si>
    <t>KUMAR</t>
  </si>
  <si>
    <t>SANTOSH</t>
  </si>
  <si>
    <t>Lisa</t>
  </si>
  <si>
    <t>Manager, Human Resources</t>
  </si>
  <si>
    <t>Biological Scientists, All Other</t>
  </si>
  <si>
    <t>Robinson</t>
  </si>
  <si>
    <t>Medical and Clinical Laboratory Technologists</t>
  </si>
  <si>
    <t>Reyes</t>
  </si>
  <si>
    <t>West Hills</t>
  </si>
  <si>
    <t>RANDSTAD TECHNOLOGIES, LLC</t>
  </si>
  <si>
    <t>150 PRESIDENTIAL WAY</t>
  </si>
  <si>
    <t>WOBURN</t>
  </si>
  <si>
    <t>Tuck</t>
  </si>
  <si>
    <t>Barbara</t>
  </si>
  <si>
    <t>HR Immigration Specialist</t>
  </si>
  <si>
    <t>150 Presidential Way</t>
  </si>
  <si>
    <t>Woburn</t>
  </si>
  <si>
    <t>barbara.tuck@randstadusa.com</t>
  </si>
  <si>
    <t>Capital One Services, LLC</t>
  </si>
  <si>
    <t>15000 Capital One Drive</t>
  </si>
  <si>
    <t>Neblett</t>
  </si>
  <si>
    <t>Director - Human Resources</t>
  </si>
  <si>
    <t>immigration@capitalone.com</t>
  </si>
  <si>
    <t>Human Resources Manager</t>
  </si>
  <si>
    <t>GOLDMAN SACHS SERVICES LLC</t>
  </si>
  <si>
    <t>30 HUDSON STREET</t>
  </si>
  <si>
    <t>JERSEY CITY</t>
  </si>
  <si>
    <t>SILIE</t>
  </si>
  <si>
    <t>CATHERINE</t>
  </si>
  <si>
    <t>F.</t>
  </si>
  <si>
    <t>VICE PRESIDENT, HUMAN CAPITAL MANAGEMENT</t>
  </si>
  <si>
    <t>AMERICAS_IMMIGRATION@NY.EMAIL.GS.COM</t>
  </si>
  <si>
    <t>30 Hudson Street</t>
  </si>
  <si>
    <t>Jersey City</t>
  </si>
  <si>
    <t>HUDSON</t>
  </si>
  <si>
    <t>UBER TECHNOLOGIES, INC.</t>
  </si>
  <si>
    <t>1455 MARKET STREET</t>
  </si>
  <si>
    <t>KOTHARI</t>
  </si>
  <si>
    <t>AMI</t>
  </si>
  <si>
    <t>GLOBAL HEAD OF IMMIGRATION</t>
  </si>
  <si>
    <t>IMMI-US@UBER.COM</t>
  </si>
  <si>
    <t>UBERNIV@FRAGOMEN.COM</t>
  </si>
  <si>
    <t>NOKIA OF AMERICA CORPORATION</t>
  </si>
  <si>
    <t>600 MOUNTAIN AVENUE</t>
  </si>
  <si>
    <t>MURRAY HILL</t>
  </si>
  <si>
    <t>CALLEGHER</t>
  </si>
  <si>
    <t>AMY</t>
  </si>
  <si>
    <t>NORTH AMERICAN - IMMIGRATION &amp; RELOCATION MANAGER</t>
  </si>
  <si>
    <t>AMY.CALLEGHER@NOKIA.COM</t>
  </si>
  <si>
    <t>Radford US Prevailing Wage (H1-B/PERM) Custom Report</t>
  </si>
  <si>
    <t>fp_hanna_roberts@fragomenpartners.com</t>
  </si>
  <si>
    <t>Intone Networks, Inc.</t>
  </si>
  <si>
    <t>10 Austin Avenue</t>
  </si>
  <si>
    <t xml:space="preserve">Allu </t>
  </si>
  <si>
    <t xml:space="preserve">Sailaja </t>
  </si>
  <si>
    <t xml:space="preserve">Operations Manager  </t>
  </si>
  <si>
    <t>legalteam@intonenetworks.com</t>
  </si>
  <si>
    <t>Malvern</t>
  </si>
  <si>
    <t>CHESTER</t>
  </si>
  <si>
    <t>Rachel</t>
  </si>
  <si>
    <t>Dearborn</t>
  </si>
  <si>
    <t>Jacksonville</t>
  </si>
  <si>
    <t xml:space="preserve">Vice President </t>
  </si>
  <si>
    <t>DUVAL</t>
  </si>
  <si>
    <t>4478 ROUTE 27</t>
  </si>
  <si>
    <t>Kumar</t>
  </si>
  <si>
    <t>CALIFORNIA</t>
  </si>
  <si>
    <t>El Segundo</t>
  </si>
  <si>
    <t>Brentwood</t>
  </si>
  <si>
    <t>joseph.chua@chugh.com</t>
  </si>
  <si>
    <t>CAMBRIDGE CITY</t>
  </si>
  <si>
    <t>THE FEINSTEIN INSTITUTE FOR MEDICAL RESEARCH</t>
  </si>
  <si>
    <t>350 COMMUNITY DRIVE</t>
  </si>
  <si>
    <t>MANHASSET</t>
  </si>
  <si>
    <t>MELBOURNE</t>
  </si>
  <si>
    <t>KALA</t>
  </si>
  <si>
    <t>kmelbourne@northwell.edu</t>
  </si>
  <si>
    <t>Suite 2010</t>
  </si>
  <si>
    <t>CERNER CORPORATION</t>
  </si>
  <si>
    <t>2800 Rockcreek Parkway</t>
  </si>
  <si>
    <t>North Kansas City</t>
  </si>
  <si>
    <t>BYSTREK</t>
  </si>
  <si>
    <t>MOLLY</t>
  </si>
  <si>
    <t>IMMIGRATION PROGRAM MANAGER, HR</t>
  </si>
  <si>
    <t>IMMIGRATION@CERNER.COM</t>
  </si>
  <si>
    <t>51 Valley Stream Parkway</t>
  </si>
  <si>
    <t>eBay Inc.</t>
  </si>
  <si>
    <t>2025 Hamilton Ave.</t>
  </si>
  <si>
    <t>Ortiz</t>
  </si>
  <si>
    <t>Jorge</t>
  </si>
  <si>
    <t>global_mobility@ebay.com</t>
  </si>
  <si>
    <t>2025 Hamilton Avenue</t>
  </si>
  <si>
    <t>Flores</t>
  </si>
  <si>
    <t>BALTIMORE</t>
  </si>
  <si>
    <t>Monmouth Junction</t>
  </si>
  <si>
    <t>Admin@gotcherlaw.com</t>
  </si>
  <si>
    <t>3999 West Chester Pike</t>
  </si>
  <si>
    <t>Newtown Square</t>
  </si>
  <si>
    <t>Jerry</t>
  </si>
  <si>
    <t>sap.local.hr.services.na.immigration@sap.com</t>
  </si>
  <si>
    <t>jpinho@fragomen.com</t>
  </si>
  <si>
    <t>11325 Random Hills Road</t>
  </si>
  <si>
    <t>Fix</t>
  </si>
  <si>
    <t>Josephine</t>
  </si>
  <si>
    <t>Manager, U.S. Immigration Member Services</t>
  </si>
  <si>
    <t>CGIUSEMLCA@cgi.com</t>
  </si>
  <si>
    <t>San Rafael</t>
  </si>
  <si>
    <t>MARIN</t>
  </si>
  <si>
    <t>PALO ALTO</t>
  </si>
  <si>
    <t>Chaudhuri</t>
  </si>
  <si>
    <t>Human Resources Specialist</t>
  </si>
  <si>
    <t>Clinical Data Managers</t>
  </si>
  <si>
    <t>Northwestern University</t>
  </si>
  <si>
    <t>630 Dartmouth Place</t>
  </si>
  <si>
    <t>Evanston</t>
  </si>
  <si>
    <t>Torres</t>
  </si>
  <si>
    <t>Emlyn</t>
  </si>
  <si>
    <t>Advisor</t>
  </si>
  <si>
    <t>e-torres@northwestern.edu</t>
  </si>
  <si>
    <t xml:space="preserve">303 E. Superior St. </t>
  </si>
  <si>
    <t>GlobalLogic Inc.</t>
  </si>
  <si>
    <t>1741 Technology Drive</t>
  </si>
  <si>
    <t>Devarapalli</t>
  </si>
  <si>
    <t>Dharma</t>
  </si>
  <si>
    <t>Senior Director, Head of Immigration, N.A.</t>
  </si>
  <si>
    <t>immigration@globallogic.com</t>
  </si>
  <si>
    <t>WINNEBAGO</t>
  </si>
  <si>
    <t>BERGEN</t>
  </si>
  <si>
    <t>Maxim Integrated Products Inc.</t>
  </si>
  <si>
    <t>160 Rio Robles</t>
  </si>
  <si>
    <t>Dzapo</t>
  </si>
  <si>
    <t>Dragan</t>
  </si>
  <si>
    <t>Immigration Paralegal</t>
  </si>
  <si>
    <t>dragan.dzapo@maximintegrated.com</t>
  </si>
  <si>
    <t>160 RIO ROBLES</t>
  </si>
  <si>
    <t xml:space="preserve">San Jose </t>
  </si>
  <si>
    <t>iflores@fragomen.com</t>
  </si>
  <si>
    <t>Sterling</t>
  </si>
  <si>
    <t>Manager</t>
  </si>
  <si>
    <t>HENRICO</t>
  </si>
  <si>
    <t>bhanu@bbilawgroup.com</t>
  </si>
  <si>
    <t>Facebook, Inc.</t>
  </si>
  <si>
    <t>1 Hacker Way</t>
  </si>
  <si>
    <t>770 Broadway</t>
  </si>
  <si>
    <t>Gall</t>
  </si>
  <si>
    <t>Manager, HR Operations, Global Mobility</t>
  </si>
  <si>
    <t xml:space="preserve">Fiserv, Inc. 255 Fiserv Drive </t>
  </si>
  <si>
    <t xml:space="preserve">Brookfield </t>
  </si>
  <si>
    <t>Omaha</t>
  </si>
  <si>
    <t>LCATeamPham@fragomen.com</t>
  </si>
  <si>
    <t>Mitchell/Martin, Inc.</t>
  </si>
  <si>
    <t>550 7th Avenue</t>
  </si>
  <si>
    <t>Eng</t>
  </si>
  <si>
    <t>Junette</t>
  </si>
  <si>
    <t>jeng@itmmi.com</t>
  </si>
  <si>
    <t>The Woodlands</t>
  </si>
  <si>
    <t>Suite 500</t>
  </si>
  <si>
    <t>Los Gatos</t>
  </si>
  <si>
    <t>Sheryl</t>
  </si>
  <si>
    <t>Minneapolis</t>
  </si>
  <si>
    <t>Danville</t>
  </si>
  <si>
    <t>Sandeep</t>
  </si>
  <si>
    <t xml:space="preserve">President </t>
  </si>
  <si>
    <t>San Ramon</t>
  </si>
  <si>
    <t>CONTRA COSTA</t>
  </si>
  <si>
    <t>I-200-20268-844141</t>
  </si>
  <si>
    <t>Architectural Drafters</t>
  </si>
  <si>
    <t>Blaze Makoid Architecture PLLC</t>
  </si>
  <si>
    <t>7 Trademans Path</t>
  </si>
  <si>
    <t>Bridgehampton</t>
  </si>
  <si>
    <t>Deirdre</t>
  </si>
  <si>
    <t>Office Manager</t>
  </si>
  <si>
    <t>info@blazemakoid-architecture.com</t>
  </si>
  <si>
    <t>Suite 4</t>
  </si>
  <si>
    <t>SUFFOLK</t>
  </si>
  <si>
    <t>I-200-20269-846545</t>
  </si>
  <si>
    <t>950 6TH AVENUE</t>
  </si>
  <si>
    <t>Electrical Engineers</t>
  </si>
  <si>
    <t>GOYAL</t>
  </si>
  <si>
    <t>100 New Millennium Way</t>
  </si>
  <si>
    <t>NTT DATA, Inc.</t>
  </si>
  <si>
    <t>100 City Square</t>
  </si>
  <si>
    <t>Viswanathan</t>
  </si>
  <si>
    <t>Sundar</t>
  </si>
  <si>
    <t>Associate Director - Human Resources</t>
  </si>
  <si>
    <t>USCISreceipts@nttdata.com</t>
  </si>
  <si>
    <t>Radford Global Technology Survey - US Prevailing Wage Report</t>
  </si>
  <si>
    <t>torrance.smith@odnss.com</t>
  </si>
  <si>
    <t>Nashville</t>
  </si>
  <si>
    <t>NASHVILLE</t>
  </si>
  <si>
    <t>Dietrich Surveys</t>
  </si>
  <si>
    <t>Overland Park</t>
  </si>
  <si>
    <t>JOHNSON</t>
  </si>
  <si>
    <t>Kwak</t>
  </si>
  <si>
    <t>The University of Iowa</t>
  </si>
  <si>
    <t>1 W. Prentiss Street</t>
  </si>
  <si>
    <t>Iowa City</t>
  </si>
  <si>
    <t>Prince</t>
  </si>
  <si>
    <t>Chaplin</t>
  </si>
  <si>
    <t>Administrator, UIFSIS</t>
  </si>
  <si>
    <t>laura-prince@uiowa.edu</t>
  </si>
  <si>
    <t>Aurora</t>
  </si>
  <si>
    <t>DUPAGE</t>
  </si>
  <si>
    <t>Capgemini America, Inc.</t>
  </si>
  <si>
    <t>333 West Wacker Drive</t>
  </si>
  <si>
    <t>Taylor</t>
  </si>
  <si>
    <t>Jean</t>
  </si>
  <si>
    <t xml:space="preserve">V. </t>
  </si>
  <si>
    <t>Supervising Associate, Authorized Signatory</t>
  </si>
  <si>
    <t>lcateam.ig@capgemini.com</t>
  </si>
  <si>
    <t>Michele</t>
  </si>
  <si>
    <t>Chief People Officer</t>
  </si>
  <si>
    <t>Flr. 2</t>
  </si>
  <si>
    <t>Plymouth</t>
  </si>
  <si>
    <t>Materials Engineers</t>
  </si>
  <si>
    <t>Art Directors</t>
  </si>
  <si>
    <t>JSMITH@KRAMERLEVIN.COM</t>
  </si>
  <si>
    <t>WAL-MART ASSOCIATES, INC.</t>
  </si>
  <si>
    <t>BENTONVILLE</t>
  </si>
  <si>
    <t>Robert</t>
  </si>
  <si>
    <t>Des Moines</t>
  </si>
  <si>
    <t>JPMORGAN CHASE &amp; CO.</t>
  </si>
  <si>
    <t>10 SOUTH DEARBORN STREET</t>
  </si>
  <si>
    <t>JENNINGS</t>
  </si>
  <si>
    <t>KATHLEEN</t>
  </si>
  <si>
    <t>ATTORNEY IN FACT/IMMIGRATION SENIOR SPECIALIST</t>
  </si>
  <si>
    <t>KATHLEEN.JENNINGS@JPMORGAN.COM</t>
  </si>
  <si>
    <t>TOWERS WATSON (MIDDLE MGMT., PROFESSIONAL, &amp; SUPPORT) COMP.</t>
  </si>
  <si>
    <t>Mphasis Corporation</t>
  </si>
  <si>
    <t>460 Park Avenue South</t>
  </si>
  <si>
    <t>Mirwani / Ramamoorthy</t>
  </si>
  <si>
    <t>Shuchita / Soumya</t>
  </si>
  <si>
    <t>Employee Mobility - Sr. Manager / Sr. Analyst - Im</t>
  </si>
  <si>
    <t>shuchita.mirwani@mphasis.com</t>
  </si>
  <si>
    <t>michelleb@employmentimmigration.com</t>
  </si>
  <si>
    <t>1 HACKER WAY</t>
  </si>
  <si>
    <t>IMMIGRATIONFYI@FB.COM</t>
  </si>
  <si>
    <t>Shannon</t>
  </si>
  <si>
    <t>Renee</t>
  </si>
  <si>
    <t>Managing Counsel, Immigration and Mobility</t>
  </si>
  <si>
    <t>RADFORD GLOBAL TECHNOLOGY SURVEY</t>
  </si>
  <si>
    <t>CAPGEMINI AMERICA INC</t>
  </si>
  <si>
    <t>333 WEST WACKER DRIVE</t>
  </si>
  <si>
    <t>TAYLOR</t>
  </si>
  <si>
    <t>JEAN</t>
  </si>
  <si>
    <t>ONSITE FILING/COMPLIANCE TEAM LEAD</t>
  </si>
  <si>
    <t>LCATEAM.IG@CAPGEMINI.COM</t>
  </si>
  <si>
    <t>KING OF PRUSSIA</t>
  </si>
  <si>
    <t>Miami</t>
  </si>
  <si>
    <t>Beloit</t>
  </si>
  <si>
    <t>Grafton</t>
  </si>
  <si>
    <t>OZAUKEE</t>
  </si>
  <si>
    <t xml:space="preserve">Motorola Solutions, Inc. </t>
  </si>
  <si>
    <t xml:space="preserve">500 W Monroe St. </t>
  </si>
  <si>
    <t>Biondi</t>
  </si>
  <si>
    <t>M</t>
  </si>
  <si>
    <t>Director, Business Immigration and Mobility</t>
  </si>
  <si>
    <t>kate.biondi@motorolasolutions.com</t>
  </si>
  <si>
    <t>Incedo Inc</t>
  </si>
  <si>
    <t>170 Wood Avenue South</t>
  </si>
  <si>
    <t>Khatu</t>
  </si>
  <si>
    <t>Anup</t>
  </si>
  <si>
    <t>Umesh</t>
  </si>
  <si>
    <t>Human Resource Specialist</t>
  </si>
  <si>
    <t>Anup.khatu@incedoinc.com</t>
  </si>
  <si>
    <t>ROCKLAND</t>
  </si>
  <si>
    <t>GEORGIA</t>
  </si>
  <si>
    <t>Davidson</t>
  </si>
  <si>
    <t>I-200-20268-843396</t>
  </si>
  <si>
    <t>WELLINGTON MANAGEMENT COMPANY LLP</t>
  </si>
  <si>
    <t>280 CONGRESS STREET</t>
  </si>
  <si>
    <t>DINUZZO/ NEVE</t>
  </si>
  <si>
    <t>DANA/ AMY</t>
  </si>
  <si>
    <t>MGR, FINANCE &amp; ADMIN/ VP, SR GLBL MOBILITY ANALYST</t>
  </si>
  <si>
    <t>ANEVE@WELLINGTON.COM</t>
  </si>
  <si>
    <t>WELLINGTON, 280 CONGRESS STREET</t>
  </si>
  <si>
    <t>EMMA.HOWARD@FRAGOMEN.COM</t>
  </si>
  <si>
    <t>Shankar</t>
  </si>
  <si>
    <t>Financial Managers</t>
  </si>
  <si>
    <t>Nicole</t>
  </si>
  <si>
    <t>CEREBRAS SYSTEMS INC.</t>
  </si>
  <si>
    <t>175 S. SAN ANTONIO RD. SUITE 100</t>
  </si>
  <si>
    <t>LOS ALTOS</t>
  </si>
  <si>
    <t>Maslowski</t>
  </si>
  <si>
    <t>Anthony</t>
  </si>
  <si>
    <t>175 S. San Antonio Rd. Suite 100</t>
  </si>
  <si>
    <t>Los Altos</t>
  </si>
  <si>
    <t>tony@cerebras.net</t>
  </si>
  <si>
    <t>WORK FROM HOME</t>
  </si>
  <si>
    <t>HTC GLOBAL SERVICES INC.</t>
  </si>
  <si>
    <t>3270 WEST BIG BEAVER ROAD</t>
  </si>
  <si>
    <t xml:space="preserve">SUBRAMANIAN </t>
  </si>
  <si>
    <t>SURESH</t>
  </si>
  <si>
    <t>IMMIGRATION@HTCINC.COM</t>
  </si>
  <si>
    <t>E.</t>
  </si>
  <si>
    <t>Soil and Plant Scientists</t>
  </si>
  <si>
    <t>BLACKLINE SYSTEMS, INC.</t>
  </si>
  <si>
    <t>21300 VICTORY BLVD</t>
  </si>
  <si>
    <t>SALTZMAN</t>
  </si>
  <si>
    <t>TAMARA</t>
  </si>
  <si>
    <t>MANAGER OF PEOPLE SUCCESS</t>
  </si>
  <si>
    <t>TAMARA.SALTZMAN@BLACKLINE.COM</t>
  </si>
  <si>
    <t>3825 Hopyard Road</t>
  </si>
  <si>
    <t>Suite 155</t>
  </si>
  <si>
    <t>Douglassville</t>
  </si>
  <si>
    <t>Patrick</t>
  </si>
  <si>
    <t>Web Developers</t>
  </si>
  <si>
    <t>IRVING</t>
  </si>
  <si>
    <t>Operations Manager</t>
  </si>
  <si>
    <t>Expedia, Inc.</t>
  </si>
  <si>
    <t>1111 Expedia Group Way W</t>
  </si>
  <si>
    <t>Johnsson</t>
  </si>
  <si>
    <t>Magnus</t>
  </si>
  <si>
    <t>Sr. Immigration Specialist</t>
  </si>
  <si>
    <t>immigration@expedia.com</t>
  </si>
  <si>
    <t>Norwalk</t>
  </si>
  <si>
    <t>NORWALK CITY</t>
  </si>
  <si>
    <t>FARMINGTON HILLS</t>
  </si>
  <si>
    <t>Farmington Hills</t>
  </si>
  <si>
    <t>Sussumo / Baitz / Bundy</t>
  </si>
  <si>
    <t>Michelle / Lindsay / Sharon</t>
  </si>
  <si>
    <t>Immigration@T-Mobile.com</t>
  </si>
  <si>
    <t>elida.arechar@fragomen.com</t>
  </si>
  <si>
    <t>MONMOUTH</t>
  </si>
  <si>
    <t>Search Marketing Strategists</t>
  </si>
  <si>
    <t>SYSTEM SOFT TECHNOLOGIES, LLC</t>
  </si>
  <si>
    <t>2551 DULLES VIEW DRIVE</t>
  </si>
  <si>
    <t>HERNDON</t>
  </si>
  <si>
    <t>SAMUDRALA</t>
  </si>
  <si>
    <t>MADHAVI</t>
  </si>
  <si>
    <t>IN-HOUSE IMMIGRATION ATTORNEY</t>
  </si>
  <si>
    <t>madhavi.samudrala@sstech.us</t>
  </si>
  <si>
    <t>San Antonio</t>
  </si>
  <si>
    <t>BEXAR</t>
  </si>
  <si>
    <t>Julie</t>
  </si>
  <si>
    <t>ROSWELL</t>
  </si>
  <si>
    <t>RAVI</t>
  </si>
  <si>
    <t>REDDY</t>
  </si>
  <si>
    <t>Concord</t>
  </si>
  <si>
    <t>Food Scientists and Technologists</t>
  </si>
  <si>
    <t>J.</t>
  </si>
  <si>
    <t>Orlando</t>
  </si>
  <si>
    <t>CGI Technologies and Solutions Inc.</t>
  </si>
  <si>
    <t>221 Main Street</t>
  </si>
  <si>
    <t>Chief Operating Officer</t>
  </si>
  <si>
    <t>OKLAHOMA</t>
  </si>
  <si>
    <t>TAN</t>
  </si>
  <si>
    <t>PINQI</t>
  </si>
  <si>
    <t>ATTORNEY IN FACT / IMMIGRATION SENIOR SPECIALIST</t>
  </si>
  <si>
    <t>New Jersey</t>
  </si>
  <si>
    <t>General Counsel</t>
  </si>
  <si>
    <t>11th Floor</t>
  </si>
  <si>
    <t>Dell USA L.P.</t>
  </si>
  <si>
    <t>One Dell Way</t>
  </si>
  <si>
    <t>Round Rock</t>
  </si>
  <si>
    <t>Salgado</t>
  </si>
  <si>
    <t>Advisor, Global Mobility &amp; Immigration</t>
  </si>
  <si>
    <t>Hansen</t>
  </si>
  <si>
    <t>Brian</t>
  </si>
  <si>
    <t>Citibank, N.A.</t>
  </si>
  <si>
    <t>388 GREENWICH STREET</t>
  </si>
  <si>
    <t>Martinez</t>
  </si>
  <si>
    <t>Jose</t>
  </si>
  <si>
    <t>Paralegal</t>
  </si>
  <si>
    <t>388 Greenwich Street</t>
  </si>
  <si>
    <t>jose2.martinez@citi.com</t>
  </si>
  <si>
    <t>Synopsys, Inc.</t>
  </si>
  <si>
    <t>690 E. Middlefield Rd.</t>
  </si>
  <si>
    <t>Gattuccio</t>
  </si>
  <si>
    <t>Cherry</t>
  </si>
  <si>
    <t xml:space="preserve">Immigration Specialist </t>
  </si>
  <si>
    <t>lcapafs@synopsys.com</t>
  </si>
  <si>
    <t>James.Dewey@tsmimmigration.com</t>
  </si>
  <si>
    <t>HR Immigration</t>
  </si>
  <si>
    <t>JENNIFER</t>
  </si>
  <si>
    <t>Wayne</t>
  </si>
  <si>
    <t>DELAWARE</t>
  </si>
  <si>
    <t>Franklin Lakes</t>
  </si>
  <si>
    <t>Close</t>
  </si>
  <si>
    <t>Jeffrey</t>
  </si>
  <si>
    <t>Talent Acquisition Manager</t>
  </si>
  <si>
    <t>jclose@amfam.com</t>
  </si>
  <si>
    <t>1600 AMPHITHEATRE PARKWAY</t>
  </si>
  <si>
    <t>415 Mission St.</t>
  </si>
  <si>
    <t>jesse@eiglaw.com</t>
  </si>
  <si>
    <t>Genpact LLC</t>
  </si>
  <si>
    <t>51 JFK Parkway</t>
  </si>
  <si>
    <t>Short Hills</t>
  </si>
  <si>
    <t>Tate</t>
  </si>
  <si>
    <t>Napentha</t>
  </si>
  <si>
    <t>Management Trainee</t>
  </si>
  <si>
    <t>napentha.tate@genpact.com</t>
  </si>
  <si>
    <t>Amber</t>
  </si>
  <si>
    <t>315 DEADERICK STREET</t>
  </si>
  <si>
    <t>GILMORE</t>
  </si>
  <si>
    <t>SASHA</t>
  </si>
  <si>
    <t>B</t>
  </si>
  <si>
    <t>DIRECTOR AND COUNSEL, EMPLOYMENT LEGAL, AMERICAS</t>
  </si>
  <si>
    <t>Katie</t>
  </si>
  <si>
    <t>Rose</t>
  </si>
  <si>
    <t>245 Summer Street</t>
  </si>
  <si>
    <t>Garlock</t>
  </si>
  <si>
    <t>Immigration Services Lead</t>
  </si>
  <si>
    <t>100-300 New Millennium Way</t>
  </si>
  <si>
    <t>HRImmigrat@FMR.COM</t>
  </si>
  <si>
    <t>CLEVELAND</t>
  </si>
  <si>
    <t>DIRECTOR</t>
  </si>
  <si>
    <t>Materials Scientists</t>
  </si>
  <si>
    <t>NATSOFT CORPORATION</t>
  </si>
  <si>
    <t>27 WORLDS FAIR DR</t>
  </si>
  <si>
    <t>CHEEDALA</t>
  </si>
  <si>
    <t>TIRUMALA</t>
  </si>
  <si>
    <t>TIMMY@NATSOFT.US</t>
  </si>
  <si>
    <t>Sr. Director Human Resources</t>
  </si>
  <si>
    <t>PLYMOUTH</t>
  </si>
  <si>
    <t>Federal Soft Systems Inc</t>
  </si>
  <si>
    <t>3101 SW I St</t>
  </si>
  <si>
    <t>Kallepalli</t>
  </si>
  <si>
    <t>Uma</t>
  </si>
  <si>
    <t>Technical Manager</t>
  </si>
  <si>
    <t>HR4@FEDERALSOFTSYSTEMS.COM</t>
  </si>
  <si>
    <t xml:space="preserve">INTERNATIONAL BUSINESS MACHINES CORPORATION </t>
  </si>
  <si>
    <t>3039 EAST CORNWALLIS ROAD</t>
  </si>
  <si>
    <t>3039 E Cornwallis Road</t>
  </si>
  <si>
    <t>RAJESH</t>
  </si>
  <si>
    <t>11215 N. COMMUNITY HOUSE ROAD</t>
  </si>
  <si>
    <t>HOWELL</t>
  </si>
  <si>
    <t>DANIEL</t>
  </si>
  <si>
    <t>SUPERVISOR, TALENT ACQUISITION</t>
  </si>
  <si>
    <t>DANIEL.HOWELL@XPO.COM</t>
  </si>
  <si>
    <t>AKNOWLES@CONSTANGY.COM</t>
  </si>
  <si>
    <t>Bothell</t>
  </si>
  <si>
    <t>SNOHOMISH</t>
  </si>
  <si>
    <t>Milwaukee</t>
  </si>
  <si>
    <t>MILWAUKEE</t>
  </si>
  <si>
    <t>4th Floor</t>
  </si>
  <si>
    <t>Mercer LLC</t>
  </si>
  <si>
    <t>US MBD/TRS Mercer/Gartner IT Survey</t>
  </si>
  <si>
    <t>Sartorius Stedim North America</t>
  </si>
  <si>
    <t>565 Johnson Avenue</t>
  </si>
  <si>
    <t>Bohemia</t>
  </si>
  <si>
    <t>Lavin</t>
  </si>
  <si>
    <t>President Sartorius North America</t>
  </si>
  <si>
    <t>jessica.weynand@sartorius.com</t>
  </si>
  <si>
    <t>HAMILTON</t>
  </si>
  <si>
    <t>christina@apfellaw.com</t>
  </si>
  <si>
    <t>30445 Northwestern Hwy</t>
  </si>
  <si>
    <t>Patil</t>
  </si>
  <si>
    <t>Prabhu</t>
  </si>
  <si>
    <t>immigration@prolim.com</t>
  </si>
  <si>
    <t>200 Innovation Way</t>
  </si>
  <si>
    <t>BEAVERTON</t>
  </si>
  <si>
    <t>Beaverton</t>
  </si>
  <si>
    <t>gverrill@balglobal.com</t>
  </si>
  <si>
    <t>Mastech Digital Technologies, Inc.</t>
  </si>
  <si>
    <t>Somerset</t>
  </si>
  <si>
    <t>Peoria</t>
  </si>
  <si>
    <t>PEORIA</t>
  </si>
  <si>
    <t>Sanjay</t>
  </si>
  <si>
    <t>Chief Human Resources Officer</t>
  </si>
  <si>
    <t>Wang</t>
  </si>
  <si>
    <t>SUDHAKAR</t>
  </si>
  <si>
    <t>I-200-20269-845166</t>
  </si>
  <si>
    <t>2515, North 1st Street</t>
  </si>
  <si>
    <t>NV</t>
  </si>
  <si>
    <t>International Scholar Advisor</t>
  </si>
  <si>
    <t>WASHOE</t>
  </si>
  <si>
    <t>Cleveland</t>
  </si>
  <si>
    <t>ANTHONY</t>
  </si>
  <si>
    <t>Larsen &amp; Toubro Infotech Limited</t>
  </si>
  <si>
    <t>UT-BATTELLE, LLC (OAK RIDGE NATIONAL LABORATORY)</t>
  </si>
  <si>
    <t>1 BETHEL VALLEY ROAD</t>
  </si>
  <si>
    <t>OAK RIDGE</t>
  </si>
  <si>
    <t>Trammell</t>
  </si>
  <si>
    <t>Sara</t>
  </si>
  <si>
    <t>1 Bethel Valley Rd</t>
  </si>
  <si>
    <t>Oak Ridge</t>
  </si>
  <si>
    <t>trammellsl@ornl.gov</t>
  </si>
  <si>
    <t>ROANE</t>
  </si>
  <si>
    <t>LEON</t>
  </si>
  <si>
    <t>Germantown</t>
  </si>
  <si>
    <t>Pompano Beach</t>
  </si>
  <si>
    <t>Jessica</t>
  </si>
  <si>
    <t>Ann</t>
  </si>
  <si>
    <t>DAVIDSON</t>
  </si>
  <si>
    <t>Hospitalists</t>
  </si>
  <si>
    <t>South Plainfield</t>
  </si>
  <si>
    <t>Groton</t>
  </si>
  <si>
    <t>NEW LONDON CITY</t>
  </si>
  <si>
    <t>I-200-20269-845415</t>
  </si>
  <si>
    <t>Kurczewski</t>
  </si>
  <si>
    <t>Lucy</t>
  </si>
  <si>
    <t>People Mobility Program and Operations Specialist</t>
  </si>
  <si>
    <t>accenturesitevisits@accenture.com</t>
  </si>
  <si>
    <t>415 Mission St</t>
  </si>
  <si>
    <t>Floor 35</t>
  </si>
  <si>
    <t>Connie</t>
  </si>
  <si>
    <t>Public Relations Specialists</t>
  </si>
  <si>
    <t>Executive Director</t>
  </si>
  <si>
    <t>Assistant Director</t>
  </si>
  <si>
    <t>Quicken Loans, LLC</t>
  </si>
  <si>
    <t>1050 Woodward Avenue</t>
  </si>
  <si>
    <t>Detroit</t>
  </si>
  <si>
    <t>Khrushchev</t>
  </si>
  <si>
    <t xml:space="preserve">Jillian </t>
  </si>
  <si>
    <t xml:space="preserve">K. </t>
  </si>
  <si>
    <t>Associate Counsel</t>
  </si>
  <si>
    <t>immigration@rockcentraldetroit.com</t>
  </si>
  <si>
    <t>I-200-20268-844522</t>
  </si>
  <si>
    <t xml:space="preserve">OSF Multi-Specialty Group </t>
  </si>
  <si>
    <t>800 N.E. Glen Oak Avenue</t>
  </si>
  <si>
    <t>McCarthy</t>
  </si>
  <si>
    <t xml:space="preserve">Human Resources Compliance Officer </t>
  </si>
  <si>
    <t>5901 W. War Memorial Dr.</t>
  </si>
  <si>
    <t>Stephanie.E.McCarthy@osfhealthcare.org</t>
  </si>
  <si>
    <t>5405 N. Knoxville Ave.</t>
  </si>
  <si>
    <t>GWINNETT</t>
  </si>
  <si>
    <t>Sr. HR Generalist</t>
  </si>
  <si>
    <t>Campbell</t>
  </si>
  <si>
    <t>Ron</t>
  </si>
  <si>
    <t>President and COO</t>
  </si>
  <si>
    <t xml:space="preserve">Live Nation Worldwide, Inc. </t>
  </si>
  <si>
    <t xml:space="preserve">7060 Hollywood Boulevard </t>
  </si>
  <si>
    <t xml:space="preserve">Hollywood </t>
  </si>
  <si>
    <t>Burkle</t>
  </si>
  <si>
    <t>John</t>
  </si>
  <si>
    <t>Hollywood</t>
  </si>
  <si>
    <t>JohnBurkle@livenation.com</t>
  </si>
  <si>
    <t>Scottsdale</t>
  </si>
  <si>
    <t>skasper@wolfsdorf.com</t>
  </si>
  <si>
    <t>I-200-20268-844493</t>
  </si>
  <si>
    <t>Chen Tech, LLC</t>
  </si>
  <si>
    <t>1395 NW 167th Street</t>
  </si>
  <si>
    <t>Primeau</t>
  </si>
  <si>
    <t>Meredith</t>
  </si>
  <si>
    <t>Corporate Counsel</t>
  </si>
  <si>
    <t>Meredith.Primeau@chenmed.com</t>
  </si>
  <si>
    <t>16801 N. 49th Street</t>
  </si>
  <si>
    <t>tkondrashuk@duanemorris.com</t>
  </si>
  <si>
    <t>Jill</t>
  </si>
  <si>
    <t>Christine</t>
  </si>
  <si>
    <t>1 Bethel Valley Road</t>
  </si>
  <si>
    <t>15 CORPORATE PLACE SOUTH</t>
  </si>
  <si>
    <t>K</t>
  </si>
  <si>
    <t>VMWARE, INC.</t>
  </si>
  <si>
    <t>Choi</t>
  </si>
  <si>
    <t>Yun</t>
  </si>
  <si>
    <t>6500 River Place Blvd., Bldg. 6</t>
  </si>
  <si>
    <t>ychoi@vmware.com</t>
  </si>
  <si>
    <t>GADDAM</t>
  </si>
  <si>
    <t>LILLY.STANLEY@OGLETREEDEAKINS.COM</t>
  </si>
  <si>
    <t>Carl</t>
  </si>
  <si>
    <t xml:space="preserve">Kathleen </t>
  </si>
  <si>
    <t>WOODBRIDGE</t>
  </si>
  <si>
    <t>CINCINNATI</t>
  </si>
  <si>
    <t>william@eiglaw.com</t>
  </si>
  <si>
    <t>Ellicott City</t>
  </si>
  <si>
    <t>Executive Vice President</t>
  </si>
  <si>
    <t>1 Freedom Valley Drive</t>
  </si>
  <si>
    <t>Oaks</t>
  </si>
  <si>
    <t>Physical Therapists</t>
  </si>
  <si>
    <t>WILMINGTON</t>
  </si>
  <si>
    <t>Immigration Advisor</t>
  </si>
  <si>
    <t>PIMA</t>
  </si>
  <si>
    <t>Roger</t>
  </si>
  <si>
    <t>Cincinnati</t>
  </si>
  <si>
    <t>Karen</t>
  </si>
  <si>
    <t>I-200-20269-845467</t>
  </si>
  <si>
    <t>PDT Partners LLC</t>
  </si>
  <si>
    <t>1745 Broadway</t>
  </si>
  <si>
    <t>Farhang</t>
  </si>
  <si>
    <t>Russell</t>
  </si>
  <si>
    <t>Head of Talent and Culture</t>
  </si>
  <si>
    <t xml:space="preserve">1745 Broadway </t>
  </si>
  <si>
    <t>rfarhang@pdtpartners.com</t>
  </si>
  <si>
    <t>25th Floor</t>
  </si>
  <si>
    <t>Mona.Li@bakermckenzie.com</t>
  </si>
  <si>
    <t>BLOOMINGTON</t>
  </si>
  <si>
    <t>SMITH</t>
  </si>
  <si>
    <t>Temple Terrace</t>
  </si>
  <si>
    <t>RIVIAN AUTOMOTIVE, LLC</t>
  </si>
  <si>
    <t>13250 N. HAGGERTY ROAD</t>
  </si>
  <si>
    <t>ANAYA</t>
  </si>
  <si>
    <t>GLOBAL MOBILITY/IMMIGRATION MANAGER</t>
  </si>
  <si>
    <t>2708 ORCHARD PARKWAY</t>
  </si>
  <si>
    <t>AANAYA@RIVIAN.COM</t>
  </si>
  <si>
    <t>ALPHARETTA</t>
  </si>
  <si>
    <t>Michael</t>
  </si>
  <si>
    <t>Topeka</t>
  </si>
  <si>
    <t>SHAWNEE</t>
  </si>
  <si>
    <t xml:space="preserve">Mphasis Corporation </t>
  </si>
  <si>
    <t>Mirwani</t>
  </si>
  <si>
    <t>Shuchita</t>
  </si>
  <si>
    <t xml:space="preserve">Manager-Employee Mobility </t>
  </si>
  <si>
    <t>soumya.ramamoorthy@mphasis.com</t>
  </si>
  <si>
    <t>Wilmington</t>
  </si>
  <si>
    <t>DE</t>
  </si>
  <si>
    <t>NEW CASTLE</t>
  </si>
  <si>
    <t>cindy.liang@morganlewis.com</t>
  </si>
  <si>
    <t>ValueMomentum, Inc.</t>
  </si>
  <si>
    <t>NORIA</t>
  </si>
  <si>
    <t>CYRUS</t>
  </si>
  <si>
    <t>SR. DIRECTOR - HR</t>
  </si>
  <si>
    <t>220 OLD NEW BRUNSWICK RD</t>
  </si>
  <si>
    <t>NKIM@CYRUSMEHTA.COM</t>
  </si>
  <si>
    <t>michelle.windhausen@ogletreedeakins.com</t>
  </si>
  <si>
    <t>Commercial and Industrial Designers</t>
  </si>
  <si>
    <t>Family and General Practitioners</t>
  </si>
  <si>
    <t>Debbie</t>
  </si>
  <si>
    <t>CHIEF EXECUTIVE OFFICER</t>
  </si>
  <si>
    <t>7933 Preston Road</t>
  </si>
  <si>
    <t>Brooklyn</t>
  </si>
  <si>
    <t>KINGS</t>
  </si>
  <si>
    <t>Chemical Engineers</t>
  </si>
  <si>
    <t>5490 MCGINNIS VILLAGE PLACE</t>
  </si>
  <si>
    <t>Market Research Analysts and Marketing Specialists</t>
  </si>
  <si>
    <t>Glendale</t>
  </si>
  <si>
    <t>Duck Creek Technologies LLC</t>
  </si>
  <si>
    <t>22 Boston Wharf Road</t>
  </si>
  <si>
    <t>Da Rosa</t>
  </si>
  <si>
    <t>Neura</t>
  </si>
  <si>
    <t>Manager, HR Global Immigration</t>
  </si>
  <si>
    <t>neura.darosa@duckcreek.com</t>
  </si>
  <si>
    <t>1441 Main St</t>
  </si>
  <si>
    <t>RACHEL</t>
  </si>
  <si>
    <t>I-200-20268-843033</t>
  </si>
  <si>
    <t>2800 FM 519 East</t>
  </si>
  <si>
    <t>Texas City</t>
  </si>
  <si>
    <t>GALVESTON</t>
  </si>
  <si>
    <t>CSS PAYROLL CO LP</t>
  </si>
  <si>
    <t>777 S. FIGUEROA STREET</t>
  </si>
  <si>
    <t>MCCUEN</t>
  </si>
  <si>
    <t>HEATHER</t>
  </si>
  <si>
    <t>DIRECTOR OF GLOBAL HUMAN RESOURCES</t>
  </si>
  <si>
    <t>toni.cabangon@cloudkitchens.com</t>
  </si>
  <si>
    <t xml:space="preserve">Comcast Cable Communications, LLC </t>
  </si>
  <si>
    <t>One Comcast Center</t>
  </si>
  <si>
    <t xml:space="preserve">Philadelphia </t>
  </si>
  <si>
    <t xml:space="preserve">Mapes </t>
  </si>
  <si>
    <t>Denise</t>
  </si>
  <si>
    <t xml:space="preserve">Human Resources Administrator </t>
  </si>
  <si>
    <t>denise_mapes@cable.comcast.com</t>
  </si>
  <si>
    <t>ptirado@balglobal.com</t>
  </si>
  <si>
    <t>Willis Towers Watson Data Services, Inc.</t>
  </si>
  <si>
    <t>Engineering Technology Associates, Inc.</t>
  </si>
  <si>
    <t>1133 East Maple Road</t>
  </si>
  <si>
    <t>Farahani</t>
  </si>
  <si>
    <t>Akbar</t>
  </si>
  <si>
    <t>jbritton@eta.com</t>
  </si>
  <si>
    <t>333 W. Wacker Drive</t>
  </si>
  <si>
    <t xml:space="preserve">Chicago </t>
  </si>
  <si>
    <t>jean.taylor@capgemini.com</t>
  </si>
  <si>
    <t>CAMDEN</t>
  </si>
  <si>
    <t>Sridhar</t>
  </si>
  <si>
    <t>Yue</t>
  </si>
  <si>
    <t>YUJUN.SONG@CHUGH.COM</t>
  </si>
  <si>
    <t>New York University</t>
  </si>
  <si>
    <t>383 Lafayette Street</t>
  </si>
  <si>
    <t>I-200-20269-845982</t>
  </si>
  <si>
    <t>Home Office</t>
  </si>
  <si>
    <t>300 Legacy Dr. #2322</t>
  </si>
  <si>
    <t>Supply Chain Managers</t>
  </si>
  <si>
    <t>v-macdso@microsoft.com</t>
  </si>
  <si>
    <t>#1400</t>
  </si>
  <si>
    <t>Data Warehousing Specialists</t>
  </si>
  <si>
    <t>4525 ROUTE 27</t>
  </si>
  <si>
    <t>Natera, Inc.</t>
  </si>
  <si>
    <t>201 Industrial Road</t>
  </si>
  <si>
    <t>San Carlos</t>
  </si>
  <si>
    <t>Chopra</t>
  </si>
  <si>
    <t>Monika</t>
  </si>
  <si>
    <t xml:space="preserve">Sr. Director, HR Operations </t>
  </si>
  <si>
    <t>201 Industrial Rd, Ste 410</t>
  </si>
  <si>
    <t>mchopra@natera.com</t>
  </si>
  <si>
    <t>13011A McCallen Pass</t>
  </si>
  <si>
    <t>eloomba@proskauer.com</t>
  </si>
  <si>
    <t>702 S. W. 8TH STREET</t>
  </si>
  <si>
    <t>IRINA</t>
  </si>
  <si>
    <t>DIRECTOR, IMMIGRATION AND GLOBAL MOBILITY</t>
  </si>
  <si>
    <t>850 CHERRY AVENUE</t>
  </si>
  <si>
    <t>SAN BRUNO</t>
  </si>
  <si>
    <t>ISMITH@WALMART.COM</t>
  </si>
  <si>
    <t>Dana-Farber Cancer Institute</t>
  </si>
  <si>
    <t>450 Brookline Avenue</t>
  </si>
  <si>
    <t>Barnes</t>
  </si>
  <si>
    <t>Lorraine</t>
  </si>
  <si>
    <t>lorraine_Barnes@dfci.harvard.edu</t>
  </si>
  <si>
    <t>SENIOR VICE PRESIDENT</t>
  </si>
  <si>
    <t>Jones</t>
  </si>
  <si>
    <t>Siva</t>
  </si>
  <si>
    <t>Oklahoma City</t>
  </si>
  <si>
    <t>GLOBALPOINT, INC.</t>
  </si>
  <si>
    <t>850 CAROLIER LANE</t>
  </si>
  <si>
    <t>NORTH BRUNSWICK</t>
  </si>
  <si>
    <t>UNNAM</t>
  </si>
  <si>
    <t>SRINIVASULU</t>
  </si>
  <si>
    <t>PRESIDENT &amp; C.E.O.</t>
  </si>
  <si>
    <t>BROOKLYN</t>
  </si>
  <si>
    <t>Katy</t>
  </si>
  <si>
    <t>Human Resources Generalist</t>
  </si>
  <si>
    <t xml:space="preserve">Laya Ann/Victoria/Virginia/Boshion </t>
  </si>
  <si>
    <t>901 Cherry Avenue</t>
  </si>
  <si>
    <t>ahazen@balglobal.com</t>
  </si>
  <si>
    <t>McCafferty</t>
  </si>
  <si>
    <t>Dorothy</t>
  </si>
  <si>
    <t>10 Riverview Drive</t>
  </si>
  <si>
    <t>Danbury</t>
  </si>
  <si>
    <t>Dottie.McCafferty@linde.com</t>
  </si>
  <si>
    <t>DENTON</t>
  </si>
  <si>
    <t>Virtusa Consulting Services Pvt., Ltd</t>
  </si>
  <si>
    <t>20 Corporate Place South</t>
  </si>
  <si>
    <t>SHERIKAR</t>
  </si>
  <si>
    <t>SHARMILA</t>
  </si>
  <si>
    <t>SENIOR VICE PRESIDENT - HR</t>
  </si>
  <si>
    <t>20 CORPORATE PLACE SOUTH</t>
  </si>
  <si>
    <t>SHARMILAS@VIRTUSA.COM</t>
  </si>
  <si>
    <t>JACKSONVILLE</t>
  </si>
  <si>
    <t>Biomedical Engineers</t>
  </si>
  <si>
    <t>Lynda</t>
  </si>
  <si>
    <t>spencer.hill@ogletree.com</t>
  </si>
  <si>
    <t>7300 Parkwood Blvd &amp;, Legacy Dr</t>
  </si>
  <si>
    <t>Populus Group LLC</t>
  </si>
  <si>
    <t>3001 West Big Beaver Rd.</t>
  </si>
  <si>
    <t>Cast</t>
  </si>
  <si>
    <t>Dorian</t>
  </si>
  <si>
    <t>E</t>
  </si>
  <si>
    <t>Director of Immigration Partnerships</t>
  </si>
  <si>
    <t>dcast@populusgroup.com</t>
  </si>
  <si>
    <t>Cindy</t>
  </si>
  <si>
    <t>MORRISVILLE</t>
  </si>
  <si>
    <t>Angela</t>
  </si>
  <si>
    <t>Morrisville</t>
  </si>
  <si>
    <t>Jillian</t>
  </si>
  <si>
    <t>Henry</t>
  </si>
  <si>
    <t>Ste 400</t>
  </si>
  <si>
    <t>Citrix Systems, Inc.</t>
  </si>
  <si>
    <t>851 West Cypress Creek Road</t>
  </si>
  <si>
    <t>Ft. Lauderdale</t>
  </si>
  <si>
    <t>GONZALEZ</t>
  </si>
  <si>
    <t>AMANDA</t>
  </si>
  <si>
    <t>851 W Cypress Creek Rd.</t>
  </si>
  <si>
    <t>Fort Lauderdale</t>
  </si>
  <si>
    <t>amanda.gonzalez@citrix.com</t>
  </si>
  <si>
    <t>Apt 307</t>
  </si>
  <si>
    <t>SANTA MONICA</t>
  </si>
  <si>
    <t>Arizona State University</t>
  </si>
  <si>
    <t>PO Box 872812</t>
  </si>
  <si>
    <t>Tempe</t>
  </si>
  <si>
    <t>Sandoval</t>
  </si>
  <si>
    <t>Candy</t>
  </si>
  <si>
    <t>candy.sandoval@asu.edu</t>
  </si>
  <si>
    <t>Santa Monica</t>
  </si>
  <si>
    <t>MONMOUTH JUNCTION</t>
  </si>
  <si>
    <t>ALBANY</t>
  </si>
  <si>
    <t>Caprus IT Inc</t>
  </si>
  <si>
    <t>5750 Genesis Ct</t>
  </si>
  <si>
    <t>Texas</t>
  </si>
  <si>
    <t>Pidathala</t>
  </si>
  <si>
    <t>Mathew</t>
  </si>
  <si>
    <t>EVP Admin &amp; Legal</t>
  </si>
  <si>
    <t>mathew.p@caprusit.com</t>
  </si>
  <si>
    <t>Albany</t>
  </si>
  <si>
    <t>HEWLETT PACKARD ENTERPRISE COMPANY</t>
  </si>
  <si>
    <t>Florence</t>
  </si>
  <si>
    <t>Lynne</t>
  </si>
  <si>
    <t>Global Employee Mobility Lead - AMS</t>
  </si>
  <si>
    <t>11445 Compaq Center W Dr.</t>
  </si>
  <si>
    <t>lynne.florence@hpe.com</t>
  </si>
  <si>
    <t>hpe@fragomen.com</t>
  </si>
  <si>
    <t>Informatica LLC</t>
  </si>
  <si>
    <t>2100 Seaport Blvd.</t>
  </si>
  <si>
    <t>Jacobs</t>
  </si>
  <si>
    <t xml:space="preserve">HR Generalist </t>
  </si>
  <si>
    <t>2100 Seaport Blvd</t>
  </si>
  <si>
    <t>sajacobs@informatica.com</t>
  </si>
  <si>
    <t>LINN</t>
  </si>
  <si>
    <t>Kristin</t>
  </si>
  <si>
    <t>T</t>
  </si>
  <si>
    <t>Beth</t>
  </si>
  <si>
    <t>440 Terry Avenue North</t>
  </si>
  <si>
    <t xml:space="preserve">770 Broadway </t>
  </si>
  <si>
    <t>TIFFANY.BOWMAN@OGLETREEDEAKINS.COM</t>
  </si>
  <si>
    <t>Environmental Scientists and Specialists, Including Health</t>
  </si>
  <si>
    <t xml:space="preserve"> Shah  </t>
  </si>
  <si>
    <t>ST LOUIS</t>
  </si>
  <si>
    <t>Ashburn</t>
  </si>
  <si>
    <t>OATH HOLDINGS, INC.</t>
  </si>
  <si>
    <t>701 First Avenue</t>
  </si>
  <si>
    <t>Johnson</t>
  </si>
  <si>
    <t>701 1st Ave</t>
  </si>
  <si>
    <t>jillianj@verizonmedia.com</t>
  </si>
  <si>
    <t>Universal Cable Holdings Inc. (DBA Suddenlink Communications)</t>
  </si>
  <si>
    <t>One Court Square West</t>
  </si>
  <si>
    <t>Long Island City</t>
  </si>
  <si>
    <t>Berry</t>
  </si>
  <si>
    <t>erin.berry@alticeusa.com</t>
  </si>
  <si>
    <t>Epitec, Inc.</t>
  </si>
  <si>
    <t>24800 Denso Drive</t>
  </si>
  <si>
    <t>Wildman</t>
  </si>
  <si>
    <t>Immigration Lead</t>
  </si>
  <si>
    <t>24800 DENSO DRIVE</t>
  </si>
  <si>
    <t>IMMIGRATION@EPITEC.COM</t>
  </si>
  <si>
    <t>Work From Home</t>
  </si>
  <si>
    <t xml:space="preserve">Austin </t>
  </si>
  <si>
    <t>Camden</t>
  </si>
  <si>
    <t>Schaumburg</t>
  </si>
  <si>
    <t>NORFOLK</t>
  </si>
  <si>
    <t>175 Water Street</t>
  </si>
  <si>
    <t>Goldner</t>
  </si>
  <si>
    <t>lisa.goldner@aig.com</t>
  </si>
  <si>
    <t>mlundahl@fragomen.com</t>
  </si>
  <si>
    <t>Carnegie Mellon University</t>
  </si>
  <si>
    <t>5000 Forbes Avenue</t>
  </si>
  <si>
    <t>Gentile</t>
  </si>
  <si>
    <t>Director, Office of International Education</t>
  </si>
  <si>
    <t>lgentile@andrew.cmu.edu</t>
  </si>
  <si>
    <t>Berkeley</t>
  </si>
  <si>
    <t>tluo@wolfsdorf.com</t>
  </si>
  <si>
    <t>Odessa</t>
  </si>
  <si>
    <t>Bridgewater</t>
  </si>
  <si>
    <t>Olivia_Verstreate@intuit.com</t>
  </si>
  <si>
    <t>2600 Casey Ave</t>
  </si>
  <si>
    <t>MANCHESTER</t>
  </si>
  <si>
    <t>11600 American Dream Way</t>
  </si>
  <si>
    <t>Joy</t>
  </si>
  <si>
    <t>Marietta</t>
  </si>
  <si>
    <t>ASHBURN</t>
  </si>
  <si>
    <t>QUEENS</t>
  </si>
  <si>
    <t>Sunrise</t>
  </si>
  <si>
    <t>Xilinx, Inc.</t>
  </si>
  <si>
    <t>2100 Logic Drive</t>
  </si>
  <si>
    <t>Clarissa Ngo</t>
  </si>
  <si>
    <t>Vanessa Garcia</t>
  </si>
  <si>
    <t>Immigration &amp; Global Mobility Program Manager</t>
  </si>
  <si>
    <t>immigration@xilinx.com</t>
  </si>
  <si>
    <t>ANTHEM, INC.</t>
  </si>
  <si>
    <t>220 VIRGINIA AVENUE</t>
  </si>
  <si>
    <t>INDIANAPOLIS</t>
  </si>
  <si>
    <t>Lomax</t>
  </si>
  <si>
    <t>Theresa</t>
  </si>
  <si>
    <t>C.</t>
  </si>
  <si>
    <t xml:space="preserve">Talent Acquisition Consultant </t>
  </si>
  <si>
    <t xml:space="preserve">220 Virginia Ave </t>
  </si>
  <si>
    <t>IMMIGRATION@ANTHEM.COM</t>
  </si>
  <si>
    <t>200 Sterling Parkway</t>
  </si>
  <si>
    <t>Mechanicsburg</t>
  </si>
  <si>
    <t>CUMBERLAND</t>
  </si>
  <si>
    <t>Naperville</t>
  </si>
  <si>
    <t>akennedy@seyfarth.com</t>
  </si>
  <si>
    <t>Brecksville</t>
  </si>
  <si>
    <t>Global Mobility Program Manager</t>
  </si>
  <si>
    <t>CSC Holdings LLC</t>
  </si>
  <si>
    <t>Bethpage</t>
  </si>
  <si>
    <t>I-200-20269-846564</t>
  </si>
  <si>
    <t>Virtual Networx, Inc.</t>
  </si>
  <si>
    <t>12100 Ford Rd.</t>
  </si>
  <si>
    <t>Yalla</t>
  </si>
  <si>
    <t>Swetha</t>
  </si>
  <si>
    <t>Reddy</t>
  </si>
  <si>
    <t>12100 Ford Road</t>
  </si>
  <si>
    <t>swethareddy@virtualnetworx.com</t>
  </si>
  <si>
    <t>111 Congress Avenue</t>
  </si>
  <si>
    <t>Corning Incorporated</t>
  </si>
  <si>
    <t>menardcl@corning.com</t>
  </si>
  <si>
    <t>STEUBEN</t>
  </si>
  <si>
    <t>Weston</t>
  </si>
  <si>
    <t>University of Michigan</t>
  </si>
  <si>
    <t>Ann Arbor</t>
  </si>
  <si>
    <t>Elise</t>
  </si>
  <si>
    <t>bhlopez@umich.edu</t>
  </si>
  <si>
    <t>WASHTENAW</t>
  </si>
  <si>
    <t>Biostatisticians</t>
  </si>
  <si>
    <t>Blue Ash</t>
  </si>
  <si>
    <t>Suite 150</t>
  </si>
  <si>
    <t>Hayward</t>
  </si>
  <si>
    <t>daniel@eiglaw.com</t>
  </si>
  <si>
    <t>JODI</t>
  </si>
  <si>
    <t>5757 N GREEN BAY AVE</t>
  </si>
  <si>
    <t>GLOBALMOBILITY@JCI.COM</t>
  </si>
  <si>
    <t>Auburn</t>
  </si>
  <si>
    <t>700 ANDERSON HILL ROAD</t>
  </si>
  <si>
    <t>PURCHASE</t>
  </si>
  <si>
    <t>CHARBONIER</t>
  </si>
  <si>
    <t>FRANK</t>
  </si>
  <si>
    <t>FRANK.CHARBONIER@PEPSICO.COM</t>
  </si>
  <si>
    <t>WHITE PLAINS</t>
  </si>
  <si>
    <t>WESTCHESTER</t>
  </si>
  <si>
    <t>5850 Granite Parkway</t>
  </si>
  <si>
    <t>KFORCE INC.</t>
  </si>
  <si>
    <t>1001 EAST PALM AVENUE</t>
  </si>
  <si>
    <t>DRIJVER</t>
  </si>
  <si>
    <t>GORDON</t>
  </si>
  <si>
    <t>1001 E PALM AVENUE</t>
  </si>
  <si>
    <t>GDRIJVER@KFORCE.COM</t>
  </si>
  <si>
    <t>AON Hewitt</t>
  </si>
  <si>
    <t>kbohnhoff@fragomen.com</t>
  </si>
  <si>
    <t>Health Diagnosing and Treating Practitioners, All Other</t>
  </si>
  <si>
    <t>Tong</t>
  </si>
  <si>
    <t>Irvine</t>
  </si>
  <si>
    <t>Painted Post</t>
  </si>
  <si>
    <t>WILLIAMS</t>
  </si>
  <si>
    <t>MALIA</t>
  </si>
  <si>
    <t>Malia.Williams@ibm.com</t>
  </si>
  <si>
    <t>Chesterbrook</t>
  </si>
  <si>
    <t>PIONEER CONSULTING SERVICES, LLC</t>
  </si>
  <si>
    <t>3490 US HIGHWAY 1</t>
  </si>
  <si>
    <t>PODDUTOORI</t>
  </si>
  <si>
    <t>LATHA</t>
  </si>
  <si>
    <t>PARALEGAL</t>
  </si>
  <si>
    <t>latha@pioneeritconsulting.com</t>
  </si>
  <si>
    <t>BUILDING 5</t>
  </si>
  <si>
    <t>Astronomers</t>
  </si>
  <si>
    <t>Michelle</t>
  </si>
  <si>
    <t>ANNE ARUNDEL</t>
  </si>
  <si>
    <t>55 Water Street</t>
  </si>
  <si>
    <t>Honeywell International, Inc.</t>
  </si>
  <si>
    <t>300 S Tryon Street</t>
  </si>
  <si>
    <t>Kommamuri</t>
  </si>
  <si>
    <t xml:space="preserve">Narasimha </t>
  </si>
  <si>
    <t xml:space="preserve">HR Services Specialist II </t>
  </si>
  <si>
    <t>115 Tabor Road</t>
  </si>
  <si>
    <t>Morris Plains</t>
  </si>
  <si>
    <t>kommamuri.rao@Honeywell.com</t>
  </si>
  <si>
    <t>jruela@fragomen.com</t>
  </si>
  <si>
    <t>NEWARK</t>
  </si>
  <si>
    <t>General Manager</t>
  </si>
  <si>
    <t>Visa Technology &amp; Operations LLC</t>
  </si>
  <si>
    <t>385 Sherman Avenue</t>
  </si>
  <si>
    <t>PARSIPPANY</t>
  </si>
  <si>
    <t>Software Developers, Applications, Non R&amp;D</t>
  </si>
  <si>
    <t>Heather</t>
  </si>
  <si>
    <t>LORHAN CORPORATION INC.</t>
  </si>
  <si>
    <t>400 SOUTH AVENUE</t>
  </si>
  <si>
    <t>SAWANT</t>
  </si>
  <si>
    <t>ASHWINI</t>
  </si>
  <si>
    <t>HR@LORHANCORP.COM</t>
  </si>
  <si>
    <t>Mechatronics Engineers</t>
  </si>
  <si>
    <t>BATEMAN</t>
  </si>
  <si>
    <t>MARCUS</t>
  </si>
  <si>
    <t>SENIOR MANAGER, IMMIGRATION</t>
  </si>
  <si>
    <t>1000 W. MAUDE AVENUE</t>
  </si>
  <si>
    <t>HRIMMIGRATION@LINKEDIN.COM</t>
  </si>
  <si>
    <t>Senior Manager, Global Mobility</t>
  </si>
  <si>
    <t>Buffalo Grove</t>
  </si>
  <si>
    <t>Torrance</t>
  </si>
  <si>
    <t>Pashanna@eiglaw.com</t>
  </si>
  <si>
    <t>I-200-20269-845581</t>
  </si>
  <si>
    <t>mtomlinson@balglobal.com</t>
  </si>
  <si>
    <t>SIMI VALLEY</t>
  </si>
  <si>
    <t>Lawrence Berkeley National Laboratory</t>
  </si>
  <si>
    <t>1 Cyclotron Road</t>
  </si>
  <si>
    <t>I-200-20269-844951</t>
  </si>
  <si>
    <t>FILTERED, INC</t>
  </si>
  <si>
    <t>200 Portland Street</t>
  </si>
  <si>
    <t xml:space="preserve">Abigail </t>
  </si>
  <si>
    <t xml:space="preserve">Head of Communications &amp; Brand Specialist </t>
  </si>
  <si>
    <t>abby@filtered.ai</t>
  </si>
  <si>
    <t>3rd Floor</t>
  </si>
  <si>
    <t>Economists</t>
  </si>
  <si>
    <t>Editors</t>
  </si>
  <si>
    <t>Architectural and Engineering Managers</t>
  </si>
  <si>
    <t>Rochester</t>
  </si>
  <si>
    <t xml:space="preserve">HCL GLOBAL SYSTEMS INC </t>
  </si>
  <si>
    <t xml:space="preserve">24543 INDOPLEX CIRCLE </t>
  </si>
  <si>
    <t>GADDE</t>
  </si>
  <si>
    <t xml:space="preserve">PRESIDENT </t>
  </si>
  <si>
    <t xml:space="preserve">FARMINGTON HILLS </t>
  </si>
  <si>
    <t>GADDE@HCLGLOBAL.COM</t>
  </si>
  <si>
    <t>Wood</t>
  </si>
  <si>
    <t>Vice President Human Resources</t>
  </si>
  <si>
    <t>esmirnova@fragomen.com</t>
  </si>
  <si>
    <t>Salt Lake City</t>
  </si>
  <si>
    <t>I-200-20269-845133</t>
  </si>
  <si>
    <t>305 Navigator Dr</t>
  </si>
  <si>
    <t>I-200-20268-844894</t>
  </si>
  <si>
    <t>Rutgers,The State University of New Jersey</t>
  </si>
  <si>
    <t>65 Bergen Street</t>
  </si>
  <si>
    <t>Luciano-McKeon</t>
  </si>
  <si>
    <t>Sr. Coordinator</t>
  </si>
  <si>
    <t>65 Bergen St. Room GA-72</t>
  </si>
  <si>
    <t>lucianlo@global.rutgers.edu</t>
  </si>
  <si>
    <t>125 Paterson Street</t>
  </si>
  <si>
    <t>Steve</t>
  </si>
  <si>
    <t>Park</t>
  </si>
  <si>
    <t>Y. Anderson@andersonandassociatesllp.com</t>
  </si>
  <si>
    <t>Brillio, LLC</t>
  </si>
  <si>
    <t>5201 Great America Parkway</t>
  </si>
  <si>
    <t>Dhaliwal</t>
  </si>
  <si>
    <t>Mandeep</t>
  </si>
  <si>
    <t>Executive</t>
  </si>
  <si>
    <t>6111 Bollinger Canyon Rd.</t>
  </si>
  <si>
    <t>aaronk@employmentimmigration.com</t>
  </si>
  <si>
    <t>Oracle America, Inc.</t>
  </si>
  <si>
    <t>Nagase</t>
  </si>
  <si>
    <t>Richard</t>
  </si>
  <si>
    <t>Senior Immigration Specialist</t>
  </si>
  <si>
    <t>500 Oracle Parkway</t>
  </si>
  <si>
    <t>Redwood Shores</t>
  </si>
  <si>
    <t>ins_us@oracle.com</t>
  </si>
  <si>
    <t>Selvaraj</t>
  </si>
  <si>
    <t>I-200-20269-845791</t>
  </si>
  <si>
    <t>1601 Willow Road</t>
  </si>
  <si>
    <t>martha.mccluskey@ogletreedeakins.com</t>
  </si>
  <si>
    <t>6th Floor</t>
  </si>
  <si>
    <t>Immigration Coordinator</t>
  </si>
  <si>
    <t>Chelsea</t>
  </si>
  <si>
    <t>Greensboro</t>
  </si>
  <si>
    <t>Chantilly</t>
  </si>
  <si>
    <t>Associate Director-Human Resources</t>
  </si>
  <si>
    <t>USCISRECEIPTS@NTTDATA.COM</t>
  </si>
  <si>
    <t>kimberly.mathison@ogletreedeakins.com</t>
  </si>
  <si>
    <t>Peter</t>
  </si>
  <si>
    <t>Long Beach</t>
  </si>
  <si>
    <t>Senior Vice President</t>
  </si>
  <si>
    <t>I-200-20269-846031</t>
  </si>
  <si>
    <t>American Professionals Inc</t>
  </si>
  <si>
    <t>10 Lake Dr</t>
  </si>
  <si>
    <t>East Windsor</t>
  </si>
  <si>
    <t>Aravapalli</t>
  </si>
  <si>
    <t>Sree</t>
  </si>
  <si>
    <t>hr@ameripros.net</t>
  </si>
  <si>
    <t>300 S Breward St</t>
  </si>
  <si>
    <t>695 George Washington Highway</t>
  </si>
  <si>
    <t>Messenger</t>
  </si>
  <si>
    <t>Immigration Program Lead</t>
  </si>
  <si>
    <t>Woonsocket</t>
  </si>
  <si>
    <t>WOONSOCKET CITY</t>
  </si>
  <si>
    <t>SHARMA</t>
  </si>
  <si>
    <t>HR GENERALIST</t>
  </si>
  <si>
    <t>Suite B</t>
  </si>
  <si>
    <t>SARATOGA</t>
  </si>
  <si>
    <t>COLUMBIA</t>
  </si>
  <si>
    <t>Norfolk</t>
  </si>
  <si>
    <t>NORFOLK CITY</t>
  </si>
  <si>
    <t>acalderon@balglobal.com</t>
  </si>
  <si>
    <t>Comcast Cable Communications, LLC</t>
  </si>
  <si>
    <t>Mapes</t>
  </si>
  <si>
    <t>Human Resources Administrator</t>
  </si>
  <si>
    <t>1717 Arch Street</t>
  </si>
  <si>
    <t>Melanie</t>
  </si>
  <si>
    <t>IRVINE</t>
  </si>
  <si>
    <t>hhong@fragomen.com</t>
  </si>
  <si>
    <t>RAO</t>
  </si>
  <si>
    <t>100 Metroplex Dr</t>
  </si>
  <si>
    <t>QUINCY CITY</t>
  </si>
  <si>
    <t>HARTFORD</t>
  </si>
  <si>
    <t xml:space="preserve">Avant Systems, Inc. </t>
  </si>
  <si>
    <t>12200 Ford Road</t>
  </si>
  <si>
    <t>Katragadda</t>
  </si>
  <si>
    <t>Sudharani</t>
  </si>
  <si>
    <t>sudha@avantsinc.com</t>
  </si>
  <si>
    <t>charla@rickgump.com</t>
  </si>
  <si>
    <t>Diversant, LLC</t>
  </si>
  <si>
    <t>331 Newman Springs Road</t>
  </si>
  <si>
    <t xml:space="preserve">Red Bank </t>
  </si>
  <si>
    <t>Spradley</t>
  </si>
  <si>
    <t>Shanda</t>
  </si>
  <si>
    <t>Immigration Specialist/Paralegal</t>
  </si>
  <si>
    <t xml:space="preserve">331 Newman Springs Road </t>
  </si>
  <si>
    <t>Red Bank</t>
  </si>
  <si>
    <t>sspradley@diversant.com</t>
  </si>
  <si>
    <t>I-200-20269-846193</t>
  </si>
  <si>
    <t>JPMorgan Chase &amp; Co.</t>
  </si>
  <si>
    <t>10 S Dearborn Street, IL1-0043</t>
  </si>
  <si>
    <t>Tan</t>
  </si>
  <si>
    <t>Pinqi</t>
  </si>
  <si>
    <t xml:space="preserve">Attorney in Fact / Immigration Senior Specialist </t>
  </si>
  <si>
    <t>10 S. DEARBORN STREET</t>
  </si>
  <si>
    <t>maggie.p.tan@jpmchase.com</t>
  </si>
  <si>
    <t>545 Washington Blvd</t>
  </si>
  <si>
    <t>EYOON@FRAGOMEN.COM</t>
  </si>
  <si>
    <t>Amherst</t>
  </si>
  <si>
    <t>AMHERST</t>
  </si>
  <si>
    <t>Spartanburg</t>
  </si>
  <si>
    <t>5 Times Square</t>
  </si>
  <si>
    <t>Jyoti</t>
  </si>
  <si>
    <t>Executive Counsel</t>
  </si>
  <si>
    <t>HGST, Inc.</t>
  </si>
  <si>
    <t>5601 Great Oaks Parkway</t>
  </si>
  <si>
    <t>lynda.nguyen@wdc.com</t>
  </si>
  <si>
    <t>6625 Excellence Way</t>
  </si>
  <si>
    <t>Sugar Land</t>
  </si>
  <si>
    <t>Mason</t>
  </si>
  <si>
    <t>Palo Alto Networks, Inc.</t>
  </si>
  <si>
    <t>3000 Tannery Way</t>
  </si>
  <si>
    <t>Sodhi / Blanc</t>
  </si>
  <si>
    <t>Ishwinder / Eva</t>
  </si>
  <si>
    <t>Global Mobility Program Manager / Global Mobility Specialist</t>
  </si>
  <si>
    <t>isodhi@paloaltonetworks.com</t>
  </si>
  <si>
    <t>13800 Coppermine Road</t>
  </si>
  <si>
    <t>Walnut Creek</t>
  </si>
  <si>
    <t>Mehta</t>
  </si>
  <si>
    <t>Rodriguez</t>
  </si>
  <si>
    <t>PLACER</t>
  </si>
  <si>
    <t>Randolph</t>
  </si>
  <si>
    <t>Collins</t>
  </si>
  <si>
    <t>Pamela</t>
  </si>
  <si>
    <t>nicole.appelman@ogletree.com</t>
  </si>
  <si>
    <t>Alvarez</t>
  </si>
  <si>
    <t>Tracy</t>
  </si>
  <si>
    <t>S.</t>
  </si>
  <si>
    <t>BUFFALO</t>
  </si>
  <si>
    <t>Martin</t>
  </si>
  <si>
    <t>DIRECTOR OF HUMAN RESOURCES</t>
  </si>
  <si>
    <t>Adoresoft Corporation</t>
  </si>
  <si>
    <t>hr@adoresoft.com</t>
  </si>
  <si>
    <t>RAHUL</t>
  </si>
  <si>
    <t xml:space="preserve">601 N. 34th Street </t>
  </si>
  <si>
    <t>West Chester</t>
  </si>
  <si>
    <t>Gallegos</t>
  </si>
  <si>
    <t>Mikell</t>
  </si>
  <si>
    <t>Englewood</t>
  </si>
  <si>
    <t>rbeauge@seyfarth.com</t>
  </si>
  <si>
    <t xml:space="preserve">VLink, Inc. </t>
  </si>
  <si>
    <t>701 John Fitch Blvd</t>
  </si>
  <si>
    <t xml:space="preserve">South Windsor </t>
  </si>
  <si>
    <t>Kazi</t>
  </si>
  <si>
    <t>Nazia</t>
  </si>
  <si>
    <t xml:space="preserve">Legal  Specialist </t>
  </si>
  <si>
    <t>hr02@vlinkinfo.com</t>
  </si>
  <si>
    <t>chenderson@fragomen.com</t>
  </si>
  <si>
    <t>Maplewood</t>
  </si>
  <si>
    <t>Waltham</t>
  </si>
  <si>
    <t>Suzanne</t>
  </si>
  <si>
    <t>Menomonee Falls</t>
  </si>
  <si>
    <t>WAUKESHA</t>
  </si>
  <si>
    <t>Emily</t>
  </si>
  <si>
    <t>Bethesda</t>
  </si>
  <si>
    <t>9800 Fredericksburg Rd</t>
  </si>
  <si>
    <t>BATTEN</t>
  </si>
  <si>
    <t>ARLENE</t>
  </si>
  <si>
    <t>GLOBAL MOBILITY SPECIALIST</t>
  </si>
  <si>
    <t>345 PARK AVENUE</t>
  </si>
  <si>
    <t>ABATTEN@ADOBE.COM</t>
  </si>
  <si>
    <t>ESIF</t>
  </si>
  <si>
    <t>Black &amp; Veatch Corporation</t>
  </si>
  <si>
    <t>11401 Lamar Avenue</t>
  </si>
  <si>
    <t>Schmelzle</t>
  </si>
  <si>
    <t>Jalana</t>
  </si>
  <si>
    <t>Immigration Specialist, U.S. &amp; Canada Immigration</t>
  </si>
  <si>
    <t>uscanadaimmigration@bv.com</t>
  </si>
  <si>
    <t>D. Dietrich Associates, Inc.</t>
  </si>
  <si>
    <t>Dietrich Spring Engineering Salary Survey</t>
  </si>
  <si>
    <t>300 PINE STREET</t>
  </si>
  <si>
    <t>Suite 2100</t>
  </si>
  <si>
    <t>Athens</t>
  </si>
  <si>
    <t>Sylvia</t>
  </si>
  <si>
    <t>1 Tower Square</t>
  </si>
  <si>
    <t>MADHU</t>
  </si>
  <si>
    <t>ContextLogic Inc., dba Wish</t>
  </si>
  <si>
    <t xml:space="preserve">1 Sansome St. </t>
  </si>
  <si>
    <t xml:space="preserve"> Chavarria </t>
  </si>
  <si>
    <t xml:space="preserve">HR Director </t>
  </si>
  <si>
    <t>hr@wish.com</t>
  </si>
  <si>
    <t>ryan@eiglaw.com</t>
  </si>
  <si>
    <t>Computer Network Architects</t>
  </si>
  <si>
    <t>Mike</t>
  </si>
  <si>
    <t>Rocky Hill</t>
  </si>
  <si>
    <t>Assistant Secretary</t>
  </si>
  <si>
    <t>Dhaval</t>
  </si>
  <si>
    <t>50 CRAGWOOD ROAD</t>
  </si>
  <si>
    <t>SOUTH PLAINFIELD</t>
  </si>
  <si>
    <t>United Software Group, Inc.</t>
  </si>
  <si>
    <t>6000 Venture Dr.</t>
  </si>
  <si>
    <t>Vajjala</t>
  </si>
  <si>
    <t>umav@usgrpinc.com</t>
  </si>
  <si>
    <t>Garcia</t>
  </si>
  <si>
    <t>KRISHNA</t>
  </si>
  <si>
    <t>JOHNSON CONTROLS, INC.</t>
  </si>
  <si>
    <t>SASIKALA</t>
  </si>
  <si>
    <t>5508 LONAS DRIVE</t>
  </si>
  <si>
    <t xml:space="preserve">KNOXVILLE </t>
  </si>
  <si>
    <t xml:space="preserve">SAYNE </t>
  </si>
  <si>
    <t xml:space="preserve">MICHAEL </t>
  </si>
  <si>
    <t>P</t>
  </si>
  <si>
    <t>DIRECTOR OF LEGAL, LABOR RELATIONS</t>
  </si>
  <si>
    <t>MICHAEL.SAYNE@PILOTTRAVELCENTERS.COM</t>
  </si>
  <si>
    <t>Waukegan</t>
  </si>
  <si>
    <t>9LOGIC TECHNOLOGIES INC</t>
  </si>
  <si>
    <t>2461 152ND AVE NE</t>
  </si>
  <si>
    <t>VEMPARALA</t>
  </si>
  <si>
    <t>SRIKANT</t>
  </si>
  <si>
    <t>srikantv@9logic.com</t>
  </si>
  <si>
    <t>LEGAL@MKIMMIGRATIONLAW.COM</t>
  </si>
  <si>
    <t>Alison</t>
  </si>
  <si>
    <t>111 8th Ave</t>
  </si>
  <si>
    <t>GOLDMAN SACHS &amp; CO. LLC</t>
  </si>
  <si>
    <t>F</t>
  </si>
  <si>
    <t>200 West Street</t>
  </si>
  <si>
    <t>Romero</t>
  </si>
  <si>
    <t>Brittany</t>
  </si>
  <si>
    <t>HR Specialist</t>
  </si>
  <si>
    <t>FORD MOTOR COMPANY</t>
  </si>
  <si>
    <t>ONE AMERICAN ROAD</t>
  </si>
  <si>
    <t>DEARBORN</t>
  </si>
  <si>
    <t>JAFRY</t>
  </si>
  <si>
    <t>SYED</t>
  </si>
  <si>
    <t>ALI</t>
  </si>
  <si>
    <t>ATTORNEY - INTERNATIONAL SERVICE OPERATIONS</t>
  </si>
  <si>
    <t>SJAFRY2@FORD.COM</t>
  </si>
  <si>
    <t>Environmental Engineers</t>
  </si>
  <si>
    <t>Lindsay</t>
  </si>
  <si>
    <t>Apt. 303</t>
  </si>
  <si>
    <t>CAMBRIDGE</t>
  </si>
  <si>
    <t>Human Resources</t>
  </si>
  <si>
    <t>robertag@murthy.com</t>
  </si>
  <si>
    <t xml:space="preserve">4th Floor </t>
  </si>
  <si>
    <t>manoj@eiglaw.com</t>
  </si>
  <si>
    <t>Stewart</t>
  </si>
  <si>
    <t>VP of Human Resources</t>
  </si>
  <si>
    <t>HTC GLOBAL SERVICES INC</t>
  </si>
  <si>
    <t>I-200-20268-844172</t>
  </si>
  <si>
    <t>BLUESHIFT LABS, INC.</t>
  </si>
  <si>
    <t>433 CALIFORNIA STREET</t>
  </si>
  <si>
    <t>CHITTOOR</t>
  </si>
  <si>
    <t>VIJAY</t>
  </si>
  <si>
    <t>CO-FOUNDER &amp; CHIEF EXECUTIVE OFFICER</t>
  </si>
  <si>
    <t>karen.chernoff@getblueshift.com</t>
  </si>
  <si>
    <t>1090 South Van Ness Avenue</t>
  </si>
  <si>
    <t>285 Peachtree Center Ave NE</t>
  </si>
  <si>
    <t>FRISCO</t>
  </si>
  <si>
    <t>SRIKANTH</t>
  </si>
  <si>
    <t>William</t>
  </si>
  <si>
    <t>AIRBNB, INC.</t>
  </si>
  <si>
    <t>888 BRANNAN STREET</t>
  </si>
  <si>
    <t>KANE</t>
  </si>
  <si>
    <t>MARY</t>
  </si>
  <si>
    <t>GLOBAL MOBILITY PARTNER</t>
  </si>
  <si>
    <t>MARY.KANE@AIRBNB.COM</t>
  </si>
  <si>
    <t>888 Brannan Street</t>
  </si>
  <si>
    <t>4th FL</t>
  </si>
  <si>
    <t>SAP AMERICA, INC.</t>
  </si>
  <si>
    <t>2601 Westheimer Road</t>
  </si>
  <si>
    <t>Suite C250</t>
  </si>
  <si>
    <t>Enfield</t>
  </si>
  <si>
    <t>Buffalo</t>
  </si>
  <si>
    <t>The Curators of the University of Missouri</t>
  </si>
  <si>
    <t>227 University Hall</t>
  </si>
  <si>
    <t>Cole</t>
  </si>
  <si>
    <t>COLLECTIVEHEALTH, INC.</t>
  </si>
  <si>
    <t>85 BLUXOME STREET</t>
  </si>
  <si>
    <t>Uriarte</t>
  </si>
  <si>
    <t>Vina</t>
  </si>
  <si>
    <t>People Ops Specialist</t>
  </si>
  <si>
    <t>85 Bluxome St.</t>
  </si>
  <si>
    <t>vina.uriarte@collectivehealth.com</t>
  </si>
  <si>
    <t>1 Hacker Way (aka 1601 Willow Rd.)</t>
  </si>
  <si>
    <t>200 MOTOR PARKWAY</t>
  </si>
  <si>
    <t>HAUPPAUGE</t>
  </si>
  <si>
    <t>Okemos</t>
  </si>
  <si>
    <t>Yeddula</t>
  </si>
  <si>
    <t>hr@ricefwtech.com</t>
  </si>
  <si>
    <t>Hamilton</t>
  </si>
  <si>
    <t>Andover</t>
  </si>
  <si>
    <t>Kelsey</t>
  </si>
  <si>
    <t>TESLA, INC.</t>
  </si>
  <si>
    <t>3500 DEER CREEK ROAD</t>
  </si>
  <si>
    <t>NAPIER</t>
  </si>
  <si>
    <t>SHANNON</t>
  </si>
  <si>
    <t>IMMIGRATION@TESLA.COM</t>
  </si>
  <si>
    <t>Iconsoft, Inc.</t>
  </si>
  <si>
    <t>101 Cambridge Street</t>
  </si>
  <si>
    <t xml:space="preserve">Manju </t>
  </si>
  <si>
    <t>hr@iconsoft.net; admin@iconsoft.net; ravi@iconsoft.net</t>
  </si>
  <si>
    <t>Auburn Hills</t>
  </si>
  <si>
    <t>Sr. Manager, Human Resources</t>
  </si>
  <si>
    <t>MARIANNE</t>
  </si>
  <si>
    <t xml:space="preserve">Atlanta </t>
  </si>
  <si>
    <t>Bronx</t>
  </si>
  <si>
    <t>KIMBERLY</t>
  </si>
  <si>
    <t>BRONX</t>
  </si>
  <si>
    <t>Roseland</t>
  </si>
  <si>
    <t>SIELEWONCZUK</t>
  </si>
  <si>
    <t>SENIOR IMMIGRATION SPECIALIST</t>
  </si>
  <si>
    <t>ROSELAND_CELS@ADP.COM</t>
  </si>
  <si>
    <t>Kline</t>
  </si>
  <si>
    <t xml:space="preserve">Medtronic, Inc. </t>
  </si>
  <si>
    <t xml:space="preserve">710 Medtronic Parkway </t>
  </si>
  <si>
    <t>Fridley</t>
  </si>
  <si>
    <t>Pedrys</t>
  </si>
  <si>
    <t>Director, Medtronic Immigration Solutions Team</t>
  </si>
  <si>
    <t>710 Medtronic Parkway</t>
  </si>
  <si>
    <t>lisa.marie.pedrys@medtronic.com</t>
  </si>
  <si>
    <t>Shrewsbury</t>
  </si>
  <si>
    <t>Wethersfield</t>
  </si>
  <si>
    <t>5th Floor</t>
  </si>
  <si>
    <t>Lake Forest</t>
  </si>
  <si>
    <t>I-200-20269-845444</t>
  </si>
  <si>
    <t>Fives DyAG Corporation</t>
  </si>
  <si>
    <t>23400 Halsted Road</t>
  </si>
  <si>
    <t>Stencel</t>
  </si>
  <si>
    <t>john.stencel@fivesgroup.com</t>
  </si>
  <si>
    <t>12405 Powerscourt Drive</t>
  </si>
  <si>
    <t>Page</t>
  </si>
  <si>
    <t>Senior Manager, Legal Services - Labor and Employment</t>
  </si>
  <si>
    <t>jennifer.page@charter.com</t>
  </si>
  <si>
    <t>Maryland Heights</t>
  </si>
  <si>
    <t>US MBD/TRS - Finance/Accounting/Legal</t>
  </si>
  <si>
    <t>170 Tasman Drive</t>
  </si>
  <si>
    <t>Contreras / D'Souza / Renault</t>
  </si>
  <si>
    <t>Sergio M. / Kyle / Lisa</t>
  </si>
  <si>
    <t>AAndrade@fragomen.com</t>
  </si>
  <si>
    <t>SERVESYS CORPORATION</t>
  </si>
  <si>
    <t>104 DECKER COURT</t>
  </si>
  <si>
    <t>SAMUEL</t>
  </si>
  <si>
    <t>JACOB</t>
  </si>
  <si>
    <t>Melbourne</t>
  </si>
  <si>
    <t>BREVARD</t>
  </si>
  <si>
    <t>Splunk Inc.</t>
  </si>
  <si>
    <t>270 Brannan Street</t>
  </si>
  <si>
    <t>Reyes Bonhagen / Cho-Vera</t>
  </si>
  <si>
    <t>Penny / Becky</t>
  </si>
  <si>
    <t>Global Immigration and Talent Mobility</t>
  </si>
  <si>
    <t>immigration@splunk.com</t>
  </si>
  <si>
    <t>3098 Olsen Drive</t>
  </si>
  <si>
    <t>Allen</t>
  </si>
  <si>
    <t>Suite 328</t>
  </si>
  <si>
    <t>I-200-20268-843296</t>
  </si>
  <si>
    <t>5801 SW 6th Ave.</t>
  </si>
  <si>
    <t>People Operations Specialist</t>
  </si>
  <si>
    <t>St Louis</t>
  </si>
  <si>
    <t>Head of Operations</t>
  </si>
  <si>
    <t>NAGARRO INC.</t>
  </si>
  <si>
    <t>2001 GATEWAY PLACE, SUITE # 100W</t>
  </si>
  <si>
    <t>NAGPAL</t>
  </si>
  <si>
    <t>KAPIL</t>
  </si>
  <si>
    <t>MANAGING DIRECTOR</t>
  </si>
  <si>
    <t>2001 GATEWAY PLACE, SUITE #100W</t>
  </si>
  <si>
    <t>US.IMMIGRATION@NAGARRO.COM</t>
  </si>
  <si>
    <t>Mastech Digital InfoTech, Inc.</t>
  </si>
  <si>
    <t>PENNSYLVANIA</t>
  </si>
  <si>
    <t>Manisha</t>
  </si>
  <si>
    <t>Harvard University</t>
  </si>
  <si>
    <t>1350 Massachusetts Avenue</t>
  </si>
  <si>
    <t>Staff Assistant II</t>
  </si>
  <si>
    <t>internationaloffice@harvard.edu</t>
  </si>
  <si>
    <t>Chief Technology Officer</t>
  </si>
  <si>
    <t>Suite 203</t>
  </si>
  <si>
    <t>SANTA BARBARA</t>
  </si>
  <si>
    <t>Target Enterprise, Inc.</t>
  </si>
  <si>
    <t>1000 Nicollet Mall</t>
  </si>
  <si>
    <t>Lead Global Mobility Consultant</t>
  </si>
  <si>
    <t>33 S 6th Street, CC-17613</t>
  </si>
  <si>
    <t>DavidW.Johnson@target.com</t>
  </si>
  <si>
    <t>100 Mathilda Place</t>
  </si>
  <si>
    <t>4608 Willard Ave.</t>
  </si>
  <si>
    <t>Chevy Chase</t>
  </si>
  <si>
    <t>I-200-20269-845894</t>
  </si>
  <si>
    <t xml:space="preserve">Langan Engineering and Environmental Services, Inc. </t>
  </si>
  <si>
    <t xml:space="preserve">300 Kimball Drive </t>
  </si>
  <si>
    <t xml:space="preserve">Delligatti </t>
  </si>
  <si>
    <t xml:space="preserve">Victoria </t>
  </si>
  <si>
    <t>Corporate HR Manager</t>
  </si>
  <si>
    <t>vdelligatti@Langan.com</t>
  </si>
  <si>
    <t>135 Main Street</t>
  </si>
  <si>
    <t>Suite 1500</t>
  </si>
  <si>
    <t>Middle Mngmt, Professional, and Support Compensation Survey</t>
  </si>
  <si>
    <t xml:space="preserve">Willis Towers Watson Data Services, Inc. </t>
  </si>
  <si>
    <t>Sr. HR Manager</t>
  </si>
  <si>
    <t>ProKarma, Inc.</t>
  </si>
  <si>
    <t>222 S 15th ST.</t>
  </si>
  <si>
    <t>OMAHA</t>
  </si>
  <si>
    <t>DATTA</t>
  </si>
  <si>
    <t>INDERBIR</t>
  </si>
  <si>
    <t>IMMIGRATION COUNSEL</t>
  </si>
  <si>
    <t>8705 SW NIMBUS AVE.</t>
  </si>
  <si>
    <t>pkimmigration@pkglobal.com</t>
  </si>
  <si>
    <t>mkilmer@pkglobal.com</t>
  </si>
  <si>
    <t>ID</t>
  </si>
  <si>
    <t>Morgantown</t>
  </si>
  <si>
    <t>WV</t>
  </si>
  <si>
    <t>Carrie</t>
  </si>
  <si>
    <t>DChausow@fragomen.com</t>
  </si>
  <si>
    <t>Animal Scientists</t>
  </si>
  <si>
    <t>I-200-20269-845208</t>
  </si>
  <si>
    <t>International Student and Scholar Advisor</t>
  </si>
  <si>
    <t>Issaquah</t>
  </si>
  <si>
    <t>CitiusTech Inc.</t>
  </si>
  <si>
    <t>2 Research Way</t>
  </si>
  <si>
    <t>1160 ENTERPRISE WAY</t>
  </si>
  <si>
    <t>5010 148TH AVE NE</t>
  </si>
  <si>
    <t>Suite 970</t>
  </si>
  <si>
    <t>General Hospital Corporation</t>
  </si>
  <si>
    <t>Palatas</t>
  </si>
  <si>
    <t>Noel</t>
  </si>
  <si>
    <t>npalatas@partners.org</t>
  </si>
  <si>
    <t>20745 WILLIAMSPORT PLACE</t>
  </si>
  <si>
    <t>Thousand Oaks</t>
  </si>
  <si>
    <t>emilycox@davisbrownlaw.com</t>
  </si>
  <si>
    <t>G.</t>
  </si>
  <si>
    <t>WEST HARTFORD</t>
  </si>
  <si>
    <t>600 Grant Street</t>
  </si>
  <si>
    <t>CRANBURY</t>
  </si>
  <si>
    <t>SHELBY</t>
  </si>
  <si>
    <t>Tom</t>
  </si>
  <si>
    <t>ARLINGTON</t>
  </si>
  <si>
    <t>2019 General Industry Professional (Technical and Operations</t>
  </si>
  <si>
    <t>DUBLIN</t>
  </si>
  <si>
    <t>Bobrovnikov</t>
  </si>
  <si>
    <t>Irina</t>
  </si>
  <si>
    <t>Associate Director, Global Immigration</t>
  </si>
  <si>
    <t>10 Moore Drive</t>
  </si>
  <si>
    <t>Teresa</t>
  </si>
  <si>
    <t>HR Consultant</t>
  </si>
  <si>
    <t>WORCESTER CITY</t>
  </si>
  <si>
    <t>Joseph</t>
  </si>
  <si>
    <t>KPMG LLP</t>
  </si>
  <si>
    <t>Shari</t>
  </si>
  <si>
    <t>Kansas City</t>
  </si>
  <si>
    <t>2 KILMER ROAD</t>
  </si>
  <si>
    <t>Sowjanya</t>
  </si>
  <si>
    <t>2725 Rocky Mountain Avenue</t>
  </si>
  <si>
    <t>LARIMER</t>
  </si>
  <si>
    <t>Samsung Semiconductor, Inc.</t>
  </si>
  <si>
    <t>3655 N First Street</t>
  </si>
  <si>
    <t>Dela Cruz</t>
  </si>
  <si>
    <t>3655 North First Street</t>
  </si>
  <si>
    <t>ashley.d@samsung.com</t>
  </si>
  <si>
    <t>schakrabarti@fragomen.com</t>
  </si>
  <si>
    <t>JOHNS CREEK</t>
  </si>
  <si>
    <t>LCA@GOKARELAW.COM</t>
  </si>
  <si>
    <t>Deerfield</t>
  </si>
  <si>
    <t>RUMI@ISHARLAW.COM</t>
  </si>
  <si>
    <t>Mechanical Engineers, R&amp;D</t>
  </si>
  <si>
    <t>BROOKS</t>
  </si>
  <si>
    <t>Associate General Counsel</t>
  </si>
  <si>
    <t xml:space="preserve">Robert </t>
  </si>
  <si>
    <t>ALEXANDRA</t>
  </si>
  <si>
    <t>Devyani</t>
  </si>
  <si>
    <t>Apt 308</t>
  </si>
  <si>
    <t>25 INDEPENDENCE BLVD.</t>
  </si>
  <si>
    <t>Ramesh</t>
  </si>
  <si>
    <t>10400 Fernwood Road</t>
  </si>
  <si>
    <t>500 Hills Drive</t>
  </si>
  <si>
    <t>Bedminster</t>
  </si>
  <si>
    <t>Social Science Research Assistants</t>
  </si>
  <si>
    <t>6565, Headquarters Drive</t>
  </si>
  <si>
    <t>BNP Paribas</t>
  </si>
  <si>
    <t>525 Washington Blvd.</t>
  </si>
  <si>
    <t>Chakraborty</t>
  </si>
  <si>
    <t>Sraboni</t>
  </si>
  <si>
    <t>sraboni.chakraborty@us.bnpparibas.com</t>
  </si>
  <si>
    <t>787 Seventh Avenue</t>
  </si>
  <si>
    <t>Akamai Technologies, Inc.</t>
  </si>
  <si>
    <t>145 Broadway</t>
  </si>
  <si>
    <t>Geaney</t>
  </si>
  <si>
    <t>Senior Global Mobility Specialist</t>
  </si>
  <si>
    <t>abowen@akamai.com</t>
  </si>
  <si>
    <t>19th Floor</t>
  </si>
  <si>
    <t>ACTON</t>
  </si>
  <si>
    <t>3 ETHEL ROAD</t>
  </si>
  <si>
    <t>Dayton</t>
  </si>
  <si>
    <t>HCL GLOBAL SYSTEMS INC</t>
  </si>
  <si>
    <t>24543 INDOPLEX CIRCLE</t>
  </si>
  <si>
    <t>DURGA PRASAD</t>
  </si>
  <si>
    <t>WESTLAKE</t>
  </si>
  <si>
    <t>321 West Main Street</t>
  </si>
  <si>
    <t>I-200-20269-845335</t>
  </si>
  <si>
    <t>Mastech InfoTrellis, Inc.</t>
  </si>
  <si>
    <t>1 Dell Way</t>
  </si>
  <si>
    <t>I-200-20269-845206</t>
  </si>
  <si>
    <t>Suite 160</t>
  </si>
  <si>
    <t>Cost Estimators</t>
  </si>
  <si>
    <t>Rhonda</t>
  </si>
  <si>
    <t>Resource Logistics Inc</t>
  </si>
  <si>
    <t>39  Milltown Road</t>
  </si>
  <si>
    <t>East Brunswick</t>
  </si>
  <si>
    <t>Iyer</t>
  </si>
  <si>
    <t>Venkatesh</t>
  </si>
  <si>
    <t>Chairman</t>
  </si>
  <si>
    <t>Legal@resource-logistics.com</t>
  </si>
  <si>
    <t>RAM</t>
  </si>
  <si>
    <t>Starbucks Coffee Company</t>
  </si>
  <si>
    <t>2401 Utah Ave. South</t>
  </si>
  <si>
    <t>Jennings</t>
  </si>
  <si>
    <t>Senior Advisor, Global Mobility, Tax, and Immigration</t>
  </si>
  <si>
    <t>jijennin@starbucks.com</t>
  </si>
  <si>
    <t>Ste. 800</t>
  </si>
  <si>
    <t>I-200-20268-843527</t>
  </si>
  <si>
    <t>8100 Mohawk Dr</t>
  </si>
  <si>
    <t>Strongsville</t>
  </si>
  <si>
    <t>Gerling/Wilburn</t>
  </si>
  <si>
    <t>Andreas/Charles</t>
  </si>
  <si>
    <t>amazonimmigration@amazon.com</t>
  </si>
  <si>
    <t>h1b_lca@dgilaw.com</t>
  </si>
  <si>
    <t>Carmel</t>
  </si>
  <si>
    <t>PINELLAS</t>
  </si>
  <si>
    <t>PROFICIENT BUSINESS SYSTEMS INC.</t>
  </si>
  <si>
    <t>RAMALINGAM</t>
  </si>
  <si>
    <t>BAALA</t>
  </si>
  <si>
    <t>VICE PRESIDENT-BUSINESS DEVELOPMENT</t>
  </si>
  <si>
    <t>OPTUM SERVICES, INC.</t>
  </si>
  <si>
    <t>11000 OPTUM CIRCLE</t>
  </si>
  <si>
    <t>EDEN PRAIRIE</t>
  </si>
  <si>
    <t>MINNESOTA</t>
  </si>
  <si>
    <t>MCDONNELL, PRIEBE</t>
  </si>
  <si>
    <t>CIARAN, JENNIFER</t>
  </si>
  <si>
    <t>IMMIGRATION TEAM LEADERS</t>
  </si>
  <si>
    <t>9900 BREN ROAD EAST</t>
  </si>
  <si>
    <t>MINNETONKA</t>
  </si>
  <si>
    <t>CIARAN_MCDONNELL@UHG.COM</t>
  </si>
  <si>
    <t>NCHUNG@BALGLOBAL.COM</t>
  </si>
  <si>
    <t>Amazon Web Services, Inc.</t>
  </si>
  <si>
    <t>13455 Noel Road</t>
  </si>
  <si>
    <t>Fort Mill</t>
  </si>
  <si>
    <t>YORK</t>
  </si>
  <si>
    <t>40 E. RIO SALADO PARKWAY</t>
  </si>
  <si>
    <t>TEMPE</t>
  </si>
  <si>
    <t>Aon plc</t>
  </si>
  <si>
    <t>tiffany.su@morganlewis.com</t>
  </si>
  <si>
    <t>Grace</t>
  </si>
  <si>
    <t>DATA INC</t>
  </si>
  <si>
    <t>72 SUMMIT AVENUE</t>
  </si>
  <si>
    <t>MONTVALE</t>
  </si>
  <si>
    <t>VERMA</t>
  </si>
  <si>
    <t>IMMIGRATION@DATAINCUSA.COM</t>
  </si>
  <si>
    <t>Farmers Branch</t>
  </si>
  <si>
    <t>Kidd</t>
  </si>
  <si>
    <t>Andrew</t>
  </si>
  <si>
    <t>EGEN SOLUTIONS, INC.</t>
  </si>
  <si>
    <t>40 Shuman Boulevard</t>
  </si>
  <si>
    <t>NAPERVILLE</t>
  </si>
  <si>
    <t>Benson</t>
  </si>
  <si>
    <t>Trevor</t>
  </si>
  <si>
    <t>40 Shuman Blvd.</t>
  </si>
  <si>
    <t>immigration@egeni.com</t>
  </si>
  <si>
    <t>Decatur</t>
  </si>
  <si>
    <t>100 S. King Street</t>
  </si>
  <si>
    <t>I-200-20268-843380</t>
  </si>
  <si>
    <t xml:space="preserve">Urbanski	</t>
  </si>
  <si>
    <t>4040 West Boy Scout Boulevard</t>
  </si>
  <si>
    <t>bill.wang@pwc.com</t>
  </si>
  <si>
    <t>12401 Research Blvd., Bldg. II</t>
  </si>
  <si>
    <t>Jacqueline</t>
  </si>
  <si>
    <t>Harrisburg</t>
  </si>
  <si>
    <t>DAUPHIN</t>
  </si>
  <si>
    <t>WOLDEGEBRIEL</t>
  </si>
  <si>
    <t>FANUS</t>
  </si>
  <si>
    <t xml:space="preserve">Hillsboro </t>
  </si>
  <si>
    <t>SUKUMAR</t>
  </si>
  <si>
    <t>RAJI</t>
  </si>
  <si>
    <t>MANAGER-LEGAL OPERATIONS</t>
  </si>
  <si>
    <t>RAJI@EVERESTCONSULTING.NET</t>
  </si>
  <si>
    <t>HOLT</t>
  </si>
  <si>
    <t>Chesterfield</t>
  </si>
  <si>
    <t>NortonLifeLock Inc.</t>
  </si>
  <si>
    <t>60 E. Rio Salado Parkway, Suite 1000</t>
  </si>
  <si>
    <t>Goodman</t>
  </si>
  <si>
    <t>Brett</t>
  </si>
  <si>
    <t xml:space="preserve">Global Mobility Specialist </t>
  </si>
  <si>
    <t>XRM-Global_Employee@nortonlifelock.com</t>
  </si>
  <si>
    <t>900 Corporate Pointe</t>
  </si>
  <si>
    <t>Culver City</t>
  </si>
  <si>
    <t>Talent Acquisition Specialist</t>
  </si>
  <si>
    <t>The University of Texas at Austin</t>
  </si>
  <si>
    <t>Texas Global (International Student and Scholar Services)</t>
  </si>
  <si>
    <t>Moore</t>
  </si>
  <si>
    <t>Haley</t>
  </si>
  <si>
    <t>SUITE 400</t>
  </si>
  <si>
    <t>Human Resources Coordinator</t>
  </si>
  <si>
    <t>I-200-20269-846300</t>
  </si>
  <si>
    <t xml:space="preserve">5800 Windward Parkway </t>
  </si>
  <si>
    <t>Oakland</t>
  </si>
  <si>
    <t>PIORION SOLUTIONS,INC</t>
  </si>
  <si>
    <t>KINGSTON</t>
  </si>
  <si>
    <t>SAJJA</t>
  </si>
  <si>
    <t>VIJAYA</t>
  </si>
  <si>
    <t>VIJAYA.SAJJA@PIORION.COM</t>
  </si>
  <si>
    <t>BOTHELL</t>
  </si>
  <si>
    <t>807 11th Ave</t>
  </si>
  <si>
    <t>Gilead Sciences, Inc.</t>
  </si>
  <si>
    <t>333 Lakeside Drive</t>
  </si>
  <si>
    <t>Shek</t>
  </si>
  <si>
    <t>Manager, HR</t>
  </si>
  <si>
    <t>catherine.shek@gilead.com</t>
  </si>
  <si>
    <t xml:space="preserve">BLACKROCK FINANCIAL MANAGEMENT, INC. </t>
  </si>
  <si>
    <t>400 Bellevue Parkway</t>
  </si>
  <si>
    <t>Vasquez</t>
  </si>
  <si>
    <t>Elbert</t>
  </si>
  <si>
    <t>Vice President, Global Immigration Lead</t>
  </si>
  <si>
    <t>lisa.ferri@blackrock.com</t>
  </si>
  <si>
    <t>Industrial Production Managers</t>
  </si>
  <si>
    <t>6 Auer Ct</t>
  </si>
  <si>
    <t>Nandan</t>
  </si>
  <si>
    <t>Dan</t>
  </si>
  <si>
    <t xml:space="preserve">Chief Executive Officer </t>
  </si>
  <si>
    <t>5800 Northampton Blvd</t>
  </si>
  <si>
    <t>MONROE TOWNSHIP</t>
  </si>
  <si>
    <t>PORTLAND</t>
  </si>
  <si>
    <t>MULTNOMAH</t>
  </si>
  <si>
    <t>SUWANEE</t>
  </si>
  <si>
    <t>Suite 900</t>
  </si>
  <si>
    <t>I-200-20268-843241</t>
  </si>
  <si>
    <t>AMERICAN AIRLINES, INC.</t>
  </si>
  <si>
    <t>1 Skyview Drive</t>
  </si>
  <si>
    <t>FORT WORTH</t>
  </si>
  <si>
    <t>TEXAS</t>
  </si>
  <si>
    <t>Carver</t>
  </si>
  <si>
    <t>Vincent</t>
  </si>
  <si>
    <t>Director &amp; Sr. Attorney</t>
  </si>
  <si>
    <t>vincent.carver@aa.com</t>
  </si>
  <si>
    <t>1920 W. UNIVERSITY DRIVE</t>
  </si>
  <si>
    <t>I-200-20268-844241</t>
  </si>
  <si>
    <t>qchau@virtusa.com</t>
  </si>
  <si>
    <t>185 ASYLUM STREET</t>
  </si>
  <si>
    <t>STARK</t>
  </si>
  <si>
    <t>RANI@EMANDILAW.COM</t>
  </si>
  <si>
    <t>Mulalic Vikalo</t>
  </si>
  <si>
    <t>Adnana</t>
  </si>
  <si>
    <t>avikalo@austin.utexas.edu</t>
  </si>
  <si>
    <t>Flower Mound</t>
  </si>
  <si>
    <t>FUSION LIFE SCIENCES TECHNOLOGIES LLC</t>
  </si>
  <si>
    <t>400 CURIE DR, SUITE A-201</t>
  </si>
  <si>
    <t>EDULA</t>
  </si>
  <si>
    <t>ARUNA</t>
  </si>
  <si>
    <t>VP HR</t>
  </si>
  <si>
    <t>LEGAL@FUSIONLIFESOLUTIONS.COM</t>
  </si>
  <si>
    <t>132 TURNPIKE RD.</t>
  </si>
  <si>
    <t>Aerospace Engineers</t>
  </si>
  <si>
    <t>MUFG Union Bank, N.A.</t>
  </si>
  <si>
    <t>Armstrong</t>
  </si>
  <si>
    <t>carmstrong@us.mufg.jp</t>
  </si>
  <si>
    <t>Ericsson Inc.</t>
  </si>
  <si>
    <t>6300 Legacy Drive, R1-C10</t>
  </si>
  <si>
    <t>Martha</t>
  </si>
  <si>
    <t>Immigration Specialist III</t>
  </si>
  <si>
    <t>martha.flores@ericsson.com</t>
  </si>
  <si>
    <t>STAIDLOGIC LLC</t>
  </si>
  <si>
    <t>6660 NORTH HIGH STREET</t>
  </si>
  <si>
    <t>WORTHINGTON</t>
  </si>
  <si>
    <t>Basireddy</t>
  </si>
  <si>
    <t>Kiran</t>
  </si>
  <si>
    <t>HR@STAIDLOGIC.COM</t>
  </si>
  <si>
    <t>Managing Partner</t>
  </si>
  <si>
    <t>I-200-20268-844003</t>
  </si>
  <si>
    <t>XTGLOBAL, INC.</t>
  </si>
  <si>
    <t>2701 DALLAS PARKWAY</t>
  </si>
  <si>
    <t>MULLAPUDI</t>
  </si>
  <si>
    <t>RAMARAO</t>
  </si>
  <si>
    <t>ATCHUTA</t>
  </si>
  <si>
    <t>PRESIDENT &amp; CEO</t>
  </si>
  <si>
    <t>IMMIGRATION@XTGLOBAL.COM</t>
  </si>
  <si>
    <t>3800 QUICK HILL RD</t>
  </si>
  <si>
    <t>#100</t>
  </si>
  <si>
    <t>I-200-20269-845548</t>
  </si>
  <si>
    <t>O'Brien</t>
  </si>
  <si>
    <t>San Bruno</t>
  </si>
  <si>
    <t>njoyce@fragomen.com</t>
  </si>
  <si>
    <t>2035 Lincoln Highway</t>
  </si>
  <si>
    <t>Shroff</t>
  </si>
  <si>
    <t>Neal</t>
  </si>
  <si>
    <t>Senior Executive - Immigration</t>
  </si>
  <si>
    <t>Neal.Shroff@LTTS.com</t>
  </si>
  <si>
    <t>pritam@employmentimmigration.com</t>
  </si>
  <si>
    <t>LINKEDIN CORPORATION</t>
  </si>
  <si>
    <t>700 E. Middlefield Road</t>
  </si>
  <si>
    <t xml:space="preserve">Mountain View </t>
  </si>
  <si>
    <t>I-200-20268-843012</t>
  </si>
  <si>
    <t>Hexaware Technologies, Inc.</t>
  </si>
  <si>
    <t>CarolineF@hexaware.com</t>
  </si>
  <si>
    <t>12000 Sunrise Valley Drive</t>
  </si>
  <si>
    <t>BARTLETT</t>
  </si>
  <si>
    <t>ASSISTANT MANAGER-LEGAL AFFAIRS</t>
  </si>
  <si>
    <t>200 VESEY STREET</t>
  </si>
  <si>
    <t>KATHRYN.A.BARTLETT@AEXP.COM</t>
  </si>
  <si>
    <t>2200 Mastercard Blvd.</t>
  </si>
  <si>
    <t>O'Fallon</t>
  </si>
  <si>
    <t>ALPHA NET CONSULTING LLC</t>
  </si>
  <si>
    <t>3080 OLCOTT STREET</t>
  </si>
  <si>
    <t>Bond</t>
  </si>
  <si>
    <t>Hitomi</t>
  </si>
  <si>
    <t>Corporate Counsel - Immigration</t>
  </si>
  <si>
    <t>3080 Olcott Street</t>
  </si>
  <si>
    <t>immigration@anetcorp.com</t>
  </si>
  <si>
    <t>Cary</t>
  </si>
  <si>
    <t>VANDERBILT UNIVERSITY MEDICAL CENTER</t>
  </si>
  <si>
    <t>2525 WEST END AVENUE</t>
  </si>
  <si>
    <t>IMMIGRATION@VUMC.ORG</t>
  </si>
  <si>
    <t>DAVITA@EIGLAW.COM</t>
  </si>
  <si>
    <t>The Children's Hospital of Philadelphia</t>
  </si>
  <si>
    <t>3401 Civic Center Boulevard</t>
  </si>
  <si>
    <t>Kim-Hall</t>
  </si>
  <si>
    <t>Program Manager, Office of Immigration &amp; Visa Services</t>
  </si>
  <si>
    <t>2716 South Street</t>
  </si>
  <si>
    <t>kimja@email.chop.edu</t>
  </si>
  <si>
    <t>Farmington</t>
  </si>
  <si>
    <t>KEYSIGHT TECHNOLOGIES, INC.</t>
  </si>
  <si>
    <t>1400 FOUNTAINGROVE PKWY</t>
  </si>
  <si>
    <t>SANTA ROSA</t>
  </si>
  <si>
    <t>Collegeville</t>
  </si>
  <si>
    <t>LEWIS CENTER</t>
  </si>
  <si>
    <t>HILLIARD</t>
  </si>
  <si>
    <t>Tech Mahindra (Americas) Inc.</t>
  </si>
  <si>
    <t>Shukla</t>
  </si>
  <si>
    <t>Ulpa</t>
  </si>
  <si>
    <t>ulpa.shukla@techmahindra.com</t>
  </si>
  <si>
    <t>Maria</t>
  </si>
  <si>
    <t>CHANDLER</t>
  </si>
  <si>
    <t>Director, Talent Acquisition</t>
  </si>
  <si>
    <t>srussell@grahamadair.com</t>
  </si>
  <si>
    <t>Portland</t>
  </si>
  <si>
    <t>PATEL</t>
  </si>
  <si>
    <t>HR ADMINISTRATOR</t>
  </si>
  <si>
    <t>HAROLD@LAMBOLEYLAWFIRM.COM</t>
  </si>
  <si>
    <t>I-200-20268-844411</t>
  </si>
  <si>
    <t xml:space="preserve">AppZen, Inc. </t>
  </si>
  <si>
    <t>6201 America Center Drive</t>
  </si>
  <si>
    <t>Tagart</t>
  </si>
  <si>
    <t xml:space="preserve">Katy </t>
  </si>
  <si>
    <t xml:space="preserve">6201 America Center Drive </t>
  </si>
  <si>
    <t>katy@appzen.com</t>
  </si>
  <si>
    <t>michael@ryvinlaw.com</t>
  </si>
  <si>
    <t>Blacksburg</t>
  </si>
  <si>
    <t>McDonald</t>
  </si>
  <si>
    <t>FREDERICK</t>
  </si>
  <si>
    <t>W</t>
  </si>
  <si>
    <t>Manager, Global Mobility</t>
  </si>
  <si>
    <t>FACEBOOK, INC.</t>
  </si>
  <si>
    <t xml:space="preserve">1 HACKER WAY </t>
  </si>
  <si>
    <t>Advanced Micro Devices, Inc.</t>
  </si>
  <si>
    <t>2485 Augustine Drive</t>
  </si>
  <si>
    <t>Hurtado</t>
  </si>
  <si>
    <t>Bernadine</t>
  </si>
  <si>
    <t xml:space="preserve">Immigration Paralegal Specialist </t>
  </si>
  <si>
    <t>bernie.hurtado@amd.com</t>
  </si>
  <si>
    <t>diego.alvarez-lorant@ogletreedeakins.com</t>
  </si>
  <si>
    <t>I-200-20268-844434</t>
  </si>
  <si>
    <t>Sun Cloud LLC</t>
  </si>
  <si>
    <t>5455 McGinnis Village PL</t>
  </si>
  <si>
    <t>admin@suncloudllc.com</t>
  </si>
  <si>
    <t>I-200-20269-845245</t>
  </si>
  <si>
    <t>1 BECTON DRIVE</t>
  </si>
  <si>
    <t>FRANKLIN LAKES</t>
  </si>
  <si>
    <t>Latha</t>
  </si>
  <si>
    <t>lca@immlaws.com</t>
  </si>
  <si>
    <t>222 Second Street</t>
  </si>
  <si>
    <t>President &amp; CEO</t>
  </si>
  <si>
    <t>Cumming</t>
  </si>
  <si>
    <t>Cyma Systems Inc</t>
  </si>
  <si>
    <t>360 TOLLAND TURNPIKE</t>
  </si>
  <si>
    <t>Sunil</t>
  </si>
  <si>
    <t>Nisha</t>
  </si>
  <si>
    <t>Three Nationwide Plaza</t>
  </si>
  <si>
    <t>Oregon State University</t>
  </si>
  <si>
    <t>Corvallis</t>
  </si>
  <si>
    <t>Doreen</t>
  </si>
  <si>
    <t>OSU Office of International Services</t>
  </si>
  <si>
    <t>intl.hire@oregonstate.edu</t>
  </si>
  <si>
    <t>ORLANDO</t>
  </si>
  <si>
    <t>Regulatory Affairs Specialists</t>
  </si>
  <si>
    <t>Elena</t>
  </si>
  <si>
    <t>Raritan</t>
  </si>
  <si>
    <t>Lawrenceville</t>
  </si>
  <si>
    <t>SUITE 100</t>
  </si>
  <si>
    <t>ggaines@tarterkrinsky.com</t>
  </si>
  <si>
    <t>C E O</t>
  </si>
  <si>
    <t>Registered Nurses</t>
  </si>
  <si>
    <t>Judicial Law Clerks</t>
  </si>
  <si>
    <t>2800 ROCKCREEK PARKWAY</t>
  </si>
  <si>
    <t>NORTH KANSAS CITY</t>
  </si>
  <si>
    <t>Building 1024</t>
  </si>
  <si>
    <t>JACKSON</t>
  </si>
  <si>
    <t>Shawn</t>
  </si>
  <si>
    <t>OAK BROOK</t>
  </si>
  <si>
    <t>3800 Golf Road</t>
  </si>
  <si>
    <t>Rolling Meadows</t>
  </si>
  <si>
    <t>Smithfield</t>
  </si>
  <si>
    <t>PROVIDENCE CITY</t>
  </si>
  <si>
    <t>770 Sumneytown Pike</t>
  </si>
  <si>
    <t>West Point</t>
  </si>
  <si>
    <t>Chattanooga</t>
  </si>
  <si>
    <t>Calhoun</t>
  </si>
  <si>
    <t>Doss</t>
  </si>
  <si>
    <t>Sophia</t>
  </si>
  <si>
    <t>Simon</t>
  </si>
  <si>
    <t>520 Madison Avenue</t>
  </si>
  <si>
    <t>Lake Mary</t>
  </si>
  <si>
    <t>ImmigrationSupport@CVSHealth.com</t>
  </si>
  <si>
    <t>2200 Ross Avenue</t>
  </si>
  <si>
    <t>I-200-20269-845188</t>
  </si>
  <si>
    <t>6000 AMERICAN PKWY</t>
  </si>
  <si>
    <t>6400 Las Colinas Blvd</t>
  </si>
  <si>
    <t>The Pennsylvania State University</t>
  </si>
  <si>
    <t>402 Boucke Building</t>
  </si>
  <si>
    <t>University Park</t>
  </si>
  <si>
    <t>Lisette</t>
  </si>
  <si>
    <t>International Faculty Adviser</t>
  </si>
  <si>
    <t>facultyadvising@psu.edu</t>
  </si>
  <si>
    <t>BUTLER</t>
  </si>
  <si>
    <t>Suite 1100</t>
  </si>
  <si>
    <t>1191 SECOND AVENUE</t>
  </si>
  <si>
    <t>Jun</t>
  </si>
  <si>
    <t>Manager, People &amp; Culture</t>
  </si>
  <si>
    <t>Suite 110</t>
  </si>
  <si>
    <t>Ravi</t>
  </si>
  <si>
    <t>V.</t>
  </si>
  <si>
    <t>Director Human Resources</t>
  </si>
  <si>
    <t>300 Kimball Drive</t>
  </si>
  <si>
    <t>Bloomberg L.P.</t>
  </si>
  <si>
    <t>731 Lexington Avenue</t>
  </si>
  <si>
    <t>Wild</t>
  </si>
  <si>
    <t>Human Resources Representative</t>
  </si>
  <si>
    <t>cwild10@bloomberg.net</t>
  </si>
  <si>
    <t>120 Park Avenue</t>
  </si>
  <si>
    <t>Franklin</t>
  </si>
  <si>
    <t>immigrationadmin@verizonmedia.com</t>
  </si>
  <si>
    <t>MOORESVILLE</t>
  </si>
  <si>
    <t>IREDELL</t>
  </si>
  <si>
    <t xml:space="preserve">Charlotte </t>
  </si>
  <si>
    <t>Summit</t>
  </si>
  <si>
    <t>UNION</t>
  </si>
  <si>
    <t>I-200-20269-846202</t>
  </si>
  <si>
    <t>XPRESS GLOBAL IT SOLUTIONS LLC</t>
  </si>
  <si>
    <t>316 ARROWHEAD WAY</t>
  </si>
  <si>
    <t>HAYWARD</t>
  </si>
  <si>
    <t>KHOSLA</t>
  </si>
  <si>
    <t>SUSHMA</t>
  </si>
  <si>
    <t>sushma@xpressglobalitsolutions.com</t>
  </si>
  <si>
    <t>800 Commerce Drive</t>
  </si>
  <si>
    <t>Oak Brook</t>
  </si>
  <si>
    <t>Mindtree Limited</t>
  </si>
  <si>
    <t>25 Independence Blvd.</t>
  </si>
  <si>
    <t>Joseph.Ramesh@mindtree.com</t>
  </si>
  <si>
    <t>CHRISTOPHER@EMPLOYMENTIMMIGRATION.COM</t>
  </si>
  <si>
    <t>Amgen Incorporated</t>
  </si>
  <si>
    <t>One Amgen Center Drive</t>
  </si>
  <si>
    <t>Cummings / Lu</t>
  </si>
  <si>
    <t>Jen / Loretta</t>
  </si>
  <si>
    <t>HR Representative</t>
  </si>
  <si>
    <t>jen01@amgen.com / loretta@amgen.com</t>
  </si>
  <si>
    <t>Santa Ana</t>
  </si>
  <si>
    <t>1800 Bishops Gate Blvd</t>
  </si>
  <si>
    <t>Mount Laurel</t>
  </si>
  <si>
    <t>Suri</t>
  </si>
  <si>
    <t>office@vermafirm.com</t>
  </si>
  <si>
    <t>Goel</t>
  </si>
  <si>
    <t>Las Vegas</t>
  </si>
  <si>
    <t>12TH FLOOR</t>
  </si>
  <si>
    <t>Month</t>
  </si>
  <si>
    <t>MATTHEW</t>
  </si>
  <si>
    <t>6360 S. Fiddler's Green Circle</t>
  </si>
  <si>
    <t>Tractor Supply Company</t>
  </si>
  <si>
    <t>5401 Virginia Way</t>
  </si>
  <si>
    <t>Hatcher</t>
  </si>
  <si>
    <t>Patti</t>
  </si>
  <si>
    <t>Phillips</t>
  </si>
  <si>
    <t>HR Generalist - SSC</t>
  </si>
  <si>
    <t>immigration@tractorsupply.com</t>
  </si>
  <si>
    <t>RICHMOND</t>
  </si>
  <si>
    <t>4501 NORTH POINT PKWY</t>
  </si>
  <si>
    <t>O'FALLON</t>
  </si>
  <si>
    <t>SARA</t>
  </si>
  <si>
    <t>HR DIRECTOR</t>
  </si>
  <si>
    <t>Pasadena</t>
  </si>
  <si>
    <t>Taub</t>
  </si>
  <si>
    <t>olivia.taub@nyu.edu</t>
  </si>
  <si>
    <t>I-200-20270-846838</t>
  </si>
  <si>
    <t>INFOQUEST CONSULTING GROUP, INC.</t>
  </si>
  <si>
    <t>68 CULVER ROAD</t>
  </si>
  <si>
    <t>KRINA</t>
  </si>
  <si>
    <t>KSHAH@INFOQUESTGROUP.COM</t>
  </si>
  <si>
    <t xml:space="preserve">50 HAMPSHIRE STREET </t>
  </si>
  <si>
    <t>inderjit@indysidhu.com</t>
  </si>
  <si>
    <t>Morristown</t>
  </si>
  <si>
    <t>Senior Paralegal</t>
  </si>
  <si>
    <t>emas@vblaw.com</t>
  </si>
  <si>
    <t>10 S. DEARBORN ST.</t>
  </si>
  <si>
    <t>LOUDOUN</t>
  </si>
  <si>
    <t>Suite 1000</t>
  </si>
  <si>
    <t>222 Merchandise Mart Plaza</t>
  </si>
  <si>
    <t>I-200-20268-844895</t>
  </si>
  <si>
    <t>PDDN, Inc.</t>
  </si>
  <si>
    <t>42840 Christy Street</t>
  </si>
  <si>
    <t>Vyas</t>
  </si>
  <si>
    <t>N.</t>
  </si>
  <si>
    <t xml:space="preserve"> naresh@pddninc.net</t>
  </si>
  <si>
    <t>430 COSTA MESA TERR</t>
  </si>
  <si>
    <t>APT G</t>
  </si>
  <si>
    <t>INFO@PSIMMLAW.COM</t>
  </si>
  <si>
    <t xml:space="preserve">Square, Inc. </t>
  </si>
  <si>
    <t xml:space="preserve">1455 Market Street </t>
  </si>
  <si>
    <t xml:space="preserve">Raygoza </t>
  </si>
  <si>
    <t xml:space="preserve">Veronica </t>
  </si>
  <si>
    <t xml:space="preserve">Global Immigration Manager </t>
  </si>
  <si>
    <t xml:space="preserve">1455 Market St. </t>
  </si>
  <si>
    <t>vraygoza@squareup.com</t>
  </si>
  <si>
    <t>Ste. 600</t>
  </si>
  <si>
    <t>Lewisville</t>
  </si>
  <si>
    <t>Perez</t>
  </si>
  <si>
    <t>Janet</t>
  </si>
  <si>
    <t>Susan</t>
  </si>
  <si>
    <t>SYNECHRON INC</t>
  </si>
  <si>
    <t>11 TIMES SQUARE</t>
  </si>
  <si>
    <t>JADHAV</t>
  </si>
  <si>
    <t>ABHAY</t>
  </si>
  <si>
    <t>SR. MANAGER-HR</t>
  </si>
  <si>
    <t>VISA-US@SYNECHRON.COM</t>
  </si>
  <si>
    <t>459 HERNDON PARKWAY, SUITE 13</t>
  </si>
  <si>
    <t>GARLANKA</t>
  </si>
  <si>
    <t>Atlassian, Inc.</t>
  </si>
  <si>
    <t>301 East Evelyn Avenue</t>
  </si>
  <si>
    <t>Lam</t>
  </si>
  <si>
    <t>Sonia</t>
  </si>
  <si>
    <t>slam@atlassian.com</t>
  </si>
  <si>
    <t>Teleworld Solutions Inc.</t>
  </si>
  <si>
    <t>43130 Amberwood Plaza</t>
  </si>
  <si>
    <t>South Riding</t>
  </si>
  <si>
    <t>Lopez</t>
  </si>
  <si>
    <t>Deysi</t>
  </si>
  <si>
    <t>Deysi.Lopez@teleworldsolutions.com</t>
  </si>
  <si>
    <t>support@adhikarilaw.com</t>
  </si>
  <si>
    <t>Nordstrom, Inc.</t>
  </si>
  <si>
    <t>Anthem, Inc.</t>
  </si>
  <si>
    <t>220 Virginia Avenue</t>
  </si>
  <si>
    <t>Hanson</t>
  </si>
  <si>
    <t>Dawn</t>
  </si>
  <si>
    <t>HR Process Improvement Manager, Sr.</t>
  </si>
  <si>
    <t>123 Justison Street</t>
  </si>
  <si>
    <t>immigration@anthem.com</t>
  </si>
  <si>
    <t>3675 Cisco Way</t>
  </si>
  <si>
    <t>10201 TORRE AVENUE</t>
  </si>
  <si>
    <t>7 W 34th Street</t>
  </si>
  <si>
    <t>Global Technology Survey</t>
  </si>
  <si>
    <t>Biological Science Teachers, Postsecondary</t>
  </si>
  <si>
    <t>M. A. Mortenson Company</t>
  </si>
  <si>
    <t>700 Meadow Lane North</t>
  </si>
  <si>
    <t>Berendes</t>
  </si>
  <si>
    <t>Maureen</t>
  </si>
  <si>
    <t>Senior Human Resources Generalist</t>
  </si>
  <si>
    <t>maureen.berendes@mortenson.com</t>
  </si>
  <si>
    <t>Itasca</t>
  </si>
  <si>
    <t>PRINCE GEORGE'S</t>
  </si>
  <si>
    <t>IPO-MF@mayo.edu</t>
  </si>
  <si>
    <t>Appridat Solutions LLC</t>
  </si>
  <si>
    <t>5655 Peachtree Parkway</t>
  </si>
  <si>
    <t>Peachtree Corners</t>
  </si>
  <si>
    <t>Balusu</t>
  </si>
  <si>
    <t>Anj</t>
  </si>
  <si>
    <t>anj@appridat.com</t>
  </si>
  <si>
    <t>Collierville</t>
  </si>
  <si>
    <t>Genentech USA, Inc.</t>
  </si>
  <si>
    <t>1 DNA Way, MS #313A</t>
  </si>
  <si>
    <t>Fernandez Cocimano</t>
  </si>
  <si>
    <t>Julia</t>
  </si>
  <si>
    <t>Talent Immigration Manager</t>
  </si>
  <si>
    <t>1 DNA WAY, MS#313A</t>
  </si>
  <si>
    <t>SOUTH SAN FRANCISCO</t>
  </si>
  <si>
    <t>fernandez-cocimano.julia@gene.com</t>
  </si>
  <si>
    <t>apong@gibney.com</t>
  </si>
  <si>
    <t>425 Metro Place N</t>
  </si>
  <si>
    <t>Manjushha</t>
  </si>
  <si>
    <t>makkapeddi@erpagroup.com</t>
  </si>
  <si>
    <t xml:space="preserve">Program Managers </t>
  </si>
  <si>
    <t xml:space="preserve">807 11th Avenue </t>
  </si>
  <si>
    <t>EDEN PRARIE</t>
  </si>
  <si>
    <t>McDonnell, Priebe</t>
  </si>
  <si>
    <t>Ciaran, Jennifer</t>
  </si>
  <si>
    <t>Immigration Team Leaders</t>
  </si>
  <si>
    <t>9900 Bren Road East</t>
  </si>
  <si>
    <t>Minnetonka</t>
  </si>
  <si>
    <t>ciaran_mcdonnell@uhg.com</t>
  </si>
  <si>
    <t>I-200-20269-846706</t>
  </si>
  <si>
    <t>TEJ SOLUTIONS INC</t>
  </si>
  <si>
    <t>CHADALAVADA</t>
  </si>
  <si>
    <t>VENKATESWARLU</t>
  </si>
  <si>
    <t>VENKAT@TEJSOLUTIONS.NET</t>
  </si>
  <si>
    <t>2 Westbrook Corporate Center</t>
  </si>
  <si>
    <t xml:space="preserve">Westchester </t>
  </si>
  <si>
    <t>Samsung Research America, Inc.</t>
  </si>
  <si>
    <t>665 Clyde Avenue</t>
  </si>
  <si>
    <t>Lara</t>
  </si>
  <si>
    <t>Kenn</t>
  </si>
  <si>
    <t>Senior Director, Human Resources</t>
  </si>
  <si>
    <t>kenn.lara@samsung.com</t>
  </si>
  <si>
    <t>CHERALA</t>
  </si>
  <si>
    <t>Mayo Clinic</t>
  </si>
  <si>
    <t>200 First Street SW</t>
  </si>
  <si>
    <t>Greig.Ashley@mayo.edu</t>
  </si>
  <si>
    <t>Westminster</t>
  </si>
  <si>
    <t>500 9th Ave N</t>
  </si>
  <si>
    <t>CHERYL</t>
  </si>
  <si>
    <t>shawn@sgimmigration.com</t>
  </si>
  <si>
    <t>I-200-20268-844726</t>
  </si>
  <si>
    <t>ASTRAZENECA PHARMACEUTICALS LP</t>
  </si>
  <si>
    <t>1800 CONCORD PIKE</t>
  </si>
  <si>
    <t>ECHEVERRI</t>
  </si>
  <si>
    <t>ADRIANA</t>
  </si>
  <si>
    <t>NA MOBILITY PROCESS SPECIALIST/RELO &amp; IMMIGRATION</t>
  </si>
  <si>
    <t>ONE MEDIMMUNE WAY</t>
  </si>
  <si>
    <t>GAITHERSBURG</t>
  </si>
  <si>
    <t>ADRIANA.ECHEVERRI@ASTRAZENECA.COM</t>
  </si>
  <si>
    <t>633 RESEARCH COURT</t>
  </si>
  <si>
    <t>FZAMAN@FRAGOMEN.COM</t>
  </si>
  <si>
    <t>Human Resources Managers</t>
  </si>
  <si>
    <t>GERLING/WILBURN/MICHAELS/BATENHORST</t>
  </si>
  <si>
    <t>ANDREAS/CHARLES/BECKY/JENNY</t>
  </si>
  <si>
    <t>ARAMACHANDRAN@FRAGOMEN.COM</t>
  </si>
  <si>
    <t>CHRISTINE</t>
  </si>
  <si>
    <t>1 Hacker Way*</t>
  </si>
  <si>
    <t>*(aka 1601 Willow Road)</t>
  </si>
  <si>
    <t>UNICON PHARMA, INC.</t>
  </si>
  <si>
    <t>51 CRAGWOOD RD</t>
  </si>
  <si>
    <t>Madiwada</t>
  </si>
  <si>
    <t xml:space="preserve">Chakrapani </t>
  </si>
  <si>
    <t>Manager – Human Resources</t>
  </si>
  <si>
    <t>hr@uniconpharma.com</t>
  </si>
  <si>
    <t>I-200-20268-844177</t>
  </si>
  <si>
    <t>University of Washington</t>
  </si>
  <si>
    <t>Gerberding Hall</t>
  </si>
  <si>
    <t>Larrance</t>
  </si>
  <si>
    <t>Adair</t>
  </si>
  <si>
    <t>Adviser, International Scholars Operations</t>
  </si>
  <si>
    <t>239 Gerberding Hall, Box 351245</t>
  </si>
  <si>
    <t>slarranc@uw.edu</t>
  </si>
  <si>
    <t>1959 NE Pacific Street</t>
  </si>
  <si>
    <t>KIRAN</t>
  </si>
  <si>
    <t>324 COURTYARD DRIVE</t>
  </si>
  <si>
    <t>Continental Technology Solutions, Inc</t>
  </si>
  <si>
    <t>6666 Harwin Drive</t>
  </si>
  <si>
    <t>Bector</t>
  </si>
  <si>
    <t>Shiwani</t>
  </si>
  <si>
    <t>555 Metro Place North</t>
  </si>
  <si>
    <t>BRIDGEWATER</t>
  </si>
  <si>
    <t>Medline Industries, Inc.</t>
  </si>
  <si>
    <t>Three Lakes Dr.</t>
  </si>
  <si>
    <t>Northfield</t>
  </si>
  <si>
    <t>Parkin</t>
  </si>
  <si>
    <t>Jeremy</t>
  </si>
  <si>
    <t>immigration@medline.com</t>
  </si>
  <si>
    <t>1 Medline Place</t>
  </si>
  <si>
    <t>Mundelein</t>
  </si>
  <si>
    <t xml:space="preserve">SENIOR MANAGER - HUMAN RESOURCES </t>
  </si>
  <si>
    <t xml:space="preserve">5 POLARIS WAY </t>
  </si>
  <si>
    <t>JANET.OCHOA@CHUGH.COM</t>
  </si>
  <si>
    <t xml:space="preserve">Venkata </t>
  </si>
  <si>
    <t>Adi Worldlink LLC</t>
  </si>
  <si>
    <t>3880 Parkwood Blvd</t>
  </si>
  <si>
    <t>Ghadially</t>
  </si>
  <si>
    <t>Barjis</t>
  </si>
  <si>
    <t>visas@worldlink-us.com</t>
  </si>
  <si>
    <t>LANCESOFT, INC.</t>
  </si>
  <si>
    <t>13454 Sunrise Valley Drive</t>
  </si>
  <si>
    <t>JAIN</t>
  </si>
  <si>
    <t>RUCHI</t>
  </si>
  <si>
    <t>immigration@lancesoft.com</t>
  </si>
  <si>
    <t>Cigniti Technologies, Inc.</t>
  </si>
  <si>
    <t>433 E. Las Colinas Boulevard</t>
  </si>
  <si>
    <t>Farrell</t>
  </si>
  <si>
    <t>immi@cigniti.com</t>
  </si>
  <si>
    <t>Liz</t>
  </si>
  <si>
    <t>PERFICIENT, INC.</t>
  </si>
  <si>
    <t>555 MARYVILLE UNIVERSITY DRIVE</t>
  </si>
  <si>
    <t>SAINT LOUIS</t>
  </si>
  <si>
    <t>MARCANTANO</t>
  </si>
  <si>
    <t>RONALD</t>
  </si>
  <si>
    <t>MATTHEW.MARCANTANO@PERFICIENT.COM</t>
  </si>
  <si>
    <t>amahale@tuethkeeney.com</t>
  </si>
  <si>
    <t>I-200-20268-844514</t>
  </si>
  <si>
    <t xml:space="preserve">3519 SE Reed Drive </t>
  </si>
  <si>
    <t>GENERAL MANAGER</t>
  </si>
  <si>
    <t>SECAUCUS</t>
  </si>
  <si>
    <t>100 SAS Campus Drive</t>
  </si>
  <si>
    <t>Chief Executives</t>
  </si>
  <si>
    <t>Rosemont</t>
  </si>
  <si>
    <t>NORTHSTAR GROUP INC</t>
  </si>
  <si>
    <t>7529 STANDISH PLACE</t>
  </si>
  <si>
    <t>SUBHASH</t>
  </si>
  <si>
    <t>IMMIGRATIONSUPPORT@NSTARGROUPINC.COM</t>
  </si>
  <si>
    <t>Architects, Except Landscape and Naval</t>
  </si>
  <si>
    <t>8779 Hillcrest Drive</t>
  </si>
  <si>
    <t>Christina</t>
  </si>
  <si>
    <t>Mentor Graphics Corporation</t>
  </si>
  <si>
    <t>8005 SW BOECKMAN ROAD</t>
  </si>
  <si>
    <t>Wilsonville</t>
  </si>
  <si>
    <t>U.S. Immigration Specialist</t>
  </si>
  <si>
    <t>8005 SW Boeckman Road</t>
  </si>
  <si>
    <t>laura_allen@mentor.com</t>
  </si>
  <si>
    <t>Human Resources Specialists</t>
  </si>
  <si>
    <t>Patricia</t>
  </si>
  <si>
    <t>GEEKSOFT LLC</t>
  </si>
  <si>
    <t>Bolla</t>
  </si>
  <si>
    <t>Srini</t>
  </si>
  <si>
    <t xml:space="preserve">Vice-President </t>
  </si>
  <si>
    <t>laxmi@geeksoftllc.com</t>
  </si>
  <si>
    <t>Balaji</t>
  </si>
  <si>
    <t>lawxpert@yahoo.com</t>
  </si>
  <si>
    <t>University of California, Los Angeles</t>
  </si>
  <si>
    <t>106 Bradley International Hall</t>
  </si>
  <si>
    <t>Ottemoeller</t>
  </si>
  <si>
    <t>Immigration Counselor</t>
  </si>
  <si>
    <t>sottemoe@saonet.ucla.edu</t>
  </si>
  <si>
    <t>nabueg@saonet.ucla.edu</t>
  </si>
  <si>
    <t>Watertown</t>
  </si>
  <si>
    <t>WATERTOWN CITY</t>
  </si>
  <si>
    <t>150 Stephenson Hwy</t>
  </si>
  <si>
    <t>160 Spear Street</t>
  </si>
  <si>
    <t>119 Waterworks Way</t>
  </si>
  <si>
    <t>I-200-20268-843882</t>
  </si>
  <si>
    <t>DELOITTE CONSULTING LLP</t>
  </si>
  <si>
    <t>I-200-20268-844666</t>
  </si>
  <si>
    <t>7820 CRESCENT EXECUTIVE DRIVE</t>
  </si>
  <si>
    <t>Kirkland</t>
  </si>
  <si>
    <t>McKinney</t>
  </si>
  <si>
    <t xml:space="preserve">Santa Clara </t>
  </si>
  <si>
    <t>7171 Southwest Pkwy</t>
  </si>
  <si>
    <t>I-200-20268-844454</t>
  </si>
  <si>
    <t>MACYS.COM, LLC</t>
  </si>
  <si>
    <t>5985 State Bridge Road</t>
  </si>
  <si>
    <t>Johns Creek</t>
  </si>
  <si>
    <t>Carson</t>
  </si>
  <si>
    <t>Kayla</t>
  </si>
  <si>
    <t>5985 STATE BRIDGE ROAD</t>
  </si>
  <si>
    <t>KAYLA.CARSON@MACYS.COM</t>
  </si>
  <si>
    <t>4261 Stevenson Blvd</t>
  </si>
  <si>
    <t>Apt. 232</t>
  </si>
  <si>
    <t>GENERAL INDUSTRY SUPERVISORY AND MIDDLE MANAGEMENT SURVEY</t>
  </si>
  <si>
    <t>Business Teachers, Postsecondary</t>
  </si>
  <si>
    <t>The Ohio State University</t>
  </si>
  <si>
    <t>2009 Millikin RD</t>
  </si>
  <si>
    <t>Carina</t>
  </si>
  <si>
    <t>2009 Millikin Rd</t>
  </si>
  <si>
    <t>h1bprocessing@osu.edu</t>
  </si>
  <si>
    <t>carruthers.15@osu.edu</t>
  </si>
  <si>
    <t>ONE COMCAST CENTER</t>
  </si>
  <si>
    <t>denise@piston.net</t>
  </si>
  <si>
    <t>Kim</t>
  </si>
  <si>
    <t>EMC Corporation</t>
  </si>
  <si>
    <t>505 1st Avenue South</t>
  </si>
  <si>
    <t>Training and Development Specialists</t>
  </si>
  <si>
    <t>ipiedra@fragomen.com</t>
  </si>
  <si>
    <t>Exton</t>
  </si>
  <si>
    <t>Stacy</t>
  </si>
  <si>
    <t>15th Floor</t>
  </si>
  <si>
    <t>Centene Management Company, LLC</t>
  </si>
  <si>
    <t>7700 Forsyth Blvd.</t>
  </si>
  <si>
    <t>Human Resources Compliance &amp; Audit Partner</t>
  </si>
  <si>
    <t>7700 Forsyth Boulevard</t>
  </si>
  <si>
    <t>sacampbell@centene.com</t>
  </si>
  <si>
    <t>aroback@fragomen.com</t>
  </si>
  <si>
    <t>Director, Global Mobility</t>
  </si>
  <si>
    <t>Schroeder</t>
  </si>
  <si>
    <t>L&amp;T Technology Services Limited</t>
  </si>
  <si>
    <t>Dena@employmentimmigration.com</t>
  </si>
  <si>
    <t>Lauren</t>
  </si>
  <si>
    <t>I-200-20269-844935</t>
  </si>
  <si>
    <t>Skyworks Solutions, Inc.</t>
  </si>
  <si>
    <t>5221 California Avenue</t>
  </si>
  <si>
    <t>Ho</t>
  </si>
  <si>
    <t>Angela.Ho@skyworksinc.com</t>
  </si>
  <si>
    <t>5221 California Ave</t>
  </si>
  <si>
    <t>Electrical Design Engineer 3 - 5063</t>
  </si>
  <si>
    <t>Bhanu@bbilawgroup.com</t>
  </si>
  <si>
    <t>mneal@zulkiepartners.com</t>
  </si>
  <si>
    <t>Sandy Springs</t>
  </si>
  <si>
    <t>jamesv@eiglaw.com</t>
  </si>
  <si>
    <t>DIRECTOR, HUMAN RESOURCES</t>
  </si>
  <si>
    <t>599 North Mathilda Avenue</t>
  </si>
  <si>
    <t>777 S Novus Place</t>
  </si>
  <si>
    <t>GENERAL COUNSEL</t>
  </si>
  <si>
    <t>Foster</t>
  </si>
  <si>
    <t>Immigration Case Manager</t>
  </si>
  <si>
    <t>3039 Cornwallis Road</t>
  </si>
  <si>
    <t>Ashley.Foster@ibm.com</t>
  </si>
  <si>
    <t>North Wales</t>
  </si>
  <si>
    <t>Securities, Commodities, and Financial Services Sales Agents</t>
  </si>
  <si>
    <t>AllianceBernstein L.P.</t>
  </si>
  <si>
    <t>1345 Avenue of the Americas</t>
  </si>
  <si>
    <t>O’Brien</t>
  </si>
  <si>
    <t>Erica</t>
  </si>
  <si>
    <t>One Nashville Place, 150 4th Ave N</t>
  </si>
  <si>
    <t>erica.obrien@AllianceBernstein.com</t>
  </si>
  <si>
    <t>C.E.O.</t>
  </si>
  <si>
    <t>101 Wood Avenue South</t>
  </si>
  <si>
    <t>Srinivasan / Fernando</t>
  </si>
  <si>
    <t>Hariharan / Caroline</t>
  </si>
  <si>
    <t>Senior VP, Human Resources/Deputy Manager-HR(North America)</t>
  </si>
  <si>
    <t>Logic Planet, Inc.</t>
  </si>
  <si>
    <t>4525 Route 27</t>
  </si>
  <si>
    <t>Pakalapati</t>
  </si>
  <si>
    <t>Sudhir</t>
  </si>
  <si>
    <t>emailimmigration@logicplanet.com</t>
  </si>
  <si>
    <t xml:space="preserve">103 MORGAN LANE                    </t>
  </si>
  <si>
    <t>PIERCE</t>
  </si>
  <si>
    <t>1741 Technology Dr</t>
  </si>
  <si>
    <t>DEVARAPALLI</t>
  </si>
  <si>
    <t>DHARMA</t>
  </si>
  <si>
    <t>IMMIGRATION@GLOBALLOGIC.COM</t>
  </si>
  <si>
    <t>EVEREST CONSULTING GROUP INC.</t>
  </si>
  <si>
    <t>3840 PARK AVE.</t>
  </si>
  <si>
    <t>Clarksburg</t>
  </si>
  <si>
    <t>12000 Sunrise Valley Dr</t>
  </si>
  <si>
    <t>Discover Products Inc.</t>
  </si>
  <si>
    <t>I-200-20268-844676</t>
  </si>
  <si>
    <t>DISH Network L.L.C.</t>
  </si>
  <si>
    <t xml:space="preserve">9601 S. Meridian Blvd. </t>
  </si>
  <si>
    <t>Amy Kristine</t>
  </si>
  <si>
    <t>HR Compliance Manager</t>
  </si>
  <si>
    <t>amykristine.miller@dish.com</t>
  </si>
  <si>
    <t>malena.gomez-flores@jacksonlewis.com</t>
  </si>
  <si>
    <t>ccastillo@balglobal.com</t>
  </si>
  <si>
    <t>Genentech, Inc.</t>
  </si>
  <si>
    <t>1 DNA Way, MS#313A</t>
  </si>
  <si>
    <t>Mohan</t>
  </si>
  <si>
    <t>Kate</t>
  </si>
  <si>
    <t>1585 Broadway</t>
  </si>
  <si>
    <t>Dale</t>
  </si>
  <si>
    <t>740 W. Peachtree St NW</t>
  </si>
  <si>
    <t>Geospatial Information Scientists and Technologists</t>
  </si>
  <si>
    <t>VARIYAS GLOBAL SOLUTIONS INC</t>
  </si>
  <si>
    <t>5850 WATERLOO RD</t>
  </si>
  <si>
    <t>Mandadi</t>
  </si>
  <si>
    <t>Bharath</t>
  </si>
  <si>
    <t>bharath.m@variyasinc.com</t>
  </si>
  <si>
    <t>Jacobs Engineering Group Inc.</t>
  </si>
  <si>
    <t>5995 Rogerdale Road</t>
  </si>
  <si>
    <t>Miriam</t>
  </si>
  <si>
    <t>US Immigration Specialist</t>
  </si>
  <si>
    <t>GlobalMobilityUSImmigration@jacobs.com</t>
  </si>
  <si>
    <t>Kane</t>
  </si>
  <si>
    <t>christine.m.kane@jpmorgan.com</t>
  </si>
  <si>
    <t>teamayu@balglobal.com</t>
  </si>
  <si>
    <t>Vasu</t>
  </si>
  <si>
    <t>7373 Gateway Blvd.</t>
  </si>
  <si>
    <t>Gupta</t>
  </si>
  <si>
    <t>VISTA APPLIED SOLUTIONS GROUP INC</t>
  </si>
  <si>
    <t>459 HERNDON PARKWAY</t>
  </si>
  <si>
    <t>GOURNENI</t>
  </si>
  <si>
    <t>PRADEEP</t>
  </si>
  <si>
    <t>hr@vasginc.com</t>
  </si>
  <si>
    <t>EAST HARTFORD</t>
  </si>
  <si>
    <t>Navin</t>
  </si>
  <si>
    <t>7th Floor</t>
  </si>
  <si>
    <t>Lori</t>
  </si>
  <si>
    <t>Doug</t>
  </si>
  <si>
    <t>405 Howard Street</t>
  </si>
  <si>
    <t>King of Prussia</t>
  </si>
  <si>
    <t>US MBD/TRS – Mercer/Gartner IT Survey</t>
  </si>
  <si>
    <t>Craig</t>
  </si>
  <si>
    <t>13200 WOODLAND PARK DRIVE</t>
  </si>
  <si>
    <t>ELAINE</t>
  </si>
  <si>
    <t>4460, Hacienda Drive</t>
  </si>
  <si>
    <t>CDK Global, LLC</t>
  </si>
  <si>
    <t>Trum-Yakimenko</t>
  </si>
  <si>
    <t>yulia.trum-yakimenko@cdk.com</t>
  </si>
  <si>
    <t>MARIETTA</t>
  </si>
  <si>
    <t>Shoreview</t>
  </si>
  <si>
    <t xml:space="preserve">BIOGEN, INC. </t>
  </si>
  <si>
    <t>225 BINNEY STREET, BUILDING 1</t>
  </si>
  <si>
    <t>RAMOS/DUNNE</t>
  </si>
  <si>
    <t>CASSIE/ALISSA</t>
  </si>
  <si>
    <t>HR, IMMIGRATION SPECIALIST</t>
  </si>
  <si>
    <t>DL-IMMIGRATION@BIOGEN.COM</t>
  </si>
  <si>
    <t>amami@fragomen.com</t>
  </si>
  <si>
    <t>1100 Alderman Drive</t>
  </si>
  <si>
    <t>Ozegovic</t>
  </si>
  <si>
    <t>Adi</t>
  </si>
  <si>
    <t>Immigration Compliance Specialist</t>
  </si>
  <si>
    <t>adi.ozegovic@relx.com</t>
  </si>
  <si>
    <t>The University of Alabama at Birmingham</t>
  </si>
  <si>
    <t>701 20th Street South</t>
  </si>
  <si>
    <t>Birmingham</t>
  </si>
  <si>
    <t>Alesia</t>
  </si>
  <si>
    <t>amnixon@uab.edu</t>
  </si>
  <si>
    <t>Slalom, LLC</t>
  </si>
  <si>
    <t>821 2nd Avenue</t>
  </si>
  <si>
    <t>Immigration Analyst</t>
  </si>
  <si>
    <t>White Plains</t>
  </si>
  <si>
    <t>ALTAIR PRODUCTDESIGN, INC.</t>
  </si>
  <si>
    <t>1820 E. BIG BEAVER ROAD</t>
  </si>
  <si>
    <t>VP Human Resources</t>
  </si>
  <si>
    <t>immigration@altair.com</t>
  </si>
  <si>
    <t>jenniferg@murthy.com</t>
  </si>
  <si>
    <t>zsharafi-roumi@fragomen.com</t>
  </si>
  <si>
    <t>I-200-20268-844860</t>
  </si>
  <si>
    <t>(aka *1601 Willow Road)</t>
  </si>
  <si>
    <t>1400 Morris Drive</t>
  </si>
  <si>
    <t>Kathleen</t>
  </si>
  <si>
    <t>Epidemiologists</t>
  </si>
  <si>
    <t>PREMIER HEALTHCARE SOLUTIONS, INC.</t>
  </si>
  <si>
    <t>13034 BALLANTYNE CORPORATE PLACE</t>
  </si>
  <si>
    <t>DIRECTOR, EMPLOYEE RELATIONS</t>
  </si>
  <si>
    <t>Angela_Harris@Premierinc.com</t>
  </si>
  <si>
    <t>13034 Ballantyne Corporate Place</t>
  </si>
  <si>
    <t>LBurton@foxrothschild.com</t>
  </si>
  <si>
    <t>I-200-20268-843099</t>
  </si>
  <si>
    <t>5801, North Pima Road</t>
  </si>
  <si>
    <t>Manchester</t>
  </si>
  <si>
    <t>ahendrix@seyfarth.com</t>
  </si>
  <si>
    <t>I-200-20268-844539</t>
  </si>
  <si>
    <t>8975 SW Sweek Dr</t>
  </si>
  <si>
    <t>Apt 325</t>
  </si>
  <si>
    <t>Tualatin</t>
  </si>
  <si>
    <t>Natick</t>
  </si>
  <si>
    <t>NATICK</t>
  </si>
  <si>
    <t>TRUSTEES OF THE UNIVERSITY OF PENNSYLVANIA</t>
  </si>
  <si>
    <t>3701 CHESTNUT STREET</t>
  </si>
  <si>
    <t>Change Healthcare Technologies, LLC</t>
  </si>
  <si>
    <t>5995 Windward Parkway</t>
  </si>
  <si>
    <t>Harris</t>
  </si>
  <si>
    <t>Leslie</t>
  </si>
  <si>
    <t>Speech-Language Pathologists</t>
  </si>
  <si>
    <t>Actuaries</t>
  </si>
  <si>
    <t>CEDAR RAPIDS</t>
  </si>
  <si>
    <t>Santa Barbara</t>
  </si>
  <si>
    <t>Kayleen</t>
  </si>
  <si>
    <t>kayleen@ucsb.edu</t>
  </si>
  <si>
    <t>Transportation Planners</t>
  </si>
  <si>
    <t>Bachhuber</t>
  </si>
  <si>
    <t xml:space="preserve">Gabriele </t>
  </si>
  <si>
    <t>K.</t>
  </si>
  <si>
    <t>Global Immigration Specialist, HR Services</t>
  </si>
  <si>
    <t xml:space="preserve">1201 S. 2nd Street </t>
  </si>
  <si>
    <t>gkbachhu@ra.rockwell.com</t>
  </si>
  <si>
    <t>BI LABS INC</t>
  </si>
  <si>
    <t>517 ROUTE 1 S</t>
  </si>
  <si>
    <t>SHAIKH</t>
  </si>
  <si>
    <t>TASNEEM</t>
  </si>
  <si>
    <t>HR@BILABSINC.COM</t>
  </si>
  <si>
    <t>I-200-20268-844837</t>
  </si>
  <si>
    <t>Atieva USA, Inc.</t>
  </si>
  <si>
    <t>Coleman</t>
  </si>
  <si>
    <t xml:space="preserve">Lindsey </t>
  </si>
  <si>
    <t>Program Manager, Immigration &amp; Relocation</t>
  </si>
  <si>
    <t>7373 Gateway Blvd</t>
  </si>
  <si>
    <t>LindseyColeman@lucidmotors.com</t>
  </si>
  <si>
    <t xml:space="preserve">7373 Gateway Blvd. </t>
  </si>
  <si>
    <t>kimberley.mei@tsmimmigration.com</t>
  </si>
  <si>
    <t>Joanne</t>
  </si>
  <si>
    <t>Fidelity Technology Group, LLC</t>
  </si>
  <si>
    <t>2 Contra Way</t>
  </si>
  <si>
    <t>Merrimack</t>
  </si>
  <si>
    <t>Fleming</t>
  </si>
  <si>
    <t>Tara</t>
  </si>
  <si>
    <t>mabel.vargas@ogletreedeakins.com</t>
  </si>
  <si>
    <t>mstump@usvisagroup.com</t>
  </si>
  <si>
    <t>Economics Teachers, Postsecondary</t>
  </si>
  <si>
    <t>Whippany</t>
  </si>
  <si>
    <t>12405 POWERSCOURT DR</t>
  </si>
  <si>
    <t>ST. LOUIS</t>
  </si>
  <si>
    <t>4050 Regent Blvd</t>
  </si>
  <si>
    <t>Ingram Micro Inc.</t>
  </si>
  <si>
    <t>3351 Michelson Drive</t>
  </si>
  <si>
    <t>Merino</t>
  </si>
  <si>
    <t xml:space="preserve">Cristina </t>
  </si>
  <si>
    <t>3351 Michelson Dr #100</t>
  </si>
  <si>
    <t>Margot.Wetzel@ingrammicro.com</t>
  </si>
  <si>
    <t>Sean</t>
  </si>
  <si>
    <t>MSRCOSMOS LLC</t>
  </si>
  <si>
    <t>5250 CLAREMONT AVENUE</t>
  </si>
  <si>
    <t>STOCKTON</t>
  </si>
  <si>
    <t>MCGRAW</t>
  </si>
  <si>
    <t>TIFFANY</t>
  </si>
  <si>
    <t>BUSINESS OFFICE MANAGER</t>
  </si>
  <si>
    <t>IMMIGRATION@MSRCOSMOS.COM</t>
  </si>
  <si>
    <t>379 THORNALL STREET</t>
  </si>
  <si>
    <t>THOTA</t>
  </si>
  <si>
    <t>Mavenir Systems, Inc.</t>
  </si>
  <si>
    <t>1700 International Parkway</t>
  </si>
  <si>
    <t>Voigt</t>
  </si>
  <si>
    <t>Michel</t>
  </si>
  <si>
    <t>Senior Vice President and Chief Human Resources Officer</t>
  </si>
  <si>
    <t>globalmobility@mavenir.com</t>
  </si>
  <si>
    <t>SUITE 200</t>
  </si>
  <si>
    <t>199 Fremont Street</t>
  </si>
  <si>
    <t>14th Floor</t>
  </si>
  <si>
    <t>KANAP SYSTEMS LLC</t>
  </si>
  <si>
    <t>130 MAIN STREET</t>
  </si>
  <si>
    <t>Salem</t>
  </si>
  <si>
    <t>PENDURTHI</t>
  </si>
  <si>
    <t>KANAPH1S@KANAPSYSTEMS.COM</t>
  </si>
  <si>
    <t xml:space="preserve">Cambridge </t>
  </si>
  <si>
    <t>Lone Tree</t>
  </si>
  <si>
    <t>Director - Operations</t>
  </si>
  <si>
    <t>New Providence</t>
  </si>
  <si>
    <t>320 WESTLAKE AVENUE N</t>
  </si>
  <si>
    <t>COPPELL</t>
  </si>
  <si>
    <t>Coppell</t>
  </si>
  <si>
    <t>Mercer Human Resource Consulting Inc., Louisville, KY</t>
  </si>
  <si>
    <t>princy@princylaw.com</t>
  </si>
  <si>
    <t>Attorney</t>
  </si>
  <si>
    <t>Mahwah</t>
  </si>
  <si>
    <t>CASEUPDATES@UST-GLOBAL.COM</t>
  </si>
  <si>
    <t>LYFT, INC.</t>
  </si>
  <si>
    <t>185 Berry Street</t>
  </si>
  <si>
    <t>Adrias</t>
  </si>
  <si>
    <t>Global Mobility and Immigration Specialist</t>
  </si>
  <si>
    <t>immigration@lyft.com</t>
  </si>
  <si>
    <t>Suite 5000</t>
  </si>
  <si>
    <t>700 Hidden Ridge</t>
  </si>
  <si>
    <t>I-200-20268-843216</t>
  </si>
  <si>
    <t>KENSINGTON INFORMATION GROUP, INC.</t>
  </si>
  <si>
    <t>POTINI</t>
  </si>
  <si>
    <t>SNEHA</t>
  </si>
  <si>
    <t>HUMAN RESOURCE</t>
  </si>
  <si>
    <t>HR@KIG-CORP.COM</t>
  </si>
  <si>
    <t>5411 PAGE ROAD</t>
  </si>
  <si>
    <t>HAMPDEN</t>
  </si>
  <si>
    <t>Bharathi</t>
  </si>
  <si>
    <t>Srinivasan</t>
  </si>
  <si>
    <t>1640 Dallas Pkwy</t>
  </si>
  <si>
    <t>One Tower Square</t>
  </si>
  <si>
    <t>SAN BERNARDINO</t>
  </si>
  <si>
    <t>WAYFAIR LLC</t>
  </si>
  <si>
    <t>100 Huntington Avenue</t>
  </si>
  <si>
    <t>Ruehlman</t>
  </si>
  <si>
    <t>100 HUNTINGTON AVENUE</t>
  </si>
  <si>
    <t>usimmigration@wayfair.com</t>
  </si>
  <si>
    <t>4 Copley Place</t>
  </si>
  <si>
    <t>Newton</t>
  </si>
  <si>
    <t>Mathematicians</t>
  </si>
  <si>
    <t>State Street Bank and Trust Company</t>
  </si>
  <si>
    <t>1 Lincoln Street</t>
  </si>
  <si>
    <t>Mayo</t>
  </si>
  <si>
    <t>Assistant Vice President, Global Mobility</t>
  </si>
  <si>
    <t>nmmayo@statestreet.com</t>
  </si>
  <si>
    <t>1776 Heritage Drive</t>
  </si>
  <si>
    <t>North Quincy</t>
  </si>
  <si>
    <t>Charles Schwab and Company, Inc.</t>
  </si>
  <si>
    <t>9800 Schwab Way</t>
  </si>
  <si>
    <t>Saul</t>
  </si>
  <si>
    <t>Brendon</t>
  </si>
  <si>
    <t>Sr. Team Manager, HR Operations</t>
  </si>
  <si>
    <t>ImmigrationAdministrator@schwab.com</t>
  </si>
  <si>
    <t>immigrationspecialist@fragomen.com</t>
  </si>
  <si>
    <t>Milford</t>
  </si>
  <si>
    <t>333 BOREN AVENUE N.</t>
  </si>
  <si>
    <t>Carol</t>
  </si>
  <si>
    <t>Lynnwood</t>
  </si>
  <si>
    <t>ITG Technologies Inc</t>
  </si>
  <si>
    <t>10998 Wilcrest Dr</t>
  </si>
  <si>
    <t>METTU</t>
  </si>
  <si>
    <t>Surekha</t>
  </si>
  <si>
    <t>smettu@ITGTechnologies.com</t>
  </si>
  <si>
    <t>Brighton</t>
  </si>
  <si>
    <t>4800 Deerwood Campus Pkwy</t>
  </si>
  <si>
    <t>RESEARCH FOUNDATION OF CUNY</t>
  </si>
  <si>
    <t>230 WEST 41ST STREET</t>
  </si>
  <si>
    <t>DONOGHUE</t>
  </si>
  <si>
    <t>VICTORIA</t>
  </si>
  <si>
    <t>ASSOCIATE DIRECTOR, EMPLOYMENT &amp; LABOR RELATIONS</t>
  </si>
  <si>
    <t>VICTORIA_DONOGHUE@RFCUNY.ORG</t>
  </si>
  <si>
    <t>7TH FLOOR</t>
  </si>
  <si>
    <t>Monroe</t>
  </si>
  <si>
    <t>XENONINFOTEK, INC.</t>
  </si>
  <si>
    <t>MISHRA</t>
  </si>
  <si>
    <t>AMITA</t>
  </si>
  <si>
    <t>HR@XENONINFOTECH.COM</t>
  </si>
  <si>
    <t xml:space="preserve"> Tempe</t>
  </si>
  <si>
    <t>HANOVER</t>
  </si>
  <si>
    <t>Global Immigration Manager</t>
  </si>
  <si>
    <t>1 Sansome Street</t>
  </si>
  <si>
    <t>40th Floor</t>
  </si>
  <si>
    <t xml:space="preserve">FedEx Corporate Services, Inc. </t>
  </si>
  <si>
    <t>50 FedEx Parkway</t>
  </si>
  <si>
    <t>sdouglas@constangy.com</t>
  </si>
  <si>
    <t>LISLE</t>
  </si>
  <si>
    <t>Satya</t>
  </si>
  <si>
    <t>I-200-20269-845012</t>
  </si>
  <si>
    <t>1111 Fannin Street</t>
  </si>
  <si>
    <t>13736 Riverport Dr.</t>
  </si>
  <si>
    <t>875 Howard Street</t>
  </si>
  <si>
    <t>I-200-20269-846516</t>
  </si>
  <si>
    <t>Technical Writers</t>
  </si>
  <si>
    <t>Prime Education LLC</t>
  </si>
  <si>
    <t>5900 North Andrews Avenue</t>
  </si>
  <si>
    <t>Goetz</t>
  </si>
  <si>
    <t>dgoetz@everydayhealthgroup.com</t>
  </si>
  <si>
    <t>jgonzales@wolfsdorf.com</t>
  </si>
  <si>
    <t>3225 Oakmead Village Drive</t>
  </si>
  <si>
    <t xml:space="preserve">Immigration Manager/ Immigration Specialist </t>
  </si>
  <si>
    <t>HR_Immigration@amat.com</t>
  </si>
  <si>
    <t>3050 Bowers Avenue</t>
  </si>
  <si>
    <t>paul.amogan@tsmimmigration.com</t>
  </si>
  <si>
    <t>Prakash</t>
  </si>
  <si>
    <t>Peachtree City</t>
  </si>
  <si>
    <t>mschaffler@visalaw.com</t>
  </si>
  <si>
    <t>3 OVERLOOK POINT</t>
  </si>
  <si>
    <t>LINCOLNSHIRE</t>
  </si>
  <si>
    <t>1111 EXPEDIA GROUP WAY W</t>
  </si>
  <si>
    <t>I-200-20268-844746</t>
  </si>
  <si>
    <t>SAPPHIRE SOFTWARE SOLUTIONS INC.</t>
  </si>
  <si>
    <t>20130 LAKEVIEW CENTER PLAZA</t>
  </si>
  <si>
    <t>MANAGER HR</t>
  </si>
  <si>
    <t>MANOJ@SAPPHIRESOFTWARESOLUTIONS.COM</t>
  </si>
  <si>
    <t>285 Peachtree Center Ave Ne</t>
  </si>
  <si>
    <t xml:space="preserve">Michael </t>
  </si>
  <si>
    <t xml:space="preserve">Vice President, Human Resources </t>
  </si>
  <si>
    <t>President and CEO</t>
  </si>
  <si>
    <t xml:space="preserve">Alpharetta </t>
  </si>
  <si>
    <t>ca_pwcimmlaw_h-1bcaplca@pwc.com</t>
  </si>
  <si>
    <t xml:space="preserve">Kommamuri </t>
  </si>
  <si>
    <t>HR Services Specialist II</t>
  </si>
  <si>
    <t>150 N College Street</t>
  </si>
  <si>
    <t>Kommamuri.Rao@Honeywell.com</t>
  </si>
  <si>
    <t>MYRAORILLAZA@FRAGOMEN.COM</t>
  </si>
  <si>
    <t>777 Washington Rd</t>
  </si>
  <si>
    <t>Parlin</t>
  </si>
  <si>
    <t>Sreerangam</t>
  </si>
  <si>
    <t>Sharath</t>
  </si>
  <si>
    <t>Jay</t>
  </si>
  <si>
    <t>St. Petersburg</t>
  </si>
  <si>
    <t>Duluth</t>
  </si>
  <si>
    <t>University of Pittsburgh</t>
  </si>
  <si>
    <t>MANAGING PARTNER</t>
  </si>
  <si>
    <t>MACY'S SYSTEMS AND TECHNOLOGY, INC.</t>
  </si>
  <si>
    <t>NORTHVILLE</t>
  </si>
  <si>
    <t>VENKAT</t>
  </si>
  <si>
    <t>Civil Engineers, R&amp;D</t>
  </si>
  <si>
    <t>mgromek@fragomen.com</t>
  </si>
  <si>
    <t>CARY</t>
  </si>
  <si>
    <t>Littleton</t>
  </si>
  <si>
    <t>L&amp;T TECHNOLOGY SERVICES LIMITED</t>
  </si>
  <si>
    <t>2035 LINCOLN HIGHWAY</t>
  </si>
  <si>
    <t>SHROFF</t>
  </si>
  <si>
    <t>NEAL</t>
  </si>
  <si>
    <t>SENIOR EXECUTIVE - IMMIGRATION</t>
  </si>
  <si>
    <t>NEAL.SHROFF@LTTS.COM</t>
  </si>
  <si>
    <t>I-200-20268-843223</t>
  </si>
  <si>
    <t>375 N Wiget Ln,</t>
  </si>
  <si>
    <t>sushma.j@infosys.com</t>
  </si>
  <si>
    <t>Diamond Bar</t>
  </si>
  <si>
    <t>BRYAN</t>
  </si>
  <si>
    <t>BRAZOS</t>
  </si>
  <si>
    <t>Senior HR Business Partner</t>
  </si>
  <si>
    <t>International Center</t>
  </si>
  <si>
    <t>Buzzi</t>
  </si>
  <si>
    <t>Ugo</t>
  </si>
  <si>
    <t>Hernan</t>
  </si>
  <si>
    <t>Immigration Adviser</t>
  </si>
  <si>
    <t>ubuzzi@umich.edu</t>
  </si>
  <si>
    <t>I-200-20269-846419</t>
  </si>
  <si>
    <t xml:space="preserve">Bell Info Solutions, LLC </t>
  </si>
  <si>
    <t>3522 Silverside Road</t>
  </si>
  <si>
    <t>TATTIKOTA</t>
  </si>
  <si>
    <t>SHAILAJA</t>
  </si>
  <si>
    <t>HR AND IMMIGRATION MANAGER</t>
  </si>
  <si>
    <t>HR@BELLINFO.NET</t>
  </si>
  <si>
    <t>18850 North 56th Street</t>
  </si>
  <si>
    <t xml:space="preserve">Phoenix </t>
  </si>
  <si>
    <t>NYU Grossman School of Medicine</t>
  </si>
  <si>
    <t>550 First Avenue</t>
  </si>
  <si>
    <t>Yukawa</t>
  </si>
  <si>
    <t>Trisha</t>
  </si>
  <si>
    <t xml:space="preserve">Director and Associate General Counsel </t>
  </si>
  <si>
    <t>One Park Avenue</t>
  </si>
  <si>
    <t>helen@eiglaw.com</t>
  </si>
  <si>
    <t>901 Main Avenue, The Towers at Merritt River</t>
  </si>
  <si>
    <t>mbarger@lawmh.com</t>
  </si>
  <si>
    <t>jenniferj@eiglaw.com</t>
  </si>
  <si>
    <t xml:space="preserve">Larsen &amp; Toubro Infotech Limited 	</t>
  </si>
  <si>
    <t>SUITE 301</t>
  </si>
  <si>
    <t>cdg@immigrationlawandvisa.com</t>
  </si>
  <si>
    <t>alex.johnson@ogletreedeakins.com</t>
  </si>
  <si>
    <t>Oklahoma State University</t>
  </si>
  <si>
    <t>Stillwater</t>
  </si>
  <si>
    <t>PAYNE</t>
  </si>
  <si>
    <t>WOOD</t>
  </si>
  <si>
    <t>NOT APPLICABLE</t>
  </si>
  <si>
    <t>Chang</t>
  </si>
  <si>
    <t xml:space="preserve">Jennifer </t>
  </si>
  <si>
    <t>907 Pleasant Valley Avenue</t>
  </si>
  <si>
    <t>Keith</t>
  </si>
  <si>
    <t>jgayeski@proskauer.com</t>
  </si>
  <si>
    <t>325 9TH AVE N.</t>
  </si>
  <si>
    <t>SUITE 500</t>
  </si>
  <si>
    <t>Carlos</t>
  </si>
  <si>
    <t>Northbrook</t>
  </si>
  <si>
    <t>Human Resources Business Partner</t>
  </si>
  <si>
    <t>Dennis</t>
  </si>
  <si>
    <t>People Operations Analyst</t>
  </si>
  <si>
    <t xml:space="preserve">Tabner, Inc. </t>
  </si>
  <si>
    <t>11020 David Taylor Drive</t>
  </si>
  <si>
    <t>Kovvali</t>
  </si>
  <si>
    <t>Venkata Sirisha</t>
  </si>
  <si>
    <t>mohan.kovvali@tabnerglobal.com</t>
  </si>
  <si>
    <t>5222 AMERIPRISE FINANCIAL CENTER</t>
  </si>
  <si>
    <t>MINNEAPOLIS</t>
  </si>
  <si>
    <t>GRESS SPRINGER</t>
  </si>
  <si>
    <t>CATHY</t>
  </si>
  <si>
    <t>SENIOR MANAGER, LEGAL AFFAIRS</t>
  </si>
  <si>
    <t>CATHY.GRESS.SPRINGER@AMPF.COM</t>
  </si>
  <si>
    <t>620 Liberty Avenue</t>
  </si>
  <si>
    <t>I-200-20268-844230</t>
  </si>
  <si>
    <t>BELL INFO SOLUTIONS, LLC</t>
  </si>
  <si>
    <t xml:space="preserve">6201 15th Avenue </t>
  </si>
  <si>
    <t>Lawrence</t>
  </si>
  <si>
    <t>plimaco@grahamadair.com</t>
  </si>
  <si>
    <t>Mclean</t>
  </si>
  <si>
    <t>I-200-20268-844186</t>
  </si>
  <si>
    <t>Rehab Specialists California, LLC</t>
  </si>
  <si>
    <t>4560 SE International Way</t>
  </si>
  <si>
    <t>Milwaukie</t>
  </si>
  <si>
    <t>Edeline</t>
  </si>
  <si>
    <t xml:space="preserve">4560 SE International Way </t>
  </si>
  <si>
    <t>smedeline@consonushealth.com</t>
  </si>
  <si>
    <t>800 E 5th St</t>
  </si>
  <si>
    <t>Ontario</t>
  </si>
  <si>
    <t>15060 Capital One Drive</t>
  </si>
  <si>
    <t>STAMFORD</t>
  </si>
  <si>
    <t>Northwestern Mutual Life Insurance Company</t>
  </si>
  <si>
    <t>720 East Wisconsin Avenue</t>
  </si>
  <si>
    <t>Thompson</t>
  </si>
  <si>
    <t xml:space="preserve">720 East Wisconsin Avenue </t>
  </si>
  <si>
    <t>marisafrahm@northwesternmutual.com</t>
  </si>
  <si>
    <t>I-200-20268-843046</t>
  </si>
  <si>
    <t>1918 8TH AVENUE</t>
  </si>
  <si>
    <t>10TH FLOOR</t>
  </si>
  <si>
    <t>620 Liberty Ave</t>
  </si>
  <si>
    <t>2151 E. Grand Avenue</t>
  </si>
  <si>
    <t>Watkins</t>
  </si>
  <si>
    <t>Jeanne</t>
  </si>
  <si>
    <t>Senior Manager, Human Resources</t>
  </si>
  <si>
    <t>28 Millbury Street</t>
  </si>
  <si>
    <t>Jeanne.Watkins@karlstorz.com</t>
  </si>
  <si>
    <t>Elsie@sggimmigration.com</t>
  </si>
  <si>
    <t>Hilton Domestic Operating Company, Inc.</t>
  </si>
  <si>
    <t>7930 Jones Branch Drive</t>
  </si>
  <si>
    <t>Keye</t>
  </si>
  <si>
    <t>Senior Director, Team Member Relations</t>
  </si>
  <si>
    <t>Stephanie.Keye@Hilton.com</t>
  </si>
  <si>
    <t>I-200-20269-845961</t>
  </si>
  <si>
    <t>Optum Services, Inc.</t>
  </si>
  <si>
    <t>11000 Optum Circle</t>
  </si>
  <si>
    <t>asnedden@balglobal.com</t>
  </si>
  <si>
    <t>Sandy</t>
  </si>
  <si>
    <t>Truesdell</t>
  </si>
  <si>
    <t>Janith</t>
  </si>
  <si>
    <t>Expat Advisor</t>
  </si>
  <si>
    <t>janith.truesdell@shell.com</t>
  </si>
  <si>
    <t>hassan.tahir@pwc.com</t>
  </si>
  <si>
    <t>SAPIENT CORPORATION</t>
  </si>
  <si>
    <t>40 WATER STREET</t>
  </si>
  <si>
    <t>PELLETIER</t>
  </si>
  <si>
    <t>JANELLE</t>
  </si>
  <si>
    <t>AUTHORIZED SIGNATORY</t>
  </si>
  <si>
    <t>JANELLE.PELLETIER@LIONRESOURCES.COM</t>
  </si>
  <si>
    <t>Suite 108</t>
  </si>
  <si>
    <t>6855 Pacific St</t>
  </si>
  <si>
    <t xml:space="preserve">San Diego </t>
  </si>
  <si>
    <t>I-200-20268-844442</t>
  </si>
  <si>
    <t>TEXAS A&amp;M UNIVERSITY</t>
  </si>
  <si>
    <t>1158 TAMU</t>
  </si>
  <si>
    <t>POPE</t>
  </si>
  <si>
    <t>ERIN</t>
  </si>
  <si>
    <t>ASSISTANT DIRECTOR</t>
  </si>
  <si>
    <t>EPOPE@TAMU.EDU</t>
  </si>
  <si>
    <t>4242  TAMU</t>
  </si>
  <si>
    <t>11501 ALTERRA PARKWAY</t>
  </si>
  <si>
    <t>5051 WESTHEIMER ROAD, SUITE 1800</t>
  </si>
  <si>
    <t>West Des Moines</t>
  </si>
  <si>
    <t>Ahmed</t>
  </si>
  <si>
    <t>33 S 6th Street</t>
  </si>
  <si>
    <t>davidw.johnson@target.com</t>
  </si>
  <si>
    <t>33 South 6th St</t>
  </si>
  <si>
    <t>Devon</t>
  </si>
  <si>
    <t>KENT</t>
  </si>
  <si>
    <t>LENDINGCLUB CORPORATION</t>
  </si>
  <si>
    <t>595 MARKET STREET</t>
  </si>
  <si>
    <t>Susanne</t>
  </si>
  <si>
    <t>Vice President, Benefits &amp; People Operations</t>
  </si>
  <si>
    <t>595 Market Street</t>
  </si>
  <si>
    <t>sharris@lendingclub.com</t>
  </si>
  <si>
    <t>71 STEVENSON STREET, SUITE 1000</t>
  </si>
  <si>
    <t>1 Express Way</t>
  </si>
  <si>
    <t>100 Parsons Pond Drive</t>
  </si>
  <si>
    <t>I-200-20269-846454</t>
  </si>
  <si>
    <t>Veterinarians</t>
  </si>
  <si>
    <t>1809 South Riverside Drive</t>
  </si>
  <si>
    <t>Lloyd Veterinary Medical Center</t>
  </si>
  <si>
    <t>jsalviati@meltzerhellrung.com</t>
  </si>
  <si>
    <t>Memphis</t>
  </si>
  <si>
    <t>Petty</t>
  </si>
  <si>
    <t>ZS Associates, Inc.</t>
  </si>
  <si>
    <t>One Rotary Center</t>
  </si>
  <si>
    <t>Reed</t>
  </si>
  <si>
    <t>Human Resources Manager - Mobility</t>
  </si>
  <si>
    <t>Sarah.Reed@zs.com</t>
  </si>
  <si>
    <t>landerson@seyfarth.com</t>
  </si>
  <si>
    <t>Olson</t>
  </si>
  <si>
    <t>Lucas</t>
  </si>
  <si>
    <t>9500 Gilman Drive</t>
  </si>
  <si>
    <t>luolson@ucsd.edu</t>
  </si>
  <si>
    <t>Mental Health and Substance Abuse Social Workers</t>
  </si>
  <si>
    <t>101 HUDSON STREET</t>
  </si>
  <si>
    <t>101 Hudson Street</t>
  </si>
  <si>
    <t>Suite 101</t>
  </si>
  <si>
    <t>1251 Avenue of the Americas</t>
  </si>
  <si>
    <t>People Operations Manager</t>
  </si>
  <si>
    <t>dhorne@jackson-hertogs.com</t>
  </si>
  <si>
    <t>McKesson Corporation</t>
  </si>
  <si>
    <t>6555 State Hwy 161</t>
  </si>
  <si>
    <t>I-200-20269-846695</t>
  </si>
  <si>
    <t>DAIMLER TRUCKS NORTH AMERICA LLC</t>
  </si>
  <si>
    <t>4555 N. CHANNEL AVE.</t>
  </si>
  <si>
    <t>KLECKER</t>
  </si>
  <si>
    <t>SUPPORT SPECIALIST, LEGAL &amp; IMMIGRATION</t>
  </si>
  <si>
    <t xml:space="preserve">4555 N. CHANNEL AVE. </t>
  </si>
  <si>
    <t xml:space="preserve">PORTLAND </t>
  </si>
  <si>
    <t>KIMBERLY.KLECKER@DAIMLER.COM</t>
  </si>
  <si>
    <t>601 Townsend Street</t>
  </si>
  <si>
    <t>1101 Dexter Ave N</t>
  </si>
  <si>
    <t>Harrison</t>
  </si>
  <si>
    <t>Eagan</t>
  </si>
  <si>
    <t>Manager – Immigration and Relocation</t>
  </si>
  <si>
    <t>I-200-20269-846429</t>
  </si>
  <si>
    <t>RJT Compuquest Inc.</t>
  </si>
  <si>
    <t>222 N. Pacific Coast Hwy.</t>
  </si>
  <si>
    <t>Trutanich</t>
  </si>
  <si>
    <t>Suzanne.Trutanich@apolisrises.com</t>
  </si>
  <si>
    <t>10001 Pacific Heights Blvd.</t>
  </si>
  <si>
    <t>I-200-20269-846580</t>
  </si>
  <si>
    <t>CIBERGATE, INC.</t>
  </si>
  <si>
    <t>4249 US HIGHWAY 9 SUITE # 2E-2F</t>
  </si>
  <si>
    <t>FREEHOLD</t>
  </si>
  <si>
    <t>PRAKASH</t>
  </si>
  <si>
    <t>ARVIND</t>
  </si>
  <si>
    <t>HR@ITFSINC.COM</t>
  </si>
  <si>
    <t>1 CVS Dr</t>
  </si>
  <si>
    <t>508 Carnegie Center</t>
  </si>
  <si>
    <t>Dietrich 2020 Spring Engineering Salary Survey</t>
  </si>
  <si>
    <t>1800 Arch Street</t>
  </si>
  <si>
    <t>Gregg</t>
  </si>
  <si>
    <t xml:space="preserve">388 Greenwich Street, 17th Fl. </t>
  </si>
  <si>
    <t>6400 Las Colinas Boulevard</t>
  </si>
  <si>
    <t>UNIONDALE</t>
  </si>
  <si>
    <t>I-200-20269-846367</t>
  </si>
  <si>
    <t>Raj</t>
  </si>
  <si>
    <t>20225 Bothell Everett Hwy</t>
  </si>
  <si>
    <t>Apt-2131</t>
  </si>
  <si>
    <t>STRAFFORD</t>
  </si>
  <si>
    <t>VASPIRE TECHNOLOGIES, INC.</t>
  </si>
  <si>
    <t>281 SUMMERHILL ROAD</t>
  </si>
  <si>
    <t>SANJEEV</t>
  </si>
  <si>
    <t>SANJEEV@VASPIRETECH.COM</t>
  </si>
  <si>
    <t>IBM Corporation</t>
  </si>
  <si>
    <t>Senior Immigration Case Manager</t>
  </si>
  <si>
    <t>80 Livingston Avenue</t>
  </si>
  <si>
    <t>Kanhaiyalal@employmentimmigration.com</t>
  </si>
  <si>
    <t>legal@servsys.com</t>
  </si>
  <si>
    <t>BANDI</t>
  </si>
  <si>
    <t>DHANAM@usimmigrationesq.com</t>
  </si>
  <si>
    <t>REI Systems Inc.</t>
  </si>
  <si>
    <t>45335 Vintage Park Plaza</t>
  </si>
  <si>
    <t>Chaboudy</t>
  </si>
  <si>
    <t>Senior Director</t>
  </si>
  <si>
    <t>lchaboudy@reisystems.com</t>
  </si>
  <si>
    <t>225 Bush Street</t>
  </si>
  <si>
    <t>11445 Compaq Center W Dr</t>
  </si>
  <si>
    <t>Cranbury</t>
  </si>
  <si>
    <t>Cerebral Technologies, Inc.</t>
  </si>
  <si>
    <t xml:space="preserve">400  E Royal Lane </t>
  </si>
  <si>
    <t>Paruchuri</t>
  </si>
  <si>
    <t>Venkat Kiran Kumar</t>
  </si>
  <si>
    <t>400 E. Royal Lane</t>
  </si>
  <si>
    <t>hr@cblsolutions.com</t>
  </si>
  <si>
    <t>WALTHAM CITY</t>
  </si>
  <si>
    <t>2035 Lincoln Hwy, Edison Square West</t>
  </si>
  <si>
    <t>Senior Manager - Immigration</t>
  </si>
  <si>
    <t>Vikram.Mehta@lntinfotech.com</t>
  </si>
  <si>
    <t>Raghuraman.Venugopalan@lntinfotech.com</t>
  </si>
  <si>
    <t>UChicago Argonne, LLC</t>
  </si>
  <si>
    <t>9700 South Cass Avenue</t>
  </si>
  <si>
    <t>Lemont</t>
  </si>
  <si>
    <t>Manolache</t>
  </si>
  <si>
    <t>Gabriella</t>
  </si>
  <si>
    <t>gmanolache@anl.gov</t>
  </si>
  <si>
    <t>I-200-20268-844613</t>
  </si>
  <si>
    <t xml:space="preserve">American Multi-Cinema, Inc. </t>
  </si>
  <si>
    <t xml:space="preserve">11500 Ash St. </t>
  </si>
  <si>
    <t>Leawood</t>
  </si>
  <si>
    <t>SCHEMENAUER</t>
  </si>
  <si>
    <t>W.</t>
  </si>
  <si>
    <t xml:space="preserve">Vice President, Legal </t>
  </si>
  <si>
    <t xml:space="preserve">11550 Ash Street </t>
  </si>
  <si>
    <t>kschemenauer@amctheatres.com</t>
  </si>
  <si>
    <t>One AMC Way, 11500 Ash St.</t>
  </si>
  <si>
    <t xml:space="preserve">Leawood </t>
  </si>
  <si>
    <t>Suite 450</t>
  </si>
  <si>
    <t>Anna</t>
  </si>
  <si>
    <t>Arathi</t>
  </si>
  <si>
    <t>AMAZON DEVELOPMENT CENTER U.S., INC.</t>
  </si>
  <si>
    <t>DAKOTA</t>
  </si>
  <si>
    <t>Hicksville</t>
  </si>
  <si>
    <t>Andy</t>
  </si>
  <si>
    <t>Vintech Solutions Inc.</t>
  </si>
  <si>
    <t>9715 Olive Blvd</t>
  </si>
  <si>
    <t>Olivette</t>
  </si>
  <si>
    <t>Donepudi</t>
  </si>
  <si>
    <t>Jaya</t>
  </si>
  <si>
    <t>legal@vintech.com</t>
  </si>
  <si>
    <t>265 Brookview Centre Way</t>
  </si>
  <si>
    <t>Knoxville</t>
  </si>
  <si>
    <t>Rosenberg</t>
  </si>
  <si>
    <t>Authorized Signatory</t>
  </si>
  <si>
    <t>Suwanee</t>
  </si>
  <si>
    <t>Aparna</t>
  </si>
  <si>
    <t>NUMERO DATA LLC</t>
  </si>
  <si>
    <t>203 ELDEN STREET</t>
  </si>
  <si>
    <t>Sushmita</t>
  </si>
  <si>
    <t>sushmita@numerodata.com</t>
  </si>
  <si>
    <t>hema@numerodata.com</t>
  </si>
  <si>
    <t>Monrovia</t>
  </si>
  <si>
    <t>#250</t>
  </si>
  <si>
    <t>Deputy Manager - HR (North America)</t>
  </si>
  <si>
    <t>harry@shankarlaw.com</t>
  </si>
  <si>
    <t>SAN ANTONIO</t>
  </si>
  <si>
    <t>Head of Human Resources</t>
  </si>
  <si>
    <t>National Bureau of Economic Research</t>
  </si>
  <si>
    <t>1050 Massachusetts Avenue</t>
  </si>
  <si>
    <t>Milone</t>
  </si>
  <si>
    <t>Alterra</t>
  </si>
  <si>
    <t>Director, Research &amp; Grants Management</t>
  </si>
  <si>
    <t>alterra@nber.org</t>
  </si>
  <si>
    <t>Bi-Weekly</t>
  </si>
  <si>
    <t>langc@nber.org</t>
  </si>
  <si>
    <t>INTELTEK INC</t>
  </si>
  <si>
    <t>21525 RIDGETOP CIRCLE</t>
  </si>
  <si>
    <t>STERLING</t>
  </si>
  <si>
    <t>BUDHECHA</t>
  </si>
  <si>
    <t xml:space="preserve">Viral </t>
  </si>
  <si>
    <t>JITENDRABHAI</t>
  </si>
  <si>
    <t>HR@INTELTEKINC.COM</t>
  </si>
  <si>
    <t>chloem@murthy.com</t>
  </si>
  <si>
    <t>3039 Cornwallis Rd</t>
  </si>
  <si>
    <t>I-200-20269-844984</t>
  </si>
  <si>
    <t>18301 Bermuda Green Drive</t>
  </si>
  <si>
    <t>Jrizzo@proskauer.com</t>
  </si>
  <si>
    <t>401 COMMERCE STREET</t>
  </si>
  <si>
    <t>SUITE 1100</t>
  </si>
  <si>
    <t>I-200-20268-844654</t>
  </si>
  <si>
    <t>Zillow, Inc.</t>
  </si>
  <si>
    <t>1301 Second Avenue</t>
  </si>
  <si>
    <t>Immigration Program Specialist</t>
  </si>
  <si>
    <t>immigration@zillowgroup.com</t>
  </si>
  <si>
    <t>Floor 31</t>
  </si>
  <si>
    <t>Nexus IT Inc</t>
  </si>
  <si>
    <t>20130 Lakeview Center Plaza</t>
  </si>
  <si>
    <t>BEEBIREDDY</t>
  </si>
  <si>
    <t>KIRAN@NEXUSITINC.COM</t>
  </si>
  <si>
    <t>Strategic Resources International Inc</t>
  </si>
  <si>
    <t>bharath@sriusa.com</t>
  </si>
  <si>
    <t>Camp Hill</t>
  </si>
  <si>
    <t>Srinivas</t>
  </si>
  <si>
    <t>jmalik@malikpopiel.com</t>
  </si>
  <si>
    <t>Sam</t>
  </si>
  <si>
    <t>1st Floor</t>
  </si>
  <si>
    <t>Suite 1400</t>
  </si>
  <si>
    <t>Santa Cruz</t>
  </si>
  <si>
    <t>Assistant Director, International Scholar Services</t>
  </si>
  <si>
    <t xml:space="preserve">EUCLID ELEMENTZ INC </t>
  </si>
  <si>
    <t>1000 ROUTE 9 NORTH</t>
  </si>
  <si>
    <t>DEVIREDDY</t>
  </si>
  <si>
    <t>KRISHNA@EUCLIDELEMENTZ.COM</t>
  </si>
  <si>
    <t>717 NORTH HARWOOD</t>
  </si>
  <si>
    <t>SUITE # 1300</t>
  </si>
  <si>
    <t>HR@VISAKONNECT.COM</t>
  </si>
  <si>
    <t>Education Teachers, Postsecondary</t>
  </si>
  <si>
    <t xml:space="preserve">Megan Soft Inc </t>
  </si>
  <si>
    <t>Seetha</t>
  </si>
  <si>
    <t>srini@megansoft.com</t>
  </si>
  <si>
    <t>I-200-20268-843158</t>
  </si>
  <si>
    <t>702 SW 8th St</t>
  </si>
  <si>
    <t>IMVU, Inc.</t>
  </si>
  <si>
    <t>1001 Marshall Street</t>
  </si>
  <si>
    <t>Vice-President, People and Talent</t>
  </si>
  <si>
    <t>msmith@imvu.com</t>
  </si>
  <si>
    <t>City of Industry</t>
  </si>
  <si>
    <t>Pomona</t>
  </si>
  <si>
    <t xml:space="preserve">ATLANTA </t>
  </si>
  <si>
    <t>LICKING</t>
  </si>
  <si>
    <t>I-200-20268-844189</t>
  </si>
  <si>
    <t>Emory University</t>
  </si>
  <si>
    <t>201 Dowman Drive</t>
  </si>
  <si>
    <t>Knupp</t>
  </si>
  <si>
    <t>1784 North Decatur Road</t>
  </si>
  <si>
    <t>jennifer.leigh.knupp@emory.edu</t>
  </si>
  <si>
    <t>2015 Uppergate Dr</t>
  </si>
  <si>
    <t>Owner</t>
  </si>
  <si>
    <t>McLaughlin</t>
  </si>
  <si>
    <t>Ste. 100</t>
  </si>
  <si>
    <t>SCOTT</t>
  </si>
  <si>
    <t>DAKSHINI@DAKSHINISEN.COM</t>
  </si>
  <si>
    <t>Urban and Regional Planners</t>
  </si>
  <si>
    <t>I-200-20268-844277</t>
  </si>
  <si>
    <t>Asian Media Rights, LLC</t>
  </si>
  <si>
    <t>264 W 40th Street</t>
  </si>
  <si>
    <t>Tommy</t>
  </si>
  <si>
    <t>tommylee@digitalmediarights.com</t>
  </si>
  <si>
    <t>Masimo Corporation</t>
  </si>
  <si>
    <t>52 Discovery</t>
  </si>
  <si>
    <t>Delora</t>
  </si>
  <si>
    <t>Dsandoval@masimo.com</t>
  </si>
  <si>
    <t>Christian</t>
  </si>
  <si>
    <t>2121 7TH AVENUE</t>
  </si>
  <si>
    <t>I-200-20268-844501</t>
  </si>
  <si>
    <t>The Bureau of National Affairs, Inc.</t>
  </si>
  <si>
    <t>1801 South Bell Street</t>
  </si>
  <si>
    <t>Moran</t>
  </si>
  <si>
    <t>Technical Recruiting Manager</t>
  </si>
  <si>
    <t>emoran@bloomberglaw.com</t>
  </si>
  <si>
    <t>DC SHRM</t>
  </si>
  <si>
    <t>2020 National Capital Area Compensation Survey</t>
  </si>
  <si>
    <t>sanik@maggio-kattar.com</t>
  </si>
  <si>
    <t>Cheryl</t>
  </si>
  <si>
    <t>I-200-20268-843108</t>
  </si>
  <si>
    <t>3123 South Blvd, Apartment 1127</t>
  </si>
  <si>
    <t>Auburn hills</t>
  </si>
  <si>
    <t>I-200-20269-845622</t>
  </si>
  <si>
    <t>2100 Old Sylacauga Highway</t>
  </si>
  <si>
    <t>Sylacauga</t>
  </si>
  <si>
    <t>TALLADEGA</t>
  </si>
  <si>
    <t>FORT MILL</t>
  </si>
  <si>
    <t>mawhite@littler.com</t>
  </si>
  <si>
    <t>Electric Reliability Council of Texas, Inc.</t>
  </si>
  <si>
    <t>2705 West Lake Dr.</t>
  </si>
  <si>
    <t>Skrhak</t>
  </si>
  <si>
    <t>Sr HR Business Partner</t>
  </si>
  <si>
    <t>2705 West Lake Drive</t>
  </si>
  <si>
    <t>Stacy.Skrhak@ercot.com</t>
  </si>
  <si>
    <t>800 Airport Road</t>
  </si>
  <si>
    <t>One Johnson &amp; Johnson Plaza</t>
  </si>
  <si>
    <t>jkim43@its.jnj.com</t>
  </si>
  <si>
    <t>1355 Market Street</t>
  </si>
  <si>
    <t>230 N Main Street</t>
  </si>
  <si>
    <t>I-200-20268-843173</t>
  </si>
  <si>
    <t>42477 CORLINA DR.</t>
  </si>
  <si>
    <t>immigration@keshavconsulting.com</t>
  </si>
  <si>
    <t>C.E.O</t>
  </si>
  <si>
    <t>2211 North First St.</t>
  </si>
  <si>
    <t>ROUND ROCK</t>
  </si>
  <si>
    <t>PRIMUS Global Services, Inc.</t>
  </si>
  <si>
    <t>1431  Greenway Dr.</t>
  </si>
  <si>
    <t>Administration Manager</t>
  </si>
  <si>
    <t>1431 Greenway Dr.</t>
  </si>
  <si>
    <t>Amanda@primusglobal.com</t>
  </si>
  <si>
    <t>Montague</t>
  </si>
  <si>
    <t>Laura Beth</t>
  </si>
  <si>
    <t>Brown University, OISSS</t>
  </si>
  <si>
    <t>laura_beth_montague@brown.edu</t>
  </si>
  <si>
    <t>LEHIGH</t>
  </si>
  <si>
    <t>Compliance Officers</t>
  </si>
  <si>
    <t>Nelson</t>
  </si>
  <si>
    <t>SPOKANE</t>
  </si>
  <si>
    <t>145 TALMADGE ROAD</t>
  </si>
  <si>
    <t>ANDREA</t>
  </si>
  <si>
    <t>502 Carnegie Center Drive</t>
  </si>
  <si>
    <t>Poulton</t>
  </si>
  <si>
    <t>Luka</t>
  </si>
  <si>
    <t>Luka.Poulton@NIIT-Tech.com</t>
  </si>
  <si>
    <t>Building 200</t>
  </si>
  <si>
    <t>CVS PHARMACY, INC.</t>
  </si>
  <si>
    <t xml:space="preserve"> 695 George Washington Highway</t>
  </si>
  <si>
    <t>I-200-20269-846452</t>
  </si>
  <si>
    <t>Logistics Managers</t>
  </si>
  <si>
    <t>Garcia/Batenhorst/Denman/Aroda</t>
  </si>
  <si>
    <t>Enis/Jenny/Christian/Sheetal</t>
  </si>
  <si>
    <t>425 106th Ave NE</t>
  </si>
  <si>
    <t>c/o Fiserv, Inc., 255 Fiserv Drive</t>
  </si>
  <si>
    <t>Fiserv, Inc,  255 Fiserv Drive</t>
  </si>
  <si>
    <t>KEITH</t>
  </si>
  <si>
    <t>345 BOREN AVE N</t>
  </si>
  <si>
    <t>2323 ROSS AVENUE</t>
  </si>
  <si>
    <t>CHAMBERLIN</t>
  </si>
  <si>
    <t>RAYMOND</t>
  </si>
  <si>
    <t>REPRESENTATIVE</t>
  </si>
  <si>
    <t>RCHAMBERLIN@KPMG.COM</t>
  </si>
  <si>
    <t>RUCHIPATEL@FRAGOMEN.COM</t>
  </si>
  <si>
    <t>500 College Road East</t>
  </si>
  <si>
    <t xml:space="preserve">13800 Coppermine Road </t>
  </si>
  <si>
    <t>ciara@elawimmigration.com</t>
  </si>
  <si>
    <t>Robinhood Markets, Inc.</t>
  </si>
  <si>
    <t>85 Willow Road</t>
  </si>
  <si>
    <t>Jennison</t>
  </si>
  <si>
    <t>Global Mobility Partner</t>
  </si>
  <si>
    <t>immigration@robinhood.com</t>
  </si>
  <si>
    <t>BASKING RIDGE</t>
  </si>
  <si>
    <t>HILLSBORO</t>
  </si>
  <si>
    <t>SCBoston@balglobal.com</t>
  </si>
  <si>
    <t>Worcester</t>
  </si>
  <si>
    <t>Hershey</t>
  </si>
  <si>
    <t>oflores@gibney.com</t>
  </si>
  <si>
    <t>Secondary School Teachers, Except Special and Career/Technical Education</t>
  </si>
  <si>
    <t>MONROEVILLE</t>
  </si>
  <si>
    <t>Brenda</t>
  </si>
  <si>
    <t>WEST CONSHOHOCKEN</t>
  </si>
  <si>
    <t>Avila</t>
  </si>
  <si>
    <t>I-200-20268-843362</t>
  </si>
  <si>
    <t>Vizplum Corporation</t>
  </si>
  <si>
    <t xml:space="preserve">15 Corporate Pl S </t>
  </si>
  <si>
    <t>Piscataway Township</t>
  </si>
  <si>
    <t xml:space="preserve"> Wankhede</t>
  </si>
  <si>
    <t>Kavita</t>
  </si>
  <si>
    <t>HR@vizplum.com</t>
  </si>
  <si>
    <t>6401 Security Blvd</t>
  </si>
  <si>
    <t>Woodlawn</t>
  </si>
  <si>
    <t>HEMA@USIMMIGRATIONESQ.COM</t>
  </si>
  <si>
    <t>2121 8TH AVE</t>
  </si>
  <si>
    <t>Brown University</t>
  </si>
  <si>
    <t>69 Brown Street, Box 1906</t>
  </si>
  <si>
    <t>Suite 240</t>
  </si>
  <si>
    <t>380 New York Street</t>
  </si>
  <si>
    <t>Redlands</t>
  </si>
  <si>
    <t>Vinesh</t>
  </si>
  <si>
    <t>Global Mobility Coordinator</t>
  </si>
  <si>
    <t>3701 Hamlin Road</t>
  </si>
  <si>
    <t>8181 Communications Parkway</t>
  </si>
  <si>
    <t>849 International Drive</t>
  </si>
  <si>
    <t>Linthicum Heights</t>
  </si>
  <si>
    <t>OLD DOMINION UNIVERSITY</t>
  </si>
  <si>
    <t>2006 DRAGAS HALL</t>
  </si>
  <si>
    <t>LAUBACH</t>
  </si>
  <si>
    <t>ALICE</t>
  </si>
  <si>
    <t>VIRGINIA</t>
  </si>
  <si>
    <t>INTERNATIONAL STUDENT ADVISOR</t>
  </si>
  <si>
    <t>ALAUBACH@ODU.EDU</t>
  </si>
  <si>
    <t xml:space="preserve">BNY Mellon Center </t>
  </si>
  <si>
    <t>MTHOMAS@PERSHING.COM</t>
  </si>
  <si>
    <t>17th Floor</t>
  </si>
  <si>
    <t>I-200-20268-843486</t>
  </si>
  <si>
    <t>VISI Infotech Solutions, Inc.</t>
  </si>
  <si>
    <t>9901 East Valley Ranch Pkwy</t>
  </si>
  <si>
    <t>Palepu</t>
  </si>
  <si>
    <t>Viswanath</t>
  </si>
  <si>
    <t>immigration@visiinfotech.com</t>
  </si>
  <si>
    <t>525 The Union, S Meridian Street</t>
  </si>
  <si>
    <t>One New York Plaza</t>
  </si>
  <si>
    <t>Virtue Group LLC</t>
  </si>
  <si>
    <t>222 W Las Colinas Blvd</t>
  </si>
  <si>
    <t>Sallapudi</t>
  </si>
  <si>
    <t xml:space="preserve">Abishek Samuel </t>
  </si>
  <si>
    <t>dhs@virtuegroup.com</t>
  </si>
  <si>
    <t>I-200-20268-844258</t>
  </si>
  <si>
    <t>SCHRILL TECHNOLOGIES INC</t>
  </si>
  <si>
    <t>6201 BONHOMME RD</t>
  </si>
  <si>
    <t>SARIKONDA</t>
  </si>
  <si>
    <t>JANAKI</t>
  </si>
  <si>
    <t>JD@SCHRILLTECH.COM</t>
  </si>
  <si>
    <t>1 Ocean Spray Dr</t>
  </si>
  <si>
    <t>Lakeville</t>
  </si>
  <si>
    <t>mni@fragomen.com</t>
  </si>
  <si>
    <t>Hoboken</t>
  </si>
  <si>
    <t>kspeake@wolfsdorf.com</t>
  </si>
  <si>
    <t>Carnegie</t>
  </si>
  <si>
    <t>Ste. 300</t>
  </si>
  <si>
    <t>Lindsey</t>
  </si>
  <si>
    <t>Wallace</t>
  </si>
  <si>
    <t>Walsh</t>
  </si>
  <si>
    <t>Anila</t>
  </si>
  <si>
    <t>Glen Allen</t>
  </si>
  <si>
    <t>Ram</t>
  </si>
  <si>
    <t>FAIRLIFE, LLC</t>
  </si>
  <si>
    <t>1001 WEST ADAMS</t>
  </si>
  <si>
    <t>Brozewicz</t>
  </si>
  <si>
    <t>1001. W. Adams Street</t>
  </si>
  <si>
    <t>shannonb@fairlife.com</t>
  </si>
  <si>
    <t>mzarou@shumaker.com</t>
  </si>
  <si>
    <t>Ellie Mae Inc.</t>
  </si>
  <si>
    <t>4420 Rosewood Drive</t>
  </si>
  <si>
    <t>4420 Rosewood Dr</t>
  </si>
  <si>
    <t>Humana Inc.</t>
  </si>
  <si>
    <t>Starr</t>
  </si>
  <si>
    <t>Senior Counsel</t>
  </si>
  <si>
    <t>jstarr2@humana.com</t>
  </si>
  <si>
    <t>123 E Main Street</t>
  </si>
  <si>
    <t>Twitter, Inc.</t>
  </si>
  <si>
    <t>California</t>
  </si>
  <si>
    <t>Global Mobility Associate</t>
  </si>
  <si>
    <t>immigration@twitter.com</t>
  </si>
  <si>
    <t>I-200-20268-844176</t>
  </si>
  <si>
    <t>Stowers Institute for Medical Research</t>
  </si>
  <si>
    <t>1000 E. 50th Street</t>
  </si>
  <si>
    <t>Tuttle</t>
  </si>
  <si>
    <t>Coordinator of Immigration Services</t>
  </si>
  <si>
    <t>jrt@stowers.org</t>
  </si>
  <si>
    <t xml:space="preserve">1000 E. 50th Street </t>
  </si>
  <si>
    <t>Coraopolis</t>
  </si>
  <si>
    <t>501 FAIRVIEW AVENUE N</t>
  </si>
  <si>
    <t>1101 Dexter Ave N.</t>
  </si>
  <si>
    <t>Brockton</t>
  </si>
  <si>
    <t>Krishna</t>
  </si>
  <si>
    <t>Suite 840</t>
  </si>
  <si>
    <t>Margaret</t>
  </si>
  <si>
    <t>I-200-20269-845480</t>
  </si>
  <si>
    <t>Dell Marketing LP</t>
  </si>
  <si>
    <t>ONE DELL WAY</t>
  </si>
  <si>
    <t>SALGADO</t>
  </si>
  <si>
    <t>LUCIANE 6614</t>
  </si>
  <si>
    <t>ADVISOR, GLOBAL MOBILITY &amp; IMMIGRATION</t>
  </si>
  <si>
    <t>4510 W GUADALUPE ST</t>
  </si>
  <si>
    <t>APT C418</t>
  </si>
  <si>
    <t>ANABEL2.RODRIGUEZ@OGLETREEDEAKINS.COM</t>
  </si>
  <si>
    <t>515 E. Jefferson St, 1500 SAB</t>
  </si>
  <si>
    <t>GLOBAL INFOTECH INC</t>
  </si>
  <si>
    <t>120 W GOLF ROAD</t>
  </si>
  <si>
    <t>CHAWLA</t>
  </si>
  <si>
    <t>RISHAB</t>
  </si>
  <si>
    <t>TALENT ACQUISITION MANAGER</t>
  </si>
  <si>
    <t xml:space="preserve">120 W GOLF ROAD </t>
  </si>
  <si>
    <t>IMMIGRATIONS@GLOBALINFOTECHINC.NET</t>
  </si>
  <si>
    <t>ghayes@gibney.com</t>
  </si>
  <si>
    <t xml:space="preserve">Sundar </t>
  </si>
  <si>
    <t>Associate Director – Human Resources</t>
  </si>
  <si>
    <t>Burr Ridge</t>
  </si>
  <si>
    <t>Shinewell Technologies, Inc.</t>
  </si>
  <si>
    <t>22710 Haggerty Rd.</t>
  </si>
  <si>
    <t>Chen</t>
  </si>
  <si>
    <t>Chugh</t>
  </si>
  <si>
    <t>Associate HR Director, Global Human Resources</t>
  </si>
  <si>
    <t>1600 Terrell Mill Road</t>
  </si>
  <si>
    <t>Manisha.Chugh@iqvia.com</t>
  </si>
  <si>
    <t>Laurie</t>
  </si>
  <si>
    <t>BARNES</t>
  </si>
  <si>
    <t>Medtronic, Inc.</t>
  </si>
  <si>
    <t>710 Medtronic Parkway NE</t>
  </si>
  <si>
    <t>Mohawk Industries, Inc.</t>
  </si>
  <si>
    <t>160 South Industrial Boulevard</t>
  </si>
  <si>
    <t>Immigration and Relocation Program Manager</t>
  </si>
  <si>
    <t>7834 C.F. Hawn Freeway</t>
  </si>
  <si>
    <t>Sophia_Doss@mohawkind.com</t>
  </si>
  <si>
    <t>The Scotts Company LLC</t>
  </si>
  <si>
    <t>14111 Scottslawn Road</t>
  </si>
  <si>
    <t>Marysville</t>
  </si>
  <si>
    <t>Morey</t>
  </si>
  <si>
    <t>Kaitlin</t>
  </si>
  <si>
    <t>Manager, Advertising</t>
  </si>
  <si>
    <t>kaitlin.morey@scotts.com</t>
  </si>
  <si>
    <t>Geoscientists, Except Hydrologists and Geographers</t>
  </si>
  <si>
    <t>Vijay</t>
  </si>
  <si>
    <t>Sagar</t>
  </si>
  <si>
    <t>Steinel</t>
  </si>
  <si>
    <t>Senior HRS Operations Analyst</t>
  </si>
  <si>
    <t>melanie.steinel@honeywell.com</t>
  </si>
  <si>
    <t>SVeselaga@Fragomen.com</t>
  </si>
  <si>
    <t>SRINIVASAN</t>
  </si>
  <si>
    <t>Northridge</t>
  </si>
  <si>
    <t>Manager IT</t>
  </si>
  <si>
    <t>40 FedEx Parkway</t>
  </si>
  <si>
    <t>mlsmith@constangy.com</t>
  </si>
  <si>
    <t>ffamail@fleischut.com</t>
  </si>
  <si>
    <t>6400 Las Colinas Blvd.</t>
  </si>
  <si>
    <t>West Palm Beach</t>
  </si>
  <si>
    <t>vandana@vivaimmigrationinc.com</t>
  </si>
  <si>
    <t xml:space="preserve">M. </t>
  </si>
  <si>
    <t>Genzyme Corporation</t>
  </si>
  <si>
    <t>50 Binney Street</t>
  </si>
  <si>
    <t>D'Errico</t>
  </si>
  <si>
    <t>225 Second Avenue</t>
  </si>
  <si>
    <t>janet.derrico@sanofi.com</t>
  </si>
  <si>
    <t>alovelace@huntonak.com</t>
  </si>
  <si>
    <t>john.brendel@dentons.com</t>
  </si>
  <si>
    <t>Business Operations Specialists, All Other</t>
  </si>
  <si>
    <t>356 Clinton Street</t>
  </si>
  <si>
    <t xml:space="preserve">Apptio, Inc. </t>
  </si>
  <si>
    <t xml:space="preserve">11100 NE 8th Street </t>
  </si>
  <si>
    <t xml:space="preserve">Bellevue </t>
  </si>
  <si>
    <t xml:space="preserve">Waggoner </t>
  </si>
  <si>
    <t xml:space="preserve">Missy </t>
  </si>
  <si>
    <t>N.A.</t>
  </si>
  <si>
    <t>VP, People</t>
  </si>
  <si>
    <t>MWAGGONER@APPTIO.COM</t>
  </si>
  <si>
    <t>coem@fisherphillips.com</t>
  </si>
  <si>
    <t>rlbudd@mintz.com</t>
  </si>
  <si>
    <t>National Financial Services LLC</t>
  </si>
  <si>
    <t>Software Guidance &amp; Assistance, Inc.</t>
  </si>
  <si>
    <t>200 White Plains Road</t>
  </si>
  <si>
    <t>Tarrytown</t>
  </si>
  <si>
    <t>Nguyen-Fuoco</t>
  </si>
  <si>
    <t>Dong</t>
  </si>
  <si>
    <t>dongN@sgainc.com</t>
  </si>
  <si>
    <t>Debbie@aheckler.com</t>
  </si>
  <si>
    <t>50 Fremont Street</t>
  </si>
  <si>
    <t>American Family Mutual Insurance Company, S.I.</t>
  </si>
  <si>
    <t>Charlestown</t>
  </si>
  <si>
    <t>ORCHESTRA TECHNOLOGY, INC</t>
  </si>
  <si>
    <t>2425 N CENTRAL EXPRESSWAY</t>
  </si>
  <si>
    <t>Hegde</t>
  </si>
  <si>
    <t>Jairaj</t>
  </si>
  <si>
    <t xml:space="preserve">GADDE </t>
  </si>
  <si>
    <t>ITC INFOTECH (USA), INC.</t>
  </si>
  <si>
    <t>12 ROUTE 17 NORTH</t>
  </si>
  <si>
    <t>PARAMUS</t>
  </si>
  <si>
    <t>Vinuta</t>
  </si>
  <si>
    <t xml:space="preserve">Senior Director - Talent Management, Head HR </t>
  </si>
  <si>
    <t>Paramus</t>
  </si>
  <si>
    <t>Vinuta.shankar@itcinfotech.com</t>
  </si>
  <si>
    <t>Downers Grove</t>
  </si>
  <si>
    <t>Intralinks, Inc.</t>
  </si>
  <si>
    <t>404 Wyman Street</t>
  </si>
  <si>
    <t>Kentkur</t>
  </si>
  <si>
    <t>Aylin</t>
  </si>
  <si>
    <t>Senior HR Specialist, Immigration</t>
  </si>
  <si>
    <t>aykentkur@ezesoft.com</t>
  </si>
  <si>
    <t>NIKE, Inc.</t>
  </si>
  <si>
    <t xml:space="preserve">One Bowerman Dr. </t>
  </si>
  <si>
    <t>Prieto</t>
  </si>
  <si>
    <t>Global Immigration Program Manager</t>
  </si>
  <si>
    <t>talentmobility@nike.com</t>
  </si>
  <si>
    <t>One Bowerman Drive</t>
  </si>
  <si>
    <t>apradel@balglobal.com</t>
  </si>
  <si>
    <t>Suite 1850</t>
  </si>
  <si>
    <t>xhu@huimmigration.com</t>
  </si>
  <si>
    <t>The MathWorks, Inc.</t>
  </si>
  <si>
    <t>THREE APPLE HILL DRIVE</t>
  </si>
  <si>
    <t>SHERR</t>
  </si>
  <si>
    <t>MAYA</t>
  </si>
  <si>
    <t>DUTT</t>
  </si>
  <si>
    <t>Principal Immigration Specialist - Human Resources</t>
  </si>
  <si>
    <t>MSHERR@MATHWORKS.COM</t>
  </si>
  <si>
    <t>ahavican@seyfarth.com</t>
  </si>
  <si>
    <t>Sapong</t>
  </si>
  <si>
    <t>Naa Oyoo</t>
  </si>
  <si>
    <t>375 Beale Street</t>
  </si>
  <si>
    <t>GROTON</t>
  </si>
  <si>
    <t>Gorney</t>
  </si>
  <si>
    <t>APEX TECHNOLOGY GROUP INC.</t>
  </si>
  <si>
    <t>499 PLAINFIELD AVENUE</t>
  </si>
  <si>
    <t>DHARAYAN</t>
  </si>
  <si>
    <t>SARVESH</t>
  </si>
  <si>
    <t>INFO@APEXTGI.COM</t>
  </si>
  <si>
    <t>INGHAM</t>
  </si>
  <si>
    <t>1000 Remington Boulevard</t>
  </si>
  <si>
    <t>Bolingbrook</t>
  </si>
  <si>
    <t>WILL</t>
  </si>
  <si>
    <t>Dexcom, Inc.</t>
  </si>
  <si>
    <t>6340 Sequence Drive</t>
  </si>
  <si>
    <t>Kunde</t>
  </si>
  <si>
    <t>Melia</t>
  </si>
  <si>
    <t>Sr. Employee Relations &amp; Compliance Specialist</t>
  </si>
  <si>
    <t>nicole.kunde@dexcom.com</t>
  </si>
  <si>
    <t>6290 Sequence Drive</t>
  </si>
  <si>
    <t>I-200-20268-844689</t>
  </si>
  <si>
    <t>660 Rosedale Road</t>
  </si>
  <si>
    <t>Grapevine</t>
  </si>
  <si>
    <t>matthew.schulz@dentons.com</t>
  </si>
  <si>
    <t>Alexandra</t>
  </si>
  <si>
    <t>Ste. 1200</t>
  </si>
  <si>
    <t>USDELOITTEIMMIGRATION@DELOITTE.COM</t>
  </si>
  <si>
    <t>aalbaz@balglobal.com</t>
  </si>
  <si>
    <t>MANAGING COUNSEL, IMMIGRATION AND MOBILITY</t>
  </si>
  <si>
    <t>SHBARNES@TESLA.COM</t>
  </si>
  <si>
    <t>45500 FREMONT BOULEVARD</t>
  </si>
  <si>
    <t>1290 Avenue of the Americas</t>
  </si>
  <si>
    <t>BERKS</t>
  </si>
  <si>
    <t>MCKINSEY &amp; COMPANY, INC. UNITED STATES</t>
  </si>
  <si>
    <t xml:space="preserve">711 3RD AVENUE </t>
  </si>
  <si>
    <t>SENIOR IMMIGRATION PARALEGAL</t>
  </si>
  <si>
    <t>711 3RD AVENUE</t>
  </si>
  <si>
    <t>RACHEL_TONG@MCKINSEY.COM</t>
  </si>
  <si>
    <t>J.B. Hunt Transport, Inc.</t>
  </si>
  <si>
    <t>615 J B Hunt Corporate Drive</t>
  </si>
  <si>
    <t>Lowell</t>
  </si>
  <si>
    <t>guadalupe.chavez@jbhunt.com</t>
  </si>
  <si>
    <t>Varga</t>
  </si>
  <si>
    <t>HANCOCK</t>
  </si>
  <si>
    <t>EXA DATA SOLUTIONS INC.</t>
  </si>
  <si>
    <t>CHADA</t>
  </si>
  <si>
    <t>YAMINI</t>
  </si>
  <si>
    <t>SARA@EXADATAINC.COM</t>
  </si>
  <si>
    <t>KNOX</t>
  </si>
  <si>
    <t>Tata Elxsi Ltd</t>
  </si>
  <si>
    <t>2855 Kifer Road</t>
  </si>
  <si>
    <t>DUGAD</t>
  </si>
  <si>
    <t>Nirbhay</t>
  </si>
  <si>
    <t>Head HR &amp; Admin - North America</t>
  </si>
  <si>
    <t>Two Logan, 100 N 18th Street</t>
  </si>
  <si>
    <t>NirbhayD@TataElxsi.com</t>
  </si>
  <si>
    <t>agmoore@duanemorris.com</t>
  </si>
  <si>
    <t>MISSOURI CITY</t>
  </si>
  <si>
    <t>CHARAKULA</t>
  </si>
  <si>
    <t>MITHILA</t>
  </si>
  <si>
    <t>MITHILA@I2USYSTEMS.COM</t>
  </si>
  <si>
    <t>I-200-20268-843387</t>
  </si>
  <si>
    <t>AALI@FRAGOMEN.COM</t>
  </si>
  <si>
    <t>Sudha</t>
  </si>
  <si>
    <t xml:space="preserve">Princeton </t>
  </si>
  <si>
    <t>Middle School Teachers, Except Special and Career/Technical Education</t>
  </si>
  <si>
    <t>alighter@balglobal.com</t>
  </si>
  <si>
    <t>University of Colorado</t>
  </si>
  <si>
    <t>2249 Willard Loop Drive, Suite S355</t>
  </si>
  <si>
    <t>SRIDEVI</t>
  </si>
  <si>
    <t>NASHUA</t>
  </si>
  <si>
    <t>NASHUA CITY</t>
  </si>
  <si>
    <t>Maxima Consulting, Inc.</t>
  </si>
  <si>
    <t>27 Water Street</t>
  </si>
  <si>
    <t>Wakefield</t>
  </si>
  <si>
    <t>Khare</t>
  </si>
  <si>
    <t>Shraddha</t>
  </si>
  <si>
    <t>shraddha@maximaconsulting.com</t>
  </si>
  <si>
    <t>bm@waxlaw.com</t>
  </si>
  <si>
    <t>I-200-20268-843307</t>
  </si>
  <si>
    <t xml:space="preserve">8250 Jones Branch Drive, </t>
  </si>
  <si>
    <t>34605 W. 12 Mile Road</t>
  </si>
  <si>
    <t>Beiswanger</t>
  </si>
  <si>
    <t>ZF Passive Safety Systems US Inc.</t>
  </si>
  <si>
    <t>Sharma</t>
  </si>
  <si>
    <t>15010 Capital One Dr</t>
  </si>
  <si>
    <t>JACKIE</t>
  </si>
  <si>
    <t>13625 Technology Drive</t>
  </si>
  <si>
    <t>8055 Microsoft Way</t>
  </si>
  <si>
    <t>1221 AVENUE OF THE AMERICAS</t>
  </si>
  <si>
    <t>MOTWANI</t>
  </si>
  <si>
    <t>1290 AVENUE OF THE AMERICAS</t>
  </si>
  <si>
    <t>RAVI.MOTWANI@SIRIUSXM.COM</t>
  </si>
  <si>
    <t>I-200-20268-844665</t>
  </si>
  <si>
    <t>I-200-20268-844708</t>
  </si>
  <si>
    <t>112 HERITAGE DRIVE</t>
  </si>
  <si>
    <t>PATASKALA</t>
  </si>
  <si>
    <t>Rancho Cordova</t>
  </si>
  <si>
    <t>University of New Hampshire</t>
  </si>
  <si>
    <t>Webber</t>
  </si>
  <si>
    <t>elizabeth.webber@unh.edu</t>
  </si>
  <si>
    <t>I-200-20269-845001</t>
  </si>
  <si>
    <t>5022 gate pkwy</t>
  </si>
  <si>
    <t>building 500</t>
  </si>
  <si>
    <t>kirsten.huff@hammondlawgroup.com</t>
  </si>
  <si>
    <t>I-200-20269-846671</t>
  </si>
  <si>
    <t>Willis Towers Watson Comp Online</t>
  </si>
  <si>
    <t>AID 010- Application Development P3</t>
  </si>
  <si>
    <t>I-200-20268-843787</t>
  </si>
  <si>
    <t>Manager, Global Mobility, Wellness &amp; Disability</t>
  </si>
  <si>
    <t>6600 CONGRESS AVE</t>
  </si>
  <si>
    <t>BOCA RATON</t>
  </si>
  <si>
    <t>veronica.mucha@fragomen.com</t>
  </si>
  <si>
    <t>I-200-20269-846186</t>
  </si>
  <si>
    <t>kathleen.jennings@jpmorgan.com</t>
  </si>
  <si>
    <t>711 THIRD AVENUE</t>
  </si>
  <si>
    <t>TONG</t>
  </si>
  <si>
    <t xml:space="preserve">711 THIRD AVENUE </t>
  </si>
  <si>
    <t>JRANDOLPH@FRAGOMEN.COM</t>
  </si>
  <si>
    <t>NVIDIA Corporation</t>
  </si>
  <si>
    <t>2788 San Tomas Expressway</t>
  </si>
  <si>
    <t>Sarwary / Clark</t>
  </si>
  <si>
    <t>Zinab / Karen</t>
  </si>
  <si>
    <t>Global Compliance &amp; Immigration Mgr /Senior PM, Immigration</t>
  </si>
  <si>
    <t>NVIDIA-IMMIGRATION@NVIDIA.COM</t>
  </si>
  <si>
    <t>NVIDIA@Fragomen.com</t>
  </si>
  <si>
    <t>Rao</t>
  </si>
  <si>
    <t>Wolters Kluwer United States, Inc.</t>
  </si>
  <si>
    <t>2700 LAKE COOK ROAD</t>
  </si>
  <si>
    <t>RIVERWOODS</t>
  </si>
  <si>
    <t>STOCK</t>
  </si>
  <si>
    <t>LINDA</t>
  </si>
  <si>
    <t>LINDA.STOCK@WOLTERSKLUWER.COM</t>
  </si>
  <si>
    <t>hugo.cobian@chugh.com</t>
  </si>
  <si>
    <t>Avenel</t>
  </si>
  <si>
    <t>928 East Arques Ave</t>
  </si>
  <si>
    <t>I-200-20269-845970</t>
  </si>
  <si>
    <t>Forrester Research, Inc.</t>
  </si>
  <si>
    <t>60 Acorn Park Drive</t>
  </si>
  <si>
    <t>EX Operations Team Lead</t>
  </si>
  <si>
    <t>ealvarez@forrester.com</t>
  </si>
  <si>
    <t>sbazile@balglobal.com</t>
  </si>
  <si>
    <t>Case Western Reserve University</t>
  </si>
  <si>
    <t>10900 Euclid Avenue</t>
  </si>
  <si>
    <t>Blahnik</t>
  </si>
  <si>
    <t>kxb482@case.edu</t>
  </si>
  <si>
    <t>10900 Euclid Ave</t>
  </si>
  <si>
    <t>cxk388@case.edu</t>
  </si>
  <si>
    <t>I-200-20268-843575</t>
  </si>
  <si>
    <t>Ingenico Retail Enterprise US Inc.</t>
  </si>
  <si>
    <t>3025 Windward Plaza</t>
  </si>
  <si>
    <t>Noto</t>
  </si>
  <si>
    <t>Vicki</t>
  </si>
  <si>
    <t>Human Resources Operations Specialist</t>
  </si>
  <si>
    <t>Vicki.Noto@ingenico.com</t>
  </si>
  <si>
    <t>AGomezLimon@hunton.com</t>
  </si>
  <si>
    <t xml:space="preserve">Joby Aero, Inc. </t>
  </si>
  <si>
    <t>340 Woodpecker Ridge</t>
  </si>
  <si>
    <t xml:space="preserve">Ashley </t>
  </si>
  <si>
    <t>Canton</t>
  </si>
  <si>
    <t>Bannockburn</t>
  </si>
  <si>
    <t>Grand Prairie</t>
  </si>
  <si>
    <t xml:space="preserve">Senior Manager, Global Immigration </t>
  </si>
  <si>
    <t>VP of Finance</t>
  </si>
  <si>
    <t>I-200-20268-844724</t>
  </si>
  <si>
    <t>O2 TECHNOLOGIES INC</t>
  </si>
  <si>
    <t>17748 SKY PARK CIRCLE</t>
  </si>
  <si>
    <t>Biju</t>
  </si>
  <si>
    <t>Reeja</t>
  </si>
  <si>
    <t>HR / IMMIGRATION MANAGER</t>
  </si>
  <si>
    <t>hrteam@o2inc.net</t>
  </si>
  <si>
    <t>12 Federal Street</t>
  </si>
  <si>
    <t xml:space="preserve">Pittsburgh </t>
  </si>
  <si>
    <t>1221 Avenue of the Americas</t>
  </si>
  <si>
    <t>Alexander</t>
  </si>
  <si>
    <t>HR Associate</t>
  </si>
  <si>
    <t>6400 Shafer Court</t>
  </si>
  <si>
    <t xml:space="preserve">2035 Lincoln Highway   </t>
  </si>
  <si>
    <t>Murray</t>
  </si>
  <si>
    <t>Infinite Computer Solutions, Inc.</t>
  </si>
  <si>
    <t>2600 Tower Oaks Blvd</t>
  </si>
  <si>
    <t>Prothi</t>
  </si>
  <si>
    <t>Niti</t>
  </si>
  <si>
    <t>Niti.Prothi@infinite.com</t>
  </si>
  <si>
    <t>Amdocs, Inc.</t>
  </si>
  <si>
    <t>1390 Timberlake Manor Parkway</t>
  </si>
  <si>
    <t>priscillac@amdocs.com</t>
  </si>
  <si>
    <t>stanley.lim@Fragomen.com</t>
  </si>
  <si>
    <t>I-200-20268-844336</t>
  </si>
  <si>
    <t>Physician Assistants</t>
  </si>
  <si>
    <t>SHANDS TEACHING HOSPITAL AND CLINICS, INC.</t>
  </si>
  <si>
    <t>1600 SW ARCHER ROAD</t>
  </si>
  <si>
    <t>GAINESVILLE</t>
  </si>
  <si>
    <t>BECKMEYER</t>
  </si>
  <si>
    <t>DEBORAH</t>
  </si>
  <si>
    <t>CERTIFIED PARALEGAL</t>
  </si>
  <si>
    <t>UF HEALTH SHANDS LEGAL SERVICES</t>
  </si>
  <si>
    <t>BECKMD@SHANDS.UFL.EDU</t>
  </si>
  <si>
    <t>1600 S.W. ARCHER ROAD</t>
  </si>
  <si>
    <t>ALACHUA</t>
  </si>
  <si>
    <t>Paige</t>
  </si>
  <si>
    <t>NM</t>
  </si>
  <si>
    <t xml:space="preserve">Suite 100 </t>
  </si>
  <si>
    <t>Chemistry Teachers, Postsecondary</t>
  </si>
  <si>
    <t>CAREMARK, LLC</t>
  </si>
  <si>
    <t>paul.messenger@CVSHEALTH.COM</t>
  </si>
  <si>
    <t>marrj@gtlaw.com</t>
  </si>
  <si>
    <t>I-200-20269-845964</t>
  </si>
  <si>
    <t xml:space="preserve">ROBERT BOSCH LLC </t>
  </si>
  <si>
    <t>38000 HILLS TECH DRIVE</t>
  </si>
  <si>
    <t>REEVES</t>
  </si>
  <si>
    <t>NICOLE</t>
  </si>
  <si>
    <t>SR HR SERVICE REPRESENTATIVE</t>
  </si>
  <si>
    <t>NICOLE.REEVES@US.BOSCH.COM</t>
  </si>
  <si>
    <t>28875 Cabot Drive</t>
  </si>
  <si>
    <t>Malden</t>
  </si>
  <si>
    <t>MALDEN CITY</t>
  </si>
  <si>
    <t>I-200-20268-843556</t>
  </si>
  <si>
    <t>IT HUB INC</t>
  </si>
  <si>
    <t>88 LAKEDALE DR</t>
  </si>
  <si>
    <t>LAWRENCE TOWNSHIP</t>
  </si>
  <si>
    <t>Alluri</t>
  </si>
  <si>
    <t>Anil</t>
  </si>
  <si>
    <t>88 Lakedale Drive</t>
  </si>
  <si>
    <t>Lawrence Township</t>
  </si>
  <si>
    <t>hr@ithubusa.com</t>
  </si>
  <si>
    <t>3131 Katella Ave</t>
  </si>
  <si>
    <t>Los Alamitos</t>
  </si>
  <si>
    <t>I-200-20268-844797</t>
  </si>
  <si>
    <t>DIRECTOR - HR</t>
  </si>
  <si>
    <t>Financial Specialists, All Other</t>
  </si>
  <si>
    <t>30 Hudson Yards</t>
  </si>
  <si>
    <t>I-200-20268-843245</t>
  </si>
  <si>
    <t>National Institutes of Health, HHS</t>
  </si>
  <si>
    <t>Division of International Services</t>
  </si>
  <si>
    <t>31 Center Drive</t>
  </si>
  <si>
    <t>kingel@nih.gov</t>
  </si>
  <si>
    <t>9000 Rockville Pike, Building 10</t>
  </si>
  <si>
    <t>Suite 206</t>
  </si>
  <si>
    <t>Oliver</t>
  </si>
  <si>
    <t>smw@boudia.com</t>
  </si>
  <si>
    <t>Uppalapati</t>
  </si>
  <si>
    <t>4 COPLEY PLACE</t>
  </si>
  <si>
    <t>WAYFAIR@FRAGOMEN.COM</t>
  </si>
  <si>
    <t>Suite 303</t>
  </si>
  <si>
    <t>50 Beale Street</t>
  </si>
  <si>
    <t>687 Lee Road</t>
  </si>
  <si>
    <t xml:space="preserve">Penakalapati </t>
  </si>
  <si>
    <t>Sameer</t>
  </si>
  <si>
    <t>Baylor College of Medicine</t>
  </si>
  <si>
    <t>One Baylor Plaza</t>
  </si>
  <si>
    <t>GESLIN</t>
  </si>
  <si>
    <t>KIRA</t>
  </si>
  <si>
    <t>SENIOR IMMIGRATION ADVISOR</t>
  </si>
  <si>
    <t>One Baylor Plaza BCM410</t>
  </si>
  <si>
    <t>kira.geslin@bcm.edu</t>
  </si>
  <si>
    <t>BCM and all participating sites</t>
  </si>
  <si>
    <t>Luciane</t>
  </si>
  <si>
    <t>kieya.bailey@ogletreedeakins.com</t>
  </si>
  <si>
    <t>Bala</t>
  </si>
  <si>
    <t>Suite A</t>
  </si>
  <si>
    <t>dlay@fragomen.com</t>
  </si>
  <si>
    <t>Purchasing Managers</t>
  </si>
  <si>
    <t>Vishnu</t>
  </si>
  <si>
    <t>I-200-20269-845552</t>
  </si>
  <si>
    <t>H-E-B, LP</t>
  </si>
  <si>
    <t>646 SOUTH FLORES STREET</t>
  </si>
  <si>
    <t xml:space="preserve">MARTINEZ </t>
  </si>
  <si>
    <t xml:space="preserve">ABEL </t>
  </si>
  <si>
    <t xml:space="preserve">GROUP VICE PRESIDENT OF PARTNER RELATIONS </t>
  </si>
  <si>
    <t>ALCORTA.MARISA@HEB.COM</t>
  </si>
  <si>
    <t>TERESA.SIMS@KLGATES.COM</t>
  </si>
  <si>
    <t>Williams</t>
  </si>
  <si>
    <t>LCA@kidambi.com</t>
  </si>
  <si>
    <t>2121 Avenue of the Stars</t>
  </si>
  <si>
    <t>SYRAINFOTEK LLC</t>
  </si>
  <si>
    <t>6110 MCFARLAND STATION DR</t>
  </si>
  <si>
    <t>YASERARAFATH</t>
  </si>
  <si>
    <t>SAFAIZRATH</t>
  </si>
  <si>
    <t>SAFAIZ@SYRAINFOTEK.COM</t>
  </si>
  <si>
    <t>Deere and Company</t>
  </si>
  <si>
    <t>1300 River Drive</t>
  </si>
  <si>
    <t>Moline</t>
  </si>
  <si>
    <t>Casey</t>
  </si>
  <si>
    <t>HR Process Specialist - GMS</t>
  </si>
  <si>
    <t>CaseyJenniferM@JohnDeere.com</t>
  </si>
  <si>
    <t>ROCK ISLAND</t>
  </si>
  <si>
    <t>First Data Merchant Services LLC</t>
  </si>
  <si>
    <t>Occupational Therapists</t>
  </si>
  <si>
    <t>13800 COPPERMINE RD</t>
  </si>
  <si>
    <t>DIRECTOR OF OPERATIONS</t>
  </si>
  <si>
    <t>SOLIZE USA CORPORATION</t>
  </si>
  <si>
    <t>17177 N. LAUREL PARK DRIVE</t>
  </si>
  <si>
    <t>LIVONIA</t>
  </si>
  <si>
    <t>MANI</t>
  </si>
  <si>
    <t>SRINIVASA</t>
  </si>
  <si>
    <t>BHARATH</t>
  </si>
  <si>
    <t>SVP of Sales and Operations</t>
  </si>
  <si>
    <t>bharath.mani@solize.com</t>
  </si>
  <si>
    <t>soo@immigrationpark.com</t>
  </si>
  <si>
    <t>Vancouver</t>
  </si>
  <si>
    <t>Trimer</t>
  </si>
  <si>
    <t>Heazel</t>
  </si>
  <si>
    <t>Global Mobility &amp; Immigration Manager</t>
  </si>
  <si>
    <t>Swati@employmentimmigration.com</t>
  </si>
  <si>
    <t>21925 S.E. 51st Street</t>
  </si>
  <si>
    <t>xuefan.zhang@morganlewis.com</t>
  </si>
  <si>
    <t>Suite 250</t>
  </si>
  <si>
    <t xml:space="preserve">University of Utah </t>
  </si>
  <si>
    <t>201 S Presidents Circle</t>
  </si>
  <si>
    <t>CARREAU</t>
  </si>
  <si>
    <t>katie.carreau@legal.utah.edu</t>
  </si>
  <si>
    <t>776 Highway 74 South</t>
  </si>
  <si>
    <t>Suite 401</t>
  </si>
  <si>
    <t>Sampath</t>
  </si>
  <si>
    <t>Datta</t>
  </si>
  <si>
    <t>615 J.B. Hunt Corporate Drive</t>
  </si>
  <si>
    <t>215 J.B. Hunt Corporate Drive</t>
  </si>
  <si>
    <t>zoeguy@uab.edu</t>
  </si>
  <si>
    <t>Citadel Americas LLC</t>
  </si>
  <si>
    <t>Emini</t>
  </si>
  <si>
    <t>Larry</t>
  </si>
  <si>
    <t>I-200-20268-843160</t>
  </si>
  <si>
    <t>I-200-20269-845445</t>
  </si>
  <si>
    <t>Citizens Financial Group, Inc.</t>
  </si>
  <si>
    <t>One Citizens Bank Way</t>
  </si>
  <si>
    <t xml:space="preserve">Guilbert </t>
  </si>
  <si>
    <t>Paralegal, Employment Law</t>
  </si>
  <si>
    <t>joanne.m.guilbert@citizensbank.com</t>
  </si>
  <si>
    <t>adelgado@gibney.com</t>
  </si>
  <si>
    <t>3400 W Plano Pkwy</t>
  </si>
  <si>
    <t>I-200-20269-846587</t>
  </si>
  <si>
    <t xml:space="preserve">  Shah  </t>
  </si>
  <si>
    <t xml:space="preserve">Rakesh </t>
  </si>
  <si>
    <t xml:space="preserve">103 MORGAN LANE                   </t>
  </si>
  <si>
    <t xml:space="preserve"> PLAINSBORO  </t>
  </si>
  <si>
    <t xml:space="preserve"> 1800 Arch Street</t>
  </si>
  <si>
    <t>Grandison Management, Inc.</t>
  </si>
  <si>
    <t>1413 38TH ST</t>
  </si>
  <si>
    <t>Trenk</t>
  </si>
  <si>
    <t>Yoel</t>
  </si>
  <si>
    <t>Legal Liason</t>
  </si>
  <si>
    <t>1413 38th Street</t>
  </si>
  <si>
    <t>yt@grandisonusa.com</t>
  </si>
  <si>
    <t>steven@grandisonusa.com</t>
  </si>
  <si>
    <t>1200 HARGER ROAD</t>
  </si>
  <si>
    <t>MRA@PBL.NET</t>
  </si>
  <si>
    <t>I-200-20269-845253</t>
  </si>
  <si>
    <t xml:space="preserve">Superior Essex International LP  </t>
  </si>
  <si>
    <t>5770 Powers Ferry Road</t>
  </si>
  <si>
    <t>Basista</t>
  </si>
  <si>
    <t>anna.basista@spsx.com</t>
  </si>
  <si>
    <t>2900 Morris Sheppard Drive</t>
  </si>
  <si>
    <t>Brownwood</t>
  </si>
  <si>
    <t>bilakovicd@gtlaw.com</t>
  </si>
  <si>
    <t>50 WEST 23RD STREET</t>
  </si>
  <si>
    <t>Bristol-Myers Squibb Company</t>
  </si>
  <si>
    <t>1 Squibb Drive</t>
  </si>
  <si>
    <t>Russaw Horton</t>
  </si>
  <si>
    <t>Sr. EEO/AA Specialist/Paralegal</t>
  </si>
  <si>
    <t xml:space="preserve">3551 Lawrenceville Road </t>
  </si>
  <si>
    <t>katherine.russaw@bms.com</t>
  </si>
  <si>
    <t>george.monges@morganlewis.com</t>
  </si>
  <si>
    <t>Menands</t>
  </si>
  <si>
    <t>BEDFORD</t>
  </si>
  <si>
    <t>Recruiter</t>
  </si>
  <si>
    <t>Bryant</t>
  </si>
  <si>
    <t>TriNet USA, Inc.</t>
  </si>
  <si>
    <t>One Park Place</t>
  </si>
  <si>
    <t>Nemali</t>
  </si>
  <si>
    <t>Madhuri</t>
  </si>
  <si>
    <t>immigration@trinet.com</t>
  </si>
  <si>
    <t>12331-B Riata Trace Parkway, Building 4</t>
  </si>
  <si>
    <t>40 Water Street</t>
  </si>
  <si>
    <t>Nashua</t>
  </si>
  <si>
    <t>Talent Acquisition Coordinator</t>
  </si>
  <si>
    <t>zgeremes@fisherphillips.com</t>
  </si>
  <si>
    <t>Definitive Healthcare, LLC</t>
  </si>
  <si>
    <t>550 Cochituate Road</t>
  </si>
  <si>
    <t>Framingham</t>
  </si>
  <si>
    <t>Anderson</t>
  </si>
  <si>
    <t>Kurt</t>
  </si>
  <si>
    <t>kanderson@definitivehc.com</t>
  </si>
  <si>
    <t>Jodi</t>
  </si>
  <si>
    <t>Prime Consulting LLC</t>
  </si>
  <si>
    <t>1870 Route 27 , Suite - B5</t>
  </si>
  <si>
    <t>Dubewar</t>
  </si>
  <si>
    <t>Abhijit</t>
  </si>
  <si>
    <t>HR@PRIMECL.COM</t>
  </si>
  <si>
    <t>Durant</t>
  </si>
  <si>
    <t>Provo</t>
  </si>
  <si>
    <t>Basking Ridge</t>
  </si>
  <si>
    <t>ann.hoffman@jacksonlewis.com</t>
  </si>
  <si>
    <t>Lakshmi</t>
  </si>
  <si>
    <t>307 Fairview Ave N</t>
  </si>
  <si>
    <t>Madipalli</t>
  </si>
  <si>
    <t>hr@ssatechinc.com</t>
  </si>
  <si>
    <t>esumner@sumnerimmigration.com</t>
  </si>
  <si>
    <t>IRIS SOFTWARE, INC.</t>
  </si>
  <si>
    <t>200 METROPLEX DRIVE</t>
  </si>
  <si>
    <t>Pavri</t>
  </si>
  <si>
    <t>Persis</t>
  </si>
  <si>
    <t>Manager-Human Resources</t>
  </si>
  <si>
    <t>6933 Louis Stephens Dr</t>
  </si>
  <si>
    <t>MITCHELL INTERNATIONAL INC.</t>
  </si>
  <si>
    <t>6220 GREENWICH DRIVE</t>
  </si>
  <si>
    <t>Paula</t>
  </si>
  <si>
    <t>Manager Talent Acquisition Operations</t>
  </si>
  <si>
    <t>paula.cleveland@mitchell.com</t>
  </si>
  <si>
    <t>Realsoft Technologies, LLC</t>
  </si>
  <si>
    <t>503 Carlisle Drive</t>
  </si>
  <si>
    <t>Pailla</t>
  </si>
  <si>
    <t>Vijayapal</t>
  </si>
  <si>
    <t>info@realsoftech.com</t>
  </si>
  <si>
    <t>131 S Dearborn Street</t>
  </si>
  <si>
    <t>U.S. Immigration Lead</t>
  </si>
  <si>
    <t>Larry.Emini@citadel.com</t>
  </si>
  <si>
    <t>rolando.perez@ogletree.com</t>
  </si>
  <si>
    <t>ATHENS</t>
  </si>
  <si>
    <t>I-200-20268-843255</t>
  </si>
  <si>
    <t>925 4th Ave</t>
  </si>
  <si>
    <t>Suite 3300</t>
  </si>
  <si>
    <t>vavinjamoori@balglobal.com</t>
  </si>
  <si>
    <t>Senior Associate, Immigration</t>
  </si>
  <si>
    <t>DXCTechnology@fragomen.com</t>
  </si>
  <si>
    <t>ANGELA</t>
  </si>
  <si>
    <t>13250 N Haggerty Road</t>
  </si>
  <si>
    <t>DIETRICH SURVEYS</t>
  </si>
  <si>
    <t>Westlake Village</t>
  </si>
  <si>
    <t>Amber.Reed@elliemae.com</t>
  </si>
  <si>
    <t>Andrea</t>
  </si>
  <si>
    <t>University of Rochester</t>
  </si>
  <si>
    <t>International Services Office, 40 Celebration Drive</t>
  </si>
  <si>
    <t>Suite 3400</t>
  </si>
  <si>
    <t xml:space="preserve"> Shah</t>
  </si>
  <si>
    <t xml:space="preserve">2 Research Way </t>
  </si>
  <si>
    <t>Immigration@Citiustech.com</t>
  </si>
  <si>
    <t>Mgr, Immigration / Paralegal, Immigration / Legal Analyst II</t>
  </si>
  <si>
    <t>7373 Gateway Boulevard</t>
  </si>
  <si>
    <t>3800 Citigroup Center Drive</t>
  </si>
  <si>
    <t>325 9th Ave N</t>
  </si>
  <si>
    <t>Royal Oak</t>
  </si>
  <si>
    <t>Georgia</t>
  </si>
  <si>
    <t>Sherry</t>
  </si>
  <si>
    <t>Poughkeepsie</t>
  </si>
  <si>
    <t>DUTCHESS</t>
  </si>
  <si>
    <t>Robyn</t>
  </si>
  <si>
    <t>Middle Management, Prof., and Support Compensation Survey</t>
  </si>
  <si>
    <t>rdenham@seyfarth.com</t>
  </si>
  <si>
    <t>1711, General Electric Road</t>
  </si>
  <si>
    <t>I-200-20268-843024</t>
  </si>
  <si>
    <t>Unical Aviation, Inc.</t>
  </si>
  <si>
    <t>680 South Lemon Avenue</t>
  </si>
  <si>
    <t>Slack</t>
  </si>
  <si>
    <t>Jan</t>
  </si>
  <si>
    <t>Recruiting Manager</t>
  </si>
  <si>
    <t xml:space="preserve">680 South Lemon Avenue </t>
  </si>
  <si>
    <t>JSlack@unical.com</t>
  </si>
  <si>
    <t>General Motors Company</t>
  </si>
  <si>
    <t>300 RENAISSANCE CENTER</t>
  </si>
  <si>
    <t>Ewers</t>
  </si>
  <si>
    <t>300 Renaissance Center</t>
  </si>
  <si>
    <t>lisa.ewers@gm.com</t>
  </si>
  <si>
    <t>6400 Zora Arkus-Duntov Road</t>
  </si>
  <si>
    <t>Genuine Parts Company</t>
  </si>
  <si>
    <t>3100 Windy Hill Road SE</t>
  </si>
  <si>
    <t>sumitc@employmentimmigration.com</t>
  </si>
  <si>
    <t>ANALOG DEVICES INC</t>
  </si>
  <si>
    <t>1 ANALOG WAY</t>
  </si>
  <si>
    <t>Pastore</t>
  </si>
  <si>
    <t xml:space="preserve">Nancy </t>
  </si>
  <si>
    <t xml:space="preserve">A. </t>
  </si>
  <si>
    <t>Corporate Immigration Manager</t>
  </si>
  <si>
    <t>1 Analog Way</t>
  </si>
  <si>
    <t>NANCY.PASTORE@ANALOG.COM</t>
  </si>
  <si>
    <t>Wilton</t>
  </si>
  <si>
    <t>VERVENEST TECHNOLOGIES, INC.</t>
  </si>
  <si>
    <t>2310 PARKLAKE DRIVE, SUITE 145</t>
  </si>
  <si>
    <t>LAXMAREDDYGARI</t>
  </si>
  <si>
    <t>2310 PARKLAKE DRIVE , SUITE 145</t>
  </si>
  <si>
    <t>us-immigration@vervenest.com</t>
  </si>
  <si>
    <t>I-200-20269-844968</t>
  </si>
  <si>
    <t>Windsor</t>
  </si>
  <si>
    <t>NTT DATA SERVICES, LLC</t>
  </si>
  <si>
    <t>100 CITY SQUARE</t>
  </si>
  <si>
    <t>VISWANATHAN</t>
  </si>
  <si>
    <t>SUNDAR</t>
  </si>
  <si>
    <t>ASSOCIATE DIRECTOR - HUMAN RESOURCES</t>
  </si>
  <si>
    <t>6801 Colwell Blvd.</t>
  </si>
  <si>
    <t>Radford Global Technology Survey-U.S. Prevailing Wage Report</t>
  </si>
  <si>
    <t>laura.fogger@ogletreedeakins.com</t>
  </si>
  <si>
    <t>CSC Covansys Corporation</t>
  </si>
  <si>
    <t xml:space="preserve">1775 Tysons Blvd. </t>
  </si>
  <si>
    <t xml:space="preserve">MORGAN STANLEY SERVICES GROUP, INC. </t>
  </si>
  <si>
    <t>FLEMING</t>
  </si>
  <si>
    <t>TARA</t>
  </si>
  <si>
    <t>VICE PRESIDENT, HUMAN RESOURCES</t>
  </si>
  <si>
    <t>ELISE.PURA@OGLETREEDEAKINS.COM</t>
  </si>
  <si>
    <t>Texas Tech University</t>
  </si>
  <si>
    <t>2500 Broadway Ave</t>
  </si>
  <si>
    <t>Lubbock</t>
  </si>
  <si>
    <t>Cepica</t>
  </si>
  <si>
    <t>Lead Administrator</t>
  </si>
  <si>
    <t>601 Indiana Ave</t>
  </si>
  <si>
    <t>dawn.cepica@ttu.edu</t>
  </si>
  <si>
    <t>LUBBOCK</t>
  </si>
  <si>
    <t>Synechron Inc</t>
  </si>
  <si>
    <t>11 Times Square</t>
  </si>
  <si>
    <t>Jadhav</t>
  </si>
  <si>
    <t>Abhay</t>
  </si>
  <si>
    <t>visa-us@synechron.com</t>
  </si>
  <si>
    <t>333 W Wacker Dr</t>
  </si>
  <si>
    <t>Authorized signatory</t>
  </si>
  <si>
    <t>swarna-kumari.pidugu@capgemini.com</t>
  </si>
  <si>
    <t>Chavez</t>
  </si>
  <si>
    <t>Guadalupe</t>
  </si>
  <si>
    <t>E-BUSINESS INTERNATIONAL INC</t>
  </si>
  <si>
    <t>4365 ROUTE 1 SOUTH</t>
  </si>
  <si>
    <t>BALASUBRAMANIAN</t>
  </si>
  <si>
    <t>SIVAKUMAR</t>
  </si>
  <si>
    <t>BSIVA@EBINTL.COM</t>
  </si>
  <si>
    <t>I-200-20268-844504</t>
  </si>
  <si>
    <t>Greig</t>
  </si>
  <si>
    <t>LLoyd</t>
  </si>
  <si>
    <t>Immigration Counsel</t>
  </si>
  <si>
    <t xml:space="preserve">829 Thornton Court </t>
  </si>
  <si>
    <t>Apartment 2B</t>
  </si>
  <si>
    <t>Fluxtek Solutions Inc.</t>
  </si>
  <si>
    <t>legal@fluxteksol.com</t>
  </si>
  <si>
    <t>Suite 410</t>
  </si>
  <si>
    <t>1007 STEWART STREET</t>
  </si>
  <si>
    <t>AARTI</t>
  </si>
  <si>
    <t>jgermany@balglobal.com</t>
  </si>
  <si>
    <t>Co-founder</t>
  </si>
  <si>
    <t>Stafford</t>
  </si>
  <si>
    <t>Parker</t>
  </si>
  <si>
    <t>President/CEO</t>
  </si>
  <si>
    <t>DaVita, Inc.</t>
  </si>
  <si>
    <t>Koivisto</t>
  </si>
  <si>
    <t>Group Recruiting Manager</t>
  </si>
  <si>
    <t>andrea.koivisto@davita.com</t>
  </si>
  <si>
    <t>Psychiatrists</t>
  </si>
  <si>
    <t>JONES</t>
  </si>
  <si>
    <t>Brad</t>
  </si>
  <si>
    <t>AURORA INNOVATION, INC.</t>
  </si>
  <si>
    <t>WINNER</t>
  </si>
  <si>
    <t>IAN</t>
  </si>
  <si>
    <t>IWINNER@AURORA.TECH</t>
  </si>
  <si>
    <t>CGI Technologies and Solutions</t>
  </si>
  <si>
    <t>Maxary LLC</t>
  </si>
  <si>
    <t>722 E Market St #102</t>
  </si>
  <si>
    <t>Leesburg</t>
  </si>
  <si>
    <t>Thyarla</t>
  </si>
  <si>
    <t>Sravanthi</t>
  </si>
  <si>
    <t>sravanthi@maxary.com</t>
  </si>
  <si>
    <t>Horsham</t>
  </si>
  <si>
    <t>I-200-20268-844844</t>
  </si>
  <si>
    <t>1455 SW BROADWAY</t>
  </si>
  <si>
    <t>MARIGOLD.FERNANDEZ@TSMIMMIGRATION.COM</t>
  </si>
  <si>
    <t>3800 Automation Avenue</t>
  </si>
  <si>
    <t>Director of HR</t>
  </si>
  <si>
    <t>I-200-20268-844140</t>
  </si>
  <si>
    <t>9 LANGSTON CIR</t>
  </si>
  <si>
    <t>EXTON</t>
  </si>
  <si>
    <t>I-200-20268-844032</t>
  </si>
  <si>
    <t>Physical Medicine and Rehabilitation Physicians</t>
  </si>
  <si>
    <t>Department of Veterans Affairs</t>
  </si>
  <si>
    <t>1970 Roanoke Blvd</t>
  </si>
  <si>
    <t>jeremy.smith6@va.gov</t>
  </si>
  <si>
    <t>SALEM CITY</t>
  </si>
  <si>
    <t xml:space="preserve">1251 Avenue of the Americas </t>
  </si>
  <si>
    <t xml:space="preserve">Armstrong </t>
  </si>
  <si>
    <t xml:space="preserve">Director--Global Mobility </t>
  </si>
  <si>
    <t>nchung@balglobal.com</t>
  </si>
  <si>
    <t>SALT LAKE CITY</t>
  </si>
  <si>
    <t>KAREN</t>
  </si>
  <si>
    <t>pschaefer@tuethkeeney.com</t>
  </si>
  <si>
    <t>INTRAEDGE, INC.</t>
  </si>
  <si>
    <t>5660 W. CHANDLER BLVD., STE. 1</t>
  </si>
  <si>
    <t>ESTES</t>
  </si>
  <si>
    <t>HOLLY</t>
  </si>
  <si>
    <t>HOLLY@INTRAEDGE.COM</t>
  </si>
  <si>
    <t>ST CLAIR</t>
  </si>
  <si>
    <t xml:space="preserve">Marvell Semiconductor, Inc. </t>
  </si>
  <si>
    <t>5488 Marvell Lane</t>
  </si>
  <si>
    <t>Teodoro</t>
  </si>
  <si>
    <t>Ellaine</t>
  </si>
  <si>
    <t>Sr. Global Mobility Manager</t>
  </si>
  <si>
    <t>eteodoro@marvell.com</t>
  </si>
  <si>
    <t>allison.wimbley@jacksonlewis.com</t>
  </si>
  <si>
    <t>IQUBETECHNOLOGIES INC</t>
  </si>
  <si>
    <t>15 CORPORATE PL S</t>
  </si>
  <si>
    <t>PISCATAWAY TOWNSHIP</t>
  </si>
  <si>
    <t>MEKALA</t>
  </si>
  <si>
    <t>SWATHI</t>
  </si>
  <si>
    <t>HR@IQUBEINC.COM</t>
  </si>
  <si>
    <t>cyberThink Inc</t>
  </si>
  <si>
    <t>685 ROUTE 202 / 206</t>
  </si>
  <si>
    <t>LOMBARDO</t>
  </si>
  <si>
    <t>JIM</t>
  </si>
  <si>
    <t>IMMIGRATION@CYBERTHINK.COM</t>
  </si>
  <si>
    <t>sudhir.prasad@cyberthink.com</t>
  </si>
  <si>
    <t>Enquero Inc.</t>
  </si>
  <si>
    <t>1551 McCarthy Blvd.</t>
  </si>
  <si>
    <t>Asher</t>
  </si>
  <si>
    <t>Hemant</t>
  </si>
  <si>
    <t>hemant@enquero.com</t>
  </si>
  <si>
    <t>400 Riverpark Drive</t>
  </si>
  <si>
    <t>Quinn</t>
  </si>
  <si>
    <t>lquinn@tracelink.com</t>
  </si>
  <si>
    <t>ngamboa@larrabee.com</t>
  </si>
  <si>
    <t>125 Village Blvd</t>
  </si>
  <si>
    <t>NTT DATA, INC.</t>
  </si>
  <si>
    <t>Visa Administrator</t>
  </si>
  <si>
    <t>danielle.varga@coinbase.com</t>
  </si>
  <si>
    <t>Ewing</t>
  </si>
  <si>
    <t>AKA 1601 Willow Road</t>
  </si>
  <si>
    <t>I-200-20269-845209</t>
  </si>
  <si>
    <t>680 Blair Mill Rd.</t>
  </si>
  <si>
    <t>ME</t>
  </si>
  <si>
    <t>VEEVA SYSTEMS INC.</t>
  </si>
  <si>
    <t>4280 HACIENDA DRIVE</t>
  </si>
  <si>
    <t>Employee Success Business Partner</t>
  </si>
  <si>
    <t>4280 Hacienda Drive</t>
  </si>
  <si>
    <t>jackie.libertiny@veeva.com</t>
  </si>
  <si>
    <t>38345 W 10 MILE RD</t>
  </si>
  <si>
    <t>DARLA</t>
  </si>
  <si>
    <t>SWAPNIKA</t>
  </si>
  <si>
    <t>immigration@techswitchllc.com</t>
  </si>
  <si>
    <t>COREY.LAWRENCE@OGLETREEDEAKINS.COM</t>
  </si>
  <si>
    <t>I-200-20269-845761</t>
  </si>
  <si>
    <t>magniX USA, Inc.</t>
  </si>
  <si>
    <t>6724 185th Avenue NE</t>
  </si>
  <si>
    <t>Livne</t>
  </si>
  <si>
    <t>Yaara</t>
  </si>
  <si>
    <t>Head of Talent and Engagement</t>
  </si>
  <si>
    <t>yaara.livne@magnix.aero</t>
  </si>
  <si>
    <t>ALLEN</t>
  </si>
  <si>
    <t>ETOUCH SYSTEMS CORPORATION</t>
  </si>
  <si>
    <t>6627 DUMBARTON CIRCLE</t>
  </si>
  <si>
    <t>KULKARNI</t>
  </si>
  <si>
    <t>MAHIMA</t>
  </si>
  <si>
    <t>ASSOCIATE MANAGER - HR</t>
  </si>
  <si>
    <t>MKULKARNI@VIRTUSA.COM</t>
  </si>
  <si>
    <t>11717 Exploration Lane</t>
  </si>
  <si>
    <t>hli@ebglaw.com</t>
  </si>
  <si>
    <t>Anitha</t>
  </si>
  <si>
    <t>400 Renaissance Center</t>
  </si>
  <si>
    <t>NARAYANAN</t>
  </si>
  <si>
    <t>Quincy</t>
  </si>
  <si>
    <t>909 E Collins Blvd</t>
  </si>
  <si>
    <t>Mercer Benchmark Database Mercer/Gartner Information Technol</t>
  </si>
  <si>
    <t>Lisle</t>
  </si>
  <si>
    <t>2900 Westside Pkwy</t>
  </si>
  <si>
    <t>Justin</t>
  </si>
  <si>
    <t>Jabil Inc.</t>
  </si>
  <si>
    <t>10560 Dr. Martin Luther King Jr. St. N.</t>
  </si>
  <si>
    <t>Abadal</t>
  </si>
  <si>
    <t>Lisa_Abadal@Jabil.com</t>
  </si>
  <si>
    <t>3202 W. Behrend Drive</t>
  </si>
  <si>
    <t>SRI TECH SOLUTIONS, INC.</t>
  </si>
  <si>
    <t>15310 AMBERLY DR</t>
  </si>
  <si>
    <t>HARI</t>
  </si>
  <si>
    <t>HARI@SRITECHSOLUTIONS.COM</t>
  </si>
  <si>
    <t>OLDSMAR</t>
  </si>
  <si>
    <t>Somerville</t>
  </si>
  <si>
    <t>College Park</t>
  </si>
  <si>
    <t>Suite 310</t>
  </si>
  <si>
    <t>HR@I3INFOTEK.COM</t>
  </si>
  <si>
    <t>Equifax Inc.</t>
  </si>
  <si>
    <t>1550 Peachtree Street NW</t>
  </si>
  <si>
    <t>Global Mobility &amp; Immigration Leader</t>
  </si>
  <si>
    <t>Marianne.Petty@equifax.com</t>
  </si>
  <si>
    <t>MURTHY</t>
  </si>
  <si>
    <t>TEKBANK CONSULTANTS INC</t>
  </si>
  <si>
    <t>459 HERNDON PARKWAY, SUITE 13,</t>
  </si>
  <si>
    <t>SGARLANKA@TEKBANK.NET</t>
  </si>
  <si>
    <t>Victor</t>
  </si>
  <si>
    <t>EL PASO</t>
  </si>
  <si>
    <t>Frank</t>
  </si>
  <si>
    <t>Guilbert</t>
  </si>
  <si>
    <t>I-200-20269-845652</t>
  </si>
  <si>
    <t>Enoah ISolutions, Inc.</t>
  </si>
  <si>
    <t>2955 E Hillcrest Drive</t>
  </si>
  <si>
    <t>Balasubramanian</t>
  </si>
  <si>
    <t>Balu</t>
  </si>
  <si>
    <t>balu@enoahisolution.com</t>
  </si>
  <si>
    <t>6021 University Blvd.</t>
  </si>
  <si>
    <t>GRAFTON</t>
  </si>
  <si>
    <t>Mountain House</t>
  </si>
  <si>
    <t>SAN JOAQUIN</t>
  </si>
  <si>
    <t>I-200-20269-845991</t>
  </si>
  <si>
    <t xml:space="preserve">1225 West Washington Street </t>
  </si>
  <si>
    <t>8200 Jones Branch Drive</t>
  </si>
  <si>
    <t>Shilpas@employmentimmigration.com</t>
  </si>
  <si>
    <t>Bethlehem</t>
  </si>
  <si>
    <t>I-200-20269-845775</t>
  </si>
  <si>
    <t>Nextgen Consulting, Inc.,</t>
  </si>
  <si>
    <t>3280 Pointe Parkway</t>
  </si>
  <si>
    <t>Sundari</t>
  </si>
  <si>
    <t>Ganesan</t>
  </si>
  <si>
    <t>Shanmuga</t>
  </si>
  <si>
    <t>sundari@nextgenconsultinginc.com</t>
  </si>
  <si>
    <t>3160 160th Ave SE</t>
  </si>
  <si>
    <t xml:space="preserve"> Bellevue</t>
  </si>
  <si>
    <t>Saline</t>
  </si>
  <si>
    <t>Akron</t>
  </si>
  <si>
    <t>I-200-20269-846308</t>
  </si>
  <si>
    <t>KOHLER CO.</t>
  </si>
  <si>
    <t>444 HIGHLAND DRIVE</t>
  </si>
  <si>
    <t>KOHLER</t>
  </si>
  <si>
    <t>STOLL</t>
  </si>
  <si>
    <t>CHERESA</t>
  </si>
  <si>
    <t>SR MANAGER GLOBAL MOBILITY</t>
  </si>
  <si>
    <t>CHERESA.STOLL@KOHLER.COM</t>
  </si>
  <si>
    <t xml:space="preserve">444 Highland Drive </t>
  </si>
  <si>
    <t>Kohler</t>
  </si>
  <si>
    <t>Softworld Technologies LLC</t>
  </si>
  <si>
    <t>Movva</t>
  </si>
  <si>
    <t>Chandrababu</t>
  </si>
  <si>
    <t>babu@softworldusa.com</t>
  </si>
  <si>
    <t>745 North Prospect Avenue</t>
  </si>
  <si>
    <t>I-200-20268-843828</t>
  </si>
  <si>
    <t>PROKARMA, INC.</t>
  </si>
  <si>
    <t>222 S. 15TH STREET</t>
  </si>
  <si>
    <t>PKIMMIGRATION@PROKARMA.COM</t>
  </si>
  <si>
    <t>1716 Village Drive</t>
  </si>
  <si>
    <t>LHAMOYPORTER@PKGLOBAL.COM</t>
  </si>
  <si>
    <t>EL Segundo</t>
  </si>
  <si>
    <t>kvue@balglobal.com</t>
  </si>
  <si>
    <t>I-200-20268-843045</t>
  </si>
  <si>
    <t>2870 PHARR COURT SOUTH NW</t>
  </si>
  <si>
    <t>UNIT 601</t>
  </si>
  <si>
    <t>Oracle America Inc.</t>
  </si>
  <si>
    <t>Fairfield</t>
  </si>
  <si>
    <t>Mercer Benchmark Database</t>
  </si>
  <si>
    <t>Suite 340</t>
  </si>
  <si>
    <t>University of Massachusetts Medical School</t>
  </si>
  <si>
    <t>333 South Street</t>
  </si>
  <si>
    <t>OHIO</t>
  </si>
  <si>
    <t>RIDGEFIELD PARK</t>
  </si>
  <si>
    <t>BURR RIDGE</t>
  </si>
  <si>
    <t>jennifer.ho@docusign.com</t>
  </si>
  <si>
    <t>Corning Research &amp; Development Corporation</t>
  </si>
  <si>
    <t>Albuquerque</t>
  </si>
  <si>
    <t>BERNALILLO</t>
  </si>
  <si>
    <t>Ness USA, Inc.</t>
  </si>
  <si>
    <t>1000 Town Center Way</t>
  </si>
  <si>
    <t>Canonsburg</t>
  </si>
  <si>
    <t>Director--Human Resources</t>
  </si>
  <si>
    <t>1000 TOWN CENTER WAY</t>
  </si>
  <si>
    <t>CANONSBURG</t>
  </si>
  <si>
    <t>Thomas.McLaughlin@ness.com</t>
  </si>
  <si>
    <t>SAP America, Inc.</t>
  </si>
  <si>
    <t>Chief Product Officer</t>
  </si>
  <si>
    <t>LAWRENCEVILLE</t>
  </si>
  <si>
    <t>1525 and 1505 Windward Concourse</t>
  </si>
  <si>
    <t>knolton@seyfarth.com</t>
  </si>
  <si>
    <t>I-200-20269-844944</t>
  </si>
  <si>
    <t>First Data Corporation</t>
  </si>
  <si>
    <t xml:space="preserve">2900 Westside Pkwy </t>
  </si>
  <si>
    <t>Naveen</t>
  </si>
  <si>
    <t>Tammy</t>
  </si>
  <si>
    <t>Palatine</t>
  </si>
  <si>
    <t>890 Addison Road</t>
  </si>
  <si>
    <t>2100 Powell Street</t>
  </si>
  <si>
    <t>Emeryville</t>
  </si>
  <si>
    <t>Apt 107</t>
  </si>
  <si>
    <t>ERPMARK INC</t>
  </si>
  <si>
    <t>I-200-20270-846822</t>
  </si>
  <si>
    <t>COLORADO</t>
  </si>
  <si>
    <t>Maplebear Inc.</t>
  </si>
  <si>
    <t>Su</t>
  </si>
  <si>
    <t>Kimi</t>
  </si>
  <si>
    <t>Program Manager, Global Mobility</t>
  </si>
  <si>
    <t>immigration@instacart.com</t>
  </si>
  <si>
    <t>3000 Bayport Drive</t>
  </si>
  <si>
    <t>30003 Fisher Brothers Road</t>
  </si>
  <si>
    <t>Patterson</t>
  </si>
  <si>
    <t>Ruchi</t>
  </si>
  <si>
    <t>BAIN &amp; COMPANY, INC.</t>
  </si>
  <si>
    <t>131 Dartmouth Street</t>
  </si>
  <si>
    <t>190 South LaSalle Street</t>
  </si>
  <si>
    <t>DRiV Automotive Inc.</t>
  </si>
  <si>
    <t>PEPSICO, INC.</t>
  </si>
  <si>
    <t>olivia@immigrationlawgroup.net</t>
  </si>
  <si>
    <t>Associate Director, International Scholars</t>
  </si>
  <si>
    <t>lynn.leinwohl@asu.edu</t>
  </si>
  <si>
    <t>SAP Labs, LLC</t>
  </si>
  <si>
    <t>3366 Via Lido</t>
  </si>
  <si>
    <t>Newport Beach</t>
  </si>
  <si>
    <t>Contract Administrator</t>
  </si>
  <si>
    <t xml:space="preserve">1776 West Lakes Parkway </t>
  </si>
  <si>
    <t>Senior Vice President of Human Resources</t>
  </si>
  <si>
    <t>CAMP HILL</t>
  </si>
  <si>
    <t>Talluri</t>
  </si>
  <si>
    <t>1505 Windward Concourse</t>
  </si>
  <si>
    <t>I-200-20268-843304</t>
  </si>
  <si>
    <t>1500 Market Street</t>
  </si>
  <si>
    <t>Infogain Corporation</t>
  </si>
  <si>
    <t>WILLIS TOWERS WATSON DATA SERVICES, INC.</t>
  </si>
  <si>
    <t>TALLAHASSEE</t>
  </si>
  <si>
    <t>1 Hacker Way (aka 1601 Willow Road)</t>
  </si>
  <si>
    <t>I-200-20269-845546</t>
  </si>
  <si>
    <t>Building G</t>
  </si>
  <si>
    <t>Brendan</t>
  </si>
  <si>
    <t>Montgomery</t>
  </si>
  <si>
    <t>ZHANG</t>
  </si>
  <si>
    <t>JU</t>
  </si>
  <si>
    <t>450 WEST 33RD STREET</t>
  </si>
  <si>
    <t>Coinbase, Inc.</t>
  </si>
  <si>
    <t>430 California Street</t>
  </si>
  <si>
    <t>I-200-20269-845822</t>
  </si>
  <si>
    <t>225 W. Santa Clara Street</t>
  </si>
  <si>
    <t>1 CORPORATE PLACE SOUTH</t>
  </si>
  <si>
    <t>10 Exchange Pl</t>
  </si>
  <si>
    <t xml:space="preserve">RGA Enterprise Services Company </t>
  </si>
  <si>
    <t>16600 Swingley Ridge Rd.</t>
  </si>
  <si>
    <t xml:space="preserve">Chesterfield </t>
  </si>
  <si>
    <t>16600 Swingley Ridge Road</t>
  </si>
  <si>
    <t>mking@rgare.com</t>
  </si>
  <si>
    <t>mcardenas@armstrongteasdale.com</t>
  </si>
  <si>
    <t>Perrysburg</t>
  </si>
  <si>
    <t>Betty</t>
  </si>
  <si>
    <t>I-200-20269-845392</t>
  </si>
  <si>
    <t xml:space="preserve">Kerry Inc. </t>
  </si>
  <si>
    <t>3400 Millington Road</t>
  </si>
  <si>
    <t>michelle.miller@kerry.com</t>
  </si>
  <si>
    <t>ROCK</t>
  </si>
  <si>
    <t>immigrationteam@lanermuchin.com</t>
  </si>
  <si>
    <t>(Corporate HQ Campus)</t>
  </si>
  <si>
    <t>jessica.quintero@ogletreedeakins.com</t>
  </si>
  <si>
    <t>SAYYAPARAJU</t>
  </si>
  <si>
    <t>INFOMERICA, INC.</t>
  </si>
  <si>
    <t>252 Towne Village Drive</t>
  </si>
  <si>
    <t>Errol</t>
  </si>
  <si>
    <t>Corporate Secretary</t>
  </si>
  <si>
    <t>252 TOWNE VILLAGE DR.</t>
  </si>
  <si>
    <t>ewkeith@infomericainc.com</t>
  </si>
  <si>
    <t>Manassas</t>
  </si>
  <si>
    <t>MANASSAS CITY</t>
  </si>
  <si>
    <t>1 SKYVIEW DRIVE</t>
  </si>
  <si>
    <t>I-200-20268-843154</t>
  </si>
  <si>
    <t>Code Tech. Inc</t>
  </si>
  <si>
    <t xml:space="preserve">24155 Drake Rd </t>
  </si>
  <si>
    <t xml:space="preserve">Ellendula </t>
  </si>
  <si>
    <t xml:space="preserve">Nagini </t>
  </si>
  <si>
    <t>Claudia</t>
  </si>
  <si>
    <t>sea-immigration@fisherphillips.com</t>
  </si>
  <si>
    <t>McClung</t>
  </si>
  <si>
    <t>Paralegal, Employment</t>
  </si>
  <si>
    <t>4111 E.  37th Street N</t>
  </si>
  <si>
    <t xml:space="preserve">Wichita </t>
  </si>
  <si>
    <t>Shannon.McClung@kochps.com</t>
  </si>
  <si>
    <t>24155 Drake Road</t>
  </si>
  <si>
    <t xml:space="preserve">Washington </t>
  </si>
  <si>
    <t>O Fallon</t>
  </si>
  <si>
    <t>MICHIGAN STATE UNIVERSITY</t>
  </si>
  <si>
    <t>427 N SHAW LANE, RM 105</t>
  </si>
  <si>
    <t>EAST LANSING</t>
  </si>
  <si>
    <t>TUYILINGIRE</t>
  </si>
  <si>
    <t>NERINGA</t>
  </si>
  <si>
    <t>INTERNATIONAL STUDENT AND SCHOLAR ADVISOR</t>
  </si>
  <si>
    <t>NERINGA@MSU.EDU</t>
  </si>
  <si>
    <t>LANSING</t>
  </si>
  <si>
    <t>I-200-20268-844852</t>
  </si>
  <si>
    <t>321 TERRY AVENUE NORTH</t>
  </si>
  <si>
    <t>SCHANG@FRAGOMEN.COM</t>
  </si>
  <si>
    <t>I-200-20268-844632</t>
  </si>
  <si>
    <t>KSchemenauer@amctheatres.com</t>
  </si>
  <si>
    <t>One AMC Way, 11500  Ash Street</t>
  </si>
  <si>
    <t>140 BROADWAY</t>
  </si>
  <si>
    <t>JASTI</t>
  </si>
  <si>
    <t>MLeos@fragomen.com</t>
  </si>
  <si>
    <t>8250 Jones Branch Dr</t>
  </si>
  <si>
    <t>I-200-20268-844365</t>
  </si>
  <si>
    <t>15540 Scholastic Dr</t>
  </si>
  <si>
    <t>Arosemena</t>
  </si>
  <si>
    <t>Pablo</t>
  </si>
  <si>
    <t xml:space="preserve">10368 Westmoor Drive </t>
  </si>
  <si>
    <t>pablo_arosemena@trimble.com</t>
  </si>
  <si>
    <t>Bayer U.S. LLC</t>
  </si>
  <si>
    <t>100 Bayer Blvd.</t>
  </si>
  <si>
    <t>cfriend@honigman.com</t>
  </si>
  <si>
    <t>1000 HARBOR BLVD</t>
  </si>
  <si>
    <t>WEEHAWKEN</t>
  </si>
  <si>
    <t>30 E Broad St</t>
  </si>
  <si>
    <t>I-200-20268-844660</t>
  </si>
  <si>
    <t>Hughes Network Systems LLC</t>
  </si>
  <si>
    <t>Human Resource Director</t>
  </si>
  <si>
    <t>mikell.gallegos@echostar.com</t>
  </si>
  <si>
    <t>Harman Becker Automotive Systems, Inc.</t>
  </si>
  <si>
    <t>30001 Cabot Drive</t>
  </si>
  <si>
    <t xml:space="preserve">Middle Management, Professional, and Support Compensation </t>
  </si>
  <si>
    <t>Neuropsychologists and Clinical Neuropsychologists</t>
  </si>
  <si>
    <t>I-200-20268-843708</t>
  </si>
  <si>
    <t>American Enterprise Institute for Public Policy Research</t>
  </si>
  <si>
    <t>1789 Massachusetts Avenue, NW</t>
  </si>
  <si>
    <t>Hollis</t>
  </si>
  <si>
    <t>Manager, HR and Talent Development</t>
  </si>
  <si>
    <t>1789 Massachusetts Avenue NW</t>
  </si>
  <si>
    <t>caroline.hollis@aei.org</t>
  </si>
  <si>
    <t>jthornhill@maggio-kattar.com</t>
  </si>
  <si>
    <t>I-200-20269-846425</t>
  </si>
  <si>
    <t>Roblox Corporation</t>
  </si>
  <si>
    <t>970 Park Place</t>
  </si>
  <si>
    <t>Duong</t>
  </si>
  <si>
    <t>Vivian</t>
  </si>
  <si>
    <t>immigration@roblox.com</t>
  </si>
  <si>
    <t>1730 MINOR AVENUE</t>
  </si>
  <si>
    <t>Carly</t>
  </si>
  <si>
    <t>I-200-20269-844926</t>
  </si>
  <si>
    <t>One Bowerman Dr,.</t>
  </si>
  <si>
    <t>One Bowerman Dr.</t>
  </si>
  <si>
    <t>dfinch@balglobal.com</t>
  </si>
  <si>
    <t>Human Resources Consultant</t>
  </si>
  <si>
    <t>Blue Bell</t>
  </si>
  <si>
    <t>Chris</t>
  </si>
  <si>
    <t>LAWRENCE</t>
  </si>
  <si>
    <t>Daniloff</t>
  </si>
  <si>
    <t>Hend</t>
  </si>
  <si>
    <t>CLERMONT</t>
  </si>
  <si>
    <t>NBAHNAN@FRAGOMEN.COM</t>
  </si>
  <si>
    <t>I-200-20268-843282</t>
  </si>
  <si>
    <t>ION Media Networks, Inc.</t>
  </si>
  <si>
    <t>601 Clearwater Park Road</t>
  </si>
  <si>
    <t>Kahme</t>
  </si>
  <si>
    <t>MicheleKahme@ionmedia.com</t>
  </si>
  <si>
    <t>810 7th Avenue</t>
  </si>
  <si>
    <t>ASTA CRS, INC.</t>
  </si>
  <si>
    <t>44121 HARRY BYRD HWY</t>
  </si>
  <si>
    <t>CHITRALA.USHA@ASTACRS.COM</t>
  </si>
  <si>
    <t>Shaik</t>
  </si>
  <si>
    <t>3003 160th Ave SE</t>
  </si>
  <si>
    <t>MDominik@Fragomen.com</t>
  </si>
  <si>
    <t>I-200-20269-846250</t>
  </si>
  <si>
    <t xml:space="preserve">Cardinal Health </t>
  </si>
  <si>
    <t>7000 Cardinal Place</t>
  </si>
  <si>
    <t>Wills</t>
  </si>
  <si>
    <t>Advisor, HR Administration EDM</t>
  </si>
  <si>
    <t>7000 CARDINAL PLACE</t>
  </si>
  <si>
    <t>timothy.wills@cardinalhealth.com</t>
  </si>
  <si>
    <t>5100 Rings Road</t>
  </si>
  <si>
    <t xml:space="preserve">Manager, HR Operations, Global Mobility </t>
  </si>
  <si>
    <t>SUITE 205</t>
  </si>
  <si>
    <t>I-200-20268-843479</t>
  </si>
  <si>
    <t>Freed</t>
  </si>
  <si>
    <t>150 Western Avenue</t>
  </si>
  <si>
    <t>Apptad Inc.</t>
  </si>
  <si>
    <t>1920 Association Dr.</t>
  </si>
  <si>
    <t>Gopalakrishnan</t>
  </si>
  <si>
    <t>Dhinakaran</t>
  </si>
  <si>
    <t>Immigration@apptad.com</t>
  </si>
  <si>
    <t>ewong@fisherphillips.com</t>
  </si>
  <si>
    <t xml:space="preserve">Fleming </t>
  </si>
  <si>
    <t xml:space="preserve">Fort Worth </t>
  </si>
  <si>
    <t>2019 General Industry MMPS Compensation Survey - U.S. (TAC)</t>
  </si>
  <si>
    <t>OBrien</t>
  </si>
  <si>
    <t>nhigdon@fragomen.com</t>
  </si>
  <si>
    <t>Satish</t>
  </si>
  <si>
    <t>ana.canlas@chugh.com</t>
  </si>
  <si>
    <t>DIETRICH 2020 SPRING ENGINEERING SALARY SURVEY</t>
  </si>
  <si>
    <t>Canyon Pointe N</t>
  </si>
  <si>
    <t>16th Floor</t>
  </si>
  <si>
    <t>Lynette</t>
  </si>
  <si>
    <t xml:space="preserve">1301 2nd Avenue </t>
  </si>
  <si>
    <t>tracy@eiglaw.com</t>
  </si>
  <si>
    <t xml:space="preserve">Dallas </t>
  </si>
  <si>
    <t>Chief Administrative Officer</t>
  </si>
  <si>
    <t>PAYAL</t>
  </si>
  <si>
    <t xml:space="preserve">909 E Collins Blvd, </t>
  </si>
  <si>
    <t>Romina</t>
  </si>
  <si>
    <t>LONG ISLAND CITY</t>
  </si>
  <si>
    <t>Lake Success</t>
  </si>
  <si>
    <t>HR Supervisor</t>
  </si>
  <si>
    <t>2019 General Industry MMPS Compensation Survey - U.S.</t>
  </si>
  <si>
    <t>Chadha</t>
  </si>
  <si>
    <t>I-200-20269-845492</t>
  </si>
  <si>
    <t xml:space="preserve">11325 Random Hills Road </t>
  </si>
  <si>
    <t xml:space="preserve">413 Watts Circle </t>
  </si>
  <si>
    <t>I-200-20269-845904</t>
  </si>
  <si>
    <t xml:space="preserve">Two Logan, 100  N 18th Street </t>
  </si>
  <si>
    <t>MILFORD</t>
  </si>
  <si>
    <t>55 Lake Ave North</t>
  </si>
  <si>
    <t>8383, Dominion Parkway</t>
  </si>
  <si>
    <t>Iris Software Inc</t>
  </si>
  <si>
    <t>ANSYS, Inc.</t>
  </si>
  <si>
    <t>2600 ANSYS Drive</t>
  </si>
  <si>
    <t>I-200-20269-845730</t>
  </si>
  <si>
    <t>University of Oklahoma Health Sciences Center</t>
  </si>
  <si>
    <t>865 Research Parkway</t>
  </si>
  <si>
    <t>Engles</t>
  </si>
  <si>
    <t>HR Analyst</t>
  </si>
  <si>
    <t>maria-engles@ouhsc.edu</t>
  </si>
  <si>
    <t>1110 N Stonewall Ave</t>
  </si>
  <si>
    <t>1001 DURHAM AVENUE</t>
  </si>
  <si>
    <t>Cranberry Township</t>
  </si>
  <si>
    <t>Insurance Services Office, Inc.</t>
  </si>
  <si>
    <t>Ellis</t>
  </si>
  <si>
    <t>Davian</t>
  </si>
  <si>
    <t>hana@vfemail.net</t>
  </si>
  <si>
    <t>I-200-20268-843050</t>
  </si>
  <si>
    <t>MARYLAND HEIGHTS</t>
  </si>
  <si>
    <t>4820 Emperor Blvd.</t>
  </si>
  <si>
    <t>NORTHAMPTON</t>
  </si>
  <si>
    <t>Stonebridge Consulting Group LLC</t>
  </si>
  <si>
    <t>27475 Ferry Road</t>
  </si>
  <si>
    <t>Warrenville</t>
  </si>
  <si>
    <t>MOHANTY</t>
  </si>
  <si>
    <t>SAROJ</t>
  </si>
  <si>
    <t>27475 FERRY ROAD</t>
  </si>
  <si>
    <t>WARRENVILLE</t>
  </si>
  <si>
    <t>SMOHANTY@BLACKCOMBCONSULTANTS.COM</t>
  </si>
  <si>
    <t>COLLIERVILLE</t>
  </si>
  <si>
    <t>3 State Farm Plaza South</t>
  </si>
  <si>
    <t>Synechron, Inc.</t>
  </si>
  <si>
    <t>Sr. Manager-HR</t>
  </si>
  <si>
    <t>Visa-US@Synechron.com</t>
  </si>
  <si>
    <t>300 S Brevard Street</t>
  </si>
  <si>
    <t>AUDIBLE, INC.</t>
  </si>
  <si>
    <t>ONE WASHINGTON PARK</t>
  </si>
  <si>
    <t>CRESPO / BRILL</t>
  </si>
  <si>
    <t>SABRINA / EVELYN</t>
  </si>
  <si>
    <t>VP, HR SYSTEMS &amp; OPERATIONS / SENIOR MANAGER, IMMIGRATION</t>
  </si>
  <si>
    <t>EVEBRILL@AUDIBLE.COM</t>
  </si>
  <si>
    <t>101 MAIN STREET</t>
  </si>
  <si>
    <t>Vice President, HR</t>
  </si>
  <si>
    <t>Kalluri</t>
  </si>
  <si>
    <t>BYTEWARE INC</t>
  </si>
  <si>
    <t>1325 SATELLITE BLVD</t>
  </si>
  <si>
    <t xml:space="preserve">INDUMATHI </t>
  </si>
  <si>
    <t>RAMESH@BYTEWAREINC.COM</t>
  </si>
  <si>
    <t>Dunn</t>
  </si>
  <si>
    <t>I-200-20268-843411</t>
  </si>
  <si>
    <t>Collabera Inc.</t>
  </si>
  <si>
    <t>110 Allen Road</t>
  </si>
  <si>
    <t>Patadia</t>
  </si>
  <si>
    <t>Dhar</t>
  </si>
  <si>
    <t>hireme@collabera.com</t>
  </si>
  <si>
    <t>800 W Trade ST</t>
  </si>
  <si>
    <t>13785 Research Blvd</t>
  </si>
  <si>
    <t>I-200-20268-843728</t>
  </si>
  <si>
    <t>5055 North Point Parkway</t>
  </si>
  <si>
    <t>SR. SPECIALIST, HR</t>
  </si>
  <si>
    <t>I-200-20268-843875</t>
  </si>
  <si>
    <t>Heatcraft Refrigeration Products LLC</t>
  </si>
  <si>
    <t>2140 Lake Park Blvd</t>
  </si>
  <si>
    <t>Wieland</t>
  </si>
  <si>
    <t>Outside Consultant</t>
  </si>
  <si>
    <t>ron.wieland@lennoxintl.com</t>
  </si>
  <si>
    <t>2175 West Park Place Blvd</t>
  </si>
  <si>
    <t>Stone Mountain</t>
  </si>
  <si>
    <t>Gen Industry MMPS Comp Survey (AZE000-Engineering Gen)</t>
  </si>
  <si>
    <t>vtorres@fragomen.com</t>
  </si>
  <si>
    <t xml:space="preserve">Trimble Inc. </t>
  </si>
  <si>
    <t>10368 Westmoor Drive</t>
  </si>
  <si>
    <t xml:space="preserve">Boston </t>
  </si>
  <si>
    <t>NCR.IMMIGRATION@NCR.COM</t>
  </si>
  <si>
    <t>Thornton</t>
  </si>
  <si>
    <t>EANTOKAL@FRAGOMEN.COM</t>
  </si>
  <si>
    <t>I-200-20268-844503</t>
  </si>
  <si>
    <t>GLOBAL IT SOLUTIONS INC</t>
  </si>
  <si>
    <t>6417 PENN AVE S</t>
  </si>
  <si>
    <t xml:space="preserve">MINNEAPOLIS </t>
  </si>
  <si>
    <t xml:space="preserve">BURRA </t>
  </si>
  <si>
    <t xml:space="preserve">MURALI KRISHNA </t>
  </si>
  <si>
    <t>mburra@globalitsolutionsinc.com</t>
  </si>
  <si>
    <t xml:space="preserve">2025 HAMILTON AVE </t>
  </si>
  <si>
    <t>Bill Me Later, Inc.</t>
  </si>
  <si>
    <t>9690 Deereco Rd.</t>
  </si>
  <si>
    <t>Timonium</t>
  </si>
  <si>
    <t>Global_Mobility@paypal.com</t>
  </si>
  <si>
    <t>I-200-20269-845405</t>
  </si>
  <si>
    <t>Georgia-Pacific Consumer Products LP</t>
  </si>
  <si>
    <t>133  Peachtree St</t>
  </si>
  <si>
    <t>133 Peachtree Street</t>
  </si>
  <si>
    <t>Jessica.Lau@ca.ey.com</t>
  </si>
  <si>
    <t>Spring Engineering Salary Survey</t>
  </si>
  <si>
    <t>10 South Dearborn Street</t>
  </si>
  <si>
    <t>Attorney in Fact/Immigration Senior Specialist</t>
  </si>
  <si>
    <t>jeanpierre.hendrix@ogletree.com</t>
  </si>
  <si>
    <t>1700 7th Avenue</t>
  </si>
  <si>
    <t>Kirby</t>
  </si>
  <si>
    <t>Ray</t>
  </si>
  <si>
    <t>Manager, Talent Mobility</t>
  </si>
  <si>
    <t>ray.kirby@nordstrom.com</t>
  </si>
  <si>
    <t>rmedinarios@balglobal.com</t>
  </si>
  <si>
    <t>321, West Main Street</t>
  </si>
  <si>
    <t>Joyce</t>
  </si>
  <si>
    <t>none</t>
  </si>
  <si>
    <t>500 W Main Street</t>
  </si>
  <si>
    <t>285 Peachtree Center Avenue NE</t>
  </si>
  <si>
    <t>Tacoma</t>
  </si>
  <si>
    <t>gigi.yeung@morganlewis.com</t>
  </si>
  <si>
    <t>ALEISHA.LEE@OGLETREEDEAKINS.COM</t>
  </si>
  <si>
    <t>Surgeons</t>
  </si>
  <si>
    <t>hr@firstconsultinggrp.com</t>
  </si>
  <si>
    <t xml:space="preserve">Kirkland </t>
  </si>
  <si>
    <t>Medical Science &amp; Computing, LLC</t>
  </si>
  <si>
    <t>11300 Rockville Pike, Suite 1100</t>
  </si>
  <si>
    <t>Koroleva</t>
  </si>
  <si>
    <t>Sr. VP, Bioinformatics &amp; Life Sciences</t>
  </si>
  <si>
    <t xml:space="preserve">11300 Rockville Pike, Suite 1100 </t>
  </si>
  <si>
    <t>Anna@mscweb.com</t>
  </si>
  <si>
    <t>Microchip Technology Inc.</t>
  </si>
  <si>
    <t>2355 W. Chandler Blvd.</t>
  </si>
  <si>
    <t>Carr</t>
  </si>
  <si>
    <t>Sr. VP Global Human Resources</t>
  </si>
  <si>
    <t>Lauren.Carr@Microchip.com</t>
  </si>
  <si>
    <t>Rock Central LLC</t>
  </si>
  <si>
    <t>1090 Woodward Avenue</t>
  </si>
  <si>
    <t>People Shared Solutions Partner</t>
  </si>
  <si>
    <t>I-200-20269-846095</t>
  </si>
  <si>
    <t>680 W. Maude Ave.</t>
  </si>
  <si>
    <t>123 E Main St</t>
  </si>
  <si>
    <t>29755 Louis Chevrolet Road</t>
  </si>
  <si>
    <t>I-200-20268-844058</t>
  </si>
  <si>
    <t>1100 SW 6th Avenue</t>
  </si>
  <si>
    <t>Landry</t>
  </si>
  <si>
    <t>1 Commerce Plaza</t>
  </si>
  <si>
    <t>Three Apple Hill Drive</t>
  </si>
  <si>
    <t>Rene</t>
  </si>
  <si>
    <t>CORPORATE COMPUTER SERVICES</t>
  </si>
  <si>
    <t>24155 DRAKE ROAD, SUITE 110</t>
  </si>
  <si>
    <t>Bhardwaj</t>
  </si>
  <si>
    <t>AETNA RESOURCES LLC</t>
  </si>
  <si>
    <t>c/o CVS HEALTH 695 GEORGE WASHINGTON AVENUE</t>
  </si>
  <si>
    <t>LINCOLN</t>
  </si>
  <si>
    <t>MESSENGER</t>
  </si>
  <si>
    <t>PAUL</t>
  </si>
  <si>
    <t>REIFLER</t>
  </si>
  <si>
    <t>IMMIGRATION PROGRAM LEAD, HR SHARED SERVICES</t>
  </si>
  <si>
    <t>AETNA RESOURCES c/o CVS HEALTH</t>
  </si>
  <si>
    <t>IMMIGRATIONSUPPORT@CVSHEALTH.COM</t>
  </si>
  <si>
    <t>WORK AT HOME</t>
  </si>
  <si>
    <t>35 WESTWOOD CIR</t>
  </si>
  <si>
    <t>MARK.GARCERAN@FRAGOMEN.COM</t>
  </si>
  <si>
    <t>11450 Grooms Road</t>
  </si>
  <si>
    <t>pcervantes@jackson-hertogs.com</t>
  </si>
  <si>
    <t>2900 Westside Parkway</t>
  </si>
  <si>
    <t>TALLURI</t>
  </si>
  <si>
    <t>50 Northern Avenue</t>
  </si>
  <si>
    <t>SMENDL@BALGLOBAL.COM</t>
  </si>
  <si>
    <t>I-200-20268-844062</t>
  </si>
  <si>
    <t>Satcon, Inc.</t>
  </si>
  <si>
    <t>17440 N. Dallas Parkway</t>
  </si>
  <si>
    <t>Mutyala</t>
  </si>
  <si>
    <t>Pmutyala@Satconus.Com</t>
  </si>
  <si>
    <t>2211 S 47th Street</t>
  </si>
  <si>
    <t>Apt 206</t>
  </si>
  <si>
    <t>Account Manager</t>
  </si>
  <si>
    <t>Mount Prospect</t>
  </si>
  <si>
    <t>College of Agricultural Sciences</t>
  </si>
  <si>
    <t>CENTRE</t>
  </si>
  <si>
    <t>I-200-20269-845760</t>
  </si>
  <si>
    <t>Nomura America Services, LLC</t>
  </si>
  <si>
    <t>Worldwide Plaza 309 West 49th Street</t>
  </si>
  <si>
    <t>Bohan</t>
  </si>
  <si>
    <t>Executive Director, Human Resources, Americas</t>
  </si>
  <si>
    <t>michael.bohan@nomura.com</t>
  </si>
  <si>
    <t>bmichaels@kramerlevin.com</t>
  </si>
  <si>
    <t>Investment Fund Managers</t>
  </si>
  <si>
    <t>Apt. 104</t>
  </si>
  <si>
    <t>1455 Market St.</t>
  </si>
  <si>
    <t>soh@kramerlevin.com</t>
  </si>
  <si>
    <t>I-200-20269-845421</t>
  </si>
  <si>
    <t>102 COMMUNITY DR APT E</t>
  </si>
  <si>
    <t>READING</t>
  </si>
  <si>
    <t>WASHINGTON DC</t>
  </si>
  <si>
    <t>WorldQuant, LLC</t>
  </si>
  <si>
    <t>1700 E. Putnam Avenue</t>
  </si>
  <si>
    <t>Old Greenwich</t>
  </si>
  <si>
    <t>650 Fifth Avenue</t>
  </si>
  <si>
    <t>32nd Floor</t>
  </si>
  <si>
    <t xml:space="preserve">Venkatesh </t>
  </si>
  <si>
    <t>Bimal.Asher@ness.com</t>
  </si>
  <si>
    <t>E. I. Du Pont de Nemours and Company</t>
  </si>
  <si>
    <t>974 Centre Road</t>
  </si>
  <si>
    <t>8325 NW 62nd Avenue</t>
  </si>
  <si>
    <t>mel.johnson@corteva.com</t>
  </si>
  <si>
    <t>Aditya</t>
  </si>
  <si>
    <t>30th Floor</t>
  </si>
  <si>
    <t>1306 Goshen Parkway</t>
  </si>
  <si>
    <t>ERIC</t>
  </si>
  <si>
    <t>3400 Hillview Ave</t>
  </si>
  <si>
    <t>820 S Flower St</t>
  </si>
  <si>
    <t>ROLLING MEADOWS</t>
  </si>
  <si>
    <t>AbbVie Inc</t>
  </si>
  <si>
    <t>Gardena</t>
  </si>
  <si>
    <t>Civil Engineering Technicians</t>
  </si>
  <si>
    <t>I-200-20269-846287</t>
  </si>
  <si>
    <t>415 E Exchange Pkwy</t>
  </si>
  <si>
    <t>Cotiviti Inc.</t>
  </si>
  <si>
    <t>1 Glenlake Parkway NE</t>
  </si>
  <si>
    <t>Myers</t>
  </si>
  <si>
    <t>HR Compliance Analyst</t>
  </si>
  <si>
    <t>Brittany.Myers@cotiviti.com</t>
  </si>
  <si>
    <t>Venkat</t>
  </si>
  <si>
    <t>Camarah</t>
  </si>
  <si>
    <t>Fatou</t>
  </si>
  <si>
    <t>FCAMARA1@JHMI.EDU</t>
  </si>
  <si>
    <t>I-200-20269-844920</t>
  </si>
  <si>
    <t>Compubahn, Inc.</t>
  </si>
  <si>
    <t>7910 Woodmont Ave.</t>
  </si>
  <si>
    <t>Aggarwal</t>
  </si>
  <si>
    <t>Raajeev</t>
  </si>
  <si>
    <t>aggarwal@compubahn.com</t>
  </si>
  <si>
    <t>2115 E. Jefferson St.</t>
  </si>
  <si>
    <t>IT TRAILBLAZERS LLC</t>
  </si>
  <si>
    <t>485 E ROUTE 1 SOUTH WOODBRIDGE CORPORATE PLAZA</t>
  </si>
  <si>
    <t xml:space="preserve"> GAMINI</t>
  </si>
  <si>
    <t>VP-LEGAL &amp; HR</t>
  </si>
  <si>
    <t>hr@ittblazers.com</t>
  </si>
  <si>
    <t>Asha</t>
  </si>
  <si>
    <t>I-200-20269-845099</t>
  </si>
  <si>
    <t>Visa Advisor</t>
  </si>
  <si>
    <t>1 Cyclotron Rd</t>
  </si>
  <si>
    <t>mhnguyen@lbl.gov</t>
  </si>
  <si>
    <t>nadine.trinh@jacksonlewis.com</t>
  </si>
  <si>
    <t>Manager HR</t>
  </si>
  <si>
    <t>Branchburg</t>
  </si>
  <si>
    <t>LogMeIn USA ,Inc.</t>
  </si>
  <si>
    <t>320 Summer Street</t>
  </si>
  <si>
    <t>FROST</t>
  </si>
  <si>
    <t>CAITLIN</t>
  </si>
  <si>
    <t>Caitlin.Frost@logmein.com</t>
  </si>
  <si>
    <t>JULIE</t>
  </si>
  <si>
    <t>ASSISTANT GENERAL COUNSEL</t>
  </si>
  <si>
    <t>I-200-20268-843111</t>
  </si>
  <si>
    <t>5303 Winghaven Pointe Dr</t>
  </si>
  <si>
    <t>Wisner</t>
  </si>
  <si>
    <t>d-wisner2@ti.com</t>
  </si>
  <si>
    <t>Verona</t>
  </si>
  <si>
    <t>222 Broadway</t>
  </si>
  <si>
    <t>Ashwin</t>
  </si>
  <si>
    <t>9999 N. 90th Street</t>
  </si>
  <si>
    <t xml:space="preserve">345 Spear Street </t>
  </si>
  <si>
    <t>Vijaya Sagar</t>
  </si>
  <si>
    <t>Debra</t>
  </si>
  <si>
    <t>Obstetricians and Gynecologists</t>
  </si>
  <si>
    <t>I-200-20268-844669</t>
  </si>
  <si>
    <t>XRS Corporation</t>
  </si>
  <si>
    <t>717 N. Harwood St.</t>
  </si>
  <si>
    <t>Durbin</t>
  </si>
  <si>
    <t xml:space="preserve">Associate, HR Generalist </t>
  </si>
  <si>
    <t>717 N Harwood Street</t>
  </si>
  <si>
    <t>adurbin@omnitracs.com</t>
  </si>
  <si>
    <t>150 Palsgrove Way</t>
  </si>
  <si>
    <t>Chester Springs</t>
  </si>
  <si>
    <t>WHITFIELD</t>
  </si>
  <si>
    <t>Floor 7th</t>
  </si>
  <si>
    <t>Sammamish</t>
  </si>
  <si>
    <t>2100 UNIVERSITY AVENUE</t>
  </si>
  <si>
    <t>EAST PALO ALTO</t>
  </si>
  <si>
    <t>jay@immigration.global</t>
  </si>
  <si>
    <t>I-200-20268-844072</t>
  </si>
  <si>
    <t>Iconsoft inc.</t>
  </si>
  <si>
    <t xml:space="preserve">1722 Routh St., Suite 1300 </t>
  </si>
  <si>
    <t xml:space="preserve"> Dallas</t>
  </si>
  <si>
    <t>Techno Bytes Inc.</t>
  </si>
  <si>
    <t>Ashland</t>
  </si>
  <si>
    <t>Sarika</t>
  </si>
  <si>
    <t>legal@techno-bytes.com</t>
  </si>
  <si>
    <t>1900 UNIVERSITY AVENUE</t>
  </si>
  <si>
    <t>WESTERVILLE</t>
  </si>
  <si>
    <t>VINCENT</t>
  </si>
  <si>
    <t>1 EXPRESS WAY</t>
  </si>
  <si>
    <t>CORMIER / MILLER</t>
  </si>
  <si>
    <t>HAZEL / KELSEY</t>
  </si>
  <si>
    <t>DIRECTOR, TALENT ACQUISITION / SR. MANAGER, TALENT</t>
  </si>
  <si>
    <t>IMMIGRATION@EXPRESS-SCRIPTS.COM</t>
  </si>
  <si>
    <t xml:space="preserve">8th Floor </t>
  </si>
  <si>
    <t>SwiftWIN Solutions,Inc.</t>
  </si>
  <si>
    <t xml:space="preserve">11220 Elm Lane </t>
  </si>
  <si>
    <t>Pranav</t>
  </si>
  <si>
    <t>11220 Elm Lane</t>
  </si>
  <si>
    <t>ripalp@swiftwininc.com</t>
  </si>
  <si>
    <t>Nikhilsunr@employmentimmigration.com</t>
  </si>
  <si>
    <t>DROPBOX, INC.</t>
  </si>
  <si>
    <t>1800 OWENS STREET</t>
  </si>
  <si>
    <t>Longnecker</t>
  </si>
  <si>
    <t>Intan</t>
  </si>
  <si>
    <t>Relocation &amp; Immigration Program Manager</t>
  </si>
  <si>
    <t>immigration@dropbox.com</t>
  </si>
  <si>
    <t>1800 Owens Street</t>
  </si>
  <si>
    <t>1 DNA Way</t>
  </si>
  <si>
    <t>cprescott@patellegal.com</t>
  </si>
  <si>
    <t>1600 Smith Street</t>
  </si>
  <si>
    <t>I-200-20269-846289</t>
  </si>
  <si>
    <t>SAIPSIT, Inc.</t>
  </si>
  <si>
    <t>10998 S Wilcrest Dr.</t>
  </si>
  <si>
    <t>MondalReddy</t>
  </si>
  <si>
    <t>Narender</t>
  </si>
  <si>
    <t>VP Operations</t>
  </si>
  <si>
    <t>narender@saipsit.com</t>
  </si>
  <si>
    <t xml:space="preserve">717 Office Parkway </t>
  </si>
  <si>
    <t>I-200-20268-843953</t>
  </si>
  <si>
    <t>Shay Tech, Inc.</t>
  </si>
  <si>
    <t xml:space="preserve">171 Bright Poppy </t>
  </si>
  <si>
    <t>171 Bright Poppy</t>
  </si>
  <si>
    <t>ashwin.rao@shaytechinc.com</t>
  </si>
  <si>
    <t>21215 Burbank Blvd.</t>
  </si>
  <si>
    <t>Pacific Investment Management Company LLC</t>
  </si>
  <si>
    <t>NGUYEN</t>
  </si>
  <si>
    <t>KEN</t>
  </si>
  <si>
    <t>HD Consulting Services LLC</t>
  </si>
  <si>
    <t>7 Times Square</t>
  </si>
  <si>
    <t>Cao</t>
  </si>
  <si>
    <t>Jing</t>
  </si>
  <si>
    <t>GEORGE.J.CAO@GMAIL.COM</t>
  </si>
  <si>
    <t>Suite 3501</t>
  </si>
  <si>
    <t>slee@leelaw.org</t>
  </si>
  <si>
    <t>399 Revolution Drive</t>
  </si>
  <si>
    <t>I-200-20269-846565</t>
  </si>
  <si>
    <t xml:space="preserve"> Rakesh  </t>
  </si>
  <si>
    <t>HQ1 8200 Jones Branch Dr</t>
  </si>
  <si>
    <t>TRISYNC TECHNOLOGIES INC.</t>
  </si>
  <si>
    <t>5001 HADLEY ROAD</t>
  </si>
  <si>
    <t>RAVIRAJ</t>
  </si>
  <si>
    <t>POORNIMAH</t>
  </si>
  <si>
    <t>HR@TRISYNCTECH.COM</t>
  </si>
  <si>
    <t xml:space="preserve">SAN JOSE </t>
  </si>
  <si>
    <t>Nguyen / Willems</t>
  </si>
  <si>
    <t>Lynda / Vera</t>
  </si>
  <si>
    <t>Specialist 3, Global Mobility / Manager, Global Mobility</t>
  </si>
  <si>
    <t>BRISTLECONE, INC.</t>
  </si>
  <si>
    <t>10 ALMADEN BLVD.</t>
  </si>
  <si>
    <t>ABHYANKAR</t>
  </si>
  <si>
    <t>DEVYANI</t>
  </si>
  <si>
    <t>DIRECTOR -HR; NA &amp; EUROPE</t>
  </si>
  <si>
    <t>DEVYANI.ABHYANKAR@BCONE.COM</t>
  </si>
  <si>
    <t>I-200-20270-846841</t>
  </si>
  <si>
    <t>I-200-20269-846123</t>
  </si>
  <si>
    <t>5 Peters Canyon Road</t>
  </si>
  <si>
    <t>I-200-20269-845237</t>
  </si>
  <si>
    <t>600 HIDDEN RIDGE</t>
  </si>
  <si>
    <t xml:space="preserve">315 DEADERICK STREET	</t>
  </si>
  <si>
    <t>PARKER.BRAMMER@ODNSS.COM</t>
  </si>
  <si>
    <t>Gillian</t>
  </si>
  <si>
    <t>350 Spectrum Loop</t>
  </si>
  <si>
    <t>Colorado Spring</t>
  </si>
  <si>
    <t>Kennedy</t>
  </si>
  <si>
    <t>LAUREN</t>
  </si>
  <si>
    <t>Ste 200</t>
  </si>
  <si>
    <t>Sparks</t>
  </si>
  <si>
    <t>3959 Fifth Ave</t>
  </si>
  <si>
    <t>Benitez Nunez</t>
  </si>
  <si>
    <t xml:space="preserve"> Cintia</t>
  </si>
  <si>
    <t>MCB139@pitt.edu</t>
  </si>
  <si>
    <t>I-200-20268-844888</t>
  </si>
  <si>
    <t>Global Compliance &amp; Immigration Mgr / Senior PM, Immigration</t>
  </si>
  <si>
    <t>4425 Issaquah Pine Lake Rd SE</t>
  </si>
  <si>
    <t>Apt. G31</t>
  </si>
  <si>
    <t>I-200-20269-845230</t>
  </si>
  <si>
    <t>Applied Materials, Inc</t>
  </si>
  <si>
    <t>Trevino/ Llanos</t>
  </si>
  <si>
    <t>Monica/ Daisy</t>
  </si>
  <si>
    <t>3225 OAKMEAD VILLAGE DRIVE</t>
  </si>
  <si>
    <t>I-200-20269-844938</t>
  </si>
  <si>
    <t>Architecture 2020 Survey</t>
  </si>
  <si>
    <t>Loveland</t>
  </si>
  <si>
    <t>Qualtrics, LLC</t>
  </si>
  <si>
    <t>Rotter</t>
  </si>
  <si>
    <t>erinr@qualtrics.com</t>
  </si>
  <si>
    <t>4100 Spring Valley Rd</t>
  </si>
  <si>
    <t>7901 INNOVATION WAY</t>
  </si>
  <si>
    <t>Narasimha Rao</t>
  </si>
  <si>
    <t>29427 Louis Chevrolet Road</t>
  </si>
  <si>
    <t>950 W. Maude Avenue</t>
  </si>
  <si>
    <t>THIRD FLOOR</t>
  </si>
  <si>
    <t>Saama Technologies, Inc.</t>
  </si>
  <si>
    <t>900 E. Hamilton Ave</t>
  </si>
  <si>
    <t>Dadia</t>
  </si>
  <si>
    <t>Rajeev</t>
  </si>
  <si>
    <t>Chief Client Care Officer&amp;Chief Technology Officer</t>
  </si>
  <si>
    <t>immigration@saama.com</t>
  </si>
  <si>
    <t>Northville</t>
  </si>
  <si>
    <t>CUMBERLAND TOWN</t>
  </si>
  <si>
    <t>1120 ENTERPRISE WAY</t>
  </si>
  <si>
    <t>TraceLink, Inc.</t>
  </si>
  <si>
    <t>hai@peterchu.com</t>
  </si>
  <si>
    <t>I-200-20269-845369</t>
  </si>
  <si>
    <t>4714 Murray Lake Lane</t>
  </si>
  <si>
    <t>Apartment B</t>
  </si>
  <si>
    <t>2455 PACES FERRY ROAD SOUTHEAST</t>
  </si>
  <si>
    <t xml:space="preserve">Portland </t>
  </si>
  <si>
    <t>DYE / KAGEYAMA / DONALDSON</t>
  </si>
  <si>
    <t>JONNA / REBECCA / SHIREEN</t>
  </si>
  <si>
    <t>JONNA.DYE@KEYSIGHT.COM</t>
  </si>
  <si>
    <t>AnnYoung@Fragomen.com</t>
  </si>
  <si>
    <t>I-200-20268-844223</t>
  </si>
  <si>
    <t>Environmental Systems Research Institute, Inc. (Esri)</t>
  </si>
  <si>
    <t xml:space="preserve">380 New York Street </t>
  </si>
  <si>
    <t>Tencent America LLC</t>
  </si>
  <si>
    <t>2747 PARK BLVD</t>
  </si>
  <si>
    <t>HO</t>
  </si>
  <si>
    <t>IVY</t>
  </si>
  <si>
    <t>US-immigration@tencent.com</t>
  </si>
  <si>
    <t>LAURENS</t>
  </si>
  <si>
    <t>PAAL</t>
  </si>
  <si>
    <t>TITHEE</t>
  </si>
  <si>
    <t>TITHEE.PAAL@ASPIRESYS.COM</t>
  </si>
  <si>
    <t>Sociologists</t>
  </si>
  <si>
    <t>Suite 205</t>
  </si>
  <si>
    <t>I-200-20269-845348</t>
  </si>
  <si>
    <t>DiMeo Schneider &amp; Associates, L.L.C.</t>
  </si>
  <si>
    <t>500 W. Madison Street</t>
  </si>
  <si>
    <t>DiMeo</t>
  </si>
  <si>
    <t>500 W. Madison St.</t>
  </si>
  <si>
    <t>sevans@dimeoschneider.com</t>
  </si>
  <si>
    <t>faye@dmcausa.com</t>
  </si>
  <si>
    <t>125 CAMBRIDGE PARK DR</t>
  </si>
  <si>
    <t>Grocery Delivery E-Services USA, Inc.</t>
  </si>
  <si>
    <t>28 Liberty Street</t>
  </si>
  <si>
    <t xml:space="preserve">Jacobson </t>
  </si>
  <si>
    <t xml:space="preserve">Suzanne </t>
  </si>
  <si>
    <t>suzanne.jacobson@hellofresh.com</t>
  </si>
  <si>
    <t>I-200-20268-843141</t>
  </si>
  <si>
    <t>44 Center Grove Rd, Apt R-19</t>
  </si>
  <si>
    <t>I-200-20268-844772</t>
  </si>
  <si>
    <t>Naztec International Group LLC</t>
  </si>
  <si>
    <t>480 TALL PINES ROAD</t>
  </si>
  <si>
    <t xml:space="preserve">WEST PALM BEACH </t>
  </si>
  <si>
    <t xml:space="preserve">Velarde Alvarez </t>
  </si>
  <si>
    <t xml:space="preserve">Jesus </t>
  </si>
  <si>
    <t xml:space="preserve">Operations Manager </t>
  </si>
  <si>
    <t xml:space="preserve">480 Tall Pines Road </t>
  </si>
  <si>
    <t xml:space="preserve">West Palm Beach </t>
  </si>
  <si>
    <t>jesus@naztecgroup.com</t>
  </si>
  <si>
    <t xml:space="preserve">301 N. Olive Avenue </t>
  </si>
  <si>
    <t>I-200-20269-845674</t>
  </si>
  <si>
    <t>1160 Teller Avenue</t>
  </si>
  <si>
    <t>9800 FREDERICKSBURG ROAD</t>
  </si>
  <si>
    <t>I-200-20269-845978</t>
  </si>
  <si>
    <t>6750 Miller Road</t>
  </si>
  <si>
    <t>VENTURESOFT GLOBAL INC</t>
  </si>
  <si>
    <t>6600 KOLL CENTER PARKWAY</t>
  </si>
  <si>
    <t>BHAT</t>
  </si>
  <si>
    <t>VIDYA</t>
  </si>
  <si>
    <t>VIDYA@VSTGLOBAL.COM</t>
  </si>
  <si>
    <t>Karla</t>
  </si>
  <si>
    <t>4001 Lexington Avenue North</t>
  </si>
  <si>
    <t>Arlington Heights</t>
  </si>
  <si>
    <t>Zenith Services, Inc</t>
  </si>
  <si>
    <t>4390 US Highway 1</t>
  </si>
  <si>
    <t>Addala</t>
  </si>
  <si>
    <t>Udayasri</t>
  </si>
  <si>
    <t>hr@zenithcad.com</t>
  </si>
  <si>
    <t>I-200-20268-844064</t>
  </si>
  <si>
    <t>Gabriel</t>
  </si>
  <si>
    <t>MelissaF@costariccio.com</t>
  </si>
  <si>
    <t>I-200-20268-843669</t>
  </si>
  <si>
    <t>Apt 103</t>
  </si>
  <si>
    <t>1000 Omega Drive</t>
  </si>
  <si>
    <t>JAYA</t>
  </si>
  <si>
    <t>SPARTANBURG</t>
  </si>
  <si>
    <t>I-200-20268-844774</t>
  </si>
  <si>
    <t xml:space="preserve">Savi Technologies, Inc. </t>
  </si>
  <si>
    <t>1325 Satellite Blvd NW</t>
  </si>
  <si>
    <t xml:space="preserve">Mupparaju </t>
  </si>
  <si>
    <t>Jagadeesh</t>
  </si>
  <si>
    <t>jagadeesh@savi-tech.com</t>
  </si>
  <si>
    <t>shameed@lucylulaw.com</t>
  </si>
  <si>
    <t>Life Scientists, All Other</t>
  </si>
  <si>
    <t>Melville</t>
  </si>
  <si>
    <t>I-200-20269-845102</t>
  </si>
  <si>
    <t>500 WOODWARD AVENUE</t>
  </si>
  <si>
    <t>Sourceinfo Tech Inc.</t>
  </si>
  <si>
    <t>3840 Park Avenue</t>
  </si>
  <si>
    <t>alok@sourceinfotech.com</t>
  </si>
  <si>
    <t>13736 RIVERPORT DRIVE</t>
  </si>
  <si>
    <t>ONTARIO</t>
  </si>
  <si>
    <t>1899 Wynkoop Street</t>
  </si>
  <si>
    <t>Suite 215</t>
  </si>
  <si>
    <t>rgoldstein@lawmh.com</t>
  </si>
  <si>
    <t>Patrice</t>
  </si>
  <si>
    <t>Maple Grove</t>
  </si>
  <si>
    <t>2050 Roanoke Road</t>
  </si>
  <si>
    <t>I-200-20268-843019</t>
  </si>
  <si>
    <t>30 Newport Pkwy</t>
  </si>
  <si>
    <t>Apt 3302</t>
  </si>
  <si>
    <t>IQVIA Inc.</t>
  </si>
  <si>
    <t>I-200-20269-845278</t>
  </si>
  <si>
    <t>FINEOS CORPORATION</t>
  </si>
  <si>
    <t>1375 Peachtree Street NW</t>
  </si>
  <si>
    <t>1372 Peachtree Street</t>
  </si>
  <si>
    <t>Patrice.Williams@FINEOS.com</t>
  </si>
  <si>
    <t>1918 Golden Gate Ave</t>
  </si>
  <si>
    <t>I-200-20268-843899</t>
  </si>
  <si>
    <t>Kris</t>
  </si>
  <si>
    <t>Illumina, Inc.</t>
  </si>
  <si>
    <t>5200 Illumina Way</t>
  </si>
  <si>
    <t>Sittner</t>
  </si>
  <si>
    <t>Natacha</t>
  </si>
  <si>
    <t>Manager, Talent Mobility and People Operations</t>
  </si>
  <si>
    <t>immigration@illumina.com</t>
  </si>
  <si>
    <t>4795 Executive Drive</t>
  </si>
  <si>
    <t>jill.martin@bayer.com</t>
  </si>
  <si>
    <t>JNIT Technologies Inc</t>
  </si>
  <si>
    <t>3145 Bordentown Ave</t>
  </si>
  <si>
    <t>Nikesh</t>
  </si>
  <si>
    <t>hr@jnitinc.com</t>
  </si>
  <si>
    <t>Hopkinton</t>
  </si>
  <si>
    <t>I-200-20269-845259</t>
  </si>
  <si>
    <t>300 GARLINGTON ROAD</t>
  </si>
  <si>
    <t>GREENVILLE</t>
  </si>
  <si>
    <t>THOMAS</t>
  </si>
  <si>
    <t>Illumio, Inc.</t>
  </si>
  <si>
    <t>920 De Guigne Drive</t>
  </si>
  <si>
    <t>Fagel</t>
  </si>
  <si>
    <t>Senior People Operations Specialist</t>
  </si>
  <si>
    <t>susan.fagel@illumio.com</t>
  </si>
  <si>
    <t>9000 Rockville Pike</t>
  </si>
  <si>
    <t>Jamil</t>
  </si>
  <si>
    <t>MONONGALIA</t>
  </si>
  <si>
    <t>Division of International Services/ORS</t>
  </si>
  <si>
    <t>520 MADISON AVENUE</t>
  </si>
  <si>
    <t>30TH FLOOR</t>
  </si>
  <si>
    <t>I-200-20268-844846</t>
  </si>
  <si>
    <t>2131 Walnut Grove Ave</t>
  </si>
  <si>
    <t>Rosemead</t>
  </si>
  <si>
    <t>Raman</t>
  </si>
  <si>
    <t>CHIEF PEOPLE OFFICER</t>
  </si>
  <si>
    <t>Director of Finance</t>
  </si>
  <si>
    <t>900 ARASTRADERO ROAD</t>
  </si>
  <si>
    <t>AURORA</t>
  </si>
  <si>
    <t>Motwani</t>
  </si>
  <si>
    <t>VP &amp; ASSOCIATE GENERAL COUNSEL - EMPLOYMENT LAW</t>
  </si>
  <si>
    <t xml:space="preserve">Irving </t>
  </si>
  <si>
    <t>6201 South Fwy</t>
  </si>
  <si>
    <t>I-200-20268-843592</t>
  </si>
  <si>
    <t>Brown University, Investment Office</t>
  </si>
  <si>
    <t>121 South Main Street</t>
  </si>
  <si>
    <t>I-200-20269-845203</t>
  </si>
  <si>
    <t xml:space="preserve">3003 160th Ave SE </t>
  </si>
  <si>
    <t>I-200-20268-844631</t>
  </si>
  <si>
    <t>10 Bits, LLC</t>
  </si>
  <si>
    <t>9901 E Valley Ranch Parkway</t>
  </si>
  <si>
    <t>satish@10bits.com</t>
  </si>
  <si>
    <t>1 Franklin Parkway</t>
  </si>
  <si>
    <t>Building 910</t>
  </si>
  <si>
    <t>QUEST GLOBAL SERVICES- N.A., INC.</t>
  </si>
  <si>
    <t>111 FOUNDERS PLAZA, SUITE 1701</t>
  </si>
  <si>
    <t>MANJUNATH</t>
  </si>
  <si>
    <t>HEAD HR FOR US OPERATIONS</t>
  </si>
  <si>
    <t>USH1B@QUEST-GLOBAL.COM</t>
  </si>
  <si>
    <t>1455 Southwest Broadway</t>
  </si>
  <si>
    <t>I-200-20268-844593</t>
  </si>
  <si>
    <t>THORNTON TOMASETTI, INC.</t>
  </si>
  <si>
    <t>51 MADISON AVENUE</t>
  </si>
  <si>
    <t>Mahabir</t>
  </si>
  <si>
    <t>51 Madison Avenue</t>
  </si>
  <si>
    <t>SMahabir@thorntontomasetti.com</t>
  </si>
  <si>
    <t>27 Wormwood</t>
  </si>
  <si>
    <t>7701 E Telecom Pkwy</t>
  </si>
  <si>
    <t>LAIA</t>
  </si>
  <si>
    <t>SR. IMMIGRATION CONSULTANT</t>
  </si>
  <si>
    <t>kkellar@meltzerhellrung.com</t>
  </si>
  <si>
    <t>699 walnut st</t>
  </si>
  <si>
    <t>Mounds View</t>
  </si>
  <si>
    <t>I-200-20268-844670</t>
  </si>
  <si>
    <t>brlewis@seyfarth.com</t>
  </si>
  <si>
    <t>Business Manager</t>
  </si>
  <si>
    <t xml:space="preserve">INDOTRONIX INTERNATIONAL CORPORATION </t>
  </si>
  <si>
    <t>Rami@iic.com</t>
  </si>
  <si>
    <t>I-200-20268-844193</t>
  </si>
  <si>
    <t>Cancer Specialists, LLC</t>
  </si>
  <si>
    <t>7015 A. C. Skinner Parkway</t>
  </si>
  <si>
    <t xml:space="preserve">Doreen </t>
  </si>
  <si>
    <t>Sousa</t>
  </si>
  <si>
    <t>doreen.sousa@csnf.us</t>
  </si>
  <si>
    <t>7015 A.C. Skinner Parkway</t>
  </si>
  <si>
    <t>Building 100</t>
  </si>
  <si>
    <t>I-200-20268-844764</t>
  </si>
  <si>
    <t>3880 Parkwood Blvd.</t>
  </si>
  <si>
    <t>Ste. 204</t>
  </si>
  <si>
    <t>HASHMAP, INC.</t>
  </si>
  <si>
    <t>1000 HOLCOMB WOODS PARKWAY</t>
  </si>
  <si>
    <t>MULAOKAR</t>
  </si>
  <si>
    <t>prasad@hashmapinc.com</t>
  </si>
  <si>
    <t>IMCS Group Inc</t>
  </si>
  <si>
    <t>9901 East Valley Ranch Parkway</t>
  </si>
  <si>
    <t>SATISH</t>
  </si>
  <si>
    <t>SATISH@IMCSGROUP.NET</t>
  </si>
  <si>
    <t>I-200-20269-844915</t>
  </si>
  <si>
    <t>Bandai Namco Entertainment America, Inc</t>
  </si>
  <si>
    <t>2051 Mission College Blvd</t>
  </si>
  <si>
    <t>recruiter@bnea.com</t>
  </si>
  <si>
    <t>Promantus, Inc.</t>
  </si>
  <si>
    <t>8521 Six Forks Road</t>
  </si>
  <si>
    <t>Tarafdar</t>
  </si>
  <si>
    <t>Gautam</t>
  </si>
  <si>
    <t>COO and Treasurer</t>
  </si>
  <si>
    <t>GAUTAM@PROMANTUSINC.COM</t>
  </si>
  <si>
    <t>40 Hartwell Avenue</t>
  </si>
  <si>
    <t>MERIDIANSOFT INC</t>
  </si>
  <si>
    <t>615 CARLE AVENUE</t>
  </si>
  <si>
    <t>CHINTALAPATI</t>
  </si>
  <si>
    <t>DIRECTOR OPERATIONS</t>
  </si>
  <si>
    <t>KRISHNA@MERIDIANSOFT.COM</t>
  </si>
  <si>
    <t>ImmigrationSpecialist@fragomen.com</t>
  </si>
  <si>
    <t>Motional AD Inc.</t>
  </si>
  <si>
    <t>100 Northern Ave</t>
  </si>
  <si>
    <t>Curley</t>
  </si>
  <si>
    <t>Sr. HR Representative, Immigration</t>
  </si>
  <si>
    <t>jean.curley@motional.com</t>
  </si>
  <si>
    <t>Mill 19B, 4427 Lytel Street</t>
  </si>
  <si>
    <t>Cheng</t>
  </si>
  <si>
    <t>30001 Van Dyke Avenue</t>
  </si>
  <si>
    <t>I-200-20269-846364</t>
  </si>
  <si>
    <t>Mandeep.d@BRILLIO.COM</t>
  </si>
  <si>
    <t>3003 Tasman Drive</t>
  </si>
  <si>
    <t>LENAWEE</t>
  </si>
  <si>
    <t>1008 Oak Street</t>
  </si>
  <si>
    <t>Clinical Psychologists</t>
  </si>
  <si>
    <t>SHALINI</t>
  </si>
  <si>
    <t>I-200-20269-844987</t>
  </si>
  <si>
    <t>1390 Timberlake Manor Pkwy.</t>
  </si>
  <si>
    <t>STAMFORD CITY</t>
  </si>
  <si>
    <t>hr@epathusa.net</t>
  </si>
  <si>
    <t>I-200-20268-844681</t>
  </si>
  <si>
    <t>VP, Talent Acquisition, Diversity and Inclusion</t>
  </si>
  <si>
    <t>201 63rd Street</t>
  </si>
  <si>
    <t>I-200-20268-844672</t>
  </si>
  <si>
    <t>Render Services, Inc.</t>
  </si>
  <si>
    <t xml:space="preserve">655 5th St. </t>
  </si>
  <si>
    <t xml:space="preserve">Anurag </t>
  </si>
  <si>
    <t>anurag@render.com</t>
  </si>
  <si>
    <t>655 5th St.</t>
  </si>
  <si>
    <t>rpuri@durkin-puri.com</t>
  </si>
  <si>
    <t>26th Floor</t>
  </si>
  <si>
    <t>UBS FINANCIAL SERVICES INC</t>
  </si>
  <si>
    <t>I-200-20269-845196</t>
  </si>
  <si>
    <t>I-200-20269-845189</t>
  </si>
  <si>
    <t>12926 GRAN BAY PKWY W</t>
  </si>
  <si>
    <t>2200 N CANTON CENTER RD</t>
  </si>
  <si>
    <t>CANTON</t>
  </si>
  <si>
    <t>Karun</t>
  </si>
  <si>
    <t>1110 Sanctuary Parkway</t>
  </si>
  <si>
    <t>SARPY</t>
  </si>
  <si>
    <t>YU</t>
  </si>
  <si>
    <t>Ste. 200</t>
  </si>
  <si>
    <t>I-200-20268-844444</t>
  </si>
  <si>
    <t>Amazech Solutions, LLC</t>
  </si>
  <si>
    <t>9555 Lebanon Road, Suite 202</t>
  </si>
  <si>
    <t>Rajaram</t>
  </si>
  <si>
    <t>Shanthi</t>
  </si>
  <si>
    <t>CEO and President</t>
  </si>
  <si>
    <t>shanthi@amazech.com</t>
  </si>
  <si>
    <t>11555 Dublin Canyon Road</t>
  </si>
  <si>
    <t>CARVER</t>
  </si>
  <si>
    <t>GENISIS TECHNOLOGY SOLUTIONS, INC.</t>
  </si>
  <si>
    <t>856 ROUTE 206, BUILDING C, SUITE 15</t>
  </si>
  <si>
    <t>BOLLU</t>
  </si>
  <si>
    <t>RAVIKIRAN</t>
  </si>
  <si>
    <t xml:space="preserve"> 856 ROUTE 206, BUILDING C, SUITE 15</t>
  </si>
  <si>
    <t>RBOLLU@GENISISTS.COM</t>
  </si>
  <si>
    <t>55 Livingston Ave</t>
  </si>
  <si>
    <t>8625 Andrew Carnegie Blvd</t>
  </si>
  <si>
    <t>I-200-20269-845806</t>
  </si>
  <si>
    <t>yhwang@sidley.com</t>
  </si>
  <si>
    <t>Dharayan</t>
  </si>
  <si>
    <t>Alok</t>
  </si>
  <si>
    <t>I-200-20269-845065</t>
  </si>
  <si>
    <t>VIENNA</t>
  </si>
  <si>
    <t>seth@millerandassociateslaw.com</t>
  </si>
  <si>
    <t>60 Morehall Road</t>
  </si>
  <si>
    <t>I-200-20268-844495</t>
  </si>
  <si>
    <t>Virginia,Laya Ann,Boshion,Victoria</t>
  </si>
  <si>
    <t>juan.mata@balglobal.com</t>
  </si>
  <si>
    <t xml:space="preserve">80 E Rio Salado Pkwy </t>
  </si>
  <si>
    <t>Kronsys, Inc.</t>
  </si>
  <si>
    <t>6512 Six Forks Rd.</t>
  </si>
  <si>
    <t>Pappuri</t>
  </si>
  <si>
    <t>Dhana</t>
  </si>
  <si>
    <t>Laxmi</t>
  </si>
  <si>
    <t>Legal Associate</t>
  </si>
  <si>
    <t>legal@kronsys.com</t>
  </si>
  <si>
    <t>18850 N 56th St.</t>
  </si>
  <si>
    <t xml:space="preserve"> Durham</t>
  </si>
  <si>
    <t>I-200-20269-844982</t>
  </si>
  <si>
    <t>AMERIPRISE FINANCIAL, INC.</t>
  </si>
  <si>
    <t>Avco Consulting Inc.</t>
  </si>
  <si>
    <t>38 Front St</t>
  </si>
  <si>
    <t>The Ohio University</t>
  </si>
  <si>
    <t>1 Ohio University</t>
  </si>
  <si>
    <t>Kaufman</t>
  </si>
  <si>
    <t>160 W. Union St., Rm 150</t>
  </si>
  <si>
    <t>kaufmanb@ohio.edu</t>
  </si>
  <si>
    <t>College of Business</t>
  </si>
  <si>
    <t xml:space="preserve">101 College Road East </t>
  </si>
  <si>
    <t>2020 Radford Global Technology Survey</t>
  </si>
  <si>
    <t>Move, Inc</t>
  </si>
  <si>
    <t>30700 Russell Ranch Rd.</t>
  </si>
  <si>
    <t>Beaudine</t>
  </si>
  <si>
    <t>HR Operations &amp; Mobility Specialist</t>
  </si>
  <si>
    <t>Tammy.Beaudine@move.com</t>
  </si>
  <si>
    <t>I-200-20269-845135</t>
  </si>
  <si>
    <t>115 Downey Dr, Apartment D</t>
  </si>
  <si>
    <t>Highland Park</t>
  </si>
  <si>
    <t>I-200-20269-846368</t>
  </si>
  <si>
    <t>10 G St NE</t>
  </si>
  <si>
    <t>RAJITHA</t>
  </si>
  <si>
    <t>I-200-20268-844114</t>
  </si>
  <si>
    <t>Slyon Technologies LLC</t>
  </si>
  <si>
    <t>197 Route 18 South, Suite 3000</t>
  </si>
  <si>
    <t>Pati</t>
  </si>
  <si>
    <t>Suchi</t>
  </si>
  <si>
    <t>S_pati@slyontech.com</t>
  </si>
  <si>
    <t>USHA@USIMMIGRATIONESQ.COM</t>
  </si>
  <si>
    <t>Leander</t>
  </si>
  <si>
    <t>MECHANICSBURG</t>
  </si>
  <si>
    <t>Greenwich</t>
  </si>
  <si>
    <t xml:space="preserve">Stephanie </t>
  </si>
  <si>
    <t>I-200-20268-844788</t>
  </si>
  <si>
    <t>AXIS TECH, INC.</t>
  </si>
  <si>
    <t>22648 Glenn Dr.</t>
  </si>
  <si>
    <t>PUNREDDY</t>
  </si>
  <si>
    <t>SUNDEEP</t>
  </si>
  <si>
    <t>22648 GLENN DR.</t>
  </si>
  <si>
    <t>SUNDEEP@AXISTECHINC.COM</t>
  </si>
  <si>
    <t>I-200-20269-845479</t>
  </si>
  <si>
    <t>ZF Active Safety US Inc.</t>
  </si>
  <si>
    <t>12001 Tech Center Drive</t>
  </si>
  <si>
    <t>Human Resources Manager / Compliance Delegate</t>
  </si>
  <si>
    <t>Elizabeth.Landry@trw.com</t>
  </si>
  <si>
    <t>24175 Research Drive</t>
  </si>
  <si>
    <t>12100 Ford Rd</t>
  </si>
  <si>
    <t>Gudiseva</t>
  </si>
  <si>
    <t>7055 S Kirkman Road</t>
  </si>
  <si>
    <t>Srikanth</t>
  </si>
  <si>
    <t>Cardus Inc</t>
  </si>
  <si>
    <t>Vadlamudi</t>
  </si>
  <si>
    <t>immigration@cardusinc.com</t>
  </si>
  <si>
    <t>U.S. DOL Bureau of Labor Statistics</t>
  </si>
  <si>
    <t xml:space="preserve">JERSEY CITY </t>
  </si>
  <si>
    <t>I-200-20268-843829</t>
  </si>
  <si>
    <t>100 Bayer Blvd</t>
  </si>
  <si>
    <t>SAGINAW</t>
  </si>
  <si>
    <t xml:space="preserve">DURHAM </t>
  </si>
  <si>
    <t>14102 Sullyfield Circle</t>
  </si>
  <si>
    <t>Jangalapalli</t>
  </si>
  <si>
    <t>I-200-20268-843584</t>
  </si>
  <si>
    <t xml:space="preserve">2788 San Tomas Expressway </t>
  </si>
  <si>
    <t>Neenah</t>
  </si>
  <si>
    <t>8200 Coral Sea Street NE</t>
  </si>
  <si>
    <t>jcruz@jackson-hertogs.com</t>
  </si>
  <si>
    <t>I-200-20269-846557</t>
  </si>
  <si>
    <t>HALLMARK GLOBAL TECHNOLOGIES INC</t>
  </si>
  <si>
    <t>PALUKURI</t>
  </si>
  <si>
    <t>SVP, OPERATIONS</t>
  </si>
  <si>
    <t>hr.us@hgtechinc.net</t>
  </si>
  <si>
    <t>Petroleum Engineers</t>
  </si>
  <si>
    <t>601 108th Ave NE</t>
  </si>
  <si>
    <t>DULLES</t>
  </si>
  <si>
    <t>SALEEM</t>
  </si>
  <si>
    <t>HR@infomaticscorp.com</t>
  </si>
  <si>
    <t>1702 North Collins Boulevard, Suite 260</t>
  </si>
  <si>
    <t>Assistant General Counsel, Immigration</t>
  </si>
  <si>
    <t>megan.verona@conduent.com</t>
  </si>
  <si>
    <t>amanda.stewart@conduent.com</t>
  </si>
  <si>
    <t xml:space="preserve">DocuSign Inc. </t>
  </si>
  <si>
    <t xml:space="preserve">221 Main St. </t>
  </si>
  <si>
    <t xml:space="preserve">International Mobility &amp; Benefits </t>
  </si>
  <si>
    <t>221 Main St. Ste 1550</t>
  </si>
  <si>
    <t>Suite 1550</t>
  </si>
  <si>
    <t>BNP Paribas RCC Inc.</t>
  </si>
  <si>
    <t>abiru@seyfarth.com</t>
  </si>
  <si>
    <t>University of Maryland College Park</t>
  </si>
  <si>
    <t>Jesse Lira</t>
  </si>
  <si>
    <t>Assistant Director for Faculty and Scholar Immigration</t>
  </si>
  <si>
    <t>cjl@umd.edu</t>
  </si>
  <si>
    <t>Greenbelt</t>
  </si>
  <si>
    <t>1525, West W.T.Harris Boulevard</t>
  </si>
  <si>
    <t>Kelli</t>
  </si>
  <si>
    <t>Mayfield</t>
  </si>
  <si>
    <t>ALAMANCE</t>
  </si>
  <si>
    <t>Spears</t>
  </si>
  <si>
    <t xml:space="preserve">3401 Hillview Ave (Headquarters Campus) </t>
  </si>
  <si>
    <t>Senior HR Specialist</t>
  </si>
  <si>
    <t>CALIFORNIA CREATIVE SOLUTIONS, INC.</t>
  </si>
  <si>
    <t>13475 DANIELSON STREET</t>
  </si>
  <si>
    <t>POWAY</t>
  </si>
  <si>
    <t xml:space="preserve">CASTILLO </t>
  </si>
  <si>
    <t>JETHER JIREH</t>
  </si>
  <si>
    <t>IMMIGRATION AND COMPLIANCE MANAGER</t>
  </si>
  <si>
    <t>IMMIGRATION@CCSGLOBALTECH.COM</t>
  </si>
  <si>
    <t xml:space="preserve">Prasad </t>
  </si>
  <si>
    <t>3001 West Big Beaver Road 500</t>
  </si>
  <si>
    <t>bgorney@stgit.com</t>
  </si>
  <si>
    <t>I-200-20269-846243</t>
  </si>
  <si>
    <t>Aldax</t>
  </si>
  <si>
    <t xml:space="preserve">1355 Market Street </t>
  </si>
  <si>
    <t>100 Park Avenue</t>
  </si>
  <si>
    <t>COGNIER INC</t>
  </si>
  <si>
    <t>4550 Atwater Ct</t>
  </si>
  <si>
    <t>Buford</t>
  </si>
  <si>
    <t>EZUKANMA</t>
  </si>
  <si>
    <t>Ginika Jesse Chi</t>
  </si>
  <si>
    <t>hr@cognierinc.com</t>
  </si>
  <si>
    <t>I-200-20268-843926</t>
  </si>
  <si>
    <t>XPO ENTERPRISE SERVICES, LLC</t>
  </si>
  <si>
    <t>2055 NW SAVIER STREET</t>
  </si>
  <si>
    <t>DASSAULT SYSTEMES AMERICAS CORP.</t>
  </si>
  <si>
    <t>175 WYMAN STREET</t>
  </si>
  <si>
    <t>WALTHAM</t>
  </si>
  <si>
    <t>FIFIELD</t>
  </si>
  <si>
    <t>SENIOR GLOBAL MOBILITY SPECIALIST</t>
  </si>
  <si>
    <t>LINDA.FIFIELD@3DS.COM</t>
  </si>
  <si>
    <t>Suite 3</t>
  </si>
  <si>
    <t>SAN BENITO</t>
  </si>
  <si>
    <t>222 S 15th Street</t>
  </si>
  <si>
    <t>InderBir</t>
  </si>
  <si>
    <t>8705 SW Nimbus Ave</t>
  </si>
  <si>
    <t>syanez@pkglobal.com</t>
  </si>
  <si>
    <t>SIRITEK INC</t>
  </si>
  <si>
    <t>1600 GOLF ROAD</t>
  </si>
  <si>
    <t>CHALLURI</t>
  </si>
  <si>
    <t>PRATHIBHA</t>
  </si>
  <si>
    <t>IMMIGRATIONS@SIRITEK.COM</t>
  </si>
  <si>
    <t>INFINITY TECH GROUP INC.</t>
  </si>
  <si>
    <t>292 MAIN STREET</t>
  </si>
  <si>
    <t>RANKA</t>
  </si>
  <si>
    <t>KAMLESH</t>
  </si>
  <si>
    <t>RANKA@INFIGROUP.COM</t>
  </si>
  <si>
    <t>Kirk</t>
  </si>
  <si>
    <t>hr@bigdatadimension.com</t>
  </si>
  <si>
    <t>SAVI TECHNOLOGIES INC</t>
  </si>
  <si>
    <t>MUPPARAJU</t>
  </si>
  <si>
    <t>JAGADEESH</t>
  </si>
  <si>
    <t>JAGADEESH@SAVI-TECH.COM</t>
  </si>
  <si>
    <t>4241 IRWIN SIMPSON RD</t>
  </si>
  <si>
    <t>I-200-20268-844227</t>
  </si>
  <si>
    <t>I-200-20268-843052</t>
  </si>
  <si>
    <t>New York Auto Depot Inc.</t>
  </si>
  <si>
    <t>15 Windsor Court</t>
  </si>
  <si>
    <t>Mineola</t>
  </si>
  <si>
    <t>Wing Nam</t>
  </si>
  <si>
    <t>nyautodepot88@gmail.com</t>
  </si>
  <si>
    <t>15 Windsor Ct</t>
  </si>
  <si>
    <t>Suite 4000</t>
  </si>
  <si>
    <t>STEVE</t>
  </si>
  <si>
    <t>9615 CENTER POINT LANE</t>
  </si>
  <si>
    <t>MANASSAS</t>
  </si>
  <si>
    <t>aworst@seyfarth.com</t>
  </si>
  <si>
    <t>I-200-20269-845424</t>
  </si>
  <si>
    <t>1301 Medical Center Dr.</t>
  </si>
  <si>
    <t>I-200-20268-843988</t>
  </si>
  <si>
    <t>Carroll</t>
  </si>
  <si>
    <t>Adeline</t>
  </si>
  <si>
    <t>kate.carroll@umassmed.edu</t>
  </si>
  <si>
    <t>Clearwater</t>
  </si>
  <si>
    <t xml:space="preserve">2035 Lincoln Highway    	</t>
  </si>
  <si>
    <t>I-200-20268-844733</t>
  </si>
  <si>
    <t>110, Hillside Drive</t>
  </si>
  <si>
    <t>I-200-20269-845305</t>
  </si>
  <si>
    <t>APOTTS@FRAGOMEN.COM</t>
  </si>
  <si>
    <t>I-200-20268-844334</t>
  </si>
  <si>
    <t>Damiba</t>
  </si>
  <si>
    <t>Associate Director/Petitioner</t>
  </si>
  <si>
    <t>FDAMIBA1@JHMI.EDU</t>
  </si>
  <si>
    <t>3400 N Charles St</t>
  </si>
  <si>
    <t>Hermitage</t>
  </si>
  <si>
    <t>30 Main St</t>
  </si>
  <si>
    <t>ONE SOHO SQ, 233 SPRING ST</t>
  </si>
  <si>
    <t>I-200-20269-846063</t>
  </si>
  <si>
    <t>49 North 400 West</t>
  </si>
  <si>
    <t>I-200-20268-843075</t>
  </si>
  <si>
    <t>1155 Roberts Blvd.</t>
  </si>
  <si>
    <t>Kennesaw</t>
  </si>
  <si>
    <t xml:space="preserve">Postmates Inc. </t>
  </si>
  <si>
    <t>201 3RD STREET</t>
  </si>
  <si>
    <t>MAIMONI</t>
  </si>
  <si>
    <t xml:space="preserve">LEAD, PEOPLE </t>
  </si>
  <si>
    <t>MATT.MAIMONI@POSTMATES.COM</t>
  </si>
  <si>
    <t>201 3rd Street</t>
  </si>
  <si>
    <t>SVESELAGA@FRAGOMEN.COM</t>
  </si>
  <si>
    <t>I-200-20268-843055</t>
  </si>
  <si>
    <t>323 N WASHINGTON AVENUE</t>
  </si>
  <si>
    <t>Global Soft Technologies, LLC</t>
  </si>
  <si>
    <t>529 Cleveland St.</t>
  </si>
  <si>
    <t>Lakkaniki</t>
  </si>
  <si>
    <t>sudha@globalsofttech.net</t>
  </si>
  <si>
    <t>Balyasny Asset Management, L.P.</t>
  </si>
  <si>
    <t>444 West Lake Street</t>
  </si>
  <si>
    <t>Finger</t>
  </si>
  <si>
    <t xml:space="preserve">Adam </t>
  </si>
  <si>
    <t>afinger@bamfunds.com</t>
  </si>
  <si>
    <t>Intelligrated Services, LLC</t>
  </si>
  <si>
    <t>7901 Innovation Way</t>
  </si>
  <si>
    <t>I-200-20269-845119</t>
  </si>
  <si>
    <t>11608 Lake Cir</t>
  </si>
  <si>
    <t>Fishers</t>
  </si>
  <si>
    <t>CHITRALA</t>
  </si>
  <si>
    <t>USHA</t>
  </si>
  <si>
    <t>RECRUITMENT MANAGER</t>
  </si>
  <si>
    <t>Apt 15</t>
  </si>
  <si>
    <t>I-200-20269-846229</t>
  </si>
  <si>
    <t>March Associates Construction, Inc.</t>
  </si>
  <si>
    <t>601 Hamburg Turnpike</t>
  </si>
  <si>
    <t>Vallone</t>
  </si>
  <si>
    <t xml:space="preserve">Office Manager/Human Resources </t>
  </si>
  <si>
    <t>kellyv@marchassociates.com</t>
  </si>
  <si>
    <t>103 Corporate Drive</t>
  </si>
  <si>
    <t>achang@wildesweinberg.com</t>
  </si>
  <si>
    <t>NTT DATA Services, LLC</t>
  </si>
  <si>
    <t>Apt 205</t>
  </si>
  <si>
    <t>450 Technology Drive</t>
  </si>
  <si>
    <t>I-200-20269-845953</t>
  </si>
  <si>
    <t>agalvez@balglobal.com</t>
  </si>
  <si>
    <t>I-200-20269-845155</t>
  </si>
  <si>
    <t>12125 Lexington Park Dr, Apt 205</t>
  </si>
  <si>
    <t>Employee Relations Specialist</t>
  </si>
  <si>
    <t>SARAH</t>
  </si>
  <si>
    <t>1st Floor Vertical</t>
  </si>
  <si>
    <t>I-200-20269-845990</t>
  </si>
  <si>
    <t>TX Global ( International Student and Scholar Services)</t>
  </si>
  <si>
    <t>The Univ of Texas at Austin, Dept of Chemical Engineering</t>
  </si>
  <si>
    <t xml:space="preserve"> 200 E. Dean Keeton Street</t>
  </si>
  <si>
    <t>Fang</t>
  </si>
  <si>
    <t>300 8th Avenue N</t>
  </si>
  <si>
    <t>370 SOUTH CLEVELAND AVENUE</t>
  </si>
  <si>
    <t>4500 East West Highway</t>
  </si>
  <si>
    <t>Lansing</t>
  </si>
  <si>
    <t>I-200-20268-844687</t>
  </si>
  <si>
    <t>Roku, Inc.</t>
  </si>
  <si>
    <t>1155 Coleman Ave</t>
  </si>
  <si>
    <t>Sr. HR Specialist</t>
  </si>
  <si>
    <t>lthornton@roku.com</t>
  </si>
  <si>
    <t>1143-1173 Coleman Ave</t>
  </si>
  <si>
    <t>ngreensides@jackson-hertogs.com</t>
  </si>
  <si>
    <t>I-200-20268-844568</t>
  </si>
  <si>
    <t>7908 N Macarthur Blvd, Apt 1023</t>
  </si>
  <si>
    <t>CAERUSGLOBAL INC.</t>
  </si>
  <si>
    <t>1 ETHEL ROAD</t>
  </si>
  <si>
    <t>BANDLA</t>
  </si>
  <si>
    <t xml:space="preserve">1 ETHEL ROAD </t>
  </si>
  <si>
    <t>HR@CAERUSGLOBALINC.COM</t>
  </si>
  <si>
    <t>Xchanging Solutions Inc.</t>
  </si>
  <si>
    <t>Ste 300</t>
  </si>
  <si>
    <t>I-200-20268-843745</t>
  </si>
  <si>
    <t>Optometrists</t>
  </si>
  <si>
    <t>Methodist Healthcare - Memphis Hospitals</t>
  </si>
  <si>
    <t>1211 Union Avenue</t>
  </si>
  <si>
    <t>Mempis</t>
  </si>
  <si>
    <t>Blackmore</t>
  </si>
  <si>
    <t>Rebeccah</t>
  </si>
  <si>
    <t>Director of Finace</t>
  </si>
  <si>
    <t>850 Poplar Avenue</t>
  </si>
  <si>
    <t>Rebeccah.Blackmore@lebonheur.org</t>
  </si>
  <si>
    <t>848 Adams Avenue, Suite L400</t>
  </si>
  <si>
    <t>I-200-20268-843014</t>
  </si>
  <si>
    <t xml:space="preserve">200 Sterling Parkway </t>
  </si>
  <si>
    <t xml:space="preserve">Mechanicsburg </t>
  </si>
  <si>
    <t>FIG LLC</t>
  </si>
  <si>
    <t>Quick</t>
  </si>
  <si>
    <t>Managing Director, Human Resources</t>
  </si>
  <si>
    <t>aquick@fortress.com</t>
  </si>
  <si>
    <t>46th Floor</t>
  </si>
  <si>
    <t>I-200-20268-843293</t>
  </si>
  <si>
    <t>34605 W. 12 Mile Rd.</t>
  </si>
  <si>
    <t>Tracy.Beiswanger@zf.com</t>
  </si>
  <si>
    <t>Sanders</t>
  </si>
  <si>
    <t>I-200-20269-846314</t>
  </si>
  <si>
    <t>3550 Green Court</t>
  </si>
  <si>
    <t xml:space="preserve">18850 N 56th St, </t>
  </si>
  <si>
    <t>I-200-20269-846538</t>
  </si>
  <si>
    <t>I-200-20268-844685</t>
  </si>
  <si>
    <t>DataEdge Consulting, Inc.</t>
  </si>
  <si>
    <t>101  Morgan Ln</t>
  </si>
  <si>
    <t>Kolli</t>
  </si>
  <si>
    <t>Shiv@DataEdgeConsulting.com</t>
  </si>
  <si>
    <t>14284  WynHollow Downs Ln</t>
  </si>
  <si>
    <t>Apt 303</t>
  </si>
  <si>
    <t>500 W Main St</t>
  </si>
  <si>
    <t>3200, Beechleaf Court</t>
  </si>
  <si>
    <t>BLUE BELL</t>
  </si>
  <si>
    <t>3445 NW 211th Terrace</t>
  </si>
  <si>
    <t>1325 SATELLITE BLVD, BUILDING 200</t>
  </si>
  <si>
    <t>CHIEF EXECUTIEVE OFFICER</t>
  </si>
  <si>
    <t>Williams-Sonoma, Inc.</t>
  </si>
  <si>
    <t>3250 Van Ness Avenue</t>
  </si>
  <si>
    <t>Koss</t>
  </si>
  <si>
    <t>Caryn</t>
  </si>
  <si>
    <t>VP HUMAN RESOURCES</t>
  </si>
  <si>
    <t>100 NORTH POINT</t>
  </si>
  <si>
    <t>CKOSS@WSGC.COM</t>
  </si>
  <si>
    <t>100 North Point</t>
  </si>
  <si>
    <t>Vera</t>
  </si>
  <si>
    <t>I-200-20268-844125</t>
  </si>
  <si>
    <t>Bigdata Dimension Inc.</t>
  </si>
  <si>
    <t>44330 Mercure CiR.</t>
  </si>
  <si>
    <t xml:space="preserve">Cumming </t>
  </si>
  <si>
    <t>I-200-20268-844050</t>
  </si>
  <si>
    <t>CALVERT</t>
  </si>
  <si>
    <t>I-200-20268-844782</t>
  </si>
  <si>
    <t>3803 N 171st Ave</t>
  </si>
  <si>
    <t>I-200-20269-845368</t>
  </si>
  <si>
    <t>Cox Dental Corporation</t>
  </si>
  <si>
    <t>9800 S. La Cienega Blvd.</t>
  </si>
  <si>
    <t>Inglewood</t>
  </si>
  <si>
    <t>Fick</t>
  </si>
  <si>
    <t>Director, Recruiting</t>
  </si>
  <si>
    <t>1101 SE Tech Center Drive</t>
  </si>
  <si>
    <t>fickd@interdent.com</t>
  </si>
  <si>
    <t>24102 El Toro Road</t>
  </si>
  <si>
    <t>Laguna Woods</t>
  </si>
  <si>
    <t>38 FOUNTAIN SQUARE PLAZA</t>
  </si>
  <si>
    <t>405 Jim Wright Freeway South</t>
  </si>
  <si>
    <t>Luminar Technologies, Inc.</t>
  </si>
  <si>
    <t>12601 Research Parkway</t>
  </si>
  <si>
    <t>People &amp; Culture Associate / HR</t>
  </si>
  <si>
    <t>anthony.kidd@luminartech.com</t>
  </si>
  <si>
    <t>I-200-20269-846635</t>
  </si>
  <si>
    <t>LANCESOFT INC.</t>
  </si>
  <si>
    <t>13454 SUNRISE VALLEY DRIVE</t>
  </si>
  <si>
    <t>10185 McKellar Ct.</t>
  </si>
  <si>
    <t>Qualcomm Building R, R-131E</t>
  </si>
  <si>
    <t>Evans</t>
  </si>
  <si>
    <t>Softrams, LLC</t>
  </si>
  <si>
    <t>161 Fort Evans Road NE</t>
  </si>
  <si>
    <t>161 Fort Evans Rd NE</t>
  </si>
  <si>
    <t>U.S. Steel Tower, 600 Grant St.</t>
  </si>
  <si>
    <t>Floor 56</t>
  </si>
  <si>
    <t>Holly</t>
  </si>
  <si>
    <t>5810 Owens Drive</t>
  </si>
  <si>
    <t>I-200-20269-845393</t>
  </si>
  <si>
    <t>Chaitanya</t>
  </si>
  <si>
    <t>Mercer Human Resource Consulting Inc.,</t>
  </si>
  <si>
    <t>mail@visawolf.com</t>
  </si>
  <si>
    <t>I-200-20269-845139</t>
  </si>
  <si>
    <t>920 Route 202</t>
  </si>
  <si>
    <t>I-200-20269-846026</t>
  </si>
  <si>
    <t>KARL STORZ Endoscopy-America, Innc.</t>
  </si>
  <si>
    <t>WAGH</t>
  </si>
  <si>
    <t>MILIND</t>
  </si>
  <si>
    <t xml:space="preserve">Erin </t>
  </si>
  <si>
    <t>Monique</t>
  </si>
  <si>
    <t>I-200-20268-843214</t>
  </si>
  <si>
    <t>1400 13th Street</t>
  </si>
  <si>
    <t>East Moline</t>
  </si>
  <si>
    <t>6300 Legacy Drive</t>
  </si>
  <si>
    <t>Sumiko.Webster@Fragomen.com</t>
  </si>
  <si>
    <t>BRANCHBURG</t>
  </si>
  <si>
    <t>1020 Delta Blvd</t>
  </si>
  <si>
    <t>Apt 3</t>
  </si>
  <si>
    <t>I-200-20268-844070</t>
  </si>
  <si>
    <t>WonderBotz LLP</t>
  </si>
  <si>
    <t>6671 S Las Vegas Blvd</t>
  </si>
  <si>
    <t>Reema</t>
  </si>
  <si>
    <t>info@wonderbotz.com</t>
  </si>
  <si>
    <t>acui@eh-legal.com</t>
  </si>
  <si>
    <t>801 W. Main Street</t>
  </si>
  <si>
    <t>PMichaelKhosla@yahoo.com</t>
  </si>
  <si>
    <t>I-200-20269-846000</t>
  </si>
  <si>
    <t>Chemex Global, Inc. (formerly Chemex Holdings, Inc.)</t>
  </si>
  <si>
    <t xml:space="preserve">24 Waterway </t>
  </si>
  <si>
    <t>24 Waterway</t>
  </si>
  <si>
    <t>kjohnson@chemexglobal.com</t>
  </si>
  <si>
    <t>STE 900</t>
  </si>
  <si>
    <t>mxiao@gzimmigration.com</t>
  </si>
  <si>
    <t>HR-Director</t>
  </si>
  <si>
    <t>3 State Farm Plaza S</t>
  </si>
  <si>
    <t>Apt 201</t>
  </si>
  <si>
    <t>50 Cragwood Road</t>
  </si>
  <si>
    <t>GRAND RAPIDS</t>
  </si>
  <si>
    <t>103 CARNEGIE CENTER</t>
  </si>
  <si>
    <t>VIJAYA.SAJJA@ERPMARK.COM</t>
  </si>
  <si>
    <t>1 ALLEN BRADLEY DRIVE</t>
  </si>
  <si>
    <t>MAYFIELD HEIGHTS</t>
  </si>
  <si>
    <t>I-200-20268-844512</t>
  </si>
  <si>
    <t>WELLINGTON MANAGEMENT COMPANY LLP, 100 CAMPUS DRIVE</t>
  </si>
  <si>
    <t xml:space="preserve">MARLBOROUGH </t>
  </si>
  <si>
    <t>I-200-20269-846592</t>
  </si>
  <si>
    <t>PALAYEKAR COMPANIES INC</t>
  </si>
  <si>
    <t>1249 SOUTH RIVER ROAD</t>
  </si>
  <si>
    <t>MANDREKAR</t>
  </si>
  <si>
    <t>SACHIN</t>
  </si>
  <si>
    <t>VICE PRESIDENT OF OPERATIONS</t>
  </si>
  <si>
    <t>SACHIN@PALNAR.COM</t>
  </si>
  <si>
    <t>2211 Old Earhart Rd</t>
  </si>
  <si>
    <t>360 Tolland Turnpike</t>
  </si>
  <si>
    <t>hr@cymasys.com</t>
  </si>
  <si>
    <t>I-200-20268-843512</t>
  </si>
  <si>
    <t>I-200-20268-843177</t>
  </si>
  <si>
    <t>34435 Care Ter</t>
  </si>
  <si>
    <t>I-200-20268-844824</t>
  </si>
  <si>
    <t xml:space="preserve">The Spur Group, Inc. </t>
  </si>
  <si>
    <t>5020 148th Ave NE</t>
  </si>
  <si>
    <t>LeFevre</t>
  </si>
  <si>
    <t xml:space="preserve">Senior Director of HR Operations </t>
  </si>
  <si>
    <t xml:space="preserve">5020 148th Ave NE </t>
  </si>
  <si>
    <t>michael.lefevre@thespurgroup.com</t>
  </si>
  <si>
    <t>800 Bellevue Way NE</t>
  </si>
  <si>
    <t>I-200-20269-846409</t>
  </si>
  <si>
    <t>Aeyesha</t>
  </si>
  <si>
    <t>TMC USA North East Inc.</t>
  </si>
  <si>
    <t>434 W. 33rd St.</t>
  </si>
  <si>
    <t>Vilmer</t>
  </si>
  <si>
    <t>thomas.vilmer@tmc-employeneurs.com</t>
  </si>
  <si>
    <t>One American Road</t>
  </si>
  <si>
    <t>AGARWAL</t>
  </si>
  <si>
    <t>I-200-20269-846464</t>
  </si>
  <si>
    <t xml:space="preserve">6560 Greenwood Plaza Blvd </t>
  </si>
  <si>
    <t>PEOPLE OPERATIONS MANAGER</t>
  </si>
  <si>
    <t>I-200-20269-845923</t>
  </si>
  <si>
    <t>100 PARSONS POND DR</t>
  </si>
  <si>
    <t>nroman@bellnunnally.com</t>
  </si>
  <si>
    <t>Emerson</t>
  </si>
  <si>
    <t>liz.emerson@slalom.com</t>
  </si>
  <si>
    <t>EVRY USA CORPORATION</t>
  </si>
  <si>
    <t>1425 GREENWAY DRIVE</t>
  </si>
  <si>
    <t>PENDYALA</t>
  </si>
  <si>
    <t>PADMAJA</t>
  </si>
  <si>
    <t>MANAGER- HR &amp; ADMINISTRATION</t>
  </si>
  <si>
    <t>DL-BA-USA-EVRY-IMMIGRATION@EVRY.COM</t>
  </si>
  <si>
    <t xml:space="preserve">747 6th Street South </t>
  </si>
  <si>
    <t>I-200-20268-844284</t>
  </si>
  <si>
    <t>RICEFW Technologies Inc</t>
  </si>
  <si>
    <t>4295 Okemos Road</t>
  </si>
  <si>
    <t xml:space="preserve">10 Riverview Drive </t>
  </si>
  <si>
    <t>alice.yaoesq@gmail.com</t>
  </si>
  <si>
    <t>I-200-20269-845436</t>
  </si>
  <si>
    <t>5995  Windward Parkway</t>
  </si>
  <si>
    <t>lorraine@usimmigrationlaw.net</t>
  </si>
  <si>
    <t>I-200-20268-844011</t>
  </si>
  <si>
    <t>2828 NORTH HARWOOD STREET</t>
  </si>
  <si>
    <t>FLOOR 15</t>
  </si>
  <si>
    <t>VELASQUEZ</t>
  </si>
  <si>
    <t>I-200-20269-846551</t>
  </si>
  <si>
    <t>PILOT TRAVEL CENTERS, LLC</t>
  </si>
  <si>
    <t>3500 Oak Lawn Ave</t>
  </si>
  <si>
    <t>Suite 460</t>
  </si>
  <si>
    <t>10th floor</t>
  </si>
  <si>
    <t>Philips@Fragomen.com</t>
  </si>
  <si>
    <t>1100 Carr Road</t>
  </si>
  <si>
    <t>CapSquare Systems, Inc.</t>
  </si>
  <si>
    <t>1000 John R. Rd.</t>
  </si>
  <si>
    <t>Throvagunta</t>
  </si>
  <si>
    <t>1000 John R Rd.</t>
  </si>
  <si>
    <t>anila@capsquaresys.com</t>
  </si>
  <si>
    <t>I-200-20269-846539</t>
  </si>
  <si>
    <t>Radixlink, Inc.</t>
  </si>
  <si>
    <t>6069 W Ray Road</t>
  </si>
  <si>
    <t>Kuppusamy</t>
  </si>
  <si>
    <t>Elamparithi</t>
  </si>
  <si>
    <t>immigration@radixlink.com</t>
  </si>
  <si>
    <t>5800 Northampton Boulevard</t>
  </si>
  <si>
    <t>Director, Talent</t>
  </si>
  <si>
    <t>I-200-20269-845619</t>
  </si>
  <si>
    <t>40 FedEx Pkwy</t>
  </si>
  <si>
    <t>PEACHTREE CITY</t>
  </si>
  <si>
    <t>Dave</t>
  </si>
  <si>
    <t>I-200-20269-845937</t>
  </si>
  <si>
    <t>DAVIS</t>
  </si>
  <si>
    <t>I-200-20268-843557</t>
  </si>
  <si>
    <t>Southeastern Physician Services, PC</t>
  </si>
  <si>
    <t>Dabbs</t>
  </si>
  <si>
    <t>Randal</t>
  </si>
  <si>
    <t>randal_dabbs@teamhealth.com</t>
  </si>
  <si>
    <t>6019 Walnut Grove Rd</t>
  </si>
  <si>
    <t>I-200-20268-843200</t>
  </si>
  <si>
    <t>30 Hunter Lane</t>
  </si>
  <si>
    <t>BOLLA</t>
  </si>
  <si>
    <t>hmccown@fanatics.com</t>
  </si>
  <si>
    <t>Mequon</t>
  </si>
  <si>
    <t>I-200-20268-844780</t>
  </si>
  <si>
    <t>8600 W Bryn Mawr Ave, South Tower</t>
  </si>
  <si>
    <t>275 Battery Street</t>
  </si>
  <si>
    <t>6111 Bollinger Canyon Road</t>
  </si>
  <si>
    <t>60 Sylvan Road</t>
  </si>
  <si>
    <t>I-200-20269-845313</t>
  </si>
  <si>
    <t>Coopervision, Inc.</t>
  </si>
  <si>
    <t>209 High Point Drive</t>
  </si>
  <si>
    <t>Ciriello-Spring</t>
  </si>
  <si>
    <t>lspring@coopervision.com</t>
  </si>
  <si>
    <t>Lynchburg</t>
  </si>
  <si>
    <t>LYNCHBURG CITY</t>
  </si>
  <si>
    <t>I-200-20269-845182</t>
  </si>
  <si>
    <t>PONAKALA</t>
  </si>
  <si>
    <t>1000 FedEx Dr</t>
  </si>
  <si>
    <t>aura.valdez-payan@jacksonlewis.com</t>
  </si>
  <si>
    <t>I-200-20269-845846</t>
  </si>
  <si>
    <t>7116 Schilling Ave</t>
  </si>
  <si>
    <t>805 SE MOBERLY LANE</t>
  </si>
  <si>
    <t>NEW YORK CITY</t>
  </si>
  <si>
    <t>Haynes</t>
  </si>
  <si>
    <t>kgonzalez@balglobal.com</t>
  </si>
  <si>
    <t>Fraser</t>
  </si>
  <si>
    <t>ettain group, Inc.</t>
  </si>
  <si>
    <t>127 W. Worthington Avenue</t>
  </si>
  <si>
    <t>Vice-President, Human Resources</t>
  </si>
  <si>
    <t>127 W Worthington Avenue</t>
  </si>
  <si>
    <t>psanders@ettaingroup.com</t>
  </si>
  <si>
    <t>HOFFMAN-LOPEZ</t>
  </si>
  <si>
    <t>Senior FSIS Adviser</t>
  </si>
  <si>
    <t>Dunwoody</t>
  </si>
  <si>
    <t>I-200-20268-843204</t>
  </si>
  <si>
    <t>501 Westlake Park Blvd</t>
  </si>
  <si>
    <t>1680 CAPITAL ONE DRIVE</t>
  </si>
  <si>
    <t>I-200-20268-844773</t>
  </si>
  <si>
    <t>Jersey Street</t>
  </si>
  <si>
    <t>I-200-20268-844074</t>
  </si>
  <si>
    <t>ONE PARKVIEW PLAZA</t>
  </si>
  <si>
    <t>OAKBROOK TERRACE</t>
  </si>
  <si>
    <t>I-200-20269-844995</t>
  </si>
  <si>
    <t xml:space="preserve">Bothell </t>
  </si>
  <si>
    <t>I-200-20269-845954</t>
  </si>
  <si>
    <t>700 W. PARMER LANE</t>
  </si>
  <si>
    <t>Building B, Suite 200</t>
  </si>
  <si>
    <t>Dixon</t>
  </si>
  <si>
    <t>I-200-20268-843236</t>
  </si>
  <si>
    <t>METUCHEN</t>
  </si>
  <si>
    <t>vikram@immigrationonline.com</t>
  </si>
  <si>
    <t>I-200-20268-844528</t>
  </si>
  <si>
    <t xml:space="preserve">Hinduja Global Solutions, Inc. </t>
  </si>
  <si>
    <t>4933 Lincoln Avenue</t>
  </si>
  <si>
    <t>Donnelly</t>
  </si>
  <si>
    <t>Director of Human Resources Shared Services</t>
  </si>
  <si>
    <t>1901 East War Memorial Drive</t>
  </si>
  <si>
    <t>MJDonnel@teamhgs.com</t>
  </si>
  <si>
    <t>651 W. Washington Blvd.</t>
  </si>
  <si>
    <t>Suite #303</t>
  </si>
  <si>
    <t>schen@fragomen.com</t>
  </si>
  <si>
    <t>20 Fed Ex Pkwy</t>
  </si>
  <si>
    <t>I-200-20269-845535</t>
  </si>
  <si>
    <t>BEACHBODY, LLC</t>
  </si>
  <si>
    <t>3301 EXPOSITION BOULEVARD</t>
  </si>
  <si>
    <t>KLEIN</t>
  </si>
  <si>
    <t>HELENE</t>
  </si>
  <si>
    <t>HKLEIN@BEACHBODY.COM</t>
  </si>
  <si>
    <t>3301 Exposition Boulevard</t>
  </si>
  <si>
    <t>info@haightlaw.com</t>
  </si>
  <si>
    <t>Amadeus North America, Inc.</t>
  </si>
  <si>
    <t>Crowley</t>
  </si>
  <si>
    <t>1050 Winter Street</t>
  </si>
  <si>
    <t>teresa.crowley@amadeus.com</t>
  </si>
  <si>
    <t>Hire IT Global Inc</t>
  </si>
  <si>
    <t>dan@hireitglobal.com</t>
  </si>
  <si>
    <t>Saansol Inc.</t>
  </si>
  <si>
    <t>5 Bridge street</t>
  </si>
  <si>
    <t>HR &amp; Operations Admin</t>
  </si>
  <si>
    <t>hradmin@saansol.com</t>
  </si>
  <si>
    <t>One Hartford Plaza</t>
  </si>
  <si>
    <t>Suite 2</t>
  </si>
  <si>
    <t>5455 MCGINNIS VILLAGE PLACE</t>
  </si>
  <si>
    <t>VANAMALA</t>
  </si>
  <si>
    <t>SUSHUMA</t>
  </si>
  <si>
    <t>ADMIN@SUNCLOUDLLC.COM</t>
  </si>
  <si>
    <t>951 SanDisk Dr</t>
  </si>
  <si>
    <t>SNavarro@Fragomen.com</t>
  </si>
  <si>
    <t>I-200-20268-844497</t>
  </si>
  <si>
    <t>Strout</t>
  </si>
  <si>
    <t>Associate Director, International Services Office</t>
  </si>
  <si>
    <t>40 Celebration Dr., Suite 100</t>
  </si>
  <si>
    <t>kstrout@iso.rochester.edu</t>
  </si>
  <si>
    <t>Cook</t>
  </si>
  <si>
    <t>I-200-20269-845751</t>
  </si>
  <si>
    <t>Harmonia Holdings Group, LLC</t>
  </si>
  <si>
    <t>2020 Kraft Drive STE 2400</t>
  </si>
  <si>
    <t>Katryn</t>
  </si>
  <si>
    <t>Director, Human Resources and Recruitment</t>
  </si>
  <si>
    <t>kstewart@harmonia.com</t>
  </si>
  <si>
    <t>8180 Greensboro Dr STE 1050</t>
  </si>
  <si>
    <t>NEW YORK LIFE INSURANCE COMPANY</t>
  </si>
  <si>
    <t>NURSE</t>
  </si>
  <si>
    <t>BISHA</t>
  </si>
  <si>
    <t>BISHA_NURSE@NEWYORKLIFE.COM</t>
  </si>
  <si>
    <t>cmagallon@seyfarth.com</t>
  </si>
  <si>
    <t>I-200-20269-846669</t>
  </si>
  <si>
    <t>Software Bloc LLC</t>
  </si>
  <si>
    <t xml:space="preserve">3415 Custer Road , </t>
  </si>
  <si>
    <t>Yennam</t>
  </si>
  <si>
    <t xml:space="preserve">3415 Custer Road </t>
  </si>
  <si>
    <t>sreekanth.yennam@softwarebloc.com</t>
  </si>
  <si>
    <t>1912 Deer Park Ave,</t>
  </si>
  <si>
    <t xml:space="preserve">Deer Park, </t>
  </si>
  <si>
    <t>FORT WAYNE</t>
  </si>
  <si>
    <t>I-200-20268-843474</t>
  </si>
  <si>
    <t>900  Metro Center Blvd.</t>
  </si>
  <si>
    <t>Jariwala</t>
  </si>
  <si>
    <t>kblackman@balglobal.com</t>
  </si>
  <si>
    <t>AutoZone, Inc.</t>
  </si>
  <si>
    <t>123 South Front Street</t>
  </si>
  <si>
    <t xml:space="preserve"> Memphis</t>
  </si>
  <si>
    <t>Sears</t>
  </si>
  <si>
    <t>DeAngelo</t>
  </si>
  <si>
    <t>deangelo.sears@autozone.com</t>
  </si>
  <si>
    <t>smeeks@visalaw.com</t>
  </si>
  <si>
    <t>MNowlan@ClarkHill.com</t>
  </si>
  <si>
    <t>33300 Fisher Drive</t>
  </si>
  <si>
    <t>St. Clair Shores</t>
  </si>
  <si>
    <t>Rockwell Automation, Inc.</t>
  </si>
  <si>
    <t>Tara.Bertram@ca.ey.com</t>
  </si>
  <si>
    <t>haeshin.chung@tsmimmigration.com</t>
  </si>
  <si>
    <t>jdarroch@fragomen.com</t>
  </si>
  <si>
    <t>I-200-20268-844865</t>
  </si>
  <si>
    <t>VOTPROF CORP</t>
  </si>
  <si>
    <t>621 Brighton Beach Avenue, Office 215</t>
  </si>
  <si>
    <t>Pustilnik</t>
  </si>
  <si>
    <t>Mikhail</t>
  </si>
  <si>
    <t>mpustilnik@votprof.us</t>
  </si>
  <si>
    <t>anna@rplaw.nyc</t>
  </si>
  <si>
    <t>I-200-20268-843004</t>
  </si>
  <si>
    <t>11006 RUSHMORE DR</t>
  </si>
  <si>
    <t>I-200-20269-846086</t>
  </si>
  <si>
    <t>1125 Hammond Dr</t>
  </si>
  <si>
    <t>Apt 522</t>
  </si>
  <si>
    <t>I-200-20269-846442</t>
  </si>
  <si>
    <t>SENSORMATIC ELECTRONICS, LLC</t>
  </si>
  <si>
    <t>15370 Barranca Parkway</t>
  </si>
  <si>
    <t xml:space="preserve">Suite 800, South Tower </t>
  </si>
  <si>
    <t>I-200-20269-845175</t>
  </si>
  <si>
    <t>33 WASHINGTON STREET</t>
  </si>
  <si>
    <t>Boston College</t>
  </si>
  <si>
    <t>140 Commonwealth Avenue</t>
  </si>
  <si>
    <t>Chestnut Hill</t>
  </si>
  <si>
    <t>I-200-20269-845077</t>
  </si>
  <si>
    <t>ANDREAS/ CHARLES/ DANIEL</t>
  </si>
  <si>
    <t>Woldegebriel</t>
  </si>
  <si>
    <t>Fanus</t>
  </si>
  <si>
    <t>I-200-20270-846778</t>
  </si>
  <si>
    <t>191 PEACHTREE ST NE</t>
  </si>
  <si>
    <t>SUITE 2000</t>
  </si>
  <si>
    <t>Baker</t>
  </si>
  <si>
    <t>I-200-20269-846111</t>
  </si>
  <si>
    <t>O'Connor</t>
  </si>
  <si>
    <t>800 W TRADE ST</t>
  </si>
  <si>
    <t>I-200-20268-844413</t>
  </si>
  <si>
    <t>Animal Trainers</t>
  </si>
  <si>
    <t>Tamarack Ranch LLC</t>
  </si>
  <si>
    <t>84587 Walker Lane</t>
  </si>
  <si>
    <t>Hutchins</t>
  </si>
  <si>
    <t>Horse Reining Trainer</t>
  </si>
  <si>
    <t>84201 Walker Lane</t>
  </si>
  <si>
    <t>tamarackranchreiners@gmail.com</t>
  </si>
  <si>
    <t>BAKER</t>
  </si>
  <si>
    <t>Northwestern Memorial HealthCare</t>
  </si>
  <si>
    <t>251 E. Huron St.</t>
  </si>
  <si>
    <t>Naccarato</t>
  </si>
  <si>
    <t>Program Manager, HR Compliance &amp; Policy</t>
  </si>
  <si>
    <t>541 N. Fairbanks Court</t>
  </si>
  <si>
    <t>Elizabeth.Naccarato@nm.org</t>
  </si>
  <si>
    <t>1 Verizon Way</t>
  </si>
  <si>
    <t>500 Arcola Rd</t>
  </si>
  <si>
    <t>8K Miles Health Cloud Inc</t>
  </si>
  <si>
    <t>2 Tower Center Boulevard, Suite 804</t>
  </si>
  <si>
    <t>AVP HR &amp; Opertions</t>
  </si>
  <si>
    <t>immigration@8kmileshealthcloud.com</t>
  </si>
  <si>
    <t>I-200-20268-843526</t>
  </si>
  <si>
    <t>174 Grand Street</t>
  </si>
  <si>
    <t>Zargar</t>
  </si>
  <si>
    <t>jzargar@drsunited.com</t>
  </si>
  <si>
    <t xml:space="preserve">174 Grand Street </t>
  </si>
  <si>
    <t>Jzargar@drsunited.com</t>
  </si>
  <si>
    <t>SIRIUS XM RADIO INC.</t>
  </si>
  <si>
    <t>Energy Engineers</t>
  </si>
  <si>
    <t>I-200-20268-844744</t>
  </si>
  <si>
    <t>Smilistic Dental LLC</t>
  </si>
  <si>
    <t xml:space="preserve">200 Westgate Drive </t>
  </si>
  <si>
    <t>Pawandeep</t>
  </si>
  <si>
    <t>smilisticdental@gmail.com</t>
  </si>
  <si>
    <t>sdover@gmail.com</t>
  </si>
  <si>
    <t>5 TOWER BRIDGE, 300 BARR HARBOR DRIVE</t>
  </si>
  <si>
    <t>I-200-20268-843129</t>
  </si>
  <si>
    <t>850 Lagoon Drive</t>
  </si>
  <si>
    <t>Chula Vista</t>
  </si>
  <si>
    <t>Equinix, Inc.</t>
  </si>
  <si>
    <t>One Lagoon Drive</t>
  </si>
  <si>
    <t>Colello</t>
  </si>
  <si>
    <t>Randi</t>
  </si>
  <si>
    <t>rcolello@equinix.com</t>
  </si>
  <si>
    <t>mperez@balglobal.com</t>
  </si>
  <si>
    <t>330 Brookline Avenue</t>
  </si>
  <si>
    <t>I-200-20268-843624</t>
  </si>
  <si>
    <t>SR INTERNATIONAL, INC.</t>
  </si>
  <si>
    <t>2272 W. 95TH STREET</t>
  </si>
  <si>
    <t>TJ</t>
  </si>
  <si>
    <t>ANUPAMA</t>
  </si>
  <si>
    <t>ANU@SRIIUSA.COM</t>
  </si>
  <si>
    <t>2739 E. Washington Street</t>
  </si>
  <si>
    <t>LAUREN@RAYLAWINTERNATIONAL.COM</t>
  </si>
  <si>
    <t>Apt 608</t>
  </si>
  <si>
    <t>I-200-20269-846148</t>
  </si>
  <si>
    <t>I-200-20269-846081</t>
  </si>
  <si>
    <t>NEW YORK GLOBAL CONSULTANTS INC.</t>
  </si>
  <si>
    <t>626 RXR PLAZA</t>
  </si>
  <si>
    <t>Molugu</t>
  </si>
  <si>
    <t>Mukesh</t>
  </si>
  <si>
    <t>mukesh@nygci.com</t>
  </si>
  <si>
    <t>3070 US-22</t>
  </si>
  <si>
    <t>100 NAGOG PARK</t>
  </si>
  <si>
    <t>I-200-20268-844541</t>
  </si>
  <si>
    <t>326 East D Street</t>
  </si>
  <si>
    <t>MEDIA</t>
  </si>
  <si>
    <t>ResMed Corp.</t>
  </si>
  <si>
    <t>9001 Spectrum Center Blvd.</t>
  </si>
  <si>
    <t>Travalini</t>
  </si>
  <si>
    <t>Felicia</t>
  </si>
  <si>
    <t>People Shared Services Specialist</t>
  </si>
  <si>
    <t>9001 Spectrum Center Blvd</t>
  </si>
  <si>
    <t>Felicia.Travalini@resmed.com</t>
  </si>
  <si>
    <t>I-200-20269-845788</t>
  </si>
  <si>
    <t>16825 Northchase Dr #800</t>
  </si>
  <si>
    <t>I-200-20268-843150</t>
  </si>
  <si>
    <t>444 N. Elm St</t>
  </si>
  <si>
    <t>I-200-20268-843650</t>
  </si>
  <si>
    <t>Edsion</t>
  </si>
  <si>
    <t>7941 Dominion Pkwy</t>
  </si>
  <si>
    <t>I-200-20269-846342</t>
  </si>
  <si>
    <t>W139N6435 Manor Hills</t>
  </si>
  <si>
    <t>PRINCE WILLIAM</t>
  </si>
  <si>
    <t>Key Business Solutions, Inc.</t>
  </si>
  <si>
    <t>4738 Duckhorn Dr.</t>
  </si>
  <si>
    <t>Gutta</t>
  </si>
  <si>
    <t>Rajan</t>
  </si>
  <si>
    <t>rajan@keybusinessglobal.com</t>
  </si>
  <si>
    <t>Narendra</t>
  </si>
  <si>
    <t>I-200-20268-843220</t>
  </si>
  <si>
    <t xml:space="preserve">1 Mercedes-Benz Dr, </t>
  </si>
  <si>
    <t>mryanpeloquin@gocivix.com</t>
  </si>
  <si>
    <t>Muneer</t>
  </si>
  <si>
    <t>muneer@softlabsna.com</t>
  </si>
  <si>
    <t>Wildwood</t>
  </si>
  <si>
    <t>1120 Avenue of the Americas</t>
  </si>
  <si>
    <t>Gowda</t>
  </si>
  <si>
    <t>Highland Heights</t>
  </si>
  <si>
    <t>I-200-20268-844036</t>
  </si>
  <si>
    <t>Meridian Capital Group, LLC</t>
  </si>
  <si>
    <t>1 Battery Park Plaza</t>
  </si>
  <si>
    <t>Anscher</t>
  </si>
  <si>
    <t>RAnscher@meridiancapital.com</t>
  </si>
  <si>
    <t>TRUIST BANK</t>
  </si>
  <si>
    <t>214 NORTH TRYON STREET</t>
  </si>
  <si>
    <t>ASSISTANT GENERAL COUNSEL, LEGAL &amp; REGULATORY AFFAIRS</t>
  </si>
  <si>
    <t>41 RACHEL DRIVE</t>
  </si>
  <si>
    <t>NIVIMMIGRATION@SUNTRUST.COM</t>
  </si>
  <si>
    <t>303 PEACHTREE CENTER AVENUE</t>
  </si>
  <si>
    <t>I-200-20269-846146</t>
  </si>
  <si>
    <t>3201 BEECHLEAF COURT</t>
  </si>
  <si>
    <t>LU</t>
  </si>
  <si>
    <t>Erika</t>
  </si>
  <si>
    <t>Rocklin</t>
  </si>
  <si>
    <t>Bettendorf</t>
  </si>
  <si>
    <t>Lydia</t>
  </si>
  <si>
    <t>Senior Immigration Analyst</t>
  </si>
  <si>
    <t>I-200-20269-845004</t>
  </si>
  <si>
    <t>LUSSOTECH LLC</t>
  </si>
  <si>
    <t>109 CARPENTER DRIVE</t>
  </si>
  <si>
    <t>SURE</t>
  </si>
  <si>
    <t>RAM@LUSSOTECH.COM</t>
  </si>
  <si>
    <t>1 INFINITE LOOP</t>
  </si>
  <si>
    <t>EJI@MYJILAW.COM</t>
  </si>
  <si>
    <t>I-200-20269-845074</t>
  </si>
  <si>
    <t>Geisinger System Services</t>
  </si>
  <si>
    <t>100 N. Academy Avenue</t>
  </si>
  <si>
    <t xml:space="preserve">Matthew </t>
  </si>
  <si>
    <t>Director, Talent Management</t>
  </si>
  <si>
    <t>mwmckinney@geisinger.edu</t>
  </si>
  <si>
    <t>12308 Coral Drive</t>
  </si>
  <si>
    <t>I-200-20269-845727</t>
  </si>
  <si>
    <t>2211 NEWMARKET PARKWAY SOUTHEAST</t>
  </si>
  <si>
    <t>Wu</t>
  </si>
  <si>
    <t>SAN LUIS OBISPO</t>
  </si>
  <si>
    <t>I-200-20268-843529</t>
  </si>
  <si>
    <t>9715 Businesspark Ave</t>
  </si>
  <si>
    <t>1050 Woodward Ave.</t>
  </si>
  <si>
    <t>PARADIGM INFOTECH INC.</t>
  </si>
  <si>
    <t>8830 STANFORD BLVD. STE. 312</t>
  </si>
  <si>
    <t>HARI@PARADIGMINFOTECH.COM</t>
  </si>
  <si>
    <t>Ste. 700</t>
  </si>
  <si>
    <t>I-200-20269-845942</t>
  </si>
  <si>
    <t>9409 Fairgrove Lane</t>
  </si>
  <si>
    <t>Unit 104</t>
  </si>
  <si>
    <t>EcoHealth Alliance, Inc. F/K/A Wildlife Trust Incorporated</t>
  </si>
  <si>
    <t>520 8th Ave.</t>
  </si>
  <si>
    <t>Daszak</t>
  </si>
  <si>
    <t>520 8th Ave</t>
  </si>
  <si>
    <t>daszak@ecohealthalliance.org</t>
  </si>
  <si>
    <t>nourhan_heikal@visaserve.com</t>
  </si>
  <si>
    <t>485 Alberto Way</t>
  </si>
  <si>
    <t>Tarangita</t>
  </si>
  <si>
    <t>I-200-20268-844110</t>
  </si>
  <si>
    <t>366 Galvez Street</t>
  </si>
  <si>
    <t>I-200-20269-846053</t>
  </si>
  <si>
    <t>Dfuse Technologies inc</t>
  </si>
  <si>
    <t>20 Pidgeon Hill Dr</t>
  </si>
  <si>
    <t>sonny.suri@dfusetech.com</t>
  </si>
  <si>
    <t>75 N Fairway Dr</t>
  </si>
  <si>
    <t>I-200-20268-844650</t>
  </si>
  <si>
    <t xml:space="preserve">Concur Technologies, Inc. </t>
  </si>
  <si>
    <t>700 Central Expressway South</t>
  </si>
  <si>
    <t>I-200-20268-844484</t>
  </si>
  <si>
    <t>2857 Tall Oaks Ct, Apt 11</t>
  </si>
  <si>
    <t>I-200-20269-846674</t>
  </si>
  <si>
    <t>Logitech Inc.</t>
  </si>
  <si>
    <t>7700 Gateway Blvd</t>
  </si>
  <si>
    <t xml:space="preserve">Golden / Daniel </t>
  </si>
  <si>
    <t>Lorraine / Andrea</t>
  </si>
  <si>
    <t>People Services Generalist, AMR  / Talent Engagement Partner</t>
  </si>
  <si>
    <t>lgolden@logitech.com</t>
  </si>
  <si>
    <t>1620 26TH STREET</t>
  </si>
  <si>
    <t>I-200-20269-845840</t>
  </si>
  <si>
    <t>Technology Partners, Inc.</t>
  </si>
  <si>
    <t>707 Spirit 40 Park Drive</t>
  </si>
  <si>
    <t>Maixner</t>
  </si>
  <si>
    <t>Sydney</t>
  </si>
  <si>
    <t>ayoung@technologypartners.net</t>
  </si>
  <si>
    <t>600 Technology Dr. W</t>
  </si>
  <si>
    <t>Weldon Spring</t>
  </si>
  <si>
    <t>660 Rosedale Rd</t>
  </si>
  <si>
    <t>Henrico</t>
  </si>
  <si>
    <t>I-200-20268-843731</t>
  </si>
  <si>
    <t>Purview Infotech LLC</t>
  </si>
  <si>
    <t>2727 Lyndon B Johnson Fwy.</t>
  </si>
  <si>
    <t>Venkataramane</t>
  </si>
  <si>
    <t>2727  Lyndon B Johnson Fwy., Suite 772</t>
  </si>
  <si>
    <t>krishg@purviewinfotech.com</t>
  </si>
  <si>
    <t>308 Springhill Farm Road</t>
  </si>
  <si>
    <t>Sayanti</t>
  </si>
  <si>
    <t>Paralegal - Immigration Services</t>
  </si>
  <si>
    <t>chaudsya@schaeffler.com</t>
  </si>
  <si>
    <t>Southwest Research Institute</t>
  </si>
  <si>
    <t>6220 CULEBRA ROAD</t>
  </si>
  <si>
    <t>O'Neal</t>
  </si>
  <si>
    <t>Group Leader, Export &amp; International Affairs</t>
  </si>
  <si>
    <t>david.oneal@swri.org</t>
  </si>
  <si>
    <t>6220 Culebra Road</t>
  </si>
  <si>
    <t>SUITE # 1200</t>
  </si>
  <si>
    <t>APT 4</t>
  </si>
  <si>
    <t>I-200-20269-845880</t>
  </si>
  <si>
    <t>75 Pleasant Street</t>
  </si>
  <si>
    <t xml:space="preserve">2200 Ross Avenue </t>
  </si>
  <si>
    <t>I-200-20269-845921</t>
  </si>
  <si>
    <t xml:space="preserve">Honeywell International Inc. </t>
  </si>
  <si>
    <t>16201 25th Ave W</t>
  </si>
  <si>
    <t>Roholt</t>
  </si>
  <si>
    <t>Huan</t>
  </si>
  <si>
    <t>Yang</t>
  </si>
  <si>
    <t>3701 Chestnut Street Suite 1W</t>
  </si>
  <si>
    <t>hroholt@upenn.edu</t>
  </si>
  <si>
    <t>CODE ACE SOLUTIONS, INC.</t>
  </si>
  <si>
    <t>SPONAKALA@CODEACEINC.COM</t>
  </si>
  <si>
    <t>SUNRISE INFOTEK CORP.</t>
  </si>
  <si>
    <t>150 CORNERSTONE DRIVE</t>
  </si>
  <si>
    <t>KAMBARA</t>
  </si>
  <si>
    <t>CHARI</t>
  </si>
  <si>
    <t>SENIOR DIRECTOR, HUMAN RESOURCES</t>
  </si>
  <si>
    <t>I-200-20269-845395</t>
  </si>
  <si>
    <t>Nova Biomedical</t>
  </si>
  <si>
    <t>200 Prospect Street</t>
  </si>
  <si>
    <t>Gatti</t>
  </si>
  <si>
    <t xml:space="preserve">Manager, Benefits &amp; Compensation </t>
  </si>
  <si>
    <t>MGatti@novabio.com</t>
  </si>
  <si>
    <t>I-200-20270-846875</t>
  </si>
  <si>
    <t>Port Authority Trans-Hudson</t>
  </si>
  <si>
    <t>114 Academy Street</t>
  </si>
  <si>
    <t>1100 Glendon Avenue</t>
  </si>
  <si>
    <t>One Nashville Place</t>
  </si>
  <si>
    <t>1525 W W T Harris Blvd</t>
  </si>
  <si>
    <t>I-200-20269-846285</t>
  </si>
  <si>
    <t>1350 Lakeshore Drive, Suite 100</t>
  </si>
  <si>
    <t>I-200-20269-845094</t>
  </si>
  <si>
    <t>1960 TECHNOLOGY DRIVE</t>
  </si>
  <si>
    <t>mark@kalishlaw.com</t>
  </si>
  <si>
    <t>20 Western Ave</t>
  </si>
  <si>
    <t>Kao</t>
  </si>
  <si>
    <t>I-200-20269-845676</t>
  </si>
  <si>
    <t>ePathUSA, Inc</t>
  </si>
  <si>
    <t>1075 Jordan Creek Parkway Ste. 295</t>
  </si>
  <si>
    <t>13941 Estuary Dr.</t>
  </si>
  <si>
    <t>12312 Port Grace Blvd</t>
  </si>
  <si>
    <t>La Vista</t>
  </si>
  <si>
    <t>Management Analyst</t>
  </si>
  <si>
    <t>12401 Research Boulevard</t>
  </si>
  <si>
    <t>Building II</t>
  </si>
  <si>
    <t>I-200-20269-845008</t>
  </si>
  <si>
    <t>Sasaki Associates, Inc.</t>
  </si>
  <si>
    <t>64 Pleasant Street</t>
  </si>
  <si>
    <t>Davidian</t>
  </si>
  <si>
    <t>bdavidian@sasaki.com</t>
  </si>
  <si>
    <t>ccano-dreyer@seyfarth.com</t>
  </si>
  <si>
    <t>I-200-20269-845527</t>
  </si>
  <si>
    <t>I-200-20268-844314</t>
  </si>
  <si>
    <t>Globalgate IT Solutions, LLC</t>
  </si>
  <si>
    <t>14801 Murdock Street</t>
  </si>
  <si>
    <t>Manne</t>
  </si>
  <si>
    <t xml:space="preserve">Amar </t>
  </si>
  <si>
    <t>amar@globalgatellc.com</t>
  </si>
  <si>
    <t>500 Salem Street</t>
  </si>
  <si>
    <t>SMITHFIELD</t>
  </si>
  <si>
    <t>I-200-20269-846351</t>
  </si>
  <si>
    <t>157 BERKELEY STREET</t>
  </si>
  <si>
    <t>I-200-20268-844438</t>
  </si>
  <si>
    <t>Techmorgonite Software Solutions LLC</t>
  </si>
  <si>
    <t xml:space="preserve">114 Water Street </t>
  </si>
  <si>
    <t>ZAMAN</t>
  </si>
  <si>
    <t>MANIK</t>
  </si>
  <si>
    <t>114 WATER STREET</t>
  </si>
  <si>
    <t>info@techmorgonite.com</t>
  </si>
  <si>
    <t>341 BROOK VILLAGE ROAD, APT 16</t>
  </si>
  <si>
    <t>I-200-20270-846844</t>
  </si>
  <si>
    <t>North Brunswick</t>
  </si>
  <si>
    <t>DIVIS SOLUTIONS INC</t>
  </si>
  <si>
    <t>565 SOUTH METRO PLACE</t>
  </si>
  <si>
    <t>Kandru</t>
  </si>
  <si>
    <t>565 South Metro Place</t>
  </si>
  <si>
    <t>pkandru@divissolutions.com</t>
  </si>
  <si>
    <t>I-200-20268-843462</t>
  </si>
  <si>
    <t>9997 Carver Rd.</t>
  </si>
  <si>
    <t>I-200-20269-846127</t>
  </si>
  <si>
    <t xml:space="preserve"> Urbanski</t>
  </si>
  <si>
    <t xml:space="preserve"> Diane</t>
  </si>
  <si>
    <t xml:space="preserve"> Immigration Manager</t>
  </si>
  <si>
    <t>DXC Technology Services LLC</t>
  </si>
  <si>
    <t>3400 N. Central Expy.</t>
  </si>
  <si>
    <t>O'Sullivan</t>
  </si>
  <si>
    <t>OSCAR</t>
  </si>
  <si>
    <t>880 Powder Mill Road</t>
  </si>
  <si>
    <t>I-200-20269-845299</t>
  </si>
  <si>
    <t>Baelon Inc.</t>
  </si>
  <si>
    <t>1100 Glendon Ave</t>
  </si>
  <si>
    <t>Brandes</t>
  </si>
  <si>
    <t>richard@richardbrandes.com</t>
  </si>
  <si>
    <t>WASATCH</t>
  </si>
  <si>
    <t>175 S. San Antonio Rd.</t>
  </si>
  <si>
    <t>9700 S Cass Ave</t>
  </si>
  <si>
    <t>I-200-20269-846033</t>
  </si>
  <si>
    <t>Veritas Prime, LLC</t>
  </si>
  <si>
    <t>7070 Renner Road</t>
  </si>
  <si>
    <t>Shawnee</t>
  </si>
  <si>
    <t>Sharmacharya</t>
  </si>
  <si>
    <t>raj.sharmacharya@veritasprime.com</t>
  </si>
  <si>
    <t xml:space="preserve">7070 Renner Road </t>
  </si>
  <si>
    <t>West Hartford</t>
  </si>
  <si>
    <t>Rego Park</t>
  </si>
  <si>
    <t>I-200-20268-844205</t>
  </si>
  <si>
    <t>87 South Route 9W</t>
  </si>
  <si>
    <t>Haverstraw</t>
  </si>
  <si>
    <t>I-200-20268-843662</t>
  </si>
  <si>
    <t>AETNA RESOURCES, LLC</t>
  </si>
  <si>
    <t>151 FARMINGTON AVE</t>
  </si>
  <si>
    <t>400 CURIE DRIVE, SUITE A - 201</t>
  </si>
  <si>
    <t>GEORGE</t>
  </si>
  <si>
    <t>Maher</t>
  </si>
  <si>
    <t>I-200-20268-844037</t>
  </si>
  <si>
    <t>Kennedy Krieger Institute</t>
  </si>
  <si>
    <t>707 N. Broadway</t>
  </si>
  <si>
    <t>1741 Ashland Avenue</t>
  </si>
  <si>
    <t>schroeder@kennedykrieger.org</t>
  </si>
  <si>
    <t>3901 Greenspring Ave.</t>
  </si>
  <si>
    <t>I-200-20269-846670</t>
  </si>
  <si>
    <t>836 Pecan Tree Lane</t>
  </si>
  <si>
    <t>1999 Bryan Street</t>
  </si>
  <si>
    <t xml:space="preserve">US Immigration Specialist - Global Mobility Americas </t>
  </si>
  <si>
    <t>miriam.garcia@jacobs.com</t>
  </si>
  <si>
    <t>2201 6TH AVENUE</t>
  </si>
  <si>
    <t>I-200-20269-846189</t>
  </si>
  <si>
    <t>303 PEACHTREE CENTER AVENUE NE</t>
  </si>
  <si>
    <t>Apartment 202</t>
  </si>
  <si>
    <t>I-200-20269-845177</t>
  </si>
  <si>
    <t>KARTHIK</t>
  </si>
  <si>
    <t>I-200-20268-843698</t>
  </si>
  <si>
    <t>I-200-20269-845497</t>
  </si>
  <si>
    <t>1000 HARBOR BOULEVARD</t>
  </si>
  <si>
    <t>Senior Manager, Talent Acquisition</t>
  </si>
  <si>
    <t>1880  EMBARCADERO RD</t>
  </si>
  <si>
    <t>1880 EMBARCADERO RD</t>
  </si>
  <si>
    <t>I-200-20268-843826</t>
  </si>
  <si>
    <t>4849 Greenville Avenue</t>
  </si>
  <si>
    <t xml:space="preserve">Milpitas </t>
  </si>
  <si>
    <t>I-200-20269-845520</t>
  </si>
  <si>
    <t>3944 S 191st St</t>
  </si>
  <si>
    <t>I-200-20268-843281</t>
  </si>
  <si>
    <t>Fanatics Retail Group Fulfillment LLC</t>
  </si>
  <si>
    <t>8100 Nations Way</t>
  </si>
  <si>
    <t>McCown</t>
  </si>
  <si>
    <t>SYNOPSYS, INC.</t>
  </si>
  <si>
    <t>690 E. Middlefield Rd</t>
  </si>
  <si>
    <t>LCAPAFS@SYNOPSYS.COM</t>
  </si>
  <si>
    <t>lauren.zanetti@tsmimmigration.com</t>
  </si>
  <si>
    <t>sam@legal-visa.com</t>
  </si>
  <si>
    <t>I-200-20268-843595</t>
  </si>
  <si>
    <t>1325 SATELLITE BLVD., BUILDING 200</t>
  </si>
  <si>
    <t>300 CONCORD PLAZA DR</t>
  </si>
  <si>
    <t>Lu</t>
  </si>
  <si>
    <t>I-200-20269-845549</t>
  </si>
  <si>
    <t>Vital Pharmaceuticals, Inc.</t>
  </si>
  <si>
    <t>1600 N. Park Drive</t>
  </si>
  <si>
    <t>Massabki</t>
  </si>
  <si>
    <t>Frank.Massabki@VPXsports.com</t>
  </si>
  <si>
    <t>201 Main Street</t>
  </si>
  <si>
    <t>Zellar Maxim</t>
  </si>
  <si>
    <t>Assistant Director, SEVIS Compliance</t>
  </si>
  <si>
    <t>maria.zellar@colorado.edu</t>
  </si>
  <si>
    <t>I-200-20269-846323</t>
  </si>
  <si>
    <t>SLIQ Information Technologies, Inc.</t>
  </si>
  <si>
    <t>3 Independence Way</t>
  </si>
  <si>
    <t>Gollamudi</t>
  </si>
  <si>
    <t>Ramasarada</t>
  </si>
  <si>
    <t>rgollamudi@sliqit.com</t>
  </si>
  <si>
    <t>BHANU@BBILAWGROUP.COM</t>
  </si>
  <si>
    <t>I-200-20269-846163</t>
  </si>
  <si>
    <t>8033 Trotters Chase</t>
  </si>
  <si>
    <t xml:space="preserve">Ellicott City </t>
  </si>
  <si>
    <t>Suite 106</t>
  </si>
  <si>
    <t>pskayne@seyfarth.com</t>
  </si>
  <si>
    <t>1055 LPL Way</t>
  </si>
  <si>
    <t>Mamta</t>
  </si>
  <si>
    <t>I-200-20268-843790</t>
  </si>
  <si>
    <t>VERNON HILLS</t>
  </si>
  <si>
    <t>1880 EMBARCADERO ROAD</t>
  </si>
  <si>
    <t>MEMBER</t>
  </si>
  <si>
    <t>ctardio@fragomen.com</t>
  </si>
  <si>
    <t>Freemont</t>
  </si>
  <si>
    <t>Lewes</t>
  </si>
  <si>
    <t>Tailored Shared Services, LLC</t>
  </si>
  <si>
    <t>6380 Rogerdale Road</t>
  </si>
  <si>
    <t>Skalenakis</t>
  </si>
  <si>
    <t>Lillian</t>
  </si>
  <si>
    <t>6100 Stevenson Blvd</t>
  </si>
  <si>
    <t>Lillian.Skalenakis@tailoredbrands.com</t>
  </si>
  <si>
    <t>UNIQUE KEY RESOURCES INC</t>
  </si>
  <si>
    <t>91 PEYTON PARKWAY</t>
  </si>
  <si>
    <t>RAVVA</t>
  </si>
  <si>
    <t>rachel@ukrinc.com</t>
  </si>
  <si>
    <t>EVEREST CONSULTING GROUP INC</t>
  </si>
  <si>
    <t>400 E. Royal Ln.</t>
  </si>
  <si>
    <t>4965 Preston Park Blvd.</t>
  </si>
  <si>
    <t>I-200-20268-844524</t>
  </si>
  <si>
    <t>6201, South Freeway</t>
  </si>
  <si>
    <t xml:space="preserve">James </t>
  </si>
  <si>
    <t>101 LYTTON AVENUE</t>
  </si>
  <si>
    <t>Fraank Systems</t>
  </si>
  <si>
    <t>1613 S Main Street</t>
  </si>
  <si>
    <t>Rammurthy</t>
  </si>
  <si>
    <t xml:space="preserve">Corporate Secretary </t>
  </si>
  <si>
    <t>srikanth@fraank.com</t>
  </si>
  <si>
    <t>Sr Immigration Specialist</t>
  </si>
  <si>
    <t>davian.ellis@verisk.com</t>
  </si>
  <si>
    <t xml:space="preserve">ONE DELL WAY </t>
  </si>
  <si>
    <t>Stellar IT Solutions, Inc.</t>
  </si>
  <si>
    <t>9210 Corporate Blvd.</t>
  </si>
  <si>
    <t>dipak@stellarIT.com</t>
  </si>
  <si>
    <t>I-200-20268-844199</t>
  </si>
  <si>
    <t>I-200-20268-843950</t>
  </si>
  <si>
    <t>200 CA-1 #1200</t>
  </si>
  <si>
    <t>I-200-20269-844993</t>
  </si>
  <si>
    <t>3680 Victoria Street North</t>
  </si>
  <si>
    <t>WOBURN CITY</t>
  </si>
  <si>
    <t>milind@fusionplusinc.com</t>
  </si>
  <si>
    <t>INFOSTRETCH CORPORATION</t>
  </si>
  <si>
    <t>3200 PATRICK HENRY DRIVE</t>
  </si>
  <si>
    <t>WALLACE</t>
  </si>
  <si>
    <t>RHONDA</t>
  </si>
  <si>
    <t>SR. HR &amp; RECRUITING MANAGER</t>
  </si>
  <si>
    <t>NADJET.ACHOUCHE@INFOSTRETCH.COM</t>
  </si>
  <si>
    <t>333 S Wabash Avenue</t>
  </si>
  <si>
    <t>Bommareddy</t>
  </si>
  <si>
    <t>3415 Custer Road</t>
  </si>
  <si>
    <t>bharath@sbhstech.com</t>
  </si>
  <si>
    <t>fp_Hanna_roberts@fragomenpartners.com</t>
  </si>
  <si>
    <t>Ste. A</t>
  </si>
  <si>
    <t>I-200-20269-845616</t>
  </si>
  <si>
    <t>30 HUDSON ST.</t>
  </si>
  <si>
    <t>I-200-20268-843570</t>
  </si>
  <si>
    <t>102A Rutgers Rd.</t>
  </si>
  <si>
    <t>I-200-20268-844677</t>
  </si>
  <si>
    <t>I-200-20268-843080</t>
  </si>
  <si>
    <t>I-200-20269-845766</t>
  </si>
  <si>
    <t>525 MARKET STREET</t>
  </si>
  <si>
    <t>daniel.rossignol@tsmimmigration.com</t>
  </si>
  <si>
    <t>Arden Hills</t>
  </si>
  <si>
    <t>Laboratory Corporation of America Holdings</t>
  </si>
  <si>
    <t>3060 S. Church Street</t>
  </si>
  <si>
    <t>us&amp;canadaimmigration@covance.com</t>
  </si>
  <si>
    <t>I-200-20268-844405</t>
  </si>
  <si>
    <t>Collaborative Imaging, LLC</t>
  </si>
  <si>
    <t>P.O. Box 251449</t>
  </si>
  <si>
    <t>Preeth</t>
  </si>
  <si>
    <t>phegde@collaborativeimaging.com</t>
  </si>
  <si>
    <t>1020 San Jacinto Dr.</t>
  </si>
  <si>
    <t>#1322</t>
  </si>
  <si>
    <t>LUKE</t>
  </si>
  <si>
    <t>Human Resources Assistant</t>
  </si>
  <si>
    <t xml:space="preserve">Katherine </t>
  </si>
  <si>
    <t>I-200-20268-844095</t>
  </si>
  <si>
    <t>Mayer Brown LLP</t>
  </si>
  <si>
    <t>Bushlow</t>
  </si>
  <si>
    <t>Director of Attorney Development &amp; Recruitment - U.S.</t>
  </si>
  <si>
    <t>lbushlow@mayerbrown.com</t>
  </si>
  <si>
    <t>71 S. Wacker Dr.</t>
  </si>
  <si>
    <t>I-200-20268-843467</t>
  </si>
  <si>
    <t>Fisher &amp; Company, Inc.</t>
  </si>
  <si>
    <t>Rottier</t>
  </si>
  <si>
    <t>Rosalyn</t>
  </si>
  <si>
    <t>Corporate TeamFisher Manager</t>
  </si>
  <si>
    <t>roz.rottier@fisherco.com</t>
  </si>
  <si>
    <t>siyer@honigman.com</t>
  </si>
  <si>
    <t>I-200-20268-844691</t>
  </si>
  <si>
    <t>Talend Inc.</t>
  </si>
  <si>
    <t>800 Bridge Parkway</t>
  </si>
  <si>
    <t>Dao</t>
  </si>
  <si>
    <t>jdao@talend.com</t>
  </si>
  <si>
    <t>800 Bridge Parkway, Suite 200</t>
  </si>
  <si>
    <t>carla@senhlaw.com</t>
  </si>
  <si>
    <t>I-200-20268-843964</t>
  </si>
  <si>
    <t>MATHIAS</t>
  </si>
  <si>
    <t>mm@ccsiusa.net</t>
  </si>
  <si>
    <t>754 Peacetree St NE</t>
  </si>
  <si>
    <t>Director of Practice Management</t>
  </si>
  <si>
    <t>I-200-20269-845693</t>
  </si>
  <si>
    <t>Abbott</t>
  </si>
  <si>
    <t>Centraprise Corp</t>
  </si>
  <si>
    <t>3 Ethel Rd</t>
  </si>
  <si>
    <t>Prasanna</t>
  </si>
  <si>
    <t>hr@centraprise.com</t>
  </si>
  <si>
    <t>I-200-20269-845235</t>
  </si>
  <si>
    <t>I-200-20269-845285</t>
  </si>
  <si>
    <t>7300 NW 62nd Avenue</t>
  </si>
  <si>
    <t>Numentica LLC</t>
  </si>
  <si>
    <t>Periasamy</t>
  </si>
  <si>
    <t>Vice President, IT</t>
  </si>
  <si>
    <t>I-200-20268-843119</t>
  </si>
  <si>
    <t>30 Hudson St</t>
  </si>
  <si>
    <t>I-200-20268-844756</t>
  </si>
  <si>
    <t>SBP Consulting, Inc.</t>
  </si>
  <si>
    <t>4900 38th Avenue</t>
  </si>
  <si>
    <t>Anumulapalli</t>
  </si>
  <si>
    <t>Harikishan</t>
  </si>
  <si>
    <t>hari@sbpcorp.com</t>
  </si>
  <si>
    <t>225 W. WACKER</t>
  </si>
  <si>
    <t>#3000</t>
  </si>
  <si>
    <t>Pradeep</t>
  </si>
  <si>
    <t>Apt. 1</t>
  </si>
  <si>
    <t>I-200-20269-845229</t>
  </si>
  <si>
    <t>5700 S Mopac Expressway Building E</t>
  </si>
  <si>
    <t>I-200-20269-845850</t>
  </si>
  <si>
    <t>6900 VETERANS BOULEVARD</t>
  </si>
  <si>
    <t>I-200-20269-844972</t>
  </si>
  <si>
    <t xml:space="preserve">753 Davis Street </t>
  </si>
  <si>
    <t>WANG</t>
  </si>
  <si>
    <t xml:space="preserve"> PAREXEL INTERNATIONAL</t>
  </si>
  <si>
    <t>275 Grove St., Suite 101C</t>
  </si>
  <si>
    <t>Senior HR Specialist - Immigration</t>
  </si>
  <si>
    <t>BILLERICA</t>
  </si>
  <si>
    <t xml:space="preserve"> IMMIGRATIONNA@PAREXEL.COM</t>
  </si>
  <si>
    <t>candace.savino@quarles.com</t>
  </si>
  <si>
    <t>I-200-20269-845640</t>
  </si>
  <si>
    <t>Alloy Therapeutics LLC</t>
  </si>
  <si>
    <t>44 Hartwell Avenue</t>
  </si>
  <si>
    <t>Rosanelli</t>
  </si>
  <si>
    <t>VP Finance and Operations</t>
  </si>
  <si>
    <t>jay.rosanelli@alloytx.com</t>
  </si>
  <si>
    <t>44 Hartwell Ave</t>
  </si>
  <si>
    <t>I-200-20269-846466</t>
  </si>
  <si>
    <t>110 Beacon Avenue</t>
  </si>
  <si>
    <t>I-200-20268-843506</t>
  </si>
  <si>
    <t>Nestle USA, Inc.</t>
  </si>
  <si>
    <t>1812 N Moore Street</t>
  </si>
  <si>
    <t xml:space="preserve"> Faison/Hitt</t>
  </si>
  <si>
    <t>Kristin/Emily</t>
  </si>
  <si>
    <t>Global Mobility</t>
  </si>
  <si>
    <t>Kristin.Faison@us.nestle.com</t>
  </si>
  <si>
    <t>1812 N. Moore Street</t>
  </si>
  <si>
    <t>I-200-20268-843137</t>
  </si>
  <si>
    <t>TECHNOCRATIC INC</t>
  </si>
  <si>
    <t>13750 Millard Ave</t>
  </si>
  <si>
    <t>Mahendra</t>
  </si>
  <si>
    <t>OPERATION MANAGER</t>
  </si>
  <si>
    <t>immi@technocraticinc.com</t>
  </si>
  <si>
    <t>700 Chester Field Parkway</t>
  </si>
  <si>
    <t>Indus USA Inc</t>
  </si>
  <si>
    <t>18510 Green Land Way</t>
  </si>
  <si>
    <t>Prasannachar</t>
  </si>
  <si>
    <t>Muralidhara</t>
  </si>
  <si>
    <t>murali.p@indus-usa.com</t>
  </si>
  <si>
    <t>Jamaica</t>
  </si>
  <si>
    <t>Whitney</t>
  </si>
  <si>
    <t>North Andover</t>
  </si>
  <si>
    <t>8412, Memorial Lane, Apartment 6202</t>
  </si>
  <si>
    <t>300 Vesey Street</t>
  </si>
  <si>
    <t>VANKAYALAPATI</t>
  </si>
  <si>
    <t>SR. MANAGER - HR</t>
  </si>
  <si>
    <t>16001 N DALLAS PKWY</t>
  </si>
  <si>
    <t>ADDISON</t>
  </si>
  <si>
    <t>I-200-20268-844589</t>
  </si>
  <si>
    <t>Radford Global Technology Survey (5062)</t>
  </si>
  <si>
    <t>marzan.maury@pwc.com</t>
  </si>
  <si>
    <t>601 South Figueroa Street</t>
  </si>
  <si>
    <t>Neurologists</t>
  </si>
  <si>
    <t>I-200-20268-843904</t>
  </si>
  <si>
    <t>501 SW JEFFERSON AVENUE</t>
  </si>
  <si>
    <t>PVR Technologies, Inc.</t>
  </si>
  <si>
    <t>SUITE 320</t>
  </si>
  <si>
    <t>DEVCARE SOLUTIONS LIMITED</t>
  </si>
  <si>
    <t>131 N HIGH STREET, SUITE 640</t>
  </si>
  <si>
    <t>THIRUMALAIAPPAN</t>
  </si>
  <si>
    <t>JANAKI@DEVCARE.COM</t>
  </si>
  <si>
    <t>I-200-20269-845943</t>
  </si>
  <si>
    <t>HRImmigrant@FMR.COM</t>
  </si>
  <si>
    <t>US MDB/TRS - Mercer/Gartner IT Survey</t>
  </si>
  <si>
    <t>I-200-20269-846064</t>
  </si>
  <si>
    <t>NORTHSTAR ENERGY SERVICES</t>
  </si>
  <si>
    <t>1608 MARGARET STREET</t>
  </si>
  <si>
    <t>RAYBURN</t>
  </si>
  <si>
    <t>CRAYBURN@NHPLC.COM</t>
  </si>
  <si>
    <t>15025 EAST FREEWAY</t>
  </si>
  <si>
    <t>CHANNELVIEW</t>
  </si>
  <si>
    <t>WTW: MIDDLE MANAGEMENT,PROFESSIONAL,AND SUPPORT COMPENSATION</t>
  </si>
  <si>
    <t>I-200-20268-843682</t>
  </si>
  <si>
    <t>507 Westlake Ave N</t>
  </si>
  <si>
    <t>I-200-20269-845713</t>
  </si>
  <si>
    <t>UNITED HEALTHCARE SERVICES, INC.</t>
  </si>
  <si>
    <t>9700 Health Care Lane</t>
  </si>
  <si>
    <t>HOPKINTON</t>
  </si>
  <si>
    <t>I-200-20269-845197</t>
  </si>
  <si>
    <t>I-200-20269-845665</t>
  </si>
  <si>
    <t>1 Fire-Lite Place</t>
  </si>
  <si>
    <t>Northford</t>
  </si>
  <si>
    <t>I-200-20268-843183</t>
  </si>
  <si>
    <t>156 SAINT PAULS AVE</t>
  </si>
  <si>
    <t>I-200-20269-845385</t>
  </si>
  <si>
    <t>I-200-20268-844611</t>
  </si>
  <si>
    <t>Infosmart Technologies, Inc.</t>
  </si>
  <si>
    <t>5400 Laurel Springs Parkway</t>
  </si>
  <si>
    <t>Asireddy</t>
  </si>
  <si>
    <t>hr@infosmarttech.com</t>
  </si>
  <si>
    <t>2060 Avonleigh Dr</t>
  </si>
  <si>
    <t>I-200-20268-843579</t>
  </si>
  <si>
    <t>Nomura Holding America, Inc.</t>
  </si>
  <si>
    <t>2019 General Industry Professional (Administrative and Sales</t>
  </si>
  <si>
    <t>I-200-20268-843540</t>
  </si>
  <si>
    <t>Smart Source Technologies, Inc</t>
  </si>
  <si>
    <t>622 Georges Rd</t>
  </si>
  <si>
    <t>bkelly@smartsourcetec.com</t>
  </si>
  <si>
    <t>I-200-20268-843260</t>
  </si>
  <si>
    <t>DYNAMIC ITSOLUTIONS INC.</t>
  </si>
  <si>
    <t>7900 COLLEGE BOULEVARD</t>
  </si>
  <si>
    <t>OVERLAND PARL</t>
  </si>
  <si>
    <t>Nandyala</t>
  </si>
  <si>
    <t>7900 College Boulevard</t>
  </si>
  <si>
    <t>kchada@dynamicitsolutions.net</t>
  </si>
  <si>
    <t>Capital One Town Center, 8000  Dominion Pkwy</t>
  </si>
  <si>
    <t>I-200-20268-843468</t>
  </si>
  <si>
    <t>Science Applications International Corporation</t>
  </si>
  <si>
    <t>12010 Sunset Hills Rd.</t>
  </si>
  <si>
    <t>HR Business Partner Sr.</t>
  </si>
  <si>
    <t>13501 Ingenuity Drive</t>
  </si>
  <si>
    <t>sheryl.m.johnson@saic.com</t>
  </si>
  <si>
    <t>909 N. Main Street</t>
  </si>
  <si>
    <t>1700 7th Ave</t>
  </si>
  <si>
    <t>9800 FREDERICKSBURG RD</t>
  </si>
  <si>
    <t>123 Justison St.</t>
  </si>
  <si>
    <t>Technology Hub Inc</t>
  </si>
  <si>
    <t>Director- Operations</t>
  </si>
  <si>
    <t>venkatesh@technologyhub.net</t>
  </si>
  <si>
    <t>1 Scimed Pl</t>
  </si>
  <si>
    <t>Yvonne</t>
  </si>
  <si>
    <t>MHOXHA@FRAGOMEN.COM</t>
  </si>
  <si>
    <t>253 SUMMER STREET</t>
  </si>
  <si>
    <t>jcarter@balglobal.com</t>
  </si>
  <si>
    <t xml:space="preserve">Angela </t>
  </si>
  <si>
    <t>I-200-20269-845586</t>
  </si>
  <si>
    <t xml:space="preserve">RIDECELL, INC. </t>
  </si>
  <si>
    <t>514 Bryant Street</t>
  </si>
  <si>
    <t>NOLASCO</t>
  </si>
  <si>
    <t>514 BRYANT STREET</t>
  </si>
  <si>
    <t>catherine@ridecell.com</t>
  </si>
  <si>
    <t>I-200-20268-844792</t>
  </si>
  <si>
    <t>AUTOMATION ANYWHERE, INC.</t>
  </si>
  <si>
    <t>633 RIVER OAKS PARKWAY</t>
  </si>
  <si>
    <t>Curme</t>
  </si>
  <si>
    <t>HR Senior Manager</t>
  </si>
  <si>
    <t>633 River Oaks Parkway</t>
  </si>
  <si>
    <t>sarah.curme@automationanywhere.com</t>
  </si>
  <si>
    <t>I-200-20268-844517</t>
  </si>
  <si>
    <t>Real Epic Development Studios Inc.</t>
  </si>
  <si>
    <t>5629 Daffodil Cir</t>
  </si>
  <si>
    <t>Flippo</t>
  </si>
  <si>
    <t>andrew@realepicdev.com</t>
  </si>
  <si>
    <t>I-200-20268-843948</t>
  </si>
  <si>
    <t>China Med Device, LLC</t>
  </si>
  <si>
    <t>800 Turnpike Street</t>
  </si>
  <si>
    <t>Palma</t>
  </si>
  <si>
    <t>Fu</t>
  </si>
  <si>
    <t>gpalma@chinameddevice.com</t>
  </si>
  <si>
    <t>I-200-20269-845159</t>
  </si>
  <si>
    <t>I-200-20269-846664</t>
  </si>
  <si>
    <t xml:space="preserve">2311 York Road </t>
  </si>
  <si>
    <t>Lutherville-Timonium</t>
  </si>
  <si>
    <t>1735 TECHNOLOGY DRIVE</t>
  </si>
  <si>
    <t>I-200-20269-846348</t>
  </si>
  <si>
    <t>I-200-20268-844482</t>
  </si>
  <si>
    <t>BARON APP, INC.</t>
  </si>
  <si>
    <t>440 N WABASH AVENUE</t>
  </si>
  <si>
    <t>SUMMER</t>
  </si>
  <si>
    <t>SUMMER@CAMEO.COM</t>
  </si>
  <si>
    <t xml:space="preserve">891 Holly Hill Drive </t>
  </si>
  <si>
    <t>7300 Parkwood Blvd</t>
  </si>
  <si>
    <t>I-200-20269-846235</t>
  </si>
  <si>
    <t>Aspire Systems, Inc.</t>
  </si>
  <si>
    <t>1200 Harger Rd.</t>
  </si>
  <si>
    <t>I-200-20268-843644</t>
  </si>
  <si>
    <t>Suite 90E</t>
  </si>
  <si>
    <t>I-200-20268-843117</t>
  </si>
  <si>
    <t>440 S Church St</t>
  </si>
  <si>
    <t>Regina</t>
  </si>
  <si>
    <t>I-200-20269-845501</t>
  </si>
  <si>
    <t>KAMAL</t>
  </si>
  <si>
    <t>I-200-20268-843017</t>
  </si>
  <si>
    <t xml:space="preserve">Ravi </t>
  </si>
  <si>
    <t>Datacore Systems Inc.</t>
  </si>
  <si>
    <t>1500 JFK Boulevard</t>
  </si>
  <si>
    <t>Choudhury</t>
  </si>
  <si>
    <t>Shyamal</t>
  </si>
  <si>
    <t>shyamal.choudhury@datacoresystems.com</t>
  </si>
  <si>
    <t>6th Floor, 2 Penn Center</t>
  </si>
  <si>
    <t>I-200-20270-846835</t>
  </si>
  <si>
    <t>500 W. MADISON STREET</t>
  </si>
  <si>
    <t>75 State Street</t>
  </si>
  <si>
    <t>I-200-20268-844386</t>
  </si>
  <si>
    <t xml:space="preserve">185 ASYLUM STREET </t>
  </si>
  <si>
    <t>CITY PLACE I</t>
  </si>
  <si>
    <t>EVERETT</t>
  </si>
  <si>
    <t>Glendale Heights</t>
  </si>
  <si>
    <t>KALVEN TECHNOLOGIES,INC</t>
  </si>
  <si>
    <t>1701 E.Woodfield Rd</t>
  </si>
  <si>
    <t xml:space="preserve">SHARATH K </t>
  </si>
  <si>
    <t>SHARATH@KALVENTECH.COM</t>
  </si>
  <si>
    <t>151 W 34th Street</t>
  </si>
  <si>
    <t>I-200-20269-845590</t>
  </si>
  <si>
    <t>tarangita.gupta@infogain.com</t>
  </si>
  <si>
    <t>354 Angel Avenue</t>
  </si>
  <si>
    <t>#1</t>
  </si>
  <si>
    <t>Willis Towers Watson:Middle Management, Professional, and Su</t>
  </si>
  <si>
    <t>arundhatichakravorty@rosecarson.com</t>
  </si>
  <si>
    <t>2795 AUGUSTINE DRIVE</t>
  </si>
  <si>
    <t>I-200-20268-843748</t>
  </si>
  <si>
    <t>1 ELECTRIC AVENUE</t>
  </si>
  <si>
    <t>SPARKS</t>
  </si>
  <si>
    <t>STOREY</t>
  </si>
  <si>
    <t>I-200-20269-845493</t>
  </si>
  <si>
    <t>SUITE 101</t>
  </si>
  <si>
    <t>AUBURN HILLS</t>
  </si>
  <si>
    <t>I-200-20268-843591</t>
  </si>
  <si>
    <t>Flexasoft LLC</t>
  </si>
  <si>
    <t>200 CENTENNIAL AVE</t>
  </si>
  <si>
    <t>PISCATAWAY,</t>
  </si>
  <si>
    <t>Kasam</t>
  </si>
  <si>
    <t>Malathi</t>
  </si>
  <si>
    <t>immigration@flexasoft.com</t>
  </si>
  <si>
    <t>14335 NE 24th ST</t>
  </si>
  <si>
    <t>Clifton Park</t>
  </si>
  <si>
    <t>Infovision, Inc.</t>
  </si>
  <si>
    <t xml:space="preserve">800 E. Campbell Rd. </t>
  </si>
  <si>
    <t>Vandana</t>
  </si>
  <si>
    <t>800 E. Campbell Rd. Ste 388</t>
  </si>
  <si>
    <t>immigration@infovision.com</t>
  </si>
  <si>
    <t>kamnaidoo@naidoolaw.com</t>
  </si>
  <si>
    <t>I-200-20268-843483</t>
  </si>
  <si>
    <t>SUITE 5500</t>
  </si>
  <si>
    <t>Sai Technologies, LLC</t>
  </si>
  <si>
    <t>8295 Tournament Drive</t>
  </si>
  <si>
    <t>Koya</t>
  </si>
  <si>
    <t>immigration@sai-tec.com</t>
  </si>
  <si>
    <t>Lakewood</t>
  </si>
  <si>
    <t>I-200-20269-845015</t>
  </si>
  <si>
    <t>Fusion Global Solutions LLC</t>
  </si>
  <si>
    <t>101 East Park Boulevard</t>
  </si>
  <si>
    <t>101 EAST PARK BOULEVARD</t>
  </si>
  <si>
    <t>VENKAT@FUSIONGS.COM</t>
  </si>
  <si>
    <t>1649 Bergstrom Road</t>
  </si>
  <si>
    <t>connie.evans1@ibm.com</t>
  </si>
  <si>
    <t>kriselle@employmentimmigration.com</t>
  </si>
  <si>
    <t>995 Southern Artery</t>
  </si>
  <si>
    <t>22001 Loudoun County Pkwy</t>
  </si>
  <si>
    <t>1000 TECHNOLOGY DR</t>
  </si>
  <si>
    <t>I-200-20268-843272</t>
  </si>
  <si>
    <t>AECOM Technical Services, Inc.</t>
  </si>
  <si>
    <t>4840 Cox Road</t>
  </si>
  <si>
    <t>Director, Global Immigration-Global Mobility</t>
  </si>
  <si>
    <t>Kumar.raman@aecom.com</t>
  </si>
  <si>
    <t>gwen.jacksonnealey@fragomen.com</t>
  </si>
  <si>
    <t>khadija@nawlaw.com</t>
  </si>
  <si>
    <t>kripa@orbitlawpllc.com</t>
  </si>
  <si>
    <t>alopezsanchez@gibney.com</t>
  </si>
  <si>
    <t>SHEETAL</t>
  </si>
  <si>
    <t>I-200-20269-845740</t>
  </si>
  <si>
    <t>I-200-20269-845366</t>
  </si>
  <si>
    <t>500 BEDFORD ST APT 442</t>
  </si>
  <si>
    <t>I-200-20268-843278</t>
  </si>
  <si>
    <t>niloysia@employmentimmigration.com</t>
  </si>
  <si>
    <t>I-200-20269-845009</t>
  </si>
  <si>
    <t>mukesh@immigration.com</t>
  </si>
  <si>
    <t>510, Walnut Street</t>
  </si>
  <si>
    <t>I-200-20269-845117</t>
  </si>
  <si>
    <t>KLC CONSULTING INC</t>
  </si>
  <si>
    <t>2239 WOODBINE DRIVE</t>
  </si>
  <si>
    <t>CRICKS</t>
  </si>
  <si>
    <t>KCRICKS@KLCINC.US</t>
  </si>
  <si>
    <t xml:space="preserve">KLC CONSULTING INC, </t>
  </si>
  <si>
    <t>1607 VILLAGE SQUARE BLVD, SUITE 7</t>
  </si>
  <si>
    <t>I-200-20268-843224</t>
  </si>
  <si>
    <t>EXEVCONSULTING INC</t>
  </si>
  <si>
    <t>310 Regency Parkway Dr</t>
  </si>
  <si>
    <t>Vishwa</t>
  </si>
  <si>
    <t xml:space="preserve">Vinod </t>
  </si>
  <si>
    <t>immigration@exevconsulting.com</t>
  </si>
  <si>
    <t>I-200-20268-843555</t>
  </si>
  <si>
    <t>trisha.yukawa@nyulangone.org</t>
  </si>
  <si>
    <t>UNIKON IT INC</t>
  </si>
  <si>
    <t>440 COBIA DRIVE</t>
  </si>
  <si>
    <t>TANGUDU</t>
  </si>
  <si>
    <t>SARITA</t>
  </si>
  <si>
    <t>HR@UNIKONIT.COM</t>
  </si>
  <si>
    <t>Simpson</t>
  </si>
  <si>
    <t>I-200-20269-845515</t>
  </si>
  <si>
    <t>Billerica</t>
  </si>
  <si>
    <t>I-200-20268-844515</t>
  </si>
  <si>
    <t>IMCS GROUP, INC.</t>
  </si>
  <si>
    <t>9901, EAST VALLEY RANCH PARKWAY</t>
  </si>
  <si>
    <t>satish@imcgsroup.net</t>
  </si>
  <si>
    <t>I-200-20269-845105</t>
  </si>
  <si>
    <t>I-200-20269-845345</t>
  </si>
  <si>
    <t>ANANT CORPORATION</t>
  </si>
  <si>
    <t>3 WASHINGTON CIRCLE NW</t>
  </si>
  <si>
    <t>3 WAHSINGTON CIR NW</t>
  </si>
  <si>
    <t>RAHUL.SINGH@ANANT.US</t>
  </si>
  <si>
    <t>I-200-20268-844525</t>
  </si>
  <si>
    <t>8181 COMMUNICATIONS PKWY</t>
  </si>
  <si>
    <t>NICK</t>
  </si>
  <si>
    <t>I-200-20268-843233</t>
  </si>
  <si>
    <t>13100 Columbia Pike,</t>
  </si>
  <si>
    <t xml:space="preserve">silver spring </t>
  </si>
  <si>
    <t xml:space="preserve">Peoria </t>
  </si>
  <si>
    <t>1200 Lakeside Dr</t>
  </si>
  <si>
    <t>Suite 270</t>
  </si>
  <si>
    <t>7440 Woodland Drive</t>
  </si>
  <si>
    <t>2925 Skyway Cir N</t>
  </si>
  <si>
    <t>I-200-20268-844204</t>
  </si>
  <si>
    <t>4100 W 150th St</t>
  </si>
  <si>
    <t>Cedent Consulting Inc.</t>
  </si>
  <si>
    <t>6847 COMMUNICATIONS PKWY</t>
  </si>
  <si>
    <t>Pattanshetty</t>
  </si>
  <si>
    <t>jyoti@cedentinc.com</t>
  </si>
  <si>
    <t>6847 Communications Pkwy</t>
  </si>
  <si>
    <t>Suite # 710</t>
  </si>
  <si>
    <t>AJAY</t>
  </si>
  <si>
    <t>I-200-20269-845129</t>
  </si>
  <si>
    <t>55, Water Street</t>
  </si>
  <si>
    <t>I-200-20268-843302</t>
  </si>
  <si>
    <t>DIRECTOR &amp; SR. ATTORNEY</t>
  </si>
  <si>
    <t>VINCENT.CARVER@AA.COM</t>
  </si>
  <si>
    <t>1621 W RIO SALADO PKWY</t>
  </si>
  <si>
    <t>685 MARKET STREET</t>
  </si>
  <si>
    <t>1 Electric Ave.</t>
  </si>
  <si>
    <t>I-200-20268-843232</t>
  </si>
  <si>
    <t>Matawan</t>
  </si>
  <si>
    <t>hr@codetech-inc.com</t>
  </si>
  <si>
    <t>I-200-20268-843961</t>
  </si>
  <si>
    <t xml:space="preserve">Research Foundation for State University of New York - Polytechnic Institute </t>
  </si>
  <si>
    <t xml:space="preserve">257 Fuller Road </t>
  </si>
  <si>
    <t>Haines</t>
  </si>
  <si>
    <t xml:space="preserve">Vice President for Human Resources </t>
  </si>
  <si>
    <t>257 Fuller Rd.</t>
  </si>
  <si>
    <t>TWhittaker@sunypoly.edu</t>
  </si>
  <si>
    <t>257 Fuller Road</t>
  </si>
  <si>
    <t>immigrationhb@harrisbech.com</t>
  </si>
  <si>
    <t>1425 UNION MEETING ROAD</t>
  </si>
  <si>
    <t>I-200-20268-843754</t>
  </si>
  <si>
    <t>ONE NORTH WACKER DRIVE</t>
  </si>
  <si>
    <t>FLOOR 28</t>
  </si>
  <si>
    <t>ADP TECHNOLOGY SERVICES, INC.</t>
  </si>
  <si>
    <t>I-200-20268-844885</t>
  </si>
  <si>
    <t>Bam Bam Kitchen LLC</t>
  </si>
  <si>
    <t>31 E Lancaster Ave</t>
  </si>
  <si>
    <t>Ardmore</t>
  </si>
  <si>
    <t>Kong</t>
  </si>
  <si>
    <t>Do Hyun</t>
  </si>
  <si>
    <t>bambamkitchenpa@gmail.com</t>
  </si>
  <si>
    <t>I-200-20269-846228</t>
  </si>
  <si>
    <t>Suite 135</t>
  </si>
  <si>
    <t>I-200-20269-845046</t>
  </si>
  <si>
    <t>14630 NE 32ND ST APT E3</t>
  </si>
  <si>
    <t>Prodware Solutions LLC</t>
  </si>
  <si>
    <t>1661 Route 22 West</t>
  </si>
  <si>
    <t>Bound Brook</t>
  </si>
  <si>
    <t>Mittal</t>
  </si>
  <si>
    <t>Abhinav</t>
  </si>
  <si>
    <t>ctighe@prodwaresol.com</t>
  </si>
  <si>
    <t>I-200-20270-846789</t>
  </si>
  <si>
    <t>2108 East South Blvd</t>
  </si>
  <si>
    <t>JALADI</t>
  </si>
  <si>
    <t>20300 Rotunda Drive</t>
  </si>
  <si>
    <t>I-200-20269-845685</t>
  </si>
  <si>
    <t>111O WEST HIBISCUS BOULEVARD</t>
  </si>
  <si>
    <t>10 Upper Pond Rd</t>
  </si>
  <si>
    <t>ecf@poarchlaw.com</t>
  </si>
  <si>
    <t>I-200-20269-845505</t>
  </si>
  <si>
    <t xml:space="preserve">R3 TECHNOLOGY INC </t>
  </si>
  <si>
    <t>PASULA</t>
  </si>
  <si>
    <t>HR@R3TEK.COM</t>
  </si>
  <si>
    <t>Goyal</t>
  </si>
  <si>
    <t>I-200-20268-843971</t>
  </si>
  <si>
    <t xml:space="preserve">108 STEINBECK WAY </t>
  </si>
  <si>
    <t>APT#104</t>
  </si>
  <si>
    <t>I-200-20269-845072</t>
  </si>
  <si>
    <t>6961 Roswell Road</t>
  </si>
  <si>
    <t>Apt. G</t>
  </si>
  <si>
    <t>I-200-20269-844988</t>
  </si>
  <si>
    <t>1111 Stewart Ave.</t>
  </si>
  <si>
    <t>Director Talent Acquisition</t>
  </si>
  <si>
    <t>I-200-20268-843901</t>
  </si>
  <si>
    <t>I-200-20268-843167</t>
  </si>
  <si>
    <t>Suite #700</t>
  </si>
  <si>
    <t>Tech Tammina, LLC</t>
  </si>
  <si>
    <t>4460 Brookfield Corporate Drive</t>
  </si>
  <si>
    <t>Tammina</t>
  </si>
  <si>
    <t>raj@tammina.com</t>
  </si>
  <si>
    <t>770 Springdale Drive</t>
  </si>
  <si>
    <t>john.lam@poly.com</t>
  </si>
  <si>
    <t>I-200-20269-845918</t>
  </si>
  <si>
    <t>VISBIT, INC.</t>
  </si>
  <si>
    <t>440 N WOLFE RD</t>
  </si>
  <si>
    <t>ELAINE@VISBIT.CO</t>
  </si>
  <si>
    <t>440 N WOLFE ROAD</t>
  </si>
  <si>
    <t>SUITE E078</t>
  </si>
  <si>
    <t>I-200-20269-846256</t>
  </si>
  <si>
    <t>10 Library Way, 315 Conant Hall</t>
  </si>
  <si>
    <t>10 Garrison Ave.</t>
  </si>
  <si>
    <t>Peter T. Paul College of Business and Economics</t>
  </si>
  <si>
    <t>Detroit Engineered Products, Inc.</t>
  </si>
  <si>
    <t>850 E. Long Lake Road</t>
  </si>
  <si>
    <t>El Assaad</t>
  </si>
  <si>
    <t>Farah</t>
  </si>
  <si>
    <t>farah_a@depusa.com</t>
  </si>
  <si>
    <t>38555 Hills Tech Dr</t>
  </si>
  <si>
    <t>600 North King Street</t>
  </si>
  <si>
    <t>I-200-20269-845498</t>
  </si>
  <si>
    <t>AALI@Fragomen.com</t>
  </si>
  <si>
    <t>I-200-20269-844961</t>
  </si>
  <si>
    <t>I-200-20268-843695</t>
  </si>
  <si>
    <t>202 Westlake Ave N</t>
  </si>
  <si>
    <t>8500 Balboa Blvd</t>
  </si>
  <si>
    <t>Karl</t>
  </si>
  <si>
    <t>I-200-20269-844919</t>
  </si>
  <si>
    <t>Innovative Aftermarket Group, Inc.</t>
  </si>
  <si>
    <t>15239 South 47th Street</t>
  </si>
  <si>
    <t>4802 E Ray Road</t>
  </si>
  <si>
    <t>tavila@dfencegps.com</t>
  </si>
  <si>
    <t>7411 West Boston Street</t>
  </si>
  <si>
    <t>I-200-20268-843580</t>
  </si>
  <si>
    <t>Venckus</t>
  </si>
  <si>
    <t>cvenckus@bidmc.harvard.edu</t>
  </si>
  <si>
    <t>Ste. 201</t>
  </si>
  <si>
    <t>Suite 560</t>
  </si>
  <si>
    <t>I-200-20268-843136</t>
  </si>
  <si>
    <t>I-200-20268-844868</t>
  </si>
  <si>
    <t xml:space="preserve"> 605 Oaks Dr,</t>
  </si>
  <si>
    <t>5301 Maryland Way</t>
  </si>
  <si>
    <t>NCR Corporation</t>
  </si>
  <si>
    <t>864 Spring Street NW</t>
  </si>
  <si>
    <t>Workman</t>
  </si>
  <si>
    <t>Lissa</t>
  </si>
  <si>
    <t>I-200-20268-844505</t>
  </si>
  <si>
    <t>201 S Grand Ave E</t>
  </si>
  <si>
    <t>I-200-20269-846628</t>
  </si>
  <si>
    <t>I-200-20268-844556</t>
  </si>
  <si>
    <t>Vets Plus, Inc.</t>
  </si>
  <si>
    <t>302 Cedar Falls Rd</t>
  </si>
  <si>
    <t>Menomonie</t>
  </si>
  <si>
    <t>302 Cedar Falls Road</t>
  </si>
  <si>
    <t>karlw@vets-plus.com</t>
  </si>
  <si>
    <t>DUNN</t>
  </si>
  <si>
    <t>I-200-20269-846773</t>
  </si>
  <si>
    <t>Bijjam Information Technologies Inc.,</t>
  </si>
  <si>
    <t>3525 WEST PETERSON AVE</t>
  </si>
  <si>
    <t>BIJJAM</t>
  </si>
  <si>
    <t>VIJAYA BHASKAR</t>
  </si>
  <si>
    <t>PRESIDENT &amp; C.E.O</t>
  </si>
  <si>
    <t>bhaskar@bijjamit.com</t>
  </si>
  <si>
    <t>30 E Adams</t>
  </si>
  <si>
    <t>Unit 315</t>
  </si>
  <si>
    <t>I-200-20269-845854</t>
  </si>
  <si>
    <t>50th Floor</t>
  </si>
  <si>
    <t>ITECHSTACK, INC.</t>
  </si>
  <si>
    <t>1648 ROUTE 130</t>
  </si>
  <si>
    <t>SRIGIRIRAJU</t>
  </si>
  <si>
    <t>MADHAV</t>
  </si>
  <si>
    <t>MADU@ITECHSTACK.COM</t>
  </si>
  <si>
    <t>I-200-20268-843548</t>
  </si>
  <si>
    <t>LANGAN ENGINEERING AND ENVIRONMENTAL SERVICES, INC</t>
  </si>
  <si>
    <t>300 KIMBALL DRIVE</t>
  </si>
  <si>
    <t>DELLIGATTI</t>
  </si>
  <si>
    <t>CORPORATE HR MANAGER</t>
  </si>
  <si>
    <t>VDELLIGATTI@LANGAN.COM</t>
  </si>
  <si>
    <t>Couloir Technology Group, Inc.</t>
  </si>
  <si>
    <t>300 N Pottstown Pike</t>
  </si>
  <si>
    <t>Gudimallam</t>
  </si>
  <si>
    <t>immigration@couloirtechgroup.com</t>
  </si>
  <si>
    <t>I-200-20269-846732</t>
  </si>
  <si>
    <t>21525 Ridgetop Circle</t>
  </si>
  <si>
    <t>MROSTOM@FRAGOMEN.COM</t>
  </si>
  <si>
    <t>I-200-20268-843837</t>
  </si>
  <si>
    <t>ARTECH, LLC</t>
  </si>
  <si>
    <t>360 MT. KEMBLE AVENUE</t>
  </si>
  <si>
    <t>MORRISTOWN</t>
  </si>
  <si>
    <t>SZOKE</t>
  </si>
  <si>
    <t>ERIC.SZOKE@ARTECH.COM</t>
  </si>
  <si>
    <t>PRISTINE REHAB CARE, LLC</t>
  </si>
  <si>
    <t>706-B N. DIAMOND BAR BLVD</t>
  </si>
  <si>
    <t>DIAMOND BAR</t>
  </si>
  <si>
    <t>SAJY</t>
  </si>
  <si>
    <t>DIRECTOR, SCHOOL-BASED SERVICES</t>
  </si>
  <si>
    <t>706-B N. DIAMOND BAR BLVD.</t>
  </si>
  <si>
    <t>IMMIGRATION@PRISTINEREHAB.COM</t>
  </si>
  <si>
    <t>I-200-20268-843201</t>
  </si>
  <si>
    <t>920 SE Quincy St</t>
  </si>
  <si>
    <t>SAMSUNG ELECTRONICS AMERICA, INC.</t>
  </si>
  <si>
    <t>85 CHALLENGER ROAD</t>
  </si>
  <si>
    <t>DI PONZIO</t>
  </si>
  <si>
    <t>NATALIE.HEO@SEA.SAMSUNG.COM</t>
  </si>
  <si>
    <t>I-200-20268-843537</t>
  </si>
  <si>
    <t>Midcontinent Independent System Operator, INC</t>
  </si>
  <si>
    <t>720 City Center Drive</t>
  </si>
  <si>
    <t>Mills / Mullenbach</t>
  </si>
  <si>
    <t>Leslie / Linda</t>
  </si>
  <si>
    <t>Sponsorship Coordinator / Manager, Organizational</t>
  </si>
  <si>
    <t>LMILLS@MISOENERGY.ORG</t>
  </si>
  <si>
    <t>I-200-20268-843909</t>
  </si>
  <si>
    <t>CAT TECHNOLOGY, INC.</t>
  </si>
  <si>
    <t>411 HACKENSACK AVENUE</t>
  </si>
  <si>
    <t>DINESH</t>
  </si>
  <si>
    <t>DINESH@CATAMERICA.COM</t>
  </si>
  <si>
    <t>200 PLAZA DRIVE</t>
  </si>
  <si>
    <t>I-200-20269-845064</t>
  </si>
  <si>
    <t>W.M. RICE UNIVERSITY</t>
  </si>
  <si>
    <t>6100 Main Street</t>
  </si>
  <si>
    <t>Lipari</t>
  </si>
  <si>
    <t xml:space="preserve">Director of Talent Acquisition  and Compensation </t>
  </si>
  <si>
    <t>ALipari@rice.edu</t>
  </si>
  <si>
    <t xml:space="preserve">6100 Main Street </t>
  </si>
  <si>
    <t>RiceImmigration@fosterglobal.com</t>
  </si>
  <si>
    <t>Finance Director</t>
  </si>
  <si>
    <t xml:space="preserve">Foursquare Labs, Inc. </t>
  </si>
  <si>
    <t>50 WEST 23RD ST.</t>
  </si>
  <si>
    <t>Tar-kisha</t>
  </si>
  <si>
    <t>tbryant@foursquare.com</t>
  </si>
  <si>
    <t>1999 Avenue of the Stars</t>
  </si>
  <si>
    <t>I-200-20268-844094</t>
  </si>
  <si>
    <t>Vastika Inc.</t>
  </si>
  <si>
    <t>1200 W Walnut Hill Lane</t>
  </si>
  <si>
    <t>Shrestha</t>
  </si>
  <si>
    <t>Srijana</t>
  </si>
  <si>
    <t>srijana@vastika.com</t>
  </si>
  <si>
    <t>ARORA</t>
  </si>
  <si>
    <t>I-200-20269-846181</t>
  </si>
  <si>
    <t>HR Operations Manager</t>
  </si>
  <si>
    <t>Fort Washington</t>
  </si>
  <si>
    <t>2211 Sanders Rd</t>
  </si>
  <si>
    <t>13706 RESEARCH BLVD</t>
  </si>
  <si>
    <t>I-200-20269-846160</t>
  </si>
  <si>
    <t>SUITE 800</t>
  </si>
  <si>
    <t>I-200-20269-845828</t>
  </si>
  <si>
    <t>FUSION PLUS SOLUTIONS INC.</t>
  </si>
  <si>
    <t>6805 Mayfield road</t>
  </si>
  <si>
    <t>Apt 1202</t>
  </si>
  <si>
    <t>35 Landsdowne St</t>
  </si>
  <si>
    <t>1525 W WT HARRIS BLVD</t>
  </si>
  <si>
    <t>I-200-20268-843344</t>
  </si>
  <si>
    <t>I-200-20269-845023</t>
  </si>
  <si>
    <t xml:space="preserve">Mellon Investments Corporation </t>
  </si>
  <si>
    <t>BNY MELLON CENTER</t>
  </si>
  <si>
    <t>PBERTOLINO@FRAGOMEN.COM</t>
  </si>
  <si>
    <t>Helen</t>
  </si>
  <si>
    <t>I-200-20269-845180</t>
  </si>
  <si>
    <t>7100 State Highway 161</t>
  </si>
  <si>
    <t>I-200-20268-843838</t>
  </si>
  <si>
    <t>Mark David Levine, M.D., Professional Corporation</t>
  </si>
  <si>
    <t>3835 North Freeway Blvd.</t>
  </si>
  <si>
    <t>Prowd</t>
  </si>
  <si>
    <t xml:space="preserve">3835 North Freeway Blvd. </t>
  </si>
  <si>
    <t>hprowd@cpsych.com</t>
  </si>
  <si>
    <t>141 Stony Circle</t>
  </si>
  <si>
    <t>I-200-20268-843870</t>
  </si>
  <si>
    <t>I-200-20268-843703</t>
  </si>
  <si>
    <t xml:space="preserve">558 Eastern Point Rd </t>
  </si>
  <si>
    <t xml:space="preserve">Groton </t>
  </si>
  <si>
    <t>RRAJENDRAN@FRAGOMEN.COM</t>
  </si>
  <si>
    <t>Livermore</t>
  </si>
  <si>
    <t>I-200-20268-844877</t>
  </si>
  <si>
    <t>19510 Jamboree Road</t>
  </si>
  <si>
    <t>I-200-20269-846135</t>
  </si>
  <si>
    <t>2553 Anniston road</t>
  </si>
  <si>
    <t>650 LIBERTY AVENUE</t>
  </si>
  <si>
    <t>U.S. DOL BLS - Occupational Employment Statistics Survey</t>
  </si>
  <si>
    <t>Sr. Director of Human Resources</t>
  </si>
  <si>
    <t>201 Centennial Ave</t>
  </si>
  <si>
    <t>2202, North Westshore Boulevard</t>
  </si>
  <si>
    <t>Priya</t>
  </si>
  <si>
    <t>RadiumSoft, LLC</t>
  </si>
  <si>
    <t>4488 North Shallowford Road</t>
  </si>
  <si>
    <t>Kalla</t>
  </si>
  <si>
    <t>Bhushan</t>
  </si>
  <si>
    <t>bhushan@radiumsoft.com</t>
  </si>
  <si>
    <t>12 MARIGOLD WAY</t>
  </si>
  <si>
    <t>Joe</t>
  </si>
  <si>
    <t>I-200-20269-845398</t>
  </si>
  <si>
    <t>Hilco Valuation Services LLC</t>
  </si>
  <si>
    <t>5 Revere Drive</t>
  </si>
  <si>
    <t>VP &amp; Assistant General Counsel, Managing Member</t>
  </si>
  <si>
    <t>sbaker@hilcoglobal.com</t>
  </si>
  <si>
    <t>I-200-20269-845427</t>
  </si>
  <si>
    <t>1155 PEACHSTREE STREET NE</t>
  </si>
  <si>
    <t>Medical Director</t>
  </si>
  <si>
    <t>Social Sciences Teachers, Postsecondary, All Other</t>
  </si>
  <si>
    <t>KIRSHENBAUM</t>
  </si>
  <si>
    <t>INTERNATIONAL SCHOLAR AND EMPLOYEE ADVISER</t>
  </si>
  <si>
    <t>THE OFFICE OF INTERNATIONAL AFFAIRS</t>
  </si>
  <si>
    <t>AKIRSHENBAUM@UCHICAGO.EDU</t>
  </si>
  <si>
    <t>Hu</t>
  </si>
  <si>
    <t>Apt. D</t>
  </si>
  <si>
    <t>3 INDEPENDENCE WAY</t>
  </si>
  <si>
    <t>I-200-20269-845452</t>
  </si>
  <si>
    <t xml:space="preserve">Springfield Clinic </t>
  </si>
  <si>
    <t>1025 South 6th Street</t>
  </si>
  <si>
    <t>Walwer</t>
  </si>
  <si>
    <t>Jenn</t>
  </si>
  <si>
    <t>jwalwer@springfieldclinic.com</t>
  </si>
  <si>
    <t>200 Stahlut Drive</t>
  </si>
  <si>
    <t>LOGAN</t>
  </si>
  <si>
    <t>Aon Consulting, Inc.</t>
  </si>
  <si>
    <t>People Business Partner</t>
  </si>
  <si>
    <t>I-200-20268-844080</t>
  </si>
  <si>
    <t>Proskauer Rose LLP</t>
  </si>
  <si>
    <t>Eleven Times Square</t>
  </si>
  <si>
    <t>Cretellla</t>
  </si>
  <si>
    <t>kcretella@proskauer.com</t>
  </si>
  <si>
    <t>900 NORTH SQUIRREL ROAD</t>
  </si>
  <si>
    <t>I-200-20268-844875</t>
  </si>
  <si>
    <t>Coherent, Inc.</t>
  </si>
  <si>
    <t>5100 Patrick Henry Drive</t>
  </si>
  <si>
    <t>REYNOSA</t>
  </si>
  <si>
    <t>STEVE.REYNOSA@COHERENT.COM</t>
  </si>
  <si>
    <t>5100 PATRICK HENRY DRIVE</t>
  </si>
  <si>
    <t>SEANMCMAHON@ROSECARSON.COM</t>
  </si>
  <si>
    <t>I-200-20268-844882</t>
  </si>
  <si>
    <t>1 DNA Way (Central), 350 DNA Way, Bldg. 35</t>
  </si>
  <si>
    <t>acooper@gibney.com</t>
  </si>
  <si>
    <t>834 Washington Avenue</t>
  </si>
  <si>
    <t>I-200-20269-845983</t>
  </si>
  <si>
    <t>21ST MORTGAGE CORPORATION</t>
  </si>
  <si>
    <t>620 MARKET STREET</t>
  </si>
  <si>
    <t>Pilkington</t>
  </si>
  <si>
    <t>620 MARKET ST</t>
  </si>
  <si>
    <t>chelseapilkington@21stmortgage.com</t>
  </si>
  <si>
    <t>620 Market St</t>
  </si>
  <si>
    <t>11450 Grooms Rd,</t>
  </si>
  <si>
    <t>Suite 337</t>
  </si>
  <si>
    <t>500 9TH AVENUE N.</t>
  </si>
  <si>
    <t>Suite 408</t>
  </si>
  <si>
    <t>Apt. 217</t>
  </si>
  <si>
    <t>I-200-20269-845112</t>
  </si>
  <si>
    <t>450 N. Brand Blvd.</t>
  </si>
  <si>
    <t>I-200-20268-844878</t>
  </si>
  <si>
    <t>18025 56th Avenue North</t>
  </si>
  <si>
    <t>Senior Partner</t>
  </si>
  <si>
    <t>I-200-20268-843694</t>
  </si>
  <si>
    <t>Republic Services, Inc.</t>
  </si>
  <si>
    <t>18500 North Allied Way</t>
  </si>
  <si>
    <t>Duross</t>
  </si>
  <si>
    <t>Sr. Manager, Affirmative Action &amp; Immigration</t>
  </si>
  <si>
    <t>eduross@republicservices.com</t>
  </si>
  <si>
    <t>14400 N. 87th Street</t>
  </si>
  <si>
    <t>One CNN Center</t>
  </si>
  <si>
    <t>I-200-20268-844377</t>
  </si>
  <si>
    <t>Perk Systems, Inc.</t>
  </si>
  <si>
    <t>8505 Freeport Parkway</t>
  </si>
  <si>
    <t>Vinodkumar</t>
  </si>
  <si>
    <t>priya@perksys.com</t>
  </si>
  <si>
    <t>6200 S. Gilmore Rd.</t>
  </si>
  <si>
    <t>I-200-20269-846667</t>
  </si>
  <si>
    <t>Medefil, Inc.</t>
  </si>
  <si>
    <t>405 Windy Point Drive</t>
  </si>
  <si>
    <t>sandeep.aggarwal@medefilinc.com</t>
  </si>
  <si>
    <t>mbernsteinlaw@gmail.com</t>
  </si>
  <si>
    <t>I-200-20269-846512</t>
  </si>
  <si>
    <t>PROMEDICA CENTRAL PHYSICIANS</t>
  </si>
  <si>
    <t>PROMEDICA - STEAM PLANT</t>
  </si>
  <si>
    <t>TOLEDO</t>
  </si>
  <si>
    <t>BRANDT</t>
  </si>
  <si>
    <t>PROMEDICA STEAM PLANT</t>
  </si>
  <si>
    <t>ELLEN.BAUMERT@PROMEDICA.ORG</t>
  </si>
  <si>
    <t>811 W Boundary Street</t>
  </si>
  <si>
    <t>National Union Fire Insurance Company of Pittsburgh, Pa.</t>
  </si>
  <si>
    <t>1090 E Arques Ave</t>
  </si>
  <si>
    <t>rammcheerath@yahoo.com</t>
  </si>
  <si>
    <t>I-200-20269-845420</t>
  </si>
  <si>
    <t>6000 AMERICAN PARKWAY</t>
  </si>
  <si>
    <t>Apt 612</t>
  </si>
  <si>
    <t>I-200-20269-845194</t>
  </si>
  <si>
    <t>I-200-20269-846652</t>
  </si>
  <si>
    <t>rivadelos@gtlaw.com</t>
  </si>
  <si>
    <t>The Travelers Indemnity Company</t>
  </si>
  <si>
    <t>Rosker Anderson</t>
  </si>
  <si>
    <t>mabryant@travelers.com</t>
  </si>
  <si>
    <t>I-200-20268-843134</t>
  </si>
  <si>
    <t>I-200-20268-843345</t>
  </si>
  <si>
    <t>I-200-20269-845270</t>
  </si>
  <si>
    <t>Real Technologies, Inc</t>
  </si>
  <si>
    <t>10450 Artemel Ln</t>
  </si>
  <si>
    <t>Great Falls</t>
  </si>
  <si>
    <t>Doddi</t>
  </si>
  <si>
    <t>Vijaya P</t>
  </si>
  <si>
    <t>vdoddi@usarealtech.com</t>
  </si>
  <si>
    <t>77 S BEDFORD ST</t>
  </si>
  <si>
    <t>200 Liberty Street</t>
  </si>
  <si>
    <t>University of Massachusetts, Amherst</t>
  </si>
  <si>
    <t>181 Presidents Drive</t>
  </si>
  <si>
    <t>I-200-20268-843931</t>
  </si>
  <si>
    <t>SupraSoft, Inc.</t>
  </si>
  <si>
    <t>830 E. Higgins Rd.</t>
  </si>
  <si>
    <t>Kandimalla</t>
  </si>
  <si>
    <t>satya@suprasoft.com</t>
  </si>
  <si>
    <t>7900 Legacy Dr.</t>
  </si>
  <si>
    <t>I-200-20269-846188</t>
  </si>
  <si>
    <t>701 West 168 Street</t>
  </si>
  <si>
    <t>I-200-20268-843114</t>
  </si>
  <si>
    <t>I-200-20269-846757</t>
  </si>
  <si>
    <t>GATEWAYS REHABILITATION, LLC</t>
  </si>
  <si>
    <t>2470 STEARNS STREET</t>
  </si>
  <si>
    <t>VATSALA</t>
  </si>
  <si>
    <t>Sohail</t>
  </si>
  <si>
    <t>1910 E Innovation Park Dr</t>
  </si>
  <si>
    <t>Mythri Consulting LLC</t>
  </si>
  <si>
    <t>8668 John Hickman Parkway</t>
  </si>
  <si>
    <t>Bhavana</t>
  </si>
  <si>
    <t>immigration@mythriconsulting.com</t>
  </si>
  <si>
    <t xml:space="preserve">Geeksoft LLC </t>
  </si>
  <si>
    <t>I-200-20268-843733</t>
  </si>
  <si>
    <t xml:space="preserve">Interplex Sunbelt, Inc.  </t>
  </si>
  <si>
    <t>6690 Hiatus Road</t>
  </si>
  <si>
    <t>Tamarac</t>
  </si>
  <si>
    <t>richard.sullivan@us.interplex.com</t>
  </si>
  <si>
    <t>I-200-20269-845202</t>
  </si>
  <si>
    <t xml:space="preserve">700 Bellevue Way NE </t>
  </si>
  <si>
    <t>I-200-20269-846504</t>
  </si>
  <si>
    <t>Rmclennon@fragomen.com</t>
  </si>
  <si>
    <t>I-200-20268-844763</t>
  </si>
  <si>
    <t>Exeire Inc</t>
  </si>
  <si>
    <t>15 Peddlers Village</t>
  </si>
  <si>
    <t>Christiana</t>
  </si>
  <si>
    <t>Datla</t>
  </si>
  <si>
    <t>Venkata S</t>
  </si>
  <si>
    <t>hr@exeire.com</t>
  </si>
  <si>
    <t>I-200-20269-845860</t>
  </si>
  <si>
    <t>125 S Oval Mall</t>
  </si>
  <si>
    <t>P-200-20150-611646</t>
  </si>
  <si>
    <t>Gettys</t>
  </si>
  <si>
    <t>I-200-20269-846437</t>
  </si>
  <si>
    <t xml:space="preserve">Scott </t>
  </si>
  <si>
    <t>Pricing Manager</t>
  </si>
  <si>
    <t>Shell Exploration and Production Company</t>
  </si>
  <si>
    <t>150 North Dairy Ashford Road</t>
  </si>
  <si>
    <t>Long</t>
  </si>
  <si>
    <t>I-200-20268-843054</t>
  </si>
  <si>
    <t>I-200-20269-845047</t>
  </si>
  <si>
    <t>Direct Scaffold Supply, LP</t>
  </si>
  <si>
    <t>6059 South Loop East</t>
  </si>
  <si>
    <t>Doxey</t>
  </si>
  <si>
    <t>mdoxey@dss.net</t>
  </si>
  <si>
    <t>6059 South Loop West</t>
  </si>
  <si>
    <t>Brandy@toppinslawfirm.com</t>
  </si>
  <si>
    <t>I-200-20268-843280</t>
  </si>
  <si>
    <t>PERFAWARE LLC</t>
  </si>
  <si>
    <t>320 DECKER DR</t>
  </si>
  <si>
    <t>HANMANDLU</t>
  </si>
  <si>
    <t>SRINIVAS_HANMANDLU@PERFAWARE.COM</t>
  </si>
  <si>
    <t>3438 Peachtree Rd NE #1800</t>
  </si>
  <si>
    <t>I-200-20268-843533</t>
  </si>
  <si>
    <t>4608 WILLARD AVE</t>
  </si>
  <si>
    <t>CHEVY CHASE</t>
  </si>
  <si>
    <t>I-200-20268-843234</t>
  </si>
  <si>
    <t>3675 Cisco Way,</t>
  </si>
  <si>
    <t>EKIN Solutions, Inc.</t>
  </si>
  <si>
    <t>Dronavalli</t>
  </si>
  <si>
    <t>satish@ekinsol.com</t>
  </si>
  <si>
    <t>1000 Fedex Drive</t>
  </si>
  <si>
    <t>2200 West Salzburg Road</t>
  </si>
  <si>
    <t>BAY</t>
  </si>
  <si>
    <t>jcollins@maggio-kattar.com</t>
  </si>
  <si>
    <t>I-200-20269-846599</t>
  </si>
  <si>
    <t>150 Greenwich St</t>
  </si>
  <si>
    <t>Four World Trade Center</t>
  </si>
  <si>
    <t>I-200-20269-846675</t>
  </si>
  <si>
    <t>Ohio Physicians Professional Corporation</t>
  </si>
  <si>
    <t>2600 6th Street, S.W.</t>
  </si>
  <si>
    <t>EVANS</t>
  </si>
  <si>
    <t>Director, Physician Recruitment</t>
  </si>
  <si>
    <t>Tiffany.Evans@aultman.com</t>
  </si>
  <si>
    <t>2600 Sixth Street, SW</t>
  </si>
  <si>
    <t>LexisNexis USA</t>
  </si>
  <si>
    <t>1801 Varsity Drive</t>
  </si>
  <si>
    <t>I-200-20269-845701</t>
  </si>
  <si>
    <t>SAP Industries, Inc.</t>
  </si>
  <si>
    <t>Manghisi</t>
  </si>
  <si>
    <t>Crissa</t>
  </si>
  <si>
    <t>I-200-20268-843583</t>
  </si>
  <si>
    <t>9000 Rockville Pike, Building 31</t>
  </si>
  <si>
    <t>I-200-20268-843704</t>
  </si>
  <si>
    <t>I-200-20268-844248</t>
  </si>
  <si>
    <t>I-200-20268-844001</t>
  </si>
  <si>
    <t>NextBits, Inc.</t>
  </si>
  <si>
    <t>17 Jay St.</t>
  </si>
  <si>
    <t>North Attleborough</t>
  </si>
  <si>
    <t>Thummar</t>
  </si>
  <si>
    <t>Jigneshkumar</t>
  </si>
  <si>
    <t>Jignesh.NextBits@gmail.com</t>
  </si>
  <si>
    <t>NextBits</t>
  </si>
  <si>
    <t>17 Jay St., Ste. 3</t>
  </si>
  <si>
    <t>NORTH ATTLEBOROUGH</t>
  </si>
  <si>
    <t>SylviaW@employmentimmigration.com</t>
  </si>
  <si>
    <t>I-200-20268-843152</t>
  </si>
  <si>
    <t>2154, East Commons Avenue, Suite 4000</t>
  </si>
  <si>
    <t>I-200-20269-846474</t>
  </si>
  <si>
    <t xml:space="preserve">656 Chamberlin Avenue </t>
  </si>
  <si>
    <t xml:space="preserve">Frankfort </t>
  </si>
  <si>
    <t>SOHANIT INC</t>
  </si>
  <si>
    <t>11414 W CENTER RD</t>
  </si>
  <si>
    <t>SAVARAM</t>
  </si>
  <si>
    <t>MANOJA</t>
  </si>
  <si>
    <t>MANOJA.SAVARAM@SOHANIT.COM</t>
  </si>
  <si>
    <t>MyVest Corporation</t>
  </si>
  <si>
    <t>Gilliom</t>
  </si>
  <si>
    <t>Danniela</t>
  </si>
  <si>
    <t>dgilliom@myvest.com</t>
  </si>
  <si>
    <t>I-200-20269-845198</t>
  </si>
  <si>
    <t>rcao@wa-law.net</t>
  </si>
  <si>
    <t>I-200-20268-844215</t>
  </si>
  <si>
    <t>Syngenta Crop Protection, LLC</t>
  </si>
  <si>
    <t>410 Swing Road</t>
  </si>
  <si>
    <t>Regional HR Operations Manager</t>
  </si>
  <si>
    <t>christian.smith@syngenta.com</t>
  </si>
  <si>
    <t>7800 Crescent Executive Drive</t>
  </si>
  <si>
    <t xml:space="preserve">RAMA </t>
  </si>
  <si>
    <t>I-200-20269-846304</t>
  </si>
  <si>
    <t>PRITNA INC</t>
  </si>
  <si>
    <t>1333 CORPORATE DRIVE</t>
  </si>
  <si>
    <t>Ganguru</t>
  </si>
  <si>
    <t>sanjay.ganguru@pritna.com</t>
  </si>
  <si>
    <t>1333 Corporate Dr, Suite 121</t>
  </si>
  <si>
    <t>I-200-20268-844816</t>
  </si>
  <si>
    <t xml:space="preserve">Pix4D, Inc. </t>
  </si>
  <si>
    <t>1615 Platte St.</t>
  </si>
  <si>
    <t>Cressy</t>
  </si>
  <si>
    <t>christopher.cressy@pix4d.com</t>
  </si>
  <si>
    <t>650 Capitol Avenue</t>
  </si>
  <si>
    <t>cheryl@usimmigrationlaw.net</t>
  </si>
  <si>
    <t>I-200-20269-845324</t>
  </si>
  <si>
    <t>175, Scott Swamp Road</t>
  </si>
  <si>
    <t>I-200-20268-843866</t>
  </si>
  <si>
    <t xml:space="preserve">Naperville </t>
  </si>
  <si>
    <t>VeriSign, Inc.</t>
  </si>
  <si>
    <t>12061 Bluemont Way</t>
  </si>
  <si>
    <t>Carney</t>
  </si>
  <si>
    <t>dcarney@verisign.com</t>
  </si>
  <si>
    <t>I-200-20268-843332</t>
  </si>
  <si>
    <t>I-200-20268-844065</t>
  </si>
  <si>
    <t>2135 City Gate Ln</t>
  </si>
  <si>
    <t>I-200-20268-844591</t>
  </si>
  <si>
    <t>Diversified Services Network, Inc.</t>
  </si>
  <si>
    <t>2760 FORGUE DRIVE</t>
  </si>
  <si>
    <t>Refai</t>
  </si>
  <si>
    <t>Nabil</t>
  </si>
  <si>
    <t>nrefai@dsnworldwide.com</t>
  </si>
  <si>
    <t>I-200-20269-845530</t>
  </si>
  <si>
    <t>Department of Agricultural &amp; Applied Economics</t>
  </si>
  <si>
    <t>1312 Boston Ave</t>
  </si>
  <si>
    <t>I-200-20269-845070</t>
  </si>
  <si>
    <t>I-200-20268-843020</t>
  </si>
  <si>
    <t>I-200-20269-845219</t>
  </si>
  <si>
    <t>I-200-20268-843285</t>
  </si>
  <si>
    <t>I-200-20270-846814</t>
  </si>
  <si>
    <t>I-200-20269-846197</t>
  </si>
  <si>
    <t>400 Concar Dr</t>
  </si>
  <si>
    <t xml:space="preserve">JPMorgan Chase &amp; Co. </t>
  </si>
  <si>
    <t>I-200-20269-846702</t>
  </si>
  <si>
    <t>1 DNA Way, Central Campus</t>
  </si>
  <si>
    <t>350 DNA Way, Bldg. 35</t>
  </si>
  <si>
    <t>OLYMPIA</t>
  </si>
  <si>
    <t>I-200-20268-844231</t>
  </si>
  <si>
    <t>Conduent State Healthcare, LLC</t>
  </si>
  <si>
    <t>672 Amalfi Loop</t>
  </si>
  <si>
    <t xml:space="preserve">5810 Owens Drive       </t>
  </si>
  <si>
    <t>I-200-20268-842993</t>
  </si>
  <si>
    <t>1 Citizens Bank Way</t>
  </si>
  <si>
    <t xml:space="preserve">Johnston </t>
  </si>
  <si>
    <t>Solarwaterway Inc.</t>
  </si>
  <si>
    <t>254 36th Street</t>
  </si>
  <si>
    <t>Sarway</t>
  </si>
  <si>
    <t>murraysarwayinfo@gmail.com</t>
  </si>
  <si>
    <t>Suite C453</t>
  </si>
  <si>
    <t>DeeBeCon Inc</t>
  </si>
  <si>
    <t>1 Tara Blvd</t>
  </si>
  <si>
    <t>Radakrishnan</t>
  </si>
  <si>
    <t>jobs@deebecon.com</t>
  </si>
  <si>
    <t>I-200-20269-846023</t>
  </si>
  <si>
    <t>MSU, Dept of Chemical Engineering and Materials Science</t>
  </si>
  <si>
    <t>3900 Collins Rd.</t>
  </si>
  <si>
    <t xml:space="preserve">Vice President Human Resources </t>
  </si>
  <si>
    <t>I-200-20268-844567</t>
  </si>
  <si>
    <t>706-B, N Diamond Bar Blvd</t>
  </si>
  <si>
    <t>44 Wall Street</t>
  </si>
  <si>
    <t>Senior People Generalist</t>
  </si>
  <si>
    <t>GlobalMobility@spglobal.com</t>
  </si>
  <si>
    <t>I-200-20269-845246</t>
  </si>
  <si>
    <t>I-200-20269-845258</t>
  </si>
  <si>
    <t>ZF Axle Drives Marysville, LLC</t>
  </si>
  <si>
    <t>2900 Busha Highway</t>
  </si>
  <si>
    <t>Felts</t>
  </si>
  <si>
    <t>Yvonne.Felts@zf.com</t>
  </si>
  <si>
    <t>1 Water St</t>
  </si>
  <si>
    <t>I-200-20268-844538</t>
  </si>
  <si>
    <t>10409 Watoga Way</t>
  </si>
  <si>
    <t>Cornelius</t>
  </si>
  <si>
    <t>35 W Wacker Dr.</t>
  </si>
  <si>
    <t>I-200-20269-845334</t>
  </si>
  <si>
    <t>Global Mobility Specialist Tier 1</t>
  </si>
  <si>
    <t>I-200-20269-845234</t>
  </si>
  <si>
    <t>4200 Bay Street Apt# 279</t>
  </si>
  <si>
    <t xml:space="preserve"> Sirius XM Radio Inc. </t>
  </si>
  <si>
    <t xml:space="preserve">1221  Avenue of the Americas </t>
  </si>
  <si>
    <t>Vice President &amp; Associate General Counsel, Employment Law</t>
  </si>
  <si>
    <t>ravi.motwani@siriusxm.com</t>
  </si>
  <si>
    <t>Fitzgerald</t>
  </si>
  <si>
    <t>Gadde</t>
  </si>
  <si>
    <t>I-200-20269-846451</t>
  </si>
  <si>
    <t>I-200-20268-843100</t>
  </si>
  <si>
    <t>3039 East Cornwallis Road</t>
  </si>
  <si>
    <t>Hinduja Tech Inc.</t>
  </si>
  <si>
    <t>39555 ORCHARD HILL PLACE</t>
  </si>
  <si>
    <t xml:space="preserve">RAGHAVENDRA </t>
  </si>
  <si>
    <t>RAMADEVA</t>
  </si>
  <si>
    <t>GM - HUMAN RESOURCES AND OPERATIONS</t>
  </si>
  <si>
    <t>US_Immigration@hindujatech.com</t>
  </si>
  <si>
    <t>monika@employmentimmigration.com</t>
  </si>
  <si>
    <t>I-200-20269-844928</t>
  </si>
  <si>
    <t>immigration@juul.com</t>
  </si>
  <si>
    <t>420 N Bernardo Avenue</t>
  </si>
  <si>
    <t>I-200-20269-845698</t>
  </si>
  <si>
    <t>9399 W HIGGINS RD</t>
  </si>
  <si>
    <t>ROSEMONT</t>
  </si>
  <si>
    <t>I-200-20268-843067</t>
  </si>
  <si>
    <t>nuhrmacher@malikpopiel.com</t>
  </si>
  <si>
    <t>I-200-20268-843290</t>
  </si>
  <si>
    <t>Cloudywing Technologies, Inc</t>
  </si>
  <si>
    <t>340 New Byhalia Road</t>
  </si>
  <si>
    <t>Nallabolu</t>
  </si>
  <si>
    <t>Nikila</t>
  </si>
  <si>
    <t>hr@cloudywing.com</t>
  </si>
  <si>
    <t xml:space="preserve">425 Old Morehall Road </t>
  </si>
  <si>
    <t xml:space="preserve">Malvern </t>
  </si>
  <si>
    <t>I-200-20269-845852</t>
  </si>
  <si>
    <t>430 East 29th Street</t>
  </si>
  <si>
    <t>I-200-20269-845897</t>
  </si>
  <si>
    <t>National Institutes of Health/HHS</t>
  </si>
  <si>
    <t>Diamond</t>
  </si>
  <si>
    <t>I-200-20268-842991</t>
  </si>
  <si>
    <t>153 Gilbert Hall</t>
  </si>
  <si>
    <t>I-200-20269-846673</t>
  </si>
  <si>
    <t>800 W TRADE STREET</t>
  </si>
  <si>
    <t>I-200-20268-843440</t>
  </si>
  <si>
    <t>1325 Boylston Street</t>
  </si>
  <si>
    <t>I-200-20268-843227</t>
  </si>
  <si>
    <t>One Citizens Bank Way,</t>
  </si>
  <si>
    <t>I-200-20269-845044</t>
  </si>
  <si>
    <t>4721 Emperor Boulevard</t>
  </si>
  <si>
    <t>I-200-20269-846761</t>
  </si>
  <si>
    <t>I-200-20268-843418</t>
  </si>
  <si>
    <t>WHI SOLUTIONS INC.</t>
  </si>
  <si>
    <t>5 International Drive</t>
  </si>
  <si>
    <t>Rye Brook</t>
  </si>
  <si>
    <t>CAMPBELL</t>
  </si>
  <si>
    <t>I-200-20269-846143</t>
  </si>
  <si>
    <t>183 INVERNESS DR W</t>
  </si>
  <si>
    <t>I-200-20269-845338</t>
  </si>
  <si>
    <t>325 W. Main Street</t>
  </si>
  <si>
    <t>185 Hudson Street</t>
  </si>
  <si>
    <t>PIKE SOLUTIONS INC</t>
  </si>
  <si>
    <t>53 Knightsbridge Road</t>
  </si>
  <si>
    <t>I-200-20268-843407</t>
  </si>
  <si>
    <t>Reich</t>
  </si>
  <si>
    <t>Wendy.Reich@zf.com</t>
  </si>
  <si>
    <t>ZF Active Safety US, Inc.</t>
  </si>
  <si>
    <t>12000 Tech Center Drive</t>
  </si>
  <si>
    <t>GUTTA</t>
  </si>
  <si>
    <t>PADMAMUKHI</t>
  </si>
  <si>
    <t>Fast Switch-Great Lakes LLC</t>
  </si>
  <si>
    <t>17177 Laurel Office Park Dr</t>
  </si>
  <si>
    <t>Pachla</t>
  </si>
  <si>
    <t xml:space="preserve">Carey </t>
  </si>
  <si>
    <t>17177 Laurel Office Park Dr.</t>
  </si>
  <si>
    <t xml:space="preserve"> jmoehle@fastswitch.com</t>
  </si>
  <si>
    <t>I-200-20269-846158</t>
  </si>
  <si>
    <t xml:space="preserve">41 Malvina Place </t>
  </si>
  <si>
    <t>Hornell</t>
  </si>
  <si>
    <t>I-200-20268-843128</t>
  </si>
  <si>
    <t>Suite 170</t>
  </si>
  <si>
    <t>Pleasant Hill</t>
  </si>
  <si>
    <t>I-200-20269-846404</t>
  </si>
  <si>
    <t>Magna Seating of America Inc.</t>
  </si>
  <si>
    <t>30020 Cabot Dr.</t>
  </si>
  <si>
    <t>Sicks</t>
  </si>
  <si>
    <t>Kate.Sicks@magna.com</t>
  </si>
  <si>
    <t>Magna Seating South Carolina</t>
  </si>
  <si>
    <t>3052 Moore Duncan Highway</t>
  </si>
  <si>
    <t>DOTS TECHNOLOGIES, INC.</t>
  </si>
  <si>
    <t>371 HOES LANE</t>
  </si>
  <si>
    <t>PEREIRA</t>
  </si>
  <si>
    <t>ASLIN</t>
  </si>
  <si>
    <t>ASLIN@DOTSTECHNOLOGIES.COM</t>
  </si>
  <si>
    <t>8250 JONES BRANCH DRIVE</t>
  </si>
  <si>
    <t>I-200-20268-843453</t>
  </si>
  <si>
    <t>CONSOR Engineers, LLC</t>
  </si>
  <si>
    <t>15310 Park Row</t>
  </si>
  <si>
    <t>Carcamo</t>
  </si>
  <si>
    <t>kcarcamo@consoreng.com</t>
  </si>
  <si>
    <t>6606 Lyndon B Johnson Freeway</t>
  </si>
  <si>
    <t xml:space="preserve">Fremont </t>
  </si>
  <si>
    <t>I-200-20269-845707</t>
  </si>
  <si>
    <t>PACIFIC INVESTMENT MANAGEMENT COMPANY</t>
  </si>
  <si>
    <t>650 NEWPORT CENTER DRIVE</t>
  </si>
  <si>
    <t>NEWPORT BEACH</t>
  </si>
  <si>
    <t>VICE PRESIDENT, HUMAN RESOURCES GENERALIST</t>
  </si>
  <si>
    <t>KEN.NGUYEN@PIMCO.COM</t>
  </si>
  <si>
    <t>AOCONNELL@GIBNEY.COM</t>
  </si>
  <si>
    <t>I-200-20269-845532</t>
  </si>
  <si>
    <t>SpringWorks Therapeutics Operating Company</t>
  </si>
  <si>
    <t>100 Washington Blvd</t>
  </si>
  <si>
    <t>Weinstein</t>
  </si>
  <si>
    <t>Herschel</t>
  </si>
  <si>
    <t>cmercado@springworkstx.com</t>
  </si>
  <si>
    <t>4310 S. Alston Ave</t>
  </si>
  <si>
    <t>Ste 230</t>
  </si>
  <si>
    <t>5600 Granite Pkwy</t>
  </si>
  <si>
    <t>Conshohocken</t>
  </si>
  <si>
    <t>I-200-20269-844924</t>
  </si>
  <si>
    <t>Cata.Mayorga@Juul.com</t>
  </si>
  <si>
    <t>825 E Middlefield Road</t>
  </si>
  <si>
    <t>13001 Bass Lake Rd</t>
  </si>
  <si>
    <t>sdover@duanemorris.com</t>
  </si>
  <si>
    <t>I-200-20268-844007</t>
  </si>
  <si>
    <t>I-200-20268-843861</t>
  </si>
  <si>
    <t>1621 SW 1ST AVENUE</t>
  </si>
  <si>
    <t>I-200-20268-844056</t>
  </si>
  <si>
    <t>2395 Glen Echo Rd</t>
  </si>
  <si>
    <t>1390 Enclave Pkwy</t>
  </si>
  <si>
    <t>I-200-20269-846234</t>
  </si>
  <si>
    <t xml:space="preserve">11894 Salerno Court </t>
  </si>
  <si>
    <t>CAREER SOFT SOLUTIONS, INC.</t>
  </si>
  <si>
    <t>DAS</t>
  </si>
  <si>
    <t>MOHUYA</t>
  </si>
  <si>
    <t>HR &amp; IMMIGRATION EXECUTIVE</t>
  </si>
  <si>
    <t>HR@CAREERSOFTUSA.COM</t>
  </si>
  <si>
    <t>I-200-20268-843447</t>
  </si>
  <si>
    <t>Suite 275</t>
  </si>
  <si>
    <t>I-200-20268-843098</t>
  </si>
  <si>
    <t>9931 66th Ave, Apt 5C</t>
  </si>
  <si>
    <t>I-200-20269-846032</t>
  </si>
  <si>
    <t>453 Suncrest Towne Centre</t>
  </si>
  <si>
    <t>I-200-20268-844410</t>
  </si>
  <si>
    <t>LPDIMMIGRATION@ATG.WA.GOV</t>
  </si>
  <si>
    <t>ALLIED INFORMATICS, INC.</t>
  </si>
  <si>
    <t>1815 Satellite Blvd.,</t>
  </si>
  <si>
    <t>laborcert@alliedinformatics.com</t>
  </si>
  <si>
    <t>Regional HR Manager</t>
  </si>
  <si>
    <t>I-200-20270-846829</t>
  </si>
  <si>
    <t>LISA.MARIE.PEDRYS@MEDTRONIC.COM</t>
  </si>
  <si>
    <t>I-200-20268-844000</t>
  </si>
  <si>
    <t>8 FEDERAL STREET</t>
  </si>
  <si>
    <t>Navarro</t>
  </si>
  <si>
    <t>2875 UNION ROAD</t>
  </si>
  <si>
    <t>CHEEKTOWAGA</t>
  </si>
  <si>
    <t>I-200-20269-846051</t>
  </si>
  <si>
    <t>I-200-20268-843888</t>
  </si>
  <si>
    <t>East Tennessee State University</t>
  </si>
  <si>
    <t>1276 Gilbreath Drive</t>
  </si>
  <si>
    <t>Johnson City</t>
  </si>
  <si>
    <t>Wiliams</t>
  </si>
  <si>
    <t>Box 70285 1276 Gilbreath Drive</t>
  </si>
  <si>
    <t>williamslk@etsu.edu</t>
  </si>
  <si>
    <t>I-200-20269-846745</t>
  </si>
  <si>
    <t>I-200-20268-843166</t>
  </si>
  <si>
    <t>I-200-20270-846855</t>
  </si>
  <si>
    <t>iTek Center East (iTekE) 15555 Lundy Parkway</t>
  </si>
  <si>
    <t>1 Griffin Road North</t>
  </si>
  <si>
    <t>I-200-20269-845426</t>
  </si>
  <si>
    <t>2019 General Industry Information Technology Compensation Su</t>
  </si>
  <si>
    <t>3010 Highland Parkway</t>
  </si>
  <si>
    <t>Bldg D, 3rd Fl.</t>
  </si>
  <si>
    <t>I-200-20269-846260</t>
  </si>
  <si>
    <t>10 Library Way, Conant Hall 315</t>
  </si>
  <si>
    <t>Peter T Paul College of Business and Economics</t>
  </si>
  <si>
    <t>alext@employmentimmigration.com</t>
  </si>
  <si>
    <t>I-200-20269-846520</t>
  </si>
  <si>
    <t>Confiz LLC</t>
  </si>
  <si>
    <t>3326 160th Avenue SE</t>
  </si>
  <si>
    <t>Rana</t>
  </si>
  <si>
    <t>Talha</t>
  </si>
  <si>
    <t xml:space="preserve">VP, Professional Services </t>
  </si>
  <si>
    <t>talha.rana@confiz.com</t>
  </si>
  <si>
    <t xml:space="preserve">809 Moberly Lane </t>
  </si>
  <si>
    <t>I-200-20268-843414</t>
  </si>
  <si>
    <t>I-200-20269-846113</t>
  </si>
  <si>
    <t>430 US 22</t>
  </si>
  <si>
    <t xml:space="preserve"> Bridgewater</t>
  </si>
  <si>
    <t>FITZGERALD</t>
  </si>
  <si>
    <t>1500 NW 136th Ave</t>
  </si>
  <si>
    <t>345 Hudson Street</t>
  </si>
  <si>
    <t>Choctaw Nation of Oklahoma</t>
  </si>
  <si>
    <t>1802 Chukka Hina Drive</t>
  </si>
  <si>
    <t>Pebsworth</t>
  </si>
  <si>
    <t>ajpebsworth@cnhsa.com</t>
  </si>
  <si>
    <t>1803 Chukka Hina Drive</t>
  </si>
  <si>
    <t>ENLIVEN TECHNOLOGIES INC</t>
  </si>
  <si>
    <t>CHUNDU</t>
  </si>
  <si>
    <t>SUDHAKAR@ENLIVENTECH.NET</t>
  </si>
  <si>
    <t>DONNELLY</t>
  </si>
  <si>
    <t>PROSOFT TECHNOLOGY GROUP INC.</t>
  </si>
  <si>
    <t>GOSALA</t>
  </si>
  <si>
    <t>DIRECTOR-HUMAN RESOURCES &amp; FINANCE</t>
  </si>
  <si>
    <t>HR.ADMIN@PROSOFTGROUP.COM</t>
  </si>
  <si>
    <t>Terra Information Group Inc</t>
  </si>
  <si>
    <t>896 S Frontenac St, suite 100</t>
  </si>
  <si>
    <t>896 S frontenac st, suite 100</t>
  </si>
  <si>
    <t>mamtaa@terrainfogroup.com</t>
  </si>
  <si>
    <t>I-200-20268-843606</t>
  </si>
  <si>
    <t>I-200-20268-844843</t>
  </si>
  <si>
    <t>Devi</t>
  </si>
  <si>
    <t>I-200-20268-843269</t>
  </si>
  <si>
    <t>104 Noble Creek Dr NW</t>
  </si>
  <si>
    <t>caitlin.braginsky@tsmimmigration.com</t>
  </si>
  <si>
    <t>15000 Haggerty Rd</t>
  </si>
  <si>
    <t>I-200-20269-845447</t>
  </si>
  <si>
    <t xml:space="preserve">ULTA, INC. </t>
  </si>
  <si>
    <t>Byrne</t>
  </si>
  <si>
    <t>dbyrne@ulta.com</t>
  </si>
  <si>
    <t>I-200-20269-846645</t>
  </si>
  <si>
    <t>G3 Soft Inc</t>
  </si>
  <si>
    <t>40 Brunswick Ave</t>
  </si>
  <si>
    <t>prasanna@g3softinc.com</t>
  </si>
  <si>
    <t>I-200-20268-844060</t>
  </si>
  <si>
    <t>I-200-20269-845968</t>
  </si>
  <si>
    <t>131 VARICK STREET</t>
  </si>
  <si>
    <t>THE EVOLVERS GROUP, L.P.</t>
  </si>
  <si>
    <t>1011 Surrey Lane</t>
  </si>
  <si>
    <t>ssharma@evolversgroup.com</t>
  </si>
  <si>
    <t>I-200-20268-843631</t>
  </si>
  <si>
    <t xml:space="preserve">WARNERMEDIA DIRECT, LLC	</t>
  </si>
  <si>
    <t>Bottfeld</t>
  </si>
  <si>
    <t xml:space="preserve">Gary </t>
  </si>
  <si>
    <t>Gary.Bottfeld@turner.com</t>
  </si>
  <si>
    <t>1099 Stewart Street</t>
  </si>
  <si>
    <t>Teradyne, Inc.</t>
  </si>
  <si>
    <t>arlene.aquinde@litepoint.com</t>
  </si>
  <si>
    <t>I-200-20269-845734</t>
  </si>
  <si>
    <t>1499 Pony Express Parkway</t>
  </si>
  <si>
    <t>Eagle Mountain</t>
  </si>
  <si>
    <t>7453 TG LEE BLVD</t>
  </si>
  <si>
    <t>I-200-20268-843291</t>
  </si>
  <si>
    <t>I-200-20268-843030</t>
  </si>
  <si>
    <t>Dalton</t>
  </si>
  <si>
    <t>I-200-20268-843869</t>
  </si>
  <si>
    <t>Concordia University, Inc.</t>
  </si>
  <si>
    <t>12800 N. Lake Shore Drive</t>
  </si>
  <si>
    <t>Prochnow</t>
  </si>
  <si>
    <t>Executive Vice President and Chief Operating Officer</t>
  </si>
  <si>
    <t>allen.prochnow@cuw.edu</t>
  </si>
  <si>
    <t>12800 North Lake Shore Drive</t>
  </si>
  <si>
    <t>I-200-20268-843432</t>
  </si>
  <si>
    <t>3868 Central Pike</t>
  </si>
  <si>
    <t>Apt 919</t>
  </si>
  <si>
    <t>5051 Westheimer Road</t>
  </si>
  <si>
    <t>I-200-20268-844803</t>
  </si>
  <si>
    <t xml:space="preserve">Gall </t>
  </si>
  <si>
    <t>I-200-20269-846387</t>
  </si>
  <si>
    <t>Ventech Solutions, Inc.</t>
  </si>
  <si>
    <t>8425 Pulsar Place</t>
  </si>
  <si>
    <t>Colussi</t>
  </si>
  <si>
    <t>Lori.Colussi@ventechsolutions.com</t>
  </si>
  <si>
    <t>10110 Battleview Parkway</t>
  </si>
  <si>
    <t>I-200-20268-843389</t>
  </si>
  <si>
    <t xml:space="preserve">2100 E. Lake Cook Rd. </t>
  </si>
  <si>
    <t>I-200-20268-843165</t>
  </si>
  <si>
    <t>4750 S 44th Pl</t>
  </si>
  <si>
    <t>I-200-20269-845378</t>
  </si>
  <si>
    <t>Fleetcor Technologies, Inc.</t>
  </si>
  <si>
    <t>3280 Peachtree Rd</t>
  </si>
  <si>
    <t>I-200-20269-846433</t>
  </si>
  <si>
    <t xml:space="preserve">50 Beale Street </t>
  </si>
  <si>
    <t>I-200-20269-845941</t>
  </si>
  <si>
    <t>225 Binney Street, Building 1</t>
  </si>
  <si>
    <t>Director, ISSS</t>
  </si>
  <si>
    <t>TWITCH INTERACTIVE, INC.</t>
  </si>
  <si>
    <t>4000 Buechel Bank Rd</t>
  </si>
  <si>
    <t>I-200-20268-843993</t>
  </si>
  <si>
    <t xml:space="preserve">Synechron Inc </t>
  </si>
  <si>
    <t xml:space="preserve">11 Times Square </t>
  </si>
  <si>
    <t xml:space="preserve">175 Greenwich St. </t>
  </si>
  <si>
    <t>I-200-20269-845825</t>
  </si>
  <si>
    <t>Bethlehem Smile Design</t>
  </si>
  <si>
    <t>315 E. Ettwein St.</t>
  </si>
  <si>
    <t>Kanani</t>
  </si>
  <si>
    <t>Bhaumik</t>
  </si>
  <si>
    <t>Manager/Owner</t>
  </si>
  <si>
    <t>Bethleham</t>
  </si>
  <si>
    <t>Smiledesign315@gmail.com</t>
  </si>
  <si>
    <t>I-200-20268-843690</t>
  </si>
  <si>
    <t>250 Student Union</t>
  </si>
  <si>
    <t>regina.henry@okstate.edu</t>
  </si>
  <si>
    <t>I-200-20268-844368</t>
  </si>
  <si>
    <t>Nine Ink, LLC</t>
  </si>
  <si>
    <t>880 Third Avenue</t>
  </si>
  <si>
    <t>Mahtani</t>
  </si>
  <si>
    <t>navin.mahtani@sansarglobal.com</t>
  </si>
  <si>
    <t>Suite 4121</t>
  </si>
  <si>
    <t>I-200-20269-846445</t>
  </si>
  <si>
    <t>Novi IT, Inc</t>
  </si>
  <si>
    <t>22710 Haggerty Road, Suite 192</t>
  </si>
  <si>
    <t>Gannamaneni</t>
  </si>
  <si>
    <t>hr@noviit.com</t>
  </si>
  <si>
    <t>1200 W Algonquin RD</t>
  </si>
  <si>
    <t>Dhanam@usimmigrationesq.com</t>
  </si>
  <si>
    <t>I-200-20269-845591</t>
  </si>
  <si>
    <t>FIALA</t>
  </si>
  <si>
    <t>ANDREW</t>
  </si>
  <si>
    <t>ANDREW.FIALA@PIMCO.COM</t>
  </si>
  <si>
    <t>I-200-20269-846029</t>
  </si>
  <si>
    <t>NA Human Resources Manager</t>
  </si>
  <si>
    <t>I-200-20268-843737</t>
  </si>
  <si>
    <t>Anderson and Associates LLP</t>
  </si>
  <si>
    <t>61 Broadway</t>
  </si>
  <si>
    <t>Yen-Yi</t>
  </si>
  <si>
    <t>y.anderson@andersonandassociatesllp.com</t>
  </si>
  <si>
    <t>Suite 2809</t>
  </si>
  <si>
    <t>I-200-20269-846039</t>
  </si>
  <si>
    <t>Jones-Jackson</t>
  </si>
  <si>
    <t>Sr. Human Resources Specialist</t>
  </si>
  <si>
    <t>Department of Medicine</t>
  </si>
  <si>
    <t>jonesjacksonk@health.missouri.edu</t>
  </si>
  <si>
    <t>UNIVERSITY OF MISSOURI HEALTH SCIENCES CENTER</t>
  </si>
  <si>
    <t>ONE HOSPITAL DRIVE</t>
  </si>
  <si>
    <t>I-200-20268-844643</t>
  </si>
  <si>
    <t>One AMC Way, 11500 Ash St</t>
  </si>
  <si>
    <t>I-200-20268-843218</t>
  </si>
  <si>
    <t>304 Wilmot Road</t>
  </si>
  <si>
    <t>I-200-20268-843010</t>
  </si>
  <si>
    <t>1201 South 2nd Street</t>
  </si>
  <si>
    <t>I-200-20268-843222</t>
  </si>
  <si>
    <t xml:space="preserve">11820 Northup Way, </t>
  </si>
  <si>
    <t>Suite E300,</t>
  </si>
  <si>
    <t>I-200-20269-846499</t>
  </si>
  <si>
    <t>125 TECHNOLOGY DRIVE</t>
  </si>
  <si>
    <t>I-200-20269-846510</t>
  </si>
  <si>
    <t>251 E Huron Street</t>
  </si>
  <si>
    <t>Lane</t>
  </si>
  <si>
    <t>I-200-20269-846337</t>
  </si>
  <si>
    <t>I-200-20268-843629</t>
  </si>
  <si>
    <t>I-200-20269-845330</t>
  </si>
  <si>
    <t>Erinjeri</t>
  </si>
  <si>
    <t>julie.erinjeri@harman.com</t>
  </si>
  <si>
    <t>622 West 168th Street</t>
  </si>
  <si>
    <t>I-200-20269-846005</t>
  </si>
  <si>
    <t>Xmotors.Ai, Inc.</t>
  </si>
  <si>
    <t>850 N Shoreline Blvd</t>
  </si>
  <si>
    <t>Judy@xmotors.ai</t>
  </si>
  <si>
    <t>850 N SHORELINE BLVD.</t>
  </si>
  <si>
    <t>I-200-20268-843106</t>
  </si>
  <si>
    <t>FLOOR 30TH, SUITE 3000</t>
  </si>
  <si>
    <t>I-200-20268-843066</t>
  </si>
  <si>
    <t>I-200-20268-844618</t>
  </si>
  <si>
    <t>6030 Chatuge Cir.</t>
  </si>
  <si>
    <t>I-200-20268-844119</t>
  </si>
  <si>
    <t xml:space="preserve">Rood &amp; Riddle Equine Hospital </t>
  </si>
  <si>
    <t xml:space="preserve">2150 Georgetown Rd. </t>
  </si>
  <si>
    <t xml:space="preserve">Morton </t>
  </si>
  <si>
    <t>2150 Georgetown Rd.</t>
  </si>
  <si>
    <t>bmorton@roodandriddle.com</t>
  </si>
  <si>
    <t>pamela.delilli@ogletree.com</t>
  </si>
  <si>
    <t>I-200-20268-843174</t>
  </si>
  <si>
    <t>I-200-20269-846211</t>
  </si>
  <si>
    <t>US CTRY HR / GLBL BUS AND US CTRY HR MNGR / VP HR</t>
  </si>
  <si>
    <t xml:space="preserve">756 W Peachtree St NW </t>
  </si>
  <si>
    <t xml:space="preserve"> Suite 1900 </t>
  </si>
  <si>
    <t>I-200-20269-846249</t>
  </si>
  <si>
    <t xml:space="preserve">CABOT MICROELECTRONICS CORPORATION </t>
  </si>
  <si>
    <t>870 N. COMMONS DRIVE</t>
  </si>
  <si>
    <t>ALEGRIA</t>
  </si>
  <si>
    <t>BETZAIDA</t>
  </si>
  <si>
    <t>HR MANAGER, NORTH AMERICA</t>
  </si>
  <si>
    <t>BETSY_ALEGRIA@CABOTCMP.COM</t>
  </si>
  <si>
    <t>2340 Bert Drive</t>
  </si>
  <si>
    <t>Hollister</t>
  </si>
  <si>
    <t>55 Fruit Street</t>
  </si>
  <si>
    <t>STECK SYSTEMS, INC</t>
  </si>
  <si>
    <t>Bandlapalli</t>
  </si>
  <si>
    <t>Muralidhar</t>
  </si>
  <si>
    <t>hr@stecksystems.com</t>
  </si>
  <si>
    <t>Orangeburg</t>
  </si>
  <si>
    <t>I-200-20269-845973</t>
  </si>
  <si>
    <t>BorgWarner PDS (USA) Inc.</t>
  </si>
  <si>
    <t>cwood@borgwarner.com</t>
  </si>
  <si>
    <t>Vinay</t>
  </si>
  <si>
    <t>I-200-20268-843288</t>
  </si>
  <si>
    <t>Tru Tech Systems, Inc., a Division of Resonetics, Inc.</t>
  </si>
  <si>
    <t>24550 N River Rd</t>
  </si>
  <si>
    <t>Mount Clemens</t>
  </si>
  <si>
    <t>Carreiro</t>
  </si>
  <si>
    <t>26 Whipple Street</t>
  </si>
  <si>
    <t>JCarreiro@Resonetics.com</t>
  </si>
  <si>
    <t>YASHCO SYSTEMS, INC.</t>
  </si>
  <si>
    <t>3974 BROWN PARK DRIVE</t>
  </si>
  <si>
    <t>SHEETAL.DATTA@YASHCO.COM</t>
  </si>
  <si>
    <t>I-200-20268-844373</t>
  </si>
  <si>
    <t>880 powder mill rd</t>
  </si>
  <si>
    <t>125 Broad Street</t>
  </si>
  <si>
    <t>211 MT. AIRY ROAD</t>
  </si>
  <si>
    <t>Federal Express Corporation</t>
  </si>
  <si>
    <t>3620 Hacks Cross Road</t>
  </si>
  <si>
    <t>I-200-20268-844375</t>
  </si>
  <si>
    <t>NYU Courant Institute of Mathematical Sciences</t>
  </si>
  <si>
    <t>251 Mercer</t>
  </si>
  <si>
    <t>I-200-20269-845797</t>
  </si>
  <si>
    <t>HR Services Consultant (AME Immigration)</t>
  </si>
  <si>
    <t xml:space="preserve">7500 Windrose Ave </t>
  </si>
  <si>
    <t>I-200-20268-844097</t>
  </si>
  <si>
    <t>I-200-20268-843923</t>
  </si>
  <si>
    <t>Incessant Technologies NA Inc</t>
  </si>
  <si>
    <t>AVP – Immigration N.A.</t>
  </si>
  <si>
    <t>502 Carnegie Center Drive,</t>
  </si>
  <si>
    <t>Ste. 301</t>
  </si>
  <si>
    <t>#108</t>
  </si>
  <si>
    <t>DELL USA L.P.</t>
  </si>
  <si>
    <t>Aktana, Inc.</t>
  </si>
  <si>
    <t>207 Powell Street</t>
  </si>
  <si>
    <t>Nuban</t>
  </si>
  <si>
    <t>Karen.Nuban@aktana.com</t>
  </si>
  <si>
    <t>I-200-20268-843603</t>
  </si>
  <si>
    <t xml:space="preserve">Lipari </t>
  </si>
  <si>
    <t xml:space="preserve">Director of Talent Acquisition and Compensation  </t>
  </si>
  <si>
    <t>Techno Tasks, Inc</t>
  </si>
  <si>
    <t>Kartheek Varma</t>
  </si>
  <si>
    <t>hr@technotasks.com</t>
  </si>
  <si>
    <t>Traci</t>
  </si>
  <si>
    <t>CompuGain LLC</t>
  </si>
  <si>
    <t>12901 Worldgate Drive</t>
  </si>
  <si>
    <t>Rajal</t>
  </si>
  <si>
    <t>Business Operations Associate</t>
  </si>
  <si>
    <t>Rajal.rahman@compugain.com</t>
  </si>
  <si>
    <t>I-200-20269-845433</t>
  </si>
  <si>
    <t>Ilana D. Rosenberg, Ph.D., Psychology P.L.L.C.</t>
  </si>
  <si>
    <t>50 Popham Rd.</t>
  </si>
  <si>
    <t>Scarsdale</t>
  </si>
  <si>
    <t>Ilana</t>
  </si>
  <si>
    <t>ilana@ilanarosenberg.com</t>
  </si>
  <si>
    <t>Mechanical Design Engineer 2</t>
  </si>
  <si>
    <t>I-200-20269-846581</t>
  </si>
  <si>
    <t>Euclid Technologies LLC</t>
  </si>
  <si>
    <t>2525 U.S. Route 130, Building D</t>
  </si>
  <si>
    <t>2525 U.S. Route 130 Building D</t>
  </si>
  <si>
    <t>hr@euclidusa.com</t>
  </si>
  <si>
    <t>jessica.dunn@q2ebanking.com</t>
  </si>
  <si>
    <t>I-200-20269-846078</t>
  </si>
  <si>
    <t>2202 N. Westshore Blvd</t>
  </si>
  <si>
    <t>802 DELAWARE AVENUE</t>
  </si>
  <si>
    <t>I-200-20268-843225</t>
  </si>
  <si>
    <t>I-200-20269-846405</t>
  </si>
  <si>
    <t>Vecima Technology Inc.</t>
  </si>
  <si>
    <t>4375 River Green Pkwy</t>
  </si>
  <si>
    <t>Yarely</t>
  </si>
  <si>
    <t>Erazo</t>
  </si>
  <si>
    <t>yarely.erazo@vecima.com</t>
  </si>
  <si>
    <t>522 Hickorywood Blvd.</t>
  </si>
  <si>
    <t>shenry@sgrlaw.com</t>
  </si>
  <si>
    <t xml:space="preserve">Johnson &amp; Johnson Services, Inc. </t>
  </si>
  <si>
    <t>I-200-20268-844221</t>
  </si>
  <si>
    <t>I-200-20268-843906</t>
  </si>
  <si>
    <t>25 BLACKSTONE VALLEY PLACE</t>
  </si>
  <si>
    <t>Srivin Infosystems, Inc.</t>
  </si>
  <si>
    <t>76 N Broadway</t>
  </si>
  <si>
    <t>Rapelli</t>
  </si>
  <si>
    <t>sridhar@mahimasoft.com</t>
  </si>
  <si>
    <t>I-200-20269-846269</t>
  </si>
  <si>
    <t>I-200-20269-845016</t>
  </si>
  <si>
    <t>HITEK FORCE LLC</t>
  </si>
  <si>
    <t>1800 NW 169th Place</t>
  </si>
  <si>
    <t>JYOTHI</t>
  </si>
  <si>
    <t xml:space="preserve">1800 NW 169TH PLACE </t>
  </si>
  <si>
    <t>KRISH@HITEKFORCE.COM</t>
  </si>
  <si>
    <t>1711 Interface Lane # 101</t>
  </si>
  <si>
    <t>1133 EAST MAPLE ROAD</t>
  </si>
  <si>
    <t>5600 Granite Parkway</t>
  </si>
  <si>
    <t>I-200-20268-843796</t>
  </si>
  <si>
    <t>March</t>
  </si>
  <si>
    <t>Compensation Supervisor</t>
  </si>
  <si>
    <t>march@admin.umass.edu</t>
  </si>
  <si>
    <t xml:space="preserve">111 8th Ave. </t>
  </si>
  <si>
    <t>896 S Frontenac st</t>
  </si>
  <si>
    <t>I-200-20269-844929</t>
  </si>
  <si>
    <t>Sunnycale</t>
  </si>
  <si>
    <t>I-200-20268-843857</t>
  </si>
  <si>
    <t>WHEELING</t>
  </si>
  <si>
    <t>I-200-20268-844630</t>
  </si>
  <si>
    <t>BUSINESS INTELLIGENCE SOLUTIONS INC</t>
  </si>
  <si>
    <t>462 HERNDON PKWY</t>
  </si>
  <si>
    <t>VANAPALA</t>
  </si>
  <si>
    <t>VENKATA RAMA RAJU</t>
  </si>
  <si>
    <t>HR@BISOLUTIONSTECH.COM</t>
  </si>
  <si>
    <t>950 N Meridian St</t>
  </si>
  <si>
    <t>I-200-20269-846428</t>
  </si>
  <si>
    <t xml:space="preserve">19 E Chocolate Avenue </t>
  </si>
  <si>
    <t>14400 North 87th Street</t>
  </si>
  <si>
    <t>I-200-20268-843088</t>
  </si>
  <si>
    <t>Suite 3430</t>
  </si>
  <si>
    <t>I-200-20270-846839</t>
  </si>
  <si>
    <t>8625 Andrew Carnegie Blvd.</t>
  </si>
  <si>
    <t>I-200-20269-844971</t>
  </si>
  <si>
    <t>Across Borders Management Consulting Group LLC dba</t>
  </si>
  <si>
    <t>956 International Pkwy</t>
  </si>
  <si>
    <t>Rajagopalan</t>
  </si>
  <si>
    <t>arathi@integrass.com</t>
  </si>
  <si>
    <t>5343 N Macarthur Blvd</t>
  </si>
  <si>
    <t>Apt. 2136</t>
  </si>
  <si>
    <t>I-200-20268-843404</t>
  </si>
  <si>
    <t>PHILIPS HEALTHCARE INFORMATICS INC.</t>
  </si>
  <si>
    <t>4430 Rosewood Drive</t>
  </si>
  <si>
    <t>5055 Dent Avenue</t>
  </si>
  <si>
    <t>Apt #18</t>
  </si>
  <si>
    <t>I-200-20269-846753</t>
  </si>
  <si>
    <t>MPIKESOL@PIKESOL.COM</t>
  </si>
  <si>
    <t>200 Howell Dr</t>
  </si>
  <si>
    <t>I-200-20268-844787</t>
  </si>
  <si>
    <t>1501 Francisco Street</t>
  </si>
  <si>
    <t>NEW FAIRFIELD</t>
  </si>
  <si>
    <t>8720 Stony Point Pkwy</t>
  </si>
  <si>
    <t>Lia</t>
  </si>
  <si>
    <t>I-200-20269-845637</t>
  </si>
  <si>
    <t>Computer Programmers, R&amp;D</t>
  </si>
  <si>
    <t>15791 Bear Creek Pkwy</t>
  </si>
  <si>
    <t>Apt B210</t>
  </si>
  <si>
    <t>RANALAWFIRM@AOL.COM</t>
  </si>
  <si>
    <t>I-200-20269-845311</t>
  </si>
  <si>
    <t>1150S. Northpoint Blvd.</t>
  </si>
  <si>
    <t>920 FM 1092 (Murphy Road)</t>
  </si>
  <si>
    <t>Suite # 205</t>
  </si>
  <si>
    <t>IT &amp; EBusiness Consulting Services, Inc.</t>
  </si>
  <si>
    <t>25 Melville Park Road</t>
  </si>
  <si>
    <t>Shashi</t>
  </si>
  <si>
    <t>contact@itecsus.com</t>
  </si>
  <si>
    <t xml:space="preserve">304 East 45th Street  </t>
  </si>
  <si>
    <t>I-200-20269-845317</t>
  </si>
  <si>
    <t xml:space="preserve">74 N. Pasadena Ave,  </t>
  </si>
  <si>
    <t>I-200-20268-844078</t>
  </si>
  <si>
    <t>Infosoft, Inc.</t>
  </si>
  <si>
    <t>6520 W. 110 Street</t>
  </si>
  <si>
    <t>Mothe</t>
  </si>
  <si>
    <t>Bapu</t>
  </si>
  <si>
    <t>bmothe@infosoftsystems.com</t>
  </si>
  <si>
    <t>2323 Grand Blvd</t>
  </si>
  <si>
    <t>I-200-20268-844340</t>
  </si>
  <si>
    <t>I-200-20269-845914</t>
  </si>
  <si>
    <t>Novomatic Americas Sales LLC</t>
  </si>
  <si>
    <t>1050 E. Business Center Drive</t>
  </si>
  <si>
    <t>Meitzler</t>
  </si>
  <si>
    <t>President/Chief Executive Officer</t>
  </si>
  <si>
    <t>rmeitzler@novomaticamericas.com</t>
  </si>
  <si>
    <t xml:space="preserve">Pivotal Software, Inc. </t>
  </si>
  <si>
    <t xml:space="preserve">875 Howard Street 5th Fl. </t>
  </si>
  <si>
    <t>SAVI TECHNOLOGIES, INC.</t>
  </si>
  <si>
    <t xml:space="preserve">JAGADEESH </t>
  </si>
  <si>
    <t xml:space="preserve">1325 SATELLITE BLVD, BUILDING 200 </t>
  </si>
  <si>
    <t>APT 108</t>
  </si>
  <si>
    <t>mwalker@bakerdonelson.com</t>
  </si>
  <si>
    <t>ALSO KNOWN AS 1601 WILLOW ROAD</t>
  </si>
  <si>
    <t>I-200-20268-843013</t>
  </si>
  <si>
    <t>4429 Casa Grande Lane</t>
  </si>
  <si>
    <t>I-200-20270-846840</t>
  </si>
  <si>
    <t xml:space="preserve">2323 Victory Ave </t>
  </si>
  <si>
    <t>I-200-20269-846414</t>
  </si>
  <si>
    <t>Frontier Management LLC</t>
  </si>
  <si>
    <t>3975 Fair Ridge Drive</t>
  </si>
  <si>
    <t>Mika</t>
  </si>
  <si>
    <t xml:space="preserve">Marketing Director </t>
  </si>
  <si>
    <t>patrick@mezeh.net</t>
  </si>
  <si>
    <t>Suite N310</t>
  </si>
  <si>
    <t>I-200-20269-845577</t>
  </si>
  <si>
    <t>100 Penn Square East</t>
  </si>
  <si>
    <t>I-200-20268-843326</t>
  </si>
  <si>
    <t>I-200-20268-844549</t>
  </si>
  <si>
    <t>I-200-20268-844620</t>
  </si>
  <si>
    <t>1030, Delta Boulevard</t>
  </si>
  <si>
    <t>I-200-20268-844658</t>
  </si>
  <si>
    <t>Wilmer Technologies Inc</t>
  </si>
  <si>
    <t>14113 Robert Paris CT</t>
  </si>
  <si>
    <t>L N</t>
  </si>
  <si>
    <t>Rama Krishna</t>
  </si>
  <si>
    <t>usops@wilmertech.com</t>
  </si>
  <si>
    <t>14113, ROBERT PARIS CT</t>
  </si>
  <si>
    <t>Ste #108</t>
  </si>
  <si>
    <t>CHANTILLY,</t>
  </si>
  <si>
    <t>I-200-20269-845528</t>
  </si>
  <si>
    <t xml:space="preserve">7700 West Parmer Ln </t>
  </si>
  <si>
    <t>I-200-20268-843878</t>
  </si>
  <si>
    <t>556 Morris Avenue</t>
  </si>
  <si>
    <t>I-200-20268-843143</t>
  </si>
  <si>
    <t>I-200-20269-846722</t>
  </si>
  <si>
    <t xml:space="preserve"> Fiserv, Inc., 255 Fiserv Drive</t>
  </si>
  <si>
    <t>VIRTUSA CONSULTING SERVICES PVT., LTD.</t>
  </si>
  <si>
    <t xml:space="preserve">20 CORPORATE PLACE SOUTH </t>
  </si>
  <si>
    <t>SR. VICE PRESIDENT - HUMAN RESOURCES</t>
  </si>
  <si>
    <t>5850 Waterloo Road</t>
  </si>
  <si>
    <t>I-200-20268-842998</t>
  </si>
  <si>
    <t>PITT</t>
  </si>
  <si>
    <t>I-200-20268-844406</t>
  </si>
  <si>
    <t>620 8th Avenue</t>
  </si>
  <si>
    <t>Jackson National Life Insurance Company</t>
  </si>
  <si>
    <t>1 Corporate Way</t>
  </si>
  <si>
    <t>jodi.cook@jackson.com</t>
  </si>
  <si>
    <t>300 Innovation Drive</t>
  </si>
  <si>
    <t>I-200-20269-845638</t>
  </si>
  <si>
    <t>I-200-20269-845367</t>
  </si>
  <si>
    <t>2825 Lone Oak Parkway</t>
  </si>
  <si>
    <t>I-200-20269-845790</t>
  </si>
  <si>
    <t>Goodgrain Inc.</t>
  </si>
  <si>
    <t>218 West Cummings Park</t>
  </si>
  <si>
    <t>Mooradian</t>
  </si>
  <si>
    <t>Head of Marketing</t>
  </si>
  <si>
    <t>ali@wildgrain.com</t>
  </si>
  <si>
    <t>I-200-20269-845132</t>
  </si>
  <si>
    <t>I-200-20268-844862</t>
  </si>
  <si>
    <t>13533 NE 129th St.</t>
  </si>
  <si>
    <t>I-200-20269-846529</t>
  </si>
  <si>
    <t>2100 Franklin St</t>
  </si>
  <si>
    <t>I-200-20269-845750</t>
  </si>
  <si>
    <t>Silver Peak Systems, Inc.</t>
  </si>
  <si>
    <t>2860 De La Cruz Blvd</t>
  </si>
  <si>
    <t>SEWANI</t>
  </si>
  <si>
    <t>MEHTAB</t>
  </si>
  <si>
    <t>2860 DE LA CRUZ BLVD</t>
  </si>
  <si>
    <t>MSEWANI@SILVER-PEAK.COM</t>
  </si>
  <si>
    <t>I-200-20268-843664</t>
  </si>
  <si>
    <t>27-19 44TH DRIVE, APT 20B</t>
  </si>
  <si>
    <t>I-200-20268-844453</t>
  </si>
  <si>
    <t>Shavak</t>
  </si>
  <si>
    <t>I-200-20268-843495</t>
  </si>
  <si>
    <t>SAS INSTITUTE, INC.</t>
  </si>
  <si>
    <t>100  SAS CAMPUS DRIVE</t>
  </si>
  <si>
    <t>GLENN</t>
  </si>
  <si>
    <t>CHANDA</t>
  </si>
  <si>
    <t>HUMAN RESOURCES IMMIGRATION SPECIALIST</t>
  </si>
  <si>
    <t>100 SAS CAMPUS DRIVE</t>
  </si>
  <si>
    <t>I-200-20269-846656</t>
  </si>
  <si>
    <t>Deer Park</t>
  </si>
  <si>
    <t>I-200-20269-844997</t>
  </si>
  <si>
    <t>CodeMetro, Inc.</t>
  </si>
  <si>
    <t>1333 South Mayflower Avenue</t>
  </si>
  <si>
    <t xml:space="preserve">VP, People Operations </t>
  </si>
  <si>
    <t>julie.gettys@therapybrands.com</t>
  </si>
  <si>
    <t>mkaganovskaya@seyfarth.com</t>
  </si>
  <si>
    <t>I-200-20269-846060</t>
  </si>
  <si>
    <t>I-200-20269-846621</t>
  </si>
  <si>
    <t>I-200-20268-843164</t>
  </si>
  <si>
    <t>I-200-20269-845284</t>
  </si>
  <si>
    <t>400 N. Elm St.</t>
  </si>
  <si>
    <t>I-200-20268-844527</t>
  </si>
  <si>
    <t>2825 Airview Boulevard</t>
  </si>
  <si>
    <t>Sardoni</t>
  </si>
  <si>
    <t>325 Corporate Drive</t>
  </si>
  <si>
    <t>taylor.sardoni@stryker.com</t>
  </si>
  <si>
    <t xml:space="preserve">2nd Floor </t>
  </si>
  <si>
    <t>Manager of Human Resources, PIPS</t>
  </si>
  <si>
    <t>326 Cambridge Street</t>
  </si>
  <si>
    <t>Secretary</t>
  </si>
  <si>
    <t>I-200-20268-843238</t>
  </si>
  <si>
    <t>Senior Specialist, Global Immigration</t>
  </si>
  <si>
    <t>Jacqui.O'Connor@Bain.com</t>
  </si>
  <si>
    <t>I-200-20269-846729</t>
  </si>
  <si>
    <t>Tetrate.io, Inc.</t>
  </si>
  <si>
    <t>691 S. Milpitas Blvd</t>
  </si>
  <si>
    <t>Ellice</t>
  </si>
  <si>
    <t>ellice@tetrate.io</t>
  </si>
  <si>
    <t>691 S Milpitas Blvd.</t>
  </si>
  <si>
    <t>Ste. 217</t>
  </si>
  <si>
    <t xml:space="preserve">Rolling Meadows </t>
  </si>
  <si>
    <t>I-200-20268-844775</t>
  </si>
  <si>
    <t>United Pharma Technologies Inc</t>
  </si>
  <si>
    <t>908 Oak Tree Road, Suite A</t>
  </si>
  <si>
    <t>immigration@unitedpharmatechnologies.com</t>
  </si>
  <si>
    <t>Nomura Securities International, Inc.</t>
  </si>
  <si>
    <t>I-200-20269-845435</t>
  </si>
  <si>
    <t>Symbotic LLC</t>
  </si>
  <si>
    <t>200 Research Drive</t>
  </si>
  <si>
    <t>Fast Horse</t>
  </si>
  <si>
    <t>lfasthorse@symbotic.com</t>
  </si>
  <si>
    <t>Highgate Hotels LP</t>
  </si>
  <si>
    <t xml:space="preserve"> 545 E. John Carpenter Frwy</t>
  </si>
  <si>
    <t>Mabrey</t>
  </si>
  <si>
    <t>Vice President of Talent Management</t>
  </si>
  <si>
    <t>CMABREY@HIGHGATE.COM</t>
  </si>
  <si>
    <t>I-200-20268-843295</t>
  </si>
  <si>
    <t>I-200-20269-846278</t>
  </si>
  <si>
    <t>101 Second Street, Suite 800</t>
  </si>
  <si>
    <t>I-200-20268-843831</t>
  </si>
  <si>
    <t>CORE ITS LIMITED LIABILITY COMPANY</t>
  </si>
  <si>
    <t xml:space="preserve">VADLAMUDI </t>
  </si>
  <si>
    <t>AJAY.V@COREITSLLC.COM</t>
  </si>
  <si>
    <t>260 W. BALTIMORE PIKE</t>
  </si>
  <si>
    <t>I-200-20268-844016</t>
  </si>
  <si>
    <t>Suite #302</t>
  </si>
  <si>
    <t>I-200-20268-844048</t>
  </si>
  <si>
    <t>11213 Brista Way</t>
  </si>
  <si>
    <t>I-200-20269-845958</t>
  </si>
  <si>
    <t>ClinChoice Inc.</t>
  </si>
  <si>
    <t>1300 Virginia Drive</t>
  </si>
  <si>
    <t>Ke</t>
  </si>
  <si>
    <t>Xin</t>
  </si>
  <si>
    <t>xin.ke@clinchoice.com</t>
  </si>
  <si>
    <t>rpatel@rakhilaw.com</t>
  </si>
  <si>
    <t>I-200-20269-845352</t>
  </si>
  <si>
    <t>317 ANNANDALE DR</t>
  </si>
  <si>
    <t>I-200-20268-843172</t>
  </si>
  <si>
    <t>13003 PLANTATION PARK CIRCLE APT 1328</t>
  </si>
  <si>
    <t>I-200-20269-846590</t>
  </si>
  <si>
    <t>PROLIM Global Corporation</t>
  </si>
  <si>
    <t>30445 Northwestern HWY</t>
  </si>
  <si>
    <t>1531 Utah Ave. South</t>
  </si>
  <si>
    <t>13810 SE Eastgate Way</t>
  </si>
  <si>
    <t>I-200-20268-843725</t>
  </si>
  <si>
    <t>421 N 41st Street</t>
  </si>
  <si>
    <t>I-200-20268-843764</t>
  </si>
  <si>
    <t>Eaton Rapids Medical Center</t>
  </si>
  <si>
    <t>1500 South Main Street</t>
  </si>
  <si>
    <t>Eaton Rapids</t>
  </si>
  <si>
    <t>cparker@ermchealth.org</t>
  </si>
  <si>
    <t>I-200-20268-843930</t>
  </si>
  <si>
    <t>288 ECKFORD STREET</t>
  </si>
  <si>
    <t>I-200-20268-843635</t>
  </si>
  <si>
    <t xml:space="preserve">1 New York Plaza </t>
  </si>
  <si>
    <t>401 N. Tryon Street</t>
  </si>
  <si>
    <t>I-200-20268-844128</t>
  </si>
  <si>
    <t>I-200-20269-846596</t>
  </si>
  <si>
    <t>11450 GROOMS ROAD</t>
  </si>
  <si>
    <t>BLUE ASH</t>
  </si>
  <si>
    <t>I-200-20268-843118</t>
  </si>
  <si>
    <t>401 Broadway</t>
  </si>
  <si>
    <t>TINA</t>
  </si>
  <si>
    <t>101 Federal Street</t>
  </si>
  <si>
    <t>Mark.O'Brien@ingenico.com</t>
  </si>
  <si>
    <t>I-200-20269-845233</t>
  </si>
  <si>
    <t>1301 Fannin St Suite 1900</t>
  </si>
  <si>
    <t>I-200-20268-844157</t>
  </si>
  <si>
    <t>I-200-20269-844946</t>
  </si>
  <si>
    <t>Ste 1</t>
  </si>
  <si>
    <t>1, Griffin Road North</t>
  </si>
  <si>
    <t>234 9th Ave N</t>
  </si>
  <si>
    <t>I-200-20269-844957</t>
  </si>
  <si>
    <t>I-200-20269-845737</t>
  </si>
  <si>
    <t>9845 WILLOWS ROAD NE</t>
  </si>
  <si>
    <t>I-200-20269-845043</t>
  </si>
  <si>
    <t>175 PARK AVE</t>
  </si>
  <si>
    <t>I-200-20268-843138</t>
  </si>
  <si>
    <t>6, Sylvan Way</t>
  </si>
  <si>
    <t>I-200-20269-846767</t>
  </si>
  <si>
    <t>26462 Corporate Avenue</t>
  </si>
  <si>
    <t>I-200-20269-846746</t>
  </si>
  <si>
    <t>UCSF MEDICAL CENTER</t>
  </si>
  <si>
    <t>3360 GEARY BLVD.</t>
  </si>
  <si>
    <t>Diehl</t>
  </si>
  <si>
    <t>HR Employment Supervisor</t>
  </si>
  <si>
    <t>sylvia.diehl@ucsf.edu</t>
  </si>
  <si>
    <t>1825 4th Street</t>
  </si>
  <si>
    <t>I-200-20268-844287</t>
  </si>
  <si>
    <t>HORIZON SOFTECH INC.</t>
  </si>
  <si>
    <t>637 E BIG BEAVER ROAD</t>
  </si>
  <si>
    <t>Edara</t>
  </si>
  <si>
    <t>MOHAN@HORIZONSOFTECH.NET</t>
  </si>
  <si>
    <t>I-200-20268-843795</t>
  </si>
  <si>
    <t>I-200-20269-845079</t>
  </si>
  <si>
    <t>I-200-20269-845269</t>
  </si>
  <si>
    <t>10 EXCHANGE PL</t>
  </si>
  <si>
    <t>525 North Tryon Street</t>
  </si>
  <si>
    <t>I-200-20268-843978</t>
  </si>
  <si>
    <t>Trainor</t>
  </si>
  <si>
    <t>david.trainor.2@bc.edu</t>
  </si>
  <si>
    <t>197 Foster Street</t>
  </si>
  <si>
    <t>hrmcgregor@mintz.com</t>
  </si>
  <si>
    <t>Suite 2210</t>
  </si>
  <si>
    <t>I-200-20268-844004</t>
  </si>
  <si>
    <t>STATE OF WASHINGTON DEPT OF SOCIAL AND HEALTH SERVICES</t>
  </si>
  <si>
    <t>HEALTH SERVICES BUILDING (OB2)</t>
  </si>
  <si>
    <t>DETLEFSEN</t>
  </si>
  <si>
    <t>HUMAN RESOURCE BUSINESS PARTNER</t>
  </si>
  <si>
    <t>ANDREA.DETLEFSEN@DSHS.WA.GOV</t>
  </si>
  <si>
    <t>850 MAPLE STREET</t>
  </si>
  <si>
    <t>MEDICAL LAKE</t>
  </si>
  <si>
    <t>SUNRAY ENTERPRISE, INC.</t>
  </si>
  <si>
    <t>3621 VININGS SLOPE SE</t>
  </si>
  <si>
    <t>I-200-20268-844439</t>
  </si>
  <si>
    <t>I-200-20270-846817</t>
  </si>
  <si>
    <t>Mesa Associates, Inc.</t>
  </si>
  <si>
    <t>480 Production Avenue</t>
  </si>
  <si>
    <t>Savant</t>
  </si>
  <si>
    <t>Destinie</t>
  </si>
  <si>
    <t>dsavant@mesainc.com</t>
  </si>
  <si>
    <t>I-200-20268-843848</t>
  </si>
  <si>
    <t>3 Tower Bridge, 2 Ash Street</t>
  </si>
  <si>
    <t>I-200-20269-846544</t>
  </si>
  <si>
    <t>IBM CORPORATION</t>
  </si>
  <si>
    <t>Connie.Evans1@ibm.com</t>
  </si>
  <si>
    <t>555 Bailey Avenue</t>
  </si>
  <si>
    <t>fann@fragomen.com</t>
  </si>
  <si>
    <t>8777 Platt Road</t>
  </si>
  <si>
    <t>XCEED TECHNOLOGIES INC.</t>
  </si>
  <si>
    <t>31 BRIDGE STREET,</t>
  </si>
  <si>
    <t>SIDDARTHA</t>
  </si>
  <si>
    <t>HR@XCEEDTEK.COM</t>
  </si>
  <si>
    <t>jkolios@rudnickgroup.com</t>
  </si>
  <si>
    <t>MCKINSOL CONSULTING INC.</t>
  </si>
  <si>
    <t xml:space="preserve">6 MOYSE PLACE </t>
  </si>
  <si>
    <t>NAIK</t>
  </si>
  <si>
    <t>MANALI</t>
  </si>
  <si>
    <t>VP_HR, OPERATIONS</t>
  </si>
  <si>
    <t>MNAIK@MCKINSOL.COM</t>
  </si>
  <si>
    <t>I-200-20268-843005</t>
  </si>
  <si>
    <t xml:space="preserve">VeriSilicon, Inc. </t>
  </si>
  <si>
    <t>2150 Gold Street, Suite 200</t>
  </si>
  <si>
    <t>renee.hu@verisilicon.com</t>
  </si>
  <si>
    <t>7717 Southwest Parkway, Suite 310</t>
  </si>
  <si>
    <t>BASTROP</t>
  </si>
  <si>
    <t>I-200-20268-844211</t>
  </si>
  <si>
    <t>CONVENE INC</t>
  </si>
  <si>
    <t>5305 TECHNOLOGY DRIVE</t>
  </si>
  <si>
    <t>HR@CONVENE-TECH.COM</t>
  </si>
  <si>
    <t>Incept Data Solutions Inc</t>
  </si>
  <si>
    <t>22365 BRODERICK DR, SUITE 230</t>
  </si>
  <si>
    <t>SOURABH</t>
  </si>
  <si>
    <t>SOURABH.ARORA@INCEPTDS.COM</t>
  </si>
  <si>
    <t>I-200-20268-844200</t>
  </si>
  <si>
    <t>4242 TAMU</t>
  </si>
  <si>
    <t>1000 SUMMIT DRIVE</t>
  </si>
  <si>
    <t>3855 Health Sciences Drive</t>
  </si>
  <si>
    <t>I-200-20268-844170</t>
  </si>
  <si>
    <t xml:space="preserve">WEX Inc. </t>
  </si>
  <si>
    <t xml:space="preserve">97 Darling Avenue </t>
  </si>
  <si>
    <t>South Portland</t>
  </si>
  <si>
    <t>Unni</t>
  </si>
  <si>
    <t>Talent Acquisition and Immigration Specialist</t>
  </si>
  <si>
    <t>1 Hancock Street</t>
  </si>
  <si>
    <t>paige.unni@wexinc.com</t>
  </si>
  <si>
    <t>One Hancock street</t>
  </si>
  <si>
    <t>PORTLAND CITY</t>
  </si>
  <si>
    <t>I-200-20270-846798</t>
  </si>
  <si>
    <t>I-200-20269-845749</t>
  </si>
  <si>
    <t>I3INFOTEK, INC.</t>
  </si>
  <si>
    <t>5022 GATE PARKWAY BUILDING</t>
  </si>
  <si>
    <t>I-200-20269-846696</t>
  </si>
  <si>
    <t>Feature Animation Building</t>
  </si>
  <si>
    <t>200 Showbiz Blvd</t>
  </si>
  <si>
    <t>Bay Lake</t>
  </si>
  <si>
    <t>I-200-20269-845314</t>
  </si>
  <si>
    <t>2636 Elm Hill Pike, Suite 510</t>
  </si>
  <si>
    <t>I-200-20269-846315</t>
  </si>
  <si>
    <t>hr@globalpointinc.com</t>
  </si>
  <si>
    <t>222 South Main Street</t>
  </si>
  <si>
    <t>I-200-20269-844965</t>
  </si>
  <si>
    <t>50 Madison Ave</t>
  </si>
  <si>
    <t>ZIRLEN TECHNOLOGIES, INC.</t>
  </si>
  <si>
    <t xml:space="preserve">10998  S WILCREST DRIVE </t>
  </si>
  <si>
    <t>KANCHARLA</t>
  </si>
  <si>
    <t>CHANDRASEKAR</t>
  </si>
  <si>
    <t>10998 S WILCREST DRIVE</t>
  </si>
  <si>
    <t>HR@ZIRLEN.COM</t>
  </si>
  <si>
    <t>I-200-20268-843509</t>
  </si>
  <si>
    <t>7930 Jones Branch Dr</t>
  </si>
  <si>
    <t>I-200-20268-843896</t>
  </si>
  <si>
    <t>929 108th Ave., NE</t>
  </si>
  <si>
    <t>Ste. 1800</t>
  </si>
  <si>
    <t>I-200-20269-846338</t>
  </si>
  <si>
    <t>7104 Schilling Ave</t>
  </si>
  <si>
    <t>Teva Pharmaceuticals USA, Inc.</t>
  </si>
  <si>
    <t>400 Interpace Parkway #3</t>
  </si>
  <si>
    <t>Marinakos</t>
  </si>
  <si>
    <t>Director, Talent Acquisition (Americas)</t>
  </si>
  <si>
    <t>Lynda.Marinakos@tevapharm.com</t>
  </si>
  <si>
    <t>Damon</t>
  </si>
  <si>
    <t>I-200-20268-843270</t>
  </si>
  <si>
    <t>4705 Duke Drive</t>
  </si>
  <si>
    <t>14111 Scottslawn Rd.</t>
  </si>
  <si>
    <t>I-200-20268-843327</t>
  </si>
  <si>
    <t>I-200-20270-846836</t>
  </si>
  <si>
    <t>17440 DALLAS PKWY</t>
  </si>
  <si>
    <t>SUITE# 108</t>
  </si>
  <si>
    <t>580 Kingsley Park Drive</t>
  </si>
  <si>
    <t>I-200-20268-843262</t>
  </si>
  <si>
    <t>Softions Consulting Inc.</t>
  </si>
  <si>
    <t>Alvi</t>
  </si>
  <si>
    <t>Habib</t>
  </si>
  <si>
    <t>HALVI@SOFTIONS.COM</t>
  </si>
  <si>
    <t>I-200-20268-843804</t>
  </si>
  <si>
    <t>CANYON</t>
  </si>
  <si>
    <t>I-200-20268-844348</t>
  </si>
  <si>
    <t>I-200-20268-843249</t>
  </si>
  <si>
    <t>4135 N Front St</t>
  </si>
  <si>
    <t>ICONIQ Capital, LLC</t>
  </si>
  <si>
    <t>394 Pacific Avenue</t>
  </si>
  <si>
    <t>Pezeshkian</t>
  </si>
  <si>
    <t>Roudabeh</t>
  </si>
  <si>
    <t>Head of Human Capital</t>
  </si>
  <si>
    <t>rpezeshkian@iconiqcapital.com</t>
  </si>
  <si>
    <t>I-200-20268-844234</t>
  </si>
  <si>
    <t>5775 Peachtree Dunwoody Rd.</t>
  </si>
  <si>
    <t>Suite C-500</t>
  </si>
  <si>
    <t>I-200-20268-843871</t>
  </si>
  <si>
    <t>1075 Jordan Creek Pkwy</t>
  </si>
  <si>
    <t>Ste. 295</t>
  </si>
  <si>
    <t>I-200-20268-843101</t>
  </si>
  <si>
    <t>2300 Lakeview Parkway</t>
  </si>
  <si>
    <t>Rakness</t>
  </si>
  <si>
    <t>christy.rakness@emory.edu</t>
  </si>
  <si>
    <t>Northwest Community Health Care Center</t>
  </si>
  <si>
    <t>155 LAWN AVENUE</t>
  </si>
  <si>
    <t xml:space="preserve">HAEFNER </t>
  </si>
  <si>
    <t xml:space="preserve">JOANNE </t>
  </si>
  <si>
    <t xml:space="preserve">BUFFALO </t>
  </si>
  <si>
    <t>J.HAEFNER@NWBCHCC.ORG</t>
  </si>
  <si>
    <t>155 Lawn Avenue</t>
  </si>
  <si>
    <t>CEO/President</t>
  </si>
  <si>
    <t>I-200-20268-843976</t>
  </si>
  <si>
    <t>I-200-20268-842988</t>
  </si>
  <si>
    <t>I-200-20269-845169</t>
  </si>
  <si>
    <t>9821 valley ranch pkwy, Apartment 2158</t>
  </si>
  <si>
    <t>I-200-20269-846070</t>
  </si>
  <si>
    <t>200 EAST RANDOLPH STREET</t>
  </si>
  <si>
    <t>13625 TECHNOLOGY DRIVE</t>
  </si>
  <si>
    <t>I-200-20268-844579</t>
  </si>
  <si>
    <t>12825 Worldgate Dr.</t>
  </si>
  <si>
    <t>Cranston</t>
  </si>
  <si>
    <t>I-200-20270-846866</t>
  </si>
  <si>
    <t>Virtual Integrated Analytical Solutions</t>
  </si>
  <si>
    <t>1400 Broadfield Blvd.</t>
  </si>
  <si>
    <t>Ozturk</t>
  </si>
  <si>
    <t>Burak</t>
  </si>
  <si>
    <t xml:space="preserve">CEO and President </t>
  </si>
  <si>
    <t>1400 Broadfield Blvd</t>
  </si>
  <si>
    <t>bolivetti@viascorp.com</t>
  </si>
  <si>
    <t>Suite #325</t>
  </si>
  <si>
    <t>I-200-20269-846407</t>
  </si>
  <si>
    <t>I-200-20269-846754</t>
  </si>
  <si>
    <t>1 Technology Dr</t>
  </si>
  <si>
    <t>I-200-20268-843865</t>
  </si>
  <si>
    <t>2135 S. Tonne Drive</t>
  </si>
  <si>
    <t>I-200-20269-845423</t>
  </si>
  <si>
    <t>Bajda</t>
  </si>
  <si>
    <t>Human Resources Operations Analyst</t>
  </si>
  <si>
    <t>rose.lawler@worldquant.com</t>
  </si>
  <si>
    <t>1 ADP BOULEVARD</t>
  </si>
  <si>
    <t>I-200-20269-845048</t>
  </si>
  <si>
    <t>I-200-20268-844066</t>
  </si>
  <si>
    <t xml:space="preserve">690 E. Middlefield Road </t>
  </si>
  <si>
    <t>Global Technology Survey - Software Engineering (Sys) Mgmt 3</t>
  </si>
  <si>
    <t>Suite 1325</t>
  </si>
  <si>
    <t>I-200-20268-843367</t>
  </si>
  <si>
    <t>6591 Dumbarton Circle</t>
  </si>
  <si>
    <t>I-200-20269-846490</t>
  </si>
  <si>
    <t>WILLKIE FARR &amp; GALLAGHER LLP</t>
  </si>
  <si>
    <t>787 SEVENTH AVENUE</t>
  </si>
  <si>
    <t>LINGER</t>
  </si>
  <si>
    <t>ASSOCIATE DIRECTOR, TALENT MANAGEMENT &amp; DEVELOPMENT</t>
  </si>
  <si>
    <t>tlinger@willkie.com</t>
  </si>
  <si>
    <t>I-200-20269-846552</t>
  </si>
  <si>
    <t xml:space="preserve">301 S College St </t>
  </si>
  <si>
    <t>UNIT 2800</t>
  </si>
  <si>
    <t>TRADEWEB MARKETS LLC</t>
  </si>
  <si>
    <t>HARBORSIDE 5, 185 HUDSON STREET</t>
  </si>
  <si>
    <t>VICKIE</t>
  </si>
  <si>
    <t>VP, HR</t>
  </si>
  <si>
    <t>VICKIE.GONZALEZ@TRADEWEB.COM</t>
  </si>
  <si>
    <t>SUITE 2200</t>
  </si>
  <si>
    <t>I-200-20268-844085</t>
  </si>
  <si>
    <t>I-200-20268-844806</t>
  </si>
  <si>
    <t>2249 Willard Loop Dr S355</t>
  </si>
  <si>
    <t>3415 Colorado Ave.</t>
  </si>
  <si>
    <t>BioFrontiers Institute (4A)</t>
  </si>
  <si>
    <t>I-200-20269-845717</t>
  </si>
  <si>
    <t>Stout Risius Ross, LLC</t>
  </si>
  <si>
    <t>150 West Second Street</t>
  </si>
  <si>
    <t>Kociencki</t>
  </si>
  <si>
    <t>ckociencki@stout.com</t>
  </si>
  <si>
    <t>2277 Peachtree Rd NE</t>
  </si>
  <si>
    <t>HR OPERATIONS DIRECTOR TAX REPORTING &amp; IMMIGRATION</t>
  </si>
  <si>
    <t>I-200-20270-846776</t>
  </si>
  <si>
    <t>I-200-20269-845536</t>
  </si>
  <si>
    <t>I-200-20269-845399</t>
  </si>
  <si>
    <t>I-200-20269-846649</t>
  </si>
  <si>
    <t>Rapid Response Logistics LLC</t>
  </si>
  <si>
    <t>633 3rd Avenue</t>
  </si>
  <si>
    <t>Donal</t>
  </si>
  <si>
    <t>info@simplifystorage.com</t>
  </si>
  <si>
    <t xml:space="preserve">17th Floor </t>
  </si>
  <si>
    <t>I-200-20268-843478</t>
  </si>
  <si>
    <t>Inc.</t>
  </si>
  <si>
    <t>Compunnel Software</t>
  </si>
  <si>
    <t>Group</t>
  </si>
  <si>
    <t>IMMIGRATION@COMOUNNEL.COM</t>
  </si>
  <si>
    <t>FIFTH THIRD CENTER</t>
  </si>
  <si>
    <t>Seattle Genetics, Inc.</t>
  </si>
  <si>
    <t>21823 30th Drive SE</t>
  </si>
  <si>
    <t>SGGlobalMobility@seagen.com</t>
  </si>
  <si>
    <t>I-200-20269-846062</t>
  </si>
  <si>
    <t>393 13th street</t>
  </si>
  <si>
    <t>Dechen Consulting Group Inc</t>
  </si>
  <si>
    <t>37000 Grand River Avenue</t>
  </si>
  <si>
    <t>Acluche</t>
  </si>
  <si>
    <t>annea@dcg-us.com</t>
  </si>
  <si>
    <t>I-200-20269-845262</t>
  </si>
  <si>
    <t>1 Citizens Dr</t>
  </si>
  <si>
    <t>I-200-20269-846602</t>
  </si>
  <si>
    <t>EBSCO Publishing</t>
  </si>
  <si>
    <t>Ipswich</t>
  </si>
  <si>
    <t>Kochick</t>
  </si>
  <si>
    <t>HR Project Manager</t>
  </si>
  <si>
    <t>kkochick@ebsco.com</t>
  </si>
  <si>
    <t>301 S College Street</t>
  </si>
  <si>
    <t>I-200-20268-843215</t>
  </si>
  <si>
    <t>431 Broadway</t>
  </si>
  <si>
    <t>CSAA Insurance Services, Inc.</t>
  </si>
  <si>
    <t>3055 Oak Road</t>
  </si>
  <si>
    <t>Hanavan</t>
  </si>
  <si>
    <t>Sr. HR Compliance Analyst</t>
  </si>
  <si>
    <t>PATRICK.HANAVAN1@CSAA.COM</t>
  </si>
  <si>
    <t>I-200-20268-844021</t>
  </si>
  <si>
    <t>6767 LONGSHORE DRIVE</t>
  </si>
  <si>
    <t>6900 Veterans Boulevard</t>
  </si>
  <si>
    <t>I-200-20268-843148</t>
  </si>
  <si>
    <t>3495, Delaney Drive, Apartment 314</t>
  </si>
  <si>
    <t>I-200-20268-843355</t>
  </si>
  <si>
    <t>600 W California Avenue</t>
  </si>
  <si>
    <t>I-200-20268-843113</t>
  </si>
  <si>
    <t>209 Tavern Blvd</t>
  </si>
  <si>
    <t>Boiling Springs</t>
  </si>
  <si>
    <t>SSA Tech, Inc.</t>
  </si>
  <si>
    <t>I-200-20268-843956</t>
  </si>
  <si>
    <t xml:space="preserve">Pitt County Memorial Hospital Inc </t>
  </si>
  <si>
    <t>2100 Stantonsburg Road</t>
  </si>
  <si>
    <t>Interim Manager - Talent Acquisition</t>
  </si>
  <si>
    <t>2000 Venture Tower Drive</t>
  </si>
  <si>
    <t>timothy.dixon@vidanthealth.com</t>
  </si>
  <si>
    <t>2190 Beasley Road</t>
  </si>
  <si>
    <t>I-200-20269-845408</t>
  </si>
  <si>
    <t>14560 NORTHEAST 87TH STREET</t>
  </si>
  <si>
    <t>I-200-20269-846506</t>
  </si>
  <si>
    <t>I-200-20269-846577</t>
  </si>
  <si>
    <t>I-200-20268-843347</t>
  </si>
  <si>
    <t>Metis Software Solutions, LLC</t>
  </si>
  <si>
    <t>20 Commerce Drive</t>
  </si>
  <si>
    <t>Cranford</t>
  </si>
  <si>
    <t>Kinnari</t>
  </si>
  <si>
    <t>Craford</t>
  </si>
  <si>
    <t>Kinnari@metissolution.com</t>
  </si>
  <si>
    <t>I-200-20268-844039</t>
  </si>
  <si>
    <t>300 Rouse Boulevard</t>
  </si>
  <si>
    <t>Navy Yard Corporate Center</t>
  </si>
  <si>
    <t>22710 HAGGERTY ROAD</t>
  </si>
  <si>
    <t>I-200-20270-846843</t>
  </si>
  <si>
    <t>I-200-20269-845354</t>
  </si>
  <si>
    <t>LEVEMENTUM LLC</t>
  </si>
  <si>
    <t>55 North Arizona Place</t>
  </si>
  <si>
    <t>tlane@levdigital.com</t>
  </si>
  <si>
    <t>VP of HR</t>
  </si>
  <si>
    <t>I-200-20268-844730</t>
  </si>
  <si>
    <t>100 N. 18th Street</t>
  </si>
  <si>
    <t>I-200-20269-846276</t>
  </si>
  <si>
    <t>165 Dascomb Road</t>
  </si>
  <si>
    <t>I-200-20269-845211</t>
  </si>
  <si>
    <t>I-200-20269-845005</t>
  </si>
  <si>
    <t>MEARS GROUP, INC.</t>
  </si>
  <si>
    <t>5051 WESTHEIMER ROAD</t>
  </si>
  <si>
    <t>LAUREN.BROOKS@MEARS.NET</t>
  </si>
  <si>
    <t>I-200-20268-844679</t>
  </si>
  <si>
    <t>4535 Hawkhurst Dr</t>
  </si>
  <si>
    <t>I-200-20269-845692</t>
  </si>
  <si>
    <t>6201 Resident Circle</t>
  </si>
  <si>
    <t>SGIAN@FRAGOMEN.COM</t>
  </si>
  <si>
    <t>I-200-20269-844955</t>
  </si>
  <si>
    <t xml:space="preserve">51 Madison Avenue, </t>
  </si>
  <si>
    <t>I-200-20269-845655</t>
  </si>
  <si>
    <t>DIGISIGNALS INC</t>
  </si>
  <si>
    <t>15446 BEL-RED RD</t>
  </si>
  <si>
    <t>Ghatpande</t>
  </si>
  <si>
    <t>Prajakta</t>
  </si>
  <si>
    <t>Dattatraya</t>
  </si>
  <si>
    <t>immigration@digisignals.com</t>
  </si>
  <si>
    <t>Suite # 450</t>
  </si>
  <si>
    <t>RICEFW Technologies, Inc</t>
  </si>
  <si>
    <t>103, John F Kennedy Parkway</t>
  </si>
  <si>
    <t>Thoughtwave Software and Solutions, Inc.</t>
  </si>
  <si>
    <t>1444 N. Farnsworth Avenue</t>
  </si>
  <si>
    <t>Tangellamudi</t>
  </si>
  <si>
    <t>sowji@thoughtwavesoft.com</t>
  </si>
  <si>
    <t>I-200-20268-844462</t>
  </si>
  <si>
    <t>I-200-20268-843944</t>
  </si>
  <si>
    <t>I-200-20269-845460</t>
  </si>
  <si>
    <t>I-200-20269-846710</t>
  </si>
  <si>
    <t>I-200-20268-843322</t>
  </si>
  <si>
    <t>St. James Hospital</t>
  </si>
  <si>
    <t>7309/7329 Seneca Road North</t>
  </si>
  <si>
    <t>QAD Inc.</t>
  </si>
  <si>
    <t>100 Innovation Place</t>
  </si>
  <si>
    <t>Senior Manager, Total Rewards</t>
  </si>
  <si>
    <t>t5m@qad.com</t>
  </si>
  <si>
    <t>I-200-20268-844191</t>
  </si>
  <si>
    <t>AGAPTECH TECHNOLOGIES INC</t>
  </si>
  <si>
    <t>1231, GREENWAY DR,  suite 105</t>
  </si>
  <si>
    <t>1231, GREENWAY dr suite 105</t>
  </si>
  <si>
    <t>hr@agaptech.com</t>
  </si>
  <si>
    <t>I-200-20268-842987</t>
  </si>
  <si>
    <t>I-200-20268-844461</t>
  </si>
  <si>
    <t xml:space="preserve">1800 Owens Street, </t>
  </si>
  <si>
    <t>I-200-20269-844998</t>
  </si>
  <si>
    <t>American Water Works Services Company, Inc.</t>
  </si>
  <si>
    <t>1 Water St,</t>
  </si>
  <si>
    <t>Employment and Labor Counsel</t>
  </si>
  <si>
    <t>pamela.richardson@amwater.com</t>
  </si>
  <si>
    <t xml:space="preserve">8 Holden Way </t>
  </si>
  <si>
    <t xml:space="preserve">Robbinsville </t>
  </si>
  <si>
    <t>I-200-20269-845829</t>
  </si>
  <si>
    <t>I-200-20268-843110</t>
  </si>
  <si>
    <t>COOPERSBURG</t>
  </si>
  <si>
    <t>I-200-20269-846496</t>
  </si>
  <si>
    <t>Everyday Health Media LLC</t>
  </si>
  <si>
    <t>345 Hudson St</t>
  </si>
  <si>
    <t>I-200-20269-845675</t>
  </si>
  <si>
    <t>KANTHAMANi</t>
  </si>
  <si>
    <t>Atchut</t>
  </si>
  <si>
    <t>CEO/Architect</t>
  </si>
  <si>
    <t>atchut@softrams.com</t>
  </si>
  <si>
    <t>I-200-20268-844415</t>
  </si>
  <si>
    <t>425 Meshanticut Valley Parkway</t>
  </si>
  <si>
    <t>3815 S Capital of Texas Hwy</t>
  </si>
  <si>
    <t>I-200-20268-844748</t>
  </si>
  <si>
    <t>211, Quality Circle</t>
  </si>
  <si>
    <t>I-200-20269-845010</t>
  </si>
  <si>
    <t>Cloud EPA, LLC</t>
  </si>
  <si>
    <t>1800 Byberry road</t>
  </si>
  <si>
    <t>Huntingdon Valley</t>
  </si>
  <si>
    <t>Lokineni</t>
  </si>
  <si>
    <t xml:space="preserve">Haritha </t>
  </si>
  <si>
    <t>legal@cloudepa.com</t>
  </si>
  <si>
    <t>15040 Capital One Drive</t>
  </si>
  <si>
    <t>I-200-20269-845633</t>
  </si>
  <si>
    <t>USCISReceipts@nttdata.com</t>
  </si>
  <si>
    <t>Radford Global Technology Survey-US Prevailing Wage Report</t>
  </si>
  <si>
    <t>james.ashburn@ogletreedeakins.com</t>
  </si>
  <si>
    <t>I-200-20268-844791</t>
  </si>
  <si>
    <t>12345 Lamplight Village Ave, Apartment 216</t>
  </si>
  <si>
    <t>I-200-20268-843420</t>
  </si>
  <si>
    <t>I-200-20269-845277</t>
  </si>
  <si>
    <t>1770 92nd St</t>
  </si>
  <si>
    <t>Unit - 10103</t>
  </si>
  <si>
    <t>Shinn</t>
  </si>
  <si>
    <t>I-200-20268-844005</t>
  </si>
  <si>
    <t>CREEKSIDE COURT (A,B,C)</t>
  </si>
  <si>
    <t>I-200-20269-846530</t>
  </si>
  <si>
    <t>I-200-20269-845830</t>
  </si>
  <si>
    <t>Vector Flow, Inc.</t>
  </si>
  <si>
    <t>Ghai</t>
  </si>
  <si>
    <t>Vik</t>
  </si>
  <si>
    <t>Vice President &amp; CTO</t>
  </si>
  <si>
    <t>vghai@vectorflow.com</t>
  </si>
  <si>
    <t>923 Mcbride Loop</t>
  </si>
  <si>
    <t>I-200-20269-845347</t>
  </si>
  <si>
    <t>123 S Front St</t>
  </si>
  <si>
    <t>I-200-20269-845355</t>
  </si>
  <si>
    <t>I-200-20269-846047</t>
  </si>
  <si>
    <t>605 W. Maude Avenue</t>
  </si>
  <si>
    <t>The New York Times Company</t>
  </si>
  <si>
    <t>Synnott</t>
  </si>
  <si>
    <t>Legal Department</t>
  </si>
  <si>
    <t>elizabeth.synnott@nytimes.com</t>
  </si>
  <si>
    <t>I-200-20268-843192</t>
  </si>
  <si>
    <t>6634 MAPLEWOOD RD APT 102</t>
  </si>
  <si>
    <t>I-200-20269-845462</t>
  </si>
  <si>
    <t>14000 NW 37th Avenue</t>
  </si>
  <si>
    <t>Opa-Locka</t>
  </si>
  <si>
    <t>I-200-20269-846379</t>
  </si>
  <si>
    <t>500 N Field Dr</t>
  </si>
  <si>
    <t>ckennedy@driv.com</t>
  </si>
  <si>
    <t>One International Drive</t>
  </si>
  <si>
    <t>Pennsauken</t>
  </si>
  <si>
    <t>TEKREANT INC</t>
  </si>
  <si>
    <t>GOPALA KRISHNA CHOWDARY</t>
  </si>
  <si>
    <t>gopal@tekreant.com</t>
  </si>
  <si>
    <t>I-200-20268-843051</t>
  </si>
  <si>
    <t>MC: 36-03-22</t>
  </si>
  <si>
    <t>I-200-20268-844151</t>
  </si>
  <si>
    <t>TECHPILLARS, INC.</t>
  </si>
  <si>
    <t>6 Concourse Parkway</t>
  </si>
  <si>
    <t>CANDIANO</t>
  </si>
  <si>
    <t>6 CONCOURSE PARKWAY</t>
  </si>
  <si>
    <t>jennifer.c@techpillars.com</t>
  </si>
  <si>
    <t>I-200-20269-845375</t>
  </si>
  <si>
    <t>Arthur J. Gallagher Service Company, LLC</t>
  </si>
  <si>
    <t>2850 Golf Road</t>
  </si>
  <si>
    <t>Kerry</t>
  </si>
  <si>
    <t>I-200-20268-844359</t>
  </si>
  <si>
    <t xml:space="preserve">Aquinde </t>
  </si>
  <si>
    <t xml:space="preserve">North Reading </t>
  </si>
  <si>
    <t>27-43 Wormwood St</t>
  </si>
  <si>
    <t>I-200-20269-846411</t>
  </si>
  <si>
    <t>I-200-20268-844537</t>
  </si>
  <si>
    <t>I-200-20268-844486</t>
  </si>
  <si>
    <t>I-200-20268-844906</t>
  </si>
  <si>
    <t>Farrand</t>
  </si>
  <si>
    <t>Juliane</t>
  </si>
  <si>
    <t>Head of Finance and Human Resources</t>
  </si>
  <si>
    <t>juliane.farrand@jobyaviation.com</t>
  </si>
  <si>
    <t>980 Industrial Rd.</t>
  </si>
  <si>
    <t>I-200-20268-843936</t>
  </si>
  <si>
    <t>596 East Big Beaver Road</t>
  </si>
  <si>
    <t>I-200-20269-845531</t>
  </si>
  <si>
    <t>I-200-20268-843163</t>
  </si>
  <si>
    <t>3750 Atherton Rd</t>
  </si>
  <si>
    <t>I-200-20268-843126</t>
  </si>
  <si>
    <t>I-200-20269-845928</t>
  </si>
  <si>
    <t>I-200-20268-844187</t>
  </si>
  <si>
    <t>Vultus, Inc.</t>
  </si>
  <si>
    <t>VENKATARAMANAN</t>
  </si>
  <si>
    <t>Niranjana</t>
  </si>
  <si>
    <t>immigration@vultus.com</t>
  </si>
  <si>
    <t>300 E. RANDOLPH STREET</t>
  </si>
  <si>
    <t>I-200-20269-846230</t>
  </si>
  <si>
    <t>I-200-20269-845213</t>
  </si>
  <si>
    <t>3036 CHURCHILL LN APT 1</t>
  </si>
  <si>
    <t>I-200-20269-845980</t>
  </si>
  <si>
    <t>Human Longevity, Inc.</t>
  </si>
  <si>
    <t>4570 Executive Drive</t>
  </si>
  <si>
    <t>Temporal</t>
  </si>
  <si>
    <t>etemporal@humanlongevity.com</t>
  </si>
  <si>
    <t>I-200-20268-844270</t>
  </si>
  <si>
    <t>I-200-20269-845732</t>
  </si>
  <si>
    <t>1621 Eighteenth Street</t>
  </si>
  <si>
    <t>I-200-20268-843525</t>
  </si>
  <si>
    <t>NJOY LLC</t>
  </si>
  <si>
    <t>9977 North 90th Street</t>
  </si>
  <si>
    <t>Dutemple</t>
  </si>
  <si>
    <t>Eve</t>
  </si>
  <si>
    <t>eve@njoy.com</t>
  </si>
  <si>
    <t>501 Union Street</t>
  </si>
  <si>
    <t>Suite 700E</t>
  </si>
  <si>
    <t>I-200-20270-846833</t>
  </si>
  <si>
    <t xml:space="preserve">Christy </t>
  </si>
  <si>
    <t>BROWN BROTHERS HARRIMAN&amp; CO.</t>
  </si>
  <si>
    <t>JACOB.CHACKO@BBH.COM</t>
  </si>
  <si>
    <t>I-200-20270-846790</t>
  </si>
  <si>
    <t>I-200-20268-844228</t>
  </si>
  <si>
    <t>3100 Olympus Blvd,</t>
  </si>
  <si>
    <t>Fremont,</t>
  </si>
  <si>
    <t>I-200-20268-844445</t>
  </si>
  <si>
    <t>547 Northwest Hwy, Apt 3210</t>
  </si>
  <si>
    <t>I-200-20268-844595</t>
  </si>
  <si>
    <t xml:space="preserve">2509 April Liu Ln </t>
  </si>
  <si>
    <t>I-200-20268-844901</t>
  </si>
  <si>
    <t>300 Value Way</t>
  </si>
  <si>
    <t>I-200-20268-843358</t>
  </si>
  <si>
    <t>I-200-20270-846820</t>
  </si>
  <si>
    <t>8180 Greensboro Drive STE 1050</t>
  </si>
  <si>
    <t>mlal@mwe.com</t>
  </si>
  <si>
    <t>I-200-20268-844449</t>
  </si>
  <si>
    <t>3868 W Carson St Suite 300</t>
  </si>
  <si>
    <t>info@Numentica.com</t>
  </si>
  <si>
    <t>2524 La Mirada St</t>
  </si>
  <si>
    <t>I-200-20268-843933</t>
  </si>
  <si>
    <t>1525 W. Wt. Harris Blvd.</t>
  </si>
  <si>
    <t>I-200-20269-846661</t>
  </si>
  <si>
    <t>4328 Privacy Hedge ST</t>
  </si>
  <si>
    <t>Purpose Financial, Inc.</t>
  </si>
  <si>
    <t>135 North Church Street</t>
  </si>
  <si>
    <t>Lalia</t>
  </si>
  <si>
    <t>Sr. Immigration &amp; Employee Relations Manager</t>
  </si>
  <si>
    <t>I-200-20268-843271</t>
  </si>
  <si>
    <t>I-200-20269-846651</t>
  </si>
  <si>
    <t>Civil Service Employees Insurance Company</t>
  </si>
  <si>
    <t>2121 N California Blvd</t>
  </si>
  <si>
    <t>Gantt</t>
  </si>
  <si>
    <t>Talent Acquisition Lead &amp; HR</t>
  </si>
  <si>
    <t xml:space="preserve">2121 N. California Blvd., </t>
  </si>
  <si>
    <t>tgantt@cseinsurance.com</t>
  </si>
  <si>
    <t>2121 N. California Blvd, #900</t>
  </si>
  <si>
    <t>10 Estes Street</t>
  </si>
  <si>
    <t>I-200-20268-844893</t>
  </si>
  <si>
    <t>277 PARK AVENUE</t>
  </si>
  <si>
    <t>CB Neptune Holdings, LLC</t>
  </si>
  <si>
    <t>20 Westport Road</t>
  </si>
  <si>
    <t>Vogels</t>
  </si>
  <si>
    <t>Kerrie</t>
  </si>
  <si>
    <t>Director of Corporate Human Resources</t>
  </si>
  <si>
    <t>kvogels@newsamerica.com</t>
  </si>
  <si>
    <t>7200 SUTER ROAD</t>
  </si>
  <si>
    <t>Verans business Solutions, Inc</t>
  </si>
  <si>
    <t>Ramagiri</t>
  </si>
  <si>
    <t>Venkateshwarlu</t>
  </si>
  <si>
    <t>hr@veransinc.com</t>
  </si>
  <si>
    <t>I-200-20270-846854</t>
  </si>
  <si>
    <t>I-200-20269-845736</t>
  </si>
  <si>
    <t>Children's Hospital of Orange County</t>
  </si>
  <si>
    <t>1201 West La Veta Avenue</t>
  </si>
  <si>
    <t>Nakasone</t>
  </si>
  <si>
    <t>cnakasone@choc.org</t>
  </si>
  <si>
    <t>I-200-20269-845121</t>
  </si>
  <si>
    <t>834 E Shady Ln, Apartment 5</t>
  </si>
  <si>
    <t>I-200-20269-845477</t>
  </si>
  <si>
    <t xml:space="preserve">Stryker Corporation </t>
  </si>
  <si>
    <t>3365 Enterprise Avenue</t>
  </si>
  <si>
    <t>jehall@seyfarth.com</t>
  </si>
  <si>
    <t>I-200-20269-845965</t>
  </si>
  <si>
    <t>17 Oxford Street</t>
  </si>
  <si>
    <t>I-200-20269-845212</t>
  </si>
  <si>
    <t>1001 Windward Concourse</t>
  </si>
  <si>
    <t>I-200-20269-845660</t>
  </si>
  <si>
    <t>I-200-20269-846660</t>
  </si>
  <si>
    <t>1 DNA Way, (Central)</t>
  </si>
  <si>
    <t>350 DNA Way, Building 35</t>
  </si>
  <si>
    <t>I-200-20268-843594</t>
  </si>
  <si>
    <t>5615 HIGH POINT DR</t>
  </si>
  <si>
    <t>I-200-20269-845812</t>
  </si>
  <si>
    <t>770 SPRINGDALE DRIVE</t>
  </si>
  <si>
    <t>I-200-20269-845003</t>
  </si>
  <si>
    <t>6 kilmer road</t>
  </si>
  <si>
    <t>6 Kilmer road</t>
  </si>
  <si>
    <t xml:space="preserve">1 Water street </t>
  </si>
  <si>
    <t>I-200-20268-844031</t>
  </si>
  <si>
    <t>Envoy Global, Inc.</t>
  </si>
  <si>
    <t>230 W. MONROE ST</t>
  </si>
  <si>
    <t>Dagiantis</t>
  </si>
  <si>
    <t>230 W. Monroe St.</t>
  </si>
  <si>
    <t>lindsay.dagiantis@envoyglobal.com</t>
  </si>
  <si>
    <t>230 W Monroe St.</t>
  </si>
  <si>
    <t>I-200-20269-845429</t>
  </si>
  <si>
    <t xml:space="preserve">18000 Devonshire St </t>
  </si>
  <si>
    <t>RUHA TECHNOLOGIES, INC</t>
  </si>
  <si>
    <t>37401 GILLETT RD</t>
  </si>
  <si>
    <t>KATPALLY</t>
  </si>
  <si>
    <t>SAIREDDY</t>
  </si>
  <si>
    <t>sruthi@ruhatechnologies.com</t>
  </si>
  <si>
    <t>I-200-20268-843940</t>
  </si>
  <si>
    <t>I-200-20269-845316</t>
  </si>
  <si>
    <t>200 Sorrell Grove Church Rd</t>
  </si>
  <si>
    <t>I-200-20268-844892</t>
  </si>
  <si>
    <t>FIRST SOFT SOLUTIONS LLC</t>
  </si>
  <si>
    <t>1100 CORNWALL RD</t>
  </si>
  <si>
    <t>VASUDEVAN</t>
  </si>
  <si>
    <t>AP@FIRSTSOFTSOLUTIONS.NET</t>
  </si>
  <si>
    <t>I-200-20268-843717</t>
  </si>
  <si>
    <t>I-200-20268-843821</t>
  </si>
  <si>
    <t>BUSINESS INTELLIGENCE ANALYST 4</t>
  </si>
  <si>
    <t>I-200-20269-845187</t>
  </si>
  <si>
    <t>I-200-20268-843920</t>
  </si>
  <si>
    <t>501 BROOKER CREEK BLVD</t>
  </si>
  <si>
    <t>I-200-20268-844252</t>
  </si>
  <si>
    <t>I-200-20268-843911</t>
  </si>
  <si>
    <t>Current Health, Inc.</t>
  </si>
  <si>
    <t>575 Madison Avenue</t>
  </si>
  <si>
    <t>Playfair House</t>
  </si>
  <si>
    <t>Edinburgh</t>
  </si>
  <si>
    <t>Scotland</t>
  </si>
  <si>
    <t>julie.anderson@currenthealth.com</t>
  </si>
  <si>
    <t>10205 134th Ave NE</t>
  </si>
  <si>
    <t>olivia@mclarenltd.com</t>
  </si>
  <si>
    <t>I-200-20269-846646</t>
  </si>
  <si>
    <t>1912 Deer Park Ave</t>
  </si>
  <si>
    <t>I-200-20269-845641</t>
  </si>
  <si>
    <t xml:space="preserve">Teknismart Solutions, Inc. </t>
  </si>
  <si>
    <t>520 Central Parkway East</t>
  </si>
  <si>
    <t>TIPIRNENI</t>
  </si>
  <si>
    <t>ntipirneni@teknismart.com</t>
  </si>
  <si>
    <t>100 E. Tryon Rd.</t>
  </si>
  <si>
    <t>I-200-20268-843908</t>
  </si>
  <si>
    <t>Medical Mutual of Ohio</t>
  </si>
  <si>
    <t>2060 East 9th Street</t>
  </si>
  <si>
    <t>lydia.shinn@medmutal.com</t>
  </si>
  <si>
    <t>100 American Road</t>
  </si>
  <si>
    <t>I-200-20268-844543</t>
  </si>
  <si>
    <t>46871 Bayside Parkway</t>
  </si>
  <si>
    <t>ClientServer Technology Solutions LLC</t>
  </si>
  <si>
    <t>2 Austin Avenue</t>
  </si>
  <si>
    <t>Arra</t>
  </si>
  <si>
    <t>srinivas.arra@clientservertech.com</t>
  </si>
  <si>
    <t>I-200-20268-843016</t>
  </si>
  <si>
    <t>I-200-20268-843758</t>
  </si>
  <si>
    <t>377 Hoe Lane,</t>
  </si>
  <si>
    <t>I-200-20268-843265</t>
  </si>
  <si>
    <t>HERMES NETWORK, INC.</t>
  </si>
  <si>
    <t>PABBA</t>
  </si>
  <si>
    <t>SHYLAJA</t>
  </si>
  <si>
    <t>SHYLAJAP@HERMESINFO.COM</t>
  </si>
  <si>
    <t>I-200-20270-846807</t>
  </si>
  <si>
    <t>CEO &amp; President</t>
  </si>
  <si>
    <t>I-200-20269-845974</t>
  </si>
  <si>
    <t>600 Nickerson Rd</t>
  </si>
  <si>
    <t>cPacket Networks, Inc.</t>
  </si>
  <si>
    <t>2130 Gold Street #200</t>
  </si>
  <si>
    <t>O'Flaherty</t>
  </si>
  <si>
    <t>brendan@cpacketnetworks.com</t>
  </si>
  <si>
    <t>CERIUM SYSTEMS INC</t>
  </si>
  <si>
    <t xml:space="preserve">SESHADRI </t>
  </si>
  <si>
    <t>POLISETTY</t>
  </si>
  <si>
    <t xml:space="preserve">DIRECTOR, OPERATIONS </t>
  </si>
  <si>
    <t>SESHADRI.POLISETTY@CERIUM-SYSTEMS.COM</t>
  </si>
  <si>
    <t>I-200-20269-846448</t>
  </si>
  <si>
    <t>685 S Chevron Way</t>
  </si>
  <si>
    <t>North Salt Lake</t>
  </si>
  <si>
    <t>14980 NE 31st Street</t>
  </si>
  <si>
    <t>I-200-20269-846054</t>
  </si>
  <si>
    <t>MSU Extension Lenawee County</t>
  </si>
  <si>
    <t>1040 S Winter Street, STE 2020</t>
  </si>
  <si>
    <t>Adrian</t>
  </si>
  <si>
    <t>P-200-20132-560102</t>
  </si>
  <si>
    <t>I-200-20269-845977</t>
  </si>
  <si>
    <t>AMERITECH GLOBAL INC.</t>
  </si>
  <si>
    <t>1601 BOND STREET</t>
  </si>
  <si>
    <t>LONERO</t>
  </si>
  <si>
    <t>DIANE</t>
  </si>
  <si>
    <t>HR@ATGTECH.COM</t>
  </si>
  <si>
    <t>7979 E. TUFTS AVENUE</t>
  </si>
  <si>
    <t>I-200-20268-843715</t>
  </si>
  <si>
    <t>Systems Technology Group Inc</t>
  </si>
  <si>
    <t>RXLOGIX CORPORATION</t>
  </si>
  <si>
    <t>MODI</t>
  </si>
  <si>
    <t>PRESIDENT/ CHIEF OPERATING OFFICER</t>
  </si>
  <si>
    <t>SHALINI.MODI@RXLOGIX.COM</t>
  </si>
  <si>
    <t>I-200-20269-845560</t>
  </si>
  <si>
    <t>Vertex Pharmaceuticals, Inc.</t>
  </si>
  <si>
    <t>50 NORTHERN AVENUE</t>
  </si>
  <si>
    <t>shannon_doyle@vrtx.com</t>
  </si>
  <si>
    <t>Conagra Brands, Inc.</t>
  </si>
  <si>
    <t>I-200-20268-844510</t>
  </si>
  <si>
    <t>I-200-20268-843123</t>
  </si>
  <si>
    <t>44 Center Grove Rd, Apt S40</t>
  </si>
  <si>
    <t>Ford Motor Credit Company LLC</t>
  </si>
  <si>
    <t>I-200-20269-845265</t>
  </si>
  <si>
    <t>Elliot</t>
  </si>
  <si>
    <t>I-200-20269-845936</t>
  </si>
  <si>
    <t>135 West 18th Street</t>
  </si>
  <si>
    <t>I-200-20269-846394</t>
  </si>
  <si>
    <t>100 Metroplex Dr, Suite 304</t>
  </si>
  <si>
    <t>I-200-20268-843780</t>
  </si>
  <si>
    <t>1860 W Rose Garden Ln</t>
  </si>
  <si>
    <t>I-200-20268-843287</t>
  </si>
  <si>
    <t>626 Park Rd</t>
  </si>
  <si>
    <t>Payal</t>
  </si>
  <si>
    <t>I-200-20269-846614</t>
  </si>
  <si>
    <t>I-200-20270-846846</t>
  </si>
  <si>
    <t>I-200-20269-845912</t>
  </si>
  <si>
    <t xml:space="preserve">Charters Communications, Inc. </t>
  </si>
  <si>
    <t>I-200-20268-843619</t>
  </si>
  <si>
    <t>JUN WANG &amp; ASSOCIATES, P.C.</t>
  </si>
  <si>
    <t>1560 Broadway</t>
  </si>
  <si>
    <t>1560 BROADWAY</t>
  </si>
  <si>
    <t>jwang@junwanglaw.com</t>
  </si>
  <si>
    <t>I-200-20269-846347</t>
  </si>
  <si>
    <t>I-200-20268-843634</t>
  </si>
  <si>
    <t>I-200-20269-846302</t>
  </si>
  <si>
    <t>2400 Aviation Dr,</t>
  </si>
  <si>
    <t>DallasDallas</t>
  </si>
  <si>
    <t>I-200-20269-846321</t>
  </si>
  <si>
    <t>I-200-20268-843171</t>
  </si>
  <si>
    <t>Berkley</t>
  </si>
  <si>
    <t>I-200-20268-843301</t>
  </si>
  <si>
    <t>522 North Park Ln</t>
  </si>
  <si>
    <t>I-200-20269-845580</t>
  </si>
  <si>
    <t xml:space="preserve">Luciane </t>
  </si>
  <si>
    <t>I-200-20268-844627</t>
  </si>
  <si>
    <t>3304 Dunwoody Gables Dr</t>
  </si>
  <si>
    <t>I-200-20268-843951</t>
  </si>
  <si>
    <t>10200 Park Meadows Dr.</t>
  </si>
  <si>
    <t>Apt. 3116</t>
  </si>
  <si>
    <t>I-200-20268-844728</t>
  </si>
  <si>
    <t>300 SOUTH BREVARD STREET</t>
  </si>
  <si>
    <t>I-200-20269-846555</t>
  </si>
  <si>
    <t>Trilogy International, Inc.</t>
  </si>
  <si>
    <t>One Towne Square, Suite 1835</t>
  </si>
  <si>
    <t>jbarnes@trilogyintl.com</t>
  </si>
  <si>
    <t>I-200-20268-844576</t>
  </si>
  <si>
    <t>I-200-20268-843305</t>
  </si>
  <si>
    <t>The Life Financial Group, Inc</t>
  </si>
  <si>
    <t>978 Ben Franklin Hwy E</t>
  </si>
  <si>
    <t>Tim@thelifegroup.org</t>
  </si>
  <si>
    <t>I-200-20268-844558</t>
  </si>
  <si>
    <t>Redfin Corporation</t>
  </si>
  <si>
    <t>1099 Stewart Street, Ste. 600</t>
  </si>
  <si>
    <t>elena.armstrong@redfin.com</t>
  </si>
  <si>
    <t>I-200-20269-846550</t>
  </si>
  <si>
    <t>I-200-20268-843043</t>
  </si>
  <si>
    <t>13995 Pasteur Boulevard</t>
  </si>
  <si>
    <t>I-200-20268-844083</t>
  </si>
  <si>
    <t>I-200-20269-846298</t>
  </si>
  <si>
    <t xml:space="preserve">6280 America Center Drive </t>
  </si>
  <si>
    <t>I-200-20268-843544</t>
  </si>
  <si>
    <t>Georgia Television, LLC</t>
  </si>
  <si>
    <t>223 Perimeter Center, Parkway NE</t>
  </si>
  <si>
    <t>DeCou¿e</t>
  </si>
  <si>
    <t>Director HRBP, People Solutions</t>
  </si>
  <si>
    <t>shawn.decou¿e@cmg.com</t>
  </si>
  <si>
    <t>223 Perimeter Center Parkway NE</t>
  </si>
  <si>
    <t>I-200-20269-845723</t>
  </si>
  <si>
    <t>ANGELA_HARRIS@PREMIERINC.COM</t>
  </si>
  <si>
    <t>I-200-20268-843188</t>
  </si>
  <si>
    <t>JH Technologies, Inc.</t>
  </si>
  <si>
    <t>213 Hammond Avenue</t>
  </si>
  <si>
    <t>Hubacz</t>
  </si>
  <si>
    <t>jh@jhtechnologies.com</t>
  </si>
  <si>
    <t>I-200-20268-844299</t>
  </si>
  <si>
    <t>I-200-20268-843235</t>
  </si>
  <si>
    <t>800 West Trade Street,</t>
  </si>
  <si>
    <t>I-200-20269-845176</t>
  </si>
  <si>
    <t>ALTEK INC</t>
  </si>
  <si>
    <t>KARNATI</t>
  </si>
  <si>
    <t>KAMAL@ALTEKCORP.COM</t>
  </si>
  <si>
    <t>I-200-20268-844238</t>
  </si>
  <si>
    <t>I-200-20268-844324</t>
  </si>
  <si>
    <t>10 Azalea Lane City</t>
  </si>
  <si>
    <t>I-200-20268-843562</t>
  </si>
  <si>
    <t>I-200-20268-843867</t>
  </si>
  <si>
    <t>I-200-20269-845145</t>
  </si>
  <si>
    <t>50 West Town Street</t>
  </si>
  <si>
    <t>I-200-20268-843772</t>
  </si>
  <si>
    <t>9868 SCRANTON RD</t>
  </si>
  <si>
    <t>I-200-20268-844305</t>
  </si>
  <si>
    <t>MDLand International Corporation</t>
  </si>
  <si>
    <t>15 E 32nd Street</t>
  </si>
  <si>
    <t>Co-Founder, Executive Vice President</t>
  </si>
  <si>
    <t>james.long@mdland.com</t>
  </si>
  <si>
    <t>I-200-20268-843755</t>
  </si>
  <si>
    <t>I-200-20268-844858</t>
  </si>
  <si>
    <t>690 E. Middlefield Road</t>
  </si>
  <si>
    <t>anna.matyska@tsmimmigration.com</t>
  </si>
  <si>
    <t>I-200-20268-844873</t>
  </si>
  <si>
    <t>660 Forbes Blvd., Bldg 6</t>
  </si>
  <si>
    <t>akim@gibney.com</t>
  </si>
  <si>
    <t>I-200-20269-845702</t>
  </si>
  <si>
    <t>S YU &amp; ASSOCIATES, P.C.</t>
  </si>
  <si>
    <t>8700 COMMERCE PARK DRIVE</t>
  </si>
  <si>
    <t>Shifeng</t>
  </si>
  <si>
    <t>christine.yu.syu@gmail.com</t>
  </si>
  <si>
    <t>Suite 116</t>
  </si>
  <si>
    <t>I-200-20268-843775</t>
  </si>
  <si>
    <t xml:space="preserve">Twin City Fan Companies, Ltd. </t>
  </si>
  <si>
    <t>5959 Trenton Lane North</t>
  </si>
  <si>
    <t>Fredrickson</t>
  </si>
  <si>
    <t>Director, HR Business Partnership</t>
  </si>
  <si>
    <t>sfredrickson@tcf.com</t>
  </si>
  <si>
    <t>I-200-20270-846779</t>
  </si>
  <si>
    <t>17901 VON KARMAN AVE</t>
  </si>
  <si>
    <t>I-200-20269-845222</t>
  </si>
  <si>
    <t xml:space="preserve">23465 ROCK HAVEN WAY </t>
  </si>
  <si>
    <t>I-200-20268-844622</t>
  </si>
  <si>
    <t>208 S Akard St.</t>
  </si>
  <si>
    <t>I-200-20269-846543</t>
  </si>
  <si>
    <t>I-200-20269-845190</t>
  </si>
  <si>
    <t>926 Locust Avenue,</t>
  </si>
  <si>
    <t xml:space="preserve">Apt# 116, </t>
  </si>
  <si>
    <t>I-200-20269-845915</t>
  </si>
  <si>
    <t>Schaeffler Group USA Inc</t>
  </si>
  <si>
    <t>308 Springhill Farm Rd</t>
  </si>
  <si>
    <t>80 Pine Street</t>
  </si>
  <si>
    <t>I-200-20268-844400</t>
  </si>
  <si>
    <t>10 UPPER POND ROAD</t>
  </si>
  <si>
    <t>I-200-20268-843097</t>
  </si>
  <si>
    <t>I-200-20269-846570</t>
  </si>
  <si>
    <t>I-200-20268-844908</t>
  </si>
  <si>
    <t>200 Westgate Drive</t>
  </si>
  <si>
    <t>I-200-20268-843872</t>
  </si>
  <si>
    <t>15 Ashwood Lane</t>
  </si>
  <si>
    <t>I-200-20269-846345</t>
  </si>
  <si>
    <t>4609 Regent Boulevard</t>
  </si>
  <si>
    <t>I-200-20269-845558</t>
  </si>
  <si>
    <t>I-200-20268-843109</t>
  </si>
  <si>
    <t>2400 McClellan Ave, Apt 511</t>
  </si>
  <si>
    <t>I-200-20268-844458</t>
  </si>
  <si>
    <t>6975 E.  PRINCESS DR.</t>
  </si>
  <si>
    <t>APT 3120</t>
  </si>
  <si>
    <t>I-200-20269-845224</t>
  </si>
  <si>
    <t>1601 Elm St</t>
  </si>
  <si>
    <t>I-200-20268-843205</t>
  </si>
  <si>
    <t>770, Sumneytown Pike</t>
  </si>
  <si>
    <t>Lansdale</t>
  </si>
  <si>
    <t>I-200-20269-845204</t>
  </si>
  <si>
    <t xml:space="preserve">1020 Enterprise Way </t>
  </si>
  <si>
    <t>SUITE #400</t>
  </si>
  <si>
    <t>ECTOR</t>
  </si>
  <si>
    <t>Ector County Independent School District</t>
  </si>
  <si>
    <t>802 N. Sam Houston</t>
  </si>
  <si>
    <t>Jimenez</t>
  </si>
  <si>
    <t>Noelia</t>
  </si>
  <si>
    <t>International Teacher Coordinator</t>
  </si>
  <si>
    <t>noelia.jimenez@ectorcountyisd.org</t>
  </si>
  <si>
    <t>I-200-20269-845606</t>
  </si>
  <si>
    <t>Kalyani</t>
  </si>
  <si>
    <t>I-200-20268-844332</t>
  </si>
  <si>
    <t>Remitly, Inc.</t>
  </si>
  <si>
    <t>1111 3RD AVE</t>
  </si>
  <si>
    <t>Global VP, HR</t>
  </si>
  <si>
    <t>shanew@remitly.com</t>
  </si>
  <si>
    <t>1111 3rd Ave.</t>
  </si>
  <si>
    <t>I-200-20269-845636</t>
  </si>
  <si>
    <t>18167 Us Highway 19 N</t>
  </si>
  <si>
    <t xml:space="preserve"> Ste 500</t>
  </si>
  <si>
    <t>I-200-20268-844739</t>
  </si>
  <si>
    <t>5353 W Bell Road</t>
  </si>
  <si>
    <t>I-200-20269-846486</t>
  </si>
  <si>
    <t>CONVERGINT TECHNOLOGIES LLC</t>
  </si>
  <si>
    <t xml:space="preserve">1 COMMERCE DRIVE </t>
  </si>
  <si>
    <t>vijay@avcoconsulting.com</t>
  </si>
  <si>
    <t>I-200-20269-845589</t>
  </si>
  <si>
    <t>I-200-20269-846698</t>
  </si>
  <si>
    <t>111 John Street</t>
  </si>
  <si>
    <t>I-200-20268-843441</t>
  </si>
  <si>
    <t>I-200-20269-844950</t>
  </si>
  <si>
    <t>I-200-20269-845700</t>
  </si>
  <si>
    <t>Big Drop Inc.</t>
  </si>
  <si>
    <t>Director of Human Resources and Recruiting</t>
  </si>
  <si>
    <t>111 John St</t>
  </si>
  <si>
    <t>Susan@Bigdropinc.com</t>
  </si>
  <si>
    <t>Zach.Meyer@Jiaesq.com</t>
  </si>
  <si>
    <t>I-200-20268-844715</t>
  </si>
  <si>
    <t xml:space="preserve">445 E. Ohio Street </t>
  </si>
  <si>
    <t>Apt. 2707</t>
  </si>
  <si>
    <t>I-200-20269-845459</t>
  </si>
  <si>
    <t>I-200-20269-845290</t>
  </si>
  <si>
    <t>I-200-20269-845464</t>
  </si>
  <si>
    <t>849 INTERNATIONAL DRIVE</t>
  </si>
  <si>
    <t>300 S. Grand Ave.</t>
  </si>
  <si>
    <t>I-200-20268-844288</t>
  </si>
  <si>
    <t>Fitness BI, LLC</t>
  </si>
  <si>
    <t>1910 Olympic Blvd</t>
  </si>
  <si>
    <t>Melton</t>
  </si>
  <si>
    <t>chris@fitnessbi.com</t>
  </si>
  <si>
    <t>Ste 350</t>
  </si>
  <si>
    <t>I-200-20268-844224</t>
  </si>
  <si>
    <t>I-200-20269-845411</t>
  </si>
  <si>
    <t>HAP Investments LLC</t>
  </si>
  <si>
    <t xml:space="preserve">3 East 54th Street </t>
  </si>
  <si>
    <t>Polack</t>
  </si>
  <si>
    <t>Eran</t>
  </si>
  <si>
    <t xml:space="preserve"> CEO and Co-Founder</t>
  </si>
  <si>
    <t>3 East 54th Street</t>
  </si>
  <si>
    <t>aldina@hap-ny.com</t>
  </si>
  <si>
    <t>I-200-20268-844521</t>
  </si>
  <si>
    <t xml:space="preserve">1950 Hassell Road </t>
  </si>
  <si>
    <t xml:space="preserve">Hoffman Estates </t>
  </si>
  <si>
    <t xml:space="preserve">Yulia </t>
  </si>
  <si>
    <t xml:space="preserve">Immigration &amp; Global Mobility Consultant </t>
  </si>
  <si>
    <t xml:space="preserve">1950 Hassel Road </t>
  </si>
  <si>
    <t>I-200-20268-844587</t>
  </si>
  <si>
    <t>I-200-20269-845342</t>
  </si>
  <si>
    <t>I-200-20268-843667</t>
  </si>
  <si>
    <t>Future Labs VII, Inc.</t>
  </si>
  <si>
    <t>1438 Ninth Street</t>
  </si>
  <si>
    <t>Buehler</t>
  </si>
  <si>
    <t>mbuehler@wavemaker.vc</t>
  </si>
  <si>
    <t>I-200-20269-845042</t>
  </si>
  <si>
    <t>One Checkerboard Square</t>
  </si>
  <si>
    <t>I-200-20268-843714</t>
  </si>
  <si>
    <t>4155 Drake Road</t>
  </si>
  <si>
    <t>West Creek Building 6</t>
  </si>
  <si>
    <t>1126 H.J. Patterson Hall</t>
  </si>
  <si>
    <t>esong1@umd.edu</t>
  </si>
  <si>
    <t>I-200-20268-844266</t>
  </si>
  <si>
    <t>Hinduja Global Solutions, Inc.</t>
  </si>
  <si>
    <t>Director Human Resources Shared Services</t>
  </si>
  <si>
    <t>1901 EAST WAR MEMORIAL DRIVE</t>
  </si>
  <si>
    <t>MARK.DONNELLY@TEAMHGS.COM</t>
  </si>
  <si>
    <t>651 W. Washington Blvd</t>
  </si>
  <si>
    <t>I-200-20269-846252</t>
  </si>
  <si>
    <t>Bryan Garnier Securities, LLC</t>
  </si>
  <si>
    <t>750 Lexington Avenue</t>
  </si>
  <si>
    <t>gblake@bryangarnier.com</t>
  </si>
  <si>
    <t>I-200-20269-845680</t>
  </si>
  <si>
    <t>Stryder Corporation</t>
  </si>
  <si>
    <t>Volberding</t>
  </si>
  <si>
    <t>evolberding@joinhandshake.com</t>
  </si>
  <si>
    <t>1980 Kettner Blvd, Apt. 322</t>
  </si>
  <si>
    <t>I-200-20268-844602</t>
  </si>
  <si>
    <t>INSPIRA, INC.</t>
  </si>
  <si>
    <t>4125 BLACKFORD AVE.</t>
  </si>
  <si>
    <t>GUDAPATI</t>
  </si>
  <si>
    <t>4125 BLACKFORD AVENUE</t>
  </si>
  <si>
    <t>RAVI@INSPIRA.COM</t>
  </si>
  <si>
    <t>185 BERRY STREET</t>
  </si>
  <si>
    <t>SUITE # 1600</t>
  </si>
  <si>
    <t>GRACE.DAVID@CHUGH.COM</t>
  </si>
  <si>
    <t>Allie</t>
  </si>
  <si>
    <t>I-200-20268-844113</t>
  </si>
  <si>
    <t>melissa.simpson@conagra.com</t>
  </si>
  <si>
    <t>I-200-20268-843847</t>
  </si>
  <si>
    <t>Yamaha Motor Manufacturing Company</t>
  </si>
  <si>
    <t>1000 GA Highway 34 East</t>
  </si>
  <si>
    <t>Newnan</t>
  </si>
  <si>
    <t>Pina</t>
  </si>
  <si>
    <t>Unit Manager Human Resources</t>
  </si>
  <si>
    <t>tpina@ymmc.yamaha-motor.com</t>
  </si>
  <si>
    <t>COWETA</t>
  </si>
  <si>
    <t>khoshstrasser@immigration.net</t>
  </si>
  <si>
    <t>I-200-20268-843620</t>
  </si>
  <si>
    <t xml:space="preserve">Global Technology Survey </t>
  </si>
  <si>
    <t>I-200-20268-844540</t>
  </si>
  <si>
    <t xml:space="preserve">ChenMed, LLC </t>
  </si>
  <si>
    <t xml:space="preserve">Director Corporate Counsel </t>
  </si>
  <si>
    <t>Kathryn.Chandler@chenmed.com</t>
  </si>
  <si>
    <t>1405 NW 167th Street</t>
  </si>
  <si>
    <t>mdbayley@duanemorris.com</t>
  </si>
  <si>
    <t>I-200-20269-845969</t>
  </si>
  <si>
    <t>I-200-20270-846834</t>
  </si>
  <si>
    <t>SMART DECK SOLUTIONS INC.,</t>
  </si>
  <si>
    <t>1548 BOND STREET</t>
  </si>
  <si>
    <t>SRIKAKULAM</t>
  </si>
  <si>
    <t>ravi@smartdecksol.com</t>
  </si>
  <si>
    <t>3075 112th Ave  NE # 200</t>
  </si>
  <si>
    <t>I-200-20268-844485</t>
  </si>
  <si>
    <t>12409 Wyndham West Dr</t>
  </si>
  <si>
    <t>I-200-20269-846560</t>
  </si>
  <si>
    <t>I-200-20268-844890</t>
  </si>
  <si>
    <t>255 West Tasman Drive</t>
  </si>
  <si>
    <t>I-200-20268-843058</t>
  </si>
  <si>
    <t>9823 Valley Ranch Parkway West, APT #2163</t>
  </si>
  <si>
    <t>I-200-20268-844433</t>
  </si>
  <si>
    <t>4 Tesseneer Rd</t>
  </si>
  <si>
    <t>1060, East Arques Avenue</t>
  </si>
  <si>
    <t>I-200-20269-845413</t>
  </si>
  <si>
    <t>18100 NE 95th Street</t>
  </si>
  <si>
    <t>I-200-20268-843078</t>
  </si>
  <si>
    <t>1 One Bowerman Dr</t>
  </si>
  <si>
    <t>I-200-20268-844551</t>
  </si>
  <si>
    <t>Aerospace Engineering and Operations Technicians</t>
  </si>
  <si>
    <t>Texas A&amp;M Engineering Experiment Station</t>
  </si>
  <si>
    <t>7607 Eastmark Dr.</t>
  </si>
  <si>
    <t>Slaydon</t>
  </si>
  <si>
    <t>Executive Director, Engineering Human Resources &amp; Payroll</t>
  </si>
  <si>
    <t>125 Spence St., Suite 531</t>
  </si>
  <si>
    <t>engineeringhrvisitors@tamu.edu</t>
  </si>
  <si>
    <t>3141 TAMU</t>
  </si>
  <si>
    <t>I-200-20268-844437</t>
  </si>
  <si>
    <t>3700 South M-52</t>
  </si>
  <si>
    <t>3150 Sabre Dr</t>
  </si>
  <si>
    <t>I-200-20268-843318</t>
  </si>
  <si>
    <t>15603 Centennial Dr</t>
  </si>
  <si>
    <t>I-200-20269-845500</t>
  </si>
  <si>
    <t>100 Jane Street</t>
  </si>
  <si>
    <t>Apt. 8E</t>
  </si>
  <si>
    <t>20 Westport Rd.</t>
  </si>
  <si>
    <t>I-200-20268-844903</t>
  </si>
  <si>
    <t>Cirquetech Group Inc.</t>
  </si>
  <si>
    <t>260 Chapman Rd</t>
  </si>
  <si>
    <t>Itikirala</t>
  </si>
  <si>
    <t>Subramanyam</t>
  </si>
  <si>
    <t>immigration@cirquetechgroup.com</t>
  </si>
  <si>
    <t xml:space="preserve">13926 NE 14th St </t>
  </si>
  <si>
    <t>Apt #2-1</t>
  </si>
  <si>
    <t>I-200-20268-843074</t>
  </si>
  <si>
    <t>3567 Sevilla Dr</t>
  </si>
  <si>
    <t>I-200-20268-844889</t>
  </si>
  <si>
    <t>11010 Prairie Lakes Dr.</t>
  </si>
  <si>
    <t>I-200-20268-843273</t>
  </si>
  <si>
    <t>Suite LL7</t>
  </si>
  <si>
    <t>I-200-20268-843559</t>
  </si>
  <si>
    <t>Radford Global Technology Survey - GTS US O</t>
  </si>
  <si>
    <t>I-200-20269-846611</t>
  </si>
  <si>
    <t>Eastern Horizon Ventures LLC</t>
  </si>
  <si>
    <t>40 N 4th Street</t>
  </si>
  <si>
    <t>Jialiang</t>
  </si>
  <si>
    <t>Jayyue04@gmail.com</t>
  </si>
  <si>
    <t>61 N 9th Street</t>
  </si>
  <si>
    <t>3100 Windy Hill Road</t>
  </si>
  <si>
    <t>Hiles</t>
  </si>
  <si>
    <t>Cheryl_Hiles@genpt.com</t>
  </si>
  <si>
    <t>I-200-20268-844073</t>
  </si>
  <si>
    <t xml:space="preserve">7979 E Tufts Ave Suite # 1200 </t>
  </si>
  <si>
    <t xml:space="preserve">6530 Paseo Padre Pkwy </t>
  </si>
  <si>
    <t>7930 Clayton Road</t>
  </si>
  <si>
    <t>I-200-20268-844842</t>
  </si>
  <si>
    <t>VINGS TECHNOLOGIES LIMITED</t>
  </si>
  <si>
    <t>640 WEST CALIFORNIA AVENUE</t>
  </si>
  <si>
    <t>KOHLI</t>
  </si>
  <si>
    <t>GAGAN</t>
  </si>
  <si>
    <t>gagan.kohli@vingstech.com</t>
  </si>
  <si>
    <t>2702 Orchard Pkwy</t>
  </si>
  <si>
    <t>I-200-20269-845518</t>
  </si>
  <si>
    <t>245 SUMMER ST</t>
  </si>
  <si>
    <t>I-200-20269-846116</t>
  </si>
  <si>
    <t>I-200-20268-844853</t>
  </si>
  <si>
    <t xml:space="preserve"> 90 Christopher Columbus Dr</t>
  </si>
  <si>
    <t>Apt 1811</t>
  </si>
  <si>
    <t>I-200-20269-845193</t>
  </si>
  <si>
    <t xml:space="preserve">558 Eastern Point Rd, </t>
  </si>
  <si>
    <t>Sreerupa</t>
  </si>
  <si>
    <t>6404 Ivy Lane</t>
  </si>
  <si>
    <t>sreerupa@remotetiger.com</t>
  </si>
  <si>
    <t>I-200-20268-844805</t>
  </si>
  <si>
    <t>Ortiz-Minami</t>
  </si>
  <si>
    <t>I-200-20269-845441</t>
  </si>
  <si>
    <t>MC LEAN</t>
  </si>
  <si>
    <t>I-200-20268-844111</t>
  </si>
  <si>
    <t>7500 Fallbrook Ave</t>
  </si>
  <si>
    <t>I-200-20268-844830</t>
  </si>
  <si>
    <t>Security Nationwide, Inc.</t>
  </si>
  <si>
    <t>810 Highway 6 South</t>
  </si>
  <si>
    <t>shahintexas@gmail.com</t>
  </si>
  <si>
    <t>I-200-20269-846701</t>
  </si>
  <si>
    <t>I-200-20268-843996</t>
  </si>
  <si>
    <t>Bilkins INC</t>
  </si>
  <si>
    <t>44031 Pipeline Plaza</t>
  </si>
  <si>
    <t>HR@BILKINS.COM</t>
  </si>
  <si>
    <t>31980 liberty st</t>
  </si>
  <si>
    <t>I-200-20268-843203</t>
  </si>
  <si>
    <t>I-200-20269-845387</t>
  </si>
  <si>
    <t xml:space="preserve">Code Acuity, Inc. </t>
  </si>
  <si>
    <t>199 E Montgomery Ave, Suite 100</t>
  </si>
  <si>
    <t>Paripati</t>
  </si>
  <si>
    <t>Praneetha</t>
  </si>
  <si>
    <t>hr@codeacuity.com</t>
  </si>
  <si>
    <t>I-200-20268-843739</t>
  </si>
  <si>
    <t>I-200-20268-843107</t>
  </si>
  <si>
    <t>I-200-20268-842990</t>
  </si>
  <si>
    <t>8328 Finch Shelter Dr</t>
  </si>
  <si>
    <t>I-200-20269-846431</t>
  </si>
  <si>
    <t>1001 W Adams Street</t>
  </si>
  <si>
    <t>I-200-20269-845873</t>
  </si>
  <si>
    <t>333 W River Park Drive</t>
  </si>
  <si>
    <t>I-200-20269-845949</t>
  </si>
  <si>
    <t>IQ SPECTRA INC.</t>
  </si>
  <si>
    <t>KAYLA</t>
  </si>
  <si>
    <t>kayla@IQSPECTRA.COM</t>
  </si>
  <si>
    <t>I-200-20269-845286</t>
  </si>
  <si>
    <t>I-200-20268-843349</t>
  </si>
  <si>
    <t>7201 NW 11th Pl</t>
  </si>
  <si>
    <t xml:space="preserve"> Gainesville</t>
  </si>
  <si>
    <t>HR@ORCHESTRATEC.COM</t>
  </si>
  <si>
    <t>I-200-20270-846819</t>
  </si>
  <si>
    <t>I-200-20269-844964</t>
  </si>
  <si>
    <t>I-200-20269-845018</t>
  </si>
  <si>
    <t>Entercom Operations</t>
  </si>
  <si>
    <t>2400 Market Street</t>
  </si>
  <si>
    <t>Nusbaum</t>
  </si>
  <si>
    <t>vera.nusbaum@entercom.com</t>
  </si>
  <si>
    <t xml:space="preserve">2400 Market Street </t>
  </si>
  <si>
    <t>mbucceroni@regerlaw.com</t>
  </si>
  <si>
    <t>I-200-20269-845639</t>
  </si>
  <si>
    <t>1 Centennial Drive, 3rd Floor</t>
  </si>
  <si>
    <t>I-200-20268-843992</t>
  </si>
  <si>
    <t>3550 Terrace Street</t>
  </si>
  <si>
    <t>I-200-20268-843446</t>
  </si>
  <si>
    <t xml:space="preserve">1075 13th Street South </t>
  </si>
  <si>
    <t>Hoehn Engineering Building</t>
  </si>
  <si>
    <t>I-200-20269-846175</t>
  </si>
  <si>
    <t>LOGICQUE INC</t>
  </si>
  <si>
    <t>INDIRA</t>
  </si>
  <si>
    <t>hr@logicque.com</t>
  </si>
  <si>
    <t>3800 JACKSON AVE</t>
  </si>
  <si>
    <t>Metrix IT Solutions Inc</t>
  </si>
  <si>
    <t>10130 Mallard Creek Rd</t>
  </si>
  <si>
    <t>ASANIKAR</t>
  </si>
  <si>
    <t>SHIVANI</t>
  </si>
  <si>
    <t>LEGAL@METRIXIT.COM</t>
  </si>
  <si>
    <t>I-200-20269-846571</t>
  </si>
  <si>
    <t>Smith &amp; Nephew, Inc.</t>
  </si>
  <si>
    <t>1450 Brooks Road</t>
  </si>
  <si>
    <t>Legal Assistant/Legal Records Assistant II</t>
  </si>
  <si>
    <t>Carol.Madison@smith-nephew.com</t>
  </si>
  <si>
    <t>2875 Railroad Street</t>
  </si>
  <si>
    <t>Sonya.Rahmani@ca.ey.com</t>
  </si>
  <si>
    <t>I-200-20268-842992</t>
  </si>
  <si>
    <t>10569 DUCKLING DR</t>
  </si>
  <si>
    <t>I-200-20270-846780</t>
  </si>
  <si>
    <t>I-200-20268-843955</t>
  </si>
  <si>
    <t>1106 SW Anchor Way</t>
  </si>
  <si>
    <t>I-200-20269-846739</t>
  </si>
  <si>
    <t>I-200-20269-844914</t>
  </si>
  <si>
    <t>I-200-20268-844274</t>
  </si>
  <si>
    <t>I-200-20269-846004</t>
  </si>
  <si>
    <t>I-200-20269-845706</t>
  </si>
  <si>
    <t>I-200-20268-843597</t>
  </si>
  <si>
    <t>Invasystems Digital LLC</t>
  </si>
  <si>
    <t>77 Sugar Creek Center Boulevard</t>
  </si>
  <si>
    <t>Chitnis</t>
  </si>
  <si>
    <t>sagar.chitnis@invasystems.com</t>
  </si>
  <si>
    <t>#650</t>
  </si>
  <si>
    <t>I-200-20268-843541</t>
  </si>
  <si>
    <t>32 Hartwell Ave.</t>
  </si>
  <si>
    <t>701 Gateway Boulevard</t>
  </si>
  <si>
    <t>I-200-20269-845148</t>
  </si>
  <si>
    <t>I-200-20268-843383</t>
  </si>
  <si>
    <t>I-200-20268-843115</t>
  </si>
  <si>
    <t>SVK TECHNOLOGY SOLUTIONS, INC.</t>
  </si>
  <si>
    <t>HR@SVKTECHINC.COM</t>
  </si>
  <si>
    <t>Spry Info Solutions Inc.</t>
  </si>
  <si>
    <t>1081 Cambridge Square</t>
  </si>
  <si>
    <t>Kabita</t>
  </si>
  <si>
    <t>operations@spryinfosol.com</t>
  </si>
  <si>
    <t>South Deerfield</t>
  </si>
  <si>
    <t>FRANKLIN CITY</t>
  </si>
  <si>
    <t>I-200-20268-843604</t>
  </si>
  <si>
    <t xml:space="preserve">10th Floor </t>
  </si>
  <si>
    <t>I-200-20269-845057</t>
  </si>
  <si>
    <t>I-200-20270-846793</t>
  </si>
  <si>
    <t xml:space="preserve">MAGNANIME GLOBAL SOLUTIONS, LLC </t>
  </si>
  <si>
    <t>19800 MACARTHUR BLVD. SUITE 300</t>
  </si>
  <si>
    <t>Enakala</t>
  </si>
  <si>
    <t>19800  MacArthur Blvd.</t>
  </si>
  <si>
    <t>asha@magnanime.com</t>
  </si>
  <si>
    <t>BALWEEN.KAUR@CHUGH.COM</t>
  </si>
  <si>
    <t>I-200-20268-843185</t>
  </si>
  <si>
    <t>4724 Towne Square Dr, Apt 1602</t>
  </si>
  <si>
    <t>I-200-20269-844947</t>
  </si>
  <si>
    <t>Enterprise Risk Management</t>
  </si>
  <si>
    <t>I-200-20269-845584</t>
  </si>
  <si>
    <t>5508 Lonas Drive</t>
  </si>
  <si>
    <t>I-200-20269-845934</t>
  </si>
  <si>
    <t xml:space="preserve">Head of Human Capital </t>
  </si>
  <si>
    <t>I-200-20269-844996</t>
  </si>
  <si>
    <t>15900 VALLEY VIEW CT</t>
  </si>
  <si>
    <t>SYLMAR</t>
  </si>
  <si>
    <t>I-200-20268-843242</t>
  </si>
  <si>
    <t>I-200-20269-845571</t>
  </si>
  <si>
    <t>I-200-20270-846861</t>
  </si>
  <si>
    <t>PLUG &amp; PLAY LLC</t>
  </si>
  <si>
    <t>440 N Wolfe Road</t>
  </si>
  <si>
    <t>ncole@pnptc.com</t>
  </si>
  <si>
    <t>440 N. Wolfe Road</t>
  </si>
  <si>
    <t>I-200-20269-845127</t>
  </si>
  <si>
    <t>5782 Murray Cir</t>
  </si>
  <si>
    <t>I-200-20269-846065</t>
  </si>
  <si>
    <t>271 17th St. NW</t>
  </si>
  <si>
    <t>I-200-20268-844857</t>
  </si>
  <si>
    <t>I-200-20268-844203</t>
  </si>
  <si>
    <t>SONSOFT INC.</t>
  </si>
  <si>
    <t>11797 NORTHFALL LANE</t>
  </si>
  <si>
    <t>QUADRI</t>
  </si>
  <si>
    <t>AMTUL</t>
  </si>
  <si>
    <t>SARA@SONSOFTINC.COM</t>
  </si>
  <si>
    <t>I-200-20268-843135</t>
  </si>
  <si>
    <t>7858 Winding Creek Ct</t>
  </si>
  <si>
    <t>I-200-20268-843759</t>
  </si>
  <si>
    <t>1515 North Courthouse Road</t>
  </si>
  <si>
    <t>I-200-20269-846117</t>
  </si>
  <si>
    <t>11970 Black Mountain Road</t>
  </si>
  <si>
    <t>Unit 58</t>
  </si>
  <si>
    <t>I-200-20268-843401</t>
  </si>
  <si>
    <t>I-200-20268-844071</t>
  </si>
  <si>
    <t>Longval</t>
  </si>
  <si>
    <t>Manager, People Shared Services</t>
  </si>
  <si>
    <t>monique.longval@publicissapient.com</t>
  </si>
  <si>
    <t>I-200-20268-844053</t>
  </si>
  <si>
    <t>Chen and Sun, CPA  A Professional Corporation</t>
  </si>
  <si>
    <t xml:space="preserve">3812 Sepulveda Blvd, </t>
  </si>
  <si>
    <t>Fengqiong</t>
  </si>
  <si>
    <t>3812 Sepuveda Blvd</t>
  </si>
  <si>
    <t>joan@chenandsuncpa.com</t>
  </si>
  <si>
    <t>3812 Sepulveda Blvd.</t>
  </si>
  <si>
    <t>I-200-20269-846267</t>
  </si>
  <si>
    <t>SEISMIC SOFTWARE INC.</t>
  </si>
  <si>
    <t>12390 EL CAMINO REAL, SUITE 300</t>
  </si>
  <si>
    <t>Greifendorff</t>
  </si>
  <si>
    <t>tgreifendorff@seismic.com</t>
  </si>
  <si>
    <t>140 2nd Street, 4th floor</t>
  </si>
  <si>
    <t>I-200-20269-846209</t>
  </si>
  <si>
    <t xml:space="preserve">DiCentral Corporation </t>
  </si>
  <si>
    <t>1199 NASA Parkway</t>
  </si>
  <si>
    <t xml:space="preserve">VP - Human Resources </t>
  </si>
  <si>
    <t xml:space="preserve">1199 NASA Parkway </t>
  </si>
  <si>
    <t>lcole@dicentral.com</t>
  </si>
  <si>
    <t>I-200-20268-843732</t>
  </si>
  <si>
    <t>I-200-20268-844469</t>
  </si>
  <si>
    <t>I-200-20268-843489</t>
  </si>
  <si>
    <t>COMMUNITY HEALTH CENTER OF BUFFALO, INC.</t>
  </si>
  <si>
    <t>34 BENWOOD AVE</t>
  </si>
  <si>
    <t>Luban</t>
  </si>
  <si>
    <t>34 Benwood Ave.</t>
  </si>
  <si>
    <t>LLuban@chcb.net</t>
  </si>
  <si>
    <t>I-200-20268-843784</t>
  </si>
  <si>
    <t>UHV TECHNOLOGY INC</t>
  </si>
  <si>
    <t>1708 JAGGIE FOX WAY</t>
  </si>
  <si>
    <t>Nalin</t>
  </si>
  <si>
    <t>nkumar@nanoRANCH.com</t>
  </si>
  <si>
    <t>450 South Fwy</t>
  </si>
  <si>
    <t>I-200-20270-846869</t>
  </si>
  <si>
    <t>7251 Preinkert Dr., 2181 LeFrak Hall, Geographical Sciences</t>
  </si>
  <si>
    <t>I-200-20269-845570</t>
  </si>
  <si>
    <t>I-200-20269-846561</t>
  </si>
  <si>
    <t>15434 N. 32ND STREET</t>
  </si>
  <si>
    <t>APT 278</t>
  </si>
  <si>
    <t>I-200-20269-845060</t>
  </si>
  <si>
    <t>I-200-20269-845716</t>
  </si>
  <si>
    <t>I-200-20268-843239</t>
  </si>
  <si>
    <t>I-200-20268-843653</t>
  </si>
  <si>
    <t>145 Brandywine Pkwy</t>
  </si>
  <si>
    <t>Superior</t>
  </si>
  <si>
    <t>I-200-20268-843294</t>
  </si>
  <si>
    <t xml:space="preserve">11600 American Dream Way  </t>
  </si>
  <si>
    <t>I-200-20268-844831</t>
  </si>
  <si>
    <t>VPLS Solutions, LLC</t>
  </si>
  <si>
    <t>1744 W Katella Avenue</t>
  </si>
  <si>
    <t>1744 W Katella Ave</t>
  </si>
  <si>
    <t>betty@vpls.com</t>
  </si>
  <si>
    <t>I-200-20268-844279</t>
  </si>
  <si>
    <t>4201 ST. ANTOINE</t>
  </si>
  <si>
    <t>EMERGENCY MEDICINE</t>
  </si>
  <si>
    <t>I-200-20269-845238</t>
  </si>
  <si>
    <t>I-200-20269-846465</t>
  </si>
  <si>
    <t>I-200-20268-844506</t>
  </si>
  <si>
    <t>Worldwide DMC USA Inc</t>
  </si>
  <si>
    <t>104 W 40th St</t>
  </si>
  <si>
    <t>enquiries@wwdmc.com</t>
  </si>
  <si>
    <t>Suite 433</t>
  </si>
  <si>
    <t>I-200-20269-845214</t>
  </si>
  <si>
    <t>I-200-20268-843553</t>
  </si>
  <si>
    <t>2019 WTW GEN INDUSTRY MID MGT, PROF, &amp; SUPPORT COMP SURVEY</t>
  </si>
  <si>
    <t>I-200-20268-843587</t>
  </si>
  <si>
    <t>I-200-20269-845524</t>
  </si>
  <si>
    <t>Palmdale</t>
  </si>
  <si>
    <t>LORRAINE</t>
  </si>
  <si>
    <t>I-200-20268-844683</t>
  </si>
  <si>
    <t>450 W 33rd Street</t>
  </si>
  <si>
    <t>I-200-20268-844356</t>
  </si>
  <si>
    <t>I-200-20268-843608</t>
  </si>
  <si>
    <t>LOGAN INSTRUMENTS CORP.</t>
  </si>
  <si>
    <t>19C SCHOOLHOUSE RD</t>
  </si>
  <si>
    <t>LUKELEE@LOGANINSTRUMENTS.COM</t>
  </si>
  <si>
    <t>I-200-20269-845437</t>
  </si>
  <si>
    <t>100 Airpark Center E.</t>
  </si>
  <si>
    <t>SARATOGA VETERINARY HOSPITAL INC.</t>
  </si>
  <si>
    <t>12297 SARATOGA SUNNYVALE ROAD</t>
  </si>
  <si>
    <t>BAJWA</t>
  </si>
  <si>
    <t>JASPREET</t>
  </si>
  <si>
    <t>I-200-20268-844355</t>
  </si>
  <si>
    <t>Advertex Communications Inc.</t>
  </si>
  <si>
    <t>tspears@lseg.com</t>
  </si>
  <si>
    <t>I-200-20269-845900</t>
  </si>
  <si>
    <t>I-200-20269-845803</t>
  </si>
  <si>
    <t>ADFINITAS HEALTH</t>
  </si>
  <si>
    <t>7250 PARKWAY DRIVE</t>
  </si>
  <si>
    <t>WALSH</t>
  </si>
  <si>
    <t>kwalsh@adfinitashealth.com</t>
  </si>
  <si>
    <t>100 HOSPITAL ROAD</t>
  </si>
  <si>
    <t>PRINCE FREDERICK</t>
  </si>
  <si>
    <t>I-200-20268-843299</t>
  </si>
  <si>
    <t>ZF Active Safety US Inc., 12025 Tech Center Drive</t>
  </si>
  <si>
    <t>I-200-20269-845823</t>
  </si>
  <si>
    <t>I-200-20269-846149</t>
  </si>
  <si>
    <t>I-200-20268-843688</t>
  </si>
  <si>
    <t>255 N. Admiral Byrd Road</t>
  </si>
  <si>
    <t>I-200-20269-846097</t>
  </si>
  <si>
    <t>I-200-20269-845832</t>
  </si>
  <si>
    <t>I-200-20269-845033</t>
  </si>
  <si>
    <t>3132 Kettle River Ct.</t>
  </si>
  <si>
    <t>I-200-20269-845266</t>
  </si>
  <si>
    <t xml:space="preserve">1 FDR Drive </t>
  </si>
  <si>
    <t>I-200-20269-845833</t>
  </si>
  <si>
    <t>Prefab Logistics LLC</t>
  </si>
  <si>
    <t>16376 Star Road</t>
  </si>
  <si>
    <t>Nampa</t>
  </si>
  <si>
    <t>Pill</t>
  </si>
  <si>
    <t>dpill@prefablogic.com</t>
  </si>
  <si>
    <t>kims@immigrationidaho.com</t>
  </si>
  <si>
    <t>ELMORE</t>
  </si>
  <si>
    <t>I-200-20268-844333</t>
  </si>
  <si>
    <t>695 Town Center Dr.</t>
  </si>
  <si>
    <t>I-200-20268-844293</t>
  </si>
  <si>
    <t>46A Main street</t>
  </si>
  <si>
    <t>Winooski</t>
  </si>
  <si>
    <t>WINOOSKI CITY</t>
  </si>
  <si>
    <t>Suite 1001</t>
  </si>
  <si>
    <t>I-200-20268-844740</t>
  </si>
  <si>
    <t>100, Great Oaks Boulevard</t>
  </si>
  <si>
    <t>I-200-20269-845251</t>
  </si>
  <si>
    <t>CHACKO</t>
  </si>
  <si>
    <t>SR. VICE PRESIDENT</t>
  </si>
  <si>
    <t>140 Broadway</t>
  </si>
  <si>
    <t>I-200-20268-843364</t>
  </si>
  <si>
    <t>Santana</t>
  </si>
  <si>
    <t>anthony.santana@fleetcor.com</t>
  </si>
  <si>
    <t>I-200-20268-843652</t>
  </si>
  <si>
    <t>I-200-20269-846478</t>
  </si>
  <si>
    <t>I-200-20269-846502</t>
  </si>
  <si>
    <t>I-200-20268-843300</t>
  </si>
  <si>
    <t>Findlay</t>
  </si>
  <si>
    <t>I-200-20268-843102</t>
  </si>
  <si>
    <t>1538 Briarfield Dr NW</t>
  </si>
  <si>
    <t>I-200-20269-845853</t>
  </si>
  <si>
    <t>I-200-20268-843514</t>
  </si>
  <si>
    <t>I-200-20269-846456</t>
  </si>
  <si>
    <t>I-200-20268-844507</t>
  </si>
  <si>
    <t>I-200-20268-843749</t>
  </si>
  <si>
    <t>Palo Alto Mind Body</t>
  </si>
  <si>
    <t>550 Hamilton Avenue</t>
  </si>
  <si>
    <t>Ghorieshi</t>
  </si>
  <si>
    <t>Rameen</t>
  </si>
  <si>
    <t>DrG@mindbody.md</t>
  </si>
  <si>
    <t>I-200-20268-842994</t>
  </si>
  <si>
    <t>217 Ashford Pkwy</t>
  </si>
  <si>
    <t>I-200-20268-843120</t>
  </si>
  <si>
    <t>112, Church Road, Apartment 19M</t>
  </si>
  <si>
    <t>I-200-20268-844690</t>
  </si>
  <si>
    <t>I-200-20268-843417</t>
  </si>
  <si>
    <t>I-200-20268-843788</t>
  </si>
  <si>
    <t>I-200-20269-845329</t>
  </si>
  <si>
    <t xml:space="preserve"> 3355 Scott Blvd</t>
  </si>
  <si>
    <t>I-200-20269-845503</t>
  </si>
  <si>
    <t>I-200-20269-846720</t>
  </si>
  <si>
    <t>Tachyon Technologies LLC</t>
  </si>
  <si>
    <t>6191 N State Highway 161</t>
  </si>
  <si>
    <t>venkat@tachyontech.com</t>
  </si>
  <si>
    <t>3316 136th Pl SE</t>
  </si>
  <si>
    <t>Mill Creek</t>
  </si>
  <si>
    <t>Windsun Technologies LLC</t>
  </si>
  <si>
    <t>410 Peachtree Pkwy</t>
  </si>
  <si>
    <t>jaya@windsuntech.com</t>
  </si>
  <si>
    <t>I-200-20269-846360</t>
  </si>
  <si>
    <t>525 Junction Road</t>
  </si>
  <si>
    <t>I-200-20268-843186</t>
  </si>
  <si>
    <t>I-200-20270-846837</t>
  </si>
  <si>
    <t>I-200-20269-845754</t>
  </si>
  <si>
    <t>I-200-20268-844023</t>
  </si>
  <si>
    <t>Tetrus Corp.</t>
  </si>
  <si>
    <t>197 Route 18 South</t>
  </si>
  <si>
    <t>Sharad</t>
  </si>
  <si>
    <t>sharad.rao@tetruscorp.com</t>
  </si>
  <si>
    <t>Tetrus Corp., 197 Route 18 South</t>
  </si>
  <si>
    <t>Suite 207N</t>
  </si>
  <si>
    <t>I-200-20269-846206</t>
  </si>
  <si>
    <t xml:space="preserve"> 740 W. Peachtree St NW</t>
  </si>
  <si>
    <t>I-200-20270-846784</t>
  </si>
  <si>
    <t>I-200-20269-846072</t>
  </si>
  <si>
    <t>alion@gibney.com</t>
  </si>
  <si>
    <t>I-200-20269-845307</t>
  </si>
  <si>
    <t>FLOOR 12</t>
  </si>
  <si>
    <t>I-200-20269-846533</t>
  </si>
  <si>
    <t>Rays Technical Solutions Inc</t>
  </si>
  <si>
    <t>1100 Halle Park Circle Suite 102</t>
  </si>
  <si>
    <t>Giledi</t>
  </si>
  <si>
    <t>sgiledi@raystechsolutions.com</t>
  </si>
  <si>
    <t xml:space="preserve"> 3451 Prescott</t>
  </si>
  <si>
    <t>1110 Vermont Ave NW</t>
  </si>
  <si>
    <t>I-200-20268-843986</t>
  </si>
  <si>
    <t xml:space="preserve">100 Fidelity Plaza </t>
  </si>
  <si>
    <t>I-200-20268-843365</t>
  </si>
  <si>
    <t>I-200-20268-844711</t>
  </si>
  <si>
    <t>Sasken Technologies Limited</t>
  </si>
  <si>
    <t>710 Lakeway Drive</t>
  </si>
  <si>
    <t>Pulusuganti</t>
  </si>
  <si>
    <t>Venkateswara</t>
  </si>
  <si>
    <t>Project Manager, USA Delivery</t>
  </si>
  <si>
    <t>venkateswara.pulusuganti@sasken.com</t>
  </si>
  <si>
    <t>280 Cramer Creek Court</t>
  </si>
  <si>
    <t>I-200-20268-843501</t>
  </si>
  <si>
    <t>I-200-20269-845907</t>
  </si>
  <si>
    <t xml:space="preserve">7901 Innovation Way </t>
  </si>
  <si>
    <t>S&amp;P Global Market Intelligence Inc.</t>
  </si>
  <si>
    <t>I-200-20269-845104</t>
  </si>
  <si>
    <t>200 S 6TH ST</t>
  </si>
  <si>
    <t>I-200-20269-846589</t>
  </si>
  <si>
    <t>I-200-20268-843103</t>
  </si>
  <si>
    <t>30, Hudson Yards</t>
  </si>
  <si>
    <t>I-200-20268-844344</t>
  </si>
  <si>
    <t>2520 Meridian Parkway</t>
  </si>
  <si>
    <t>I-200-20268-844213</t>
  </si>
  <si>
    <t>L Vuppala DDS Dental Corporation</t>
  </si>
  <si>
    <t>39572 Stevenson Place</t>
  </si>
  <si>
    <t>murthyvl@gmail.com</t>
  </si>
  <si>
    <t>Suite 231</t>
  </si>
  <si>
    <t>I-200-20268-843824</t>
  </si>
  <si>
    <t>I-200-20270-846856</t>
  </si>
  <si>
    <t>I-200-20268-844727</t>
  </si>
  <si>
    <t>I-200-20268-844833</t>
  </si>
  <si>
    <t>I-200-20269-845699</t>
  </si>
  <si>
    <t>I-200-20269-846043</t>
  </si>
  <si>
    <t>Virtusense Technologies Inc.</t>
  </si>
  <si>
    <t>801, W. Main Street</t>
  </si>
  <si>
    <t>davidp@virtusensetech.com</t>
  </si>
  <si>
    <t>Suite B216</t>
  </si>
  <si>
    <t>I-200-20269-846122</t>
  </si>
  <si>
    <t>Jasper Ridge Partners, L.P.</t>
  </si>
  <si>
    <t>2885 Sand Hill Road</t>
  </si>
  <si>
    <t>I-200-20268-843268</t>
  </si>
  <si>
    <t>I-200-20268-843455</t>
  </si>
  <si>
    <t>10101 W PARMER LANE</t>
  </si>
  <si>
    <t>APT. 125</t>
  </si>
  <si>
    <t>I-200-20269-845026</t>
  </si>
  <si>
    <t>5300 S Broadband Lane</t>
  </si>
  <si>
    <t>Ramesh@bytewareinc.com</t>
  </si>
  <si>
    <t>I-200-20269-846423</t>
  </si>
  <si>
    <t>46 A, Evergreen Circle</t>
  </si>
  <si>
    <t>Maple Shade</t>
  </si>
  <si>
    <t>AdroitCo, Inc.</t>
  </si>
  <si>
    <t>6160 WARREN PKWY</t>
  </si>
  <si>
    <t xml:space="preserve">Ansar M. </t>
  </si>
  <si>
    <t>ansar.ahmed@adroitco.com</t>
  </si>
  <si>
    <t>I-200-20268-844047</t>
  </si>
  <si>
    <t>I-200-20269-846716</t>
  </si>
  <si>
    <t>I-200-20268-844758</t>
  </si>
  <si>
    <t>3 Allegheny ctr, Apartment 113</t>
  </si>
  <si>
    <t>I-200-20269-845157</t>
  </si>
  <si>
    <t>293, Turnpike Road, Apartment 307</t>
  </si>
  <si>
    <t>I-200-20268-844572</t>
  </si>
  <si>
    <t>I-200-20268-844694</t>
  </si>
  <si>
    <t>I-200-20270-846831</t>
  </si>
  <si>
    <t>I-200-20270-846791</t>
  </si>
  <si>
    <t>6555 State Highway 161</t>
  </si>
  <si>
    <t>I-200-20268-843885</t>
  </si>
  <si>
    <t xml:space="preserve">PLANTRONICS, INC. </t>
  </si>
  <si>
    <t xml:space="preserve">345 ENCINAL STREET </t>
  </si>
  <si>
    <t xml:space="preserve">SANTA CRUZ </t>
  </si>
  <si>
    <t>345 Encinal St.</t>
  </si>
  <si>
    <t>7700 WEST PARMER LANE</t>
  </si>
  <si>
    <t>BUILDING C, SUITE 100</t>
  </si>
  <si>
    <t>I-200-20268-843053</t>
  </si>
  <si>
    <t>I-200-20268-844136</t>
  </si>
  <si>
    <t>BAUMANN CONSULTING, INC.</t>
  </si>
  <si>
    <t>180 N. LaSalle Street</t>
  </si>
  <si>
    <t>Baumann</t>
  </si>
  <si>
    <t>O.Baumann@baumann-us.com</t>
  </si>
  <si>
    <t>mike.meier@internationallawgroup.com</t>
  </si>
  <si>
    <t>I-200-20268-844642</t>
  </si>
  <si>
    <t>600 Hidden Ridge,</t>
  </si>
  <si>
    <t>I-200-20269-845939</t>
  </si>
  <si>
    <t>I-200-20268-843415</t>
  </si>
  <si>
    <t>I-200-20269-845106</t>
  </si>
  <si>
    <t>I-200-20268-843256</t>
  </si>
  <si>
    <t>725 ALDER DRIVE</t>
  </si>
  <si>
    <t xml:space="preserve"> Hartford</t>
  </si>
  <si>
    <t>I-200-20269-845609</t>
  </si>
  <si>
    <t xml:space="preserve">SIERRA BUSINESS SOLUTION, LLC </t>
  </si>
  <si>
    <t>6909 W. RAY ROAD</t>
  </si>
  <si>
    <t>AARTI@SIERRASOLN.COM</t>
  </si>
  <si>
    <t>I-200-20268-844054</t>
  </si>
  <si>
    <t>1015 Windward Ridge</t>
  </si>
  <si>
    <t>I-200-20268-843952</t>
  </si>
  <si>
    <t>Reed Business Information, Inc.</t>
  </si>
  <si>
    <t>630 Central Avenue</t>
  </si>
  <si>
    <t>I-200-20268-843162</t>
  </si>
  <si>
    <t>cfraser@fragomen.com</t>
  </si>
  <si>
    <t>I-200-20268-844133</t>
  </si>
  <si>
    <t>Peritus, Inc.</t>
  </si>
  <si>
    <t xml:space="preserve">222 W Las Colinas Blvd </t>
  </si>
  <si>
    <t xml:space="preserve"> Irving </t>
  </si>
  <si>
    <t>Mavuleti</t>
  </si>
  <si>
    <t xml:space="preserve">IT Program Manager </t>
  </si>
  <si>
    <t>222 W Las Colinas BLVD</t>
  </si>
  <si>
    <t>operations@peritussoft.com</t>
  </si>
  <si>
    <t>500 Cranberry Woods</t>
  </si>
  <si>
    <t>MAIL@IMMLEGAL.COM</t>
  </si>
  <si>
    <t>I-200-20268-843839</t>
  </si>
  <si>
    <t>650 W. 168th Street</t>
  </si>
  <si>
    <t>I-200-20268-844651</t>
  </si>
  <si>
    <t>Preferred Therapy Solutions</t>
  </si>
  <si>
    <t>850 Silas Deane Hwy</t>
  </si>
  <si>
    <t>Vogt</t>
  </si>
  <si>
    <t>Director of HR and Recruiting</t>
  </si>
  <si>
    <t>SVogt@preftherapy.com</t>
  </si>
  <si>
    <t>100 Franklin St</t>
  </si>
  <si>
    <t>M&amp;R CONSULTANTS CORPORATION</t>
  </si>
  <si>
    <t>700 TECHNOLOGY PARK DRIVE</t>
  </si>
  <si>
    <t>subash@mrccsolutions.com</t>
  </si>
  <si>
    <t>3420 Hillview Ave</t>
  </si>
  <si>
    <t>iga@fordharrison.com</t>
  </si>
  <si>
    <t>4 Sylvan Way</t>
  </si>
  <si>
    <t>I-200-20268-843077</t>
  </si>
  <si>
    <t>URL SYSTEMS, INC</t>
  </si>
  <si>
    <t xml:space="preserve">1170 US Highway 22 E </t>
  </si>
  <si>
    <t>naren@urlsys.com</t>
  </si>
  <si>
    <t>2 Primrose lane, apt 2k</t>
  </si>
  <si>
    <t>Fords</t>
  </si>
  <si>
    <t>I-200-20268-843292</t>
  </si>
  <si>
    <t>I-200-20268-844564</t>
  </si>
  <si>
    <t>Wonderstorm, Inc.</t>
  </si>
  <si>
    <t>214 Main Street</t>
  </si>
  <si>
    <t>Santistevan</t>
  </si>
  <si>
    <t>jsantistevan@wonderstorm.net</t>
  </si>
  <si>
    <t>#231</t>
  </si>
  <si>
    <t>I-200-20269-845191</t>
  </si>
  <si>
    <t>I-200-20269-846472</t>
  </si>
  <si>
    <t>I-200-20268-843155</t>
  </si>
  <si>
    <t>I-200-20268-843206</t>
  </si>
  <si>
    <t>I-200-20268-843534</t>
  </si>
  <si>
    <t>Mansur Gavriel, LLC</t>
  </si>
  <si>
    <t>Rugova</t>
  </si>
  <si>
    <t>romina@mansurgavriel.com</t>
  </si>
  <si>
    <t>1600 Capital One Dr</t>
  </si>
  <si>
    <t>300 N Commons Blvd</t>
  </si>
  <si>
    <t>I-200-20268-843312</t>
  </si>
  <si>
    <t>1010data Services LLC</t>
  </si>
  <si>
    <t>750 Third Ave</t>
  </si>
  <si>
    <t>Veliz</t>
  </si>
  <si>
    <t>kimberly.seckler@1010data.com</t>
  </si>
  <si>
    <t>I-200-20269-845975</t>
  </si>
  <si>
    <t>Dugad</t>
  </si>
  <si>
    <t>855 Kifer Road</t>
  </si>
  <si>
    <t>I-200-20269-846242</t>
  </si>
  <si>
    <t>I-200-20268-844698</t>
  </si>
  <si>
    <t>935 Stewart Drive</t>
  </si>
  <si>
    <t>I-200-20268-844075</t>
  </si>
  <si>
    <t>EFinancial, LLC</t>
  </si>
  <si>
    <t>Hoyt</t>
  </si>
  <si>
    <t>Megan.Hoyt@fidelitylife.com</t>
  </si>
  <si>
    <t>13810 SE Eastgate Way, Suite #300</t>
  </si>
  <si>
    <t>(EFinancial, LLC)</t>
  </si>
  <si>
    <t>I-200-20268-843810</t>
  </si>
  <si>
    <t>LINTHICUM HEIGHTS</t>
  </si>
  <si>
    <t>I-200-20269-845039</t>
  </si>
  <si>
    <t>123 Saint Pauls Avenue</t>
  </si>
  <si>
    <t>I-200-20268-843674</t>
  </si>
  <si>
    <t>I-200-20268-843742</t>
  </si>
  <si>
    <t>I-200-20269-845147</t>
  </si>
  <si>
    <t>4 Penn Pl, Apt B</t>
  </si>
  <si>
    <t>I-200-20268-843116</t>
  </si>
  <si>
    <t>1020, 1st Avenue</t>
  </si>
  <si>
    <t>I-200-20268-844712</t>
  </si>
  <si>
    <t>4830 Pan American Fwy. NE</t>
  </si>
  <si>
    <t>Harborside Plaza 2, 200 Hudson Street</t>
  </si>
  <si>
    <t>I-200-20269-845579</t>
  </si>
  <si>
    <t>Infomatics Corp</t>
  </si>
  <si>
    <t xml:space="preserve">MUHAMMAD FAHAD </t>
  </si>
  <si>
    <t>Stevens Institute of Technology</t>
  </si>
  <si>
    <t>One Castle Point Terrace</t>
  </si>
  <si>
    <t>hlee4@stevens.edu</t>
  </si>
  <si>
    <t>1 Castle Point Terrace</t>
  </si>
  <si>
    <t>I-200-20268-843202</t>
  </si>
  <si>
    <t>Unisoft Solutions LLC</t>
  </si>
  <si>
    <t xml:space="preserve">50 Division St, </t>
  </si>
  <si>
    <t>Somerville,</t>
  </si>
  <si>
    <t>Medarametla</t>
  </si>
  <si>
    <t xml:space="preserve">Tejasree </t>
  </si>
  <si>
    <t>50 Division St</t>
  </si>
  <si>
    <t>teju@unisoftllc.com</t>
  </si>
  <si>
    <t>CAVALIER WORKFORCE INC.</t>
  </si>
  <si>
    <t>rajesh@cavalieritinc.com</t>
  </si>
  <si>
    <t>I-200-20268-844818</t>
  </si>
  <si>
    <t>MMS HOLDINGS, INC.</t>
  </si>
  <si>
    <t>6880 COMMERCE BLVD</t>
  </si>
  <si>
    <t>GERALYN</t>
  </si>
  <si>
    <t>GERALYN@MMSHOLDINGS.COM</t>
  </si>
  <si>
    <t>I-200-20268-844767</t>
  </si>
  <si>
    <t>I-200-20268-844448</t>
  </si>
  <si>
    <t>3000 Bayport Drive, Suite 840</t>
  </si>
  <si>
    <t>I-200-20268-844322</t>
  </si>
  <si>
    <t>I-200-20268-844106</t>
  </si>
  <si>
    <t>I-200-20268-844718</t>
  </si>
  <si>
    <t xml:space="preserve"> 6565 Headquarters Dr</t>
  </si>
  <si>
    <t>I-200-20268-843508</t>
  </si>
  <si>
    <t xml:space="preserve">720 4th Avenue </t>
  </si>
  <si>
    <t xml:space="preserve">STE 300 </t>
  </si>
  <si>
    <t>I-200-20268-844175</t>
  </si>
  <si>
    <t xml:space="preserve">1310 Goshen Parkway </t>
  </si>
  <si>
    <t>I-200-20268-843454</t>
  </si>
  <si>
    <t>I-200-20268-844796</t>
  </si>
  <si>
    <t>I-200-20268-844891</t>
  </si>
  <si>
    <t>859 Gary Lee King Common</t>
  </si>
  <si>
    <t>I-200-20268-843196</t>
  </si>
  <si>
    <t>I-200-20268-843827</t>
  </si>
  <si>
    <t>LEK Consulting LLC</t>
  </si>
  <si>
    <t>Chief Talent Officer, The Americas</t>
  </si>
  <si>
    <t>l.reddy@lek.com</t>
  </si>
  <si>
    <t>I-200-20268-844432</t>
  </si>
  <si>
    <t>I-200-20268-843912</t>
  </si>
  <si>
    <t>1263 ARROW PINE DRIVE</t>
  </si>
  <si>
    <t>I-200-20268-844675</t>
  </si>
  <si>
    <t>I-200-20268-844769</t>
  </si>
  <si>
    <t>I-200-20268-844581</t>
  </si>
  <si>
    <t>Corden Pharma Colorado, Inc.</t>
  </si>
  <si>
    <t>2075 55th St.</t>
  </si>
  <si>
    <t>Human Resources Business Partner - Training Coordinator</t>
  </si>
  <si>
    <t>barabara.romero@cordenpharma.com</t>
  </si>
  <si>
    <t>I-200-20268-844343</t>
  </si>
  <si>
    <t>I-200-20268-843231</t>
  </si>
  <si>
    <t>I-200-20268-844218</t>
  </si>
  <si>
    <t>541, Main Street</t>
  </si>
  <si>
    <t>Remote Tiger, Inc.</t>
  </si>
  <si>
    <t>Zimeno Inc. dba Monarch Tractor</t>
  </si>
  <si>
    <t>203 Lawrence Drive</t>
  </si>
  <si>
    <t>Schwager</t>
  </si>
  <si>
    <t>mschwager@monarchtractor.com</t>
  </si>
  <si>
    <t>I-200-20268-843252</t>
  </si>
  <si>
    <t>East West Systems Inc.</t>
  </si>
  <si>
    <t>277 Fairfield Road,</t>
  </si>
  <si>
    <t>ZAFAR</t>
  </si>
  <si>
    <t>Faisal</t>
  </si>
  <si>
    <t>Vice President, Finance &amp; Operations</t>
  </si>
  <si>
    <t>277 Fairfield Road</t>
  </si>
  <si>
    <t>faisal.zafar@ewsystemsinc.com</t>
  </si>
  <si>
    <t xml:space="preserve">1295 State Street, </t>
  </si>
  <si>
    <t>I-200-20268-844854</t>
  </si>
  <si>
    <t>I-200-20268-843768</t>
  </si>
  <si>
    <t>I-200-20268-844701</t>
  </si>
  <si>
    <t>1065 Greco Ave, Apt 101</t>
  </si>
  <si>
    <t>Dart Container of Michigan LLC</t>
  </si>
  <si>
    <t>500 Hogsback Road</t>
  </si>
  <si>
    <t>Dreasky</t>
  </si>
  <si>
    <t>Director of Culture, Inclusion and Diversity</t>
  </si>
  <si>
    <t>sherry.dreasky@dart.biz</t>
  </si>
  <si>
    <t>500 Hogsback Rd.</t>
  </si>
  <si>
    <t>I-200-20269-846632</t>
  </si>
  <si>
    <t xml:space="preserve">GOOGLE BUILDING 1129, 1129 SAN ANTONIO RD </t>
  </si>
  <si>
    <t>I-200-20268-844555</t>
  </si>
  <si>
    <t>441 W. POWERLINE ROAD</t>
  </si>
  <si>
    <t>HEBER CITY</t>
  </si>
  <si>
    <t>I-200-20269-845333</t>
  </si>
  <si>
    <t>Heenaa@employmentimmigration.com</t>
  </si>
  <si>
    <t>I-200-20269-846040</t>
  </si>
  <si>
    <t>I-200-20268-844145</t>
  </si>
  <si>
    <t>BOSCH REXROTH CORPORATION</t>
  </si>
  <si>
    <t>SR HR SERVICES REPRESENTATIVE</t>
  </si>
  <si>
    <t>8 SOUTHCHASE COURT</t>
  </si>
  <si>
    <t>FOUNTAIN INN</t>
  </si>
  <si>
    <t>I-200-20268-844509</t>
  </si>
  <si>
    <t>LINDE GAS NORTH AMERICA LLC</t>
  </si>
  <si>
    <t xml:space="preserve">Dorothy </t>
  </si>
  <si>
    <t>DTHAKUR@FRAGOMEN.COM</t>
  </si>
  <si>
    <t>I-200-20268-843306</t>
  </si>
  <si>
    <t>3001 S Course Dr.</t>
  </si>
  <si>
    <t>Apt. 305</t>
  </si>
  <si>
    <t>I-200-20269-846286</t>
  </si>
  <si>
    <t>I-200-20268-843331</t>
  </si>
  <si>
    <t>3724 Honey Locust Drive</t>
  </si>
  <si>
    <t>Senior Business Partner, Employee Relations</t>
  </si>
  <si>
    <t>I-200-20268-844326</t>
  </si>
  <si>
    <t>Lorraine D'Alessio, A Professional Law Corp</t>
  </si>
  <si>
    <t>6420 WILSHIRE BLVD.</t>
  </si>
  <si>
    <t>D'ALESSIO</t>
  </si>
  <si>
    <t>JAY@DLGIMMIGRATION.COM</t>
  </si>
  <si>
    <t>6420 Wilshire Blvd.</t>
  </si>
  <si>
    <t>Ste. 1100</t>
  </si>
  <si>
    <t>Sashidhar</t>
  </si>
  <si>
    <t>contracts@siclamerica.com</t>
  </si>
  <si>
    <t>I-200-20268-843973</t>
  </si>
  <si>
    <t>SFITZGERALD@AURORA.TECH</t>
  </si>
  <si>
    <t>1880 Embarcadero Road</t>
  </si>
  <si>
    <t>teresa.sims@KLGATES.COM</t>
  </si>
  <si>
    <t>I-200-20268-844268</t>
  </si>
  <si>
    <t>I-200-20268-844607</t>
  </si>
  <si>
    <t>I-200-20269-845340</t>
  </si>
  <si>
    <t>I-200-20268-843626</t>
  </si>
  <si>
    <t xml:space="preserve">77 REED ROAD </t>
  </si>
  <si>
    <t>I-200-20268-843472</t>
  </si>
  <si>
    <t>Captive-Aire Systems, Inc.</t>
  </si>
  <si>
    <t xml:space="preserve">4641 Paragon Park Rd </t>
  </si>
  <si>
    <t>Launer</t>
  </si>
  <si>
    <t>Divisional HR Manager</t>
  </si>
  <si>
    <t>4641 Paragon Park Rd</t>
  </si>
  <si>
    <t>I-200-20268-843947</t>
  </si>
  <si>
    <t>I-200-20268-843428</t>
  </si>
  <si>
    <t>I-200-20269-844916</t>
  </si>
  <si>
    <t>I-200-20269-845361</t>
  </si>
  <si>
    <t>I-200-20270-846811</t>
  </si>
  <si>
    <t>I-200-20268-843403</t>
  </si>
  <si>
    <t>275 Grandview Avenue</t>
  </si>
  <si>
    <t>I-200-20268-843437</t>
  </si>
  <si>
    <t xml:space="preserve">11050 White Rock Road </t>
  </si>
  <si>
    <t>I-200-20269-845049</t>
  </si>
  <si>
    <t>5431 N East River Road</t>
  </si>
  <si>
    <t>Apt 1514</t>
  </si>
  <si>
    <t>I-200-20268-843146</t>
  </si>
  <si>
    <t>400 Broadway Street</t>
  </si>
  <si>
    <t>I-200-20268-844807</t>
  </si>
  <si>
    <t xml:space="preserve">SRINIVASA </t>
  </si>
  <si>
    <t>Stratedge, Inc.</t>
  </si>
  <si>
    <t>2410 Camino Ramon</t>
  </si>
  <si>
    <t>shilpa@stratedge.us.com</t>
  </si>
  <si>
    <t>I-200-20268-844473</t>
  </si>
  <si>
    <t>I-200-20269-845629</t>
  </si>
  <si>
    <t>7305 PACIFIC STREET</t>
  </si>
  <si>
    <t>I-200-20269-846155</t>
  </si>
  <si>
    <t>13491 Hansel St</t>
  </si>
  <si>
    <t>I-200-20268-844752</t>
  </si>
  <si>
    <t>REED SMITH LLP</t>
  </si>
  <si>
    <t>225 FIFTH AVENUE</t>
  </si>
  <si>
    <t>CRAVER</t>
  </si>
  <si>
    <t>U.S. DIRECTOR OF LEGAL PERSONNEL</t>
  </si>
  <si>
    <t>599 LEXINGTON AVENUE</t>
  </si>
  <si>
    <t>KCRAVER@REEDSMITH.COM</t>
  </si>
  <si>
    <t>I-200-20268-844275</t>
  </si>
  <si>
    <t>I-200-20268-843891</t>
  </si>
  <si>
    <t>Lafayette Court</t>
  </si>
  <si>
    <t>I-200-20269-846272</t>
  </si>
  <si>
    <t>2180 N. GlenVille Dr</t>
  </si>
  <si>
    <t>I-200-20268-844578</t>
  </si>
  <si>
    <t xml:space="preserve">Propylon, Inc. </t>
  </si>
  <si>
    <t>2029 Becker Drive</t>
  </si>
  <si>
    <t>Marie-Claire</t>
  </si>
  <si>
    <t xml:space="preserve">Head of HR </t>
  </si>
  <si>
    <t>marieclaire.collins@propylon.com</t>
  </si>
  <si>
    <t>4408 Cambry Lane</t>
  </si>
  <si>
    <t>I-200-20268-844496</t>
  </si>
  <si>
    <t>I-200-20269-845401</t>
  </si>
  <si>
    <t>I-200-20268-844022</t>
  </si>
  <si>
    <t>VP NA HR STRATEGY &amp; PLANNING</t>
  </si>
  <si>
    <t>I-200-20268-843958</t>
  </si>
  <si>
    <t>65 Mario Capecchi Drive</t>
  </si>
  <si>
    <t>I-200-20268-844081</t>
  </si>
  <si>
    <t>I-200-20268-843095</t>
  </si>
  <si>
    <t>10401, Highland Manor Drive, Suite 300</t>
  </si>
  <si>
    <t>I-200-20268-843190</t>
  </si>
  <si>
    <t>Hoops</t>
  </si>
  <si>
    <t>I-200-20268-843941</t>
  </si>
  <si>
    <t>I-200-20268-843199</t>
  </si>
  <si>
    <t>I-200-20268-843187</t>
  </si>
  <si>
    <t>1173 AVENT DR APT 204</t>
  </si>
  <si>
    <t>I-200-20268-844027</t>
  </si>
  <si>
    <t>Nestle Purina PetCare Company</t>
  </si>
  <si>
    <t>FAISON / HITT</t>
  </si>
  <si>
    <t>KRISTIN / EMILY</t>
  </si>
  <si>
    <t>GLOBAL MOBILITY</t>
  </si>
  <si>
    <t>ONE CHECKERBOARD SQUARE</t>
  </si>
  <si>
    <t>KRISTIN.FAISON@US.NESTLE.COM</t>
  </si>
  <si>
    <t>I-200-20268-844358</t>
  </si>
  <si>
    <t>I-200-20269-845240</t>
  </si>
  <si>
    <t>13525 BARTRAM PARK BLVD UNIT 335</t>
  </si>
  <si>
    <t>I-200-20268-843275</t>
  </si>
  <si>
    <t>Iowa Physicians Clinic Medical Foundation</t>
  </si>
  <si>
    <t>Cummins</t>
  </si>
  <si>
    <t>Amanda.Cummins@unitypoint.org</t>
  </si>
  <si>
    <t>4480 Utica Ridge Road</t>
  </si>
  <si>
    <t>I-200-20268-844641</t>
  </si>
  <si>
    <t>I-200-20268-843805</t>
  </si>
  <si>
    <t>21254 Barley Hall Terrace</t>
  </si>
  <si>
    <t>20205 NORTH CREEK PKWY</t>
  </si>
  <si>
    <t>I-200-20269-846198</t>
  </si>
  <si>
    <t xml:space="preserve">3326 160th Avenue SE </t>
  </si>
  <si>
    <t xml:space="preserve">Rana </t>
  </si>
  <si>
    <t xml:space="preserve">Talha </t>
  </si>
  <si>
    <t>809 Moberly Lane</t>
  </si>
  <si>
    <t>I-200-20268-843723</t>
  </si>
  <si>
    <t>I-200-20268-843757</t>
  </si>
  <si>
    <t>I-200-20268-844531</t>
  </si>
  <si>
    <t>LUCIANE 5728</t>
  </si>
  <si>
    <t>I-200-20268-844546</t>
  </si>
  <si>
    <t>Nu Rev Communications, Inc.</t>
  </si>
  <si>
    <t xml:space="preserve">2428 Research Drive </t>
  </si>
  <si>
    <t>Galicha</t>
  </si>
  <si>
    <t xml:space="preserve">Roberto </t>
  </si>
  <si>
    <t xml:space="preserve">Simbulan </t>
  </si>
  <si>
    <t>2428 Research Drive</t>
  </si>
  <si>
    <t>r.galicha@nurevinc.com</t>
  </si>
  <si>
    <t>2428 Research Dr.</t>
  </si>
  <si>
    <t>I-200-20268-843079</t>
  </si>
  <si>
    <t>I-200-20268-843258</t>
  </si>
  <si>
    <t>I-200-20269-846275</t>
  </si>
  <si>
    <t>1795 Second Street</t>
  </si>
  <si>
    <t>I-200-20268-843751</t>
  </si>
  <si>
    <t xml:space="preserve">12000 Sunrise Valley Drive, </t>
  </si>
  <si>
    <t>Vickie</t>
  </si>
  <si>
    <t>Metairie</t>
  </si>
  <si>
    <t>I-200-20268-844132</t>
  </si>
  <si>
    <t>I-200-20269-846523</t>
  </si>
  <si>
    <t>I-200-20268-843907</t>
  </si>
  <si>
    <t>12600 DEERFIELD PARKWAY</t>
  </si>
  <si>
    <t>I-200-20268-844002</t>
  </si>
  <si>
    <t>I-200-20268-844167</t>
  </si>
  <si>
    <t>2302 International Ln</t>
  </si>
  <si>
    <t>I-200-20269-845985</t>
  </si>
  <si>
    <t xml:space="preserve">1101 Dexter Ave. N </t>
  </si>
  <si>
    <t>I-200-20268-843549</t>
  </si>
  <si>
    <t>Regional Immigration Manager-Americas</t>
  </si>
  <si>
    <t>6105 Tennyson Parkway</t>
  </si>
  <si>
    <t>I-200-20268-843493</t>
  </si>
  <si>
    <t>1608 Fourth St,</t>
  </si>
  <si>
    <t xml:space="preserve"> Suite 400,</t>
  </si>
  <si>
    <t>I-200-20268-844819</t>
  </si>
  <si>
    <t>I-200-20268-843439</t>
  </si>
  <si>
    <t>I-200-20269-846330</t>
  </si>
  <si>
    <t>RELIANCE GLOBAL SERVICES INC.</t>
  </si>
  <si>
    <t>PALVAI</t>
  </si>
  <si>
    <t>BRAHMA REDDY</t>
  </si>
  <si>
    <t>HR@RELIANCEGLOBAL.COM</t>
  </si>
  <si>
    <t>I-200-20268-844638</t>
  </si>
  <si>
    <t>2400 Yorkmont Rd</t>
  </si>
  <si>
    <t>I-200-20268-843366</t>
  </si>
  <si>
    <t>St. John's University</t>
  </si>
  <si>
    <t>8000 Utopia Parkway</t>
  </si>
  <si>
    <t>Assoc. Director, Equal Opportunity &amp; Compliance Office of HR</t>
  </si>
  <si>
    <t>haynesd1@stjohns.edu</t>
  </si>
  <si>
    <t>Innovapptive, Inc.</t>
  </si>
  <si>
    <t>24 Greenway Plaza</t>
  </si>
  <si>
    <t>Shimek</t>
  </si>
  <si>
    <t>helen.shimek@innovapptive.com</t>
  </si>
  <si>
    <t>Ste. 1501</t>
  </si>
  <si>
    <t>InnovAccer Inc.</t>
  </si>
  <si>
    <t>535 Mission St</t>
  </si>
  <si>
    <t>sandra.simon@innovaccer.com</t>
  </si>
  <si>
    <t>I-200-20269-845038</t>
  </si>
  <si>
    <t>I-200-20268-843917</t>
  </si>
  <si>
    <t xml:space="preserve">Ivy Investment Management Co. </t>
  </si>
  <si>
    <t>6300 Lamar Ave</t>
  </si>
  <si>
    <t>Ricardo</t>
  </si>
  <si>
    <t>rrodriguez1@waddell.com</t>
  </si>
  <si>
    <t>I-200-20269-846045</t>
  </si>
  <si>
    <t>I-200-20268-844414</t>
  </si>
  <si>
    <t>1, American Sq</t>
  </si>
  <si>
    <t>I-200-20268-844544</t>
  </si>
  <si>
    <t>I-200-20268-844866</t>
  </si>
  <si>
    <t>I-200-20268-843395</t>
  </si>
  <si>
    <t>785 Arbor Way</t>
  </si>
  <si>
    <t xml:space="preserve">8521 Six Forks Road </t>
  </si>
  <si>
    <t>I-200-20268-843184</t>
  </si>
  <si>
    <t xml:space="preserve">Vanamala </t>
  </si>
  <si>
    <t>I-200-20268-844325</t>
  </si>
  <si>
    <t>4810 EASTGATE MALL</t>
  </si>
  <si>
    <t>Education Administrators, Preschool and Childcare Center/Program</t>
  </si>
  <si>
    <t>I-200-20269-845268</t>
  </si>
  <si>
    <t>I-200-20269-845185</t>
  </si>
  <si>
    <t>303 SOUTH REGENCY DRIVE APT. 1A</t>
  </si>
  <si>
    <t>I-200-20268-843672</t>
  </si>
  <si>
    <t>I-200-20268-843168</t>
  </si>
  <si>
    <t>I-200-20268-843400</t>
  </si>
  <si>
    <t>Metanoia Solutions, Inc.</t>
  </si>
  <si>
    <t>45945 Center Oak Plaza, Suite 125</t>
  </si>
  <si>
    <t>Musinipally</t>
  </si>
  <si>
    <t>jeevan@metanoiasolutions.com</t>
  </si>
  <si>
    <t>801 Spring St</t>
  </si>
  <si>
    <t>Building 2 #1113</t>
  </si>
  <si>
    <t>ccordle@malikpopiel.com</t>
  </si>
  <si>
    <t>I-200-20269-845620</t>
  </si>
  <si>
    <t>I-200-20268-844184</t>
  </si>
  <si>
    <t>Tissa Technology Inc</t>
  </si>
  <si>
    <t>2001 Timberloch Place</t>
  </si>
  <si>
    <t>Vedpathak</t>
  </si>
  <si>
    <t>Sr Executive</t>
  </si>
  <si>
    <t>vedpathak@tissatech.com</t>
  </si>
  <si>
    <t xml:space="preserve">2001 Timberloch Place, Suite 500 </t>
  </si>
  <si>
    <t>I-200-20269-846406</t>
  </si>
  <si>
    <t>3013 Rainer Rd</t>
  </si>
  <si>
    <t>I-200-20268-844035</t>
  </si>
  <si>
    <t>I2U SYSTEMS, INC.</t>
  </si>
  <si>
    <t>7070 KNIGHTS CT</t>
  </si>
  <si>
    <t>I-200-20268-844823</t>
  </si>
  <si>
    <t>LIBERTINY</t>
  </si>
  <si>
    <t>I-200-20268-843071</t>
  </si>
  <si>
    <t>I-200-20268-844474</t>
  </si>
  <si>
    <t>1151 Maplewood Drive</t>
  </si>
  <si>
    <t>I-200-20268-843144</t>
  </si>
  <si>
    <t>Duong / Leonard</t>
  </si>
  <si>
    <t>Vivian / Susan</t>
  </si>
  <si>
    <t>Nickovich</t>
  </si>
  <si>
    <t>olivia.nickovich@ansys.com</t>
  </si>
  <si>
    <t>I-200-20270-846870</t>
  </si>
  <si>
    <t>200 N. MILWAUKEE AVE.</t>
  </si>
  <si>
    <t>Brownback</t>
  </si>
  <si>
    <t>I-200-20269-844963</t>
  </si>
  <si>
    <t>I-200-20268-843096</t>
  </si>
  <si>
    <t>102, Corbin Avenue, Apartment B2</t>
  </si>
  <si>
    <t>APT # 208</t>
  </si>
  <si>
    <t>I-200-20269-845545</t>
  </si>
  <si>
    <t>I-200-20268-843229</t>
  </si>
  <si>
    <t xml:space="preserve">609 MAIN STREET, </t>
  </si>
  <si>
    <t>I-200-20268-843049</t>
  </si>
  <si>
    <t>545 E. John Carpenter Frwy</t>
  </si>
  <si>
    <t>I-200-20268-843226</t>
  </si>
  <si>
    <t xml:space="preserve">2401 Utah Ave S, </t>
  </si>
  <si>
    <t>I-200-20268-844688</t>
  </si>
  <si>
    <t>601 Hawaii Street</t>
  </si>
  <si>
    <t>I-200-20268-843029</t>
  </si>
  <si>
    <t xml:space="preserve">3801 CHASE WELLESLEY CT APT 216 </t>
  </si>
  <si>
    <t>I-200-20269-845752</t>
  </si>
  <si>
    <t>I-200-20268-844703</t>
  </si>
  <si>
    <t>Hye Jin</t>
  </si>
  <si>
    <t>AMG TECHNOLOGY</t>
  </si>
  <si>
    <t xml:space="preserve">103B, 12 Lincoln Blvd., </t>
  </si>
  <si>
    <t>KHERHA</t>
  </si>
  <si>
    <t>DAMAN</t>
  </si>
  <si>
    <t>103B, 12 LINCOLN BLVD.</t>
  </si>
  <si>
    <t>EMERSON</t>
  </si>
  <si>
    <t>I-200-20268-844131</t>
  </si>
  <si>
    <t>dnguyen@dntxlegal.com</t>
  </si>
  <si>
    <t>I-200-20268-844399</t>
  </si>
  <si>
    <t>I-200-20268-844201</t>
  </si>
  <si>
    <t>Banker Steel Co LLC</t>
  </si>
  <si>
    <t>1619 Wythe Rd</t>
  </si>
  <si>
    <t>Corporate Director of HR</t>
  </si>
  <si>
    <t>jaustin@bankersteel.com</t>
  </si>
  <si>
    <t>I-200-20268-844044</t>
  </si>
  <si>
    <t>I-200-20269-846488</t>
  </si>
  <si>
    <t>8759 Kilpeck Ct</t>
  </si>
  <si>
    <t>I-200-20269-845164</t>
  </si>
  <si>
    <t>I-200-20270-846825</t>
  </si>
  <si>
    <t>I-200-20268-844160</t>
  </si>
  <si>
    <t>225 Liberty St</t>
  </si>
  <si>
    <t>I-200-20269-846597</t>
  </si>
  <si>
    <t>685 Route 202 206</t>
  </si>
  <si>
    <t>I-200-20268-843261</t>
  </si>
  <si>
    <t>I-200-20269-845611</t>
  </si>
  <si>
    <t>250 LIVINGSTON</t>
  </si>
  <si>
    <t>I-200-20269-846549</t>
  </si>
  <si>
    <t>2645 Contra Way</t>
  </si>
  <si>
    <t>Course5 Intelligence Private Limited</t>
  </si>
  <si>
    <t>2509 152nd Ave NE, Building 16, Suite E</t>
  </si>
  <si>
    <t>Ved</t>
  </si>
  <si>
    <t>Associate Vice President - Human Resources</t>
  </si>
  <si>
    <t>2509 152 Ave NE, Building 16, Suite E</t>
  </si>
  <si>
    <t>payal.ved@course5i.com</t>
  </si>
  <si>
    <t>I-200-20269-845705</t>
  </si>
  <si>
    <t>6400 WEST ENTERPRISE DRIVE</t>
  </si>
  <si>
    <t>MEQUON</t>
  </si>
  <si>
    <t>I-200-20268-844357</t>
  </si>
  <si>
    <t>I-200-20269-846626</t>
  </si>
  <si>
    <t>CHARLOTTE </t>
  </si>
  <si>
    <t>I-200-20268-844346</t>
  </si>
  <si>
    <t xml:space="preserve">5629 Daffodil Cir </t>
  </si>
  <si>
    <t>I-200-20268-843353</t>
  </si>
  <si>
    <t>2501 S Price Rd</t>
  </si>
  <si>
    <t>I-200-20268-843905</t>
  </si>
  <si>
    <t>2201 BROADWAY ST</t>
  </si>
  <si>
    <t>I-200-20268-844143</t>
  </si>
  <si>
    <t>I-200-20268-843378</t>
  </si>
  <si>
    <t>31235 Louis Chevrolet Road</t>
  </si>
  <si>
    <t>I-200-20268-843794</t>
  </si>
  <si>
    <t xml:space="preserve">5565 GLENRIDGE CON #2000 </t>
  </si>
  <si>
    <t>303 2nd St</t>
  </si>
  <si>
    <t>I-200-20268-844452</t>
  </si>
  <si>
    <t>1100 15TH STREET NW</t>
  </si>
  <si>
    <t>I-200-20269-845126</t>
  </si>
  <si>
    <t>LCA@GOKARLAW.COM</t>
  </si>
  <si>
    <t>I-200-20268-843883</t>
  </si>
  <si>
    <t>I-200-20268-843023</t>
  </si>
  <si>
    <t>Preziba, Inc.</t>
  </si>
  <si>
    <t>1870 Ogden Drive</t>
  </si>
  <si>
    <t>Fouladgar-Mercer</t>
  </si>
  <si>
    <t>Sharam</t>
  </si>
  <si>
    <t>sharam@preziba.com</t>
  </si>
  <si>
    <t>I-200-20268-843609</t>
  </si>
  <si>
    <t>809 West Clements St</t>
  </si>
  <si>
    <t>I-200-20269-844934</t>
  </si>
  <si>
    <t>I-200-20268-844378</t>
  </si>
  <si>
    <t>IT Catalyst Global Solutions Inc.</t>
  </si>
  <si>
    <t>70 Doray Drive</t>
  </si>
  <si>
    <t>Vinoo</t>
  </si>
  <si>
    <t>vinoo@itcatalystusa.com</t>
  </si>
  <si>
    <t>4840 Westfields Blvd</t>
  </si>
  <si>
    <t>I-200-20268-843021</t>
  </si>
  <si>
    <t>Shoebuy.com, Inc.</t>
  </si>
  <si>
    <t>One Constitution Road</t>
  </si>
  <si>
    <t>Champa</t>
  </si>
  <si>
    <t>lia.champa@shoes.com</t>
  </si>
  <si>
    <t>I-200-20269-846192</t>
  </si>
  <si>
    <t>809 Moberly Lane,</t>
  </si>
  <si>
    <t>I-200-20268-844646</t>
  </si>
  <si>
    <t>15 E 26th Street</t>
  </si>
  <si>
    <t>Ste. 602</t>
  </si>
  <si>
    <t>I-200-20268-844431</t>
  </si>
  <si>
    <t>I-200-20269-844942</t>
  </si>
  <si>
    <t>I-200-20268-843253</t>
  </si>
  <si>
    <t>I-200-20268-843654</t>
  </si>
  <si>
    <t>BETH ISRAEL DEACONESS MEDICAL CENTER, INC.</t>
  </si>
  <si>
    <t>330 BROOKLINE AVENUE</t>
  </si>
  <si>
    <t>I-200-20269-845247</t>
  </si>
  <si>
    <t>I-200-20268-844490</t>
  </si>
  <si>
    <t>14110 Scottslawn Road</t>
  </si>
  <si>
    <t>I-200-20268-843686</t>
  </si>
  <si>
    <t>20520 NW Evergreen Parkway</t>
  </si>
  <si>
    <t>I-200-20269-846609</t>
  </si>
  <si>
    <t>I-200-20268-843868</t>
  </si>
  <si>
    <t>1050 Crown Pointe Pkwy</t>
  </si>
  <si>
    <t xml:space="preserve">Paralegal, Employment Law </t>
  </si>
  <si>
    <t>I-200-20269-846306</t>
  </si>
  <si>
    <t>I-200-20268-843169</t>
  </si>
  <si>
    <t>10835 N 25th Avenue</t>
  </si>
  <si>
    <t>I-200-20269-846373</t>
  </si>
  <si>
    <t>I-200-20268-844429</t>
  </si>
  <si>
    <t>750 Park street</t>
  </si>
  <si>
    <t>I-200-20268-843903</t>
  </si>
  <si>
    <t>I-200-20268-843746</t>
  </si>
  <si>
    <t>I-200-20268-843026</t>
  </si>
  <si>
    <t>I-200-20268-843161</t>
  </si>
  <si>
    <t>140 Old Orangeburg Rd</t>
  </si>
  <si>
    <t>I-200-20268-843530</t>
  </si>
  <si>
    <t>I-200-20268-843612</t>
  </si>
  <si>
    <t>9325 Ponderosa Trl</t>
  </si>
  <si>
    <t>daman@amgtechnology-us.com</t>
  </si>
  <si>
    <t>I-200-20269-845438</t>
  </si>
  <si>
    <t>525 W ALLEGAN STREET</t>
  </si>
  <si>
    <t>I-200-20269-846471</t>
  </si>
  <si>
    <t>36 Darmouth St, Apt 803</t>
  </si>
  <si>
    <t>I-200-20268-843967</t>
  </si>
  <si>
    <t xml:space="preserve">1525 W Wt. Harris Blvd. </t>
  </si>
  <si>
    <t>I-200-20268-843125</t>
  </si>
  <si>
    <t>I-200-20268-843068</t>
  </si>
  <si>
    <t>1129 Westchester Avenue W</t>
  </si>
  <si>
    <t>MHoxha@fragomen.com</t>
  </si>
  <si>
    <t>I-200-20268-844673</t>
  </si>
  <si>
    <t>hr@ctsincorp.com</t>
  </si>
  <si>
    <t>I-200-20268-843889</t>
  </si>
  <si>
    <t>I-200-20268-843785</t>
  </si>
  <si>
    <t>54 E Clare Ct</t>
  </si>
  <si>
    <t>I-200-20268-843284</t>
  </si>
  <si>
    <t>D&amp;H Distributing Co.</t>
  </si>
  <si>
    <t>100 Tech Drive</t>
  </si>
  <si>
    <t>kwalsh@dandh.com</t>
  </si>
  <si>
    <t>100 Tech Dr.</t>
  </si>
  <si>
    <t>I-200-20269-846182</t>
  </si>
  <si>
    <t>I-200-20268-843001</t>
  </si>
  <si>
    <t>I-200-20268-844162</t>
  </si>
  <si>
    <t>I-200-20269-845572</t>
  </si>
  <si>
    <t>7701 E. Telecom Pkwy.</t>
  </si>
  <si>
    <t>I-200-20269-845615</t>
  </si>
  <si>
    <t>6625 West 78th St</t>
  </si>
  <si>
    <t>I-200-20268-844647</t>
  </si>
  <si>
    <t xml:space="preserve">1111 Marcus Avenue, </t>
  </si>
  <si>
    <t>Suite LL20</t>
  </si>
  <si>
    <t>I-200-20268-843590</t>
  </si>
  <si>
    <t>I-200-20269-844936</t>
  </si>
  <si>
    <t>1220 Charleston Rd</t>
  </si>
  <si>
    <t>I-200-20268-844707</t>
  </si>
  <si>
    <t>1070, East Arques Avenue</t>
  </si>
  <si>
    <t>I-200-20268-844475</t>
  </si>
  <si>
    <t>I-200-20268-843761</t>
  </si>
  <si>
    <t>I-200-20268-844354</t>
  </si>
  <si>
    <t>Q2 Software, Inc.</t>
  </si>
  <si>
    <t xml:space="preserve"> 13785 Research Blvd.</t>
  </si>
  <si>
    <t>I-200-20268-844766</t>
  </si>
  <si>
    <t>2505 Ted Bushelman Blvd</t>
  </si>
  <si>
    <t>I-200-20268-843133</t>
  </si>
  <si>
    <t>I-200-20269-845778</t>
  </si>
  <si>
    <t>I-200-20269-845041</t>
  </si>
  <si>
    <t>1480 US HIGHWAY 46 APT 12A</t>
  </si>
  <si>
    <t>I-200-20268-843862</t>
  </si>
  <si>
    <t>1000 W. Maude Avnue</t>
  </si>
  <si>
    <t>I-200-20269-846295</t>
  </si>
  <si>
    <t>I-200-20268-843382</t>
  </si>
  <si>
    <t>250 Technology Drive</t>
  </si>
  <si>
    <t>BALLWIN</t>
  </si>
  <si>
    <t>I-200-20269-845967</t>
  </si>
  <si>
    <t>Mindboard, Inc.</t>
  </si>
  <si>
    <t>43676 Trade Center Place</t>
  </si>
  <si>
    <t>PANDE</t>
  </si>
  <si>
    <t>vpande@mindboard.com</t>
  </si>
  <si>
    <t>ONE GLENLAKE PKWY NE</t>
  </si>
  <si>
    <t>I-200-20269-845360</t>
  </si>
  <si>
    <t>One Mercedes-Benz Drive</t>
  </si>
  <si>
    <t>I-200-20268-843333</t>
  </si>
  <si>
    <t>DAIICHI SANKYO INC.</t>
  </si>
  <si>
    <t>211 MT AIRY ROAD</t>
  </si>
  <si>
    <t>Barbieri</t>
  </si>
  <si>
    <t>pbarbieri@dsi.com</t>
  </si>
  <si>
    <t>Tallassee</t>
  </si>
  <si>
    <t>I-200-20268-844178</t>
  </si>
  <si>
    <t>I-200-20268-844349</t>
  </si>
  <si>
    <t>I-200-20268-843538</t>
  </si>
  <si>
    <t>I-200-20268-843864</t>
  </si>
  <si>
    <t>WANdisco, Inc.</t>
  </si>
  <si>
    <t>5000 Executive Parkway</t>
  </si>
  <si>
    <t>Chiang</t>
  </si>
  <si>
    <t>jessica.chiang@wandisco.com</t>
  </si>
  <si>
    <t>I-200-20268-843832</t>
  </si>
  <si>
    <t>3800 Citi Center Drive</t>
  </si>
  <si>
    <t>I-200-20268-844582</t>
  </si>
  <si>
    <t>1593 GALBRAITH AVENUE, SE</t>
  </si>
  <si>
    <t>I-200-20268-844338</t>
  </si>
  <si>
    <t>200 vesey st</t>
  </si>
  <si>
    <t>Sugar Hill</t>
  </si>
  <si>
    <t>I-200-20268-844736</t>
  </si>
  <si>
    <t>6104 GALLEON DRIVE</t>
  </si>
  <si>
    <t>I-200-20269-845804</t>
  </si>
  <si>
    <t>I-200-20268-844169</t>
  </si>
  <si>
    <t>45335  Vintage Park Plaza</t>
  </si>
  <si>
    <t>I-200-20268-844759</t>
  </si>
  <si>
    <t>1001 Marshall Street, Suite 100</t>
  </si>
  <si>
    <t>lisa@lisayuimmigration.com</t>
  </si>
  <si>
    <t>Floors 57-58</t>
  </si>
  <si>
    <t>I-200-20268-843846</t>
  </si>
  <si>
    <t>13800 Coppermine Rd.</t>
  </si>
  <si>
    <t>13800 Coopermine Road</t>
  </si>
  <si>
    <t>I-200-20268-844635</t>
  </si>
  <si>
    <t>I-200-20268-843982</t>
  </si>
  <si>
    <t xml:space="preserve">ATLANTA MUSIC PROJECT, INC. </t>
  </si>
  <si>
    <t>883 DILL AVE SW</t>
  </si>
  <si>
    <t>JURAVEL</t>
  </si>
  <si>
    <t>PHILIP</t>
  </si>
  <si>
    <t>BOARD CHAIRPERSON</t>
  </si>
  <si>
    <t>883 Dill Ave. SW</t>
  </si>
  <si>
    <t>PHIL@JURAVELCPA.COM</t>
  </si>
  <si>
    <t>883 DILL AVENUE SW</t>
  </si>
  <si>
    <t>stephen.pocalyko@agg.com</t>
  </si>
  <si>
    <t>I-200-20268-843466</t>
  </si>
  <si>
    <t>JDC HEALTHCARE PLLC</t>
  </si>
  <si>
    <t>3030 LBJ FWY., STE. 1440</t>
  </si>
  <si>
    <t xml:space="preserve">3030 LBJ FWY </t>
  </si>
  <si>
    <t>immigrationsupport@jdcweb.com</t>
  </si>
  <si>
    <t xml:space="preserve"> 5708 Chimney Rock Rd </t>
  </si>
  <si>
    <t>I-200-20268-844871</t>
  </si>
  <si>
    <t>M3 ACCOUNTING SERVICES, INC.</t>
  </si>
  <si>
    <t>1715 N. BROWN ROAD</t>
  </si>
  <si>
    <t>FARSCHMAN</t>
  </si>
  <si>
    <t>SR. VP OF HUMAN RESOURCES</t>
  </si>
  <si>
    <t>1715 N. BROWN ROAD, BLDG. A</t>
  </si>
  <si>
    <t>JULIE.FARSCHMAN@M3AS.COM</t>
  </si>
  <si>
    <t>1715 N. Brown Rd., Bldg. A</t>
  </si>
  <si>
    <t>I-200-20268-844272</t>
  </si>
  <si>
    <t>9101 Tuscany Way</t>
  </si>
  <si>
    <t>I-200-20268-843464</t>
  </si>
  <si>
    <t>I-200-20268-843289</t>
  </si>
  <si>
    <t>I-200-20268-844256</t>
  </si>
  <si>
    <t>I-200-20269-845271</t>
  </si>
  <si>
    <t>1583 HUNTER DR APT 2D</t>
  </si>
  <si>
    <t>I-200-20268-843181</t>
  </si>
  <si>
    <t>450 S PEACHTREE PKWY, APT# V300</t>
  </si>
  <si>
    <t>I-200-20269-845380</t>
  </si>
  <si>
    <t>1714 Whispering Forest Dr, Apt 202</t>
  </si>
  <si>
    <t>I-200-20269-845252</t>
  </si>
  <si>
    <t>2875 UNION ROAD #22</t>
  </si>
  <si>
    <t>I-200-20269-844960</t>
  </si>
  <si>
    <t>RIDECELL, INC.</t>
  </si>
  <si>
    <t>JANET</t>
  </si>
  <si>
    <t>I-200-20268-844366</t>
  </si>
  <si>
    <t>44363 Rock Cove Terrace</t>
  </si>
  <si>
    <t>I-200-20268-843812</t>
  </si>
  <si>
    <t>Cooper Tire &amp; Rubber Company</t>
  </si>
  <si>
    <t>701 Lima Avenue</t>
  </si>
  <si>
    <t>SHOPE</t>
  </si>
  <si>
    <t>GLOBAL MOBILITY MANAGER - HUMAN RESOURCES</t>
  </si>
  <si>
    <t>701 LIMA AVENUE</t>
  </si>
  <si>
    <t>FINDLAY</t>
  </si>
  <si>
    <t>JKSHOPE@COOPERTIRE.COM</t>
  </si>
  <si>
    <t>FANG</t>
  </si>
  <si>
    <t>I-200-20268-843818</t>
  </si>
  <si>
    <t>Wimmer Solutions Corporation</t>
  </si>
  <si>
    <t xml:space="preserve">1341  N. Northlake Way </t>
  </si>
  <si>
    <t>Robson</t>
  </si>
  <si>
    <t>dave@wimmersolutions.com</t>
  </si>
  <si>
    <t>752 122nd Ave NE</t>
  </si>
  <si>
    <t>I-200-20268-844636</t>
  </si>
  <si>
    <t>I-200-20268-844286</t>
  </si>
  <si>
    <t>135 N. Church Street</t>
  </si>
  <si>
    <t>ltaylor@teampurpose.net</t>
  </si>
  <si>
    <t>Willis Towers Watson: Prof. (Tech. &amp; Op.) Comp. Survey</t>
  </si>
  <si>
    <t>I-200-20268-844615</t>
  </si>
  <si>
    <t>Wolfsdorf Rosenthal LLP</t>
  </si>
  <si>
    <t>1416 2nd St.</t>
  </si>
  <si>
    <t>Bhora</t>
  </si>
  <si>
    <t>641 Lexington Avenue</t>
  </si>
  <si>
    <t>nrahman@wolfsdorf.com</t>
  </si>
  <si>
    <t>IQHR@IQSPECTRA.COM</t>
  </si>
  <si>
    <t>I-200-20268-843328</t>
  </si>
  <si>
    <t>I3GLOBALTECH INC</t>
  </si>
  <si>
    <t xml:space="preserve">930 KEHRS MILL RD </t>
  </si>
  <si>
    <t>930 KEHRS MILL RD</t>
  </si>
  <si>
    <t>sree@i3globaltech.com</t>
  </si>
  <si>
    <t>4345 Switchgrass St</t>
  </si>
  <si>
    <t xml:space="preserve">Celina </t>
  </si>
  <si>
    <t>I-200-20268-843230</t>
  </si>
  <si>
    <t>12357-A Riata Trace Parkway,</t>
  </si>
  <si>
    <t>Bldg 5, Ste 300,</t>
  </si>
  <si>
    <t>I-200-20268-843259</t>
  </si>
  <si>
    <t xml:space="preserve">Rancho Cordova </t>
  </si>
  <si>
    <t>I-200-20268-843809</t>
  </si>
  <si>
    <t>30 North Third Street</t>
  </si>
  <si>
    <t>I-200-20268-843939</t>
  </si>
  <si>
    <t>525 W. MONROE STREET</t>
  </si>
  <si>
    <t># 1650</t>
  </si>
  <si>
    <t>Terraform Power LLC</t>
  </si>
  <si>
    <t>kathleen.maher@brookfieldrenewable.com</t>
  </si>
  <si>
    <t>I-200-20268-844637</t>
  </si>
  <si>
    <t>Mindgrub Technologies LLC</t>
  </si>
  <si>
    <t>1215 E. Fort Avenue</t>
  </si>
  <si>
    <t>tvolberding@mindgrub.com</t>
  </si>
  <si>
    <t>1215 E Fort Ave</t>
  </si>
  <si>
    <t>I-200-20268-844840</t>
  </si>
  <si>
    <t>LIGHTBEAM.AI, INC.</t>
  </si>
  <si>
    <t>460 CALIFORNIA AVENUE</t>
  </si>
  <si>
    <t>HIMANSHU</t>
  </si>
  <si>
    <t>HIMANSHU@LIGHTBEAM.AI</t>
  </si>
  <si>
    <t>I-200-20269-845097</t>
  </si>
  <si>
    <t>2221 HOLLIDALE DR APT 105</t>
  </si>
  <si>
    <t>I-200-20269-846591</t>
  </si>
  <si>
    <t>2303 Deerfield Drive</t>
  </si>
  <si>
    <t>I-200-20268-843124</t>
  </si>
  <si>
    <t>I-200-20268-844465</t>
  </si>
  <si>
    <t>1333 Corporate Drive, Suite 121</t>
  </si>
  <si>
    <t>GROVER</t>
  </si>
  <si>
    <t>I-200-20269-844918</t>
  </si>
  <si>
    <t>620 E Orange St</t>
  </si>
  <si>
    <t>Nalamada</t>
  </si>
  <si>
    <t>I-200-20268-844148</t>
  </si>
  <si>
    <t>I-200-20268-843613</t>
  </si>
  <si>
    <t>Markel Corporation</t>
  </si>
  <si>
    <t>4521 Highwoods Parkway</t>
  </si>
  <si>
    <t>Sr. HR and Employee Relations Counsel</t>
  </si>
  <si>
    <t>elliot.fitzgerald@markel.com</t>
  </si>
  <si>
    <t>4501 Highwoods Parkway</t>
  </si>
  <si>
    <t>I-200-20268-843444</t>
  </si>
  <si>
    <t>I-200-20268-844142</t>
  </si>
  <si>
    <t>2323 Ridgepoint Drive</t>
  </si>
  <si>
    <t>I-200-20268-843450</t>
  </si>
  <si>
    <t>2349 N 177th Street</t>
  </si>
  <si>
    <t>I-200-20268-844006</t>
  </si>
  <si>
    <t>3500 Beaumont Park Dr</t>
  </si>
  <si>
    <t>I-200-20268-843246</t>
  </si>
  <si>
    <t>130 Natural Resources Rd.</t>
  </si>
  <si>
    <t>214 Marston Hall</t>
  </si>
  <si>
    <t>I-200-20268-843823</t>
  </si>
  <si>
    <t xml:space="preserve">2900 West Geronimo Place </t>
  </si>
  <si>
    <t>suite 220</t>
  </si>
  <si>
    <t>I-200-20268-844809</t>
  </si>
  <si>
    <t>I-200-20268-843180</t>
  </si>
  <si>
    <t>I-200-20269-845384</t>
  </si>
  <si>
    <t>4331 Renaissance Drive</t>
  </si>
  <si>
    <t>Apt# 310</t>
  </si>
  <si>
    <t>I-200-20268-844033</t>
  </si>
  <si>
    <t>ABAL Technologies, Inc</t>
  </si>
  <si>
    <t xml:space="preserve">3525 Quakerbridge Rd, </t>
  </si>
  <si>
    <t>Alugaddala</t>
  </si>
  <si>
    <t>Abhishek</t>
  </si>
  <si>
    <t>3525 Quakerbridge Rd</t>
  </si>
  <si>
    <t>abhishek@abaltech.com</t>
  </si>
  <si>
    <t>I-200-20268-844872</t>
  </si>
  <si>
    <t>12 EAST 49TH STREET</t>
  </si>
  <si>
    <t>I-200-20269-845025</t>
  </si>
  <si>
    <t>5110 Maple St.</t>
  </si>
  <si>
    <t>I-200-20269-845263</t>
  </si>
  <si>
    <t>I-200-20268-844667</t>
  </si>
  <si>
    <t>125 S Clark St 17th floor</t>
  </si>
  <si>
    <t>I-200-20269-846731</t>
  </si>
  <si>
    <t>404 W. Harrison St., Suite 650</t>
  </si>
  <si>
    <t>I-200-20268-844212</t>
  </si>
  <si>
    <t>Agyle Networks LLC</t>
  </si>
  <si>
    <t>5345 Towne Square Dr</t>
  </si>
  <si>
    <t>Albizures</t>
  </si>
  <si>
    <t>Glendy</t>
  </si>
  <si>
    <t>Antonia</t>
  </si>
  <si>
    <t>Business Administration Manager</t>
  </si>
  <si>
    <t>glendya@agylenetworks.com</t>
  </si>
  <si>
    <t>I-200-20269-845463</t>
  </si>
  <si>
    <t xml:space="preserve">8000 Bent Branch Drive </t>
  </si>
  <si>
    <t>I-200-20268-844851</t>
  </si>
  <si>
    <t>I-200-20268-844841</t>
  </si>
  <si>
    <t>I-200-20268-843427</t>
  </si>
  <si>
    <t>150 4TH AVENUE NORTH</t>
  </si>
  <si>
    <t>I-200-20268-843699</t>
  </si>
  <si>
    <t>I-200-20268-843497</t>
  </si>
  <si>
    <t>I-200-20268-843481</t>
  </si>
  <si>
    <t>I-200-20268-844661</t>
  </si>
  <si>
    <t>I-200-20268-844159</t>
  </si>
  <si>
    <t xml:space="preserve">3351 MICHELSON DR. </t>
  </si>
  <si>
    <t>I-200-20268-843105</t>
  </si>
  <si>
    <t>I-200-20268-843346</t>
  </si>
  <si>
    <t>481 E Deb Corallo Terrace</t>
  </si>
  <si>
    <t>I-200-20269-845130</t>
  </si>
  <si>
    <t>I-200-20268-844467</t>
  </si>
  <si>
    <t>I-200-20268-843918</t>
  </si>
  <si>
    <t>280 SOUTH 400</t>
  </si>
  <si>
    <t>I-200-20268-843727</t>
  </si>
  <si>
    <t>601 W 26 th St</t>
  </si>
  <si>
    <t>I-200-20268-843424</t>
  </si>
  <si>
    <t>3120 North Great Southwest Parkway</t>
  </si>
  <si>
    <t>I-200-20268-844012</t>
  </si>
  <si>
    <t>I-200-20268-844814</t>
  </si>
  <si>
    <t>70 Endicott St #1003</t>
  </si>
  <si>
    <t>I-200-20268-843554</t>
  </si>
  <si>
    <t>I-200-20269-846196</t>
  </si>
  <si>
    <t>1480 Avalon Creek Road</t>
  </si>
  <si>
    <t>I-200-20269-846161</t>
  </si>
  <si>
    <t>6100 Old Park Lane</t>
  </si>
  <si>
    <t>I-200-20268-843719</t>
  </si>
  <si>
    <t>I-200-20268-843000</t>
  </si>
  <si>
    <t>I-200-20268-843721</t>
  </si>
  <si>
    <t>3500 LACEY RD</t>
  </si>
  <si>
    <t>DOWNERS GROVE</t>
  </si>
  <si>
    <t>I-200-20268-843813</t>
  </si>
  <si>
    <t>I-200-20268-843696</t>
  </si>
  <si>
    <t xml:space="preserve">16192 Coastal Highway </t>
  </si>
  <si>
    <t>16192 Coastal Highway</t>
  </si>
  <si>
    <t xml:space="preserve">Lewes </t>
  </si>
  <si>
    <t>hr@htcglobalinc.com</t>
  </si>
  <si>
    <t>606 Wilshire Blvd</t>
  </si>
  <si>
    <t>I-200-20268-843841</t>
  </si>
  <si>
    <t>20520 Evergreen Pkwy</t>
  </si>
  <si>
    <t>I-200-20268-844883</t>
  </si>
  <si>
    <t>I-200-20268-843240</t>
  </si>
  <si>
    <t>I-200-20268-844855</t>
  </si>
  <si>
    <t>I-200-20269-845332</t>
  </si>
  <si>
    <t>I-200-20269-845143</t>
  </si>
  <si>
    <t>I-200-20268-843502</t>
  </si>
  <si>
    <t>NetNumber, Inc.</t>
  </si>
  <si>
    <t>650 Suffolk Street</t>
  </si>
  <si>
    <t>Repetto</t>
  </si>
  <si>
    <t>wrepetto@netnumber.com</t>
  </si>
  <si>
    <t>3655 Pruneridge Avenue</t>
  </si>
  <si>
    <t>I-200-20268-844588</t>
  </si>
  <si>
    <t>21021 N 56th Street</t>
  </si>
  <si>
    <t>Apt. 2058</t>
  </si>
  <si>
    <t>Rapiscan Systems, Inc.</t>
  </si>
  <si>
    <t>3793 Spinnaker Court</t>
  </si>
  <si>
    <t>Concepcion</t>
  </si>
  <si>
    <t>Head of HR - Rapiscan Detection &amp; OSI Corporate Office</t>
  </si>
  <si>
    <t>2805 Columbia Street</t>
  </si>
  <si>
    <t>econcepcion@rapiscansystems.com</t>
  </si>
  <si>
    <t>I-200-20268-844513</t>
  </si>
  <si>
    <t>I-200-20268-843516</t>
  </si>
  <si>
    <t>I-200-20268-844446</t>
  </si>
  <si>
    <t>2048 79th Street</t>
  </si>
  <si>
    <t>I-200-20268-843691</t>
  </si>
  <si>
    <t>IQ SPECTRA INC</t>
  </si>
  <si>
    <t>KAYLA@IQSPECTRA.COM</t>
  </si>
  <si>
    <t>I-200-20268-843825</t>
  </si>
  <si>
    <t>3860 North First Street</t>
  </si>
  <si>
    <t>I-200-20268-844594</t>
  </si>
  <si>
    <t>Innovative Aftermarket Group, Inc</t>
  </si>
  <si>
    <t xml:space="preserve">Carl </t>
  </si>
  <si>
    <t>I-200-20268-843528</t>
  </si>
  <si>
    <t>300 S. Tryon St, Suite 500 / 600</t>
  </si>
  <si>
    <t>I-200-20268-844407</t>
  </si>
  <si>
    <t>I-200-20269-845053</t>
  </si>
  <si>
    <t>Suite 501N &amp; 400S</t>
  </si>
  <si>
    <t>I-200-20268-843678</t>
  </si>
  <si>
    <t>Techvision Co</t>
  </si>
  <si>
    <t>3571 Springwood Path</t>
  </si>
  <si>
    <t>Saladi</t>
  </si>
  <si>
    <t>Sri Satya</t>
  </si>
  <si>
    <t>sri@techvision-us.com</t>
  </si>
  <si>
    <t>533 South 3rd St</t>
  </si>
  <si>
    <t>I-200-20268-843434</t>
  </si>
  <si>
    <t>I-200-20269-844958</t>
  </si>
  <si>
    <t>I-200-20268-843576</t>
  </si>
  <si>
    <t>I-200-20268-844545</t>
  </si>
  <si>
    <t>I-200-20268-843465</t>
  </si>
  <si>
    <t>1419 Lake Cook Rd.</t>
  </si>
  <si>
    <t>I-200-20268-844271</t>
  </si>
  <si>
    <t>I-200-20268-844849</t>
  </si>
  <si>
    <t>I-200-20269-846643</t>
  </si>
  <si>
    <t>540 CEDAR ST.</t>
  </si>
  <si>
    <t>ST.PAUL</t>
  </si>
  <si>
    <t>I-200-20268-844260</t>
  </si>
  <si>
    <t>I-200-20269-846768</t>
  </si>
  <si>
    <t>HS Technologies LLC</t>
  </si>
  <si>
    <t xml:space="preserve">860 W California Ave, </t>
  </si>
  <si>
    <t>I-200-20268-844103</t>
  </si>
  <si>
    <t xml:space="preserve">690 East Middlefield Road </t>
  </si>
  <si>
    <t xml:space="preserve">Global Technology Survey -  Network Engineer - Level 2 </t>
  </si>
  <si>
    <t>I-200-20268-844363</t>
  </si>
  <si>
    <t>7300 Parkwood Blvd. &amp; Legacy Dr.</t>
  </si>
  <si>
    <t>I-200-20268-844508</t>
  </si>
  <si>
    <t>5151 Edloe Street</t>
  </si>
  <si>
    <t>Apt 2203</t>
  </si>
  <si>
    <t>Willis Towers Watson 2019 General Industry MMPS Compensation</t>
  </si>
  <si>
    <t>I-200-20269-846735</t>
  </si>
  <si>
    <t>I-200-20268-844898</t>
  </si>
  <si>
    <t>Med-Pharmex, Inc.</t>
  </si>
  <si>
    <t>2727 Thompson Creek Road</t>
  </si>
  <si>
    <t>Casillas</t>
  </si>
  <si>
    <t xml:space="preserve"> Pomona</t>
  </si>
  <si>
    <t>acasillas@medpharmex.com</t>
  </si>
  <si>
    <t>I-200-20269-845671</t>
  </si>
  <si>
    <t>695 Palmer dr</t>
  </si>
  <si>
    <t>I-200-20268-844566</t>
  </si>
  <si>
    <t>224 Hudson Road</t>
  </si>
  <si>
    <t>I-200-20269-846120</t>
  </si>
  <si>
    <t>10655 Moonshell Court</t>
  </si>
  <si>
    <t>Unit 13</t>
  </si>
  <si>
    <t>I-200-20269-846020</t>
  </si>
  <si>
    <t>I-200-20268-844229</t>
  </si>
  <si>
    <t>HR@shinewelltech.com</t>
  </si>
  <si>
    <t xml:space="preserve">400 EGYPT ROAD </t>
  </si>
  <si>
    <t>NORRISTOWN</t>
  </si>
  <si>
    <t>I-200-20268-843689</t>
  </si>
  <si>
    <t>Apt #1</t>
  </si>
  <si>
    <t>I-200-20268-844471</t>
  </si>
  <si>
    <t>Techswitch LLC</t>
  </si>
  <si>
    <t xml:space="preserve">38345 W 10 MILE RD  </t>
  </si>
  <si>
    <t>12601 Research Pkwy</t>
  </si>
  <si>
    <t>I-200-20269-845293</t>
  </si>
  <si>
    <t>I-200-20268-843490</t>
  </si>
  <si>
    <t>I-200-20269-845282</t>
  </si>
  <si>
    <t>1086 West King Road, JU 212</t>
  </si>
  <si>
    <t>I-200-20268-844757</t>
  </si>
  <si>
    <t xml:space="preserve">31 BRIDGE STREET, </t>
  </si>
  <si>
    <t>I-200-20268-843374</t>
  </si>
  <si>
    <t xml:space="preserve">Sage Automotive Interiors, Inc. </t>
  </si>
  <si>
    <t xml:space="preserve">3  Research Drive </t>
  </si>
  <si>
    <t>Gambrell</t>
  </si>
  <si>
    <t>3 Research Drive</t>
  </si>
  <si>
    <t>I-200-20268-843250</t>
  </si>
  <si>
    <t>I-200-20268-843711</t>
  </si>
  <si>
    <t>I-200-20268-844753</t>
  </si>
  <si>
    <t>I-200-20269-845167</t>
  </si>
  <si>
    <t>I-200-20269-844962</t>
  </si>
  <si>
    <t>I-200-20268-843661</t>
  </si>
  <si>
    <t>Telecommuting from 10833 Calvert Pl</t>
  </si>
  <si>
    <t>I-200-20268-843373</t>
  </si>
  <si>
    <t>Intersoft Data Labs, Inc.</t>
  </si>
  <si>
    <t>PASSEY</t>
  </si>
  <si>
    <t>RAJIT</t>
  </si>
  <si>
    <t>5850 WATERLOO ROAD</t>
  </si>
  <si>
    <t>RAJIT@INTSOF.COM</t>
  </si>
  <si>
    <t>I-200-20268-843485</t>
  </si>
  <si>
    <t>I-200-20270-846874</t>
  </si>
  <si>
    <t>11337 Zapata Avenue</t>
  </si>
  <si>
    <t>Unit 23</t>
  </si>
  <si>
    <t>CONCUR TECHNOLOGIES, INC.</t>
  </si>
  <si>
    <t>I-200-20268-844352</t>
  </si>
  <si>
    <t>8 Federal Street</t>
  </si>
  <si>
    <t>I-200-20268-843038</t>
  </si>
  <si>
    <t>I-200-20268-844762</t>
  </si>
  <si>
    <t>hr@lightningminds.com</t>
  </si>
  <si>
    <t>I-200-20268-843932</t>
  </si>
  <si>
    <t>I-200-20269-845963</t>
  </si>
  <si>
    <t>I-200-20268-843807</t>
  </si>
  <si>
    <t>I-200-20269-844948</t>
  </si>
  <si>
    <t>I-200-20268-843283</t>
  </si>
  <si>
    <t>I-200-20269-845343</t>
  </si>
  <si>
    <t>I-200-20268-844391</t>
  </si>
  <si>
    <t>I-200-20268-844585</t>
  </si>
  <si>
    <t>6 Robinson Road, Apartment C</t>
  </si>
  <si>
    <t>I-200-20268-843469</t>
  </si>
  <si>
    <t>I-200-20269-845587</t>
  </si>
  <si>
    <t>KK Associates, LLC</t>
  </si>
  <si>
    <t xml:space="preserve">Kasa </t>
  </si>
  <si>
    <t>Maheswara</t>
  </si>
  <si>
    <t>admin@kksoftwareassociates.com</t>
  </si>
  <si>
    <t>18250 N. 25th Avenue</t>
  </si>
  <si>
    <t>Apt. 2083</t>
  </si>
  <si>
    <t>I-200-20269-845294</t>
  </si>
  <si>
    <t>393 Vintage Park Drive</t>
  </si>
  <si>
    <t>I-200-20268-844789</t>
  </si>
  <si>
    <t>I-200-20268-843452</t>
  </si>
  <si>
    <t>Immigration &amp; Global Mobility Manager</t>
  </si>
  <si>
    <t>I-200-20268-843254</t>
  </si>
  <si>
    <t>I-200-20268-843032</t>
  </si>
  <si>
    <t>I-200-20268-843429</t>
  </si>
  <si>
    <t>12501 Imperial Hwy</t>
  </si>
  <si>
    <t>I-200-20268-844603</t>
  </si>
  <si>
    <t>I-200-20268-843375</t>
  </si>
  <si>
    <t>Cambridge Mobile Telematics, Inc.</t>
  </si>
  <si>
    <t>101 Main Street, 14th Floor</t>
  </si>
  <si>
    <t>Pascuccio</t>
  </si>
  <si>
    <t>jpascuccio@CMTelematics.com</t>
  </si>
  <si>
    <t>101 Main Street, 14 Floor</t>
  </si>
  <si>
    <t>I-200-20268-844815</t>
  </si>
  <si>
    <t>355 RAVENDALE DRIVE</t>
  </si>
  <si>
    <t>I-200-20269-846709</t>
  </si>
  <si>
    <t>Oro Valley</t>
  </si>
  <si>
    <t>I-200-20269-845160</t>
  </si>
  <si>
    <t>Bhagyasri</t>
  </si>
  <si>
    <t>I-200-20268-843244</t>
  </si>
  <si>
    <t>I-200-20268-843041</t>
  </si>
  <si>
    <t>I-200-20268-843036</t>
  </si>
  <si>
    <t xml:space="preserve"> Abdulhaqq</t>
  </si>
  <si>
    <t>212 7th Street North East</t>
  </si>
  <si>
    <t>I-200-20268-844123</t>
  </si>
  <si>
    <t xml:space="preserve">Ulterior Motives International, LLC </t>
  </si>
  <si>
    <t>1081 Ohio Drive</t>
  </si>
  <si>
    <t>Maxwell</t>
  </si>
  <si>
    <t xml:space="preserve">Noelle </t>
  </si>
  <si>
    <t>1081 Ohio Dr</t>
  </si>
  <si>
    <t>catherine@umimarketingsolutions.com</t>
  </si>
  <si>
    <t>I-200-20268-844491</t>
  </si>
  <si>
    <t>1201 N Main Street</t>
  </si>
  <si>
    <t>I-200-20269-845168</t>
  </si>
  <si>
    <t>3655 Pruneridge Ave, Apt 30</t>
  </si>
  <si>
    <t>I-200-20268-843063</t>
  </si>
  <si>
    <t>5200 NE ELAM YOUNG PKWY</t>
  </si>
  <si>
    <t>I-200-20268-844633</t>
  </si>
  <si>
    <t>IDEAL INDUSTRIES LIGHTING LLC</t>
  </si>
  <si>
    <t>4401 SILICON DRIVE</t>
  </si>
  <si>
    <t>NOWOC</t>
  </si>
  <si>
    <t>LOREN</t>
  </si>
  <si>
    <t>VP HUMAN RESOURCES, CREE LIGHTING</t>
  </si>
  <si>
    <t>LNOWOC@CREELIGHTING.COM</t>
  </si>
  <si>
    <t>4401 Silicon Drive</t>
  </si>
  <si>
    <t>I-200-20268-844705</t>
  </si>
  <si>
    <t>6400 C STREET SOUTHWEST</t>
  </si>
  <si>
    <t>I-200-20268-844761</t>
  </si>
  <si>
    <t>1900 SOUTH 18TH AVENUE</t>
  </si>
  <si>
    <t>WEST BEND</t>
  </si>
  <si>
    <t>Tradeweb Markets LLC</t>
  </si>
  <si>
    <t>Suite 2200, 22nd Floor</t>
  </si>
  <si>
    <t>I-200-20268-843348</t>
  </si>
  <si>
    <t>I-200-20268-844052</t>
  </si>
  <si>
    <t>I-200-20268-843090</t>
  </si>
  <si>
    <t>2711 W Royal Ln, Apt 703</t>
  </si>
  <si>
    <t>I-200-20268-843279</t>
  </si>
  <si>
    <t>I-200-20269-844975</t>
  </si>
  <si>
    <t>I-200-20268-844247</t>
  </si>
  <si>
    <t>I-200-20268-843335</t>
  </si>
  <si>
    <t>I-200-20269-846085</t>
  </si>
  <si>
    <t>1001 Fannin Street</t>
  </si>
  <si>
    <t>I-200-20269-846151</t>
  </si>
  <si>
    <t>TECHZIO SOLUTIONS LLC</t>
  </si>
  <si>
    <t xml:space="preserve">BADURUDHEEN </t>
  </si>
  <si>
    <t>NILAMUTHEEN</t>
  </si>
  <si>
    <t>IMMIGRATION@TECHZIO.NET</t>
  </si>
  <si>
    <t>MMIGRATION@TECHZIO.NET</t>
  </si>
  <si>
    <t>I-200-20269-845030</t>
  </si>
  <si>
    <t>161 AVENUE OF THE AMERICAS</t>
  </si>
  <si>
    <t>I-200-20268-844426</t>
  </si>
  <si>
    <t>153 Tudor Ln, Apt F</t>
  </si>
  <si>
    <t>I-200-20268-843208</t>
  </si>
  <si>
    <t>SLK AMERICA INC</t>
  </si>
  <si>
    <t>525, VINE STREET</t>
  </si>
  <si>
    <t>Senior General Manager - HRM</t>
  </si>
  <si>
    <t>CINCINATI</t>
  </si>
  <si>
    <t>murthy.cherala@slkgroup.com</t>
  </si>
  <si>
    <t>465 Main Street - Suite 700</t>
  </si>
  <si>
    <t>I-200-20268-843153</t>
  </si>
  <si>
    <t>805 S Walton Blvd 6th Floor</t>
  </si>
  <si>
    <t>I-200-20268-843140</t>
  </si>
  <si>
    <t>I-200-20268-843681</t>
  </si>
  <si>
    <t>34 Presidential Dr</t>
  </si>
  <si>
    <t>I-200-20268-844812</t>
  </si>
  <si>
    <t>Caris Science, Inc.</t>
  </si>
  <si>
    <t>750 W John Carpenter Freeway</t>
  </si>
  <si>
    <t>Turbeville</t>
  </si>
  <si>
    <t>Manager- Human Resources</t>
  </si>
  <si>
    <t>dturbeville@carisls.com</t>
  </si>
  <si>
    <t xml:space="preserve"> 750 W John Carpenter Fwy</t>
  </si>
  <si>
    <t>I-200-20268-844153</t>
  </si>
  <si>
    <t>I-200-20268-844554</t>
  </si>
  <si>
    <t>1099 Stewart Street. Ste. 600</t>
  </si>
  <si>
    <t xml:space="preserve">2611 Internet Blvd. </t>
  </si>
  <si>
    <t>I-200-20268-843873</t>
  </si>
  <si>
    <t>I-200-20268-843219</t>
  </si>
  <si>
    <t>2501 McGee St,</t>
  </si>
  <si>
    <t>I-200-20269-845122</t>
  </si>
  <si>
    <t>22, Golf View Drive, Apartment B4</t>
  </si>
  <si>
    <t>I-200-20268-844870</t>
  </si>
  <si>
    <t>Newport Corporation</t>
  </si>
  <si>
    <t>1791 Deere Avenue</t>
  </si>
  <si>
    <t>Sadowski</t>
  </si>
  <si>
    <t>erin.sadowski@mksinst.com</t>
  </si>
  <si>
    <t>jv.ocampo@tsmimmigration.com</t>
  </si>
  <si>
    <t>I-200-20268-844526</t>
  </si>
  <si>
    <t xml:space="preserve">1013 Parkview Drive </t>
  </si>
  <si>
    <t xml:space="preserve">Phoenixville </t>
  </si>
  <si>
    <t>I-200-20269-845649</t>
  </si>
  <si>
    <t>Oak Technologies Inc.</t>
  </si>
  <si>
    <t>Gottipati</t>
  </si>
  <si>
    <t>legal@oaktechinc.com</t>
  </si>
  <si>
    <t>I-200-20269-846105</t>
  </si>
  <si>
    <t xml:space="preserve"> Suite 103</t>
  </si>
  <si>
    <t>I-200-20268-843504</t>
  </si>
  <si>
    <t>SSM-SLUH, Inc.</t>
  </si>
  <si>
    <t>1201 Grand Boulevard</t>
  </si>
  <si>
    <t>Lindsay.Wilson@ssmhealth.com</t>
  </si>
  <si>
    <t>I-200-20268-844907</t>
  </si>
  <si>
    <t>Express Scripts Pharmacy, Inc.</t>
  </si>
  <si>
    <t xml:space="preserve">1 EXPRESS WAY </t>
  </si>
  <si>
    <t>I-200-20268-843149</t>
  </si>
  <si>
    <t>16, Yankee Candle Way, Floor 2nd</t>
  </si>
  <si>
    <t>I-200-20269-845089</t>
  </si>
  <si>
    <t>810 CRESCENT CENTRE DR STE 400</t>
  </si>
  <si>
    <t>I-200-20269-845156</t>
  </si>
  <si>
    <t>6200 23rd Dr W</t>
  </si>
  <si>
    <t>I-200-20268-843459</t>
  </si>
  <si>
    <t>1300 E Algonquin Rd.</t>
  </si>
  <si>
    <t>Apt 1O</t>
  </si>
  <si>
    <t>I-200-20268-843070</t>
  </si>
  <si>
    <t>I-200-20268-843176</t>
  </si>
  <si>
    <t xml:space="preserve">5455 McGinnis Village Place </t>
  </si>
  <si>
    <t>I-200-20269-844917</t>
  </si>
  <si>
    <t>I-200-20268-843477</t>
  </si>
  <si>
    <t xml:space="preserve">9 DAVIS DRIVE </t>
  </si>
  <si>
    <t>RESEARCH TRIANGKE PARK</t>
  </si>
  <si>
    <t>I-200-20268-844569</t>
  </si>
  <si>
    <t>I-200-20268-843657</t>
  </si>
  <si>
    <t>I-200-20268-843170</t>
  </si>
  <si>
    <t>8655 BROOKHOLLOW BLVD APT 9103</t>
  </si>
  <si>
    <t>I-200-20268-843524</t>
  </si>
  <si>
    <t>400 Foulk Road, Apt 2C6</t>
  </si>
  <si>
    <t>I-200-20268-844121</t>
  </si>
  <si>
    <t>N5 Sensors, Inc.</t>
  </si>
  <si>
    <t>9610 Medical Center Drive</t>
  </si>
  <si>
    <t>Motayed</t>
  </si>
  <si>
    <t>amotayed@n5sensors.com</t>
  </si>
  <si>
    <t>3400 Civic Center Blvd</t>
  </si>
  <si>
    <t>I-200-20268-843543</t>
  </si>
  <si>
    <t>I-200-20269-845123</t>
  </si>
  <si>
    <t>I-200-20269-845390</t>
  </si>
  <si>
    <t>I-200-20268-844222</t>
  </si>
  <si>
    <t>I-200-20268-843132</t>
  </si>
  <si>
    <t>I-200-20268-844896</t>
  </si>
  <si>
    <t>Livemore</t>
  </si>
  <si>
    <t>I-200-20268-843578</t>
  </si>
  <si>
    <t>I-200-20268-844583</t>
  </si>
  <si>
    <t>I-200-20268-843924</t>
  </si>
  <si>
    <t xml:space="preserve">770 Sumneytown Pike </t>
  </si>
  <si>
    <t>I-200-20268-844680</t>
  </si>
  <si>
    <t>AME, Inc.</t>
  </si>
  <si>
    <t>1275 Bloomfield Avenue</t>
  </si>
  <si>
    <t>amit@ame-inc.com</t>
  </si>
  <si>
    <t>Bldg. #2, Suite 17B</t>
  </si>
  <si>
    <t>I-200-20268-844674</t>
  </si>
  <si>
    <t>110 River Dr S</t>
  </si>
  <si>
    <t>Apt 2901</t>
  </si>
  <si>
    <t>I-200-20268-844385</t>
  </si>
  <si>
    <t>I-200-20268-844649</t>
  </si>
  <si>
    <t>88 Balsam Way</t>
  </si>
  <si>
    <t>I-200-20269-845302</t>
  </si>
  <si>
    <t>I-200-20269-846075</t>
  </si>
  <si>
    <t>I-200-20268-843539</t>
  </si>
  <si>
    <t>2901 Auburn Road,</t>
  </si>
  <si>
    <t>I-200-20268-842986</t>
  </si>
  <si>
    <t xml:space="preserve">770 BROADWAY </t>
  </si>
  <si>
    <t>North Arlington</t>
  </si>
  <si>
    <t>I-200-20268-844251</t>
  </si>
  <si>
    <t>I-200-20268-843484</t>
  </si>
  <si>
    <t>5235 S. Harper Court</t>
  </si>
  <si>
    <t>I-200-20269-845683</t>
  </si>
  <si>
    <t>I-200-20268-844253</t>
  </si>
  <si>
    <t>I-200-20268-844351</t>
  </si>
  <si>
    <t>I-200-20268-843820</t>
  </si>
  <si>
    <t>300 W Morgan Road</t>
  </si>
  <si>
    <t>I-200-20268-844257</t>
  </si>
  <si>
    <t xml:space="preserve">1615 Poydras St. #1400 </t>
  </si>
  <si>
    <t xml:space="preserve">New Orleans </t>
  </si>
  <si>
    <t>I-200-20268-843975</t>
  </si>
  <si>
    <t>5220 FIFTH AVENUE</t>
  </si>
  <si>
    <t>I-200-20268-844534</t>
  </si>
  <si>
    <t>UCLA Department of Mathematics</t>
  </si>
  <si>
    <t>I-200-20268-843198</t>
  </si>
  <si>
    <t>I-200-20269-845585</t>
  </si>
  <si>
    <t>I-200-20268-843127</t>
  </si>
  <si>
    <t>11, Penn Place, Apartment C</t>
  </si>
  <si>
    <t>I-200-20269-845027</t>
  </si>
  <si>
    <t>I-200-20268-843680</t>
  </si>
  <si>
    <t>I-200-20268-844225</t>
  </si>
  <si>
    <t>uWork.com, Inc.</t>
  </si>
  <si>
    <t>200 Walker St. SW</t>
  </si>
  <si>
    <t>Senior Business Operations Manager</t>
  </si>
  <si>
    <t>helen.wu@covendis.com</t>
  </si>
  <si>
    <t>I-200-20268-843277</t>
  </si>
  <si>
    <t>I-200-20268-844848</t>
  </si>
  <si>
    <t>2262 Bristol St,</t>
  </si>
  <si>
    <t>I-200-20269-845158</t>
  </si>
  <si>
    <t>3602, Flora Vista Avenue, Apartment 304</t>
  </si>
  <si>
    <t>I-200-20268-844250</t>
  </si>
  <si>
    <t>Wiles Mensch Corporation-DC</t>
  </si>
  <si>
    <t>510 8th Street, SE</t>
  </si>
  <si>
    <t>Mensch</t>
  </si>
  <si>
    <t>Founding Principal</t>
  </si>
  <si>
    <t>510 8th Street SE</t>
  </si>
  <si>
    <t>jmensch@wilesmensch.com</t>
  </si>
  <si>
    <t>brendan.delaney@fdimmigration.com</t>
  </si>
  <si>
    <t>I-200-20269-845358</t>
  </si>
  <si>
    <t>10115 WOODBERRY TRAIL LN APT 733</t>
  </si>
  <si>
    <t>I-200-20268-844722</t>
  </si>
  <si>
    <t>1275 E UNIVERSITY DR., UNIT 325</t>
  </si>
  <si>
    <t>I-200-20268-843228</t>
  </si>
  <si>
    <t>I-200-20268-843266</t>
  </si>
  <si>
    <t>I-200-20268-843062</t>
  </si>
  <si>
    <t>I-200-20269-845291</t>
  </si>
  <si>
    <t>I-200-20268-843517</t>
  </si>
  <si>
    <t>Vieceli</t>
  </si>
  <si>
    <t>Country Talent Development Manager</t>
  </si>
  <si>
    <t>olivia.vieceli@valeo.com</t>
  </si>
  <si>
    <t>8660 South Sandy Parkway</t>
  </si>
  <si>
    <t>I-200-20268-844899</t>
  </si>
  <si>
    <t>Ahazen@balglobal.com</t>
  </si>
  <si>
    <t>I-200-20268-843197</t>
  </si>
  <si>
    <t>15807 CLEMS CREEK LN APT 2009</t>
  </si>
  <si>
    <t>I-200-20268-843341</t>
  </si>
  <si>
    <t>I-200-20269-846284</t>
  </si>
  <si>
    <t>Ste #512</t>
  </si>
  <si>
    <t>I-200-20268-844881</t>
  </si>
  <si>
    <t xml:space="preserve">Tenderloin Neighborhood Development Corporation </t>
  </si>
  <si>
    <t>201 Eddy Street</t>
  </si>
  <si>
    <t>Mascaro</t>
  </si>
  <si>
    <t>emascaro@TNDC.org</t>
  </si>
  <si>
    <t>1722 Fifth Avenue, #2</t>
  </si>
  <si>
    <t>I-200-20268-844360</t>
  </si>
  <si>
    <t>400 South 4th Street</t>
  </si>
  <si>
    <t>I-200-20268-843588</t>
  </si>
  <si>
    <t>Uniquetex LLC</t>
  </si>
  <si>
    <t>700 S BATTLEGROUND AVENUE</t>
  </si>
  <si>
    <t>FANG@UNIQUETEX.COM</t>
  </si>
  <si>
    <t>I-200-20269-844959</t>
  </si>
  <si>
    <t>catherine@golawcorp.com</t>
  </si>
  <si>
    <t>I-200-20269-845461</t>
  </si>
  <si>
    <t>3250 South Arizona Ave</t>
  </si>
  <si>
    <t>Apt 1121</t>
  </si>
  <si>
    <t>nvidia@fragomen.com</t>
  </si>
  <si>
    <t>I-200-20268-843377</t>
  </si>
  <si>
    <t>Strong Memorial Hospital</t>
  </si>
  <si>
    <t>601 Elmwood Ave., Box 667</t>
  </si>
  <si>
    <t>I-200-20268-844246</t>
  </si>
  <si>
    <t xml:space="preserve">22213 30th Dr. SE </t>
  </si>
  <si>
    <t>I-200-20269-845561</t>
  </si>
  <si>
    <t>I-200-20268-844362</t>
  </si>
  <si>
    <t>50 Rocky Creek Road</t>
  </si>
  <si>
    <t>Apt 49</t>
  </si>
  <si>
    <t>I-200-20268-843193</t>
  </si>
  <si>
    <t>I-200-20269-845142</t>
  </si>
  <si>
    <t>I-200-20269-845658</t>
  </si>
  <si>
    <t>I-200-20268-843808</t>
  </si>
  <si>
    <t>I-200-20268-843683</t>
  </si>
  <si>
    <t>New Mexico Institute of Mining and Technology</t>
  </si>
  <si>
    <t>801 Leroy Place</t>
  </si>
  <si>
    <t>Socorro</t>
  </si>
  <si>
    <t>jessica.dennis@nmt.edu</t>
  </si>
  <si>
    <t>Electrical Engineering Department, 801 Leroy Place</t>
  </si>
  <si>
    <t>SOCORRO</t>
  </si>
  <si>
    <t>I-200-20268-843064</t>
  </si>
  <si>
    <t>I-200-20268-844598</t>
  </si>
  <si>
    <t>I-200-20269-845543</t>
  </si>
  <si>
    <t>I-200-20268-844601</t>
  </si>
  <si>
    <t>I-200-20268-843859</t>
  </si>
  <si>
    <t>I-200-20268-843356</t>
  </si>
  <si>
    <t>9119 Douglas Drive</t>
  </si>
  <si>
    <t>I-200-20268-843854</t>
  </si>
  <si>
    <t>2701 NAVISTAR DR</t>
  </si>
  <si>
    <t>I-200-20268-843147</t>
  </si>
  <si>
    <t>I-200-20268-844015</t>
  </si>
  <si>
    <t>I-200-20268-844829</t>
  </si>
  <si>
    <t>I-200-20268-843582</t>
  </si>
  <si>
    <t>I-200-20268-843195</t>
  </si>
  <si>
    <t>I-200-20268-843480</t>
  </si>
  <si>
    <t>4301 HAMPTON BLVD</t>
  </si>
  <si>
    <t>I-200-20268-844573</t>
  </si>
  <si>
    <t xml:space="preserve">22 Paul St. </t>
  </si>
  <si>
    <t>I-200-20268-843572</t>
  </si>
  <si>
    <t>I-200-20268-843536</t>
  </si>
  <si>
    <t>I-200-20268-844799</t>
  </si>
  <si>
    <t>500, Plaza Drive</t>
  </si>
  <si>
    <t>I-200-20269-845273</t>
  </si>
  <si>
    <t>3 PENN PLZ E</t>
  </si>
  <si>
    <t>I-200-20268-843336</t>
  </si>
  <si>
    <t>I-200-20268-844242</t>
  </si>
  <si>
    <t>I-200-20268-844099</t>
  </si>
  <si>
    <t>I-200-20268-843679</t>
  </si>
  <si>
    <t>200 South 6th St</t>
  </si>
  <si>
    <t>I-200-20268-844609</t>
  </si>
  <si>
    <t>2100, Winchester Road</t>
  </si>
  <si>
    <t>I-200-20269-846742</t>
  </si>
  <si>
    <t>4795 Executive Dr</t>
  </si>
  <si>
    <t>I-200-20269-846594</t>
  </si>
  <si>
    <t>I-200-20268-843008</t>
  </si>
  <si>
    <t>I-200-20268-843397</t>
  </si>
  <si>
    <t>I-200-20268-843369</t>
  </si>
  <si>
    <t xml:space="preserve">2A USA, Inc. </t>
  </si>
  <si>
    <t>2410 West Tech Lane</t>
  </si>
  <si>
    <t>Dichiara</t>
  </si>
  <si>
    <t>larry.dichiara@2ausa.com</t>
  </si>
  <si>
    <t>I-200-20268-843621</t>
  </si>
  <si>
    <t>I-200-20268-844702</t>
  </si>
  <si>
    <t>16301 THREE WIDE DRIVE</t>
  </si>
  <si>
    <t>I-200-20268-844838</t>
  </si>
  <si>
    <t>2925 Skyway Cir N Suite 130</t>
  </si>
  <si>
    <t>I-200-20268-843902</t>
  </si>
  <si>
    <t>I-200-20268-843463</t>
  </si>
  <si>
    <t>1301 N. Dotsy</t>
  </si>
  <si>
    <t>I-200-20269-845419</t>
  </si>
  <si>
    <t>1425 Bedford St.</t>
  </si>
  <si>
    <t>Apt 8H</t>
  </si>
  <si>
    <t>I-200-20269-844937</t>
  </si>
  <si>
    <t>I-200-20268-843779</t>
  </si>
  <si>
    <t>GEP Administrative Services, Inc.</t>
  </si>
  <si>
    <t>2950 North Hollywood Way</t>
  </si>
  <si>
    <t>gdiamond@ep.com</t>
  </si>
  <si>
    <t>TECHDATA SERVICE COMPANY LLC</t>
  </si>
  <si>
    <t>700 AMERICAN AVENUE, SUITE 102</t>
  </si>
  <si>
    <t>ju.zhang@techdataservice.com</t>
  </si>
  <si>
    <t>I-200-20268-843876</t>
  </si>
  <si>
    <t>FIRST CONSULTING GROUP, LLC</t>
  </si>
  <si>
    <t>4280 OLD WILLIAM PENN HIGHWAY</t>
  </si>
  <si>
    <t>KROMKA</t>
  </si>
  <si>
    <t xml:space="preserve">1st Floor, 135 route, 202, 206 </t>
  </si>
  <si>
    <t>I-200-20268-843398</t>
  </si>
  <si>
    <t>SICL AMERICA</t>
  </si>
  <si>
    <t>101 Route 130 S</t>
  </si>
  <si>
    <t>Cinnaminson</t>
  </si>
  <si>
    <t>Guptha</t>
  </si>
  <si>
    <t>HCS, 14th Floor</t>
  </si>
  <si>
    <t>I-200-20268-843376</t>
  </si>
  <si>
    <t>Manager Quality and Process Improvement</t>
  </si>
  <si>
    <t>3610 Hacks Cross Road</t>
  </si>
  <si>
    <t>I-200-20268-844489</t>
  </si>
  <si>
    <t>15F Garden Terrace</t>
  </si>
  <si>
    <t>I-200-20268-843130</t>
  </si>
  <si>
    <t>Faraday &amp; Future Inc.</t>
  </si>
  <si>
    <t>18455 South Figueroa Street</t>
  </si>
  <si>
    <t>Piccio</t>
  </si>
  <si>
    <t>Victorina</t>
  </si>
  <si>
    <t>FFImmigration@ff.com</t>
  </si>
  <si>
    <t>I-200-20269-844909</t>
  </si>
  <si>
    <t xml:space="preserve">Silver Point Capital, LP </t>
  </si>
  <si>
    <t>2 Greenwich Plaza</t>
  </si>
  <si>
    <t>Bloom</t>
  </si>
  <si>
    <t>kbloom@silverpointcapital.com</t>
  </si>
  <si>
    <t xml:space="preserve">Floor 1 </t>
  </si>
  <si>
    <t>I-200-20268-843056</t>
  </si>
  <si>
    <t>I-200-20268-844307</t>
  </si>
  <si>
    <t>3100 Windy Hill Rd SE</t>
  </si>
  <si>
    <t>I-200-20268-843048</t>
  </si>
  <si>
    <t>I-200-20268-843700</t>
  </si>
  <si>
    <t>4 RESULTS WAY</t>
  </si>
  <si>
    <t>I-200-20268-843423</t>
  </si>
  <si>
    <t>Tradeweb Markets LLC, Harborside 5, 185 Hudson Street</t>
  </si>
  <si>
    <t>Vickie.gonzalez@tradeweb.com</t>
  </si>
  <si>
    <t>I-200-20268-844210</t>
  </si>
  <si>
    <t>I-200-20268-843410</t>
  </si>
  <si>
    <t>I-200-20268-844339</t>
  </si>
  <si>
    <t>331 E Seegers Rd</t>
  </si>
  <si>
    <t>I-200-20269-845000</t>
  </si>
  <si>
    <t>Andy Alexander &amp; Associates, Inc.</t>
  </si>
  <si>
    <t>1615 Gramercy Ave.</t>
  </si>
  <si>
    <t>andy@aaastructural.com</t>
  </si>
  <si>
    <t>I-200-20268-843786</t>
  </si>
  <si>
    <t>I-200-20269-845162</t>
  </si>
  <si>
    <t>I-200-20268-843565</t>
  </si>
  <si>
    <t>I-200-20269-845239</t>
  </si>
  <si>
    <t>175 Running Hill Rd</t>
  </si>
  <si>
    <t>I-200-20269-845082</t>
  </si>
  <si>
    <t>255 S Cherokee Street</t>
  </si>
  <si>
    <t>Apt. 2435</t>
  </si>
  <si>
    <t>I-200-20268-843321</t>
  </si>
  <si>
    <t>I-200-20268-844659</t>
  </si>
  <si>
    <t>I-200-20269-845244</t>
  </si>
  <si>
    <t>I-200-20268-844713</t>
  </si>
  <si>
    <t>I-200-20269-845453</t>
  </si>
  <si>
    <t>130 WOOLEN WAY APT 408</t>
  </si>
  <si>
    <t>I-200-20268-844232</t>
  </si>
  <si>
    <t>I-200-20268-843087</t>
  </si>
  <si>
    <t>I-200-20268-844118</t>
  </si>
  <si>
    <t>Alta Environmental, L.P.</t>
  </si>
  <si>
    <t>3777 Long Beach Boulevard</t>
  </si>
  <si>
    <t>5155 W Patrick Lane</t>
  </si>
  <si>
    <t>Kathy.Kelly@nv5.com</t>
  </si>
  <si>
    <t>Annex Building</t>
  </si>
  <si>
    <t>I-200-20268-844523</t>
  </si>
  <si>
    <t xml:space="preserve">150 Liberty Way </t>
  </si>
  <si>
    <t xml:space="preserve">Dover </t>
  </si>
  <si>
    <t>I-200-20269-845628</t>
  </si>
  <si>
    <t>I-200-20268-844771</t>
  </si>
  <si>
    <t xml:space="preserve">ITVORKS INC </t>
  </si>
  <si>
    <t>101 COLLEGE ROAD EAST</t>
  </si>
  <si>
    <t>ADIMULAM</t>
  </si>
  <si>
    <t>hr@itvorks.com</t>
  </si>
  <si>
    <t>747 W 4170 S</t>
  </si>
  <si>
    <t xml:space="preserve">Murray </t>
  </si>
  <si>
    <t>I-200-20268-844699</t>
  </si>
  <si>
    <t>22001 Loudon County Pkwy</t>
  </si>
  <si>
    <t>I-200-20268-843221</t>
  </si>
  <si>
    <t xml:space="preserve">Solium Capital LLC </t>
  </si>
  <si>
    <t>I-200-20268-844571</t>
  </si>
  <si>
    <t>9800 Medical Center, Building 53</t>
  </si>
  <si>
    <t>I-200-20268-843037</t>
  </si>
  <si>
    <t>800 GOLDEN HORSESHOE CIR APT K</t>
  </si>
  <si>
    <t>I-200-20268-843194</t>
  </si>
  <si>
    <t>1914 Keystone Place</t>
  </si>
  <si>
    <t>I-200-20268-844206</t>
  </si>
  <si>
    <t>I-200-20268-844220</t>
  </si>
  <si>
    <t xml:space="preserve">2430 NE John Olsen Ave. Suite 200 </t>
  </si>
  <si>
    <t>I-200-20268-844441</t>
  </si>
  <si>
    <t>I-200-20268-844019</t>
  </si>
  <si>
    <t>9014 Heritage Parkway</t>
  </si>
  <si>
    <t>#308</t>
  </si>
  <si>
    <t>Woodrige</t>
  </si>
  <si>
    <t>I-200-20268-844112</t>
  </si>
  <si>
    <t>400 INTERNATIONAL PARKWAY</t>
  </si>
  <si>
    <t>I-200-20268-843351</t>
  </si>
  <si>
    <t>Birmigham</t>
  </si>
  <si>
    <t>Bevill Biomedical Sciences Building</t>
  </si>
  <si>
    <t>845 19th Street South, BBRB 361C</t>
  </si>
  <si>
    <t>I-200-20268-844419</t>
  </si>
  <si>
    <t>200 S College ST</t>
  </si>
  <si>
    <t>I-200-20268-844214</t>
  </si>
  <si>
    <t>I-200-20268-843089</t>
  </si>
  <si>
    <t>730 Cool Springs Boulevard,</t>
  </si>
  <si>
    <t>Suite 800,</t>
  </si>
  <si>
    <t>I-200-20269-845170</t>
  </si>
  <si>
    <t>1001, East Lookout Drive</t>
  </si>
  <si>
    <t>I-200-20268-843962</t>
  </si>
  <si>
    <t>Rosemead,</t>
  </si>
  <si>
    <t>I-200-20269-846613</t>
  </si>
  <si>
    <t>808 LADY ST</t>
  </si>
  <si>
    <t>I-200-20268-844710</t>
  </si>
  <si>
    <t>I-200-20268-843179</t>
  </si>
  <si>
    <t>211 Mt Airy Road</t>
  </si>
  <si>
    <t>I-200-20268-843451</t>
  </si>
  <si>
    <t>I-200-20268-843139</t>
  </si>
  <si>
    <t>One PNC Plaza</t>
  </si>
  <si>
    <t>249 Fifth Avenue</t>
  </si>
  <si>
    <t>I-200-20268-843927</t>
  </si>
  <si>
    <t xml:space="preserve">190 River Road </t>
  </si>
  <si>
    <t>I-200-20269-846017</t>
  </si>
  <si>
    <t>110 16th STREET, 8th FLOOR</t>
  </si>
  <si>
    <t>I-200-20268-844464</t>
  </si>
  <si>
    <t xml:space="preserve">London Stock Exchange Group Holdings, Inc. </t>
  </si>
  <si>
    <t>TASHINA</t>
  </si>
  <si>
    <t>HR Rewards Specialist</t>
  </si>
  <si>
    <t>I-200-20268-844850</t>
  </si>
  <si>
    <t>I-200-20269-846126</t>
  </si>
  <si>
    <t>I-200-20268-843706</t>
  </si>
  <si>
    <t>I-200-20268-844640</t>
  </si>
  <si>
    <t>I-200-20268-843456</t>
  </si>
  <si>
    <t>525 W. Van Buren</t>
  </si>
  <si>
    <t>I-200-20268-843969</t>
  </si>
  <si>
    <t>501 Allendale Road</t>
  </si>
  <si>
    <t>legal@pvrtech.com</t>
  </si>
  <si>
    <t>I-200-20269-845137</t>
  </si>
  <si>
    <t>I-200-20268-844063</t>
  </si>
  <si>
    <t>514 Declaration Lane</t>
  </si>
  <si>
    <t>I-200-20268-843900</t>
  </si>
  <si>
    <t>UC San Diego, Moores Cancer Center</t>
  </si>
  <si>
    <t>I-200-20268-844150</t>
  </si>
  <si>
    <t>I-200-20268-844216</t>
  </si>
  <si>
    <t>Sensory Associates LLC</t>
  </si>
  <si>
    <t>1314 W McDermott Dr</t>
  </si>
  <si>
    <t>Jinghui</t>
  </si>
  <si>
    <t>hannahfang@gmail.com</t>
  </si>
  <si>
    <t>I-200-20269-846410</t>
  </si>
  <si>
    <t>I-200-20268-843791</t>
  </si>
  <si>
    <t>125 E John Carpenter FWY</t>
  </si>
  <si>
    <t>Manager, Immigration Americas</t>
  </si>
  <si>
    <t>I-200-20269-845192</t>
  </si>
  <si>
    <t>I-200-20268-844313</t>
  </si>
  <si>
    <t>I-200-20269-846517</t>
  </si>
  <si>
    <t>4th Fl</t>
  </si>
  <si>
    <t>I-200-20268-843002</t>
  </si>
  <si>
    <t>4514 W SHENANDOAH CIR</t>
  </si>
  <si>
    <t>I-200-20268-843390</t>
  </si>
  <si>
    <t>I-200-20268-844605</t>
  </si>
  <si>
    <t>I-200-20268-844834</t>
  </si>
  <si>
    <t>I-200-20269-845149</t>
  </si>
  <si>
    <t>4100 Harwin Cir, Apt 1104</t>
  </si>
  <si>
    <t>I-200-20268-843267</t>
  </si>
  <si>
    <t>380 Ellis Street</t>
  </si>
  <si>
    <t>I-200-20268-843843</t>
  </si>
  <si>
    <t>I-200-20269-845331</t>
  </si>
  <si>
    <t>I-200-20268-843561</t>
  </si>
  <si>
    <t>I-200-20268-844776</t>
  </si>
  <si>
    <t>P-200-20154-621291</t>
  </si>
  <si>
    <t>I-200-20268-844455</t>
  </si>
  <si>
    <t>547, West Northwest Highway, Apartment 3210</t>
  </si>
  <si>
    <t>I-200-20269-846071</t>
  </si>
  <si>
    <t xml:space="preserve">350 North Orleans </t>
  </si>
  <si>
    <t>Second Floor, Level C-1 &amp; C-2</t>
  </si>
  <si>
    <t>I-200-20268-843545</t>
  </si>
  <si>
    <t>1384 Norman Dr</t>
  </si>
  <si>
    <t>tyler.yarbrough@balglobal.com</t>
  </si>
  <si>
    <t>I-200-20268-843916</t>
  </si>
  <si>
    <t>228 South Street</t>
  </si>
  <si>
    <t>I-200-20268-844084</t>
  </si>
  <si>
    <t>Global Technology Survey - Sys Design/ Arch Engrg Mgmt L2</t>
  </si>
  <si>
    <t>I-200-20269-845019</t>
  </si>
  <si>
    <t>1522 217th Pl SE</t>
  </si>
  <si>
    <t>I-200-20268-843658</t>
  </si>
  <si>
    <t>I-200-20269-845946</t>
  </si>
  <si>
    <t> 5121 Roundstone Way</t>
  </si>
  <si>
    <t>I-200-20268-844244</t>
  </si>
  <si>
    <t>1194 PACIFIC STREET</t>
  </si>
  <si>
    <t>I-200-20268-843408</t>
  </si>
  <si>
    <t>83 Wooster Heights, Lee Farms Corporate Park</t>
  </si>
  <si>
    <t>I-200-20268-843263</t>
  </si>
  <si>
    <t>I-200-20268-843445</t>
  </si>
  <si>
    <t>I-200-20268-844861</t>
  </si>
  <si>
    <t>I-200-20268-842997</t>
  </si>
  <si>
    <t>600, North King Street</t>
  </si>
  <si>
    <t>I-200-20269-844943</t>
  </si>
  <si>
    <t>I-200-20268-844717</t>
  </si>
  <si>
    <t>2 Radio Ave, Apt C8</t>
  </si>
  <si>
    <t>I-200-20269-846629</t>
  </si>
  <si>
    <t>I-200-20269-846569</t>
  </si>
  <si>
    <t>30 ROSEBAY CT</t>
  </si>
  <si>
    <t>I-200-20268-844629</t>
  </si>
  <si>
    <t>I-200-20268-843069</t>
  </si>
  <si>
    <t>I-200-20269-845959</t>
  </si>
  <si>
    <t>I-200-20268-843419</t>
  </si>
  <si>
    <t>I-200-20269-846559</t>
  </si>
  <si>
    <t>1 Enterprise Drive</t>
  </si>
  <si>
    <t>I-200-20270-846872</t>
  </si>
  <si>
    <t>I-200-20269-846344</t>
  </si>
  <si>
    <t xml:space="preserve">3621 Vinings Slope SE </t>
  </si>
  <si>
    <t>sunithas@sunraycorp.com</t>
  </si>
  <si>
    <t>300 Third Street</t>
  </si>
  <si>
    <t>I-200-20268-843879</t>
  </si>
  <si>
    <t>alighter@balgobal.com</t>
  </si>
  <si>
    <t>I-200-20268-844559</t>
  </si>
  <si>
    <t>I-200-20268-844303</t>
  </si>
  <si>
    <t>I-200-20270-846830</t>
  </si>
  <si>
    <t>44 Union Boulevard</t>
  </si>
  <si>
    <t>I-200-20268-844742</t>
  </si>
  <si>
    <t>I-200-20268-844656</t>
  </si>
  <si>
    <t>39429 Desert Lilly Ct</t>
  </si>
  <si>
    <t>I-200-20268-843521</t>
  </si>
  <si>
    <t>111 8TH AVE</t>
  </si>
  <si>
    <t>I-200-20269-846310</t>
  </si>
  <si>
    <t>I-200-20268-844770</t>
  </si>
  <si>
    <t>Soft LabsNA Inc</t>
  </si>
  <si>
    <t>182 Turnpike Road</t>
  </si>
  <si>
    <t>ETS Ewing Office, 225 Phillips Boulevard</t>
  </si>
  <si>
    <t>I-200-20268-843094</t>
  </si>
  <si>
    <t>I-200-20268-844529</t>
  </si>
  <si>
    <t>Vision Stream LLC</t>
  </si>
  <si>
    <t>3996 Country Road 516</t>
  </si>
  <si>
    <t>Anuj</t>
  </si>
  <si>
    <t>andyj@visionstreamllc.com</t>
  </si>
  <si>
    <t xml:space="preserve">3996 County Road 516, </t>
  </si>
  <si>
    <t>I-200-20268-843264</t>
  </si>
  <si>
    <t>I-200-20268-844600</t>
  </si>
  <si>
    <t>emoran@bloombergindustry.com</t>
  </si>
  <si>
    <t>I-200-20268-844874</t>
  </si>
  <si>
    <t>I-200-20268-844108</t>
  </si>
  <si>
    <t>Sarian Solutions Inc</t>
  </si>
  <si>
    <t xml:space="preserve">4105 Route 1 South </t>
  </si>
  <si>
    <t>Chintareddy</t>
  </si>
  <si>
    <t>Prudvi</t>
  </si>
  <si>
    <t>kumar@sarianinc.com</t>
  </si>
  <si>
    <t xml:space="preserve">285 Peachtree Center Avenue,  </t>
  </si>
  <si>
    <t>I-200-20269-846610</t>
  </si>
  <si>
    <t>316 Woodgate Circle</t>
  </si>
  <si>
    <t>I-200-20268-843893</t>
  </si>
  <si>
    <t>I-200-20269-845151</t>
  </si>
  <si>
    <t>I-200-20268-844743</t>
  </si>
  <si>
    <t>I-200-20268-843675</t>
  </si>
  <si>
    <t xml:space="preserve">220 East Las Colinas Boulevard </t>
  </si>
  <si>
    <t>I-200-20268-843121</t>
  </si>
  <si>
    <t>I-200-20269-844949</t>
  </si>
  <si>
    <t>I-200-20268-844217</t>
  </si>
  <si>
    <t>I-200-20268-844552</t>
  </si>
  <si>
    <t>Caplan and Colaku Architecture D.P.C.</t>
  </si>
  <si>
    <t>345 Seventh Ave, Suite 2502</t>
  </si>
  <si>
    <t>Colaku</t>
  </si>
  <si>
    <t>Abduraman</t>
  </si>
  <si>
    <t>mani@caplancolaku.com</t>
  </si>
  <si>
    <t>Opera Technologies Inc</t>
  </si>
  <si>
    <t>557 West Uwchlan Ave</t>
  </si>
  <si>
    <t>Vasagiri</t>
  </si>
  <si>
    <t>557 west Uwchlan Ave</t>
  </si>
  <si>
    <t>hr@operaus.com</t>
  </si>
  <si>
    <t>I-200-20268-843061</t>
  </si>
  <si>
    <t>JSUNNY@FRAGOMeN.COM</t>
  </si>
  <si>
    <t>I-200-20268-844161</t>
  </si>
  <si>
    <t>I-200-20268-843819</t>
  </si>
  <si>
    <t>I-200-20268-843112</t>
  </si>
  <si>
    <t>I-200-20268-844304</t>
  </si>
  <si>
    <t>6150 Trenton Lane North</t>
  </si>
  <si>
    <t>I-200-20268-844440</t>
  </si>
  <si>
    <t>I-200-20268-844144</t>
  </si>
  <si>
    <t xml:space="preserve">18850 N 56TH ST, </t>
  </si>
  <si>
    <t>I-200-20268-844779</t>
  </si>
  <si>
    <t>27 Maple  St</t>
  </si>
  <si>
    <t>I-200-20268-844090</t>
  </si>
  <si>
    <t>I-200-20269-845007</t>
  </si>
  <si>
    <t>8020 TOWERS CRESCENT</t>
  </si>
  <si>
    <t>I-200-20268-844604</t>
  </si>
  <si>
    <t>20 CORPORATE PI S</t>
  </si>
  <si>
    <t>I-200-20268-843937</t>
  </si>
  <si>
    <t>1670 Clairmont Road</t>
  </si>
  <si>
    <t>I-200-20269-846353</t>
  </si>
  <si>
    <t>206 JESSE WAY</t>
  </si>
  <si>
    <t>I-200-20268-844171</t>
  </si>
  <si>
    <t>HV Law Group, LLC</t>
  </si>
  <si>
    <t>1608 Walnut St</t>
  </si>
  <si>
    <t>Vandenberg</t>
  </si>
  <si>
    <t>joh@hvlawgroup.com</t>
  </si>
  <si>
    <t>154 Fenwick St</t>
  </si>
  <si>
    <t>I-200-20268-843007</t>
  </si>
  <si>
    <t>15205 NE 16TH PL</t>
  </si>
  <si>
    <t>I-200-20268-844535</t>
  </si>
  <si>
    <t>I-200-20269-846616</t>
  </si>
  <si>
    <t>1321 Orlando Blvd.</t>
  </si>
  <si>
    <t>I-200-20268-844049</t>
  </si>
  <si>
    <t xml:space="preserve">Pacific Coast Companies, Inc </t>
  </si>
  <si>
    <t>10600 White Rock Road</t>
  </si>
  <si>
    <t>Musillani</t>
  </si>
  <si>
    <t>Director of HR Services</t>
  </si>
  <si>
    <t xml:space="preserve">10600 White Rock Road </t>
  </si>
  <si>
    <t>Robyn.Musillani@pcci.com</t>
  </si>
  <si>
    <t>I-200-20268-843640</t>
  </si>
  <si>
    <t>I-200-20269-846689</t>
  </si>
  <si>
    <t>2000, Corporate Drive</t>
  </si>
  <si>
    <t>I-200-20268-843974</t>
  </si>
  <si>
    <t>MB3 Inc</t>
  </si>
  <si>
    <t>3300 West Esplanade Ave</t>
  </si>
  <si>
    <t>Ryan-Peloquin</t>
  </si>
  <si>
    <t xml:space="preserve">Marleen </t>
  </si>
  <si>
    <t>3300 West Esplanade Avenue</t>
  </si>
  <si>
    <t>I-200-20268-843985</t>
  </si>
  <si>
    <t>I-200-20268-844801</t>
  </si>
  <si>
    <t>1600 AL Highway 229 S</t>
  </si>
  <si>
    <t>I-200-20268-843718</t>
  </si>
  <si>
    <t>New York Fast General Contracting Corporation</t>
  </si>
  <si>
    <t xml:space="preserve">93-02 183rd Street </t>
  </si>
  <si>
    <t>newyorkfastgc@hotmail.com</t>
  </si>
  <si>
    <t>93-02 183rd Street</t>
  </si>
  <si>
    <t>I-200-20268-844134</t>
  </si>
  <si>
    <t>I-200-20269-845617</t>
  </si>
  <si>
    <t>I-200-20269-845416</t>
  </si>
  <si>
    <t>3701 Hamlin Rd.</t>
  </si>
  <si>
    <t>I-200-20268-843476</t>
  </si>
  <si>
    <t>I-200-20269-846622</t>
  </si>
  <si>
    <t>5750 EPSILON</t>
  </si>
  <si>
    <t>I-200-20268-843593</t>
  </si>
  <si>
    <t>Hospital Medicine Services of Tennessee PC</t>
  </si>
  <si>
    <t>debbie_rosenberg@teamhealth.com</t>
  </si>
  <si>
    <t>908 West 4th North Street</t>
  </si>
  <si>
    <t>HAMBLEN</t>
  </si>
  <si>
    <t>I-200-20268-844700</t>
  </si>
  <si>
    <t>20205 NORTH CREEK PARKWAY</t>
  </si>
  <si>
    <t>I-200-20268-843756</t>
  </si>
  <si>
    <t>Provisions Constructions &amp; Development, Inc.</t>
  </si>
  <si>
    <t>3401 Lake Breeze Drive</t>
  </si>
  <si>
    <t>Arrington</t>
  </si>
  <si>
    <t>marrington@provisionscdi.com</t>
  </si>
  <si>
    <t>Building 601, Suite A</t>
  </si>
  <si>
    <t>I-200-20268-844845</t>
  </si>
  <si>
    <t>I-200-20268-843131</t>
  </si>
  <si>
    <t>I-200-20269-845298</t>
  </si>
  <si>
    <t>1001 4th Avenue</t>
  </si>
  <si>
    <t>Suite #3800</t>
  </si>
  <si>
    <t>I-200-20268-844276</t>
  </si>
  <si>
    <t>I-200-20269-845045</t>
  </si>
  <si>
    <t>I-200-20269-845241</t>
  </si>
  <si>
    <t xml:space="preserve">303 Peachtree St. </t>
  </si>
  <si>
    <t>I-200-20268-843175</t>
  </si>
  <si>
    <t>I-200-20268-844194</t>
  </si>
  <si>
    <t>15720 Brixham Hill Ave</t>
  </si>
  <si>
    <t>I-200-20268-843015</t>
  </si>
  <si>
    <t>Jaya S</t>
  </si>
  <si>
    <t>I-200-20268-844028</t>
  </si>
  <si>
    <t>I-200-20268-843122</t>
  </si>
  <si>
    <t>I-200-20268-843145</t>
  </si>
  <si>
    <t>I-200-20268-843840</t>
  </si>
  <si>
    <t>I-200-20269-844922</t>
  </si>
  <si>
    <t>vsharmapt@aol.com</t>
  </si>
  <si>
    <t>2295 PLUMMER AVE</t>
  </si>
  <si>
    <t>I-200-20268-843371</t>
  </si>
  <si>
    <t>I-200-20268-844488</t>
  </si>
  <si>
    <t>I-200-20268-844168</t>
  </si>
  <si>
    <t>415 E JEFFERSON AVENUE</t>
  </si>
  <si>
    <t>I-200-20269-846080</t>
  </si>
  <si>
    <t>DECISIONWAVE TECHNOLOGIES INC</t>
  </si>
  <si>
    <t>264 SOUTH RIVER ROAD</t>
  </si>
  <si>
    <t>DAKSHNAMOORTHY</t>
  </si>
  <si>
    <t>SUDHARANI</t>
  </si>
  <si>
    <t>ADMIN@DECISIONWAVE.COM</t>
  </si>
  <si>
    <t>I-200-20268-843104</t>
  </si>
  <si>
    <t>767 ,4th Street</t>
  </si>
  <si>
    <t>I-200-20268-844696</t>
  </si>
  <si>
    <t>I-200-20269-846166</t>
  </si>
  <si>
    <t xml:space="preserve">BUILDING 5 </t>
  </si>
  <si>
    <t>I-200-20268-844832</t>
  </si>
  <si>
    <t>CH2M HILL ENGINEERS, INC.</t>
  </si>
  <si>
    <t>5985 Rogerdale Rd.,</t>
  </si>
  <si>
    <t>2411 Dulles Corner Park, Suite 500</t>
  </si>
  <si>
    <t>D. Dietrich Salary Systems Survey</t>
  </si>
  <si>
    <t>Engineering Salary Survey</t>
  </si>
  <si>
    <t>I-200-20268-843308</t>
  </si>
  <si>
    <t>3941 O'Hara Street</t>
  </si>
  <si>
    <t>I-200-20268-844398</t>
  </si>
  <si>
    <t>I-200-20268-844018</t>
  </si>
  <si>
    <t>Trumbull</t>
  </si>
  <si>
    <t>I-200-20268-843520</t>
  </si>
  <si>
    <t>I-200-20268-843814</t>
  </si>
  <si>
    <t>I-200-20268-843431</t>
  </si>
  <si>
    <t>2131 Walnut Grove Avenue</t>
  </si>
  <si>
    <t>I-200-20269-845134</t>
  </si>
  <si>
    <t>500, Grant Street, Floor 3</t>
  </si>
  <si>
    <t>I-200-20268-843391</t>
  </si>
  <si>
    <t>I-200-20268-844619</t>
  </si>
  <si>
    <t>7111 Harwin Dr, STE # 270</t>
  </si>
  <si>
    <t>I-200-20269-845037</t>
  </si>
  <si>
    <t>525 Washington BLVD</t>
  </si>
  <si>
    <t>2021 McKinney Avenue</t>
  </si>
  <si>
    <t>I-200-20269-846489</t>
  </si>
  <si>
    <t>I-200-20268-843510</t>
  </si>
  <si>
    <t>I-200-20268-844040</t>
  </si>
  <si>
    <t>FOXCONN ASSEMBLY LLC</t>
  </si>
  <si>
    <t>8807 FALLBROOK DRIVE</t>
  </si>
  <si>
    <t>8303 FALLBROOK DR.</t>
  </si>
  <si>
    <t>Elaine.Wang@foxconn.com</t>
  </si>
  <si>
    <t>8303 Fallbrook Dr.</t>
  </si>
  <si>
    <t>I-200-20268-843750</t>
  </si>
  <si>
    <t>CooperSurgical, Inc.</t>
  </si>
  <si>
    <t>75 Corporate Drive</t>
  </si>
  <si>
    <t>Tehan</t>
  </si>
  <si>
    <t>Global VP, Human Resources</t>
  </si>
  <si>
    <t>Kerry.Tehan@coopersurgical.com</t>
  </si>
  <si>
    <t>50 Corporate Drive</t>
  </si>
  <si>
    <t>I-200-20269-845516</t>
  </si>
  <si>
    <t>1817 W Braker Lane</t>
  </si>
  <si>
    <t>I-200-20268-843247</t>
  </si>
  <si>
    <t>I-200-20268-843151</t>
  </si>
  <si>
    <t>I-200-20268-844684</t>
  </si>
  <si>
    <t>I-200-20268-844115</t>
  </si>
  <si>
    <t>S&amp;B INDUSTRY, INC.</t>
  </si>
  <si>
    <t>13301 PARK VISTA BLVD., SUITE 100</t>
  </si>
  <si>
    <t>13301 Park Vista Blvd., Suite 100</t>
  </si>
  <si>
    <t>jeanwchang@foxconn.com</t>
  </si>
  <si>
    <t>Fort Worth, TX</t>
  </si>
  <si>
    <t>I-200-20268-844180</t>
  </si>
  <si>
    <t>Blue Hill Tech, Inc.</t>
  </si>
  <si>
    <t>2805 43rd Avenue W</t>
  </si>
  <si>
    <t>Yushan</t>
  </si>
  <si>
    <t>yushan@bluehill.coffee</t>
  </si>
  <si>
    <t>I-200-20268-843586</t>
  </si>
  <si>
    <t>rupali@employmentimmigration.com</t>
  </si>
  <si>
    <t>I-200-20268-844500</t>
  </si>
  <si>
    <t>I-200-20269-845031</t>
  </si>
  <si>
    <t>6017 Branch Dr.</t>
  </si>
  <si>
    <t>I-200-20268-843895</t>
  </si>
  <si>
    <t>I-200-20268-843156</t>
  </si>
  <si>
    <t>I-200-20269-845288</t>
  </si>
  <si>
    <t>1041 WILLOW BEND DR</t>
  </si>
  <si>
    <t>I-200-20268-844653</t>
  </si>
  <si>
    <t>I-200-20268-843535</t>
  </si>
  <si>
    <t>I-200-20268-844785</t>
  </si>
  <si>
    <t>800-E Beaty Street</t>
  </si>
  <si>
    <t>I-200-20269-845694</t>
  </si>
  <si>
    <t>I-200-20268-844306</t>
  </si>
  <si>
    <t>I-200-20269-845280</t>
  </si>
  <si>
    <t>13926 NE 14th St</t>
  </si>
  <si>
    <t>Apt # 2-1</t>
  </si>
  <si>
    <t>I-200-20268-844226</t>
  </si>
  <si>
    <t>2025 NE Cornelius Pass Rd.</t>
  </si>
  <si>
    <t>Global Technology Survey - Technical Writing Mgmt L3</t>
  </si>
  <si>
    <t>I-200-20269-845011</t>
  </si>
  <si>
    <t>I-200-20268-843142</t>
  </si>
  <si>
    <t>I-200-20268-844013</t>
  </si>
  <si>
    <t>401 N Broadway</t>
  </si>
  <si>
    <t>I-200-20268-843209</t>
  </si>
  <si>
    <t>I-200-20268-844219</t>
  </si>
  <si>
    <t>University of California, Santa Barbara</t>
  </si>
  <si>
    <t>UC Santa Barbara Office of International Students</t>
  </si>
  <si>
    <t>UC Santa Barbara College of Engineering</t>
  </si>
  <si>
    <t>Engineering Science Building 3205B</t>
  </si>
  <si>
    <t>I-200-20268-844671</t>
  </si>
  <si>
    <t>3060 SOUTH CHURCH STREET</t>
  </si>
  <si>
    <t>I-200-20269-845595</t>
  </si>
  <si>
    <t>834 E Washington Avenue</t>
  </si>
  <si>
    <t>I-200-20269-845153</t>
  </si>
  <si>
    <t>400, Value Way</t>
  </si>
  <si>
    <t>I-200-20268-843997</t>
  </si>
  <si>
    <t>I-200-20268-844345</t>
  </si>
  <si>
    <t>I-200-20268-844149</t>
  </si>
  <si>
    <t>I-200-20268-844800</t>
  </si>
  <si>
    <t>I-200-20268-844511</t>
  </si>
  <si>
    <t>801 Mia Dr</t>
  </si>
  <si>
    <t>I-200-20268-843460</t>
  </si>
  <si>
    <t>GameStop, Inc.</t>
  </si>
  <si>
    <t>625 Westport Pkwy</t>
  </si>
  <si>
    <t>Medlenka</t>
  </si>
  <si>
    <t>Denyse</t>
  </si>
  <si>
    <t>Senior Director, Corporate HR</t>
  </si>
  <si>
    <t>I-200-20268-843910</t>
  </si>
  <si>
    <t>249 Agricultural Science and Industries Building</t>
  </si>
  <si>
    <t>I-200-20272-847370</t>
  </si>
  <si>
    <t>KESHAV CONSULTING SOLUTIONS LLC</t>
  </si>
  <si>
    <t>5470 MCGINNIS VILLAGE PLACE, STE 102</t>
  </si>
  <si>
    <t>KETHIREDDY</t>
  </si>
  <si>
    <t>BAPU REDDY</t>
  </si>
  <si>
    <t>ALPHARETTE</t>
  </si>
  <si>
    <t>3317 SW I St.</t>
  </si>
  <si>
    <t>I-200-20269-844953</t>
  </si>
  <si>
    <t>I-200-20269-844923</t>
  </si>
  <si>
    <t xml:space="preserve">560 20th Street </t>
  </si>
  <si>
    <t>I-200-20270-846804</t>
  </si>
  <si>
    <t>4210 S RAVINIA DR</t>
  </si>
  <si>
    <t>APT # 103</t>
  </si>
  <si>
    <t>I-200-20268-844402</t>
  </si>
  <si>
    <t>I-200-20268-843503</t>
  </si>
  <si>
    <t>I-200-20268-843806</t>
  </si>
  <si>
    <t>I-200-20268-843716</t>
  </si>
  <si>
    <t>1 becton dr</t>
  </si>
  <si>
    <t>I-200-20269-845032</t>
  </si>
  <si>
    <t>I-200-20268-843412</t>
  </si>
  <si>
    <t>I-200-20268-843189</t>
  </si>
  <si>
    <t>110 FORGE CT</t>
  </si>
  <si>
    <t>MALVERN </t>
  </si>
  <si>
    <t>I-200-20268-843685</t>
  </si>
  <si>
    <t>Department of Internal Medicine; MED/HO 5204 MERF</t>
  </si>
  <si>
    <t>I-200-20268-844273</t>
  </si>
  <si>
    <t>15-1199</t>
  </si>
  <si>
    <t>15-1132</t>
  </si>
  <si>
    <t>19-1042</t>
  </si>
  <si>
    <t>11-9041</t>
  </si>
  <si>
    <t>19-1029</t>
  </si>
  <si>
    <t>19-2012</t>
  </si>
  <si>
    <t>13-1161</t>
  </si>
  <si>
    <t>29-1021</t>
  </si>
  <si>
    <t>15-1133</t>
  </si>
  <si>
    <t>17-2031</t>
  </si>
  <si>
    <t>11-3021</t>
  </si>
  <si>
    <t>17-2071</t>
  </si>
  <si>
    <t>15-2041</t>
  </si>
  <si>
    <t>15-1121</t>
  </si>
  <si>
    <t>15-2031</t>
  </si>
  <si>
    <t>15-1143</t>
  </si>
  <si>
    <t>19-1013</t>
  </si>
  <si>
    <t>11-9021</t>
  </si>
  <si>
    <t>17-2072</t>
  </si>
  <si>
    <t>15-1142</t>
  </si>
  <si>
    <t>15-2011</t>
  </si>
  <si>
    <t>11-2021</t>
  </si>
  <si>
    <t>19-1021</t>
  </si>
  <si>
    <t>15-1111</t>
  </si>
  <si>
    <t>13-2011</t>
  </si>
  <si>
    <t>25-1032</t>
  </si>
  <si>
    <t>17-2041</t>
  </si>
  <si>
    <t>19-3041</t>
  </si>
  <si>
    <t>17-2141</t>
  </si>
  <si>
    <t>15-1122</t>
  </si>
  <si>
    <t>19-2031</t>
  </si>
  <si>
    <t>11-3031</t>
  </si>
  <si>
    <t>19-2032</t>
  </si>
  <si>
    <t>11-1021</t>
  </si>
  <si>
    <t>29-1123</t>
  </si>
  <si>
    <t>25-1071</t>
  </si>
  <si>
    <t>17-2011</t>
  </si>
  <si>
    <t>17-2051</t>
  </si>
  <si>
    <t>11-3051</t>
  </si>
  <si>
    <t>29-1069</t>
  </si>
  <si>
    <t>17-2131</t>
  </si>
  <si>
    <t>15-2021</t>
  </si>
  <si>
    <t>11-9199</t>
  </si>
  <si>
    <t>29-1131</t>
  </si>
  <si>
    <t>41-3031</t>
  </si>
  <si>
    <t>13-2051</t>
  </si>
  <si>
    <t>13-1111</t>
  </si>
  <si>
    <t>17-1011</t>
  </si>
  <si>
    <t>25-1052</t>
  </si>
  <si>
    <t>17-2199</t>
  </si>
  <si>
    <t>13-1041</t>
  </si>
  <si>
    <t>19-2042</t>
  </si>
  <si>
    <t>13-2099</t>
  </si>
  <si>
    <t>23-1011</t>
  </si>
  <si>
    <t>27-1024</t>
  </si>
  <si>
    <t>19-4021</t>
  </si>
  <si>
    <t>17-2112</t>
  </si>
  <si>
    <t>15-1141</t>
  </si>
  <si>
    <t>11-9121</t>
  </si>
  <si>
    <t>41-9031</t>
  </si>
  <si>
    <t>17-2081</t>
  </si>
  <si>
    <t>19-4061</t>
  </si>
  <si>
    <t>11-1011</t>
  </si>
  <si>
    <t>19-3011</t>
  </si>
  <si>
    <t>25-1042</t>
  </si>
  <si>
    <t>15-1034</t>
  </si>
  <si>
    <t>29-2011</t>
  </si>
  <si>
    <t>19-2041</t>
  </si>
  <si>
    <t>29-1062</t>
  </si>
  <si>
    <t>17-3011</t>
  </si>
  <si>
    <t>13-1051</t>
  </si>
  <si>
    <t>15-1131</t>
  </si>
  <si>
    <t>13-1081</t>
  </si>
  <si>
    <t>13-1071</t>
  </si>
  <si>
    <t>13-1151</t>
  </si>
  <si>
    <t>25-1011</t>
  </si>
  <si>
    <t>19-3031</t>
  </si>
  <si>
    <t>25-1081</t>
  </si>
  <si>
    <t>29-1071</t>
  </si>
  <si>
    <t>17-2053</t>
  </si>
  <si>
    <t>17-2074</t>
  </si>
  <si>
    <t>25-1063</t>
  </si>
  <si>
    <t>25-2022</t>
  </si>
  <si>
    <t>17-2144</t>
  </si>
  <si>
    <t>25-2031</t>
  </si>
  <si>
    <t>19-3099</t>
  </si>
  <si>
    <t>27-1011</t>
  </si>
  <si>
    <t>11-3121</t>
  </si>
  <si>
    <t>29-1066</t>
  </si>
  <si>
    <t>27-1021</t>
  </si>
  <si>
    <t>17-2061</t>
  </si>
  <si>
    <t>29-1063</t>
  </si>
  <si>
    <t>19-2011</t>
  </si>
  <si>
    <t>19-3039</t>
  </si>
  <si>
    <t>27-3031</t>
  </si>
  <si>
    <t>19-1099</t>
  </si>
  <si>
    <t>19-1012</t>
  </si>
  <si>
    <t>17-3021</t>
  </si>
  <si>
    <t>29-1067</t>
  </si>
  <si>
    <t>19-1041</t>
  </si>
  <si>
    <t>29-1199</t>
  </si>
  <si>
    <t>27-3042</t>
  </si>
  <si>
    <t>29-1127</t>
  </si>
  <si>
    <t>29-1141</t>
  </si>
  <si>
    <t>15-1134</t>
  </si>
  <si>
    <t>15-1152</t>
  </si>
  <si>
    <t>21-1023</t>
  </si>
  <si>
    <t>13-1199</t>
  </si>
  <si>
    <t>27-3041</t>
  </si>
  <si>
    <t>29-1041</t>
  </si>
  <si>
    <t>39-2011</t>
  </si>
  <si>
    <t>19-3051</t>
  </si>
  <si>
    <t>11-3071</t>
  </si>
  <si>
    <t>17-3022</t>
  </si>
  <si>
    <t>23-1012</t>
  </si>
  <si>
    <t>25-1069</t>
  </si>
  <si>
    <t>17-2171</t>
  </si>
  <si>
    <t>11-9031</t>
  </si>
  <si>
    <t>29-1064</t>
  </si>
  <si>
    <t>29-1122</t>
  </si>
  <si>
    <t>11-3061</t>
  </si>
  <si>
    <t>15-1023</t>
  </si>
  <si>
    <t>19-1011</t>
  </si>
  <si>
    <t>85287-2812</t>
  </si>
  <si>
    <t>27709-2195</t>
  </si>
  <si>
    <t>63146-3126</t>
  </si>
  <si>
    <t>32610-0303</t>
  </si>
  <si>
    <t>08528-0620</t>
  </si>
  <si>
    <t>48265-3000</t>
  </si>
  <si>
    <t>33321-6403</t>
  </si>
  <si>
    <t>01887-3494</t>
  </si>
  <si>
    <t>55432-5604</t>
  </si>
  <si>
    <t>95110-1002</t>
  </si>
  <si>
    <t>98134-1435</t>
  </si>
  <si>
    <t>27709-2257</t>
  </si>
  <si>
    <t>EH13LY</t>
  </si>
  <si>
    <t>30309-3958</t>
  </si>
  <si>
    <t>78746-5235</t>
  </si>
  <si>
    <t>30303-1740</t>
  </si>
  <si>
    <t>48009-1724</t>
  </si>
  <si>
    <t>91604-2407</t>
  </si>
  <si>
    <t>60603-2302</t>
  </si>
  <si>
    <t>64116-4664</t>
  </si>
  <si>
    <t>10003-1502</t>
  </si>
  <si>
    <t>48025-1170</t>
  </si>
  <si>
    <t>30309-3592</t>
  </si>
  <si>
    <t>95014-2384</t>
  </si>
  <si>
    <t>77242-1409</t>
  </si>
  <si>
    <t>94598-2405</t>
  </si>
  <si>
    <t>75024-5965</t>
  </si>
  <si>
    <t>95765-3727</t>
  </si>
  <si>
    <t>10281-1008</t>
  </si>
  <si>
    <t>94085-3505</t>
  </si>
  <si>
    <t>75201-6703</t>
  </si>
  <si>
    <t>76134-2099</t>
  </si>
  <si>
    <t>Wage</t>
  </si>
  <si>
    <t>Both</t>
  </si>
  <si>
    <t>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</si>
</sst>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00000"/>
    <numFmt numFmtId="166" formatCode="[&lt;=9999999]###\-####;\(###\)\ ###\-#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80623"/>
  <sheetViews>
    <sheetView tabSelected="1" workbookViewId="0">
      <pane ySplit="1" topLeftCell="A80584" activePane="bottomLeft" state="frozen"/>
      <selection activeCell="BQ1" sqref="BQ1"/>
      <selection pane="bottomLeft" activeCell="A2001" sqref="A2001:XFD80623"/>
    </sheetView>
  </sheetViews>
  <sheetFormatPr baseColWidth="10" defaultColWidth="8.83203125" defaultRowHeight="15" x14ac:dyDescent="0.2"/>
  <cols>
    <col min="1" max="1" width="18" bestFit="1" customWidth="1"/>
    <col min="2" max="2" width="40.1640625" bestFit="1" customWidth="1"/>
    <col min="3" max="4" width="15.1640625" bestFit="1" customWidth="1"/>
    <col min="5" max="5" width="20.6640625" bestFit="1" customWidth="1"/>
    <col min="6" max="6" width="15.5" bestFit="1" customWidth="1"/>
    <col min="7" max="7" width="69.83203125" bestFit="1" customWidth="1"/>
    <col min="8" max="8" width="12.83203125" customWidth="1"/>
    <col min="9" max="9" width="87.83203125" bestFit="1" customWidth="1"/>
    <col min="10" max="10" width="20.1640625" bestFit="1" customWidth="1"/>
    <col min="11" max="11" width="12" bestFit="1" customWidth="1"/>
    <col min="12" max="12" width="10.6640625" bestFit="1" customWidth="1"/>
    <col min="13" max="13" width="26.5" bestFit="1" customWidth="1"/>
    <col min="14" max="14" width="18.83203125" bestFit="1" customWidth="1"/>
    <col min="15" max="15" width="25.33203125" bestFit="1" customWidth="1"/>
    <col min="16" max="16" width="32.33203125" bestFit="1" customWidth="1"/>
    <col min="17" max="17" width="32.5" bestFit="1" customWidth="1"/>
    <col min="18" max="18" width="19" bestFit="1" customWidth="1"/>
    <col min="19" max="19" width="19.5" bestFit="1" customWidth="1"/>
    <col min="20" max="20" width="81.5" bestFit="1" customWidth="1"/>
    <col min="21" max="21" width="71.33203125" bestFit="1" customWidth="1"/>
    <col min="22" max="22" width="57.5" bestFit="1" customWidth="1"/>
    <col min="23" max="23" width="61.5" bestFit="1" customWidth="1"/>
    <col min="24" max="24" width="32.1640625" bestFit="1" customWidth="1"/>
    <col min="25" max="25" width="16.6640625" bestFit="1" customWidth="1"/>
    <col min="26" max="26" width="24.33203125" style="3" bestFit="1" customWidth="1"/>
    <col min="27" max="27" width="26.33203125" bestFit="1" customWidth="1"/>
    <col min="28" max="28" width="21.83203125" bestFit="1" customWidth="1"/>
    <col min="29" max="29" width="17.83203125" style="4" bestFit="1" customWidth="1"/>
    <col min="30" max="30" width="22.1640625" bestFit="1" customWidth="1"/>
    <col min="31" max="31" width="12.33203125" bestFit="1" customWidth="1"/>
    <col min="32" max="32" width="41.6640625" bestFit="1" customWidth="1"/>
    <col min="33" max="33" width="38.5" bestFit="1" customWidth="1"/>
    <col min="34" max="34" width="29.83203125" bestFit="1" customWidth="1"/>
    <col min="35" max="35" width="65.6640625" bestFit="1" customWidth="1"/>
    <col min="36" max="36" width="54" bestFit="1" customWidth="1"/>
    <col min="37" max="37" width="57.1640625" bestFit="1" customWidth="1"/>
    <col min="38" max="38" width="26.83203125" bestFit="1" customWidth="1"/>
    <col min="39" max="39" width="21.6640625" bestFit="1" customWidth="1"/>
    <col min="40" max="40" width="29.1640625" style="3" bestFit="1" customWidth="1"/>
    <col min="41" max="41" width="26.33203125" bestFit="1" customWidth="1"/>
    <col min="42" max="42" width="25.6640625" bestFit="1" customWidth="1"/>
    <col min="43" max="43" width="22.6640625" bestFit="1" customWidth="1"/>
    <col min="44" max="44" width="27" bestFit="1" customWidth="1"/>
    <col min="45" max="45" width="59.5" bestFit="1" customWidth="1"/>
    <col min="46" max="46" width="32.1640625" bestFit="1" customWidth="1"/>
    <col min="47" max="47" width="29.5" bestFit="1" customWidth="1"/>
    <col min="48" max="48" width="30.1640625" bestFit="1" customWidth="1"/>
    <col min="49" max="49" width="34.83203125" bestFit="1" customWidth="1"/>
    <col min="50" max="50" width="50.83203125" bestFit="1" customWidth="1"/>
    <col min="51" max="51" width="54.33203125" bestFit="1" customWidth="1"/>
    <col min="52" max="52" width="22.5" bestFit="1" customWidth="1"/>
    <col min="53" max="53" width="24" bestFit="1" customWidth="1"/>
    <col min="54" max="54" width="31.5" style="3" bestFit="1" customWidth="1"/>
    <col min="55" max="55" width="27.33203125" bestFit="1" customWidth="1"/>
    <col min="56" max="56" width="28" bestFit="1" customWidth="1"/>
    <col min="57" max="57" width="25" bestFit="1" customWidth="1"/>
    <col min="58" max="58" width="29.33203125" bestFit="1" customWidth="1"/>
    <col min="59" max="59" width="63.83203125" bestFit="1" customWidth="1"/>
    <col min="60" max="60" width="75.5" bestFit="1" customWidth="1"/>
    <col min="61" max="61" width="25.6640625" bestFit="1" customWidth="1"/>
    <col min="62" max="62" width="59" bestFit="1" customWidth="1"/>
    <col min="63" max="63" width="20.1640625" bestFit="1" customWidth="1"/>
    <col min="64" max="64" width="19" bestFit="1" customWidth="1"/>
    <col min="65" max="65" width="114.6640625" bestFit="1" customWidth="1"/>
    <col min="66" max="66" width="67.33203125" bestFit="1" customWidth="1"/>
    <col min="67" max="67" width="63.83203125" bestFit="1" customWidth="1"/>
    <col min="68" max="68" width="34" bestFit="1" customWidth="1"/>
    <col min="69" max="69" width="43.6640625" bestFit="1" customWidth="1"/>
    <col min="70" max="70" width="16.5" bestFit="1" customWidth="1"/>
    <col min="71" max="71" width="24.1640625" style="5" bestFit="1" customWidth="1"/>
    <col min="72" max="72" width="26.5" bestFit="1" customWidth="1"/>
    <col min="73" max="73" width="23.5" bestFit="1" customWidth="1"/>
    <col min="74" max="74" width="19.83203125" bestFit="1" customWidth="1"/>
    <col min="75" max="75" width="18.33203125" bestFit="1" customWidth="1"/>
    <col min="76" max="76" width="17.5" bestFit="1" customWidth="1"/>
    <col min="77" max="77" width="23.1640625" bestFit="1" customWidth="1"/>
    <col min="78" max="78" width="16.5" bestFit="1" customWidth="1"/>
    <col min="79" max="79" width="21.5" bestFit="1" customWidth="1"/>
    <col min="80" max="80" width="19.1640625" bestFit="1" customWidth="1"/>
    <col min="81" max="81" width="16.5" bestFit="1" customWidth="1"/>
    <col min="82" max="82" width="69.5" bestFit="1" customWidth="1"/>
    <col min="83" max="83" width="71.1640625" bestFit="1" customWidth="1"/>
    <col min="84" max="84" width="28.5" bestFit="1" customWidth="1"/>
    <col min="85" max="85" width="25" bestFit="1" customWidth="1"/>
    <col min="86" max="86" width="16.1640625" bestFit="1" customWidth="1"/>
    <col min="87" max="87" width="18.5" bestFit="1" customWidth="1"/>
    <col min="88" max="88" width="13.6640625" bestFit="1" customWidth="1"/>
    <col min="89" max="89" width="80.5" bestFit="1" customWidth="1"/>
    <col min="90" max="90" width="23" bestFit="1" customWidth="1"/>
    <col min="91" max="91" width="32.5" bestFit="1" customWidth="1"/>
    <col min="92" max="92" width="39.33203125" bestFit="1" customWidth="1"/>
    <col min="93" max="93" width="34.5" bestFit="1" customWidth="1"/>
    <col min="94" max="94" width="25.5" bestFit="1" customWidth="1"/>
    <col min="95" max="95" width="64.6640625" bestFit="1" customWidth="1"/>
    <col min="96" max="96" width="48.5" bestFit="1" customWidth="1"/>
  </cols>
  <sheetData>
    <row r="1" spans="1:9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3" t="s">
        <v>25</v>
      </c>
      <c r="AA1" t="s">
        <v>26</v>
      </c>
      <c r="AB1" t="s">
        <v>27</v>
      </c>
      <c r="AC1" s="4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s="3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3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s="5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">
      <c r="A2" t="s">
        <v>444</v>
      </c>
      <c r="B2" t="s">
        <v>96</v>
      </c>
      <c r="C2" s="1">
        <v>44098</v>
      </c>
      <c r="D2" s="1">
        <v>44105</v>
      </c>
      <c r="F2" t="s">
        <v>97</v>
      </c>
      <c r="G2" t="str">
        <f>"Senior Technical Architect"</f>
        <v>Senior Technical Architect</v>
      </c>
      <c r="H2" t="s">
        <v>12169</v>
      </c>
      <c r="I2" t="s">
        <v>124</v>
      </c>
      <c r="J2" t="s">
        <v>98</v>
      </c>
      <c r="K2" s="1">
        <v>44240</v>
      </c>
      <c r="L2" s="1">
        <v>45334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 t="s">
        <v>445</v>
      </c>
      <c r="U2" t="str">
        <f>""</f>
        <v/>
      </c>
      <c r="V2" t="s">
        <v>446</v>
      </c>
      <c r="W2" t="str">
        <f>"Suite 600"</f>
        <v>Suite 600</v>
      </c>
      <c r="X2" t="s">
        <v>447</v>
      </c>
      <c r="Y2" t="s">
        <v>100</v>
      </c>
      <c r="Z2" s="3">
        <v>8830</v>
      </c>
      <c r="AA2" t="s">
        <v>101</v>
      </c>
      <c r="AC2" s="4" t="str">
        <f>"+16094096957"</f>
        <v>+16094096957</v>
      </c>
      <c r="AE2" t="str">
        <f>"541512"</f>
        <v>541512</v>
      </c>
      <c r="AF2" t="s">
        <v>448</v>
      </c>
      <c r="AG2" t="s">
        <v>449</v>
      </c>
      <c r="AI2" t="s">
        <v>450</v>
      </c>
      <c r="AJ2" t="s">
        <v>446</v>
      </c>
      <c r="AK2" t="str">
        <f>"Suite 600"</f>
        <v>Suite 600</v>
      </c>
      <c r="AL2" t="s">
        <v>447</v>
      </c>
      <c r="AM2" t="s">
        <v>100</v>
      </c>
      <c r="AN2" s="3">
        <v>8830</v>
      </c>
      <c r="AO2" t="s">
        <v>101</v>
      </c>
      <c r="AQ2" t="str">
        <f>"+16094092214"</f>
        <v>+16094092214</v>
      </c>
      <c r="AS2" t="s">
        <v>451</v>
      </c>
      <c r="AT2" t="s">
        <v>107</v>
      </c>
      <c r="AU2" t="str">
        <f>"Chothani"</f>
        <v>Chothani</v>
      </c>
      <c r="AV2" t="str">
        <f>"Poorvi"</f>
        <v>Poorvi</v>
      </c>
      <c r="AW2" t="str">
        <f>"Rohit"</f>
        <v>Rohit</v>
      </c>
      <c r="AX2" t="str">
        <f>"244 Madison Ave."</f>
        <v>244 Madison Ave.</v>
      </c>
      <c r="AY2" t="str">
        <f>"Ste. 2350"</f>
        <v>Ste. 2350</v>
      </c>
      <c r="AZ2" t="str">
        <f>"NEW YORK"</f>
        <v>NEW YORK</v>
      </c>
      <c r="BA2" t="str">
        <f>"NY"</f>
        <v>NY</v>
      </c>
      <c r="BB2" s="3">
        <v>10016</v>
      </c>
      <c r="BC2" t="str">
        <f>"UNITED STATES OF AMERICA"</f>
        <v>UNITED STATES OF AMERICA</v>
      </c>
      <c r="BD2" t="str">
        <f>"NEW YORK"</f>
        <v>NEW YORK</v>
      </c>
      <c r="BE2" t="str">
        <f>"+16464190933"</f>
        <v>+16464190933</v>
      </c>
      <c r="BF2" t="str">
        <f>""</f>
        <v/>
      </c>
      <c r="BG2" t="str">
        <f>"gov@poorvichothani.com"</f>
        <v>gov@poorvichothani.com</v>
      </c>
      <c r="BH2" t="str">
        <f>"The Law Office of Poorvi Chothani, PLLC"</f>
        <v>The Law Office of Poorvi Chothani, PLLC</v>
      </c>
      <c r="BI2" t="str">
        <f>"NY"</f>
        <v>NY</v>
      </c>
      <c r="BJ2" t="str">
        <f>"NEW YORK"</f>
        <v>NEW YORK</v>
      </c>
      <c r="BK2">
        <v>1</v>
      </c>
      <c r="BL2" t="s">
        <v>107</v>
      </c>
      <c r="BM2" t="str">
        <f>"Fannie Mae"</f>
        <v>Fannie Mae</v>
      </c>
      <c r="BN2" t="s">
        <v>452</v>
      </c>
      <c r="BP2" t="s">
        <v>453</v>
      </c>
      <c r="BQ2" t="s">
        <v>454</v>
      </c>
      <c r="BR2" t="s">
        <v>135</v>
      </c>
      <c r="BS2" s="5">
        <v>20170</v>
      </c>
      <c r="BT2" s="2">
        <v>103770</v>
      </c>
      <c r="BU2" s="2">
        <v>110770</v>
      </c>
      <c r="BV2" t="s">
        <v>105</v>
      </c>
      <c r="BW2" s="2">
        <v>97406</v>
      </c>
      <c r="BX2" t="s">
        <v>105</v>
      </c>
      <c r="BZ2" t="s">
        <v>167</v>
      </c>
      <c r="CA2" t="str">
        <f t="shared" ref="CA2:CA33" si="0">"7/1/2020 - 6/30/2021"</f>
        <v>7/1/2020 - 6/30/2021</v>
      </c>
      <c r="CF2">
        <v>2</v>
      </c>
      <c r="CG2" t="s">
        <v>98</v>
      </c>
      <c r="CH2" t="s">
        <v>98</v>
      </c>
      <c r="CI2" t="s">
        <v>206</v>
      </c>
      <c r="CJ2" t="s">
        <v>98</v>
      </c>
      <c r="CK2" t="s">
        <v>12323</v>
      </c>
      <c r="CL2" t="s">
        <v>108</v>
      </c>
      <c r="CM2" t="s">
        <v>109</v>
      </c>
      <c r="CN2" t="str">
        <f>"Chothani"</f>
        <v>Chothani</v>
      </c>
      <c r="CO2" t="str">
        <f>"Poorvi"</f>
        <v>Poorvi</v>
      </c>
      <c r="CP2" t="str">
        <f>"R"</f>
        <v>R</v>
      </c>
      <c r="CQ2" t="str">
        <f>"The Law office of Poorvi Chothani, PLLC"</f>
        <v>The Law office of Poorvi Chothani, PLLC</v>
      </c>
      <c r="CR2" t="s">
        <v>455</v>
      </c>
    </row>
    <row r="3" spans="1:96" x14ac:dyDescent="0.2">
      <c r="A3" t="s">
        <v>1805</v>
      </c>
      <c r="B3" t="s">
        <v>96</v>
      </c>
      <c r="C3" s="1">
        <v>44098</v>
      </c>
      <c r="D3" s="1">
        <v>44105</v>
      </c>
      <c r="F3" t="s">
        <v>97</v>
      </c>
      <c r="G3" t="str">
        <f>"Programmer Analyst	"</f>
        <v xml:space="preserve">Programmer Analyst	</v>
      </c>
      <c r="H3" t="s">
        <v>12239</v>
      </c>
      <c r="I3" t="s">
        <v>378</v>
      </c>
      <c r="J3" t="s">
        <v>98</v>
      </c>
      <c r="K3" s="1">
        <v>44098</v>
      </c>
      <c r="L3" s="1">
        <v>45192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 t="s">
        <v>902</v>
      </c>
      <c r="U3" t="str">
        <f>""</f>
        <v/>
      </c>
      <c r="V3" t="s">
        <v>903</v>
      </c>
      <c r="W3" t="str">
        <f>"SUITE 2200"</f>
        <v>SUITE 2200</v>
      </c>
      <c r="X3" t="s">
        <v>904</v>
      </c>
      <c r="Y3" t="s">
        <v>100</v>
      </c>
      <c r="Z3" s="3">
        <v>8816</v>
      </c>
      <c r="AA3" t="s">
        <v>101</v>
      </c>
      <c r="AB3" t="s">
        <v>108</v>
      </c>
      <c r="AC3" s="4" t="str">
        <f>"+17325091586"</f>
        <v>+17325091586</v>
      </c>
      <c r="AE3" t="str">
        <f>"541511"</f>
        <v>541511</v>
      </c>
      <c r="AF3" t="s">
        <v>905</v>
      </c>
      <c r="AG3" t="s">
        <v>906</v>
      </c>
      <c r="AH3" t="s">
        <v>108</v>
      </c>
      <c r="AI3" t="s">
        <v>818</v>
      </c>
      <c r="AJ3" t="s">
        <v>903</v>
      </c>
      <c r="AK3" t="str">
        <f>"SUITE 2200"</f>
        <v>SUITE 2200</v>
      </c>
      <c r="AL3" t="s">
        <v>904</v>
      </c>
      <c r="AM3" t="s">
        <v>100</v>
      </c>
      <c r="AN3" s="3">
        <v>8816</v>
      </c>
      <c r="AO3" t="s">
        <v>101</v>
      </c>
      <c r="AQ3" t="str">
        <f>"+17325091586"</f>
        <v>+17325091586</v>
      </c>
      <c r="AS3" t="s">
        <v>907</v>
      </c>
      <c r="AT3" t="s">
        <v>102</v>
      </c>
      <c r="AU3" t="str">
        <f>""</f>
        <v/>
      </c>
      <c r="AV3" t="str">
        <f>""</f>
        <v/>
      </c>
      <c r="AW3" t="str">
        <f>""</f>
        <v/>
      </c>
      <c r="AX3" t="str">
        <f>""</f>
        <v/>
      </c>
      <c r="AY3" t="str">
        <f>""</f>
        <v/>
      </c>
      <c r="AZ3" t="str">
        <f>""</f>
        <v/>
      </c>
      <c r="BA3" t="str">
        <f>""</f>
        <v/>
      </c>
      <c r="BC3" t="str">
        <f>""</f>
        <v/>
      </c>
      <c r="BD3" t="str">
        <f>""</f>
        <v/>
      </c>
      <c r="BE3" t="str">
        <f>""</f>
        <v/>
      </c>
      <c r="BF3" t="str">
        <f>""</f>
        <v/>
      </c>
      <c r="BG3" t="str">
        <f>""</f>
        <v/>
      </c>
      <c r="BH3" t="str">
        <f>""</f>
        <v/>
      </c>
      <c r="BI3" t="str">
        <f>""</f>
        <v/>
      </c>
      <c r="BJ3" t="str">
        <f>""</f>
        <v/>
      </c>
      <c r="BK3">
        <v>1</v>
      </c>
      <c r="BL3" t="s">
        <v>107</v>
      </c>
      <c r="BM3" t="str">
        <f>"BP International Ltd."</f>
        <v>BP International Ltd.</v>
      </c>
      <c r="BN3" t="s">
        <v>1806</v>
      </c>
      <c r="BP3" t="s">
        <v>1807</v>
      </c>
      <c r="BQ3" t="s">
        <v>1808</v>
      </c>
      <c r="BR3" t="s">
        <v>114</v>
      </c>
      <c r="BS3" s="5">
        <v>77590</v>
      </c>
      <c r="BT3" s="2">
        <v>84510</v>
      </c>
      <c r="BV3" t="s">
        <v>105</v>
      </c>
      <c r="BW3" s="2">
        <v>84510</v>
      </c>
      <c r="BX3" t="s">
        <v>105</v>
      </c>
      <c r="BZ3" t="s">
        <v>167</v>
      </c>
      <c r="CA3" t="str">
        <f t="shared" si="0"/>
        <v>7/1/2020 - 6/30/2021</v>
      </c>
      <c r="CF3">
        <v>1</v>
      </c>
      <c r="CG3" t="s">
        <v>98</v>
      </c>
      <c r="CH3" t="s">
        <v>98</v>
      </c>
      <c r="CI3" t="s">
        <v>206</v>
      </c>
      <c r="CJ3" t="s">
        <v>98</v>
      </c>
      <c r="CK3" t="s">
        <v>12323</v>
      </c>
      <c r="CL3" t="s">
        <v>108</v>
      </c>
      <c r="CM3" t="s">
        <v>109</v>
      </c>
      <c r="CN3" t="str">
        <f>""</f>
        <v/>
      </c>
      <c r="CO3" t="str">
        <f>""</f>
        <v/>
      </c>
      <c r="CP3" t="str">
        <f>""</f>
        <v/>
      </c>
      <c r="CQ3" t="str">
        <f>""</f>
        <v/>
      </c>
    </row>
    <row r="4" spans="1:96" x14ac:dyDescent="0.2">
      <c r="A4" t="s">
        <v>2658</v>
      </c>
      <c r="B4" t="s">
        <v>96</v>
      </c>
      <c r="C4" s="1">
        <v>44098</v>
      </c>
      <c r="D4" s="1">
        <v>44105</v>
      </c>
      <c r="F4" t="s">
        <v>97</v>
      </c>
      <c r="G4" t="str">
        <f>"Software Developer"</f>
        <v>Software Developer</v>
      </c>
      <c r="H4" t="s">
        <v>12169</v>
      </c>
      <c r="I4" t="s">
        <v>124</v>
      </c>
      <c r="J4" t="s">
        <v>98</v>
      </c>
      <c r="K4" s="1">
        <v>44099</v>
      </c>
      <c r="L4" s="1">
        <v>45193</v>
      </c>
      <c r="M4">
        <v>6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 t="s">
        <v>2509</v>
      </c>
      <c r="U4" t="str">
        <f>"Mastech Digital InfoTech, Inc."</f>
        <v>Mastech Digital InfoTech, Inc.</v>
      </c>
      <c r="V4" t="s">
        <v>1081</v>
      </c>
      <c r="W4" t="str">
        <f>"Bldg. 210, Suite 400"</f>
        <v>Bldg. 210, Suite 400</v>
      </c>
      <c r="X4" t="s">
        <v>1082</v>
      </c>
      <c r="Y4" t="s">
        <v>127</v>
      </c>
      <c r="Z4" s="3">
        <v>15108</v>
      </c>
      <c r="AA4" t="s">
        <v>101</v>
      </c>
      <c r="AB4" t="s">
        <v>2510</v>
      </c>
      <c r="AC4" s="4" t="str">
        <f>"+14127879553"</f>
        <v>+14127879553</v>
      </c>
      <c r="AE4" t="str">
        <f>"541511"</f>
        <v>541511</v>
      </c>
      <c r="AF4" t="s">
        <v>1083</v>
      </c>
      <c r="AG4" t="s">
        <v>1084</v>
      </c>
      <c r="AI4" t="s">
        <v>1085</v>
      </c>
      <c r="AJ4" t="s">
        <v>1081</v>
      </c>
      <c r="AK4" t="str">
        <f>"Bldg. 210, Ste 400"</f>
        <v>Bldg. 210, Ste 400</v>
      </c>
      <c r="AL4" t="s">
        <v>1082</v>
      </c>
      <c r="AM4" t="s">
        <v>127</v>
      </c>
      <c r="AN4" s="3">
        <v>15108</v>
      </c>
      <c r="AO4" t="s">
        <v>101</v>
      </c>
      <c r="AQ4" t="str">
        <f>"+14127879553"</f>
        <v>+14127879553</v>
      </c>
      <c r="AS4" t="s">
        <v>1086</v>
      </c>
      <c r="AT4" t="s">
        <v>102</v>
      </c>
      <c r="AU4" t="str">
        <f>""</f>
        <v/>
      </c>
      <c r="AV4" t="str">
        <f>""</f>
        <v/>
      </c>
      <c r="AW4" t="str">
        <f>""</f>
        <v/>
      </c>
      <c r="AX4" t="str">
        <f>""</f>
        <v/>
      </c>
      <c r="AY4" t="str">
        <f>""</f>
        <v/>
      </c>
      <c r="AZ4" t="str">
        <f>""</f>
        <v/>
      </c>
      <c r="BA4" t="str">
        <f>""</f>
        <v/>
      </c>
      <c r="BC4" t="str">
        <f>""</f>
        <v/>
      </c>
      <c r="BD4" t="str">
        <f>""</f>
        <v/>
      </c>
      <c r="BE4" t="str">
        <f>""</f>
        <v/>
      </c>
      <c r="BF4" t="str">
        <f>""</f>
        <v/>
      </c>
      <c r="BG4" t="str">
        <f>""</f>
        <v/>
      </c>
      <c r="BH4" t="str">
        <f>""</f>
        <v/>
      </c>
      <c r="BI4" t="str">
        <f>""</f>
        <v/>
      </c>
      <c r="BJ4" t="str">
        <f>""</f>
        <v/>
      </c>
      <c r="BK4">
        <v>6</v>
      </c>
      <c r="BL4" t="s">
        <v>107</v>
      </c>
      <c r="BM4" t="str">
        <f>"PNC Bank"</f>
        <v>PNC Bank</v>
      </c>
      <c r="BN4" t="s">
        <v>2659</v>
      </c>
      <c r="BP4" t="s">
        <v>2660</v>
      </c>
      <c r="BQ4" t="s">
        <v>1087</v>
      </c>
      <c r="BR4" t="s">
        <v>225</v>
      </c>
      <c r="BS4" s="5">
        <v>44136</v>
      </c>
      <c r="BT4" s="2">
        <v>70678</v>
      </c>
      <c r="BU4" s="2">
        <v>85678</v>
      </c>
      <c r="BV4" t="s">
        <v>105</v>
      </c>
      <c r="BW4" s="2">
        <v>70678</v>
      </c>
      <c r="BX4" t="s">
        <v>105</v>
      </c>
      <c r="BZ4" t="s">
        <v>167</v>
      </c>
      <c r="CA4" t="str">
        <f t="shared" si="0"/>
        <v>7/1/2020 - 6/30/2021</v>
      </c>
      <c r="CF4">
        <v>2</v>
      </c>
      <c r="CG4" t="s">
        <v>98</v>
      </c>
      <c r="CH4" t="s">
        <v>98</v>
      </c>
      <c r="CI4" t="s">
        <v>206</v>
      </c>
      <c r="CJ4" t="s">
        <v>98</v>
      </c>
      <c r="CK4" t="s">
        <v>12323</v>
      </c>
      <c r="CL4" t="s">
        <v>108</v>
      </c>
      <c r="CM4" t="s">
        <v>109</v>
      </c>
      <c r="CN4" t="str">
        <f>""</f>
        <v/>
      </c>
      <c r="CO4" t="str">
        <f>""</f>
        <v/>
      </c>
      <c r="CP4" t="str">
        <f>""</f>
        <v/>
      </c>
      <c r="CQ4" t="str">
        <f>""</f>
        <v/>
      </c>
    </row>
    <row r="5" spans="1:96" x14ac:dyDescent="0.2">
      <c r="A5" t="s">
        <v>2782</v>
      </c>
      <c r="B5" t="s">
        <v>96</v>
      </c>
      <c r="C5" s="1">
        <v>44098</v>
      </c>
      <c r="D5" s="1">
        <v>44105</v>
      </c>
      <c r="F5" t="s">
        <v>97</v>
      </c>
      <c r="G5" t="str">
        <f>"JAVA ANALYST 2"</f>
        <v>JAVA ANALYST 2</v>
      </c>
      <c r="H5" t="s">
        <v>12181</v>
      </c>
      <c r="I5" t="s">
        <v>110</v>
      </c>
      <c r="J5" t="s">
        <v>98</v>
      </c>
      <c r="K5" s="1">
        <v>44105</v>
      </c>
      <c r="L5" s="1">
        <v>45199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511</v>
      </c>
      <c r="U5" t="str">
        <f>""</f>
        <v/>
      </c>
      <c r="V5" t="s">
        <v>512</v>
      </c>
      <c r="W5" t="str">
        <f>"SUITE 300"</f>
        <v>SUITE 300</v>
      </c>
      <c r="X5" t="s">
        <v>513</v>
      </c>
      <c r="Y5" t="s">
        <v>171</v>
      </c>
      <c r="Z5" s="3">
        <v>1772</v>
      </c>
      <c r="AA5" t="s">
        <v>101</v>
      </c>
      <c r="AB5" t="s">
        <v>514</v>
      </c>
      <c r="AC5" s="4" t="str">
        <f>"+15083897451"</f>
        <v>+15083897451</v>
      </c>
      <c r="AE5" t="str">
        <f>"541511"</f>
        <v>541511</v>
      </c>
      <c r="AF5" t="s">
        <v>515</v>
      </c>
      <c r="AG5" t="s">
        <v>516</v>
      </c>
      <c r="AI5" t="s">
        <v>517</v>
      </c>
      <c r="AJ5" t="s">
        <v>518</v>
      </c>
      <c r="AK5" t="str">
        <f>"SUITE 300"</f>
        <v>SUITE 300</v>
      </c>
      <c r="AL5" t="s">
        <v>519</v>
      </c>
      <c r="AM5" t="s">
        <v>171</v>
      </c>
      <c r="AN5" s="3">
        <v>1772</v>
      </c>
      <c r="AO5" t="s">
        <v>101</v>
      </c>
      <c r="AQ5" t="str">
        <f>"+15083897451"</f>
        <v>+15083897451</v>
      </c>
      <c r="AS5" t="s">
        <v>2783</v>
      </c>
      <c r="AT5" t="s">
        <v>102</v>
      </c>
      <c r="AU5" t="str">
        <f>""</f>
        <v/>
      </c>
      <c r="AV5" t="str">
        <f>""</f>
        <v/>
      </c>
      <c r="AW5" t="str">
        <f>""</f>
        <v/>
      </c>
      <c r="AX5" t="str">
        <f>""</f>
        <v/>
      </c>
      <c r="AY5" t="str">
        <f>""</f>
        <v/>
      </c>
      <c r="AZ5" t="str">
        <f>""</f>
        <v/>
      </c>
      <c r="BA5" t="str">
        <f>""</f>
        <v/>
      </c>
      <c r="BC5" t="str">
        <f>""</f>
        <v/>
      </c>
      <c r="BD5" t="str">
        <f>""</f>
        <v/>
      </c>
      <c r="BE5" t="str">
        <f>""</f>
        <v/>
      </c>
      <c r="BF5" t="str">
        <f>""</f>
        <v/>
      </c>
      <c r="BG5" t="str">
        <f>""</f>
        <v/>
      </c>
      <c r="BH5" t="str">
        <f>""</f>
        <v/>
      </c>
      <c r="BI5" t="str">
        <f>""</f>
        <v/>
      </c>
      <c r="BJ5" t="str">
        <f>""</f>
        <v/>
      </c>
      <c r="BK5">
        <v>1</v>
      </c>
      <c r="BL5" t="s">
        <v>107</v>
      </c>
      <c r="BM5" t="str">
        <f>"UNITED HEALTHCARE SERVICES, INC."</f>
        <v>UNITED HEALTHCARE SERVICES, INC.</v>
      </c>
      <c r="BN5" t="s">
        <v>2784</v>
      </c>
      <c r="BP5" t="s">
        <v>2225</v>
      </c>
      <c r="BQ5" t="s">
        <v>547</v>
      </c>
      <c r="BR5" t="s">
        <v>280</v>
      </c>
      <c r="BS5" s="5">
        <v>6103</v>
      </c>
      <c r="BT5" s="2">
        <v>103376</v>
      </c>
      <c r="BV5" t="s">
        <v>105</v>
      </c>
      <c r="BW5" s="2">
        <v>81453</v>
      </c>
      <c r="BX5" t="s">
        <v>105</v>
      </c>
      <c r="BZ5" t="s">
        <v>167</v>
      </c>
      <c r="CA5" t="str">
        <f t="shared" si="0"/>
        <v>7/1/2020 - 6/30/2021</v>
      </c>
      <c r="CF5">
        <v>2</v>
      </c>
      <c r="CG5" t="s">
        <v>98</v>
      </c>
      <c r="CH5" t="s">
        <v>98</v>
      </c>
      <c r="CI5" t="s">
        <v>206</v>
      </c>
      <c r="CJ5" t="s">
        <v>98</v>
      </c>
      <c r="CK5" t="s">
        <v>12323</v>
      </c>
      <c r="CL5" t="s">
        <v>108</v>
      </c>
      <c r="CM5" t="s">
        <v>109</v>
      </c>
      <c r="CN5" t="str">
        <f>""</f>
        <v/>
      </c>
      <c r="CO5" t="str">
        <f>""</f>
        <v/>
      </c>
      <c r="CP5" t="str">
        <f>""</f>
        <v/>
      </c>
      <c r="CQ5" t="str">
        <f>""</f>
        <v/>
      </c>
    </row>
    <row r="6" spans="1:96" x14ac:dyDescent="0.2">
      <c r="A6" t="s">
        <v>2814</v>
      </c>
      <c r="B6" t="s">
        <v>96</v>
      </c>
      <c r="C6" s="1">
        <v>44098</v>
      </c>
      <c r="D6" s="1">
        <v>44105</v>
      </c>
      <c r="F6" t="s">
        <v>97</v>
      </c>
      <c r="G6" t="str">
        <f>"SQL DATABASE ADMINISTRATOR II"</f>
        <v>SQL DATABASE ADMINISTRATOR II</v>
      </c>
      <c r="H6" t="s">
        <v>12225</v>
      </c>
      <c r="I6" t="s">
        <v>628</v>
      </c>
      <c r="J6" t="s">
        <v>98</v>
      </c>
      <c r="K6" s="1">
        <v>44109</v>
      </c>
      <c r="L6" s="1">
        <v>44741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 t="s">
        <v>2815</v>
      </c>
      <c r="U6" t="str">
        <f>""</f>
        <v/>
      </c>
      <c r="V6" t="s">
        <v>2816</v>
      </c>
      <c r="W6" t="str">
        <f>"SUITE 550"</f>
        <v>SUITE 550</v>
      </c>
      <c r="X6" t="s">
        <v>980</v>
      </c>
      <c r="Y6" t="s">
        <v>114</v>
      </c>
      <c r="Z6" s="3">
        <v>75093</v>
      </c>
      <c r="AA6" t="s">
        <v>101</v>
      </c>
      <c r="AB6" t="s">
        <v>108</v>
      </c>
      <c r="AC6" s="4" t="str">
        <f>"+19727551817"</f>
        <v>+19727551817</v>
      </c>
      <c r="AE6" t="str">
        <f>"541511"</f>
        <v>541511</v>
      </c>
      <c r="AF6" t="s">
        <v>2817</v>
      </c>
      <c r="AG6" t="s">
        <v>2818</v>
      </c>
      <c r="AH6" t="s">
        <v>2819</v>
      </c>
      <c r="AI6" t="s">
        <v>2820</v>
      </c>
      <c r="AJ6" t="s">
        <v>2816</v>
      </c>
      <c r="AK6" t="str">
        <f>"SUITE 550"</f>
        <v>SUITE 550</v>
      </c>
      <c r="AL6" t="s">
        <v>980</v>
      </c>
      <c r="AM6" t="s">
        <v>114</v>
      </c>
      <c r="AN6" s="3">
        <v>75093</v>
      </c>
      <c r="AO6" t="s">
        <v>101</v>
      </c>
      <c r="AQ6" t="str">
        <f>"+19727551817"</f>
        <v>+19727551817</v>
      </c>
      <c r="AS6" t="s">
        <v>2821</v>
      </c>
      <c r="AT6" t="s">
        <v>102</v>
      </c>
      <c r="AU6" t="str">
        <f>""</f>
        <v/>
      </c>
      <c r="AV6" t="str">
        <f>""</f>
        <v/>
      </c>
      <c r="AW6" t="str">
        <f>""</f>
        <v/>
      </c>
      <c r="AX6" t="str">
        <f>""</f>
        <v/>
      </c>
      <c r="AY6" t="str">
        <f>""</f>
        <v/>
      </c>
      <c r="AZ6" t="str">
        <f>""</f>
        <v/>
      </c>
      <c r="BA6" t="str">
        <f>""</f>
        <v/>
      </c>
      <c r="BC6" t="str">
        <f>""</f>
        <v/>
      </c>
      <c r="BD6" t="str">
        <f>""</f>
        <v/>
      </c>
      <c r="BE6" t="str">
        <f>""</f>
        <v/>
      </c>
      <c r="BF6" t="str">
        <f>""</f>
        <v/>
      </c>
      <c r="BG6" t="str">
        <f>""</f>
        <v/>
      </c>
      <c r="BH6" t="str">
        <f>""</f>
        <v/>
      </c>
      <c r="BI6" t="str">
        <f>""</f>
        <v/>
      </c>
      <c r="BJ6" t="str">
        <f>""</f>
        <v/>
      </c>
      <c r="BK6">
        <v>1</v>
      </c>
      <c r="BL6" t="s">
        <v>107</v>
      </c>
      <c r="BM6" t="str">
        <f>"HP INC"</f>
        <v>HP INC</v>
      </c>
      <c r="BN6" t="s">
        <v>2822</v>
      </c>
      <c r="BO6" t="s">
        <v>2823</v>
      </c>
      <c r="BP6" t="s">
        <v>720</v>
      </c>
      <c r="BQ6" t="s">
        <v>668</v>
      </c>
      <c r="BR6" t="s">
        <v>114</v>
      </c>
      <c r="BS6" s="5">
        <v>78728</v>
      </c>
      <c r="BT6" s="2">
        <v>91146</v>
      </c>
      <c r="BV6" t="s">
        <v>105</v>
      </c>
      <c r="BW6" s="2">
        <v>91146</v>
      </c>
      <c r="BX6" t="s">
        <v>105</v>
      </c>
      <c r="BZ6" t="s">
        <v>167</v>
      </c>
      <c r="CA6" t="str">
        <f t="shared" si="0"/>
        <v>7/1/2020 - 6/30/2021</v>
      </c>
      <c r="CF6">
        <v>2</v>
      </c>
      <c r="CG6" t="s">
        <v>98</v>
      </c>
      <c r="CH6" t="s">
        <v>98</v>
      </c>
      <c r="CI6" t="s">
        <v>206</v>
      </c>
      <c r="CJ6" t="s">
        <v>98</v>
      </c>
      <c r="CK6" t="s">
        <v>12323</v>
      </c>
      <c r="CL6" t="s">
        <v>108</v>
      </c>
      <c r="CM6" t="s">
        <v>109</v>
      </c>
      <c r="CN6" t="str">
        <f>""</f>
        <v/>
      </c>
      <c r="CO6" t="str">
        <f>""</f>
        <v/>
      </c>
      <c r="CP6" t="str">
        <f>""</f>
        <v/>
      </c>
      <c r="CQ6" t="str">
        <f>""</f>
        <v/>
      </c>
    </row>
    <row r="7" spans="1:96" x14ac:dyDescent="0.2">
      <c r="A7" t="s">
        <v>2837</v>
      </c>
      <c r="B7" t="s">
        <v>96</v>
      </c>
      <c r="C7" s="1">
        <v>44098</v>
      </c>
      <c r="D7" s="1">
        <v>44105</v>
      </c>
      <c r="F7" t="s">
        <v>97</v>
      </c>
      <c r="G7" t="str">
        <f>"Computer Programmer"</f>
        <v>Computer Programmer</v>
      </c>
      <c r="H7" t="s">
        <v>12239</v>
      </c>
      <c r="I7" t="s">
        <v>378</v>
      </c>
      <c r="J7" t="s">
        <v>98</v>
      </c>
      <c r="K7" s="1">
        <v>44240</v>
      </c>
      <c r="L7" s="1">
        <v>45334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 t="s">
        <v>2838</v>
      </c>
      <c r="U7" t="str">
        <f>""</f>
        <v/>
      </c>
      <c r="V7" t="s">
        <v>446</v>
      </c>
      <c r="W7" t="str">
        <f>"Suite 600"</f>
        <v>Suite 600</v>
      </c>
      <c r="X7" t="s">
        <v>447</v>
      </c>
      <c r="Y7" t="s">
        <v>100</v>
      </c>
      <c r="Z7" s="3">
        <v>8830</v>
      </c>
      <c r="AA7" t="s">
        <v>101</v>
      </c>
      <c r="AC7" s="4" t="str">
        <f>"+16094096957"</f>
        <v>+16094096957</v>
      </c>
      <c r="AE7" t="str">
        <f>"541512"</f>
        <v>541512</v>
      </c>
      <c r="AF7" t="s">
        <v>448</v>
      </c>
      <c r="AG7" t="s">
        <v>449</v>
      </c>
      <c r="AI7" t="s">
        <v>450</v>
      </c>
      <c r="AJ7" t="s">
        <v>446</v>
      </c>
      <c r="AK7" t="str">
        <f>"Suite 600"</f>
        <v>Suite 600</v>
      </c>
      <c r="AL7" t="s">
        <v>447</v>
      </c>
      <c r="AM7" t="s">
        <v>100</v>
      </c>
      <c r="AN7" s="3">
        <v>8830</v>
      </c>
      <c r="AO7" t="s">
        <v>101</v>
      </c>
      <c r="AQ7" t="str">
        <f>"+16094096957"</f>
        <v>+16094096957</v>
      </c>
      <c r="AS7" t="s">
        <v>2839</v>
      </c>
      <c r="AT7" t="s">
        <v>107</v>
      </c>
      <c r="AU7" t="str">
        <f>"Chothani"</f>
        <v>Chothani</v>
      </c>
      <c r="AV7" t="str">
        <f>"Poorvi"</f>
        <v>Poorvi</v>
      </c>
      <c r="AW7" t="str">
        <f>"Rohit"</f>
        <v>Rohit</v>
      </c>
      <c r="AX7" t="str">
        <f>"244 Madison Ave."</f>
        <v>244 Madison Ave.</v>
      </c>
      <c r="AY7" t="str">
        <f>"Suite 2350"</f>
        <v>Suite 2350</v>
      </c>
      <c r="AZ7" t="str">
        <f>"New York"</f>
        <v>New York</v>
      </c>
      <c r="BA7" t="str">
        <f>"NY"</f>
        <v>NY</v>
      </c>
      <c r="BB7" s="3">
        <v>10016</v>
      </c>
      <c r="BC7" t="str">
        <f>"UNITED STATES OF AMERICA"</f>
        <v>UNITED STATES OF AMERICA</v>
      </c>
      <c r="BD7" t="str">
        <f>""</f>
        <v/>
      </c>
      <c r="BE7" t="str">
        <f>"+16464190933"</f>
        <v>+16464190933</v>
      </c>
      <c r="BF7" t="str">
        <f>""</f>
        <v/>
      </c>
      <c r="BG7" t="str">
        <f>"gov@poorvichothani.com"</f>
        <v>gov@poorvichothani.com</v>
      </c>
      <c r="BH7" t="str">
        <f>"The Law Office of Poorvi Chothani, PLLC"</f>
        <v>The Law Office of Poorvi Chothani, PLLC</v>
      </c>
      <c r="BI7" t="str">
        <f>"NY"</f>
        <v>NY</v>
      </c>
      <c r="BJ7" t="str">
        <f>"NY Court of Appeals"</f>
        <v>NY Court of Appeals</v>
      </c>
      <c r="BK7">
        <v>1</v>
      </c>
      <c r="BL7" t="s">
        <v>107</v>
      </c>
      <c r="BM7" t="str">
        <f>"Fannie Mae"</f>
        <v>Fannie Mae</v>
      </c>
      <c r="BN7" t="s">
        <v>2840</v>
      </c>
      <c r="BP7" t="s">
        <v>133</v>
      </c>
      <c r="BQ7" t="s">
        <v>454</v>
      </c>
      <c r="BR7" t="s">
        <v>135</v>
      </c>
      <c r="BS7" s="5">
        <v>20191</v>
      </c>
      <c r="BT7" s="2">
        <v>82000</v>
      </c>
      <c r="BU7" s="2">
        <v>92000</v>
      </c>
      <c r="BV7" t="s">
        <v>105</v>
      </c>
      <c r="BW7" s="2">
        <v>81848</v>
      </c>
      <c r="BX7" t="s">
        <v>105</v>
      </c>
      <c r="BZ7" t="s">
        <v>167</v>
      </c>
      <c r="CA7" t="str">
        <f t="shared" si="0"/>
        <v>7/1/2020 - 6/30/2021</v>
      </c>
      <c r="CF7">
        <v>2</v>
      </c>
      <c r="CG7" t="s">
        <v>98</v>
      </c>
      <c r="CH7" t="s">
        <v>98</v>
      </c>
      <c r="CI7" t="s">
        <v>206</v>
      </c>
      <c r="CJ7" t="s">
        <v>98</v>
      </c>
      <c r="CK7" t="s">
        <v>12323</v>
      </c>
      <c r="CL7" t="s">
        <v>108</v>
      </c>
      <c r="CM7" t="s">
        <v>718</v>
      </c>
      <c r="CN7" t="str">
        <f>"Chothani"</f>
        <v>Chothani</v>
      </c>
      <c r="CO7" t="str">
        <f>"Poorvi"</f>
        <v>Poorvi</v>
      </c>
      <c r="CP7" t="str">
        <f>"R"</f>
        <v>R</v>
      </c>
      <c r="CQ7" t="str">
        <f>"The Law Office of Poorvi Chothani, PLLC"</f>
        <v>The Law Office of Poorvi Chothani, PLLC</v>
      </c>
      <c r="CR7" t="s">
        <v>455</v>
      </c>
    </row>
    <row r="8" spans="1:96" x14ac:dyDescent="0.2">
      <c r="A8" t="s">
        <v>2906</v>
      </c>
      <c r="B8" t="s">
        <v>96</v>
      </c>
      <c r="C8" s="1">
        <v>44098</v>
      </c>
      <c r="D8" s="1">
        <v>44105</v>
      </c>
      <c r="F8" t="s">
        <v>97</v>
      </c>
      <c r="G8" t="str">
        <f>"Operations Manager (Technical) "</f>
        <v xml:space="preserve">Operations Manager (Technical) </v>
      </c>
      <c r="H8" t="s">
        <v>12168</v>
      </c>
      <c r="I8" t="s">
        <v>367</v>
      </c>
      <c r="J8" t="s">
        <v>98</v>
      </c>
      <c r="K8" s="1">
        <v>44281</v>
      </c>
      <c r="L8" s="1">
        <v>45376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 t="s">
        <v>2907</v>
      </c>
      <c r="U8" t="str">
        <f>""</f>
        <v/>
      </c>
      <c r="V8" t="s">
        <v>2908</v>
      </c>
      <c r="W8" t="str">
        <f>"Suite 102"</f>
        <v>Suite 102</v>
      </c>
      <c r="X8" t="s">
        <v>847</v>
      </c>
      <c r="Y8" t="s">
        <v>215</v>
      </c>
      <c r="Z8" s="3">
        <v>30005</v>
      </c>
      <c r="AA8" t="s">
        <v>101</v>
      </c>
      <c r="AC8" s="4" t="str">
        <f>"+16783356423"</f>
        <v>+16783356423</v>
      </c>
      <c r="AE8" t="str">
        <f>"541511"</f>
        <v>541511</v>
      </c>
      <c r="AF8" t="s">
        <v>848</v>
      </c>
      <c r="AG8" t="s">
        <v>849</v>
      </c>
      <c r="AI8" t="s">
        <v>508</v>
      </c>
      <c r="AJ8" t="s">
        <v>2908</v>
      </c>
      <c r="AK8" t="str">
        <f>"Ste 202"</f>
        <v>Ste 202</v>
      </c>
      <c r="AL8" t="s">
        <v>847</v>
      </c>
      <c r="AM8" t="s">
        <v>215</v>
      </c>
      <c r="AN8" s="3">
        <v>30005</v>
      </c>
      <c r="AO8" t="s">
        <v>101</v>
      </c>
      <c r="AQ8" t="str">
        <f>"+16783356423"</f>
        <v>+16783356423</v>
      </c>
      <c r="AS8" t="s">
        <v>2909</v>
      </c>
      <c r="AT8" t="s">
        <v>107</v>
      </c>
      <c r="AU8" t="str">
        <f>"James"</f>
        <v>James</v>
      </c>
      <c r="AV8" t="str">
        <f>"Johnnie"</f>
        <v>Johnnie</v>
      </c>
      <c r="AW8" t="str">
        <f>"J"</f>
        <v>J</v>
      </c>
      <c r="AX8" t="str">
        <f>"5455 McGinnis Village PL"</f>
        <v>5455 McGinnis Village PL</v>
      </c>
      <c r="AY8" t="str">
        <f>"  Ste 102"</f>
        <v xml:space="preserve">  Ste 102</v>
      </c>
      <c r="AZ8" t="str">
        <f>"Alpharetta"</f>
        <v>Alpharetta</v>
      </c>
      <c r="BA8" t="str">
        <f>"GA"</f>
        <v>GA</v>
      </c>
      <c r="BB8" s="3">
        <v>30005</v>
      </c>
      <c r="BC8" t="str">
        <f>"UNITED STATES OF AMERICA"</f>
        <v>UNITED STATES OF AMERICA</v>
      </c>
      <c r="BD8" t="str">
        <f>""</f>
        <v/>
      </c>
      <c r="BE8" t="str">
        <f>"+14044744884"</f>
        <v>+14044744884</v>
      </c>
      <c r="BF8" t="str">
        <f>""</f>
        <v/>
      </c>
      <c r="BG8" t="str">
        <f>"admin@johnniejameslaw.com"</f>
        <v>admin@johnniejameslaw.com</v>
      </c>
      <c r="BH8" t="str">
        <f>"Law Office of Johnnie James PLLC"</f>
        <v>Law Office of Johnnie James PLLC</v>
      </c>
      <c r="BI8" t="str">
        <f>"NC"</f>
        <v>NC</v>
      </c>
      <c r="BJ8" t="str">
        <f>"Supreme"</f>
        <v>Supreme</v>
      </c>
      <c r="BK8">
        <v>1</v>
      </c>
      <c r="BL8" t="s">
        <v>102</v>
      </c>
      <c r="BM8" t="str">
        <f>""</f>
        <v/>
      </c>
      <c r="BN8" t="s">
        <v>2908</v>
      </c>
      <c r="BO8" t="s">
        <v>851</v>
      </c>
      <c r="BP8" t="s">
        <v>847</v>
      </c>
      <c r="BQ8" t="s">
        <v>852</v>
      </c>
      <c r="BR8" t="s">
        <v>215</v>
      </c>
      <c r="BS8" s="5">
        <v>30005</v>
      </c>
      <c r="BT8" s="2">
        <v>115000</v>
      </c>
      <c r="BV8" t="s">
        <v>105</v>
      </c>
      <c r="BW8" s="2">
        <v>114899</v>
      </c>
      <c r="BX8" t="s">
        <v>105</v>
      </c>
      <c r="BZ8" t="s">
        <v>159</v>
      </c>
      <c r="CA8" t="str">
        <f t="shared" si="0"/>
        <v>7/1/2020 - 6/30/2021</v>
      </c>
      <c r="CF8">
        <v>1</v>
      </c>
      <c r="CG8" t="s">
        <v>98</v>
      </c>
      <c r="CH8" t="s">
        <v>98</v>
      </c>
      <c r="CI8" t="s">
        <v>206</v>
      </c>
      <c r="CJ8" t="s">
        <v>98</v>
      </c>
      <c r="CK8" t="s">
        <v>12323</v>
      </c>
      <c r="CL8" t="s">
        <v>108</v>
      </c>
      <c r="CM8" t="s">
        <v>109</v>
      </c>
      <c r="CN8" t="str">
        <f>""</f>
        <v/>
      </c>
      <c r="CO8" t="str">
        <f>""</f>
        <v/>
      </c>
      <c r="CP8" t="str">
        <f>""</f>
        <v/>
      </c>
      <c r="CQ8" t="str">
        <f>""</f>
        <v/>
      </c>
    </row>
    <row r="9" spans="1:96" x14ac:dyDescent="0.2">
      <c r="A9" t="s">
        <v>3453</v>
      </c>
      <c r="B9" t="s">
        <v>96</v>
      </c>
      <c r="C9" s="1">
        <v>44098</v>
      </c>
      <c r="D9" s="1">
        <v>44105</v>
      </c>
      <c r="F9" t="s">
        <v>97</v>
      </c>
      <c r="G9" t="str">
        <f>"Software Engineer"</f>
        <v>Software Engineer</v>
      </c>
      <c r="H9" t="s">
        <v>12169</v>
      </c>
      <c r="I9" t="s">
        <v>124</v>
      </c>
      <c r="J9" t="s">
        <v>98</v>
      </c>
      <c r="K9" s="1">
        <v>44280</v>
      </c>
      <c r="L9" s="1">
        <v>45375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 t="s">
        <v>412</v>
      </c>
      <c r="U9" t="str">
        <f>""</f>
        <v/>
      </c>
      <c r="V9" t="s">
        <v>1415</v>
      </c>
      <c r="W9" t="str">
        <f>"(ALSO KNOWN AS *1601 WILLOW ROAD)"</f>
        <v>(ALSO KNOWN AS *1601 WILLOW ROAD)</v>
      </c>
      <c r="X9" t="s">
        <v>414</v>
      </c>
      <c r="Y9" t="s">
        <v>141</v>
      </c>
      <c r="Z9" s="3">
        <v>94025</v>
      </c>
      <c r="AA9" t="s">
        <v>101</v>
      </c>
      <c r="AC9" s="4" t="str">
        <f>"+14085335781"</f>
        <v>+14085335781</v>
      </c>
      <c r="AE9" t="str">
        <f>"51913"</f>
        <v>51913</v>
      </c>
      <c r="AF9" t="s">
        <v>415</v>
      </c>
      <c r="AG9" t="s">
        <v>416</v>
      </c>
      <c r="AI9" t="s">
        <v>417</v>
      </c>
      <c r="AJ9" t="s">
        <v>1415</v>
      </c>
      <c r="AK9" t="str">
        <f>"(ALSO KNOWN AS *1601 WILLOW ROAD)"</f>
        <v>(ALSO KNOWN AS *1601 WILLOW ROAD)</v>
      </c>
      <c r="AL9" t="s">
        <v>414</v>
      </c>
      <c r="AM9" t="s">
        <v>141</v>
      </c>
      <c r="AN9" s="3">
        <v>94025</v>
      </c>
      <c r="AO9" t="s">
        <v>101</v>
      </c>
      <c r="AQ9" t="str">
        <f>"+14085335781"</f>
        <v>+14085335781</v>
      </c>
      <c r="AS9" t="s">
        <v>1416</v>
      </c>
      <c r="AT9" t="s">
        <v>107</v>
      </c>
      <c r="AU9" t="str">
        <f>"PAULL"</f>
        <v>PAULL</v>
      </c>
      <c r="AV9" t="str">
        <f>"JUSTIN"</f>
        <v>JUSTIN</v>
      </c>
      <c r="AW9" t="str">
        <f>"MATTHEW"</f>
        <v>MATTHEW</v>
      </c>
      <c r="AX9" t="str">
        <f>"50 California Street"</f>
        <v>50 California Street</v>
      </c>
      <c r="AY9" t="str">
        <f>"2nd Floor"</f>
        <v>2nd Floor</v>
      </c>
      <c r="AZ9" t="str">
        <f>"San Francisco"</f>
        <v>San Francisco</v>
      </c>
      <c r="BA9" t="str">
        <f>"CA"</f>
        <v>CA</v>
      </c>
      <c r="BB9" s="3">
        <v>94111</v>
      </c>
      <c r="BC9" t="str">
        <f>"UNITED STATES OF AMERICA"</f>
        <v>UNITED STATES OF AMERICA</v>
      </c>
      <c r="BD9" t="str">
        <f>""</f>
        <v/>
      </c>
      <c r="BE9" t="str">
        <f>"+14692909690"</f>
        <v>+14692909690</v>
      </c>
      <c r="BF9" t="str">
        <f>""</f>
        <v/>
      </c>
      <c r="BG9" t="str">
        <f>"amartinez@balglobal.com"</f>
        <v>amartinez@balglobal.com</v>
      </c>
      <c r="BH9" t="str">
        <f>"Berry Appleman &amp; Leiden LLP"</f>
        <v>Berry Appleman &amp; Leiden LLP</v>
      </c>
      <c r="BI9" t="str">
        <f>"CA"</f>
        <v>CA</v>
      </c>
      <c r="BJ9" t="str">
        <f>"CALIFORNIA SUPREME COURT"</f>
        <v>CALIFORNIA SUPREME COURT</v>
      </c>
      <c r="BK9">
        <v>1</v>
      </c>
      <c r="BL9" t="s">
        <v>102</v>
      </c>
      <c r="BM9" t="str">
        <f>""</f>
        <v/>
      </c>
      <c r="BN9" t="s">
        <v>1322</v>
      </c>
      <c r="BO9" t="s">
        <v>3454</v>
      </c>
      <c r="BP9" t="s">
        <v>468</v>
      </c>
      <c r="BQ9" t="s">
        <v>994</v>
      </c>
      <c r="BR9" t="s">
        <v>141</v>
      </c>
      <c r="BS9" s="5">
        <v>94025</v>
      </c>
      <c r="BT9" s="2">
        <v>191100</v>
      </c>
      <c r="BV9" t="s">
        <v>105</v>
      </c>
      <c r="BW9" s="2">
        <v>169562</v>
      </c>
      <c r="BX9" t="s">
        <v>105</v>
      </c>
      <c r="BZ9" t="s">
        <v>159</v>
      </c>
      <c r="CA9" t="str">
        <f t="shared" si="0"/>
        <v>7/1/2020 - 6/30/2021</v>
      </c>
      <c r="CF9">
        <v>2</v>
      </c>
      <c r="CG9" t="s">
        <v>98</v>
      </c>
      <c r="CH9" t="s">
        <v>98</v>
      </c>
      <c r="CI9" t="s">
        <v>206</v>
      </c>
      <c r="CJ9" t="s">
        <v>98</v>
      </c>
      <c r="CK9" t="s">
        <v>12323</v>
      </c>
      <c r="CL9" t="s">
        <v>108</v>
      </c>
      <c r="CM9" t="s">
        <v>109</v>
      </c>
      <c r="CN9" t="str">
        <f>""</f>
        <v/>
      </c>
      <c r="CO9" t="str">
        <f>""</f>
        <v/>
      </c>
      <c r="CP9" t="str">
        <f>""</f>
        <v/>
      </c>
      <c r="CQ9" t="str">
        <f>""</f>
        <v/>
      </c>
    </row>
    <row r="10" spans="1:96" x14ac:dyDescent="0.2">
      <c r="A10" t="s">
        <v>3464</v>
      </c>
      <c r="B10" t="s">
        <v>96</v>
      </c>
      <c r="C10" s="1">
        <v>44098</v>
      </c>
      <c r="D10" s="1">
        <v>44105</v>
      </c>
      <c r="F10" t="s">
        <v>97</v>
      </c>
      <c r="G10" t="str">
        <f>"System Analyst JC65"</f>
        <v>System Analyst JC65</v>
      </c>
      <c r="H10" t="s">
        <v>12181</v>
      </c>
      <c r="I10" t="s">
        <v>110</v>
      </c>
      <c r="J10" t="s">
        <v>98</v>
      </c>
      <c r="K10" s="1">
        <v>44227</v>
      </c>
      <c r="L10" s="1">
        <v>45321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 t="s">
        <v>111</v>
      </c>
      <c r="U10" t="str">
        <f>"CTSUS"</f>
        <v>CTSUS</v>
      </c>
      <c r="V10" t="s">
        <v>112</v>
      </c>
      <c r="W10" t="str">
        <f>""</f>
        <v/>
      </c>
      <c r="X10" t="s">
        <v>113</v>
      </c>
      <c r="Y10" t="s">
        <v>114</v>
      </c>
      <c r="Z10" s="3">
        <v>77845</v>
      </c>
      <c r="AA10" t="s">
        <v>101</v>
      </c>
      <c r="AB10" t="s">
        <v>114</v>
      </c>
      <c r="AC10" s="4" t="str">
        <f>"+19793296682"</f>
        <v>+19793296682</v>
      </c>
      <c r="AE10" t="str">
        <f>"541512"</f>
        <v>541512</v>
      </c>
      <c r="AF10" t="s">
        <v>115</v>
      </c>
      <c r="AG10" t="s">
        <v>116</v>
      </c>
      <c r="AH10" t="s">
        <v>108</v>
      </c>
      <c r="AI10" t="s">
        <v>117</v>
      </c>
      <c r="AJ10" t="s">
        <v>118</v>
      </c>
      <c r="AK10" t="str">
        <f>""</f>
        <v/>
      </c>
      <c r="AL10" t="s">
        <v>119</v>
      </c>
      <c r="AM10" t="s">
        <v>114</v>
      </c>
      <c r="AN10" s="3">
        <v>77845</v>
      </c>
      <c r="AO10" t="s">
        <v>101</v>
      </c>
      <c r="AQ10" t="str">
        <f>"+19793296682"</f>
        <v>+19793296682</v>
      </c>
      <c r="AS10" t="s">
        <v>120</v>
      </c>
      <c r="AT10" t="s">
        <v>102</v>
      </c>
      <c r="AU10" t="str">
        <f>""</f>
        <v/>
      </c>
      <c r="AV10" t="str">
        <f>""</f>
        <v/>
      </c>
      <c r="AW10" t="str">
        <f>""</f>
        <v/>
      </c>
      <c r="AX10" t="str">
        <f>""</f>
        <v/>
      </c>
      <c r="AY10" t="str">
        <f>""</f>
        <v/>
      </c>
      <c r="AZ10" t="str">
        <f>""</f>
        <v/>
      </c>
      <c r="BA10" t="str">
        <f>""</f>
        <v/>
      </c>
      <c r="BC10" t="str">
        <f>""</f>
        <v/>
      </c>
      <c r="BD10" t="str">
        <f>""</f>
        <v/>
      </c>
      <c r="BE10" t="str">
        <f>""</f>
        <v/>
      </c>
      <c r="BF10" t="str">
        <f>""</f>
        <v/>
      </c>
      <c r="BG10" t="str">
        <f>""</f>
        <v/>
      </c>
      <c r="BH10" t="str">
        <f>""</f>
        <v/>
      </c>
      <c r="BI10" t="str">
        <f>""</f>
        <v/>
      </c>
      <c r="BJ10" t="str">
        <f>""</f>
        <v/>
      </c>
      <c r="BK10">
        <v>1</v>
      </c>
      <c r="BL10" t="s">
        <v>107</v>
      </c>
      <c r="BM10" t="str">
        <f>"McKesson Corporation"</f>
        <v>McKesson Corporation</v>
      </c>
      <c r="BN10" t="s">
        <v>3465</v>
      </c>
      <c r="BP10" t="s">
        <v>1708</v>
      </c>
      <c r="BQ10" t="s">
        <v>257</v>
      </c>
      <c r="BR10" t="s">
        <v>258</v>
      </c>
      <c r="BS10" s="5">
        <v>85250</v>
      </c>
      <c r="BT10" s="2">
        <v>77106</v>
      </c>
      <c r="BV10" t="s">
        <v>105</v>
      </c>
      <c r="BW10" s="2">
        <v>77106</v>
      </c>
      <c r="BX10" t="s">
        <v>105</v>
      </c>
      <c r="BZ10" t="s">
        <v>167</v>
      </c>
      <c r="CA10" t="str">
        <f t="shared" si="0"/>
        <v>7/1/2020 - 6/30/2021</v>
      </c>
      <c r="CF10">
        <v>1</v>
      </c>
      <c r="CG10" t="s">
        <v>98</v>
      </c>
      <c r="CH10" t="s">
        <v>98</v>
      </c>
      <c r="CI10" t="s">
        <v>206</v>
      </c>
      <c r="CJ10" t="s">
        <v>98</v>
      </c>
      <c r="CK10" t="s">
        <v>12323</v>
      </c>
      <c r="CL10" t="s">
        <v>108</v>
      </c>
      <c r="CM10" t="s">
        <v>109</v>
      </c>
      <c r="CN10" t="str">
        <f>""</f>
        <v/>
      </c>
      <c r="CO10" t="str">
        <f>""</f>
        <v/>
      </c>
      <c r="CP10" t="str">
        <f>""</f>
        <v/>
      </c>
      <c r="CQ10" t="str">
        <f>""</f>
        <v/>
      </c>
    </row>
    <row r="11" spans="1:96" x14ac:dyDescent="0.2">
      <c r="A11" t="s">
        <v>3697</v>
      </c>
      <c r="B11" t="s">
        <v>96</v>
      </c>
      <c r="C11" s="1">
        <v>44098</v>
      </c>
      <c r="D11" s="1">
        <v>44105</v>
      </c>
      <c r="F11" t="s">
        <v>97</v>
      </c>
      <c r="G11" t="str">
        <f>"Technology Analyst - US "</f>
        <v xml:space="preserve">Technology Analyst - US </v>
      </c>
      <c r="H11" t="s">
        <v>12168</v>
      </c>
      <c r="I11" t="s">
        <v>160</v>
      </c>
      <c r="J11" t="s">
        <v>98</v>
      </c>
      <c r="K11" s="1">
        <v>44109</v>
      </c>
      <c r="L11" s="1">
        <v>45201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 t="s">
        <v>723</v>
      </c>
      <c r="U11" t="str">
        <f>""</f>
        <v/>
      </c>
      <c r="V11" t="s">
        <v>724</v>
      </c>
      <c r="W11" t="str">
        <f>"STE C150"</f>
        <v>STE C150</v>
      </c>
      <c r="X11" t="s">
        <v>725</v>
      </c>
      <c r="Y11" t="s">
        <v>114</v>
      </c>
      <c r="Z11" s="3">
        <v>75082</v>
      </c>
      <c r="AA11" t="s">
        <v>101</v>
      </c>
      <c r="AC11" s="4" t="str">
        <f>"+12143062100"</f>
        <v>+12143062100</v>
      </c>
      <c r="AE11" t="str">
        <f>"541511"</f>
        <v>541511</v>
      </c>
      <c r="AF11" t="s">
        <v>726</v>
      </c>
      <c r="AG11" t="s">
        <v>727</v>
      </c>
      <c r="AI11" t="s">
        <v>728</v>
      </c>
      <c r="AJ11" t="s">
        <v>724</v>
      </c>
      <c r="AK11" t="str">
        <f>"STE C150"</f>
        <v>STE C150</v>
      </c>
      <c r="AL11" t="s">
        <v>725</v>
      </c>
      <c r="AM11" t="s">
        <v>114</v>
      </c>
      <c r="AN11" s="3">
        <v>75082</v>
      </c>
      <c r="AO11" t="s">
        <v>101</v>
      </c>
      <c r="AQ11" t="str">
        <f>"+12143062100"</f>
        <v>+12143062100</v>
      </c>
      <c r="AS11" t="s">
        <v>729</v>
      </c>
      <c r="AT11" t="s">
        <v>102</v>
      </c>
      <c r="AU11" t="str">
        <f>""</f>
        <v/>
      </c>
      <c r="AV11" t="str">
        <f>""</f>
        <v/>
      </c>
      <c r="AW11" t="str">
        <f>""</f>
        <v/>
      </c>
      <c r="AX11" t="str">
        <f>""</f>
        <v/>
      </c>
      <c r="AY11" t="str">
        <f>""</f>
        <v/>
      </c>
      <c r="AZ11" t="str">
        <f>""</f>
        <v/>
      </c>
      <c r="BA11" t="str">
        <f>""</f>
        <v/>
      </c>
      <c r="BC11" t="str">
        <f>""</f>
        <v/>
      </c>
      <c r="BD11" t="str">
        <f>""</f>
        <v/>
      </c>
      <c r="BE11" t="str">
        <f>""</f>
        <v/>
      </c>
      <c r="BF11" t="str">
        <f>""</f>
        <v/>
      </c>
      <c r="BG11" t="str">
        <f>""</f>
        <v/>
      </c>
      <c r="BH11" t="str">
        <f>""</f>
        <v/>
      </c>
      <c r="BI11" t="str">
        <f>""</f>
        <v/>
      </c>
      <c r="BJ11" t="str">
        <f>""</f>
        <v/>
      </c>
      <c r="BK11">
        <v>1</v>
      </c>
      <c r="BL11" t="s">
        <v>107</v>
      </c>
      <c r="BM11" t="str">
        <f>"Pacific Gas and Electric Company"</f>
        <v>Pacific Gas and Electric Company</v>
      </c>
      <c r="BN11" t="s">
        <v>3698</v>
      </c>
      <c r="BP11" t="s">
        <v>2270</v>
      </c>
      <c r="BQ11" t="s">
        <v>1344</v>
      </c>
      <c r="BR11" t="s">
        <v>141</v>
      </c>
      <c r="BS11" s="5" t="s">
        <v>12316</v>
      </c>
      <c r="BT11" s="2">
        <v>45.94</v>
      </c>
      <c r="BV11" t="s">
        <v>210</v>
      </c>
      <c r="BW11" s="2">
        <v>45.94</v>
      </c>
      <c r="BX11" t="s">
        <v>210</v>
      </c>
      <c r="BZ11" t="s">
        <v>167</v>
      </c>
      <c r="CA11" t="str">
        <f t="shared" si="0"/>
        <v>7/1/2020 - 6/30/2021</v>
      </c>
      <c r="CF11">
        <v>2</v>
      </c>
      <c r="CG11" t="s">
        <v>98</v>
      </c>
      <c r="CH11" t="s">
        <v>98</v>
      </c>
      <c r="CI11" t="s">
        <v>206</v>
      </c>
      <c r="CJ11" t="s">
        <v>98</v>
      </c>
      <c r="CK11" t="s">
        <v>12323</v>
      </c>
      <c r="CL11" t="s">
        <v>108</v>
      </c>
      <c r="CM11" t="s">
        <v>109</v>
      </c>
      <c r="CN11" t="str">
        <f>"JAYARAM"</f>
        <v>JAYARAM</v>
      </c>
      <c r="CO11" t="str">
        <f>"SUSHMA"</f>
        <v>SUSHMA</v>
      </c>
      <c r="CP11" t="str">
        <f>""</f>
        <v/>
      </c>
      <c r="CQ11" t="str">
        <f>"INFOSYS LIMITED"</f>
        <v>INFOSYS LIMITED</v>
      </c>
      <c r="CR11" t="s">
        <v>3699</v>
      </c>
    </row>
    <row r="12" spans="1:96" x14ac:dyDescent="0.2">
      <c r="A12" t="s">
        <v>4009</v>
      </c>
      <c r="B12" t="s">
        <v>96</v>
      </c>
      <c r="C12" s="1">
        <v>44098</v>
      </c>
      <c r="D12" s="1">
        <v>44105</v>
      </c>
      <c r="F12" t="s">
        <v>97</v>
      </c>
      <c r="G12" t="str">
        <f>"Software Engineer 3"</f>
        <v>Software Engineer 3</v>
      </c>
      <c r="H12" t="s">
        <v>12169</v>
      </c>
      <c r="I12" t="s">
        <v>124</v>
      </c>
      <c r="J12" t="s">
        <v>98</v>
      </c>
      <c r="K12" s="1">
        <v>44109</v>
      </c>
      <c r="L12" s="1">
        <v>45203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1266</v>
      </c>
      <c r="U12" t="str">
        <f>""</f>
        <v/>
      </c>
      <c r="V12" t="s">
        <v>1267</v>
      </c>
      <c r="W12" t="str">
        <f>"N/A"</f>
        <v>N/A</v>
      </c>
      <c r="X12" t="s">
        <v>585</v>
      </c>
      <c r="Y12" t="s">
        <v>141</v>
      </c>
      <c r="Z12" s="3">
        <v>95125</v>
      </c>
      <c r="AA12" t="s">
        <v>101</v>
      </c>
      <c r="AB12" t="s">
        <v>108</v>
      </c>
      <c r="AC12" s="4" t="str">
        <f>"+14083768590"</f>
        <v>+14083768590</v>
      </c>
      <c r="AD12">
        <v>0</v>
      </c>
      <c r="AE12" t="str">
        <f>"454110"</f>
        <v>454110</v>
      </c>
      <c r="AF12" t="s">
        <v>1268</v>
      </c>
      <c r="AG12" t="s">
        <v>1269</v>
      </c>
      <c r="AI12" t="s">
        <v>254</v>
      </c>
      <c r="AJ12" t="s">
        <v>1267</v>
      </c>
      <c r="AK12" t="str">
        <f>""</f>
        <v/>
      </c>
      <c r="AL12" t="s">
        <v>585</v>
      </c>
      <c r="AM12" t="s">
        <v>141</v>
      </c>
      <c r="AN12" s="3">
        <v>95125</v>
      </c>
      <c r="AO12" t="s">
        <v>101</v>
      </c>
      <c r="AQ12" t="str">
        <f>"+14083768590"</f>
        <v>+14083768590</v>
      </c>
      <c r="AR12">
        <v>0</v>
      </c>
      <c r="AS12" t="s">
        <v>1270</v>
      </c>
      <c r="AT12" t="s">
        <v>107</v>
      </c>
      <c r="AU12" t="str">
        <f>"DeCruz"</f>
        <v>DeCruz</v>
      </c>
      <c r="AV12" t="str">
        <f>"Jeffrey"</f>
        <v>Jeffrey</v>
      </c>
      <c r="AW12" t="str">
        <f>"M."</f>
        <v>M.</v>
      </c>
      <c r="AX12" t="str">
        <f>"2101 Wilson Blvd."</f>
        <v>2101 Wilson Blvd.</v>
      </c>
      <c r="AY12" t="str">
        <f>"Suite 1100"</f>
        <v>Suite 1100</v>
      </c>
      <c r="AZ12" t="str">
        <f>"Arlington"</f>
        <v>Arlington</v>
      </c>
      <c r="BA12" t="str">
        <f>"VA"</f>
        <v>VA</v>
      </c>
      <c r="BB12" s="3">
        <v>22201</v>
      </c>
      <c r="BC12" t="str">
        <f>"UNITED STATES OF AMERICA"</f>
        <v>UNITED STATES OF AMERICA</v>
      </c>
      <c r="BD12" t="str">
        <f>""</f>
        <v/>
      </c>
      <c r="BE12" t="str">
        <f>"+17036784000"</f>
        <v>+17036784000</v>
      </c>
      <c r="BF12" t="str">
        <f>""</f>
        <v/>
      </c>
      <c r="BG12" t="str">
        <f>"Jeff.decruz@eiglaw.com"</f>
        <v>Jeff.decruz@eiglaw.com</v>
      </c>
      <c r="BH12" t="str">
        <f>"Erickson Immigration Group"</f>
        <v>Erickson Immigration Group</v>
      </c>
      <c r="BI12" t="str">
        <f>"NY"</f>
        <v>NY</v>
      </c>
      <c r="BJ12" t="str">
        <f>"New York Court of Appeals"</f>
        <v>New York Court of Appeals</v>
      </c>
      <c r="BK12">
        <v>1</v>
      </c>
      <c r="BL12" t="s">
        <v>102</v>
      </c>
      <c r="BM12" t="str">
        <f>""</f>
        <v/>
      </c>
      <c r="BN12" t="s">
        <v>3543</v>
      </c>
      <c r="BP12" t="s">
        <v>140</v>
      </c>
      <c r="BQ12" t="s">
        <v>147</v>
      </c>
      <c r="BR12" t="s">
        <v>141</v>
      </c>
      <c r="BS12" s="5">
        <v>94105</v>
      </c>
      <c r="BT12" s="2">
        <v>150000</v>
      </c>
      <c r="BV12" t="s">
        <v>105</v>
      </c>
      <c r="BW12" s="2">
        <v>145246</v>
      </c>
      <c r="BX12" t="s">
        <v>105</v>
      </c>
      <c r="BZ12" t="s">
        <v>123</v>
      </c>
      <c r="CA12" t="str">
        <f t="shared" si="0"/>
        <v>7/1/2020 - 6/30/2021</v>
      </c>
      <c r="CF12">
        <v>2</v>
      </c>
      <c r="CG12" t="s">
        <v>98</v>
      </c>
      <c r="CH12" t="s">
        <v>98</v>
      </c>
      <c r="CI12" t="s">
        <v>206</v>
      </c>
      <c r="CJ12" t="s">
        <v>98</v>
      </c>
      <c r="CK12" t="s">
        <v>12323</v>
      </c>
      <c r="CL12" t="s">
        <v>108</v>
      </c>
      <c r="CM12" t="s">
        <v>109</v>
      </c>
      <c r="CN12" t="str">
        <f>"Medmim"</f>
        <v>Medmim</v>
      </c>
      <c r="CO12" t="str">
        <f>"Helen"</f>
        <v>Helen</v>
      </c>
      <c r="CP12" t="str">
        <f>""</f>
        <v/>
      </c>
      <c r="CQ12" t="str">
        <f>"Erickson Immigration Group"</f>
        <v>Erickson Immigration Group</v>
      </c>
      <c r="CR12" t="s">
        <v>3725</v>
      </c>
    </row>
    <row r="13" spans="1:96" x14ac:dyDescent="0.2">
      <c r="A13" t="s">
        <v>4084</v>
      </c>
      <c r="B13" t="s">
        <v>96</v>
      </c>
      <c r="C13" s="1">
        <v>44098</v>
      </c>
      <c r="D13" s="1">
        <v>44105</v>
      </c>
      <c r="F13" t="s">
        <v>97</v>
      </c>
      <c r="G13" t="str">
        <f>"Manager JC50"</f>
        <v>Manager JC50</v>
      </c>
      <c r="H13" t="s">
        <v>12181</v>
      </c>
      <c r="I13" t="s">
        <v>110</v>
      </c>
      <c r="J13" t="s">
        <v>98</v>
      </c>
      <c r="K13" s="1">
        <v>44106</v>
      </c>
      <c r="L13" s="1">
        <v>45200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 t="s">
        <v>111</v>
      </c>
      <c r="U13" t="str">
        <f>"CTSUS"</f>
        <v>CTSUS</v>
      </c>
      <c r="V13" t="s">
        <v>112</v>
      </c>
      <c r="W13" t="str">
        <f>""</f>
        <v/>
      </c>
      <c r="X13" t="s">
        <v>113</v>
      </c>
      <c r="Y13" t="s">
        <v>114</v>
      </c>
      <c r="Z13" s="3">
        <v>77845</v>
      </c>
      <c r="AA13" t="s">
        <v>101</v>
      </c>
      <c r="AB13" t="s">
        <v>114</v>
      </c>
      <c r="AC13" s="4" t="str">
        <f>"+19793296682"</f>
        <v>+19793296682</v>
      </c>
      <c r="AE13" t="str">
        <f>"541512"</f>
        <v>541512</v>
      </c>
      <c r="AF13" t="s">
        <v>115</v>
      </c>
      <c r="AG13" t="s">
        <v>116</v>
      </c>
      <c r="AH13" t="s">
        <v>108</v>
      </c>
      <c r="AI13" t="s">
        <v>117</v>
      </c>
      <c r="AJ13" t="s">
        <v>118</v>
      </c>
      <c r="AK13" t="str">
        <f>""</f>
        <v/>
      </c>
      <c r="AL13" t="s">
        <v>119</v>
      </c>
      <c r="AM13" t="s">
        <v>114</v>
      </c>
      <c r="AN13" s="3">
        <v>77845</v>
      </c>
      <c r="AO13" t="s">
        <v>101</v>
      </c>
      <c r="AQ13" t="str">
        <f>"+19793296682"</f>
        <v>+19793296682</v>
      </c>
      <c r="AS13" t="s">
        <v>120</v>
      </c>
      <c r="AT13" t="s">
        <v>102</v>
      </c>
      <c r="AU13" t="str">
        <f>""</f>
        <v/>
      </c>
      <c r="AV13" t="str">
        <f>""</f>
        <v/>
      </c>
      <c r="AW13" t="str">
        <f>""</f>
        <v/>
      </c>
      <c r="AX13" t="str">
        <f>""</f>
        <v/>
      </c>
      <c r="AY13" t="str">
        <f>""</f>
        <v/>
      </c>
      <c r="AZ13" t="str">
        <f>""</f>
        <v/>
      </c>
      <c r="BA13" t="str">
        <f>""</f>
        <v/>
      </c>
      <c r="BC13" t="str">
        <f>""</f>
        <v/>
      </c>
      <c r="BD13" t="str">
        <f>""</f>
        <v/>
      </c>
      <c r="BE13" t="str">
        <f>""</f>
        <v/>
      </c>
      <c r="BF13" t="str">
        <f>""</f>
        <v/>
      </c>
      <c r="BG13" t="str">
        <f>""</f>
        <v/>
      </c>
      <c r="BH13" t="str">
        <f>""</f>
        <v/>
      </c>
      <c r="BI13" t="str">
        <f>""</f>
        <v/>
      </c>
      <c r="BJ13" t="str">
        <f>""</f>
        <v/>
      </c>
      <c r="BK13">
        <v>1</v>
      </c>
      <c r="BL13" t="s">
        <v>102</v>
      </c>
      <c r="BM13" t="str">
        <f>""</f>
        <v/>
      </c>
      <c r="BN13" t="s">
        <v>4085</v>
      </c>
      <c r="BP13" t="s">
        <v>4086</v>
      </c>
      <c r="BQ13" t="s">
        <v>719</v>
      </c>
      <c r="BR13" t="s">
        <v>265</v>
      </c>
      <c r="BS13" s="5">
        <v>48326</v>
      </c>
      <c r="BT13" s="2">
        <v>89294</v>
      </c>
      <c r="BV13" t="s">
        <v>105</v>
      </c>
      <c r="BW13" s="2">
        <v>89294</v>
      </c>
      <c r="BX13" t="s">
        <v>105</v>
      </c>
      <c r="BZ13" t="s">
        <v>123</v>
      </c>
      <c r="CA13" t="str">
        <f t="shared" si="0"/>
        <v>7/1/2020 - 6/30/2021</v>
      </c>
      <c r="CF13">
        <v>1</v>
      </c>
      <c r="CG13" t="s">
        <v>98</v>
      </c>
      <c r="CH13" t="s">
        <v>98</v>
      </c>
      <c r="CI13" t="s">
        <v>206</v>
      </c>
      <c r="CJ13" t="s">
        <v>98</v>
      </c>
      <c r="CK13" t="s">
        <v>12323</v>
      </c>
      <c r="CL13" t="s">
        <v>108</v>
      </c>
      <c r="CM13" t="s">
        <v>109</v>
      </c>
      <c r="CN13" t="str">
        <f>""</f>
        <v/>
      </c>
      <c r="CO13" t="str">
        <f>""</f>
        <v/>
      </c>
      <c r="CP13" t="str">
        <f>""</f>
        <v/>
      </c>
      <c r="CQ13" t="str">
        <f>""</f>
        <v/>
      </c>
    </row>
    <row r="14" spans="1:96" x14ac:dyDescent="0.2">
      <c r="A14" t="s">
        <v>4104</v>
      </c>
      <c r="B14" t="s">
        <v>96</v>
      </c>
      <c r="C14" s="1">
        <v>44098</v>
      </c>
      <c r="D14" s="1">
        <v>44105</v>
      </c>
      <c r="F14" t="s">
        <v>97</v>
      </c>
      <c r="G14" t="str">
        <f>"Applications Consultant 3"</f>
        <v>Applications Consultant 3</v>
      </c>
      <c r="H14" t="s">
        <v>12169</v>
      </c>
      <c r="I14" t="s">
        <v>124</v>
      </c>
      <c r="J14" t="s">
        <v>98</v>
      </c>
      <c r="K14" s="1">
        <v>44105</v>
      </c>
      <c r="L14" s="1">
        <v>45199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 t="s">
        <v>1421</v>
      </c>
      <c r="U14" t="str">
        <f>""</f>
        <v/>
      </c>
      <c r="V14" t="s">
        <v>1422</v>
      </c>
      <c r="W14" t="str">
        <f>"SUITE 300"</f>
        <v>SUITE 300</v>
      </c>
      <c r="X14" t="s">
        <v>843</v>
      </c>
      <c r="Y14" t="s">
        <v>345</v>
      </c>
      <c r="Z14" s="3">
        <v>60606</v>
      </c>
      <c r="AA14" t="s">
        <v>101</v>
      </c>
      <c r="AC14" s="4" t="str">
        <f>"+13123955000"</f>
        <v>+13123955000</v>
      </c>
      <c r="AE14" t="str">
        <f>"5416"</f>
        <v>5416</v>
      </c>
      <c r="AF14" t="s">
        <v>1423</v>
      </c>
      <c r="AG14" t="s">
        <v>1424</v>
      </c>
      <c r="AI14" t="s">
        <v>1425</v>
      </c>
      <c r="AJ14" t="s">
        <v>1422</v>
      </c>
      <c r="AK14" t="str">
        <f>"SUITE 300"</f>
        <v>SUITE 300</v>
      </c>
      <c r="AL14" t="s">
        <v>843</v>
      </c>
      <c r="AM14" t="s">
        <v>345</v>
      </c>
      <c r="AN14" s="3">
        <v>60606</v>
      </c>
      <c r="AO14" t="s">
        <v>101</v>
      </c>
      <c r="AQ14" t="str">
        <f>"+13123958209"</f>
        <v>+13123958209</v>
      </c>
      <c r="AS14" t="s">
        <v>1426</v>
      </c>
      <c r="AT14" t="s">
        <v>102</v>
      </c>
      <c r="AU14" t="str">
        <f>""</f>
        <v/>
      </c>
      <c r="AV14" t="str">
        <f>""</f>
        <v/>
      </c>
      <c r="AW14" t="str">
        <f>""</f>
        <v/>
      </c>
      <c r="AX14" t="str">
        <f>""</f>
        <v/>
      </c>
      <c r="AY14" t="str">
        <f>""</f>
        <v/>
      </c>
      <c r="AZ14" t="str">
        <f>""</f>
        <v/>
      </c>
      <c r="BA14" t="str">
        <f>""</f>
        <v/>
      </c>
      <c r="BC14" t="str">
        <f>""</f>
        <v/>
      </c>
      <c r="BD14" t="str">
        <f>""</f>
        <v/>
      </c>
      <c r="BE14" t="str">
        <f>""</f>
        <v/>
      </c>
      <c r="BF14" t="str">
        <f>""</f>
        <v/>
      </c>
      <c r="BG14" t="str">
        <f>""</f>
        <v/>
      </c>
      <c r="BH14" t="str">
        <f>""</f>
        <v/>
      </c>
      <c r="BI14" t="str">
        <f>""</f>
        <v/>
      </c>
      <c r="BJ14" t="str">
        <f>""</f>
        <v/>
      </c>
      <c r="BK14">
        <v>1</v>
      </c>
      <c r="BL14" t="s">
        <v>102</v>
      </c>
      <c r="BM14" t="str">
        <f>""</f>
        <v/>
      </c>
      <c r="BN14" t="s">
        <v>4105</v>
      </c>
      <c r="BP14" t="s">
        <v>3685</v>
      </c>
      <c r="BQ14" t="s">
        <v>533</v>
      </c>
      <c r="BR14" t="s">
        <v>265</v>
      </c>
      <c r="BS14" s="5">
        <v>48167</v>
      </c>
      <c r="BT14" s="2">
        <v>95160</v>
      </c>
      <c r="BU14" s="2">
        <v>119737</v>
      </c>
      <c r="BV14" t="s">
        <v>105</v>
      </c>
      <c r="BW14" s="2">
        <v>95160</v>
      </c>
      <c r="BX14" t="s">
        <v>105</v>
      </c>
      <c r="BZ14" t="s">
        <v>123</v>
      </c>
      <c r="CA14" t="str">
        <f t="shared" si="0"/>
        <v>7/1/2020 - 6/30/2021</v>
      </c>
      <c r="CF14">
        <v>2</v>
      </c>
      <c r="CG14" t="s">
        <v>98</v>
      </c>
      <c r="CH14" t="s">
        <v>98</v>
      </c>
      <c r="CI14" t="s">
        <v>206</v>
      </c>
      <c r="CJ14" t="s">
        <v>98</v>
      </c>
      <c r="CK14" t="s">
        <v>12323</v>
      </c>
      <c r="CL14" t="s">
        <v>108</v>
      </c>
      <c r="CM14" t="s">
        <v>109</v>
      </c>
      <c r="CN14" t="str">
        <f>""</f>
        <v/>
      </c>
      <c r="CO14" t="str">
        <f>""</f>
        <v/>
      </c>
      <c r="CP14" t="str">
        <f>""</f>
        <v/>
      </c>
      <c r="CQ14" t="str">
        <f>""</f>
        <v/>
      </c>
    </row>
    <row r="15" spans="1:96" x14ac:dyDescent="0.2">
      <c r="A15" t="s">
        <v>4166</v>
      </c>
      <c r="B15" t="s">
        <v>96</v>
      </c>
      <c r="C15" s="1">
        <v>44098</v>
      </c>
      <c r="D15" s="1">
        <v>44105</v>
      </c>
      <c r="F15" t="s">
        <v>97</v>
      </c>
      <c r="G15" t="str">
        <f>"Splunk Developer"</f>
        <v>Splunk Developer</v>
      </c>
      <c r="H15" t="s">
        <v>12169</v>
      </c>
      <c r="I15" t="s">
        <v>124</v>
      </c>
      <c r="J15" t="s">
        <v>98</v>
      </c>
      <c r="K15" s="1">
        <v>44105</v>
      </c>
      <c r="L15" s="1">
        <v>45200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 t="s">
        <v>4167</v>
      </c>
      <c r="U15" t="str">
        <f>""</f>
        <v/>
      </c>
      <c r="V15" t="s">
        <v>4168</v>
      </c>
      <c r="W15" t="str">
        <f>"suite 354"</f>
        <v>suite 354</v>
      </c>
      <c r="X15" t="s">
        <v>4169</v>
      </c>
      <c r="Y15" t="s">
        <v>100</v>
      </c>
      <c r="Z15" s="3">
        <v>8854</v>
      </c>
      <c r="AA15" t="s">
        <v>101</v>
      </c>
      <c r="AC15" s="4" t="str">
        <f>"+18888497586"</f>
        <v>+18888497586</v>
      </c>
      <c r="AE15" t="str">
        <f>"541511"</f>
        <v>541511</v>
      </c>
      <c r="AF15" t="s">
        <v>4170</v>
      </c>
      <c r="AG15" t="s">
        <v>4171</v>
      </c>
      <c r="AI15" t="s">
        <v>898</v>
      </c>
      <c r="AJ15" t="s">
        <v>4168</v>
      </c>
      <c r="AK15" t="str">
        <f>"suite 354"</f>
        <v>suite 354</v>
      </c>
      <c r="AL15" t="s">
        <v>4169</v>
      </c>
      <c r="AM15" t="s">
        <v>100</v>
      </c>
      <c r="AN15" s="3">
        <v>8854</v>
      </c>
      <c r="AO15" t="s">
        <v>101</v>
      </c>
      <c r="AQ15" t="str">
        <f>"+18888497586"</f>
        <v>+18888497586</v>
      </c>
      <c r="AS15" t="s">
        <v>4172</v>
      </c>
      <c r="AT15" t="s">
        <v>107</v>
      </c>
      <c r="AU15" t="str">
        <f>"RAMASAMI"</f>
        <v>RAMASAMI</v>
      </c>
      <c r="AV15" t="str">
        <f>"KAVITHA"</f>
        <v>KAVITHA</v>
      </c>
      <c r="AW15" t="str">
        <f>""</f>
        <v/>
      </c>
      <c r="AX15" t="str">
        <f>"55 CARTER DRIVE"</f>
        <v>55 CARTER DRIVE</v>
      </c>
      <c r="AY15" t="str">
        <f>"SUITE 207"</f>
        <v>SUITE 207</v>
      </c>
      <c r="AZ15" t="str">
        <f>"EDISON"</f>
        <v>EDISON</v>
      </c>
      <c r="BA15" t="str">
        <f>"NJ"</f>
        <v>NJ</v>
      </c>
      <c r="BB15" s="3">
        <v>8817</v>
      </c>
      <c r="BC15" t="str">
        <f>"UNITED STATES OF AMERICA"</f>
        <v>UNITED STATES OF AMERICA</v>
      </c>
      <c r="BD15" t="str">
        <f>""</f>
        <v/>
      </c>
      <c r="BE15" t="str">
        <f>"+17323939557"</f>
        <v>+17323939557</v>
      </c>
      <c r="BF15" t="str">
        <f>""</f>
        <v/>
      </c>
      <c r="BG15" t="str">
        <f>"HEMA@USIMMIGRATIONESQ.COM"</f>
        <v>HEMA@USIMMIGRATIONESQ.COM</v>
      </c>
      <c r="BH15" t="str">
        <f>"LAW OFFICES OF KAVITHA RAMASAMI"</f>
        <v>LAW OFFICES OF KAVITHA RAMASAMI</v>
      </c>
      <c r="BI15" t="str">
        <f>"NY"</f>
        <v>NY</v>
      </c>
      <c r="BJ15" t="str">
        <f>"SUPREME COURT, APPELLATE   DIVISION"</f>
        <v>SUPREME COURT, APPELLATE   DIVISION</v>
      </c>
      <c r="BK15">
        <v>1</v>
      </c>
      <c r="BL15" t="s">
        <v>107</v>
      </c>
      <c r="BM15" t="str">
        <f>"US Social Security Administration"</f>
        <v>US Social Security Administration</v>
      </c>
      <c r="BN15" t="s">
        <v>4173</v>
      </c>
      <c r="BP15" t="s">
        <v>4174</v>
      </c>
      <c r="BQ15" t="s">
        <v>1273</v>
      </c>
      <c r="BR15" t="s">
        <v>195</v>
      </c>
      <c r="BS15" s="5">
        <v>21207</v>
      </c>
      <c r="BT15" s="2">
        <v>94037</v>
      </c>
      <c r="BV15" t="s">
        <v>105</v>
      </c>
      <c r="BW15" s="2">
        <v>94037</v>
      </c>
      <c r="BX15" t="s">
        <v>105</v>
      </c>
      <c r="BZ15" t="s">
        <v>167</v>
      </c>
      <c r="CA15" t="str">
        <f t="shared" si="0"/>
        <v>7/1/2020 - 6/30/2021</v>
      </c>
      <c r="CF15">
        <v>1</v>
      </c>
      <c r="CG15" t="s">
        <v>98</v>
      </c>
      <c r="CH15" t="s">
        <v>98</v>
      </c>
      <c r="CI15" t="s">
        <v>206</v>
      </c>
      <c r="CJ15" t="s">
        <v>98</v>
      </c>
      <c r="CK15" t="s">
        <v>12323</v>
      </c>
      <c r="CL15" t="s">
        <v>108</v>
      </c>
      <c r="CM15" t="s">
        <v>109</v>
      </c>
      <c r="CN15" t="str">
        <f>"RAMASAMI"</f>
        <v>RAMASAMI</v>
      </c>
      <c r="CO15" t="str">
        <f>"KAVITHA"</f>
        <v>KAVITHA</v>
      </c>
      <c r="CP15" t="str">
        <f>""</f>
        <v/>
      </c>
      <c r="CQ15" t="str">
        <f>"LAW OFFICES OF KAVITHA RAMASAMI"</f>
        <v>LAW OFFICES OF KAVITHA RAMASAMI</v>
      </c>
      <c r="CR15" t="s">
        <v>4175</v>
      </c>
    </row>
    <row r="16" spans="1:96" x14ac:dyDescent="0.2">
      <c r="A16" t="s">
        <v>4469</v>
      </c>
      <c r="B16" t="s">
        <v>96</v>
      </c>
      <c r="C16" s="1">
        <v>44098</v>
      </c>
      <c r="D16" s="1">
        <v>44105</v>
      </c>
      <c r="F16" t="s">
        <v>97</v>
      </c>
      <c r="G16" t="str">
        <f>"Computer Programmer"</f>
        <v>Computer Programmer</v>
      </c>
      <c r="H16" t="s">
        <v>12239</v>
      </c>
      <c r="I16" t="s">
        <v>378</v>
      </c>
      <c r="J16" t="s">
        <v>98</v>
      </c>
      <c r="K16" s="1">
        <v>44271</v>
      </c>
      <c r="L16" s="1">
        <v>45366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 t="s">
        <v>445</v>
      </c>
      <c r="U16" t="str">
        <f>""</f>
        <v/>
      </c>
      <c r="V16" t="s">
        <v>446</v>
      </c>
      <c r="W16" t="str">
        <f>"Suite 600"</f>
        <v>Suite 600</v>
      </c>
      <c r="X16" t="s">
        <v>447</v>
      </c>
      <c r="Y16" t="s">
        <v>100</v>
      </c>
      <c r="Z16" s="3">
        <v>8830</v>
      </c>
      <c r="AA16" t="s">
        <v>101</v>
      </c>
      <c r="AC16" s="4" t="str">
        <f>"+16094096957"</f>
        <v>+16094096957</v>
      </c>
      <c r="AE16" t="str">
        <f>"541512"</f>
        <v>541512</v>
      </c>
      <c r="AF16" t="s">
        <v>448</v>
      </c>
      <c r="AG16" t="s">
        <v>449</v>
      </c>
      <c r="AI16" t="s">
        <v>450</v>
      </c>
      <c r="AJ16" t="s">
        <v>446</v>
      </c>
      <c r="AK16" t="str">
        <f>"Suite 600"</f>
        <v>Suite 600</v>
      </c>
      <c r="AL16" t="s">
        <v>447</v>
      </c>
      <c r="AM16" t="s">
        <v>100</v>
      </c>
      <c r="AN16" s="3">
        <v>8830</v>
      </c>
      <c r="AO16" t="s">
        <v>101</v>
      </c>
      <c r="AQ16" t="str">
        <f>"+16094092214"</f>
        <v>+16094092214</v>
      </c>
      <c r="AS16" t="s">
        <v>451</v>
      </c>
      <c r="AT16" t="s">
        <v>107</v>
      </c>
      <c r="AU16" t="str">
        <f>"Chothani"</f>
        <v>Chothani</v>
      </c>
      <c r="AV16" t="str">
        <f>"Poorvi"</f>
        <v>Poorvi</v>
      </c>
      <c r="AW16" t="str">
        <f>"Rohit"</f>
        <v>Rohit</v>
      </c>
      <c r="AX16" t="str">
        <f>"244 Madison Ave."</f>
        <v>244 Madison Ave.</v>
      </c>
      <c r="AY16" t="str">
        <f>"Ste. 2350"</f>
        <v>Ste. 2350</v>
      </c>
      <c r="AZ16" t="str">
        <f>"NEW YORK"</f>
        <v>NEW YORK</v>
      </c>
      <c r="BA16" t="str">
        <f>"NY"</f>
        <v>NY</v>
      </c>
      <c r="BB16" s="3">
        <v>10016</v>
      </c>
      <c r="BC16" t="str">
        <f>"UNITED STATES OF AMERICA"</f>
        <v>UNITED STATES OF AMERICA</v>
      </c>
      <c r="BD16" t="str">
        <f>"NEW YORK"</f>
        <v>NEW YORK</v>
      </c>
      <c r="BE16" t="str">
        <f>"+16464190933"</f>
        <v>+16464190933</v>
      </c>
      <c r="BF16" t="str">
        <f>""</f>
        <v/>
      </c>
      <c r="BG16" t="str">
        <f>"gov@poorvichothani.com"</f>
        <v>gov@poorvichothani.com</v>
      </c>
      <c r="BH16" t="str">
        <f>"The Law Office of Poorvi Chothani, PLLC"</f>
        <v>The Law Office of Poorvi Chothani, PLLC</v>
      </c>
      <c r="BI16" t="str">
        <f>"NY"</f>
        <v>NY</v>
      </c>
      <c r="BJ16" t="str">
        <f>"NEW YORK"</f>
        <v>NEW YORK</v>
      </c>
      <c r="BK16">
        <v>1</v>
      </c>
      <c r="BL16" t="s">
        <v>107</v>
      </c>
      <c r="BM16" t="str">
        <f>"Freddie Mac."</f>
        <v>Freddie Mac.</v>
      </c>
      <c r="BN16" t="s">
        <v>4470</v>
      </c>
      <c r="BP16" t="s">
        <v>3767</v>
      </c>
      <c r="BQ16" t="s">
        <v>454</v>
      </c>
      <c r="BR16" t="s">
        <v>135</v>
      </c>
      <c r="BS16" s="5">
        <v>22102</v>
      </c>
      <c r="BT16" s="2">
        <v>86650</v>
      </c>
      <c r="BU16" s="2">
        <v>93650</v>
      </c>
      <c r="BV16" t="s">
        <v>105</v>
      </c>
      <c r="BW16" s="2">
        <v>81848</v>
      </c>
      <c r="BX16" t="s">
        <v>105</v>
      </c>
      <c r="BZ16" t="s">
        <v>167</v>
      </c>
      <c r="CA16" t="str">
        <f t="shared" si="0"/>
        <v>7/1/2020 - 6/30/2021</v>
      </c>
      <c r="CF16">
        <v>2</v>
      </c>
      <c r="CG16" t="s">
        <v>98</v>
      </c>
      <c r="CH16" t="s">
        <v>98</v>
      </c>
      <c r="CI16" t="s">
        <v>206</v>
      </c>
      <c r="CJ16" t="s">
        <v>98</v>
      </c>
      <c r="CK16" t="s">
        <v>12323</v>
      </c>
      <c r="CL16" t="s">
        <v>108</v>
      </c>
      <c r="CM16" t="s">
        <v>109</v>
      </c>
      <c r="CN16" t="str">
        <f>"Chothani"</f>
        <v>Chothani</v>
      </c>
      <c r="CO16" t="str">
        <f>"Poorvi"</f>
        <v>Poorvi</v>
      </c>
      <c r="CP16" t="str">
        <f>"R"</f>
        <v>R</v>
      </c>
      <c r="CQ16" t="str">
        <f>"The Law office of Poorvi Chothani, PLLC"</f>
        <v>The Law office of Poorvi Chothani, PLLC</v>
      </c>
      <c r="CR16" t="s">
        <v>455</v>
      </c>
    </row>
    <row r="17" spans="1:96" x14ac:dyDescent="0.2">
      <c r="A17" t="s">
        <v>4483</v>
      </c>
      <c r="B17" t="s">
        <v>96</v>
      </c>
      <c r="C17" s="1">
        <v>44098</v>
      </c>
      <c r="D17" s="1">
        <v>44105</v>
      </c>
      <c r="F17" t="s">
        <v>97</v>
      </c>
      <c r="G17" t="str">
        <f>"Director - Marketing Technology &amp; Strategy"</f>
        <v>Director - Marketing Technology &amp; Strategy</v>
      </c>
      <c r="H17" t="s">
        <v>12168</v>
      </c>
      <c r="I17" t="s">
        <v>1504</v>
      </c>
      <c r="J17" t="s">
        <v>98</v>
      </c>
      <c r="K17" s="1">
        <v>44105</v>
      </c>
      <c r="L17" s="1">
        <v>45199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1505</v>
      </c>
      <c r="U17" t="str">
        <f>""</f>
        <v/>
      </c>
      <c r="V17" t="s">
        <v>1506</v>
      </c>
      <c r="W17" t="str">
        <f>"SUITE 350"</f>
        <v>SUITE 350</v>
      </c>
      <c r="X17" t="s">
        <v>1507</v>
      </c>
      <c r="Y17" t="s">
        <v>135</v>
      </c>
      <c r="Z17" s="3">
        <v>20171</v>
      </c>
      <c r="AA17" t="s">
        <v>101</v>
      </c>
      <c r="AC17" s="4" t="str">
        <f>"+17038707407"</f>
        <v>+17038707407</v>
      </c>
      <c r="AE17" t="str">
        <f t="shared" ref="AE17:AE23" si="1">"541511"</f>
        <v>541511</v>
      </c>
      <c r="AF17" t="s">
        <v>1508</v>
      </c>
      <c r="AG17" t="s">
        <v>1509</v>
      </c>
      <c r="AI17" t="s">
        <v>1510</v>
      </c>
      <c r="AJ17" t="s">
        <v>1506</v>
      </c>
      <c r="AK17" t="str">
        <f>"SUITE 350"</f>
        <v>SUITE 350</v>
      </c>
      <c r="AL17" t="s">
        <v>1507</v>
      </c>
      <c r="AM17" t="s">
        <v>135</v>
      </c>
      <c r="AN17" s="3">
        <v>20171</v>
      </c>
      <c r="AO17" t="s">
        <v>101</v>
      </c>
      <c r="AQ17" t="str">
        <f>"+17038707407"</f>
        <v>+17038707407</v>
      </c>
      <c r="AS17" t="s">
        <v>1511</v>
      </c>
      <c r="AT17" t="s">
        <v>102</v>
      </c>
      <c r="AU17" t="str">
        <f>""</f>
        <v/>
      </c>
      <c r="AV17" t="str">
        <f>""</f>
        <v/>
      </c>
      <c r="AW17" t="str">
        <f>""</f>
        <v/>
      </c>
      <c r="AX17" t="str">
        <f>""</f>
        <v/>
      </c>
      <c r="AY17" t="str">
        <f>""</f>
        <v/>
      </c>
      <c r="AZ17" t="str">
        <f>""</f>
        <v/>
      </c>
      <c r="BA17" t="str">
        <f>""</f>
        <v/>
      </c>
      <c r="BC17" t="str">
        <f>""</f>
        <v/>
      </c>
      <c r="BD17" t="str">
        <f>""</f>
        <v/>
      </c>
      <c r="BE17" t="str">
        <f>""</f>
        <v/>
      </c>
      <c r="BF17" t="str">
        <f>""</f>
        <v/>
      </c>
      <c r="BG17" t="str">
        <f>""</f>
        <v/>
      </c>
      <c r="BH17" t="str">
        <f>""</f>
        <v/>
      </c>
      <c r="BI17" t="str">
        <f>""</f>
        <v/>
      </c>
      <c r="BJ17" t="str">
        <f>""</f>
        <v/>
      </c>
      <c r="BK17">
        <v>1</v>
      </c>
      <c r="BL17" t="s">
        <v>102</v>
      </c>
      <c r="BM17" t="str">
        <f>""</f>
        <v/>
      </c>
      <c r="BN17" t="s">
        <v>2067</v>
      </c>
      <c r="BO17" t="s">
        <v>2561</v>
      </c>
      <c r="BP17" t="s">
        <v>297</v>
      </c>
      <c r="BQ17" t="s">
        <v>1034</v>
      </c>
      <c r="BR17" t="s">
        <v>577</v>
      </c>
      <c r="BS17" s="5">
        <v>75024</v>
      </c>
      <c r="BT17" s="2">
        <v>110000</v>
      </c>
      <c r="BU17" s="2">
        <v>130000</v>
      </c>
      <c r="BV17" t="s">
        <v>105</v>
      </c>
      <c r="BW17" s="2">
        <v>88774</v>
      </c>
      <c r="BX17" t="s">
        <v>105</v>
      </c>
      <c r="BZ17" t="s">
        <v>123</v>
      </c>
      <c r="CA17" t="str">
        <f t="shared" si="0"/>
        <v>7/1/2020 - 6/30/2021</v>
      </c>
      <c r="CF17">
        <v>2</v>
      </c>
      <c r="CG17" t="s">
        <v>98</v>
      </c>
      <c r="CH17" t="s">
        <v>98</v>
      </c>
      <c r="CI17" t="s">
        <v>206</v>
      </c>
      <c r="CJ17" t="s">
        <v>98</v>
      </c>
      <c r="CK17" t="s">
        <v>12323</v>
      </c>
      <c r="CL17" t="s">
        <v>108</v>
      </c>
      <c r="CM17" t="s">
        <v>109</v>
      </c>
      <c r="CN17" t="str">
        <f>""</f>
        <v/>
      </c>
      <c r="CO17" t="str">
        <f>""</f>
        <v/>
      </c>
      <c r="CP17" t="str">
        <f>""</f>
        <v/>
      </c>
      <c r="CQ17" t="str">
        <f>""</f>
        <v/>
      </c>
    </row>
    <row r="18" spans="1:96" x14ac:dyDescent="0.2">
      <c r="A18" t="s">
        <v>4484</v>
      </c>
      <c r="B18" t="s">
        <v>96</v>
      </c>
      <c r="C18" s="1">
        <v>44098</v>
      </c>
      <c r="D18" s="1">
        <v>44105</v>
      </c>
      <c r="F18" t="s">
        <v>97</v>
      </c>
      <c r="G18" t="str">
        <f>"DEVELOPER"</f>
        <v>DEVELOPER</v>
      </c>
      <c r="H18" t="s">
        <v>12239</v>
      </c>
      <c r="I18" t="s">
        <v>378</v>
      </c>
      <c r="J18" t="s">
        <v>98</v>
      </c>
      <c r="K18" s="1">
        <v>44103</v>
      </c>
      <c r="L18" s="1">
        <v>44390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 t="s">
        <v>864</v>
      </c>
      <c r="U18" t="str">
        <f>""</f>
        <v/>
      </c>
      <c r="V18" t="s">
        <v>865</v>
      </c>
      <c r="W18" t="str">
        <f>"SUITE 320"</f>
        <v>SUITE 320</v>
      </c>
      <c r="X18" t="s">
        <v>866</v>
      </c>
      <c r="Y18" t="s">
        <v>195</v>
      </c>
      <c r="Z18" s="3">
        <v>20850</v>
      </c>
      <c r="AA18" t="s">
        <v>101</v>
      </c>
      <c r="AC18" s="4" t="str">
        <f>"+13012319083"</f>
        <v>+13012319083</v>
      </c>
      <c r="AE18" t="str">
        <f t="shared" si="1"/>
        <v>541511</v>
      </c>
      <c r="AF18" t="s">
        <v>867</v>
      </c>
      <c r="AG18" t="s">
        <v>868</v>
      </c>
      <c r="AH18" t="s">
        <v>108</v>
      </c>
      <c r="AI18" t="s">
        <v>869</v>
      </c>
      <c r="AJ18" t="s">
        <v>865</v>
      </c>
      <c r="AK18" t="str">
        <f>"SUITE 320"</f>
        <v>SUITE 320</v>
      </c>
      <c r="AL18" t="s">
        <v>866</v>
      </c>
      <c r="AM18" t="s">
        <v>195</v>
      </c>
      <c r="AN18" s="3">
        <v>20850</v>
      </c>
      <c r="AO18" t="s">
        <v>101</v>
      </c>
      <c r="AQ18" t="str">
        <f>"+13012319083"</f>
        <v>+13012319083</v>
      </c>
      <c r="AS18" t="s">
        <v>870</v>
      </c>
      <c r="AT18" t="s">
        <v>107</v>
      </c>
      <c r="AU18" t="str">
        <f>"MUHLENKAMP"</f>
        <v>MUHLENKAMP</v>
      </c>
      <c r="AV18" t="str">
        <f>"PRISCILLA"</f>
        <v>PRISCILLA</v>
      </c>
      <c r="AW18" t="str">
        <f>"H."</f>
        <v>H.</v>
      </c>
      <c r="AX18" t="str">
        <f>"1101 15TH STREET NW"</f>
        <v>1101 15TH STREET NW</v>
      </c>
      <c r="AY18" t="str">
        <f>"SUITE 700"</f>
        <v>SUITE 700</v>
      </c>
      <c r="AZ18" t="str">
        <f>"WASHINGTON"</f>
        <v>WASHINGTON</v>
      </c>
      <c r="BA18" t="str">
        <f>"DC"</f>
        <v>DC</v>
      </c>
      <c r="BB18" s="3">
        <v>20005</v>
      </c>
      <c r="BC18" t="str">
        <f>"UNITED STATES OF AMERICA"</f>
        <v>UNITED STATES OF AMERICA</v>
      </c>
      <c r="BD18" t="str">
        <f>""</f>
        <v/>
      </c>
      <c r="BE18" t="str">
        <f>"+12022235515"</f>
        <v>+12022235515</v>
      </c>
      <c r="BF18" t="str">
        <f>""</f>
        <v/>
      </c>
      <c r="BG18" t="str">
        <f>"TCSLCA@FRAGOMEN.COM"</f>
        <v>TCSLCA@FRAGOMEN.COM</v>
      </c>
      <c r="BH18" t="str">
        <f>"FRAGOMEN, DEL REY, BERNSEN &amp; LOEWY LLP"</f>
        <v>FRAGOMEN, DEL REY, BERNSEN &amp; LOEWY LLP</v>
      </c>
      <c r="BI18" t="str">
        <f>"DC"</f>
        <v>DC</v>
      </c>
      <c r="BJ18" t="str">
        <f>"DISTRICT OF COLUMBIA COURT OF APPEALS"</f>
        <v>DISTRICT OF COLUMBIA COURT OF APPEALS</v>
      </c>
      <c r="BK18">
        <v>1</v>
      </c>
      <c r="BL18" t="s">
        <v>107</v>
      </c>
      <c r="BM18" t="str">
        <f>"ASCENA RETAIL GROUP, INC."</f>
        <v>ASCENA RETAIL GROUP, INC.</v>
      </c>
      <c r="BN18" t="s">
        <v>4485</v>
      </c>
      <c r="BP18" t="s">
        <v>4486</v>
      </c>
      <c r="BQ18" t="s">
        <v>4049</v>
      </c>
      <c r="BR18" t="s">
        <v>225</v>
      </c>
      <c r="BS18" s="5">
        <v>43062</v>
      </c>
      <c r="BT18" s="2">
        <v>73694</v>
      </c>
      <c r="BU18" s="2">
        <v>100200</v>
      </c>
      <c r="BV18" t="s">
        <v>105</v>
      </c>
      <c r="BW18" s="2">
        <v>73694</v>
      </c>
      <c r="BX18" t="s">
        <v>105</v>
      </c>
      <c r="BZ18" t="s">
        <v>167</v>
      </c>
      <c r="CA18" t="str">
        <f t="shared" si="0"/>
        <v>7/1/2020 - 6/30/2021</v>
      </c>
      <c r="CF18">
        <v>1</v>
      </c>
      <c r="CG18" t="s">
        <v>98</v>
      </c>
      <c r="CH18" t="s">
        <v>98</v>
      </c>
      <c r="CI18" t="s">
        <v>206</v>
      </c>
      <c r="CJ18" t="s">
        <v>98</v>
      </c>
      <c r="CK18" t="s">
        <v>12323</v>
      </c>
      <c r="CL18" t="s">
        <v>108</v>
      </c>
      <c r="CM18" t="s">
        <v>109</v>
      </c>
      <c r="CN18" t="str">
        <f>""</f>
        <v/>
      </c>
      <c r="CO18" t="str">
        <f>""</f>
        <v/>
      </c>
      <c r="CP18" t="str">
        <f>""</f>
        <v/>
      </c>
      <c r="CQ18" t="str">
        <f>""</f>
        <v/>
      </c>
    </row>
    <row r="19" spans="1:96" x14ac:dyDescent="0.2">
      <c r="A19" t="s">
        <v>4491</v>
      </c>
      <c r="B19" t="s">
        <v>96</v>
      </c>
      <c r="C19" s="1">
        <v>44098</v>
      </c>
      <c r="D19" s="1">
        <v>44105</v>
      </c>
      <c r="F19" t="s">
        <v>97</v>
      </c>
      <c r="G19" t="str">
        <f>"NETWORK SECURITY CONSULTANT "</f>
        <v>NETWORK SECURITY CONSULTANT </v>
      </c>
      <c r="H19" t="s">
        <v>12183</v>
      </c>
      <c r="I19" t="s">
        <v>2335</v>
      </c>
      <c r="J19" t="s">
        <v>98</v>
      </c>
      <c r="K19" s="1">
        <v>44105</v>
      </c>
      <c r="L19" s="1">
        <v>45199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3623</v>
      </c>
      <c r="U19" t="str">
        <f>""</f>
        <v/>
      </c>
      <c r="V19" t="s">
        <v>2589</v>
      </c>
      <c r="W19" t="str">
        <f>""</f>
        <v/>
      </c>
      <c r="X19" t="s">
        <v>211</v>
      </c>
      <c r="Y19" t="s">
        <v>100</v>
      </c>
      <c r="Z19" s="3">
        <v>8817</v>
      </c>
      <c r="AA19" t="s">
        <v>101</v>
      </c>
      <c r="AC19" s="4" t="str">
        <f>"+17323390075"</f>
        <v>+17323390075</v>
      </c>
      <c r="AD19">
        <v>108</v>
      </c>
      <c r="AE19" t="str">
        <f t="shared" si="1"/>
        <v>541511</v>
      </c>
      <c r="AF19" t="s">
        <v>3624</v>
      </c>
      <c r="AG19" t="s">
        <v>3625</v>
      </c>
      <c r="AH19" t="s">
        <v>108</v>
      </c>
      <c r="AI19" t="s">
        <v>1586</v>
      </c>
      <c r="AJ19" t="s">
        <v>2589</v>
      </c>
      <c r="AK19" t="str">
        <f>""</f>
        <v/>
      </c>
      <c r="AL19" t="s">
        <v>211</v>
      </c>
      <c r="AM19" t="s">
        <v>100</v>
      </c>
      <c r="AN19" s="3">
        <v>8817</v>
      </c>
      <c r="AO19" t="s">
        <v>101</v>
      </c>
      <c r="AQ19" t="str">
        <f>"+17323390075"</f>
        <v>+17323390075</v>
      </c>
      <c r="AR19">
        <v>108</v>
      </c>
      <c r="AS19" t="s">
        <v>3626</v>
      </c>
      <c r="AT19" t="s">
        <v>102</v>
      </c>
      <c r="AU19" t="str">
        <f>""</f>
        <v/>
      </c>
      <c r="AV19" t="str">
        <f>""</f>
        <v/>
      </c>
      <c r="AW19" t="str">
        <f>""</f>
        <v/>
      </c>
      <c r="AX19" t="str">
        <f>""</f>
        <v/>
      </c>
      <c r="AY19" t="str">
        <f>""</f>
        <v/>
      </c>
      <c r="AZ19" t="str">
        <f>""</f>
        <v/>
      </c>
      <c r="BA19" t="str">
        <f>""</f>
        <v/>
      </c>
      <c r="BC19" t="str">
        <f>""</f>
        <v/>
      </c>
      <c r="BD19" t="str">
        <f>""</f>
        <v/>
      </c>
      <c r="BE19" t="str">
        <f>""</f>
        <v/>
      </c>
      <c r="BF19" t="str">
        <f>""</f>
        <v/>
      </c>
      <c r="BG19" t="str">
        <f>""</f>
        <v/>
      </c>
      <c r="BH19" t="str">
        <f>""</f>
        <v/>
      </c>
      <c r="BI19" t="str">
        <f>""</f>
        <v/>
      </c>
      <c r="BJ19" t="str">
        <f>""</f>
        <v/>
      </c>
      <c r="BK19">
        <v>1</v>
      </c>
      <c r="BL19" t="s">
        <v>107</v>
      </c>
      <c r="BM19" t="str">
        <f>"DEUTSCHE BANK"</f>
        <v>DEUTSCHE BANK</v>
      </c>
      <c r="BN19" t="s">
        <v>4492</v>
      </c>
      <c r="BO19" t="s">
        <v>4493</v>
      </c>
      <c r="BP19" t="s">
        <v>1241</v>
      </c>
      <c r="BQ19" t="s">
        <v>1243</v>
      </c>
      <c r="BR19" t="s">
        <v>577</v>
      </c>
      <c r="BS19" s="5">
        <v>32256</v>
      </c>
      <c r="BT19" s="2">
        <v>40.42</v>
      </c>
      <c r="BV19" t="s">
        <v>210</v>
      </c>
      <c r="BW19" s="2">
        <v>40.42</v>
      </c>
      <c r="BX19" t="s">
        <v>210</v>
      </c>
      <c r="BZ19" t="s">
        <v>167</v>
      </c>
      <c r="CA19" t="str">
        <f t="shared" si="0"/>
        <v>7/1/2020 - 6/30/2021</v>
      </c>
      <c r="CF19">
        <v>1</v>
      </c>
      <c r="CG19" t="s">
        <v>98</v>
      </c>
      <c r="CH19" t="s">
        <v>98</v>
      </c>
      <c r="CI19" t="s">
        <v>206</v>
      </c>
      <c r="CJ19" t="s">
        <v>98</v>
      </c>
      <c r="CK19" t="s">
        <v>12323</v>
      </c>
      <c r="CL19" t="s">
        <v>108</v>
      </c>
      <c r="CM19" t="s">
        <v>109</v>
      </c>
      <c r="CN19" t="str">
        <f>""</f>
        <v/>
      </c>
      <c r="CO19" t="str">
        <f>""</f>
        <v/>
      </c>
      <c r="CP19" t="str">
        <f>""</f>
        <v/>
      </c>
      <c r="CQ19" t="str">
        <f>""</f>
        <v/>
      </c>
    </row>
    <row r="20" spans="1:96" x14ac:dyDescent="0.2">
      <c r="A20" t="s">
        <v>4607</v>
      </c>
      <c r="B20" t="s">
        <v>96</v>
      </c>
      <c r="C20" s="1">
        <v>44098</v>
      </c>
      <c r="D20" s="1">
        <v>44105</v>
      </c>
      <c r="F20" t="s">
        <v>97</v>
      </c>
      <c r="G20" t="str">
        <f>"Salesforce Developer "</f>
        <v xml:space="preserve">Salesforce Developer </v>
      </c>
      <c r="H20" t="s">
        <v>12169</v>
      </c>
      <c r="I20" t="s">
        <v>124</v>
      </c>
      <c r="J20" t="s">
        <v>98</v>
      </c>
      <c r="K20" s="1">
        <v>44227</v>
      </c>
      <c r="L20" s="1">
        <v>45321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 t="s">
        <v>4608</v>
      </c>
      <c r="U20" t="str">
        <f>""</f>
        <v/>
      </c>
      <c r="V20" t="s">
        <v>4609</v>
      </c>
      <c r="W20" t="str">
        <f>""</f>
        <v/>
      </c>
      <c r="X20" t="s">
        <v>4610</v>
      </c>
      <c r="Y20" t="s">
        <v>100</v>
      </c>
      <c r="Z20" s="3">
        <v>8648</v>
      </c>
      <c r="AA20" t="s">
        <v>101</v>
      </c>
      <c r="AC20" s="4" t="str">
        <f>"+16097599399"</f>
        <v>+16097599399</v>
      </c>
      <c r="AE20" t="str">
        <f t="shared" si="1"/>
        <v>541511</v>
      </c>
      <c r="AF20" t="s">
        <v>4611</v>
      </c>
      <c r="AG20" t="s">
        <v>4612</v>
      </c>
      <c r="AH20" t="s">
        <v>1245</v>
      </c>
      <c r="AI20" t="s">
        <v>508</v>
      </c>
      <c r="AJ20" t="s">
        <v>4613</v>
      </c>
      <c r="AK20" t="str">
        <f>""</f>
        <v/>
      </c>
      <c r="AL20" t="s">
        <v>4614</v>
      </c>
      <c r="AM20" t="s">
        <v>100</v>
      </c>
      <c r="AN20" s="3">
        <v>8648</v>
      </c>
      <c r="AO20" t="s">
        <v>101</v>
      </c>
      <c r="AQ20" t="str">
        <f>"+16097599399"</f>
        <v>+16097599399</v>
      </c>
      <c r="AS20" t="s">
        <v>4615</v>
      </c>
      <c r="AT20" t="s">
        <v>107</v>
      </c>
      <c r="AU20" t="str">
        <f>"PARVATHANENI"</f>
        <v>PARVATHANENI</v>
      </c>
      <c r="AV20" t="str">
        <f>"D. CHAND"</f>
        <v>D. CHAND</v>
      </c>
      <c r="AW20" t="str">
        <f>""</f>
        <v/>
      </c>
      <c r="AX20" t="str">
        <f>"3010 LBJ Freeway"</f>
        <v>3010 LBJ Freeway</v>
      </c>
      <c r="AY20" t="str">
        <f>"Suite#130"</f>
        <v>Suite#130</v>
      </c>
      <c r="AZ20" t="str">
        <f>"Dallas"</f>
        <v>Dallas</v>
      </c>
      <c r="BA20" t="str">
        <f>"TX"</f>
        <v>TX</v>
      </c>
      <c r="BB20" s="3">
        <v>75234</v>
      </c>
      <c r="BC20" t="str">
        <f>"UNITED STATES OF AMERICA"</f>
        <v>UNITED STATES OF AMERICA</v>
      </c>
      <c r="BD20" t="str">
        <f>""</f>
        <v/>
      </c>
      <c r="BE20" t="str">
        <f>"+19723751000"</f>
        <v>+19723751000</v>
      </c>
      <c r="BF20" t="str">
        <f>""</f>
        <v/>
      </c>
      <c r="BG20" t="str">
        <f>"chand@spblawfirm.com"</f>
        <v>chand@spblawfirm.com</v>
      </c>
      <c r="BH20" t="str">
        <f>"THE LAW FIRM OF SIM, PARVATHANENI AND BROWN PLLC"</f>
        <v>THE LAW FIRM OF SIM, PARVATHANENI AND BROWN PLLC</v>
      </c>
      <c r="BI20" t="str">
        <f>"TX"</f>
        <v>TX</v>
      </c>
      <c r="BJ20" t="str">
        <f>"SUPREME COURT OF TEXAS"</f>
        <v>SUPREME COURT OF TEXAS</v>
      </c>
      <c r="BK20">
        <v>1</v>
      </c>
      <c r="BL20" t="s">
        <v>107</v>
      </c>
      <c r="BM20" t="str">
        <f>"Epson America Inc"</f>
        <v>Epson America Inc</v>
      </c>
      <c r="BN20" t="s">
        <v>4616</v>
      </c>
      <c r="BP20" t="s">
        <v>4617</v>
      </c>
      <c r="BQ20" t="s">
        <v>377</v>
      </c>
      <c r="BR20" t="s">
        <v>141</v>
      </c>
      <c r="BS20" s="5">
        <v>90720</v>
      </c>
      <c r="BT20" s="2">
        <v>99632</v>
      </c>
      <c r="BV20" t="s">
        <v>105</v>
      </c>
      <c r="BW20" s="2">
        <v>99632</v>
      </c>
      <c r="BX20" t="s">
        <v>105</v>
      </c>
      <c r="BZ20" t="s">
        <v>167</v>
      </c>
      <c r="CA20" t="str">
        <f t="shared" si="0"/>
        <v>7/1/2020 - 6/30/2021</v>
      </c>
      <c r="CF20">
        <v>1</v>
      </c>
      <c r="CG20" t="s">
        <v>98</v>
      </c>
      <c r="CH20" t="s">
        <v>98</v>
      </c>
      <c r="CI20" t="s">
        <v>206</v>
      </c>
      <c r="CJ20" t="s">
        <v>98</v>
      </c>
      <c r="CK20" t="s">
        <v>12323</v>
      </c>
      <c r="CL20" t="s">
        <v>108</v>
      </c>
      <c r="CM20" t="s">
        <v>109</v>
      </c>
      <c r="CN20" t="str">
        <f>""</f>
        <v/>
      </c>
      <c r="CO20" t="str">
        <f>""</f>
        <v/>
      </c>
      <c r="CP20" t="str">
        <f>""</f>
        <v/>
      </c>
      <c r="CQ20" t="str">
        <f>""</f>
        <v/>
      </c>
    </row>
    <row r="21" spans="1:96" x14ac:dyDescent="0.2">
      <c r="A21" t="s">
        <v>4951</v>
      </c>
      <c r="B21" t="s">
        <v>96</v>
      </c>
      <c r="C21" s="1">
        <v>44098</v>
      </c>
      <c r="D21" s="1">
        <v>44105</v>
      </c>
      <c r="F21" t="s">
        <v>97</v>
      </c>
      <c r="G21" t="str">
        <f>"SENIOR SOFTWARE ENGINEER"</f>
        <v>SENIOR SOFTWARE ENGINEER</v>
      </c>
      <c r="H21" t="s">
        <v>12169</v>
      </c>
      <c r="I21" t="s">
        <v>124</v>
      </c>
      <c r="J21" t="s">
        <v>98</v>
      </c>
      <c r="K21" s="1">
        <v>44269</v>
      </c>
      <c r="L21" s="1">
        <v>45364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 t="s">
        <v>2815</v>
      </c>
      <c r="U21" t="str">
        <f>""</f>
        <v/>
      </c>
      <c r="V21" t="s">
        <v>2816</v>
      </c>
      <c r="W21" t="str">
        <f>"SUITE 550"</f>
        <v>SUITE 550</v>
      </c>
      <c r="X21" t="s">
        <v>980</v>
      </c>
      <c r="Y21" t="s">
        <v>114</v>
      </c>
      <c r="Z21" s="3">
        <v>75093</v>
      </c>
      <c r="AA21" t="s">
        <v>101</v>
      </c>
      <c r="AB21" t="s">
        <v>108</v>
      </c>
      <c r="AC21" s="4" t="str">
        <f>"+19727551817"</f>
        <v>+19727551817</v>
      </c>
      <c r="AE21" t="str">
        <f t="shared" si="1"/>
        <v>541511</v>
      </c>
      <c r="AF21" t="s">
        <v>2817</v>
      </c>
      <c r="AG21" t="s">
        <v>2818</v>
      </c>
      <c r="AH21" t="s">
        <v>2819</v>
      </c>
      <c r="AI21" t="s">
        <v>2820</v>
      </c>
      <c r="AJ21" t="s">
        <v>2816</v>
      </c>
      <c r="AK21" t="str">
        <f>"SUITE 550"</f>
        <v>SUITE 550</v>
      </c>
      <c r="AL21" t="s">
        <v>980</v>
      </c>
      <c r="AM21" t="s">
        <v>114</v>
      </c>
      <c r="AN21" s="3">
        <v>75093</v>
      </c>
      <c r="AO21" t="s">
        <v>101</v>
      </c>
      <c r="AQ21" t="str">
        <f>"+19727551817"</f>
        <v>+19727551817</v>
      </c>
      <c r="AS21" t="s">
        <v>2821</v>
      </c>
      <c r="AT21" t="s">
        <v>102</v>
      </c>
      <c r="AU21" t="str">
        <f>""</f>
        <v/>
      </c>
      <c r="AV21" t="str">
        <f>""</f>
        <v/>
      </c>
      <c r="AW21" t="str">
        <f>""</f>
        <v/>
      </c>
      <c r="AX21" t="str">
        <f>""</f>
        <v/>
      </c>
      <c r="AY21" t="str">
        <f>""</f>
        <v/>
      </c>
      <c r="AZ21" t="str">
        <f>""</f>
        <v/>
      </c>
      <c r="BA21" t="str">
        <f>""</f>
        <v/>
      </c>
      <c r="BC21" t="str">
        <f>""</f>
        <v/>
      </c>
      <c r="BD21" t="str">
        <f>""</f>
        <v/>
      </c>
      <c r="BE21" t="str">
        <f>""</f>
        <v/>
      </c>
      <c r="BF21" t="str">
        <f>""</f>
        <v/>
      </c>
      <c r="BG21" t="str">
        <f>""</f>
        <v/>
      </c>
      <c r="BH21" t="str">
        <f>""</f>
        <v/>
      </c>
      <c r="BI21" t="str">
        <f>""</f>
        <v/>
      </c>
      <c r="BJ21" t="str">
        <f>""</f>
        <v/>
      </c>
      <c r="BK21">
        <v>1</v>
      </c>
      <c r="BL21" t="s">
        <v>102</v>
      </c>
      <c r="BM21" t="str">
        <f>""</f>
        <v/>
      </c>
      <c r="BN21" t="s">
        <v>4952</v>
      </c>
      <c r="BP21" t="s">
        <v>4953</v>
      </c>
      <c r="BQ21" t="s">
        <v>1238</v>
      </c>
      <c r="BR21" t="s">
        <v>127</v>
      </c>
      <c r="BS21" s="5">
        <v>19341</v>
      </c>
      <c r="BT21" s="2">
        <v>130000</v>
      </c>
      <c r="BV21" t="s">
        <v>105</v>
      </c>
      <c r="BW21" s="2">
        <v>121909</v>
      </c>
      <c r="BX21" t="s">
        <v>105</v>
      </c>
      <c r="BZ21" t="s">
        <v>159</v>
      </c>
      <c r="CA21" t="str">
        <f t="shared" si="0"/>
        <v>7/1/2020 - 6/30/2021</v>
      </c>
      <c r="CF21">
        <v>1</v>
      </c>
      <c r="CG21" t="s">
        <v>98</v>
      </c>
      <c r="CH21" t="s">
        <v>98</v>
      </c>
      <c r="CI21" t="s">
        <v>206</v>
      </c>
      <c r="CJ21" t="s">
        <v>98</v>
      </c>
      <c r="CK21" t="s">
        <v>12323</v>
      </c>
      <c r="CL21" t="s">
        <v>108</v>
      </c>
      <c r="CM21" t="s">
        <v>109</v>
      </c>
      <c r="CN21" t="str">
        <f>""</f>
        <v/>
      </c>
      <c r="CO21" t="str">
        <f>""</f>
        <v/>
      </c>
      <c r="CP21" t="str">
        <f>""</f>
        <v/>
      </c>
      <c r="CQ21" t="str">
        <f>""</f>
        <v/>
      </c>
    </row>
    <row r="22" spans="1:96" x14ac:dyDescent="0.2">
      <c r="A22" t="s">
        <v>5112</v>
      </c>
      <c r="B22" t="s">
        <v>96</v>
      </c>
      <c r="C22" s="1">
        <v>44098</v>
      </c>
      <c r="D22" s="1">
        <v>44105</v>
      </c>
      <c r="F22" t="s">
        <v>97</v>
      </c>
      <c r="G22" t="str">
        <f>"SOFTWARE ENGINEER"</f>
        <v>SOFTWARE ENGINEER</v>
      </c>
      <c r="H22" t="s">
        <v>12169</v>
      </c>
      <c r="I22" t="s">
        <v>124</v>
      </c>
      <c r="J22" t="s">
        <v>98</v>
      </c>
      <c r="K22" s="1">
        <v>44102</v>
      </c>
      <c r="L22" s="1">
        <v>45196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 t="s">
        <v>5113</v>
      </c>
      <c r="U22" t="str">
        <f>""</f>
        <v/>
      </c>
      <c r="V22" t="s">
        <v>5114</v>
      </c>
      <c r="W22" t="str">
        <f>"SUITE 505N"</f>
        <v>SUITE 505N</v>
      </c>
      <c r="X22" t="s">
        <v>2541</v>
      </c>
      <c r="Y22" t="s">
        <v>934</v>
      </c>
      <c r="Z22" s="3">
        <v>68102</v>
      </c>
      <c r="AA22" t="s">
        <v>101</v>
      </c>
      <c r="AC22" s="4" t="str">
        <f>"+14023445739"</f>
        <v>+14023445739</v>
      </c>
      <c r="AE22" t="str">
        <f t="shared" si="1"/>
        <v>541511</v>
      </c>
      <c r="AF22" t="s">
        <v>2542</v>
      </c>
      <c r="AG22" t="s">
        <v>2543</v>
      </c>
      <c r="AH22" t="s">
        <v>901</v>
      </c>
      <c r="AI22" t="s">
        <v>2544</v>
      </c>
      <c r="AJ22" t="s">
        <v>2545</v>
      </c>
      <c r="AK22" t="str">
        <f>"SUITE 118"</f>
        <v>SUITE 118</v>
      </c>
      <c r="AL22" t="s">
        <v>1631</v>
      </c>
      <c r="AM22" t="s">
        <v>814</v>
      </c>
      <c r="AN22" s="3">
        <v>97008</v>
      </c>
      <c r="AO22" t="s">
        <v>101</v>
      </c>
      <c r="AQ22" t="str">
        <f>"+19713170718"</f>
        <v>+19713170718</v>
      </c>
      <c r="AS22" t="s">
        <v>5115</v>
      </c>
      <c r="AT22" t="s">
        <v>102</v>
      </c>
      <c r="AU22" t="str">
        <f>""</f>
        <v/>
      </c>
      <c r="AV22" t="str">
        <f>""</f>
        <v/>
      </c>
      <c r="AW22" t="str">
        <f>""</f>
        <v/>
      </c>
      <c r="AX22" t="str">
        <f>""</f>
        <v/>
      </c>
      <c r="AY22" t="str">
        <f>""</f>
        <v/>
      </c>
      <c r="AZ22" t="str">
        <f>""</f>
        <v/>
      </c>
      <c r="BA22" t="str">
        <f>""</f>
        <v/>
      </c>
      <c r="BC22" t="str">
        <f>""</f>
        <v/>
      </c>
      <c r="BD22" t="str">
        <f>""</f>
        <v/>
      </c>
      <c r="BE22" t="str">
        <f>""</f>
        <v/>
      </c>
      <c r="BF22" t="str">
        <f>""</f>
        <v/>
      </c>
      <c r="BG22" t="str">
        <f>""</f>
        <v/>
      </c>
      <c r="BH22" t="str">
        <f>""</f>
        <v/>
      </c>
      <c r="BI22" t="str">
        <f>""</f>
        <v/>
      </c>
      <c r="BJ22" t="str">
        <f>""</f>
        <v/>
      </c>
      <c r="BK22">
        <v>1</v>
      </c>
      <c r="BL22" t="s">
        <v>102</v>
      </c>
      <c r="BM22" t="str">
        <f>""</f>
        <v/>
      </c>
      <c r="BN22" t="s">
        <v>5116</v>
      </c>
      <c r="BP22" t="s">
        <v>4524</v>
      </c>
      <c r="BQ22" t="s">
        <v>104</v>
      </c>
      <c r="BR22" t="s">
        <v>100</v>
      </c>
      <c r="BS22" s="5">
        <v>7001</v>
      </c>
      <c r="BT22" s="2">
        <v>143936</v>
      </c>
      <c r="BU22" s="2">
        <v>153000</v>
      </c>
      <c r="BV22" t="s">
        <v>105</v>
      </c>
      <c r="BW22" s="2">
        <v>143936</v>
      </c>
      <c r="BX22" t="s">
        <v>105</v>
      </c>
      <c r="BZ22" t="s">
        <v>159</v>
      </c>
      <c r="CA22" t="str">
        <f t="shared" si="0"/>
        <v>7/1/2020 - 6/30/2021</v>
      </c>
      <c r="CF22">
        <v>1</v>
      </c>
      <c r="CG22" t="s">
        <v>98</v>
      </c>
      <c r="CH22" t="s">
        <v>98</v>
      </c>
      <c r="CI22" t="s">
        <v>206</v>
      </c>
      <c r="CJ22" t="s">
        <v>98</v>
      </c>
      <c r="CK22" t="s">
        <v>12323</v>
      </c>
      <c r="CL22" t="s">
        <v>108</v>
      </c>
      <c r="CM22" t="s">
        <v>109</v>
      </c>
      <c r="CN22" t="str">
        <f>"PORTER"</f>
        <v>PORTER</v>
      </c>
      <c r="CO22" t="str">
        <f>"LUCHI"</f>
        <v>LUCHI</v>
      </c>
      <c r="CP22" t="str">
        <f>"S"</f>
        <v>S</v>
      </c>
      <c r="CQ22" t="str">
        <f>"PROKARMA, INC."</f>
        <v>PROKARMA, INC.</v>
      </c>
      <c r="CR22" t="s">
        <v>5117</v>
      </c>
    </row>
    <row r="23" spans="1:96" x14ac:dyDescent="0.2">
      <c r="A23" t="s">
        <v>5431</v>
      </c>
      <c r="B23" t="s">
        <v>96</v>
      </c>
      <c r="C23" s="1">
        <v>44098</v>
      </c>
      <c r="D23" s="1">
        <v>44105</v>
      </c>
      <c r="F23" t="s">
        <v>97</v>
      </c>
      <c r="G23" t="str">
        <f>"PRPC ENGINEER 2"</f>
        <v>PRPC ENGINEER 2</v>
      </c>
      <c r="H23" t="s">
        <v>12168</v>
      </c>
      <c r="I23" t="s">
        <v>160</v>
      </c>
      <c r="J23" t="s">
        <v>98</v>
      </c>
      <c r="K23" s="1">
        <v>44105</v>
      </c>
      <c r="L23" s="1">
        <v>45199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511</v>
      </c>
      <c r="U23" t="str">
        <f>""</f>
        <v/>
      </c>
      <c r="V23" t="s">
        <v>518</v>
      </c>
      <c r="W23" t="str">
        <f>"STE. 300"</f>
        <v>STE. 300</v>
      </c>
      <c r="X23" t="s">
        <v>519</v>
      </c>
      <c r="Y23" t="s">
        <v>171</v>
      </c>
      <c r="Z23" s="3">
        <v>1772</v>
      </c>
      <c r="AA23" t="s">
        <v>101</v>
      </c>
      <c r="AC23" s="4" t="str">
        <f>"+15083897451"</f>
        <v>+15083897451</v>
      </c>
      <c r="AE23" t="str">
        <f t="shared" si="1"/>
        <v>541511</v>
      </c>
      <c r="AF23" t="s">
        <v>515</v>
      </c>
      <c r="AG23" t="s">
        <v>516</v>
      </c>
      <c r="AI23" t="s">
        <v>517</v>
      </c>
      <c r="AJ23" t="s">
        <v>2797</v>
      </c>
      <c r="AK23" t="str">
        <f>"STE. 300"</f>
        <v>STE. 300</v>
      </c>
      <c r="AL23" t="s">
        <v>519</v>
      </c>
      <c r="AM23" t="s">
        <v>171</v>
      </c>
      <c r="AN23" s="3">
        <v>1772</v>
      </c>
      <c r="AO23" t="s">
        <v>101</v>
      </c>
      <c r="AQ23" t="str">
        <f>"+15083497451"</f>
        <v>+15083497451</v>
      </c>
      <c r="AS23" t="s">
        <v>520</v>
      </c>
      <c r="AT23" t="s">
        <v>107</v>
      </c>
      <c r="AU23" t="str">
        <f>"CARTER"</f>
        <v>CARTER</v>
      </c>
      <c r="AV23" t="str">
        <f>"KIRK"</f>
        <v>KIRK</v>
      </c>
      <c r="AW23" t="str">
        <f>"A."</f>
        <v>A.</v>
      </c>
      <c r="AX23" t="str">
        <f>"161 WORCESTER RD."</f>
        <v>161 WORCESTER RD.</v>
      </c>
      <c r="AY23" t="str">
        <f>"STE. 501"</f>
        <v>STE. 501</v>
      </c>
      <c r="AZ23" t="str">
        <f>"FRAMINGHAM"</f>
        <v>FRAMINGHAM</v>
      </c>
      <c r="BA23" t="str">
        <f>"MA"</f>
        <v>MA</v>
      </c>
      <c r="BB23" s="3">
        <v>1701</v>
      </c>
      <c r="BC23" t="str">
        <f>"UNITED STATES OF AMERICA"</f>
        <v>UNITED STATES OF AMERICA</v>
      </c>
      <c r="BD23" t="str">
        <f>""</f>
        <v/>
      </c>
      <c r="BE23" t="str">
        <f>"+15085323514"</f>
        <v>+15085323514</v>
      </c>
      <c r="BF23" t="str">
        <f>""</f>
        <v/>
      </c>
      <c r="BG23" t="str">
        <f>"CRUSSO@FLETCHERTILTON.COM"</f>
        <v>CRUSSO@FLETCHERTILTON.COM</v>
      </c>
      <c r="BH23" t="str">
        <f>"FLETCHER TILTON, P.C."</f>
        <v>FLETCHER TILTON, P.C.</v>
      </c>
      <c r="BI23" t="str">
        <f>"MA"</f>
        <v>MA</v>
      </c>
      <c r="BJ23" t="str">
        <f>"SUPREME JUDICIAL COURT"</f>
        <v>SUPREME JUDICIAL COURT</v>
      </c>
      <c r="BK23">
        <v>1</v>
      </c>
      <c r="BL23" t="s">
        <v>107</v>
      </c>
      <c r="BM23" t="str">
        <f>"Verizon Sourcing, LLC"</f>
        <v>Verizon Sourcing, LLC</v>
      </c>
      <c r="BN23" t="s">
        <v>5432</v>
      </c>
      <c r="BP23" t="s">
        <v>847</v>
      </c>
      <c r="BQ23" t="s">
        <v>214</v>
      </c>
      <c r="BR23" t="s">
        <v>215</v>
      </c>
      <c r="BS23" s="5">
        <v>30022</v>
      </c>
      <c r="BT23" s="2">
        <v>110000</v>
      </c>
      <c r="BV23" t="s">
        <v>105</v>
      </c>
      <c r="BW23" s="2">
        <v>74006</v>
      </c>
      <c r="BX23" t="s">
        <v>105</v>
      </c>
      <c r="BZ23" t="s">
        <v>167</v>
      </c>
      <c r="CA23" t="str">
        <f t="shared" si="0"/>
        <v>7/1/2020 - 6/30/2021</v>
      </c>
      <c r="CF23">
        <v>1</v>
      </c>
      <c r="CG23" t="s">
        <v>98</v>
      </c>
      <c r="CH23" t="s">
        <v>98</v>
      </c>
      <c r="CI23" t="s">
        <v>206</v>
      </c>
      <c r="CJ23" t="s">
        <v>98</v>
      </c>
      <c r="CK23" t="s">
        <v>12323</v>
      </c>
      <c r="CL23" t="s">
        <v>108</v>
      </c>
      <c r="CM23" t="s">
        <v>109</v>
      </c>
      <c r="CN23" t="str">
        <f>""</f>
        <v/>
      </c>
      <c r="CO23" t="str">
        <f>""</f>
        <v/>
      </c>
      <c r="CP23" t="str">
        <f>""</f>
        <v/>
      </c>
      <c r="CQ23" t="str">
        <f>""</f>
        <v/>
      </c>
    </row>
    <row r="24" spans="1:96" x14ac:dyDescent="0.2">
      <c r="A24" t="s">
        <v>5506</v>
      </c>
      <c r="B24" t="s">
        <v>96</v>
      </c>
      <c r="C24" s="1">
        <v>44098</v>
      </c>
      <c r="D24" s="1">
        <v>44105</v>
      </c>
      <c r="F24" t="s">
        <v>97</v>
      </c>
      <c r="G24" t="str">
        <f>"MTS 2, Software Engineer"</f>
        <v>MTS 2, Software Engineer</v>
      </c>
      <c r="H24" t="s">
        <v>12169</v>
      </c>
      <c r="I24" t="s">
        <v>124</v>
      </c>
      <c r="J24" t="s">
        <v>98</v>
      </c>
      <c r="K24" s="1">
        <v>44276</v>
      </c>
      <c r="L24" s="1">
        <v>45371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1266</v>
      </c>
      <c r="U24" t="str">
        <f>""</f>
        <v/>
      </c>
      <c r="V24" t="s">
        <v>1267</v>
      </c>
      <c r="W24" t="str">
        <f>"N/A"</f>
        <v>N/A</v>
      </c>
      <c r="X24" t="s">
        <v>585</v>
      </c>
      <c r="Y24" t="s">
        <v>141</v>
      </c>
      <c r="Z24" s="3">
        <v>95125</v>
      </c>
      <c r="AA24" t="s">
        <v>101</v>
      </c>
      <c r="AB24" t="s">
        <v>108</v>
      </c>
      <c r="AC24" s="4" t="str">
        <f>"+14083768590"</f>
        <v>+14083768590</v>
      </c>
      <c r="AD24">
        <v>0</v>
      </c>
      <c r="AE24" t="str">
        <f>"454110"</f>
        <v>454110</v>
      </c>
      <c r="AF24" t="s">
        <v>1268</v>
      </c>
      <c r="AG24" t="s">
        <v>1269</v>
      </c>
      <c r="AI24" t="s">
        <v>254</v>
      </c>
      <c r="AJ24" t="s">
        <v>1267</v>
      </c>
      <c r="AK24" t="str">
        <f>""</f>
        <v/>
      </c>
      <c r="AL24" t="s">
        <v>585</v>
      </c>
      <c r="AM24" t="s">
        <v>141</v>
      </c>
      <c r="AN24" s="3">
        <v>95125</v>
      </c>
      <c r="AO24" t="s">
        <v>101</v>
      </c>
      <c r="AQ24" t="str">
        <f>"+14083768590"</f>
        <v>+14083768590</v>
      </c>
      <c r="AR24">
        <v>0</v>
      </c>
      <c r="AS24" t="s">
        <v>1270</v>
      </c>
      <c r="AT24" t="s">
        <v>107</v>
      </c>
      <c r="AU24" t="str">
        <f>"DeCruz"</f>
        <v>DeCruz</v>
      </c>
      <c r="AV24" t="str">
        <f>"Jeffrey"</f>
        <v>Jeffrey</v>
      </c>
      <c r="AW24" t="str">
        <f>"M."</f>
        <v>M.</v>
      </c>
      <c r="AX24" t="str">
        <f>"2101 Wilson Blvd."</f>
        <v>2101 Wilson Blvd.</v>
      </c>
      <c r="AY24" t="str">
        <f>"Suite 1100"</f>
        <v>Suite 1100</v>
      </c>
      <c r="AZ24" t="str">
        <f>"Arlington"</f>
        <v>Arlington</v>
      </c>
      <c r="BA24" t="str">
        <f>"VA"</f>
        <v>VA</v>
      </c>
      <c r="BB24" s="3">
        <v>22201</v>
      </c>
      <c r="BC24" t="str">
        <f>"UNITED STATES OF AMERICA"</f>
        <v>UNITED STATES OF AMERICA</v>
      </c>
      <c r="BD24" t="str">
        <f>""</f>
        <v/>
      </c>
      <c r="BE24" t="str">
        <f>"+17036784000"</f>
        <v>+17036784000</v>
      </c>
      <c r="BF24" t="str">
        <f>""</f>
        <v/>
      </c>
      <c r="BG24" t="str">
        <f>"Jeff.decruz@eiglaw.com"</f>
        <v>Jeff.decruz@eiglaw.com</v>
      </c>
      <c r="BH24" t="str">
        <f>"Erickson Immigration Group"</f>
        <v>Erickson Immigration Group</v>
      </c>
      <c r="BI24" t="str">
        <f>"NY"</f>
        <v>NY</v>
      </c>
      <c r="BJ24" t="str">
        <f>"New York Court of Appeals"</f>
        <v>New York Court of Appeals</v>
      </c>
      <c r="BK24">
        <v>1</v>
      </c>
      <c r="BL24" t="s">
        <v>102</v>
      </c>
      <c r="BM24" t="str">
        <f>""</f>
        <v/>
      </c>
      <c r="BN24" t="s">
        <v>1267</v>
      </c>
      <c r="BP24" t="s">
        <v>585</v>
      </c>
      <c r="BQ24" t="s">
        <v>230</v>
      </c>
      <c r="BR24" t="s">
        <v>141</v>
      </c>
      <c r="BS24" s="5">
        <v>95125</v>
      </c>
      <c r="BT24" s="2">
        <v>202288.26</v>
      </c>
      <c r="BV24" t="s">
        <v>105</v>
      </c>
      <c r="BW24" s="2">
        <v>170872</v>
      </c>
      <c r="BX24" t="s">
        <v>105</v>
      </c>
      <c r="BZ24" t="s">
        <v>159</v>
      </c>
      <c r="CA24" t="str">
        <f t="shared" si="0"/>
        <v>7/1/2020 - 6/30/2021</v>
      </c>
      <c r="CF24">
        <v>2</v>
      </c>
      <c r="CG24" t="s">
        <v>98</v>
      </c>
      <c r="CH24" t="s">
        <v>98</v>
      </c>
      <c r="CI24" t="s">
        <v>206</v>
      </c>
      <c r="CJ24" t="s">
        <v>98</v>
      </c>
      <c r="CK24" t="s">
        <v>12323</v>
      </c>
      <c r="CL24" t="s">
        <v>108</v>
      </c>
      <c r="CM24" t="s">
        <v>109</v>
      </c>
      <c r="CN24" t="str">
        <f>"Jose"</f>
        <v>Jose</v>
      </c>
      <c r="CO24" t="str">
        <f>"Daniel"</f>
        <v>Daniel</v>
      </c>
      <c r="CP24" t="str">
        <f>""</f>
        <v/>
      </c>
      <c r="CQ24" t="str">
        <f>"Erickson Immigration Group"</f>
        <v>Erickson Immigration Group</v>
      </c>
      <c r="CR24" t="s">
        <v>2055</v>
      </c>
    </row>
    <row r="25" spans="1:96" x14ac:dyDescent="0.2">
      <c r="A25" t="s">
        <v>5591</v>
      </c>
      <c r="B25" t="s">
        <v>96</v>
      </c>
      <c r="C25" s="1">
        <v>44098</v>
      </c>
      <c r="D25" s="1">
        <v>44105</v>
      </c>
      <c r="F25" t="s">
        <v>97</v>
      </c>
      <c r="G25" t="str">
        <f>"Software Engineer"</f>
        <v>Software Engineer</v>
      </c>
      <c r="H25" t="s">
        <v>12169</v>
      </c>
      <c r="I25" t="s">
        <v>124</v>
      </c>
      <c r="J25" t="s">
        <v>98</v>
      </c>
      <c r="K25" s="1">
        <v>44197</v>
      </c>
      <c r="L25" s="1">
        <v>45292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 t="s">
        <v>5592</v>
      </c>
      <c r="U25" t="str">
        <f>""</f>
        <v/>
      </c>
      <c r="V25" t="s">
        <v>5593</v>
      </c>
      <c r="W25" t="str">
        <f>"Suite 912"</f>
        <v>Suite 912</v>
      </c>
      <c r="X25" t="s">
        <v>2307</v>
      </c>
      <c r="Y25" t="s">
        <v>195</v>
      </c>
      <c r="Z25" s="3">
        <v>20814</v>
      </c>
      <c r="AA25" t="s">
        <v>101</v>
      </c>
      <c r="AC25" s="4" t="str">
        <f>"+13016528095"</f>
        <v>+13016528095</v>
      </c>
      <c r="AE25" t="str">
        <f>"541511"</f>
        <v>541511</v>
      </c>
      <c r="AF25" t="s">
        <v>5594</v>
      </c>
      <c r="AG25" t="s">
        <v>5595</v>
      </c>
      <c r="AH25" t="s">
        <v>1245</v>
      </c>
      <c r="AI25" t="s">
        <v>508</v>
      </c>
      <c r="AJ25" t="s">
        <v>5593</v>
      </c>
      <c r="AK25" t="str">
        <f>"Suite 912"</f>
        <v>Suite 912</v>
      </c>
      <c r="AL25" t="s">
        <v>2307</v>
      </c>
      <c r="AM25" t="s">
        <v>195</v>
      </c>
      <c r="AN25" s="3">
        <v>20814</v>
      </c>
      <c r="AO25" t="s">
        <v>101</v>
      </c>
      <c r="AQ25" t="str">
        <f>"+13016528095"</f>
        <v>+13016528095</v>
      </c>
      <c r="AS25" t="s">
        <v>5596</v>
      </c>
      <c r="AT25" t="s">
        <v>107</v>
      </c>
      <c r="AU25" t="str">
        <f>"Chugh"</f>
        <v>Chugh</v>
      </c>
      <c r="AV25" t="str">
        <f>"Navneet"</f>
        <v>Navneet</v>
      </c>
      <c r="AW25" t="str">
        <f>"Singh"</f>
        <v>Singh</v>
      </c>
      <c r="AX25" t="str">
        <f>"15925 Carmenita Road"</f>
        <v>15925 Carmenita Road</v>
      </c>
      <c r="AY25" t="str">
        <f>""</f>
        <v/>
      </c>
      <c r="AZ25" t="str">
        <f>"Cerritos"</f>
        <v>Cerritos</v>
      </c>
      <c r="BA25" t="str">
        <f>"CA"</f>
        <v>CA</v>
      </c>
      <c r="BB25" s="3">
        <v>90703</v>
      </c>
      <c r="BC25" t="str">
        <f>"UNITED STATES OF AMERICA"</f>
        <v>UNITED STATES OF AMERICA</v>
      </c>
      <c r="BD25" t="str">
        <f>""</f>
        <v/>
      </c>
      <c r="BE25" t="str">
        <f>"+15622291220"</f>
        <v>+15622291220</v>
      </c>
      <c r="BF25" t="str">
        <f>""</f>
        <v/>
      </c>
      <c r="BG25" t="str">
        <f>"hugo.cobian@chugh.com"</f>
        <v>hugo.cobian@chugh.com</v>
      </c>
      <c r="BH25" t="str">
        <f>"Chugh, LLP"</f>
        <v>Chugh, LLP</v>
      </c>
      <c r="BI25" t="str">
        <f>"CA"</f>
        <v>CA</v>
      </c>
      <c r="BJ25" t="str">
        <f>"Supreme Court"</f>
        <v>Supreme Court</v>
      </c>
      <c r="BK25">
        <v>1</v>
      </c>
      <c r="BL25" t="s">
        <v>107</v>
      </c>
      <c r="BM25" t="str">
        <f>"National Institute of Health - NIH"</f>
        <v>National Institute of Health - NIH</v>
      </c>
      <c r="BN25" t="s">
        <v>5597</v>
      </c>
      <c r="BP25" t="s">
        <v>381</v>
      </c>
      <c r="BQ25" t="s">
        <v>529</v>
      </c>
      <c r="BR25" t="s">
        <v>195</v>
      </c>
      <c r="BS25" s="5">
        <v>20852</v>
      </c>
      <c r="BT25" s="2">
        <v>97406</v>
      </c>
      <c r="BV25" t="s">
        <v>105</v>
      </c>
      <c r="BW25" s="2">
        <v>97406</v>
      </c>
      <c r="BX25" t="s">
        <v>105</v>
      </c>
      <c r="BZ25" t="s">
        <v>167</v>
      </c>
      <c r="CA25" t="str">
        <f t="shared" si="0"/>
        <v>7/1/2020 - 6/30/2021</v>
      </c>
      <c r="CF25">
        <v>2</v>
      </c>
      <c r="CG25" t="s">
        <v>98</v>
      </c>
      <c r="CH25" t="s">
        <v>98</v>
      </c>
      <c r="CI25" t="s">
        <v>206</v>
      </c>
      <c r="CJ25" t="s">
        <v>98</v>
      </c>
      <c r="CK25" t="s">
        <v>12323</v>
      </c>
      <c r="CL25" t="s">
        <v>108</v>
      </c>
      <c r="CM25" t="s">
        <v>109</v>
      </c>
      <c r="CN25" t="str">
        <f>"Cobian"</f>
        <v>Cobian</v>
      </c>
      <c r="CO25" t="str">
        <f>"Hugo "</f>
        <v xml:space="preserve">Hugo </v>
      </c>
      <c r="CP25" t="str">
        <f>""</f>
        <v/>
      </c>
      <c r="CQ25" t="str">
        <f>"Chugh, LLP"</f>
        <v>Chugh, LLP</v>
      </c>
      <c r="CR25" t="s">
        <v>4523</v>
      </c>
    </row>
    <row r="26" spans="1:96" x14ac:dyDescent="0.2">
      <c r="A26" t="s">
        <v>5618</v>
      </c>
      <c r="B26" t="s">
        <v>96</v>
      </c>
      <c r="C26" s="1">
        <v>44098</v>
      </c>
      <c r="D26" s="1">
        <v>44105</v>
      </c>
      <c r="F26" t="s">
        <v>97</v>
      </c>
      <c r="G26" t="str">
        <f>"Senior Systems Analyst JC60"</f>
        <v>Senior Systems Analyst JC60</v>
      </c>
      <c r="H26" t="s">
        <v>12181</v>
      </c>
      <c r="I26" t="s">
        <v>110</v>
      </c>
      <c r="J26" t="s">
        <v>98</v>
      </c>
      <c r="K26" s="1">
        <v>44106</v>
      </c>
      <c r="L26" s="1">
        <v>45200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 t="s">
        <v>111</v>
      </c>
      <c r="U26" t="str">
        <f>"CTSUS"</f>
        <v>CTSUS</v>
      </c>
      <c r="V26" t="s">
        <v>112</v>
      </c>
      <c r="W26" t="str">
        <f>""</f>
        <v/>
      </c>
      <c r="X26" t="s">
        <v>113</v>
      </c>
      <c r="Y26" t="s">
        <v>114</v>
      </c>
      <c r="Z26" s="3">
        <v>77845</v>
      </c>
      <c r="AA26" t="s">
        <v>101</v>
      </c>
      <c r="AB26" t="s">
        <v>114</v>
      </c>
      <c r="AC26" s="4" t="str">
        <f>"+19793296682"</f>
        <v>+19793296682</v>
      </c>
      <c r="AE26" t="str">
        <f>"541512"</f>
        <v>541512</v>
      </c>
      <c r="AF26" t="s">
        <v>115</v>
      </c>
      <c r="AG26" t="s">
        <v>116</v>
      </c>
      <c r="AH26" t="s">
        <v>108</v>
      </c>
      <c r="AI26" t="s">
        <v>117</v>
      </c>
      <c r="AJ26" t="s">
        <v>118</v>
      </c>
      <c r="AK26" t="str">
        <f>""</f>
        <v/>
      </c>
      <c r="AL26" t="s">
        <v>119</v>
      </c>
      <c r="AM26" t="s">
        <v>114</v>
      </c>
      <c r="AN26" s="3">
        <v>77845</v>
      </c>
      <c r="AO26" t="s">
        <v>101</v>
      </c>
      <c r="AQ26" t="str">
        <f>"+19793296682"</f>
        <v>+19793296682</v>
      </c>
      <c r="AS26" t="s">
        <v>120</v>
      </c>
      <c r="AT26" t="s">
        <v>102</v>
      </c>
      <c r="AU26" t="str">
        <f>""</f>
        <v/>
      </c>
      <c r="AV26" t="str">
        <f>""</f>
        <v/>
      </c>
      <c r="AW26" t="str">
        <f>""</f>
        <v/>
      </c>
      <c r="AX26" t="str">
        <f>""</f>
        <v/>
      </c>
      <c r="AY26" t="str">
        <f>""</f>
        <v/>
      </c>
      <c r="AZ26" t="str">
        <f>""</f>
        <v/>
      </c>
      <c r="BA26" t="str">
        <f>""</f>
        <v/>
      </c>
      <c r="BC26" t="str">
        <f>""</f>
        <v/>
      </c>
      <c r="BD26" t="str">
        <f>""</f>
        <v/>
      </c>
      <c r="BE26" t="str">
        <f>""</f>
        <v/>
      </c>
      <c r="BF26" t="str">
        <f>""</f>
        <v/>
      </c>
      <c r="BG26" t="str">
        <f>""</f>
        <v/>
      </c>
      <c r="BH26" t="str">
        <f>""</f>
        <v/>
      </c>
      <c r="BI26" t="str">
        <f>""</f>
        <v/>
      </c>
      <c r="BJ26" t="str">
        <f>""</f>
        <v/>
      </c>
      <c r="BK26">
        <v>1</v>
      </c>
      <c r="BL26" t="s">
        <v>102</v>
      </c>
      <c r="BM26" t="str">
        <f>""</f>
        <v/>
      </c>
      <c r="BN26" t="s">
        <v>5619</v>
      </c>
      <c r="BP26" t="s">
        <v>5246</v>
      </c>
      <c r="BQ26" t="s">
        <v>373</v>
      </c>
      <c r="BR26" t="s">
        <v>374</v>
      </c>
      <c r="BS26" s="5">
        <v>63368</v>
      </c>
      <c r="BT26" s="2">
        <v>75026</v>
      </c>
      <c r="BV26" t="s">
        <v>105</v>
      </c>
      <c r="BW26" s="2">
        <v>75026</v>
      </c>
      <c r="BX26" t="s">
        <v>105</v>
      </c>
      <c r="BZ26" t="s">
        <v>167</v>
      </c>
      <c r="CA26" t="str">
        <f t="shared" si="0"/>
        <v>7/1/2020 - 6/30/2021</v>
      </c>
      <c r="CF26">
        <v>1</v>
      </c>
      <c r="CG26" t="s">
        <v>98</v>
      </c>
      <c r="CH26" t="s">
        <v>98</v>
      </c>
      <c r="CI26" t="s">
        <v>206</v>
      </c>
      <c r="CJ26" t="s">
        <v>98</v>
      </c>
      <c r="CK26" t="s">
        <v>12323</v>
      </c>
      <c r="CL26" t="s">
        <v>108</v>
      </c>
      <c r="CM26" t="s">
        <v>109</v>
      </c>
      <c r="CN26" t="str">
        <f>""</f>
        <v/>
      </c>
      <c r="CO26" t="str">
        <f>""</f>
        <v/>
      </c>
      <c r="CP26" t="str">
        <f>""</f>
        <v/>
      </c>
      <c r="CQ26" t="str">
        <f>""</f>
        <v/>
      </c>
    </row>
    <row r="27" spans="1:96" x14ac:dyDescent="0.2">
      <c r="A27" t="s">
        <v>5739</v>
      </c>
      <c r="B27" t="s">
        <v>96</v>
      </c>
      <c r="C27" s="1">
        <v>44098</v>
      </c>
      <c r="D27" s="1">
        <v>44105</v>
      </c>
      <c r="F27" t="s">
        <v>97</v>
      </c>
      <c r="G27" t="str">
        <f>"Senior ASIC Design Engineer"</f>
        <v>Senior ASIC Design Engineer</v>
      </c>
      <c r="H27" t="s">
        <v>12186</v>
      </c>
      <c r="I27" t="s">
        <v>232</v>
      </c>
      <c r="J27" t="s">
        <v>98</v>
      </c>
      <c r="K27" s="1">
        <v>44109</v>
      </c>
      <c r="L27" s="1">
        <v>45203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4509</v>
      </c>
      <c r="U27" t="str">
        <f>""</f>
        <v/>
      </c>
      <c r="V27" t="s">
        <v>4510</v>
      </c>
      <c r="W27" t="str">
        <f>""</f>
        <v/>
      </c>
      <c r="X27" t="s">
        <v>247</v>
      </c>
      <c r="Y27" t="s">
        <v>141</v>
      </c>
      <c r="Z27" s="3">
        <v>95051</v>
      </c>
      <c r="AA27" t="s">
        <v>101</v>
      </c>
      <c r="AB27" t="s">
        <v>108</v>
      </c>
      <c r="AC27" s="4" t="str">
        <f>"+14084862000"</f>
        <v>+14084862000</v>
      </c>
      <c r="AE27" t="str">
        <f>"334111"</f>
        <v>334111</v>
      </c>
      <c r="AF27" t="s">
        <v>4511</v>
      </c>
      <c r="AG27" t="s">
        <v>4512</v>
      </c>
      <c r="AH27" t="s">
        <v>108</v>
      </c>
      <c r="AI27" t="s">
        <v>5740</v>
      </c>
      <c r="AJ27" t="s">
        <v>4510</v>
      </c>
      <c r="AK27" t="str">
        <f>"N/A"</f>
        <v>N/A</v>
      </c>
      <c r="AL27" t="s">
        <v>247</v>
      </c>
      <c r="AM27" t="s">
        <v>141</v>
      </c>
      <c r="AN27" s="3">
        <v>95051</v>
      </c>
      <c r="AO27" t="s">
        <v>101</v>
      </c>
      <c r="AQ27" t="str">
        <f>"+14084862000"</f>
        <v>+14084862000</v>
      </c>
      <c r="AS27" t="s">
        <v>4514</v>
      </c>
      <c r="AT27" t="s">
        <v>107</v>
      </c>
      <c r="AU27" t="str">
        <f>"Kim"</f>
        <v>Kim</v>
      </c>
      <c r="AV27" t="str">
        <f>"Aileen"</f>
        <v>Aileen</v>
      </c>
      <c r="AW27" t="str">
        <f>"N/A"</f>
        <v>N/A</v>
      </c>
      <c r="AX27" t="str">
        <f>"2121 Tasman Drive"</f>
        <v>2121 Tasman Drive</v>
      </c>
      <c r="AY27" t="str">
        <f>""</f>
        <v/>
      </c>
      <c r="AZ27" t="str">
        <f>"Santa Clara"</f>
        <v>Santa Clara</v>
      </c>
      <c r="BA27" t="str">
        <f>"CA"</f>
        <v>CA</v>
      </c>
      <c r="BB27" s="3">
        <v>95054</v>
      </c>
      <c r="BC27" t="str">
        <f>"UNITED STATES OF AMERICA"</f>
        <v>UNITED STATES OF AMERICA</v>
      </c>
      <c r="BD27" t="str">
        <f>"N/A"</f>
        <v>N/A</v>
      </c>
      <c r="BE27" t="str">
        <f>"+14089190600"</f>
        <v>+14089190600</v>
      </c>
      <c r="BF27" t="str">
        <f>""</f>
        <v/>
      </c>
      <c r="BG27" t="str">
        <f>"NVIDIA@Fragomen.com"</f>
        <v>NVIDIA@Fragomen.com</v>
      </c>
      <c r="BH27" t="str">
        <f>"Fragomen, Del Rey, Bernsen &amp; Loewy, LLP"</f>
        <v>Fragomen, Del Rey, Bernsen &amp; Loewy, LLP</v>
      </c>
      <c r="BI27" t="str">
        <f>"CA"</f>
        <v>CA</v>
      </c>
      <c r="BJ27" t="str">
        <f>"Supreme Court"</f>
        <v>Supreme Court</v>
      </c>
      <c r="BK27">
        <v>1</v>
      </c>
      <c r="BL27" t="s">
        <v>102</v>
      </c>
      <c r="BM27" t="str">
        <f>""</f>
        <v/>
      </c>
      <c r="BN27" t="s">
        <v>5741</v>
      </c>
      <c r="BO27" t="s">
        <v>5742</v>
      </c>
      <c r="BP27" t="s">
        <v>5641</v>
      </c>
      <c r="BQ27" t="s">
        <v>183</v>
      </c>
      <c r="BR27" t="s">
        <v>176</v>
      </c>
      <c r="BS27" s="5">
        <v>98075</v>
      </c>
      <c r="BT27" s="2">
        <v>170000</v>
      </c>
      <c r="BV27" t="s">
        <v>105</v>
      </c>
      <c r="BW27" s="2">
        <v>144061</v>
      </c>
      <c r="BX27" t="s">
        <v>105</v>
      </c>
      <c r="BZ27" t="s">
        <v>159</v>
      </c>
      <c r="CA27" t="str">
        <f t="shared" si="0"/>
        <v>7/1/2020 - 6/30/2021</v>
      </c>
      <c r="CF27">
        <v>1</v>
      </c>
      <c r="CG27" t="s">
        <v>98</v>
      </c>
      <c r="CH27" t="s">
        <v>98</v>
      </c>
      <c r="CI27" t="s">
        <v>206</v>
      </c>
      <c r="CJ27" t="s">
        <v>98</v>
      </c>
      <c r="CK27" t="s">
        <v>12323</v>
      </c>
      <c r="CL27" t="s">
        <v>108</v>
      </c>
      <c r="CM27" t="s">
        <v>109</v>
      </c>
      <c r="CN27" t="str">
        <f>"Murillo"</f>
        <v>Murillo</v>
      </c>
      <c r="CO27" t="str">
        <f>"Jessenia"</f>
        <v>Jessenia</v>
      </c>
      <c r="CP27" t="str">
        <f>""</f>
        <v/>
      </c>
      <c r="CQ27" t="str">
        <f>"Fragomen, Del Rey, Bernsen &amp; Loewy, LLP"</f>
        <v>Fragomen, Del Rey, Bernsen &amp; Loewy, LLP</v>
      </c>
      <c r="CR27" t="s">
        <v>4515</v>
      </c>
    </row>
    <row r="28" spans="1:96" x14ac:dyDescent="0.2">
      <c r="A28" t="s">
        <v>5807</v>
      </c>
      <c r="B28" t="s">
        <v>96</v>
      </c>
      <c r="C28" s="1">
        <v>44098</v>
      </c>
      <c r="D28" s="1">
        <v>44105</v>
      </c>
      <c r="F28" t="s">
        <v>97</v>
      </c>
      <c r="G28" t="str">
        <f>"Manager JC50 - IT Project Managers"</f>
        <v>Manager JC50 - IT Project Managers</v>
      </c>
      <c r="H28" t="s">
        <v>12168</v>
      </c>
      <c r="I28" t="s">
        <v>367</v>
      </c>
      <c r="J28" t="s">
        <v>98</v>
      </c>
      <c r="K28" s="1">
        <v>44196</v>
      </c>
      <c r="L28" s="1">
        <v>45290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t="s">
        <v>111</v>
      </c>
      <c r="U28" t="str">
        <f>"CTSUS"</f>
        <v>CTSUS</v>
      </c>
      <c r="V28" t="s">
        <v>112</v>
      </c>
      <c r="W28" t="str">
        <f>""</f>
        <v/>
      </c>
      <c r="X28" t="s">
        <v>113</v>
      </c>
      <c r="Y28" t="s">
        <v>114</v>
      </c>
      <c r="Z28" s="3">
        <v>77845</v>
      </c>
      <c r="AA28" t="s">
        <v>101</v>
      </c>
      <c r="AB28" t="s">
        <v>114</v>
      </c>
      <c r="AC28" s="4" t="str">
        <f>"+19793296682"</f>
        <v>+19793296682</v>
      </c>
      <c r="AE28" t="str">
        <f>"541512"</f>
        <v>541512</v>
      </c>
      <c r="AF28" t="s">
        <v>115</v>
      </c>
      <c r="AG28" t="s">
        <v>116</v>
      </c>
      <c r="AH28" t="s">
        <v>108</v>
      </c>
      <c r="AI28" t="s">
        <v>117</v>
      </c>
      <c r="AJ28" t="s">
        <v>118</v>
      </c>
      <c r="AK28" t="str">
        <f>""</f>
        <v/>
      </c>
      <c r="AL28" t="s">
        <v>119</v>
      </c>
      <c r="AM28" t="s">
        <v>114</v>
      </c>
      <c r="AN28" s="3">
        <v>77845</v>
      </c>
      <c r="AO28" t="s">
        <v>101</v>
      </c>
      <c r="AQ28" t="str">
        <f>"+19793296682"</f>
        <v>+19793296682</v>
      </c>
      <c r="AS28" t="s">
        <v>120</v>
      </c>
      <c r="AT28" t="s">
        <v>102</v>
      </c>
      <c r="AU28" t="str">
        <f>""</f>
        <v/>
      </c>
      <c r="AV28" t="str">
        <f>""</f>
        <v/>
      </c>
      <c r="AW28" t="str">
        <f>""</f>
        <v/>
      </c>
      <c r="AX28" t="str">
        <f>""</f>
        <v/>
      </c>
      <c r="AY28" t="str">
        <f>""</f>
        <v/>
      </c>
      <c r="AZ28" t="str">
        <f>""</f>
        <v/>
      </c>
      <c r="BA28" t="str">
        <f>""</f>
        <v/>
      </c>
      <c r="BC28" t="str">
        <f>""</f>
        <v/>
      </c>
      <c r="BD28" t="str">
        <f>""</f>
        <v/>
      </c>
      <c r="BE28" t="str">
        <f>""</f>
        <v/>
      </c>
      <c r="BF28" t="str">
        <f>""</f>
        <v/>
      </c>
      <c r="BG28" t="str">
        <f>""</f>
        <v/>
      </c>
      <c r="BH28" t="str">
        <f>""</f>
        <v/>
      </c>
      <c r="BI28" t="str">
        <f>""</f>
        <v/>
      </c>
      <c r="BJ28" t="str">
        <f>""</f>
        <v/>
      </c>
      <c r="BK28">
        <v>1</v>
      </c>
      <c r="BL28" t="s">
        <v>102</v>
      </c>
      <c r="BM28" t="str">
        <f>""</f>
        <v/>
      </c>
      <c r="BN28" t="s">
        <v>5808</v>
      </c>
      <c r="BP28" t="s">
        <v>2274</v>
      </c>
      <c r="BQ28" t="s">
        <v>1029</v>
      </c>
      <c r="BR28" t="s">
        <v>100</v>
      </c>
      <c r="BS28" s="5">
        <v>7869</v>
      </c>
      <c r="BT28" s="2">
        <v>91374</v>
      </c>
      <c r="BV28" t="s">
        <v>105</v>
      </c>
      <c r="BW28" s="2">
        <v>91374</v>
      </c>
      <c r="BX28" t="s">
        <v>105</v>
      </c>
      <c r="BZ28" t="s">
        <v>123</v>
      </c>
      <c r="CA28" t="str">
        <f t="shared" si="0"/>
        <v>7/1/2020 - 6/30/2021</v>
      </c>
      <c r="CF28">
        <v>1</v>
      </c>
      <c r="CG28" t="s">
        <v>98</v>
      </c>
      <c r="CH28" t="s">
        <v>98</v>
      </c>
      <c r="CI28" t="s">
        <v>206</v>
      </c>
      <c r="CJ28" t="s">
        <v>98</v>
      </c>
      <c r="CK28" t="s">
        <v>12323</v>
      </c>
      <c r="CL28" t="s">
        <v>108</v>
      </c>
      <c r="CM28" t="s">
        <v>109</v>
      </c>
      <c r="CN28" t="str">
        <f>""</f>
        <v/>
      </c>
      <c r="CO28" t="str">
        <f>""</f>
        <v/>
      </c>
      <c r="CP28" t="str">
        <f>""</f>
        <v/>
      </c>
      <c r="CQ28" t="str">
        <f>""</f>
        <v/>
      </c>
    </row>
    <row r="29" spans="1:96" x14ac:dyDescent="0.2">
      <c r="A29" t="s">
        <v>5809</v>
      </c>
      <c r="B29" t="s">
        <v>96</v>
      </c>
      <c r="C29" s="1">
        <v>44098</v>
      </c>
      <c r="D29" s="1">
        <v>44105</v>
      </c>
      <c r="F29" t="s">
        <v>97</v>
      </c>
      <c r="G29" t="str">
        <f>"Analyst Programmer "</f>
        <v xml:space="preserve">Analyst Programmer </v>
      </c>
      <c r="H29" t="s">
        <v>12169</v>
      </c>
      <c r="I29" t="s">
        <v>124</v>
      </c>
      <c r="J29" t="s">
        <v>98</v>
      </c>
      <c r="K29" s="1">
        <v>44163</v>
      </c>
      <c r="L29" s="1">
        <v>45258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5810</v>
      </c>
      <c r="U29" t="str">
        <f>"Smartpoll Election Solutions "</f>
        <v xml:space="preserve">Smartpoll Election Solutions </v>
      </c>
      <c r="V29" t="s">
        <v>5811</v>
      </c>
      <c r="W29" t="str">
        <f>"SUITE K"</f>
        <v>SUITE K</v>
      </c>
      <c r="X29" t="s">
        <v>5812</v>
      </c>
      <c r="Y29" t="s">
        <v>577</v>
      </c>
      <c r="Z29" s="3">
        <v>33413</v>
      </c>
      <c r="AA29" t="s">
        <v>101</v>
      </c>
      <c r="AC29" s="4" t="str">
        <f>"+15618024110"</f>
        <v>+15618024110</v>
      </c>
      <c r="AE29" t="str">
        <f>"33399"</f>
        <v>33399</v>
      </c>
      <c r="AF29" t="s">
        <v>5813</v>
      </c>
      <c r="AG29" t="s">
        <v>5814</v>
      </c>
      <c r="AH29" t="s">
        <v>1435</v>
      </c>
      <c r="AI29" t="s">
        <v>5815</v>
      </c>
      <c r="AJ29" t="s">
        <v>5816</v>
      </c>
      <c r="AK29" t="str">
        <f>"Suite K"</f>
        <v>Suite K</v>
      </c>
      <c r="AL29" t="s">
        <v>5817</v>
      </c>
      <c r="AM29" t="s">
        <v>577</v>
      </c>
      <c r="AN29" s="3">
        <v>33413</v>
      </c>
      <c r="AO29" t="s">
        <v>101</v>
      </c>
      <c r="AQ29" t="str">
        <f>"+15618024110"</f>
        <v>+15618024110</v>
      </c>
      <c r="AS29" t="s">
        <v>5818</v>
      </c>
      <c r="AT29" t="s">
        <v>107</v>
      </c>
      <c r="AU29" t="str">
        <f>"Dehra"</f>
        <v>Dehra</v>
      </c>
      <c r="AV29" t="str">
        <f>"Amit"</f>
        <v>Amit</v>
      </c>
      <c r="AW29" t="str">
        <f>""</f>
        <v/>
      </c>
      <c r="AX29" t="str">
        <f>"5404 Hoover Boulevard "</f>
        <v xml:space="preserve">5404 Hoover Boulevard </v>
      </c>
      <c r="AY29" t="str">
        <f>"Suite 26"</f>
        <v>Suite 26</v>
      </c>
      <c r="AZ29" t="str">
        <f>"Tampa"</f>
        <v>Tampa</v>
      </c>
      <c r="BA29" t="str">
        <f>"FL"</f>
        <v>FL</v>
      </c>
      <c r="BB29" s="3">
        <v>33634</v>
      </c>
      <c r="BC29" t="str">
        <f>"UNITED STATES OF AMERICA"</f>
        <v>UNITED STATES OF AMERICA</v>
      </c>
      <c r="BD29" t="str">
        <f>""</f>
        <v/>
      </c>
      <c r="BE29" t="str">
        <f>"+17275654405"</f>
        <v>+17275654405</v>
      </c>
      <c r="BF29" t="str">
        <f>""</f>
        <v/>
      </c>
      <c r="BG29" t="str">
        <f>"adehra@dmimmigration.com"</f>
        <v>adehra@dmimmigration.com</v>
      </c>
      <c r="BH29" t="str">
        <f>"Dehra Miotke LLC"</f>
        <v>Dehra Miotke LLC</v>
      </c>
      <c r="BI29" t="str">
        <f>"TN"</f>
        <v>TN</v>
      </c>
      <c r="BJ29" t="str">
        <f>"Tennessee Supreme Court "</f>
        <v xml:space="preserve">Tennessee Supreme Court </v>
      </c>
      <c r="BK29">
        <v>1</v>
      </c>
      <c r="BL29" t="s">
        <v>107</v>
      </c>
      <c r="BM29" t="str">
        <f>"Palm Beach County ISS Department "</f>
        <v xml:space="preserve">Palm Beach County ISS Department </v>
      </c>
      <c r="BN29" t="s">
        <v>5819</v>
      </c>
      <c r="BO29" t="s">
        <v>2386</v>
      </c>
      <c r="BP29" t="s">
        <v>4320</v>
      </c>
      <c r="BQ29" t="s">
        <v>1138</v>
      </c>
      <c r="BR29" t="s">
        <v>577</v>
      </c>
      <c r="BS29" s="5">
        <v>33401</v>
      </c>
      <c r="BT29" s="2">
        <v>38.94</v>
      </c>
      <c r="BU29" s="2">
        <v>55.99</v>
      </c>
      <c r="BV29" t="s">
        <v>210</v>
      </c>
      <c r="BW29" s="2">
        <v>38.94</v>
      </c>
      <c r="BX29" t="s">
        <v>210</v>
      </c>
      <c r="BZ29" t="s">
        <v>167</v>
      </c>
      <c r="CA29" t="str">
        <f t="shared" si="0"/>
        <v>7/1/2020 - 6/30/2021</v>
      </c>
      <c r="CF29">
        <v>3</v>
      </c>
      <c r="CG29" t="s">
        <v>98</v>
      </c>
      <c r="CH29" t="s">
        <v>98</v>
      </c>
      <c r="CI29" t="s">
        <v>206</v>
      </c>
      <c r="CJ29" t="s">
        <v>98</v>
      </c>
      <c r="CK29" t="s">
        <v>12323</v>
      </c>
      <c r="CL29" t="s">
        <v>108</v>
      </c>
      <c r="CM29" t="s">
        <v>109</v>
      </c>
      <c r="CN29" t="str">
        <f>""</f>
        <v/>
      </c>
      <c r="CO29" t="str">
        <f>""</f>
        <v/>
      </c>
      <c r="CP29" t="str">
        <f>""</f>
        <v/>
      </c>
      <c r="CQ29" t="str">
        <f>""</f>
        <v/>
      </c>
    </row>
    <row r="30" spans="1:96" x14ac:dyDescent="0.2">
      <c r="A30" t="s">
        <v>5846</v>
      </c>
      <c r="B30" t="s">
        <v>96</v>
      </c>
      <c r="C30" s="1">
        <v>44098</v>
      </c>
      <c r="D30" s="1">
        <v>44105</v>
      </c>
      <c r="F30" t="s">
        <v>97</v>
      </c>
      <c r="G30" t="str">
        <f>"Sr. Data Engineer  "</f>
        <v xml:space="preserve">Sr. Data Engineer  </v>
      </c>
      <c r="H30" t="s">
        <v>12169</v>
      </c>
      <c r="I30" t="s">
        <v>124</v>
      </c>
      <c r="J30" t="s">
        <v>98</v>
      </c>
      <c r="K30" s="1">
        <v>44109</v>
      </c>
      <c r="L30" s="1">
        <v>45203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 t="s">
        <v>5847</v>
      </c>
      <c r="U30" t="str">
        <f>""</f>
        <v/>
      </c>
      <c r="V30" t="s">
        <v>5848</v>
      </c>
      <c r="W30" t="str">
        <f>"Bldg 200, Suite 201"</f>
        <v>Bldg 200, Suite 201</v>
      </c>
      <c r="X30" t="s">
        <v>3974</v>
      </c>
      <c r="Y30" t="s">
        <v>215</v>
      </c>
      <c r="Z30" s="3">
        <v>30024</v>
      </c>
      <c r="AA30" t="s">
        <v>101</v>
      </c>
      <c r="AC30" s="4" t="str">
        <f>"+17709355165"</f>
        <v>+17709355165</v>
      </c>
      <c r="AD30">
        <v>800</v>
      </c>
      <c r="AE30" t="str">
        <f>"541511"</f>
        <v>541511</v>
      </c>
      <c r="AF30" t="s">
        <v>5849</v>
      </c>
      <c r="AG30" t="s">
        <v>5850</v>
      </c>
      <c r="AI30" t="s">
        <v>2765</v>
      </c>
      <c r="AJ30" t="s">
        <v>5848</v>
      </c>
      <c r="AK30" t="str">
        <f>"Bldg 200, Suite 201"</f>
        <v>Bldg 200, Suite 201</v>
      </c>
      <c r="AL30" t="s">
        <v>3974</v>
      </c>
      <c r="AM30" t="s">
        <v>215</v>
      </c>
      <c r="AN30" s="3">
        <v>30024</v>
      </c>
      <c r="AO30" t="s">
        <v>101</v>
      </c>
      <c r="AQ30" t="str">
        <f>"+17709355165"</f>
        <v>+17709355165</v>
      </c>
      <c r="AR30">
        <v>800</v>
      </c>
      <c r="AS30" t="s">
        <v>5851</v>
      </c>
      <c r="AT30" t="s">
        <v>107</v>
      </c>
      <c r="AU30" t="str">
        <f>"Lu"</f>
        <v>Lu</v>
      </c>
      <c r="AV30" t="str">
        <f>"Lucy"</f>
        <v>Lucy</v>
      </c>
      <c r="AW30" t="str">
        <f>""</f>
        <v/>
      </c>
      <c r="AX30" t="str">
        <f>"3475 Lenox Road NE "</f>
        <v xml:space="preserve">3475 Lenox Road NE </v>
      </c>
      <c r="AY30" t="str">
        <f>"Suite 730"</f>
        <v>Suite 730</v>
      </c>
      <c r="AZ30" t="str">
        <f>"Atlanta"</f>
        <v>Atlanta</v>
      </c>
      <c r="BA30" t="str">
        <f>"GA"</f>
        <v>GA</v>
      </c>
      <c r="BB30" s="3">
        <v>30326</v>
      </c>
      <c r="BC30" t="str">
        <f>"UNITED STATES OF AMERICA"</f>
        <v>UNITED STATES OF AMERICA</v>
      </c>
      <c r="BD30" t="str">
        <f>""</f>
        <v/>
      </c>
      <c r="BE30" t="str">
        <f>"+14043437166"</f>
        <v>+14043437166</v>
      </c>
      <c r="BF30" t="str">
        <f>""</f>
        <v/>
      </c>
      <c r="BG30" t="str">
        <f>"info@lucylulaw.com"</f>
        <v>info@lucylulaw.com</v>
      </c>
      <c r="BH30" t="str">
        <f>"Lucy Lu &amp; Associates"</f>
        <v>Lucy Lu &amp; Associates</v>
      </c>
      <c r="BI30" t="str">
        <f>"TN"</f>
        <v>TN</v>
      </c>
      <c r="BJ30" t="str">
        <f>"Supreme Court"</f>
        <v>Supreme Court</v>
      </c>
      <c r="BK30">
        <v>1</v>
      </c>
      <c r="BL30" t="s">
        <v>107</v>
      </c>
      <c r="BM30" t="str">
        <f>"Fox Corporation"</f>
        <v>Fox Corporation</v>
      </c>
      <c r="BN30" t="s">
        <v>4664</v>
      </c>
      <c r="BP30" t="s">
        <v>853</v>
      </c>
      <c r="BQ30" t="s">
        <v>365</v>
      </c>
      <c r="BR30" t="s">
        <v>141</v>
      </c>
      <c r="BS30" s="5">
        <v>90067</v>
      </c>
      <c r="BT30" s="2">
        <v>121160</v>
      </c>
      <c r="BV30" t="s">
        <v>105</v>
      </c>
      <c r="BW30" s="2">
        <v>121160</v>
      </c>
      <c r="BX30" t="s">
        <v>105</v>
      </c>
      <c r="BZ30" t="s">
        <v>123</v>
      </c>
      <c r="CA30" t="str">
        <f t="shared" si="0"/>
        <v>7/1/2020 - 6/30/2021</v>
      </c>
      <c r="CF30">
        <v>2</v>
      </c>
      <c r="CG30" t="s">
        <v>98</v>
      </c>
      <c r="CH30" t="s">
        <v>98</v>
      </c>
      <c r="CI30" t="s">
        <v>206</v>
      </c>
      <c r="CJ30" t="s">
        <v>98</v>
      </c>
      <c r="CK30" t="s">
        <v>12323</v>
      </c>
      <c r="CL30" t="s">
        <v>108</v>
      </c>
      <c r="CM30" t="s">
        <v>109</v>
      </c>
      <c r="CN30" t="str">
        <f>"Hameed"</f>
        <v>Hameed</v>
      </c>
      <c r="CO30" t="str">
        <f>"Sarah"</f>
        <v>Sarah</v>
      </c>
      <c r="CP30" t="str">
        <f>""</f>
        <v/>
      </c>
      <c r="CQ30" t="str">
        <f>"Lucy Lu &amp; Associates "</f>
        <v xml:space="preserve">Lucy Lu &amp; Associates </v>
      </c>
      <c r="CR30" t="s">
        <v>5852</v>
      </c>
    </row>
    <row r="31" spans="1:96" x14ac:dyDescent="0.2">
      <c r="A31" t="s">
        <v>6126</v>
      </c>
      <c r="B31" t="s">
        <v>96</v>
      </c>
      <c r="C31" s="1">
        <v>44098</v>
      </c>
      <c r="D31" s="1">
        <v>44105</v>
      </c>
      <c r="F31" t="s">
        <v>97</v>
      </c>
      <c r="G31" t="str">
        <f>"Software Engineer"</f>
        <v>Software Engineer</v>
      </c>
      <c r="H31" t="s">
        <v>12169</v>
      </c>
      <c r="I31" t="s">
        <v>124</v>
      </c>
      <c r="J31" t="s">
        <v>98</v>
      </c>
      <c r="K31" s="1">
        <v>44186</v>
      </c>
      <c r="L31" s="1">
        <v>45280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466</v>
      </c>
      <c r="U31" t="str">
        <f>""</f>
        <v/>
      </c>
      <c r="V31" t="s">
        <v>467</v>
      </c>
      <c r="W31" t="str">
        <f>"AKA 1601 Willow Road"</f>
        <v>AKA 1601 Willow Road</v>
      </c>
      <c r="X31" t="s">
        <v>468</v>
      </c>
      <c r="Y31" t="s">
        <v>141</v>
      </c>
      <c r="Z31" s="3">
        <v>94025</v>
      </c>
      <c r="AA31" t="s">
        <v>101</v>
      </c>
      <c r="AC31" s="4" t="str">
        <f>"+16505434800"</f>
        <v>+16505434800</v>
      </c>
      <c r="AE31" t="str">
        <f>"518210"</f>
        <v>518210</v>
      </c>
      <c r="AF31" t="s">
        <v>469</v>
      </c>
      <c r="AG31" t="s">
        <v>470</v>
      </c>
      <c r="AI31" t="s">
        <v>471</v>
      </c>
      <c r="AJ31" t="s">
        <v>467</v>
      </c>
      <c r="AK31" t="str">
        <f>"AKA 1601 Willow Road "</f>
        <v xml:space="preserve">AKA 1601 Willow Road </v>
      </c>
      <c r="AL31" t="s">
        <v>472</v>
      </c>
      <c r="AM31" t="s">
        <v>141</v>
      </c>
      <c r="AN31" s="3">
        <v>94025</v>
      </c>
      <c r="AO31" t="s">
        <v>101</v>
      </c>
      <c r="AQ31" t="str">
        <f>"+14085335781"</f>
        <v>+14085335781</v>
      </c>
      <c r="AS31" t="s">
        <v>108</v>
      </c>
      <c r="AT31" t="s">
        <v>107</v>
      </c>
      <c r="AU31" t="str">
        <f>"McCarthy"</f>
        <v>McCarthy</v>
      </c>
      <c r="AV31" t="str">
        <f>"Susan"</f>
        <v>Susan</v>
      </c>
      <c r="AW31" t="str">
        <f>""</f>
        <v/>
      </c>
      <c r="AX31" t="str">
        <f>"P.O. Box 31608"</f>
        <v>P.O. Box 31608</v>
      </c>
      <c r="AY31" t="str">
        <f>""</f>
        <v/>
      </c>
      <c r="AZ31" t="str">
        <f>"Raleigh"</f>
        <v>Raleigh</v>
      </c>
      <c r="BA31" t="str">
        <f>"NC"</f>
        <v>NC</v>
      </c>
      <c r="BB31" s="3">
        <v>27622</v>
      </c>
      <c r="BC31" t="str">
        <f>"UNITED STATES OF AMERICA"</f>
        <v>UNITED STATES OF AMERICA</v>
      </c>
      <c r="BD31" t="str">
        <f>""</f>
        <v/>
      </c>
      <c r="BE31" t="str">
        <f>"+19193077002"</f>
        <v>+19193077002</v>
      </c>
      <c r="BF31" t="str">
        <f>""</f>
        <v/>
      </c>
      <c r="BG31" t="str">
        <f>"vicky.johnson@ogletreedeakins.com"</f>
        <v>vicky.johnson@ogletreedeakins.com</v>
      </c>
      <c r="BH31" t="str">
        <f>"Ogletree, Deakins, Nash, Smoak &amp; Stewart, P.C."</f>
        <v>Ogletree, Deakins, Nash, Smoak &amp; Stewart, P.C.</v>
      </c>
      <c r="BI31" t="str">
        <f>"NJ"</f>
        <v>NJ</v>
      </c>
      <c r="BJ31" t="str">
        <f>"Supreme Court of New Jersey"</f>
        <v>Supreme Court of New Jersey</v>
      </c>
      <c r="BK31">
        <v>1</v>
      </c>
      <c r="BL31" t="s">
        <v>102</v>
      </c>
      <c r="BM31" t="str">
        <f>""</f>
        <v/>
      </c>
      <c r="BN31" t="s">
        <v>1960</v>
      </c>
      <c r="BO31" t="s">
        <v>5661</v>
      </c>
      <c r="BP31" t="s">
        <v>295</v>
      </c>
      <c r="BQ31" t="s">
        <v>189</v>
      </c>
      <c r="BR31" t="s">
        <v>190</v>
      </c>
      <c r="BS31" s="5">
        <v>10003</v>
      </c>
      <c r="BT31" s="2">
        <v>188000</v>
      </c>
      <c r="BV31" t="s">
        <v>105</v>
      </c>
      <c r="BW31" s="2">
        <v>143936</v>
      </c>
      <c r="BX31" t="s">
        <v>105</v>
      </c>
      <c r="BZ31" t="s">
        <v>159</v>
      </c>
      <c r="CA31" t="str">
        <f t="shared" si="0"/>
        <v>7/1/2020 - 6/30/2021</v>
      </c>
      <c r="CF31">
        <v>1</v>
      </c>
      <c r="CG31" t="s">
        <v>98</v>
      </c>
      <c r="CH31" t="s">
        <v>98</v>
      </c>
      <c r="CI31" t="s">
        <v>206</v>
      </c>
      <c r="CJ31" t="s">
        <v>98</v>
      </c>
      <c r="CK31" t="s">
        <v>12323</v>
      </c>
      <c r="CL31" t="s">
        <v>108</v>
      </c>
      <c r="CM31" t="s">
        <v>109</v>
      </c>
      <c r="CN31" t="str">
        <f>"McCarthy"</f>
        <v>McCarthy</v>
      </c>
      <c r="CO31" t="str">
        <f>"Susan"</f>
        <v>Susan</v>
      </c>
      <c r="CP31" t="str">
        <f>""</f>
        <v/>
      </c>
      <c r="CQ31" t="str">
        <f>"Ogletree, Deakins, Nash, Smoak &amp; Stewart, P.C. "</f>
        <v xml:space="preserve">Ogletree, Deakins, Nash, Smoak &amp; Stewart, P.C. </v>
      </c>
      <c r="CR31" t="s">
        <v>473</v>
      </c>
    </row>
    <row r="32" spans="1:96" x14ac:dyDescent="0.2">
      <c r="A32" t="s">
        <v>6243</v>
      </c>
      <c r="B32" t="s">
        <v>96</v>
      </c>
      <c r="C32" s="1">
        <v>44098</v>
      </c>
      <c r="D32" s="1">
        <v>44105</v>
      </c>
      <c r="F32" t="s">
        <v>97</v>
      </c>
      <c r="G32" t="str">
        <f>"Senior Systems Analyst JC60"</f>
        <v>Senior Systems Analyst JC60</v>
      </c>
      <c r="H32" t="s">
        <v>12181</v>
      </c>
      <c r="I32" t="s">
        <v>110</v>
      </c>
      <c r="J32" t="s">
        <v>98</v>
      </c>
      <c r="K32" s="1">
        <v>44232</v>
      </c>
      <c r="L32" s="1">
        <v>45326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t="s">
        <v>111</v>
      </c>
      <c r="U32" t="str">
        <f>"CTSUS"</f>
        <v>CTSUS</v>
      </c>
      <c r="V32" t="s">
        <v>112</v>
      </c>
      <c r="W32" t="str">
        <f>""</f>
        <v/>
      </c>
      <c r="X32" t="s">
        <v>113</v>
      </c>
      <c r="Y32" t="s">
        <v>114</v>
      </c>
      <c r="Z32" s="3">
        <v>77845</v>
      </c>
      <c r="AA32" t="s">
        <v>101</v>
      </c>
      <c r="AB32" t="s">
        <v>114</v>
      </c>
      <c r="AC32" s="4" t="str">
        <f>"+19793296682"</f>
        <v>+19793296682</v>
      </c>
      <c r="AE32" t="str">
        <f>"541512"</f>
        <v>541512</v>
      </c>
      <c r="AF32" t="s">
        <v>115</v>
      </c>
      <c r="AG32" t="s">
        <v>116</v>
      </c>
      <c r="AH32" t="s">
        <v>108</v>
      </c>
      <c r="AI32" t="s">
        <v>117</v>
      </c>
      <c r="AJ32" t="s">
        <v>118</v>
      </c>
      <c r="AK32" t="str">
        <f>""</f>
        <v/>
      </c>
      <c r="AL32" t="s">
        <v>119</v>
      </c>
      <c r="AM32" t="s">
        <v>114</v>
      </c>
      <c r="AN32" s="3">
        <v>77845</v>
      </c>
      <c r="AO32" t="s">
        <v>101</v>
      </c>
      <c r="AQ32" t="str">
        <f>"+19793296682"</f>
        <v>+19793296682</v>
      </c>
      <c r="AS32" t="s">
        <v>120</v>
      </c>
      <c r="AT32" t="s">
        <v>102</v>
      </c>
      <c r="AU32" t="str">
        <f>""</f>
        <v/>
      </c>
      <c r="AV32" t="str">
        <f>""</f>
        <v/>
      </c>
      <c r="AW32" t="str">
        <f>""</f>
        <v/>
      </c>
      <c r="AX32" t="str">
        <f>""</f>
        <v/>
      </c>
      <c r="AY32" t="str">
        <f>""</f>
        <v/>
      </c>
      <c r="AZ32" t="str">
        <f>""</f>
        <v/>
      </c>
      <c r="BA32" t="str">
        <f>""</f>
        <v/>
      </c>
      <c r="BC32" t="str">
        <f>""</f>
        <v/>
      </c>
      <c r="BD32" t="str">
        <f>""</f>
        <v/>
      </c>
      <c r="BE32" t="str">
        <f>""</f>
        <v/>
      </c>
      <c r="BF32" t="str">
        <f>""</f>
        <v/>
      </c>
      <c r="BG32" t="str">
        <f>""</f>
        <v/>
      </c>
      <c r="BH32" t="str">
        <f>""</f>
        <v/>
      </c>
      <c r="BI32" t="str">
        <f>""</f>
        <v/>
      </c>
      <c r="BJ32" t="str">
        <f>""</f>
        <v/>
      </c>
      <c r="BK32">
        <v>1</v>
      </c>
      <c r="BL32" t="s">
        <v>107</v>
      </c>
      <c r="BM32" t="str">
        <f>"PNM Resoruces"</f>
        <v>PNM Resoruces</v>
      </c>
      <c r="BN32" t="s">
        <v>6244</v>
      </c>
      <c r="BP32" t="s">
        <v>3067</v>
      </c>
      <c r="BQ32" t="s">
        <v>1888</v>
      </c>
      <c r="BR32" t="s">
        <v>114</v>
      </c>
      <c r="BS32" s="5">
        <v>75057</v>
      </c>
      <c r="BT32" s="2">
        <v>80475</v>
      </c>
      <c r="BV32" t="s">
        <v>105</v>
      </c>
      <c r="BW32" s="2">
        <v>80475</v>
      </c>
      <c r="BX32" t="s">
        <v>105</v>
      </c>
      <c r="BZ32" t="s">
        <v>167</v>
      </c>
      <c r="CA32" t="str">
        <f t="shared" si="0"/>
        <v>7/1/2020 - 6/30/2021</v>
      </c>
      <c r="CF32">
        <v>1</v>
      </c>
      <c r="CG32" t="s">
        <v>98</v>
      </c>
      <c r="CH32" t="s">
        <v>98</v>
      </c>
      <c r="CI32" t="s">
        <v>206</v>
      </c>
      <c r="CJ32" t="s">
        <v>98</v>
      </c>
      <c r="CK32" t="s">
        <v>12323</v>
      </c>
      <c r="CL32" t="s">
        <v>108</v>
      </c>
      <c r="CM32" t="s">
        <v>109</v>
      </c>
      <c r="CN32" t="str">
        <f>""</f>
        <v/>
      </c>
      <c r="CO32" t="str">
        <f>""</f>
        <v/>
      </c>
      <c r="CP32" t="str">
        <f>""</f>
        <v/>
      </c>
      <c r="CQ32" t="str">
        <f>""</f>
        <v/>
      </c>
    </row>
    <row r="33" spans="1:96" x14ac:dyDescent="0.2">
      <c r="A33" t="s">
        <v>6321</v>
      </c>
      <c r="B33" t="s">
        <v>96</v>
      </c>
      <c r="C33" s="1">
        <v>44098</v>
      </c>
      <c r="D33" s="1">
        <v>44105</v>
      </c>
      <c r="F33" t="s">
        <v>97</v>
      </c>
      <c r="G33" t="str">
        <f>"Senior Systems Analyst JC60"</f>
        <v>Senior Systems Analyst JC60</v>
      </c>
      <c r="H33" t="s">
        <v>12181</v>
      </c>
      <c r="I33" t="s">
        <v>110</v>
      </c>
      <c r="J33" t="s">
        <v>98</v>
      </c>
      <c r="K33" s="1">
        <v>44232</v>
      </c>
      <c r="L33" s="1">
        <v>45326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t="s">
        <v>111</v>
      </c>
      <c r="U33" t="str">
        <f>"CTSUS"</f>
        <v>CTSUS</v>
      </c>
      <c r="V33" t="s">
        <v>112</v>
      </c>
      <c r="W33" t="str">
        <f>""</f>
        <v/>
      </c>
      <c r="X33" t="s">
        <v>113</v>
      </c>
      <c r="Y33" t="s">
        <v>114</v>
      </c>
      <c r="Z33" s="3">
        <v>77845</v>
      </c>
      <c r="AA33" t="s">
        <v>101</v>
      </c>
      <c r="AB33" t="s">
        <v>114</v>
      </c>
      <c r="AC33" s="4" t="str">
        <f>"+19793296682"</f>
        <v>+19793296682</v>
      </c>
      <c r="AE33" t="str">
        <f>"541512"</f>
        <v>541512</v>
      </c>
      <c r="AF33" t="s">
        <v>115</v>
      </c>
      <c r="AG33" t="s">
        <v>116</v>
      </c>
      <c r="AH33" t="s">
        <v>108</v>
      </c>
      <c r="AI33" t="s">
        <v>117</v>
      </c>
      <c r="AJ33" t="s">
        <v>118</v>
      </c>
      <c r="AK33" t="str">
        <f>""</f>
        <v/>
      </c>
      <c r="AL33" t="s">
        <v>119</v>
      </c>
      <c r="AM33" t="s">
        <v>114</v>
      </c>
      <c r="AN33" s="3">
        <v>77845</v>
      </c>
      <c r="AO33" t="s">
        <v>101</v>
      </c>
      <c r="AQ33" t="str">
        <f>"+19793296682"</f>
        <v>+19793296682</v>
      </c>
      <c r="AS33" t="s">
        <v>120</v>
      </c>
      <c r="AT33" t="s">
        <v>102</v>
      </c>
      <c r="AU33" t="str">
        <f>""</f>
        <v/>
      </c>
      <c r="AV33" t="str">
        <f>""</f>
        <v/>
      </c>
      <c r="AW33" t="str">
        <f>""</f>
        <v/>
      </c>
      <c r="AX33" t="str">
        <f>""</f>
        <v/>
      </c>
      <c r="AY33" t="str">
        <f>""</f>
        <v/>
      </c>
      <c r="AZ33" t="str">
        <f>""</f>
        <v/>
      </c>
      <c r="BA33" t="str">
        <f>""</f>
        <v/>
      </c>
      <c r="BC33" t="str">
        <f>""</f>
        <v/>
      </c>
      <c r="BD33" t="str">
        <f>""</f>
        <v/>
      </c>
      <c r="BE33" t="str">
        <f>""</f>
        <v/>
      </c>
      <c r="BF33" t="str">
        <f>""</f>
        <v/>
      </c>
      <c r="BG33" t="str">
        <f>""</f>
        <v/>
      </c>
      <c r="BH33" t="str">
        <f>""</f>
        <v/>
      </c>
      <c r="BI33" t="str">
        <f>""</f>
        <v/>
      </c>
      <c r="BJ33" t="str">
        <f>""</f>
        <v/>
      </c>
      <c r="BK33">
        <v>1</v>
      </c>
      <c r="BL33" t="s">
        <v>102</v>
      </c>
      <c r="BM33" t="str">
        <f>""</f>
        <v/>
      </c>
      <c r="BN33" t="s">
        <v>6322</v>
      </c>
      <c r="BP33" t="s">
        <v>483</v>
      </c>
      <c r="BQ33" t="s">
        <v>484</v>
      </c>
      <c r="BR33" t="s">
        <v>114</v>
      </c>
      <c r="BS33" s="5">
        <v>75063</v>
      </c>
      <c r="BT33" s="2">
        <v>80475</v>
      </c>
      <c r="BV33" t="s">
        <v>105</v>
      </c>
      <c r="BW33" s="2">
        <v>80475</v>
      </c>
      <c r="BX33" t="s">
        <v>105</v>
      </c>
      <c r="BZ33" t="s">
        <v>167</v>
      </c>
      <c r="CA33" t="str">
        <f t="shared" si="0"/>
        <v>7/1/2020 - 6/30/2021</v>
      </c>
      <c r="CF33">
        <v>1</v>
      </c>
      <c r="CG33" t="s">
        <v>98</v>
      </c>
      <c r="CH33" t="s">
        <v>98</v>
      </c>
      <c r="CI33" t="s">
        <v>206</v>
      </c>
      <c r="CJ33" t="s">
        <v>98</v>
      </c>
      <c r="CK33" t="s">
        <v>12323</v>
      </c>
      <c r="CL33" t="s">
        <v>108</v>
      </c>
      <c r="CM33" t="s">
        <v>109</v>
      </c>
      <c r="CN33" t="str">
        <f>""</f>
        <v/>
      </c>
      <c r="CO33" t="str">
        <f>""</f>
        <v/>
      </c>
      <c r="CP33" t="str">
        <f>""</f>
        <v/>
      </c>
      <c r="CQ33" t="str">
        <f>""</f>
        <v/>
      </c>
    </row>
    <row r="34" spans="1:96" x14ac:dyDescent="0.2">
      <c r="A34" t="s">
        <v>6357</v>
      </c>
      <c r="B34" t="s">
        <v>96</v>
      </c>
      <c r="C34" s="1">
        <v>44098</v>
      </c>
      <c r="D34" s="1">
        <v>44105</v>
      </c>
      <c r="F34" t="s">
        <v>97</v>
      </c>
      <c r="G34" t="str">
        <f>"Software Applications Developer"</f>
        <v>Software Applications Developer</v>
      </c>
      <c r="H34" t="s">
        <v>12169</v>
      </c>
      <c r="I34" t="s">
        <v>124</v>
      </c>
      <c r="J34" t="s">
        <v>98</v>
      </c>
      <c r="K34" s="1">
        <v>44105</v>
      </c>
      <c r="L34" s="1">
        <v>45199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6358</v>
      </c>
      <c r="U34" t="str">
        <f>""</f>
        <v/>
      </c>
      <c r="V34" t="s">
        <v>6359</v>
      </c>
      <c r="W34" t="str">
        <f>"Suite 203B"</f>
        <v>Suite 203B</v>
      </c>
      <c r="X34" t="s">
        <v>789</v>
      </c>
      <c r="Y34" t="s">
        <v>100</v>
      </c>
      <c r="Z34" s="3">
        <v>8536</v>
      </c>
      <c r="AA34" t="s">
        <v>101</v>
      </c>
      <c r="AC34" s="4" t="str">
        <f>"+16092754500"</f>
        <v>+16092754500</v>
      </c>
      <c r="AE34" t="str">
        <f>"541511"</f>
        <v>541511</v>
      </c>
      <c r="AF34" t="s">
        <v>6360</v>
      </c>
      <c r="AG34" t="s">
        <v>1869</v>
      </c>
      <c r="AH34" t="s">
        <v>206</v>
      </c>
      <c r="AI34" t="s">
        <v>5683</v>
      </c>
      <c r="AJ34" t="s">
        <v>6359</v>
      </c>
      <c r="AK34" t="str">
        <f>"Suite 203B"</f>
        <v>Suite 203B</v>
      </c>
      <c r="AL34" t="s">
        <v>789</v>
      </c>
      <c r="AM34" t="s">
        <v>100</v>
      </c>
      <c r="AN34" s="3">
        <v>8536</v>
      </c>
      <c r="AO34" t="s">
        <v>101</v>
      </c>
      <c r="AQ34" t="str">
        <f>"+16092754500"</f>
        <v>+16092754500</v>
      </c>
      <c r="AS34" t="s">
        <v>6361</v>
      </c>
      <c r="AT34" t="s">
        <v>102</v>
      </c>
      <c r="AU34" t="str">
        <f>""</f>
        <v/>
      </c>
      <c r="AV34" t="str">
        <f>""</f>
        <v/>
      </c>
      <c r="AW34" t="str">
        <f>""</f>
        <v/>
      </c>
      <c r="AX34" t="str">
        <f>""</f>
        <v/>
      </c>
      <c r="AY34" t="str">
        <f>""</f>
        <v/>
      </c>
      <c r="AZ34" t="str">
        <f>""</f>
        <v/>
      </c>
      <c r="BA34" t="str">
        <f>""</f>
        <v/>
      </c>
      <c r="BC34" t="str">
        <f>""</f>
        <v/>
      </c>
      <c r="BD34" t="str">
        <f>""</f>
        <v/>
      </c>
      <c r="BE34" t="str">
        <f>""</f>
        <v/>
      </c>
      <c r="BF34" t="str">
        <f>""</f>
        <v/>
      </c>
      <c r="BG34" t="str">
        <f>""</f>
        <v/>
      </c>
      <c r="BH34" t="str">
        <f>""</f>
        <v/>
      </c>
      <c r="BI34" t="str">
        <f>""</f>
        <v/>
      </c>
      <c r="BJ34" t="str">
        <f>""</f>
        <v/>
      </c>
      <c r="BK34">
        <v>1</v>
      </c>
      <c r="BL34" t="s">
        <v>107</v>
      </c>
      <c r="BM34" t="str">
        <f>"Johnson and Johnson"</f>
        <v>Johnson and Johnson</v>
      </c>
      <c r="BN34" t="s">
        <v>6362</v>
      </c>
      <c r="BO34" t="s">
        <v>6363</v>
      </c>
      <c r="BP34" t="s">
        <v>604</v>
      </c>
      <c r="BQ34" t="s">
        <v>121</v>
      </c>
      <c r="BR34" t="s">
        <v>122</v>
      </c>
      <c r="BS34" s="5">
        <v>28277</v>
      </c>
      <c r="BT34" s="2">
        <v>105000</v>
      </c>
      <c r="BV34" t="s">
        <v>105</v>
      </c>
      <c r="BW34" s="2">
        <v>85488</v>
      </c>
      <c r="BX34" t="s">
        <v>105</v>
      </c>
      <c r="BZ34" t="s">
        <v>167</v>
      </c>
      <c r="CA34" t="str">
        <f t="shared" ref="CA34:CA65" si="2">"7/1/2020 - 6/30/2021"</f>
        <v>7/1/2020 - 6/30/2021</v>
      </c>
      <c r="CF34">
        <v>2</v>
      </c>
      <c r="CG34" t="s">
        <v>98</v>
      </c>
      <c r="CH34" t="s">
        <v>98</v>
      </c>
      <c r="CI34" t="s">
        <v>206</v>
      </c>
      <c r="CJ34" t="s">
        <v>98</v>
      </c>
      <c r="CK34" t="s">
        <v>12323</v>
      </c>
      <c r="CL34" t="s">
        <v>108</v>
      </c>
      <c r="CM34" t="s">
        <v>109</v>
      </c>
      <c r="CN34" t="str">
        <f>""</f>
        <v/>
      </c>
      <c r="CO34" t="str">
        <f>""</f>
        <v/>
      </c>
      <c r="CP34" t="str">
        <f>""</f>
        <v/>
      </c>
      <c r="CQ34" t="str">
        <f>""</f>
        <v/>
      </c>
    </row>
    <row r="35" spans="1:96" x14ac:dyDescent="0.2">
      <c r="A35" t="s">
        <v>6379</v>
      </c>
      <c r="B35" t="s">
        <v>96</v>
      </c>
      <c r="C35" s="1">
        <v>44098</v>
      </c>
      <c r="D35" s="1">
        <v>44105</v>
      </c>
      <c r="F35" t="s">
        <v>97</v>
      </c>
      <c r="G35" t="str">
        <f>"ETL/ Bigdata Developer"</f>
        <v>ETL/ Bigdata Developer</v>
      </c>
      <c r="H35" t="s">
        <v>12169</v>
      </c>
      <c r="I35" t="s">
        <v>124</v>
      </c>
      <c r="J35" t="s">
        <v>98</v>
      </c>
      <c r="K35" s="1">
        <v>44252</v>
      </c>
      <c r="L35" s="1">
        <v>45346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 t="s">
        <v>6380</v>
      </c>
      <c r="U35" t="str">
        <f>""</f>
        <v/>
      </c>
      <c r="V35" t="s">
        <v>6381</v>
      </c>
      <c r="W35" t="str">
        <f>"Ste. 107"</f>
        <v>Ste. 107</v>
      </c>
      <c r="X35" t="s">
        <v>824</v>
      </c>
      <c r="Y35" t="s">
        <v>135</v>
      </c>
      <c r="Z35" s="3">
        <v>20166</v>
      </c>
      <c r="AA35" t="s">
        <v>101</v>
      </c>
      <c r="AC35" s="4" t="str">
        <f>"+18888562238"</f>
        <v>+18888562238</v>
      </c>
      <c r="AE35" t="str">
        <f>"541519"</f>
        <v>541519</v>
      </c>
      <c r="AF35" t="s">
        <v>5168</v>
      </c>
      <c r="AG35" t="s">
        <v>6215</v>
      </c>
      <c r="AI35" t="s">
        <v>5540</v>
      </c>
      <c r="AJ35" t="s">
        <v>6381</v>
      </c>
      <c r="AK35" t="str">
        <f>"Ste. 107"</f>
        <v>Ste. 107</v>
      </c>
      <c r="AL35" t="s">
        <v>824</v>
      </c>
      <c r="AM35" t="s">
        <v>135</v>
      </c>
      <c r="AN35" s="3">
        <v>20166</v>
      </c>
      <c r="AO35" t="s">
        <v>101</v>
      </c>
      <c r="AQ35" t="str">
        <f>"+18888562238"</f>
        <v>+18888562238</v>
      </c>
      <c r="AS35" t="s">
        <v>6216</v>
      </c>
      <c r="AT35" t="s">
        <v>107</v>
      </c>
      <c r="AU35" t="str">
        <f>"Greenwood"</f>
        <v>Greenwood</v>
      </c>
      <c r="AV35" t="str">
        <f>"Andrew"</f>
        <v>Andrew</v>
      </c>
      <c r="AW35" t="str">
        <f>"A"</f>
        <v>A</v>
      </c>
      <c r="AX35" t="str">
        <f>"30300 Agoura Road"</f>
        <v>30300 Agoura Road</v>
      </c>
      <c r="AY35" t="str">
        <f>"Ste. B100"</f>
        <v>Ste. B100</v>
      </c>
      <c r="AZ35" t="str">
        <f>"Agoura Hills"</f>
        <v>Agoura Hills</v>
      </c>
      <c r="BA35" t="str">
        <f>"CA"</f>
        <v>CA</v>
      </c>
      <c r="BB35" s="3">
        <v>91301</v>
      </c>
      <c r="BC35" t="str">
        <f>"UNITED STATES OF AMERICA"</f>
        <v>UNITED STATES OF AMERICA</v>
      </c>
      <c r="BD35" t="str">
        <f>""</f>
        <v/>
      </c>
      <c r="BE35" t="str">
        <f>"+18189146482"</f>
        <v>+18189146482</v>
      </c>
      <c r="BF35" t="str">
        <f>""</f>
        <v/>
      </c>
      <c r="BG35" t="str">
        <f>"Admin@gotcherlaw.com"</f>
        <v>Admin@gotcherlaw.com</v>
      </c>
      <c r="BH35" t="str">
        <f>"Global Immigration Partners, Inc"</f>
        <v>Global Immigration Partners, Inc</v>
      </c>
      <c r="BI35" t="str">
        <f>"CA"</f>
        <v>CA</v>
      </c>
      <c r="BJ35" t="str">
        <f>"Supreme Court"</f>
        <v>Supreme Court</v>
      </c>
      <c r="BK35">
        <v>1</v>
      </c>
      <c r="BL35" t="s">
        <v>107</v>
      </c>
      <c r="BM35" t="str">
        <f>"Fannie Mae"</f>
        <v>Fannie Mae</v>
      </c>
      <c r="BN35" t="s">
        <v>3370</v>
      </c>
      <c r="BP35" t="s">
        <v>133</v>
      </c>
      <c r="BQ35" t="s">
        <v>454</v>
      </c>
      <c r="BR35" t="s">
        <v>135</v>
      </c>
      <c r="BS35" s="5">
        <v>20191</v>
      </c>
      <c r="BT35" s="2">
        <v>97406</v>
      </c>
      <c r="BV35" t="s">
        <v>105</v>
      </c>
      <c r="BW35" s="2">
        <v>97406</v>
      </c>
      <c r="BX35" t="s">
        <v>105</v>
      </c>
      <c r="BZ35" t="s">
        <v>167</v>
      </c>
      <c r="CA35" t="str">
        <f t="shared" si="2"/>
        <v>7/1/2020 - 6/30/2021</v>
      </c>
      <c r="CF35">
        <v>2</v>
      </c>
      <c r="CG35" t="s">
        <v>98</v>
      </c>
      <c r="CH35" t="s">
        <v>98</v>
      </c>
      <c r="CI35" t="s">
        <v>206</v>
      </c>
      <c r="CJ35" t="s">
        <v>98</v>
      </c>
      <c r="CK35" t="s">
        <v>12323</v>
      </c>
      <c r="CL35" t="s">
        <v>108</v>
      </c>
      <c r="CM35" t="s">
        <v>109</v>
      </c>
      <c r="CN35" t="str">
        <f>"Greenwood"</f>
        <v>Greenwood</v>
      </c>
      <c r="CO35" t="str">
        <f>"Andrew"</f>
        <v>Andrew</v>
      </c>
      <c r="CP35" t="str">
        <f>"A"</f>
        <v>A</v>
      </c>
      <c r="CQ35" t="str">
        <f>"Global Immigration Partners, Inc"</f>
        <v>Global Immigration Partners, Inc</v>
      </c>
      <c r="CR35" t="s">
        <v>1275</v>
      </c>
    </row>
    <row r="36" spans="1:96" x14ac:dyDescent="0.2">
      <c r="A36" t="s">
        <v>6383</v>
      </c>
      <c r="B36" t="s">
        <v>96</v>
      </c>
      <c r="C36" s="1">
        <v>44098</v>
      </c>
      <c r="D36" s="1">
        <v>44105</v>
      </c>
      <c r="F36" t="s">
        <v>97</v>
      </c>
      <c r="G36" t="str">
        <f>"Design Engineer"</f>
        <v>Design Engineer</v>
      </c>
      <c r="H36" t="s">
        <v>12196</v>
      </c>
      <c r="I36" t="s">
        <v>322</v>
      </c>
      <c r="J36" t="s">
        <v>98</v>
      </c>
      <c r="K36" s="1">
        <v>44109</v>
      </c>
      <c r="L36" s="1">
        <v>45203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 t="s">
        <v>4681</v>
      </c>
      <c r="U36" t="str">
        <f>"(FORMERLY KNOWN AS CSM SOFTWARE USA, LLC)"</f>
        <v>(FORMERLY KNOWN AS CSM SOFTWARE USA, LLC)</v>
      </c>
      <c r="V36" t="s">
        <v>4682</v>
      </c>
      <c r="W36" t="str">
        <f>"SUITE 434"</f>
        <v>SUITE 434</v>
      </c>
      <c r="X36" t="s">
        <v>4683</v>
      </c>
      <c r="Y36" t="s">
        <v>265</v>
      </c>
      <c r="Z36" s="3">
        <v>48152</v>
      </c>
      <c r="AA36" t="s">
        <v>101</v>
      </c>
      <c r="AC36" s="4" t="str">
        <f>"+17345429165"</f>
        <v>+17345429165</v>
      </c>
      <c r="AE36" t="str">
        <f>"541330"</f>
        <v>541330</v>
      </c>
      <c r="AF36" t="s">
        <v>4684</v>
      </c>
      <c r="AG36" t="s">
        <v>4685</v>
      </c>
      <c r="AH36" t="s">
        <v>4686</v>
      </c>
      <c r="AI36" t="s">
        <v>4687</v>
      </c>
      <c r="AJ36" t="s">
        <v>4682</v>
      </c>
      <c r="AK36" t="str">
        <f>"SUITE 434"</f>
        <v>SUITE 434</v>
      </c>
      <c r="AL36" t="s">
        <v>4683</v>
      </c>
      <c r="AM36" t="s">
        <v>265</v>
      </c>
      <c r="AN36" s="3">
        <v>48152</v>
      </c>
      <c r="AO36" t="s">
        <v>101</v>
      </c>
      <c r="AQ36" t="str">
        <f>"+17345429165"</f>
        <v>+17345429165</v>
      </c>
      <c r="AS36" t="s">
        <v>4688</v>
      </c>
      <c r="AT36" t="s">
        <v>107</v>
      </c>
      <c r="AU36" t="str">
        <f>"PARK"</f>
        <v>PARK</v>
      </c>
      <c r="AV36" t="str">
        <f>"SOONHYUN"</f>
        <v>SOONHYUN</v>
      </c>
      <c r="AW36" t="str">
        <f>""</f>
        <v/>
      </c>
      <c r="AX36" t="str">
        <f>"3055 PLYMOUTH ROAD "</f>
        <v xml:space="preserve">3055 PLYMOUTH ROAD </v>
      </c>
      <c r="AY36" t="str">
        <f>"SUITE 104"</f>
        <v>SUITE 104</v>
      </c>
      <c r="AZ36" t="str">
        <f>"Ann Arbor"</f>
        <v>Ann Arbor</v>
      </c>
      <c r="BA36" t="str">
        <f>"MI"</f>
        <v>MI</v>
      </c>
      <c r="BB36" s="3">
        <v>48105</v>
      </c>
      <c r="BC36" t="str">
        <f>"UNITED STATES OF AMERICA"</f>
        <v>UNITED STATES OF AMERICA</v>
      </c>
      <c r="BD36" t="str">
        <f>""</f>
        <v/>
      </c>
      <c r="BE36" t="str">
        <f>"+17349667777"</f>
        <v>+17349667777</v>
      </c>
      <c r="BF36" t="str">
        <f>""</f>
        <v/>
      </c>
      <c r="BG36" t="str">
        <f>"paralegal@immigrationpark.com"</f>
        <v>paralegal@immigrationpark.com</v>
      </c>
      <c r="BH36" t="str">
        <f>"LAW OFFICE OF SOO PARK, PLC"</f>
        <v>LAW OFFICE OF SOO PARK, PLC</v>
      </c>
      <c r="BI36" t="str">
        <f>"MI"</f>
        <v>MI</v>
      </c>
      <c r="BJ36" t="str">
        <f>"SUPREME"</f>
        <v>SUPREME</v>
      </c>
      <c r="BK36">
        <v>1</v>
      </c>
      <c r="BL36" t="s">
        <v>107</v>
      </c>
      <c r="BM36" t="str">
        <f>"General Motors"</f>
        <v>General Motors</v>
      </c>
      <c r="BN36" t="s">
        <v>5757</v>
      </c>
      <c r="BP36" t="s">
        <v>1058</v>
      </c>
      <c r="BQ36" t="s">
        <v>543</v>
      </c>
      <c r="BR36" t="s">
        <v>265</v>
      </c>
      <c r="BS36" s="5">
        <v>48093</v>
      </c>
      <c r="BT36" s="2">
        <v>43</v>
      </c>
      <c r="BV36" t="s">
        <v>210</v>
      </c>
      <c r="BW36" s="2">
        <v>39.69</v>
      </c>
      <c r="BX36" t="s">
        <v>210</v>
      </c>
      <c r="BZ36" t="s">
        <v>167</v>
      </c>
      <c r="CA36" t="str">
        <f t="shared" si="2"/>
        <v>7/1/2020 - 6/30/2021</v>
      </c>
      <c r="CF36">
        <v>2</v>
      </c>
      <c r="CG36" t="s">
        <v>98</v>
      </c>
      <c r="CH36" t="s">
        <v>98</v>
      </c>
      <c r="CI36" t="s">
        <v>206</v>
      </c>
      <c r="CJ36" t="s">
        <v>98</v>
      </c>
      <c r="CK36" t="s">
        <v>12323</v>
      </c>
      <c r="CL36" t="s">
        <v>108</v>
      </c>
      <c r="CM36" t="s">
        <v>109</v>
      </c>
      <c r="CN36" t="str">
        <f>"Park"</f>
        <v>Park</v>
      </c>
      <c r="CO36" t="str">
        <f>"Soonhyun"</f>
        <v>Soonhyun</v>
      </c>
      <c r="CP36" t="str">
        <f>""</f>
        <v/>
      </c>
      <c r="CQ36" t="str">
        <f>"Law Office of Soo Park, PLC"</f>
        <v>Law Office of Soo Park, PLC</v>
      </c>
      <c r="CR36" t="s">
        <v>4689</v>
      </c>
    </row>
    <row r="37" spans="1:96" x14ac:dyDescent="0.2">
      <c r="A37" t="s">
        <v>6385</v>
      </c>
      <c r="B37" t="s">
        <v>96</v>
      </c>
      <c r="C37" s="1">
        <v>44098</v>
      </c>
      <c r="D37" s="1">
        <v>44105</v>
      </c>
      <c r="F37" t="s">
        <v>97</v>
      </c>
      <c r="G37" t="str">
        <f>"Manager JC50"</f>
        <v>Manager JC50</v>
      </c>
      <c r="H37" t="s">
        <v>12181</v>
      </c>
      <c r="I37" t="s">
        <v>110</v>
      </c>
      <c r="J37" t="s">
        <v>98</v>
      </c>
      <c r="K37" s="1">
        <v>44106</v>
      </c>
      <c r="L37" s="1">
        <v>45200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t="s">
        <v>111</v>
      </c>
      <c r="U37" t="str">
        <f>"CTSUS"</f>
        <v>CTSUS</v>
      </c>
      <c r="V37" t="s">
        <v>112</v>
      </c>
      <c r="W37" t="str">
        <f>""</f>
        <v/>
      </c>
      <c r="X37" t="s">
        <v>113</v>
      </c>
      <c r="Y37" t="s">
        <v>114</v>
      </c>
      <c r="Z37" s="3">
        <v>77845</v>
      </c>
      <c r="AA37" t="s">
        <v>101</v>
      </c>
      <c r="AB37" t="s">
        <v>114</v>
      </c>
      <c r="AC37" s="4" t="str">
        <f>"+19793296682"</f>
        <v>+19793296682</v>
      </c>
      <c r="AE37" t="str">
        <f>"541512"</f>
        <v>541512</v>
      </c>
      <c r="AF37" t="s">
        <v>115</v>
      </c>
      <c r="AG37" t="s">
        <v>116</v>
      </c>
      <c r="AH37" t="s">
        <v>108</v>
      </c>
      <c r="AI37" t="s">
        <v>117</v>
      </c>
      <c r="AJ37" t="s">
        <v>118</v>
      </c>
      <c r="AK37" t="str">
        <f>""</f>
        <v/>
      </c>
      <c r="AL37" t="s">
        <v>119</v>
      </c>
      <c r="AM37" t="s">
        <v>114</v>
      </c>
      <c r="AN37" s="3">
        <v>77845</v>
      </c>
      <c r="AO37" t="s">
        <v>101</v>
      </c>
      <c r="AQ37" t="str">
        <f>"+19793296682"</f>
        <v>+19793296682</v>
      </c>
      <c r="AS37" t="s">
        <v>120</v>
      </c>
      <c r="AT37" t="s">
        <v>102</v>
      </c>
      <c r="AU37" t="str">
        <f>""</f>
        <v/>
      </c>
      <c r="AV37" t="str">
        <f>""</f>
        <v/>
      </c>
      <c r="AW37" t="str">
        <f>""</f>
        <v/>
      </c>
      <c r="AX37" t="str">
        <f>""</f>
        <v/>
      </c>
      <c r="AY37" t="str">
        <f>""</f>
        <v/>
      </c>
      <c r="AZ37" t="str">
        <f>""</f>
        <v/>
      </c>
      <c r="BA37" t="str">
        <f>""</f>
        <v/>
      </c>
      <c r="BC37" t="str">
        <f>""</f>
        <v/>
      </c>
      <c r="BD37" t="str">
        <f>""</f>
        <v/>
      </c>
      <c r="BE37" t="str">
        <f>""</f>
        <v/>
      </c>
      <c r="BF37" t="str">
        <f>""</f>
        <v/>
      </c>
      <c r="BG37" t="str">
        <f>""</f>
        <v/>
      </c>
      <c r="BH37" t="str">
        <f>""</f>
        <v/>
      </c>
      <c r="BI37" t="str">
        <f>""</f>
        <v/>
      </c>
      <c r="BJ37" t="str">
        <f>""</f>
        <v/>
      </c>
      <c r="BK37">
        <v>1</v>
      </c>
      <c r="BL37" t="s">
        <v>102</v>
      </c>
      <c r="BM37" t="str">
        <f>""</f>
        <v/>
      </c>
      <c r="BN37" t="s">
        <v>6386</v>
      </c>
      <c r="BP37" t="s">
        <v>1328</v>
      </c>
      <c r="BQ37" t="s">
        <v>933</v>
      </c>
      <c r="BR37" t="s">
        <v>934</v>
      </c>
      <c r="BS37" s="5">
        <v>68116</v>
      </c>
      <c r="BT37" s="2">
        <v>82493</v>
      </c>
      <c r="BV37" t="s">
        <v>105</v>
      </c>
      <c r="BW37" s="2">
        <v>82493</v>
      </c>
      <c r="BX37" t="s">
        <v>105</v>
      </c>
      <c r="BZ37" t="s">
        <v>123</v>
      </c>
      <c r="CA37" t="str">
        <f t="shared" si="2"/>
        <v>7/1/2020 - 6/30/2021</v>
      </c>
      <c r="CF37">
        <v>1</v>
      </c>
      <c r="CG37" t="s">
        <v>98</v>
      </c>
      <c r="CH37" t="s">
        <v>98</v>
      </c>
      <c r="CI37" t="s">
        <v>206</v>
      </c>
      <c r="CJ37" t="s">
        <v>98</v>
      </c>
      <c r="CK37" t="s">
        <v>12323</v>
      </c>
      <c r="CL37" t="s">
        <v>108</v>
      </c>
      <c r="CM37" t="s">
        <v>109</v>
      </c>
      <c r="CN37" t="str">
        <f>""</f>
        <v/>
      </c>
      <c r="CO37" t="str">
        <f>""</f>
        <v/>
      </c>
      <c r="CP37" t="str">
        <f>""</f>
        <v/>
      </c>
      <c r="CQ37" t="str">
        <f>""</f>
        <v/>
      </c>
    </row>
    <row r="38" spans="1:96" x14ac:dyDescent="0.2">
      <c r="A38" t="s">
        <v>6474</v>
      </c>
      <c r="B38" t="s">
        <v>96</v>
      </c>
      <c r="C38" s="1">
        <v>44098</v>
      </c>
      <c r="D38" s="1">
        <v>44105</v>
      </c>
      <c r="F38" t="s">
        <v>97</v>
      </c>
      <c r="G38" t="str">
        <f>"Cloud Solutions Validation Analyst"</f>
        <v>Cloud Solutions Validation Analyst</v>
      </c>
      <c r="H38" t="s">
        <v>12176</v>
      </c>
      <c r="I38" t="s">
        <v>246</v>
      </c>
      <c r="J38" t="s">
        <v>98</v>
      </c>
      <c r="K38" s="1">
        <v>44240</v>
      </c>
      <c r="L38" s="1">
        <v>45334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 t="s">
        <v>4110</v>
      </c>
      <c r="U38" t="str">
        <f>""</f>
        <v/>
      </c>
      <c r="V38" t="s">
        <v>4111</v>
      </c>
      <c r="W38" t="str">
        <f>"Suite 750"</f>
        <v>Suite 750</v>
      </c>
      <c r="X38" t="s">
        <v>483</v>
      </c>
      <c r="Y38" t="s">
        <v>114</v>
      </c>
      <c r="Z38" s="3">
        <v>75038</v>
      </c>
      <c r="AA38" t="s">
        <v>101</v>
      </c>
      <c r="AC38" s="4" t="str">
        <f>"+19727536500"</f>
        <v>+19727536500</v>
      </c>
      <c r="AE38" t="str">
        <f t="shared" ref="AE38:AE43" si="3">"541511"</f>
        <v>541511</v>
      </c>
      <c r="AF38" t="s">
        <v>1187</v>
      </c>
      <c r="AG38" t="s">
        <v>464</v>
      </c>
      <c r="AI38" t="s">
        <v>4112</v>
      </c>
      <c r="AJ38" t="s">
        <v>4113</v>
      </c>
      <c r="AK38" t="str">
        <f>"Ste. 750"</f>
        <v>Ste. 750</v>
      </c>
      <c r="AL38" t="s">
        <v>483</v>
      </c>
      <c r="AM38" t="s">
        <v>114</v>
      </c>
      <c r="AN38" s="3">
        <v>75038</v>
      </c>
      <c r="AO38" t="s">
        <v>101</v>
      </c>
      <c r="AQ38" t="str">
        <f>"+19727536500"</f>
        <v>+19727536500</v>
      </c>
      <c r="AS38" t="s">
        <v>4114</v>
      </c>
      <c r="AT38" t="s">
        <v>107</v>
      </c>
      <c r="AU38" t="str">
        <f>"Shihab"</f>
        <v>Shihab</v>
      </c>
      <c r="AV38" t="str">
        <f>"Sam"</f>
        <v>Sam</v>
      </c>
      <c r="AW38" t="str">
        <f>"M."</f>
        <v>M.</v>
      </c>
      <c r="AX38" t="str">
        <f>"565 Metro Place South"</f>
        <v>565 Metro Place South</v>
      </c>
      <c r="AY38" t="str">
        <f>"Suite 100"</f>
        <v>Suite 100</v>
      </c>
      <c r="AZ38" t="str">
        <f>"Dublin"</f>
        <v>Dublin</v>
      </c>
      <c r="BA38" t="str">
        <f>"OH"</f>
        <v>OH</v>
      </c>
      <c r="BB38" s="3">
        <v>43017</v>
      </c>
      <c r="BC38" t="str">
        <f>"UNITED STATES OF AMERICA"</f>
        <v>UNITED STATES OF AMERICA</v>
      </c>
      <c r="BD38" t="str">
        <f>"N/A"</f>
        <v>N/A</v>
      </c>
      <c r="BE38" t="str">
        <f>"+16147910500"</f>
        <v>+16147910500</v>
      </c>
      <c r="BF38" t="str">
        <f>"225"</f>
        <v>225</v>
      </c>
      <c r="BG38" t="str">
        <f>"govnotice@shihablawoffice.com"</f>
        <v>govnotice@shihablawoffice.com</v>
      </c>
      <c r="BH38" t="str">
        <f>"Sam Shihab &amp; Associates, LLC"</f>
        <v>Sam Shihab &amp; Associates, LLC</v>
      </c>
      <c r="BI38" t="str">
        <f>"OH"</f>
        <v>OH</v>
      </c>
      <c r="BJ38" t="str">
        <f>"Supreme Court of Ohio"</f>
        <v>Supreme Court of Ohio</v>
      </c>
      <c r="BK38">
        <v>1</v>
      </c>
      <c r="BL38" t="s">
        <v>102</v>
      </c>
      <c r="BM38" t="str">
        <f>""</f>
        <v/>
      </c>
      <c r="BN38" t="s">
        <v>6475</v>
      </c>
      <c r="BP38" t="s">
        <v>398</v>
      </c>
      <c r="BQ38" t="s">
        <v>419</v>
      </c>
      <c r="BR38" t="s">
        <v>141</v>
      </c>
      <c r="BS38" s="5">
        <v>94555</v>
      </c>
      <c r="BT38" s="2">
        <v>58.14</v>
      </c>
      <c r="BV38" t="s">
        <v>210</v>
      </c>
      <c r="BW38" s="2">
        <v>58.14</v>
      </c>
      <c r="BX38" t="s">
        <v>210</v>
      </c>
      <c r="BZ38" t="s">
        <v>167</v>
      </c>
      <c r="CA38" t="str">
        <f t="shared" si="2"/>
        <v>7/1/2020 - 6/30/2021</v>
      </c>
      <c r="CF38">
        <v>1</v>
      </c>
      <c r="CG38" t="s">
        <v>98</v>
      </c>
      <c r="CH38" t="s">
        <v>98</v>
      </c>
      <c r="CI38" t="s">
        <v>206</v>
      </c>
      <c r="CJ38" t="s">
        <v>98</v>
      </c>
      <c r="CK38" t="s">
        <v>12323</v>
      </c>
      <c r="CL38" t="s">
        <v>108</v>
      </c>
      <c r="CM38" t="s">
        <v>109</v>
      </c>
      <c r="CN38" t="str">
        <f>""</f>
        <v/>
      </c>
      <c r="CO38" t="str">
        <f>""</f>
        <v/>
      </c>
      <c r="CP38" t="str">
        <f>""</f>
        <v/>
      </c>
      <c r="CQ38" t="str">
        <f>""</f>
        <v/>
      </c>
    </row>
    <row r="39" spans="1:96" x14ac:dyDescent="0.2">
      <c r="A39" t="s">
        <v>6507</v>
      </c>
      <c r="B39" t="s">
        <v>96</v>
      </c>
      <c r="C39" s="1">
        <v>44098</v>
      </c>
      <c r="D39" s="1">
        <v>44105</v>
      </c>
      <c r="F39" t="s">
        <v>97</v>
      </c>
      <c r="G39" t="str">
        <f>"QA Application Tester"</f>
        <v>QA Application Tester</v>
      </c>
      <c r="H39" t="s">
        <v>12168</v>
      </c>
      <c r="I39" t="s">
        <v>722</v>
      </c>
      <c r="J39" t="s">
        <v>98</v>
      </c>
      <c r="K39" s="1">
        <v>44197</v>
      </c>
      <c r="L39" s="1">
        <v>45291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t="s">
        <v>6508</v>
      </c>
      <c r="U39" t="str">
        <f>""</f>
        <v/>
      </c>
      <c r="V39" t="s">
        <v>6509</v>
      </c>
      <c r="W39" t="str">
        <f>"Suite 102"</f>
        <v>Suite 102</v>
      </c>
      <c r="X39" t="s">
        <v>2429</v>
      </c>
      <c r="Y39" t="s">
        <v>265</v>
      </c>
      <c r="Z39" s="3">
        <v>48864</v>
      </c>
      <c r="AA39" t="s">
        <v>101</v>
      </c>
      <c r="AC39" s="4" t="str">
        <f>"+15862325001"</f>
        <v>+15862325001</v>
      </c>
      <c r="AE39" t="str">
        <f t="shared" si="3"/>
        <v>541511</v>
      </c>
      <c r="AF39" t="s">
        <v>2430</v>
      </c>
      <c r="AG39" t="s">
        <v>954</v>
      </c>
      <c r="AI39" t="s">
        <v>629</v>
      </c>
      <c r="AJ39" t="s">
        <v>6509</v>
      </c>
      <c r="AK39" t="str">
        <f>"Suite 102"</f>
        <v>Suite 102</v>
      </c>
      <c r="AL39" t="s">
        <v>2429</v>
      </c>
      <c r="AM39" t="s">
        <v>265</v>
      </c>
      <c r="AN39" s="3">
        <v>48864</v>
      </c>
      <c r="AO39" t="s">
        <v>101</v>
      </c>
      <c r="AQ39" t="str">
        <f>"+15862325001"</f>
        <v>+15862325001</v>
      </c>
      <c r="AS39" t="s">
        <v>2431</v>
      </c>
      <c r="AT39" t="s">
        <v>102</v>
      </c>
      <c r="AU39" t="str">
        <f>""</f>
        <v/>
      </c>
      <c r="AV39" t="str">
        <f>""</f>
        <v/>
      </c>
      <c r="AW39" t="str">
        <f>""</f>
        <v/>
      </c>
      <c r="AX39" t="str">
        <f>""</f>
        <v/>
      </c>
      <c r="AY39" t="str">
        <f>""</f>
        <v/>
      </c>
      <c r="AZ39" t="str">
        <f>""</f>
        <v/>
      </c>
      <c r="BA39" t="str">
        <f>""</f>
        <v/>
      </c>
      <c r="BC39" t="str">
        <f>""</f>
        <v/>
      </c>
      <c r="BD39" t="str">
        <f>""</f>
        <v/>
      </c>
      <c r="BE39" t="str">
        <f>""</f>
        <v/>
      </c>
      <c r="BF39" t="str">
        <f>""</f>
        <v/>
      </c>
      <c r="BG39" t="str">
        <f>""</f>
        <v/>
      </c>
      <c r="BH39" t="str">
        <f>""</f>
        <v/>
      </c>
      <c r="BI39" t="str">
        <f>""</f>
        <v/>
      </c>
      <c r="BJ39" t="str">
        <f>""</f>
        <v/>
      </c>
      <c r="BK39">
        <v>1</v>
      </c>
      <c r="BL39" t="s">
        <v>107</v>
      </c>
      <c r="BM39" t="str">
        <f>"American Family Insurance Group"</f>
        <v>American Family Insurance Group</v>
      </c>
      <c r="BN39" t="s">
        <v>1017</v>
      </c>
      <c r="BO39" t="s">
        <v>108</v>
      </c>
      <c r="BP39" t="s">
        <v>1018</v>
      </c>
      <c r="BQ39" t="s">
        <v>1019</v>
      </c>
      <c r="BR39" t="s">
        <v>330</v>
      </c>
      <c r="BS39" s="5">
        <v>53783</v>
      </c>
      <c r="BT39" s="2">
        <v>44.7</v>
      </c>
      <c r="BV39" t="s">
        <v>210</v>
      </c>
      <c r="BW39" s="2">
        <v>42.51</v>
      </c>
      <c r="BX39" t="s">
        <v>210</v>
      </c>
      <c r="BZ39" t="s">
        <v>159</v>
      </c>
      <c r="CA39" t="str">
        <f t="shared" si="2"/>
        <v>7/1/2020 - 6/30/2021</v>
      </c>
      <c r="CF39">
        <v>2</v>
      </c>
      <c r="CG39" t="s">
        <v>98</v>
      </c>
      <c r="CH39" t="s">
        <v>98</v>
      </c>
      <c r="CI39" t="s">
        <v>206</v>
      </c>
      <c r="CJ39" t="s">
        <v>98</v>
      </c>
      <c r="CK39" t="s">
        <v>12323</v>
      </c>
      <c r="CL39" t="s">
        <v>108</v>
      </c>
      <c r="CM39" t="s">
        <v>109</v>
      </c>
      <c r="CN39" t="str">
        <f>""</f>
        <v/>
      </c>
      <c r="CO39" t="str">
        <f>""</f>
        <v/>
      </c>
      <c r="CP39" t="str">
        <f>""</f>
        <v/>
      </c>
      <c r="CQ39" t="str">
        <f>""</f>
        <v/>
      </c>
    </row>
    <row r="40" spans="1:96" x14ac:dyDescent="0.2">
      <c r="A40" t="s">
        <v>6551</v>
      </c>
      <c r="B40" t="s">
        <v>96</v>
      </c>
      <c r="C40" s="1">
        <v>44098</v>
      </c>
      <c r="D40" s="1">
        <v>44105</v>
      </c>
      <c r="F40" t="s">
        <v>97</v>
      </c>
      <c r="G40" t="str">
        <f>"Senior Project Manager - US "</f>
        <v xml:space="preserve">Senior Project Manager - US </v>
      </c>
      <c r="H40" t="s">
        <v>12168</v>
      </c>
      <c r="I40" t="s">
        <v>367</v>
      </c>
      <c r="J40" t="s">
        <v>98</v>
      </c>
      <c r="K40" s="1">
        <v>44109</v>
      </c>
      <c r="L40" s="1">
        <v>45201</v>
      </c>
      <c r="M40">
        <v>5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723</v>
      </c>
      <c r="U40" t="str">
        <f>""</f>
        <v/>
      </c>
      <c r="V40" t="s">
        <v>724</v>
      </c>
      <c r="W40" t="str">
        <f>"STE C150"</f>
        <v>STE C150</v>
      </c>
      <c r="X40" t="s">
        <v>725</v>
      </c>
      <c r="Y40" t="s">
        <v>114</v>
      </c>
      <c r="Z40" s="3">
        <v>75082</v>
      </c>
      <c r="AA40" t="s">
        <v>101</v>
      </c>
      <c r="AC40" s="4" t="str">
        <f>"+12143062100"</f>
        <v>+12143062100</v>
      </c>
      <c r="AE40" t="str">
        <f t="shared" si="3"/>
        <v>541511</v>
      </c>
      <c r="AF40" t="s">
        <v>726</v>
      </c>
      <c r="AG40" t="s">
        <v>727</v>
      </c>
      <c r="AI40" t="s">
        <v>728</v>
      </c>
      <c r="AJ40" t="s">
        <v>724</v>
      </c>
      <c r="AK40" t="str">
        <f>"STE C150"</f>
        <v>STE C150</v>
      </c>
      <c r="AL40" t="s">
        <v>725</v>
      </c>
      <c r="AM40" t="s">
        <v>114</v>
      </c>
      <c r="AN40" s="3">
        <v>75082</v>
      </c>
      <c r="AO40" t="s">
        <v>101</v>
      </c>
      <c r="AQ40" t="str">
        <f>"+12143062100"</f>
        <v>+12143062100</v>
      </c>
      <c r="AS40" t="s">
        <v>729</v>
      </c>
      <c r="AT40" t="s">
        <v>102</v>
      </c>
      <c r="AU40" t="str">
        <f>""</f>
        <v/>
      </c>
      <c r="AV40" t="str">
        <f>""</f>
        <v/>
      </c>
      <c r="AW40" t="str">
        <f>""</f>
        <v/>
      </c>
      <c r="AX40" t="str">
        <f>""</f>
        <v/>
      </c>
      <c r="AY40" t="str">
        <f>""</f>
        <v/>
      </c>
      <c r="AZ40" t="str">
        <f>""</f>
        <v/>
      </c>
      <c r="BA40" t="str">
        <f>""</f>
        <v/>
      </c>
      <c r="BC40" t="str">
        <f>""</f>
        <v/>
      </c>
      <c r="BD40" t="str">
        <f>""</f>
        <v/>
      </c>
      <c r="BE40" t="str">
        <f>""</f>
        <v/>
      </c>
      <c r="BF40" t="str">
        <f>""</f>
        <v/>
      </c>
      <c r="BG40" t="str">
        <f>""</f>
        <v/>
      </c>
      <c r="BH40" t="str">
        <f>""</f>
        <v/>
      </c>
      <c r="BI40" t="str">
        <f>""</f>
        <v/>
      </c>
      <c r="BJ40" t="str">
        <f>""</f>
        <v/>
      </c>
      <c r="BK40">
        <v>5</v>
      </c>
      <c r="BL40" t="s">
        <v>107</v>
      </c>
      <c r="BM40" t="str">
        <f>"Rite Aid Corporation"</f>
        <v>Rite Aid Corporation</v>
      </c>
      <c r="BN40" t="s">
        <v>6552</v>
      </c>
      <c r="BP40" t="s">
        <v>4021</v>
      </c>
      <c r="BQ40" t="s">
        <v>2026</v>
      </c>
      <c r="BR40" t="s">
        <v>127</v>
      </c>
      <c r="BS40" s="5">
        <v>17011</v>
      </c>
      <c r="BT40" s="2">
        <v>99798</v>
      </c>
      <c r="BU40" s="2">
        <v>123366</v>
      </c>
      <c r="BV40" t="s">
        <v>105</v>
      </c>
      <c r="BW40" s="2">
        <v>99798</v>
      </c>
      <c r="BX40" t="s">
        <v>105</v>
      </c>
      <c r="BZ40" t="s">
        <v>159</v>
      </c>
      <c r="CA40" t="str">
        <f t="shared" si="2"/>
        <v>7/1/2020 - 6/30/2021</v>
      </c>
      <c r="CF40">
        <v>1</v>
      </c>
      <c r="CG40" t="s">
        <v>98</v>
      </c>
      <c r="CH40" t="s">
        <v>98</v>
      </c>
      <c r="CI40" t="s">
        <v>206</v>
      </c>
      <c r="CJ40" t="s">
        <v>98</v>
      </c>
      <c r="CK40" t="s">
        <v>12323</v>
      </c>
      <c r="CL40" t="s">
        <v>108</v>
      </c>
      <c r="CM40" t="s">
        <v>109</v>
      </c>
      <c r="CN40" t="str">
        <f>"ALI"</f>
        <v>ALI</v>
      </c>
      <c r="CO40" t="str">
        <f>"ASIF"</f>
        <v>ASIF</v>
      </c>
      <c r="CP40" t="str">
        <f>""</f>
        <v/>
      </c>
      <c r="CQ40" t="str">
        <f>"INFOSYS LIMITED"</f>
        <v>INFOSYS LIMITED</v>
      </c>
      <c r="CR40" t="s">
        <v>796</v>
      </c>
    </row>
    <row r="41" spans="1:96" x14ac:dyDescent="0.2">
      <c r="A41" t="s">
        <v>6587</v>
      </c>
      <c r="B41" t="s">
        <v>96</v>
      </c>
      <c r="C41" s="1">
        <v>44098</v>
      </c>
      <c r="D41" s="1">
        <v>44105</v>
      </c>
      <c r="F41" t="s">
        <v>97</v>
      </c>
      <c r="G41" t="str">
        <f>"Consultant - US"</f>
        <v>Consultant - US</v>
      </c>
      <c r="H41" t="s">
        <v>12168</v>
      </c>
      <c r="I41" t="s">
        <v>367</v>
      </c>
      <c r="J41" t="s">
        <v>98</v>
      </c>
      <c r="K41" s="1">
        <v>44109</v>
      </c>
      <c r="L41" s="1">
        <v>45201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 t="s">
        <v>723</v>
      </c>
      <c r="U41" t="str">
        <f>""</f>
        <v/>
      </c>
      <c r="V41" t="s">
        <v>724</v>
      </c>
      <c r="W41" t="str">
        <f>"STE C150"</f>
        <v>STE C150</v>
      </c>
      <c r="X41" t="s">
        <v>725</v>
      </c>
      <c r="Y41" t="s">
        <v>114</v>
      </c>
      <c r="Z41" s="3">
        <v>75082</v>
      </c>
      <c r="AA41" t="s">
        <v>101</v>
      </c>
      <c r="AC41" s="4" t="str">
        <f>"+12143062100"</f>
        <v>+12143062100</v>
      </c>
      <c r="AE41" t="str">
        <f t="shared" si="3"/>
        <v>541511</v>
      </c>
      <c r="AF41" t="s">
        <v>726</v>
      </c>
      <c r="AG41" t="s">
        <v>727</v>
      </c>
      <c r="AI41" t="s">
        <v>728</v>
      </c>
      <c r="AJ41" t="s">
        <v>724</v>
      </c>
      <c r="AK41" t="str">
        <f>"STE C150"</f>
        <v>STE C150</v>
      </c>
      <c r="AL41" t="s">
        <v>725</v>
      </c>
      <c r="AM41" t="s">
        <v>114</v>
      </c>
      <c r="AN41" s="3">
        <v>75082</v>
      </c>
      <c r="AO41" t="s">
        <v>101</v>
      </c>
      <c r="AQ41" t="str">
        <f>"+12143062100"</f>
        <v>+12143062100</v>
      </c>
      <c r="AS41" t="s">
        <v>729</v>
      </c>
      <c r="AT41" t="s">
        <v>102</v>
      </c>
      <c r="AU41" t="str">
        <f>""</f>
        <v/>
      </c>
      <c r="AV41" t="str">
        <f>""</f>
        <v/>
      </c>
      <c r="AW41" t="str">
        <f>""</f>
        <v/>
      </c>
      <c r="AX41" t="str">
        <f>""</f>
        <v/>
      </c>
      <c r="AY41" t="str">
        <f>""</f>
        <v/>
      </c>
      <c r="AZ41" t="str">
        <f>""</f>
        <v/>
      </c>
      <c r="BA41" t="str">
        <f>""</f>
        <v/>
      </c>
      <c r="BC41" t="str">
        <f>""</f>
        <v/>
      </c>
      <c r="BD41" t="str">
        <f>""</f>
        <v/>
      </c>
      <c r="BE41" t="str">
        <f>""</f>
        <v/>
      </c>
      <c r="BF41" t="str">
        <f>""</f>
        <v/>
      </c>
      <c r="BG41" t="str">
        <f>""</f>
        <v/>
      </c>
      <c r="BH41" t="str">
        <f>""</f>
        <v/>
      </c>
      <c r="BI41" t="str">
        <f>""</f>
        <v/>
      </c>
      <c r="BJ41" t="str">
        <f>""</f>
        <v/>
      </c>
      <c r="BK41">
        <v>1</v>
      </c>
      <c r="BL41" t="s">
        <v>107</v>
      </c>
      <c r="BM41" t="str">
        <f>"BP Corporation North America, Inc."</f>
        <v>BP Corporation North America, Inc.</v>
      </c>
      <c r="BN41" t="s">
        <v>6588</v>
      </c>
      <c r="BP41" t="s">
        <v>394</v>
      </c>
      <c r="BQ41" t="s">
        <v>395</v>
      </c>
      <c r="BR41" t="s">
        <v>114</v>
      </c>
      <c r="BS41" s="5">
        <v>77079</v>
      </c>
      <c r="BT41" s="2">
        <v>68283</v>
      </c>
      <c r="BV41" t="s">
        <v>105</v>
      </c>
      <c r="BW41" s="2">
        <v>67163</v>
      </c>
      <c r="BX41" t="s">
        <v>105</v>
      </c>
      <c r="BZ41" t="s">
        <v>167</v>
      </c>
      <c r="CA41" t="str">
        <f t="shared" si="2"/>
        <v>7/1/2020 - 6/30/2021</v>
      </c>
      <c r="CF41">
        <v>1</v>
      </c>
      <c r="CG41" t="s">
        <v>98</v>
      </c>
      <c r="CH41" t="s">
        <v>98</v>
      </c>
      <c r="CI41" t="s">
        <v>206</v>
      </c>
      <c r="CJ41" t="s">
        <v>98</v>
      </c>
      <c r="CK41" t="s">
        <v>12323</v>
      </c>
      <c r="CL41" t="s">
        <v>108</v>
      </c>
      <c r="CM41" t="s">
        <v>109</v>
      </c>
      <c r="CN41" t="str">
        <f>"Khanum"</f>
        <v>Khanum</v>
      </c>
      <c r="CO41" t="str">
        <f>"Hajeera"</f>
        <v>Hajeera</v>
      </c>
      <c r="CP41" t="str">
        <f>""</f>
        <v/>
      </c>
      <c r="CQ41" t="str">
        <f>"Infosys Limited"</f>
        <v>Infosys Limited</v>
      </c>
      <c r="CR41" t="s">
        <v>900</v>
      </c>
    </row>
    <row r="42" spans="1:96" x14ac:dyDescent="0.2">
      <c r="A42" t="s">
        <v>6592</v>
      </c>
      <c r="B42" t="s">
        <v>96</v>
      </c>
      <c r="C42" s="1">
        <v>44098</v>
      </c>
      <c r="D42" s="1">
        <v>44105</v>
      </c>
      <c r="F42" t="s">
        <v>97</v>
      </c>
      <c r="G42" t="str">
        <f>"Senior Software Developer"</f>
        <v>Senior Software Developer</v>
      </c>
      <c r="H42" t="s">
        <v>12169</v>
      </c>
      <c r="I42" t="s">
        <v>124</v>
      </c>
      <c r="J42" t="s">
        <v>98</v>
      </c>
      <c r="K42" s="1">
        <v>44099</v>
      </c>
      <c r="L42" s="1">
        <v>45193</v>
      </c>
      <c r="M42">
        <v>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 t="s">
        <v>2509</v>
      </c>
      <c r="U42" t="str">
        <f>"Mastech Digital InfoTech, Inc."</f>
        <v>Mastech Digital InfoTech, Inc.</v>
      </c>
      <c r="V42" t="s">
        <v>1081</v>
      </c>
      <c r="W42" t="str">
        <f>"Bldg. 210, Suite 400"</f>
        <v>Bldg. 210, Suite 400</v>
      </c>
      <c r="X42" t="s">
        <v>1082</v>
      </c>
      <c r="Y42" t="s">
        <v>127</v>
      </c>
      <c r="Z42" s="3">
        <v>15108</v>
      </c>
      <c r="AA42" t="s">
        <v>101</v>
      </c>
      <c r="AB42" t="s">
        <v>2510</v>
      </c>
      <c r="AC42" s="4" t="str">
        <f>"+14127879553"</f>
        <v>+14127879553</v>
      </c>
      <c r="AE42" t="str">
        <f t="shared" si="3"/>
        <v>541511</v>
      </c>
      <c r="AF42" t="s">
        <v>1083</v>
      </c>
      <c r="AG42" t="s">
        <v>1084</v>
      </c>
      <c r="AI42" t="s">
        <v>1085</v>
      </c>
      <c r="AJ42" t="s">
        <v>1081</v>
      </c>
      <c r="AK42" t="str">
        <f>"Bldg. 210, Ste 400"</f>
        <v>Bldg. 210, Ste 400</v>
      </c>
      <c r="AL42" t="s">
        <v>1082</v>
      </c>
      <c r="AM42" t="s">
        <v>127</v>
      </c>
      <c r="AN42" s="3">
        <v>15108</v>
      </c>
      <c r="AO42" t="s">
        <v>101</v>
      </c>
      <c r="AQ42" t="str">
        <f>"+14127879553"</f>
        <v>+14127879553</v>
      </c>
      <c r="AS42" t="s">
        <v>1086</v>
      </c>
      <c r="AT42" t="s">
        <v>102</v>
      </c>
      <c r="AU42" t="str">
        <f>""</f>
        <v/>
      </c>
      <c r="AV42" t="str">
        <f>""</f>
        <v/>
      </c>
      <c r="AW42" t="str">
        <f>""</f>
        <v/>
      </c>
      <c r="AX42" t="str">
        <f>""</f>
        <v/>
      </c>
      <c r="AY42" t="str">
        <f>""</f>
        <v/>
      </c>
      <c r="AZ42" t="str">
        <f>""</f>
        <v/>
      </c>
      <c r="BA42" t="str">
        <f>""</f>
        <v/>
      </c>
      <c r="BC42" t="str">
        <f>""</f>
        <v/>
      </c>
      <c r="BD42" t="str">
        <f>""</f>
        <v/>
      </c>
      <c r="BE42" t="str">
        <f>""</f>
        <v/>
      </c>
      <c r="BF42" t="str">
        <f>""</f>
        <v/>
      </c>
      <c r="BG42" t="str">
        <f>""</f>
        <v/>
      </c>
      <c r="BH42" t="str">
        <f>""</f>
        <v/>
      </c>
      <c r="BI42" t="str">
        <f>""</f>
        <v/>
      </c>
      <c r="BJ42" t="str">
        <f>""</f>
        <v/>
      </c>
      <c r="BK42">
        <v>6</v>
      </c>
      <c r="BL42" t="s">
        <v>107</v>
      </c>
      <c r="BM42" t="str">
        <f>"PNC Bank"</f>
        <v>PNC Bank</v>
      </c>
      <c r="BN42" t="s">
        <v>3761</v>
      </c>
      <c r="BP42" t="s">
        <v>333</v>
      </c>
      <c r="BQ42" t="s">
        <v>861</v>
      </c>
      <c r="BR42" t="s">
        <v>127</v>
      </c>
      <c r="BS42" s="5">
        <v>15222</v>
      </c>
      <c r="BT42" s="2">
        <v>95264</v>
      </c>
      <c r="BU42" s="2">
        <v>110264</v>
      </c>
      <c r="BV42" t="s">
        <v>105</v>
      </c>
      <c r="BW42" s="2">
        <v>95264</v>
      </c>
      <c r="BX42" t="s">
        <v>105</v>
      </c>
      <c r="BZ42" t="s">
        <v>123</v>
      </c>
      <c r="CA42" t="str">
        <f t="shared" si="2"/>
        <v>7/1/2020 - 6/30/2021</v>
      </c>
      <c r="CF42">
        <v>2</v>
      </c>
      <c r="CG42" t="s">
        <v>98</v>
      </c>
      <c r="CH42" t="s">
        <v>98</v>
      </c>
      <c r="CI42" t="s">
        <v>206</v>
      </c>
      <c r="CJ42" t="s">
        <v>98</v>
      </c>
      <c r="CK42" t="s">
        <v>12323</v>
      </c>
      <c r="CL42" t="s">
        <v>108</v>
      </c>
      <c r="CM42" t="s">
        <v>109</v>
      </c>
      <c r="CN42" t="str">
        <f>""</f>
        <v/>
      </c>
      <c r="CO42" t="str">
        <f>""</f>
        <v/>
      </c>
      <c r="CP42" t="str">
        <f>""</f>
        <v/>
      </c>
      <c r="CQ42" t="str">
        <f>""</f>
        <v/>
      </c>
    </row>
    <row r="43" spans="1:96" x14ac:dyDescent="0.2">
      <c r="A43" t="s">
        <v>6601</v>
      </c>
      <c r="B43" t="s">
        <v>96</v>
      </c>
      <c r="C43" s="1">
        <v>44098</v>
      </c>
      <c r="D43" s="1">
        <v>44105</v>
      </c>
      <c r="F43" t="s">
        <v>97</v>
      </c>
      <c r="G43" t="str">
        <f>"Technology Architect - US "</f>
        <v xml:space="preserve">Technology Architect - US </v>
      </c>
      <c r="H43" t="s">
        <v>12168</v>
      </c>
      <c r="I43" t="s">
        <v>160</v>
      </c>
      <c r="J43" t="s">
        <v>98</v>
      </c>
      <c r="K43" s="1">
        <v>44109</v>
      </c>
      <c r="L43" s="1">
        <v>45202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 t="s">
        <v>723</v>
      </c>
      <c r="U43" t="str">
        <f>""</f>
        <v/>
      </c>
      <c r="V43" t="s">
        <v>724</v>
      </c>
      <c r="W43" t="str">
        <f>"STE C150"</f>
        <v>STE C150</v>
      </c>
      <c r="X43" t="s">
        <v>725</v>
      </c>
      <c r="Y43" t="s">
        <v>114</v>
      </c>
      <c r="Z43" s="3">
        <v>75082</v>
      </c>
      <c r="AA43" t="s">
        <v>101</v>
      </c>
      <c r="AC43" s="4" t="str">
        <f>"+12143062100"</f>
        <v>+12143062100</v>
      </c>
      <c r="AE43" t="str">
        <f t="shared" si="3"/>
        <v>541511</v>
      </c>
      <c r="AF43" t="s">
        <v>726</v>
      </c>
      <c r="AG43" t="s">
        <v>727</v>
      </c>
      <c r="AI43" t="s">
        <v>728</v>
      </c>
      <c r="AJ43" t="s">
        <v>724</v>
      </c>
      <c r="AK43" t="str">
        <f>"STE C150"</f>
        <v>STE C150</v>
      </c>
      <c r="AL43" t="s">
        <v>725</v>
      </c>
      <c r="AM43" t="s">
        <v>114</v>
      </c>
      <c r="AN43" s="3">
        <v>75082</v>
      </c>
      <c r="AO43" t="s">
        <v>101</v>
      </c>
      <c r="AQ43" t="str">
        <f>"+12143062100"</f>
        <v>+12143062100</v>
      </c>
      <c r="AS43" t="s">
        <v>729</v>
      </c>
      <c r="AT43" t="s">
        <v>102</v>
      </c>
      <c r="AU43" t="str">
        <f>""</f>
        <v/>
      </c>
      <c r="AV43" t="str">
        <f>""</f>
        <v/>
      </c>
      <c r="AW43" t="str">
        <f>""</f>
        <v/>
      </c>
      <c r="AX43" t="str">
        <f>""</f>
        <v/>
      </c>
      <c r="AY43" t="str">
        <f>""</f>
        <v/>
      </c>
      <c r="AZ43" t="str">
        <f>""</f>
        <v/>
      </c>
      <c r="BA43" t="str">
        <f>""</f>
        <v/>
      </c>
      <c r="BC43" t="str">
        <f>""</f>
        <v/>
      </c>
      <c r="BD43" t="str">
        <f>""</f>
        <v/>
      </c>
      <c r="BE43" t="str">
        <f>""</f>
        <v/>
      </c>
      <c r="BF43" t="str">
        <f>""</f>
        <v/>
      </c>
      <c r="BG43" t="str">
        <f>""</f>
        <v/>
      </c>
      <c r="BH43" t="str">
        <f>""</f>
        <v/>
      </c>
      <c r="BI43" t="str">
        <f>""</f>
        <v/>
      </c>
      <c r="BJ43" t="str">
        <f>""</f>
        <v/>
      </c>
      <c r="BK43">
        <v>1</v>
      </c>
      <c r="BL43" t="s">
        <v>107</v>
      </c>
      <c r="BM43" t="str">
        <f>"American Express Travel Related Services Company, Inc."</f>
        <v>American Express Travel Related Services Company, Inc.</v>
      </c>
      <c r="BN43" t="s">
        <v>6355</v>
      </c>
      <c r="BP43" t="s">
        <v>299</v>
      </c>
      <c r="BQ43" t="s">
        <v>257</v>
      </c>
      <c r="BR43" t="s">
        <v>258</v>
      </c>
      <c r="BS43" s="5">
        <v>85054</v>
      </c>
      <c r="BT43" s="2">
        <v>86133</v>
      </c>
      <c r="BV43" t="s">
        <v>105</v>
      </c>
      <c r="BW43" s="2">
        <v>86133</v>
      </c>
      <c r="BX43" t="s">
        <v>105</v>
      </c>
      <c r="BZ43" t="s">
        <v>123</v>
      </c>
      <c r="CA43" t="str">
        <f t="shared" si="2"/>
        <v>7/1/2020 - 6/30/2021</v>
      </c>
      <c r="CF43">
        <v>1</v>
      </c>
      <c r="CG43" t="s">
        <v>98</v>
      </c>
      <c r="CH43" t="s">
        <v>98</v>
      </c>
      <c r="CI43" t="s">
        <v>206</v>
      </c>
      <c r="CJ43" t="s">
        <v>98</v>
      </c>
      <c r="CK43" t="s">
        <v>12323</v>
      </c>
      <c r="CL43" t="s">
        <v>108</v>
      </c>
      <c r="CM43" t="s">
        <v>109</v>
      </c>
      <c r="CN43" t="str">
        <f>"JAYARAM"</f>
        <v>JAYARAM</v>
      </c>
      <c r="CO43" t="str">
        <f>"SUSHMA"</f>
        <v>SUSHMA</v>
      </c>
      <c r="CP43" t="str">
        <f>""</f>
        <v/>
      </c>
      <c r="CQ43" t="str">
        <f>"INFOSYS LIMITED"</f>
        <v>INFOSYS LIMITED</v>
      </c>
      <c r="CR43" t="s">
        <v>3699</v>
      </c>
    </row>
    <row r="44" spans="1:96" x14ac:dyDescent="0.2">
      <c r="A44" t="s">
        <v>6693</v>
      </c>
      <c r="B44" t="s">
        <v>96</v>
      </c>
      <c r="C44" s="1">
        <v>44098</v>
      </c>
      <c r="D44" s="1">
        <v>44105</v>
      </c>
      <c r="F44" t="s">
        <v>97</v>
      </c>
      <c r="G44" t="str">
        <f>"PROGRAMMER ANALYST"</f>
        <v>PROGRAMMER ANALYST</v>
      </c>
      <c r="H44" t="s">
        <v>12181</v>
      </c>
      <c r="I44" t="s">
        <v>110</v>
      </c>
      <c r="J44" t="s">
        <v>98</v>
      </c>
      <c r="K44" s="1">
        <v>44098</v>
      </c>
      <c r="L44" s="1">
        <v>45192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 t="s">
        <v>632</v>
      </c>
      <c r="U44" t="str">
        <f>""</f>
        <v/>
      </c>
      <c r="V44" t="s">
        <v>633</v>
      </c>
      <c r="W44" t="str">
        <f>""</f>
        <v/>
      </c>
      <c r="X44" t="s">
        <v>634</v>
      </c>
      <c r="Y44" t="s">
        <v>265</v>
      </c>
      <c r="Z44" s="3">
        <v>48374</v>
      </c>
      <c r="AA44" t="s">
        <v>101</v>
      </c>
      <c r="AC44" s="4" t="str">
        <f>"+12483501515"</f>
        <v>+12483501515</v>
      </c>
      <c r="AE44" t="str">
        <f>"541512"</f>
        <v>541512</v>
      </c>
      <c r="AF44" t="s">
        <v>635</v>
      </c>
      <c r="AG44" t="s">
        <v>636</v>
      </c>
      <c r="AH44" t="s">
        <v>637</v>
      </c>
      <c r="AI44" t="s">
        <v>638</v>
      </c>
      <c r="AJ44" t="s">
        <v>633</v>
      </c>
      <c r="AK44" t="str">
        <f>""</f>
        <v/>
      </c>
      <c r="AL44" t="s">
        <v>634</v>
      </c>
      <c r="AM44" t="s">
        <v>265</v>
      </c>
      <c r="AN44" s="3">
        <v>48374</v>
      </c>
      <c r="AO44" t="s">
        <v>101</v>
      </c>
      <c r="AQ44" t="str">
        <f>"+12483501515"</f>
        <v>+12483501515</v>
      </c>
      <c r="AS44" t="s">
        <v>639</v>
      </c>
      <c r="AT44" t="s">
        <v>102</v>
      </c>
      <c r="AU44" t="str">
        <f>""</f>
        <v/>
      </c>
      <c r="AV44" t="str">
        <f>""</f>
        <v/>
      </c>
      <c r="AW44" t="str">
        <f>""</f>
        <v/>
      </c>
      <c r="AX44" t="str">
        <f>""</f>
        <v/>
      </c>
      <c r="AY44" t="str">
        <f>""</f>
        <v/>
      </c>
      <c r="AZ44" t="str">
        <f>""</f>
        <v/>
      </c>
      <c r="BA44" t="str">
        <f>""</f>
        <v/>
      </c>
      <c r="BC44" t="str">
        <f>""</f>
        <v/>
      </c>
      <c r="BD44" t="str">
        <f>""</f>
        <v/>
      </c>
      <c r="BE44" t="str">
        <f>""</f>
        <v/>
      </c>
      <c r="BF44" t="str">
        <f>""</f>
        <v/>
      </c>
      <c r="BG44" t="str">
        <f>""</f>
        <v/>
      </c>
      <c r="BH44" t="str">
        <f>""</f>
        <v/>
      </c>
      <c r="BI44" t="str">
        <f>""</f>
        <v/>
      </c>
      <c r="BJ44" t="str">
        <f>""</f>
        <v/>
      </c>
      <c r="BK44">
        <v>1</v>
      </c>
      <c r="BL44" t="s">
        <v>107</v>
      </c>
      <c r="BM44" t="str">
        <f>"MIRACLE SOFTWARE SYSTEMS, INC."</f>
        <v>MIRACLE SOFTWARE SYSTEMS, INC.</v>
      </c>
      <c r="BN44" t="s">
        <v>6694</v>
      </c>
      <c r="BP44" t="s">
        <v>998</v>
      </c>
      <c r="BQ44" t="s">
        <v>121</v>
      </c>
      <c r="BR44" t="s">
        <v>122</v>
      </c>
      <c r="BS44" s="5">
        <v>28277</v>
      </c>
      <c r="BT44" s="2">
        <v>80766</v>
      </c>
      <c r="BV44" t="s">
        <v>105</v>
      </c>
      <c r="BW44" s="2">
        <v>80766</v>
      </c>
      <c r="BX44" t="s">
        <v>105</v>
      </c>
      <c r="BZ44" t="s">
        <v>167</v>
      </c>
      <c r="CA44" t="str">
        <f t="shared" si="2"/>
        <v>7/1/2020 - 6/30/2021</v>
      </c>
      <c r="CF44">
        <v>2</v>
      </c>
      <c r="CG44" t="s">
        <v>98</v>
      </c>
      <c r="CH44" t="s">
        <v>98</v>
      </c>
      <c r="CI44" t="s">
        <v>206</v>
      </c>
      <c r="CJ44" t="s">
        <v>98</v>
      </c>
      <c r="CK44" t="s">
        <v>12323</v>
      </c>
      <c r="CL44" t="s">
        <v>108</v>
      </c>
      <c r="CM44" t="s">
        <v>109</v>
      </c>
      <c r="CN44" t="str">
        <f>"RATNALA"</f>
        <v>RATNALA</v>
      </c>
      <c r="CO44" t="str">
        <f>"RAMA"</f>
        <v>RAMA</v>
      </c>
      <c r="CP44" t="str">
        <f>"D"</f>
        <v>D</v>
      </c>
      <c r="CQ44" t="str">
        <f>"MIRACLE SOFTWARE SYSTEMS, INC."</f>
        <v>MIRACLE SOFTWARE SYSTEMS, INC.</v>
      </c>
      <c r="CR44" t="s">
        <v>642</v>
      </c>
    </row>
    <row r="45" spans="1:96" x14ac:dyDescent="0.2">
      <c r="A45" t="s">
        <v>6754</v>
      </c>
      <c r="B45" t="s">
        <v>96</v>
      </c>
      <c r="C45" s="1">
        <v>44098</v>
      </c>
      <c r="D45" s="1">
        <v>44105</v>
      </c>
      <c r="F45" t="s">
        <v>97</v>
      </c>
      <c r="G45" t="str">
        <f>"Senior Stress Engineer"</f>
        <v>Senior Stress Engineer</v>
      </c>
      <c r="H45" t="s">
        <v>12204</v>
      </c>
      <c r="I45" t="s">
        <v>2798</v>
      </c>
      <c r="J45" t="s">
        <v>98</v>
      </c>
      <c r="K45" s="1">
        <v>44109</v>
      </c>
      <c r="L45" s="1">
        <v>45203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5931</v>
      </c>
      <c r="U45" t="str">
        <f>""</f>
        <v/>
      </c>
      <c r="V45" t="s">
        <v>5932</v>
      </c>
      <c r="W45" t="str">
        <f>""</f>
        <v/>
      </c>
      <c r="X45" t="s">
        <v>3409</v>
      </c>
      <c r="Y45" t="s">
        <v>280</v>
      </c>
      <c r="Z45" s="3">
        <v>6108</v>
      </c>
      <c r="AA45" t="s">
        <v>101</v>
      </c>
      <c r="AC45" s="4" t="str">
        <f>"+14087757667"</f>
        <v>+14087757667</v>
      </c>
      <c r="AE45" t="str">
        <f>"541330"</f>
        <v>541330</v>
      </c>
      <c r="AF45" t="s">
        <v>1472</v>
      </c>
      <c r="AG45" t="s">
        <v>5933</v>
      </c>
      <c r="AI45" t="s">
        <v>5934</v>
      </c>
      <c r="AJ45" t="s">
        <v>5932</v>
      </c>
      <c r="AK45" t="str">
        <f>""</f>
        <v/>
      </c>
      <c r="AL45" t="s">
        <v>3409</v>
      </c>
      <c r="AM45" t="s">
        <v>280</v>
      </c>
      <c r="AN45" s="3">
        <v>6108</v>
      </c>
      <c r="AO45" t="s">
        <v>101</v>
      </c>
      <c r="AQ45" t="str">
        <f>"+14087757667"</f>
        <v>+14087757667</v>
      </c>
      <c r="AS45" t="s">
        <v>5935</v>
      </c>
      <c r="AT45" t="s">
        <v>102</v>
      </c>
      <c r="AU45" t="str">
        <f>""</f>
        <v/>
      </c>
      <c r="AV45" t="str">
        <f>""</f>
        <v/>
      </c>
      <c r="AW45" t="str">
        <f>""</f>
        <v/>
      </c>
      <c r="AX45" t="str">
        <f>""</f>
        <v/>
      </c>
      <c r="AY45" t="str">
        <f>""</f>
        <v/>
      </c>
      <c r="AZ45" t="str">
        <f>""</f>
        <v/>
      </c>
      <c r="BA45" t="str">
        <f>""</f>
        <v/>
      </c>
      <c r="BC45" t="str">
        <f>""</f>
        <v/>
      </c>
      <c r="BD45" t="str">
        <f>""</f>
        <v/>
      </c>
      <c r="BE45" t="str">
        <f>""</f>
        <v/>
      </c>
      <c r="BF45" t="str">
        <f>""</f>
        <v/>
      </c>
      <c r="BG45" t="str">
        <f>""</f>
        <v/>
      </c>
      <c r="BH45" t="str">
        <f>""</f>
        <v/>
      </c>
      <c r="BI45" t="str">
        <f>""</f>
        <v/>
      </c>
      <c r="BJ45" t="str">
        <f>""</f>
        <v/>
      </c>
      <c r="BK45">
        <v>1</v>
      </c>
      <c r="BL45" t="s">
        <v>107</v>
      </c>
      <c r="BM45" t="str">
        <f>"Collins Aerospace"</f>
        <v>Collins Aerospace</v>
      </c>
      <c r="BN45" t="s">
        <v>6755</v>
      </c>
      <c r="BP45" t="s">
        <v>6756</v>
      </c>
      <c r="BQ45" t="s">
        <v>158</v>
      </c>
      <c r="BR45" t="s">
        <v>141</v>
      </c>
      <c r="BS45" s="5">
        <v>91910</v>
      </c>
      <c r="BT45" s="2">
        <v>110280</v>
      </c>
      <c r="BU45" s="2">
        <v>123031</v>
      </c>
      <c r="BV45" t="s">
        <v>105</v>
      </c>
      <c r="BW45" s="2">
        <v>105747</v>
      </c>
      <c r="BX45" t="s">
        <v>105</v>
      </c>
      <c r="BZ45" t="s">
        <v>123</v>
      </c>
      <c r="CA45" t="str">
        <f t="shared" si="2"/>
        <v>7/1/2020 - 6/30/2021</v>
      </c>
      <c r="CF45">
        <v>1</v>
      </c>
      <c r="CG45" t="s">
        <v>98</v>
      </c>
      <c r="CH45" t="s">
        <v>98</v>
      </c>
      <c r="CI45" t="s">
        <v>206</v>
      </c>
      <c r="CJ45" t="s">
        <v>98</v>
      </c>
      <c r="CK45" t="s">
        <v>12323</v>
      </c>
      <c r="CL45" t="s">
        <v>108</v>
      </c>
      <c r="CM45" t="s">
        <v>109</v>
      </c>
      <c r="CN45" t="str">
        <f>"SURESH"</f>
        <v>SURESH</v>
      </c>
      <c r="CO45" t="str">
        <f>"MANJUNATH"</f>
        <v>MANJUNATH</v>
      </c>
      <c r="CP45" t="str">
        <f>""</f>
        <v/>
      </c>
      <c r="CQ45" t="str">
        <f>"QUEST GLOBAL SERVICES N A INC"</f>
        <v>QUEST GLOBAL SERVICES N A INC</v>
      </c>
      <c r="CR45" t="s">
        <v>5935</v>
      </c>
    </row>
    <row r="46" spans="1:96" x14ac:dyDescent="0.2">
      <c r="A46" t="s">
        <v>6808</v>
      </c>
      <c r="B46" t="s">
        <v>96</v>
      </c>
      <c r="C46" s="1">
        <v>44098</v>
      </c>
      <c r="D46" s="1">
        <v>44105</v>
      </c>
      <c r="F46" t="s">
        <v>97</v>
      </c>
      <c r="G46" t="str">
        <f>"Principal Consultant - US"</f>
        <v>Principal Consultant - US</v>
      </c>
      <c r="H46" t="s">
        <v>12214</v>
      </c>
      <c r="I46" t="s">
        <v>276</v>
      </c>
      <c r="J46" t="s">
        <v>98</v>
      </c>
      <c r="K46" s="1">
        <v>44109</v>
      </c>
      <c r="L46" s="1">
        <v>45202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 t="s">
        <v>723</v>
      </c>
      <c r="U46" t="str">
        <f>""</f>
        <v/>
      </c>
      <c r="V46" t="s">
        <v>724</v>
      </c>
      <c r="W46" t="str">
        <f>"STE C150"</f>
        <v>STE C150</v>
      </c>
      <c r="X46" t="s">
        <v>725</v>
      </c>
      <c r="Y46" t="s">
        <v>114</v>
      </c>
      <c r="Z46" s="3">
        <v>75082</v>
      </c>
      <c r="AA46" t="s">
        <v>101</v>
      </c>
      <c r="AC46" s="4" t="str">
        <f>"+12143062100"</f>
        <v>+12143062100</v>
      </c>
      <c r="AE46" t="str">
        <f>"541511"</f>
        <v>541511</v>
      </c>
      <c r="AF46" t="s">
        <v>726</v>
      </c>
      <c r="AG46" t="s">
        <v>727</v>
      </c>
      <c r="AI46" t="s">
        <v>728</v>
      </c>
      <c r="AJ46" t="s">
        <v>724</v>
      </c>
      <c r="AK46" t="str">
        <f>"STE C150"</f>
        <v>STE C150</v>
      </c>
      <c r="AL46" t="s">
        <v>725</v>
      </c>
      <c r="AM46" t="s">
        <v>114</v>
      </c>
      <c r="AN46" s="3">
        <v>75082</v>
      </c>
      <c r="AO46" t="s">
        <v>101</v>
      </c>
      <c r="AQ46" t="str">
        <f>"+12143062100"</f>
        <v>+12143062100</v>
      </c>
      <c r="AS46" t="s">
        <v>729</v>
      </c>
      <c r="AT46" t="s">
        <v>102</v>
      </c>
      <c r="AU46" t="str">
        <f>""</f>
        <v/>
      </c>
      <c r="AV46" t="str">
        <f>""</f>
        <v/>
      </c>
      <c r="AW46" t="str">
        <f>""</f>
        <v/>
      </c>
      <c r="AX46" t="str">
        <f>""</f>
        <v/>
      </c>
      <c r="AY46" t="str">
        <f>""</f>
        <v/>
      </c>
      <c r="AZ46" t="str">
        <f>""</f>
        <v/>
      </c>
      <c r="BA46" t="str">
        <f>""</f>
        <v/>
      </c>
      <c r="BC46" t="str">
        <f>""</f>
        <v/>
      </c>
      <c r="BD46" t="str">
        <f>""</f>
        <v/>
      </c>
      <c r="BE46" t="str">
        <f>""</f>
        <v/>
      </c>
      <c r="BF46" t="str">
        <f>""</f>
        <v/>
      </c>
      <c r="BG46" t="str">
        <f>""</f>
        <v/>
      </c>
      <c r="BH46" t="str">
        <f>""</f>
        <v/>
      </c>
      <c r="BI46" t="str">
        <f>""</f>
        <v/>
      </c>
      <c r="BJ46" t="str">
        <f>""</f>
        <v/>
      </c>
      <c r="BK46">
        <v>1</v>
      </c>
      <c r="BL46" t="s">
        <v>107</v>
      </c>
      <c r="BM46" t="str">
        <f>"Daimler AG "</f>
        <v xml:space="preserve">Daimler AG </v>
      </c>
      <c r="BN46" t="s">
        <v>6809</v>
      </c>
      <c r="BP46" t="s">
        <v>3333</v>
      </c>
      <c r="BQ46" t="s">
        <v>214</v>
      </c>
      <c r="BR46" t="s">
        <v>215</v>
      </c>
      <c r="BS46" s="5">
        <v>30328</v>
      </c>
      <c r="BT46" s="2">
        <v>118955</v>
      </c>
      <c r="BV46" t="s">
        <v>105</v>
      </c>
      <c r="BW46" s="2">
        <v>118955</v>
      </c>
      <c r="BX46" t="s">
        <v>105</v>
      </c>
      <c r="BZ46" t="s">
        <v>159</v>
      </c>
      <c r="CA46" t="str">
        <f t="shared" si="2"/>
        <v>7/1/2020 - 6/30/2021</v>
      </c>
      <c r="CF46">
        <v>1</v>
      </c>
      <c r="CG46" t="s">
        <v>98</v>
      </c>
      <c r="CH46" t="s">
        <v>98</v>
      </c>
      <c r="CI46" t="s">
        <v>206</v>
      </c>
      <c r="CJ46" t="s">
        <v>98</v>
      </c>
      <c r="CK46" t="s">
        <v>12323</v>
      </c>
      <c r="CL46" t="s">
        <v>108</v>
      </c>
      <c r="CM46" t="s">
        <v>109</v>
      </c>
      <c r="CN46" t="str">
        <f>"JAYARAM"</f>
        <v>JAYARAM</v>
      </c>
      <c r="CO46" t="str">
        <f>"SUSHMA"</f>
        <v>SUSHMA</v>
      </c>
      <c r="CP46" t="str">
        <f>""</f>
        <v/>
      </c>
      <c r="CQ46" t="str">
        <f>"INFOSYS LIMITED"</f>
        <v>INFOSYS LIMITED</v>
      </c>
      <c r="CR46" t="s">
        <v>3699</v>
      </c>
    </row>
    <row r="47" spans="1:96" x14ac:dyDescent="0.2">
      <c r="A47" t="s">
        <v>6882</v>
      </c>
      <c r="B47" t="s">
        <v>96</v>
      </c>
      <c r="C47" s="1">
        <v>44098</v>
      </c>
      <c r="D47" s="1">
        <v>44105</v>
      </c>
      <c r="F47" t="s">
        <v>97</v>
      </c>
      <c r="G47" t="str">
        <f>"Senior Systems Analyst JC60"</f>
        <v>Senior Systems Analyst JC60</v>
      </c>
      <c r="H47" t="s">
        <v>12181</v>
      </c>
      <c r="I47" t="s">
        <v>110</v>
      </c>
      <c r="J47" t="s">
        <v>98</v>
      </c>
      <c r="K47" s="1">
        <v>44107</v>
      </c>
      <c r="L47" s="1">
        <v>45201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111</v>
      </c>
      <c r="U47" t="str">
        <f>"CTSUS"</f>
        <v>CTSUS</v>
      </c>
      <c r="V47" t="s">
        <v>112</v>
      </c>
      <c r="W47" t="str">
        <f>""</f>
        <v/>
      </c>
      <c r="X47" t="s">
        <v>113</v>
      </c>
      <c r="Y47" t="s">
        <v>114</v>
      </c>
      <c r="Z47" s="3">
        <v>77845</v>
      </c>
      <c r="AA47" t="s">
        <v>101</v>
      </c>
      <c r="AB47" t="s">
        <v>114</v>
      </c>
      <c r="AC47" s="4" t="str">
        <f>"+19793296682"</f>
        <v>+19793296682</v>
      </c>
      <c r="AE47" t="str">
        <f>"541512"</f>
        <v>541512</v>
      </c>
      <c r="AF47" t="s">
        <v>115</v>
      </c>
      <c r="AG47" t="s">
        <v>116</v>
      </c>
      <c r="AH47" t="s">
        <v>108</v>
      </c>
      <c r="AI47" t="s">
        <v>117</v>
      </c>
      <c r="AJ47" t="s">
        <v>118</v>
      </c>
      <c r="AK47" t="str">
        <f>""</f>
        <v/>
      </c>
      <c r="AL47" t="s">
        <v>119</v>
      </c>
      <c r="AM47" t="s">
        <v>114</v>
      </c>
      <c r="AN47" s="3">
        <v>77845</v>
      </c>
      <c r="AO47" t="s">
        <v>101</v>
      </c>
      <c r="AQ47" t="str">
        <f>"+19793296682"</f>
        <v>+19793296682</v>
      </c>
      <c r="AS47" t="s">
        <v>120</v>
      </c>
      <c r="AT47" t="s">
        <v>102</v>
      </c>
      <c r="AU47" t="str">
        <f>""</f>
        <v/>
      </c>
      <c r="AV47" t="str">
        <f>""</f>
        <v/>
      </c>
      <c r="AW47" t="str">
        <f>""</f>
        <v/>
      </c>
      <c r="AX47" t="str">
        <f>""</f>
        <v/>
      </c>
      <c r="AY47" t="str">
        <f>""</f>
        <v/>
      </c>
      <c r="AZ47" t="str">
        <f>""</f>
        <v/>
      </c>
      <c r="BA47" t="str">
        <f>""</f>
        <v/>
      </c>
      <c r="BC47" t="str">
        <f>""</f>
        <v/>
      </c>
      <c r="BD47" t="str">
        <f>""</f>
        <v/>
      </c>
      <c r="BE47" t="str">
        <f>""</f>
        <v/>
      </c>
      <c r="BF47" t="str">
        <f>""</f>
        <v/>
      </c>
      <c r="BG47" t="str">
        <f>""</f>
        <v/>
      </c>
      <c r="BH47" t="str">
        <f>""</f>
        <v/>
      </c>
      <c r="BI47" t="str">
        <f>""</f>
        <v/>
      </c>
      <c r="BJ47" t="str">
        <f>""</f>
        <v/>
      </c>
      <c r="BK47">
        <v>1</v>
      </c>
      <c r="BL47" t="s">
        <v>102</v>
      </c>
      <c r="BM47" t="str">
        <f>""</f>
        <v/>
      </c>
      <c r="BN47" t="s">
        <v>6883</v>
      </c>
      <c r="BP47" t="s">
        <v>2444</v>
      </c>
      <c r="BQ47" t="s">
        <v>719</v>
      </c>
      <c r="BR47" t="s">
        <v>265</v>
      </c>
      <c r="BS47" s="5">
        <v>48326</v>
      </c>
      <c r="BT47" s="2">
        <v>75213</v>
      </c>
      <c r="BV47" t="s">
        <v>105</v>
      </c>
      <c r="BW47" s="2">
        <v>75213</v>
      </c>
      <c r="BX47" t="s">
        <v>105</v>
      </c>
      <c r="BZ47" t="s">
        <v>167</v>
      </c>
      <c r="CA47" t="str">
        <f t="shared" si="2"/>
        <v>7/1/2020 - 6/30/2021</v>
      </c>
      <c r="CF47">
        <v>1</v>
      </c>
      <c r="CG47" t="s">
        <v>98</v>
      </c>
      <c r="CH47" t="s">
        <v>98</v>
      </c>
      <c r="CI47" t="s">
        <v>206</v>
      </c>
      <c r="CJ47" t="s">
        <v>98</v>
      </c>
      <c r="CK47" t="s">
        <v>12323</v>
      </c>
      <c r="CL47" t="s">
        <v>108</v>
      </c>
      <c r="CM47" t="s">
        <v>109</v>
      </c>
      <c r="CN47" t="str">
        <f>""</f>
        <v/>
      </c>
      <c r="CO47" t="str">
        <f>""</f>
        <v/>
      </c>
      <c r="CP47" t="str">
        <f>""</f>
        <v/>
      </c>
      <c r="CQ47" t="str">
        <f>""</f>
        <v/>
      </c>
    </row>
    <row r="48" spans="1:96" x14ac:dyDescent="0.2">
      <c r="A48" t="s">
        <v>6973</v>
      </c>
      <c r="B48" t="s">
        <v>96</v>
      </c>
      <c r="C48" s="1">
        <v>44098</v>
      </c>
      <c r="D48" s="1">
        <v>44105</v>
      </c>
      <c r="F48" t="s">
        <v>97</v>
      </c>
      <c r="G48" t="str">
        <f>"Sr. Software Developer"</f>
        <v>Sr. Software Developer</v>
      </c>
      <c r="H48" t="s">
        <v>12169</v>
      </c>
      <c r="I48" t="s">
        <v>124</v>
      </c>
      <c r="J48" t="s">
        <v>98</v>
      </c>
      <c r="K48" s="1">
        <v>44116</v>
      </c>
      <c r="L48" s="1">
        <v>45210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 t="s">
        <v>6974</v>
      </c>
      <c r="U48" t="str">
        <f>""</f>
        <v/>
      </c>
      <c r="V48" t="s">
        <v>6975</v>
      </c>
      <c r="W48" t="str">
        <f>" Suite 155"</f>
        <v xml:space="preserve"> Suite 155</v>
      </c>
      <c r="X48" t="s">
        <v>2187</v>
      </c>
      <c r="Y48" t="s">
        <v>135</v>
      </c>
      <c r="Z48" s="3">
        <v>20151</v>
      </c>
      <c r="AA48" t="s">
        <v>101</v>
      </c>
      <c r="AC48" s="4" t="str">
        <f>"+17178050443"</f>
        <v>+17178050443</v>
      </c>
      <c r="AE48" t="str">
        <f>"541519"</f>
        <v>541519</v>
      </c>
      <c r="AF48" t="s">
        <v>6976</v>
      </c>
      <c r="AG48" t="s">
        <v>6977</v>
      </c>
      <c r="AI48" t="s">
        <v>3552</v>
      </c>
      <c r="AJ48" t="s">
        <v>6975</v>
      </c>
      <c r="AK48" t="str">
        <f>"155"</f>
        <v>155</v>
      </c>
      <c r="AL48" t="s">
        <v>2187</v>
      </c>
      <c r="AM48" t="s">
        <v>135</v>
      </c>
      <c r="AN48" s="3">
        <v>20151</v>
      </c>
      <c r="AO48" t="s">
        <v>101</v>
      </c>
      <c r="AQ48" t="str">
        <f>"+17178050443"</f>
        <v>+17178050443</v>
      </c>
      <c r="AS48" t="s">
        <v>6978</v>
      </c>
      <c r="AT48" t="s">
        <v>107</v>
      </c>
      <c r="AU48" t="str">
        <f>"Luciano"</f>
        <v>Luciano</v>
      </c>
      <c r="AV48" t="str">
        <f>"Christine"</f>
        <v>Christine</v>
      </c>
      <c r="AW48" t="str">
        <f>""</f>
        <v/>
      </c>
      <c r="AX48" t="str">
        <f>"800 W. Cummings Park"</f>
        <v>800 W. Cummings Park</v>
      </c>
      <c r="AY48" t="str">
        <f>"Suite 2750"</f>
        <v>Suite 2750</v>
      </c>
      <c r="AZ48" t="str">
        <f>"Woburn"</f>
        <v>Woburn</v>
      </c>
      <c r="BA48" t="str">
        <f>"MA"</f>
        <v>MA</v>
      </c>
      <c r="BB48" s="3">
        <v>1801</v>
      </c>
      <c r="BC48" t="str">
        <f>"UNITED STATES OF AMERICA"</f>
        <v>UNITED STATES OF AMERICA</v>
      </c>
      <c r="BD48" t="str">
        <f>""</f>
        <v/>
      </c>
      <c r="BE48" t="str">
        <f>"+16175009978"</f>
        <v>+16175009978</v>
      </c>
      <c r="BF48" t="str">
        <f>""</f>
        <v/>
      </c>
      <c r="BG48" t="str">
        <f>"christinel@raminenilaw.com"</f>
        <v>christinel@raminenilaw.com</v>
      </c>
      <c r="BH48" t="str">
        <f>"Ramineni &amp; Shepard, LLC"</f>
        <v>Ramineni &amp; Shepard, LLC</v>
      </c>
      <c r="BI48" t="str">
        <f>"MA"</f>
        <v>MA</v>
      </c>
      <c r="BJ48" t="str">
        <f>"MA Judicial Supreme Court"</f>
        <v>MA Judicial Supreme Court</v>
      </c>
      <c r="BK48">
        <v>1</v>
      </c>
      <c r="BL48" t="s">
        <v>107</v>
      </c>
      <c r="BM48" t="str">
        <f>"Fidelity Investments"</f>
        <v>Fidelity Investments</v>
      </c>
      <c r="BN48" t="s">
        <v>6979</v>
      </c>
      <c r="BP48" t="s">
        <v>2946</v>
      </c>
      <c r="BQ48" t="s">
        <v>6980</v>
      </c>
      <c r="BR48" t="s">
        <v>857</v>
      </c>
      <c r="BS48" s="5">
        <v>2917</v>
      </c>
      <c r="BT48" s="2">
        <v>108555</v>
      </c>
      <c r="BV48" t="s">
        <v>105</v>
      </c>
      <c r="BW48" s="2">
        <v>108555</v>
      </c>
      <c r="BX48" t="s">
        <v>105</v>
      </c>
      <c r="BZ48" t="s">
        <v>123</v>
      </c>
      <c r="CA48" t="str">
        <f t="shared" si="2"/>
        <v>7/1/2020 - 6/30/2021</v>
      </c>
      <c r="CF48">
        <v>1</v>
      </c>
      <c r="CG48" t="s">
        <v>98</v>
      </c>
      <c r="CH48" t="s">
        <v>98</v>
      </c>
      <c r="CI48" t="s">
        <v>206</v>
      </c>
      <c r="CJ48" t="s">
        <v>98</v>
      </c>
      <c r="CK48" t="s">
        <v>12323</v>
      </c>
      <c r="CL48" t="s">
        <v>108</v>
      </c>
      <c r="CM48" t="s">
        <v>353</v>
      </c>
      <c r="CN48" t="str">
        <f>""</f>
        <v/>
      </c>
      <c r="CO48" t="str">
        <f>""</f>
        <v/>
      </c>
      <c r="CP48" t="str">
        <f>""</f>
        <v/>
      </c>
      <c r="CQ48" t="str">
        <f>""</f>
        <v/>
      </c>
    </row>
    <row r="49" spans="1:96" x14ac:dyDescent="0.2">
      <c r="A49" t="s">
        <v>6998</v>
      </c>
      <c r="B49" t="s">
        <v>96</v>
      </c>
      <c r="C49" s="1">
        <v>44098</v>
      </c>
      <c r="D49" s="1">
        <v>44105</v>
      </c>
      <c r="F49" t="s">
        <v>97</v>
      </c>
      <c r="G49" t="str">
        <f>"Architect "</f>
        <v xml:space="preserve">Architect </v>
      </c>
      <c r="H49" t="s">
        <v>12168</v>
      </c>
      <c r="I49" t="s">
        <v>160</v>
      </c>
      <c r="J49" t="s">
        <v>98</v>
      </c>
      <c r="K49" s="1">
        <v>44098</v>
      </c>
      <c r="L49" s="1">
        <v>45024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 t="s">
        <v>864</v>
      </c>
      <c r="U49" t="str">
        <f>""</f>
        <v/>
      </c>
      <c r="V49" t="s">
        <v>865</v>
      </c>
      <c r="W49" t="str">
        <f>"SUITE 320"</f>
        <v>SUITE 320</v>
      </c>
      <c r="X49" t="s">
        <v>866</v>
      </c>
      <c r="Y49" t="s">
        <v>195</v>
      </c>
      <c r="Z49" s="3">
        <v>20850</v>
      </c>
      <c r="AA49" t="s">
        <v>101</v>
      </c>
      <c r="AC49" s="4" t="str">
        <f>"+13012319083"</f>
        <v>+13012319083</v>
      </c>
      <c r="AE49" t="str">
        <f>"541511"</f>
        <v>541511</v>
      </c>
      <c r="AF49" t="s">
        <v>867</v>
      </c>
      <c r="AG49" t="s">
        <v>868</v>
      </c>
      <c r="AI49" t="s">
        <v>869</v>
      </c>
      <c r="AJ49" t="s">
        <v>865</v>
      </c>
      <c r="AK49" t="str">
        <f>"SUITE 320"</f>
        <v>SUITE 320</v>
      </c>
      <c r="AL49" t="s">
        <v>866</v>
      </c>
      <c r="AM49" t="s">
        <v>195</v>
      </c>
      <c r="AN49" s="3">
        <v>20850</v>
      </c>
      <c r="AO49" t="s">
        <v>101</v>
      </c>
      <c r="AQ49" t="str">
        <f>"+13012319083"</f>
        <v>+13012319083</v>
      </c>
      <c r="AS49" t="s">
        <v>870</v>
      </c>
      <c r="AT49" t="s">
        <v>107</v>
      </c>
      <c r="AU49" t="str">
        <f>"CHOWDHURY"</f>
        <v>CHOWDHURY</v>
      </c>
      <c r="AV49" t="str">
        <f>"ANINDITA"</f>
        <v>ANINDITA</v>
      </c>
      <c r="AW49" t="str">
        <f>"A"</f>
        <v>A</v>
      </c>
      <c r="AX49" t="str">
        <f>"6720-B Rockledge Drive"</f>
        <v>6720-B Rockledge Drive</v>
      </c>
      <c r="AY49" t="str">
        <f>"Suite 430"</f>
        <v>Suite 430</v>
      </c>
      <c r="AZ49" t="str">
        <f>"Bethesda"</f>
        <v>Bethesda</v>
      </c>
      <c r="BA49" t="str">
        <f>"MD"</f>
        <v>MD</v>
      </c>
      <c r="BB49" s="3">
        <v>20817</v>
      </c>
      <c r="BC49" t="str">
        <f>"UNITED STATES OF AMERICA"</f>
        <v>UNITED STATES OF AMERICA</v>
      </c>
      <c r="BD49" t="str">
        <f>""</f>
        <v/>
      </c>
      <c r="BE49" t="str">
        <f>"+12026184540"</f>
        <v>+12026184540</v>
      </c>
      <c r="BF49" t="str">
        <f>""</f>
        <v/>
      </c>
      <c r="BG49" t="str">
        <f>"ANINDITA@USILAW.COM"</f>
        <v>ANINDITA@USILAW.COM</v>
      </c>
      <c r="BH49" t="str">
        <f>"USILAW, INC"</f>
        <v>USILAW, INC</v>
      </c>
      <c r="BI49" t="str">
        <f>"DC"</f>
        <v>DC</v>
      </c>
      <c r="BJ49" t="str">
        <f>"COURT OF APPEALS"</f>
        <v>COURT OF APPEALS</v>
      </c>
      <c r="BK49">
        <v>1</v>
      </c>
      <c r="BL49" t="s">
        <v>107</v>
      </c>
      <c r="BM49" t="str">
        <f>"The Kroger Co."</f>
        <v>The Kroger Co.</v>
      </c>
      <c r="BN49" t="s">
        <v>6999</v>
      </c>
      <c r="BP49" t="s">
        <v>2052</v>
      </c>
      <c r="BQ49" t="s">
        <v>1624</v>
      </c>
      <c r="BR49" t="s">
        <v>225</v>
      </c>
      <c r="BS49" s="5">
        <v>45242</v>
      </c>
      <c r="BT49" s="2">
        <v>61173</v>
      </c>
      <c r="BU49" s="2">
        <v>100200</v>
      </c>
      <c r="BV49" t="s">
        <v>105</v>
      </c>
      <c r="BW49" s="2">
        <v>61173</v>
      </c>
      <c r="BX49" t="s">
        <v>105</v>
      </c>
      <c r="BZ49" t="s">
        <v>167</v>
      </c>
      <c r="CA49" t="str">
        <f t="shared" si="2"/>
        <v>7/1/2020 - 6/30/2021</v>
      </c>
      <c r="CF49">
        <v>1</v>
      </c>
      <c r="CG49" t="s">
        <v>98</v>
      </c>
      <c r="CH49" t="s">
        <v>98</v>
      </c>
      <c r="CI49" t="s">
        <v>206</v>
      </c>
      <c r="CJ49" t="s">
        <v>98</v>
      </c>
      <c r="CK49" t="s">
        <v>12323</v>
      </c>
      <c r="CL49" t="s">
        <v>108</v>
      </c>
      <c r="CM49" t="s">
        <v>109</v>
      </c>
      <c r="CN49" t="str">
        <f>""</f>
        <v/>
      </c>
      <c r="CO49" t="str">
        <f>""</f>
        <v/>
      </c>
      <c r="CP49" t="str">
        <f>""</f>
        <v/>
      </c>
      <c r="CQ49" t="str">
        <f>""</f>
        <v/>
      </c>
    </row>
    <row r="50" spans="1:96" x14ac:dyDescent="0.2">
      <c r="A50" t="s">
        <v>7058</v>
      </c>
      <c r="B50" t="s">
        <v>96</v>
      </c>
      <c r="C50" s="1">
        <v>44098</v>
      </c>
      <c r="D50" s="1">
        <v>44105</v>
      </c>
      <c r="F50" t="s">
        <v>97</v>
      </c>
      <c r="G50" t="str">
        <f>"Software Developer, Applications"</f>
        <v>Software Developer, Applications</v>
      </c>
      <c r="H50" t="s">
        <v>12169</v>
      </c>
      <c r="I50" t="s">
        <v>124</v>
      </c>
      <c r="J50" t="s">
        <v>98</v>
      </c>
      <c r="K50" s="1">
        <v>44111</v>
      </c>
      <c r="L50" s="1">
        <v>45205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379</v>
      </c>
      <c r="U50" t="str">
        <f>""</f>
        <v/>
      </c>
      <c r="V50" t="s">
        <v>380</v>
      </c>
      <c r="W50" t="str">
        <f>"Suite 320"</f>
        <v>Suite 320</v>
      </c>
      <c r="X50" t="s">
        <v>381</v>
      </c>
      <c r="Y50" t="s">
        <v>195</v>
      </c>
      <c r="Z50" s="3">
        <v>20850</v>
      </c>
      <c r="AA50" t="s">
        <v>101</v>
      </c>
      <c r="AB50" t="s">
        <v>382</v>
      </c>
      <c r="AC50" s="4" t="str">
        <f>"+13012319083"</f>
        <v>+13012319083</v>
      </c>
      <c r="AE50" t="str">
        <f>"541511"</f>
        <v>541511</v>
      </c>
      <c r="AF50" t="s">
        <v>383</v>
      </c>
      <c r="AG50" t="s">
        <v>384</v>
      </c>
      <c r="AI50" t="s">
        <v>385</v>
      </c>
      <c r="AJ50" t="s">
        <v>386</v>
      </c>
      <c r="AK50" t="str">
        <f>"Suite 320"</f>
        <v>Suite 320</v>
      </c>
      <c r="AL50" t="s">
        <v>381</v>
      </c>
      <c r="AM50" t="s">
        <v>195</v>
      </c>
      <c r="AN50" s="3">
        <v>20850</v>
      </c>
      <c r="AO50" t="s">
        <v>101</v>
      </c>
      <c r="AQ50" t="str">
        <f>"+13012319083"</f>
        <v>+13012319083</v>
      </c>
      <c r="AS50" t="s">
        <v>387</v>
      </c>
      <c r="AT50" t="s">
        <v>107</v>
      </c>
      <c r="AU50" t="str">
        <f>"Uribe"</f>
        <v>Uribe</v>
      </c>
      <c r="AV50" t="str">
        <f>"Elmer"</f>
        <v>Elmer</v>
      </c>
      <c r="AW50" t="str">
        <f>"Martin"</f>
        <v>Martin</v>
      </c>
      <c r="AX50" t="str">
        <f>"12100 Sunset Hills Rd"</f>
        <v>12100 Sunset Hills Rd</v>
      </c>
      <c r="AY50" t="str">
        <f>"Ste. 301"</f>
        <v>Ste. 301</v>
      </c>
      <c r="AZ50" t="str">
        <f>"Reston"</f>
        <v>Reston</v>
      </c>
      <c r="BA50" t="str">
        <f>"VA"</f>
        <v>VA</v>
      </c>
      <c r="BB50" s="3">
        <v>20190</v>
      </c>
      <c r="BC50" t="str">
        <f>"UNITED STATES OF AMERICA"</f>
        <v>UNITED STATES OF AMERICA</v>
      </c>
      <c r="BD50" t="str">
        <f>""</f>
        <v/>
      </c>
      <c r="BE50" t="str">
        <f>"+17037969898"</f>
        <v>+17037969898</v>
      </c>
      <c r="BF50" t="str">
        <f>"117"</f>
        <v>117</v>
      </c>
      <c r="BG50" t="str">
        <f>"martin.uribe@goellaw.com"</f>
        <v>martin.uribe@goellaw.com</v>
      </c>
      <c r="BH50" t="str">
        <f>"Goel &amp; Anderson, LLC"</f>
        <v>Goel &amp; Anderson, LLC</v>
      </c>
      <c r="BI50" t="str">
        <f>"MD"</f>
        <v>MD</v>
      </c>
      <c r="BJ50" t="str">
        <f>"Court of Appeals"</f>
        <v>Court of Appeals</v>
      </c>
      <c r="BK50">
        <v>1</v>
      </c>
      <c r="BL50" t="s">
        <v>107</v>
      </c>
      <c r="BM50" t="str">
        <f>"New York Life Insurance"</f>
        <v>New York Life Insurance</v>
      </c>
      <c r="BN50" t="s">
        <v>7059</v>
      </c>
      <c r="BP50" t="s">
        <v>595</v>
      </c>
      <c r="BQ50" t="s">
        <v>484</v>
      </c>
      <c r="BR50" t="s">
        <v>114</v>
      </c>
      <c r="BS50" s="5">
        <v>75206</v>
      </c>
      <c r="BT50" s="2">
        <v>110344</v>
      </c>
      <c r="BU50" s="2">
        <v>115000</v>
      </c>
      <c r="BV50" t="s">
        <v>105</v>
      </c>
      <c r="BW50" s="2">
        <v>110344</v>
      </c>
      <c r="BX50" t="s">
        <v>105</v>
      </c>
      <c r="BZ50" t="s">
        <v>123</v>
      </c>
      <c r="CA50" t="str">
        <f t="shared" si="2"/>
        <v>7/1/2020 - 6/30/2021</v>
      </c>
      <c r="CF50">
        <v>1</v>
      </c>
      <c r="CG50" t="s">
        <v>98</v>
      </c>
      <c r="CH50" t="s">
        <v>98</v>
      </c>
      <c r="CI50" t="s">
        <v>206</v>
      </c>
      <c r="CJ50" t="s">
        <v>98</v>
      </c>
      <c r="CK50" t="s">
        <v>12323</v>
      </c>
      <c r="CL50" t="s">
        <v>108</v>
      </c>
      <c r="CM50" t="s">
        <v>109</v>
      </c>
      <c r="CN50" t="str">
        <f>"Uribe"</f>
        <v>Uribe</v>
      </c>
      <c r="CO50" t="str">
        <f>"E. Martin"</f>
        <v>E. Martin</v>
      </c>
      <c r="CP50" t="str">
        <f>""</f>
        <v/>
      </c>
      <c r="CQ50" t="str">
        <f>"Goel &amp; Anderson LLC"</f>
        <v>Goel &amp; Anderson LLC</v>
      </c>
      <c r="CR50" t="s">
        <v>389</v>
      </c>
    </row>
    <row r="51" spans="1:96" x14ac:dyDescent="0.2">
      <c r="A51" t="s">
        <v>7119</v>
      </c>
      <c r="B51" t="s">
        <v>96</v>
      </c>
      <c r="C51" s="1">
        <v>44098</v>
      </c>
      <c r="D51" s="1">
        <v>44105</v>
      </c>
      <c r="F51" t="s">
        <v>97</v>
      </c>
      <c r="G51" t="str">
        <f>"Senior Systems Analyst JC60"</f>
        <v>Senior Systems Analyst JC60</v>
      </c>
      <c r="H51" t="s">
        <v>12181</v>
      </c>
      <c r="I51" t="s">
        <v>110</v>
      </c>
      <c r="J51" t="s">
        <v>98</v>
      </c>
      <c r="K51" s="1">
        <v>44107</v>
      </c>
      <c r="L51" s="1">
        <v>45201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t="s">
        <v>111</v>
      </c>
      <c r="U51" t="str">
        <f>"CTSUS"</f>
        <v>CTSUS</v>
      </c>
      <c r="V51" t="s">
        <v>112</v>
      </c>
      <c r="W51" t="str">
        <f>""</f>
        <v/>
      </c>
      <c r="X51" t="s">
        <v>113</v>
      </c>
      <c r="Y51" t="s">
        <v>114</v>
      </c>
      <c r="Z51" s="3">
        <v>77845</v>
      </c>
      <c r="AA51" t="s">
        <v>101</v>
      </c>
      <c r="AB51" t="s">
        <v>114</v>
      </c>
      <c r="AC51" s="4" t="str">
        <f>"+19793296682"</f>
        <v>+19793296682</v>
      </c>
      <c r="AE51" t="str">
        <f>"541512"</f>
        <v>541512</v>
      </c>
      <c r="AF51" t="s">
        <v>115</v>
      </c>
      <c r="AG51" t="s">
        <v>116</v>
      </c>
      <c r="AH51" t="s">
        <v>108</v>
      </c>
      <c r="AI51" t="s">
        <v>117</v>
      </c>
      <c r="AJ51" t="s">
        <v>118</v>
      </c>
      <c r="AK51" t="str">
        <f>""</f>
        <v/>
      </c>
      <c r="AL51" t="s">
        <v>119</v>
      </c>
      <c r="AM51" t="s">
        <v>114</v>
      </c>
      <c r="AN51" s="3">
        <v>77845</v>
      </c>
      <c r="AO51" t="s">
        <v>101</v>
      </c>
      <c r="AQ51" t="str">
        <f>"+19793296682"</f>
        <v>+19793296682</v>
      </c>
      <c r="AS51" t="s">
        <v>120</v>
      </c>
      <c r="AT51" t="s">
        <v>102</v>
      </c>
      <c r="AU51" t="str">
        <f>""</f>
        <v/>
      </c>
      <c r="AV51" t="str">
        <f>""</f>
        <v/>
      </c>
      <c r="AW51" t="str">
        <f>""</f>
        <v/>
      </c>
      <c r="AX51" t="str">
        <f>""</f>
        <v/>
      </c>
      <c r="AY51" t="str">
        <f>""</f>
        <v/>
      </c>
      <c r="AZ51" t="str">
        <f>""</f>
        <v/>
      </c>
      <c r="BA51" t="str">
        <f>""</f>
        <v/>
      </c>
      <c r="BC51" t="str">
        <f>""</f>
        <v/>
      </c>
      <c r="BD51" t="str">
        <f>""</f>
        <v/>
      </c>
      <c r="BE51" t="str">
        <f>""</f>
        <v/>
      </c>
      <c r="BF51" t="str">
        <f>""</f>
        <v/>
      </c>
      <c r="BG51" t="str">
        <f>""</f>
        <v/>
      </c>
      <c r="BH51" t="str">
        <f>""</f>
        <v/>
      </c>
      <c r="BI51" t="str">
        <f>""</f>
        <v/>
      </c>
      <c r="BJ51" t="str">
        <f>""</f>
        <v/>
      </c>
      <c r="BK51">
        <v>1</v>
      </c>
      <c r="BL51" t="s">
        <v>107</v>
      </c>
      <c r="BM51" t="str">
        <f>"Alcon Laboratories, Inc."</f>
        <v>Alcon Laboratories, Inc.</v>
      </c>
      <c r="BN51" t="s">
        <v>7120</v>
      </c>
      <c r="BP51" t="s">
        <v>1001</v>
      </c>
      <c r="BQ51" t="s">
        <v>792</v>
      </c>
      <c r="BR51" t="s">
        <v>114</v>
      </c>
      <c r="BS51" s="5">
        <v>76134</v>
      </c>
      <c r="BT51" s="2">
        <v>80475</v>
      </c>
      <c r="BV51" t="s">
        <v>105</v>
      </c>
      <c r="BW51" s="2">
        <v>80475</v>
      </c>
      <c r="BX51" t="s">
        <v>105</v>
      </c>
      <c r="BZ51" t="s">
        <v>167</v>
      </c>
      <c r="CA51" t="str">
        <f t="shared" si="2"/>
        <v>7/1/2020 - 6/30/2021</v>
      </c>
      <c r="CF51">
        <v>1</v>
      </c>
      <c r="CG51" t="s">
        <v>98</v>
      </c>
      <c r="CH51" t="s">
        <v>98</v>
      </c>
      <c r="CI51" t="s">
        <v>206</v>
      </c>
      <c r="CJ51" t="s">
        <v>98</v>
      </c>
      <c r="CK51" t="s">
        <v>12323</v>
      </c>
      <c r="CL51" t="s">
        <v>108</v>
      </c>
      <c r="CM51" t="s">
        <v>109</v>
      </c>
      <c r="CN51" t="str">
        <f>""</f>
        <v/>
      </c>
      <c r="CO51" t="str">
        <f>""</f>
        <v/>
      </c>
      <c r="CP51" t="str">
        <f>""</f>
        <v/>
      </c>
      <c r="CQ51" t="str">
        <f>""</f>
        <v/>
      </c>
    </row>
    <row r="52" spans="1:96" x14ac:dyDescent="0.2">
      <c r="A52" t="s">
        <v>7135</v>
      </c>
      <c r="B52" t="s">
        <v>96</v>
      </c>
      <c r="C52" s="1">
        <v>44098</v>
      </c>
      <c r="D52" s="1">
        <v>44105</v>
      </c>
      <c r="F52" t="s">
        <v>97</v>
      </c>
      <c r="G52" t="str">
        <f>"Information Security Analyst"</f>
        <v>Information Security Analyst</v>
      </c>
      <c r="H52" t="s">
        <v>12197</v>
      </c>
      <c r="I52" t="s">
        <v>137</v>
      </c>
      <c r="J52" t="s">
        <v>98</v>
      </c>
      <c r="K52" s="1">
        <v>44105</v>
      </c>
      <c r="L52" s="1">
        <v>45199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 t="s">
        <v>2743</v>
      </c>
      <c r="U52" t="str">
        <f>""</f>
        <v/>
      </c>
      <c r="V52" t="s">
        <v>1244</v>
      </c>
      <c r="W52" t="str">
        <f>"SUITE 201-A"</f>
        <v>SUITE 201-A</v>
      </c>
      <c r="X52" t="s">
        <v>2744</v>
      </c>
      <c r="Y52" t="s">
        <v>100</v>
      </c>
      <c r="Z52" s="3" t="s">
        <v>12295</v>
      </c>
      <c r="AA52" t="s">
        <v>101</v>
      </c>
      <c r="AC52" s="4" t="str">
        <f>"+16097510961"</f>
        <v>+16097510961</v>
      </c>
      <c r="AE52" t="str">
        <f>"541511"</f>
        <v>541511</v>
      </c>
      <c r="AF52" t="s">
        <v>2745</v>
      </c>
      <c r="AG52" t="s">
        <v>2746</v>
      </c>
      <c r="AH52" t="s">
        <v>1180</v>
      </c>
      <c r="AI52" t="s">
        <v>262</v>
      </c>
      <c r="AJ52" t="s">
        <v>1244</v>
      </c>
      <c r="AK52" t="str">
        <f>"SUITE 201-A"</f>
        <v>SUITE 201-A</v>
      </c>
      <c r="AL52" t="s">
        <v>2744</v>
      </c>
      <c r="AM52" t="s">
        <v>100</v>
      </c>
      <c r="AN52" s="3" t="s">
        <v>12295</v>
      </c>
      <c r="AO52" t="s">
        <v>101</v>
      </c>
      <c r="AQ52" t="str">
        <f>"+16097510961"</f>
        <v>+16097510961</v>
      </c>
      <c r="AS52" t="s">
        <v>2747</v>
      </c>
      <c r="AT52" t="s">
        <v>102</v>
      </c>
      <c r="AU52" t="str">
        <f>""</f>
        <v/>
      </c>
      <c r="AV52" t="str">
        <f>""</f>
        <v/>
      </c>
      <c r="AW52" t="str">
        <f>""</f>
        <v/>
      </c>
      <c r="AX52" t="str">
        <f>""</f>
        <v/>
      </c>
      <c r="AY52" t="str">
        <f>""</f>
        <v/>
      </c>
      <c r="AZ52" t="str">
        <f>""</f>
        <v/>
      </c>
      <c r="BA52" t="str">
        <f>""</f>
        <v/>
      </c>
      <c r="BC52" t="str">
        <f>""</f>
        <v/>
      </c>
      <c r="BD52" t="str">
        <f>""</f>
        <v/>
      </c>
      <c r="BE52" t="str">
        <f>""</f>
        <v/>
      </c>
      <c r="BF52" t="str">
        <f>""</f>
        <v/>
      </c>
      <c r="BG52" t="str">
        <f>""</f>
        <v/>
      </c>
      <c r="BH52" t="str">
        <f>""</f>
        <v/>
      </c>
      <c r="BI52" t="str">
        <f>""</f>
        <v/>
      </c>
      <c r="BJ52" t="str">
        <f>""</f>
        <v/>
      </c>
      <c r="BK52">
        <v>1</v>
      </c>
      <c r="BL52" t="s">
        <v>107</v>
      </c>
      <c r="BM52" t="str">
        <f>"TCS/Cetera Financials"</f>
        <v>TCS/Cetera Financials</v>
      </c>
      <c r="BN52" t="s">
        <v>7136</v>
      </c>
      <c r="BP52" t="s">
        <v>5118</v>
      </c>
      <c r="BQ52" t="s">
        <v>365</v>
      </c>
      <c r="BR52" t="s">
        <v>141</v>
      </c>
      <c r="BS52" s="5">
        <v>90245</v>
      </c>
      <c r="BT52" s="2">
        <v>84406</v>
      </c>
      <c r="BV52" t="s">
        <v>105</v>
      </c>
      <c r="BW52" s="2">
        <v>84406</v>
      </c>
      <c r="BX52" t="s">
        <v>105</v>
      </c>
      <c r="BZ52" t="s">
        <v>167</v>
      </c>
      <c r="CA52" t="str">
        <f t="shared" si="2"/>
        <v>7/1/2020 - 6/30/2021</v>
      </c>
      <c r="CF52">
        <v>2</v>
      </c>
      <c r="CG52" t="s">
        <v>98</v>
      </c>
      <c r="CH52" t="s">
        <v>98</v>
      </c>
      <c r="CI52" t="s">
        <v>206</v>
      </c>
      <c r="CJ52" t="s">
        <v>98</v>
      </c>
      <c r="CK52" t="s">
        <v>12323</v>
      </c>
      <c r="CL52" t="s">
        <v>108</v>
      </c>
      <c r="CM52" t="s">
        <v>109</v>
      </c>
      <c r="CN52" t="str">
        <f>""</f>
        <v/>
      </c>
      <c r="CO52" t="str">
        <f>""</f>
        <v/>
      </c>
      <c r="CP52" t="str">
        <f>""</f>
        <v/>
      </c>
      <c r="CQ52" t="str">
        <f>""</f>
        <v/>
      </c>
    </row>
    <row r="53" spans="1:96" x14ac:dyDescent="0.2">
      <c r="A53" t="s">
        <v>7196</v>
      </c>
      <c r="B53" t="s">
        <v>96</v>
      </c>
      <c r="C53" s="1">
        <v>44098</v>
      </c>
      <c r="D53" s="1">
        <v>44105</v>
      </c>
      <c r="F53" t="s">
        <v>97</v>
      </c>
      <c r="G53" t="str">
        <f>"Software Developer"</f>
        <v>Software Developer</v>
      </c>
      <c r="H53" t="s">
        <v>12169</v>
      </c>
      <c r="I53" t="s">
        <v>124</v>
      </c>
      <c r="J53" t="s">
        <v>98</v>
      </c>
      <c r="K53" s="1">
        <v>44245</v>
      </c>
      <c r="L53" s="1">
        <v>45339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t="s">
        <v>5512</v>
      </c>
      <c r="U53" t="str">
        <f>"CORPORATE COMPUTER SERVICES"</f>
        <v>CORPORATE COMPUTER SERVICES</v>
      </c>
      <c r="V53" t="s">
        <v>5513</v>
      </c>
      <c r="W53" t="str">
        <f>"SUITE 110"</f>
        <v>SUITE 110</v>
      </c>
      <c r="X53" t="s">
        <v>1497</v>
      </c>
      <c r="Y53" t="s">
        <v>265</v>
      </c>
      <c r="Z53" s="3">
        <v>48335</v>
      </c>
      <c r="AA53" t="s">
        <v>101</v>
      </c>
      <c r="AC53" s="4" t="str">
        <f>"+12488880444"</f>
        <v>+12488880444</v>
      </c>
      <c r="AD53">
        <v>109</v>
      </c>
      <c r="AE53" t="str">
        <f>"541511"</f>
        <v>541511</v>
      </c>
      <c r="AF53" t="s">
        <v>7197</v>
      </c>
      <c r="AG53" t="s">
        <v>227</v>
      </c>
      <c r="AH53" t="s">
        <v>339</v>
      </c>
      <c r="AI53" t="s">
        <v>4619</v>
      </c>
      <c r="AJ53" t="s">
        <v>5513</v>
      </c>
      <c r="AK53" t="str">
        <f>"SUITE 110"</f>
        <v>SUITE 110</v>
      </c>
      <c r="AL53" t="s">
        <v>1497</v>
      </c>
      <c r="AM53" t="s">
        <v>265</v>
      </c>
      <c r="AN53" s="3">
        <v>48335</v>
      </c>
      <c r="AO53" t="s">
        <v>101</v>
      </c>
      <c r="AQ53" t="str">
        <f>"+12488880444"</f>
        <v>+12488880444</v>
      </c>
      <c r="AR53">
        <v>109</v>
      </c>
      <c r="AS53" t="s">
        <v>7198</v>
      </c>
      <c r="AT53" t="s">
        <v>102</v>
      </c>
      <c r="AU53" t="str">
        <f>""</f>
        <v/>
      </c>
      <c r="AV53" t="str">
        <f>""</f>
        <v/>
      </c>
      <c r="AW53" t="str">
        <f>""</f>
        <v/>
      </c>
      <c r="AX53" t="str">
        <f>""</f>
        <v/>
      </c>
      <c r="AY53" t="str">
        <f>""</f>
        <v/>
      </c>
      <c r="AZ53" t="str">
        <f>""</f>
        <v/>
      </c>
      <c r="BA53" t="str">
        <f>""</f>
        <v/>
      </c>
      <c r="BC53" t="str">
        <f>""</f>
        <v/>
      </c>
      <c r="BD53" t="str">
        <f>""</f>
        <v/>
      </c>
      <c r="BE53" t="str">
        <f>""</f>
        <v/>
      </c>
      <c r="BF53" t="str">
        <f>""</f>
        <v/>
      </c>
      <c r="BG53" t="str">
        <f>""</f>
        <v/>
      </c>
      <c r="BH53" t="str">
        <f>""</f>
        <v/>
      </c>
      <c r="BI53" t="str">
        <f>""</f>
        <v/>
      </c>
      <c r="BJ53" t="str">
        <f>""</f>
        <v/>
      </c>
      <c r="BK53">
        <v>1</v>
      </c>
      <c r="BL53" t="s">
        <v>107</v>
      </c>
      <c r="BM53" t="str">
        <f>"AT &amp; T "</f>
        <v xml:space="preserve">AT &amp; T </v>
      </c>
      <c r="BN53" t="s">
        <v>7199</v>
      </c>
      <c r="BP53" t="s">
        <v>213</v>
      </c>
      <c r="BQ53" t="s">
        <v>214</v>
      </c>
      <c r="BR53" t="s">
        <v>215</v>
      </c>
      <c r="BS53" s="5">
        <v>30308</v>
      </c>
      <c r="BT53" s="2">
        <v>86000</v>
      </c>
      <c r="BU53" s="2">
        <v>103000</v>
      </c>
      <c r="BV53" t="s">
        <v>105</v>
      </c>
      <c r="BW53" s="2">
        <v>85842</v>
      </c>
      <c r="BX53" t="s">
        <v>105</v>
      </c>
      <c r="BZ53" t="s">
        <v>167</v>
      </c>
      <c r="CA53" t="str">
        <f t="shared" si="2"/>
        <v>7/1/2020 - 6/30/2021</v>
      </c>
      <c r="CF53">
        <v>1</v>
      </c>
      <c r="CG53" t="s">
        <v>98</v>
      </c>
      <c r="CH53" t="s">
        <v>98</v>
      </c>
      <c r="CI53" t="s">
        <v>206</v>
      </c>
      <c r="CJ53" t="s">
        <v>98</v>
      </c>
      <c r="CK53" t="s">
        <v>12323</v>
      </c>
      <c r="CL53" t="s">
        <v>108</v>
      </c>
      <c r="CM53" t="s">
        <v>109</v>
      </c>
      <c r="CN53" t="str">
        <f>""</f>
        <v/>
      </c>
      <c r="CO53" t="str">
        <f>""</f>
        <v/>
      </c>
      <c r="CP53" t="str">
        <f>""</f>
        <v/>
      </c>
      <c r="CQ53" t="str">
        <f>""</f>
        <v/>
      </c>
    </row>
    <row r="54" spans="1:96" x14ac:dyDescent="0.2">
      <c r="A54" t="s">
        <v>7213</v>
      </c>
      <c r="B54" t="s">
        <v>96</v>
      </c>
      <c r="C54" s="1">
        <v>44098</v>
      </c>
      <c r="D54" s="1">
        <v>44105</v>
      </c>
      <c r="F54" t="s">
        <v>97</v>
      </c>
      <c r="G54" t="str">
        <f>"Technology Lead - US - Practitioner "</f>
        <v xml:space="preserve">Technology Lead - US - Practitioner </v>
      </c>
      <c r="H54" t="s">
        <v>12168</v>
      </c>
      <c r="I54" t="s">
        <v>367</v>
      </c>
      <c r="J54" t="s">
        <v>98</v>
      </c>
      <c r="K54" s="1">
        <v>44197</v>
      </c>
      <c r="L54" s="1">
        <v>45289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 t="s">
        <v>723</v>
      </c>
      <c r="U54" t="str">
        <f>""</f>
        <v/>
      </c>
      <c r="V54" t="s">
        <v>724</v>
      </c>
      <c r="W54" t="str">
        <f>"STE C150"</f>
        <v>STE C150</v>
      </c>
      <c r="X54" t="s">
        <v>725</v>
      </c>
      <c r="Y54" t="s">
        <v>114</v>
      </c>
      <c r="Z54" s="3">
        <v>75082</v>
      </c>
      <c r="AA54" t="s">
        <v>101</v>
      </c>
      <c r="AC54" s="4" t="str">
        <f>"+12143062100"</f>
        <v>+12143062100</v>
      </c>
      <c r="AE54" t="str">
        <f>"541511"</f>
        <v>541511</v>
      </c>
      <c r="AF54" t="s">
        <v>726</v>
      </c>
      <c r="AG54" t="s">
        <v>727</v>
      </c>
      <c r="AI54" t="s">
        <v>728</v>
      </c>
      <c r="AJ54" t="s">
        <v>724</v>
      </c>
      <c r="AK54" t="str">
        <f>"STE C150"</f>
        <v>STE C150</v>
      </c>
      <c r="AL54" t="s">
        <v>725</v>
      </c>
      <c r="AM54" t="s">
        <v>114</v>
      </c>
      <c r="AN54" s="3">
        <v>75082</v>
      </c>
      <c r="AO54" t="s">
        <v>101</v>
      </c>
      <c r="AQ54" t="str">
        <f>"+12143062100"</f>
        <v>+12143062100</v>
      </c>
      <c r="AS54" t="s">
        <v>729</v>
      </c>
      <c r="AT54" t="s">
        <v>102</v>
      </c>
      <c r="AU54" t="str">
        <f>""</f>
        <v/>
      </c>
      <c r="AV54" t="str">
        <f>""</f>
        <v/>
      </c>
      <c r="AW54" t="str">
        <f>""</f>
        <v/>
      </c>
      <c r="AX54" t="str">
        <f>""</f>
        <v/>
      </c>
      <c r="AY54" t="str">
        <f>""</f>
        <v/>
      </c>
      <c r="AZ54" t="str">
        <f>""</f>
        <v/>
      </c>
      <c r="BA54" t="str">
        <f>""</f>
        <v/>
      </c>
      <c r="BC54" t="str">
        <f>""</f>
        <v/>
      </c>
      <c r="BD54" t="str">
        <f>""</f>
        <v/>
      </c>
      <c r="BE54" t="str">
        <f>""</f>
        <v/>
      </c>
      <c r="BF54" t="str">
        <f>""</f>
        <v/>
      </c>
      <c r="BG54" t="str">
        <f>""</f>
        <v/>
      </c>
      <c r="BH54" t="str">
        <f>""</f>
        <v/>
      </c>
      <c r="BI54" t="str">
        <f>""</f>
        <v/>
      </c>
      <c r="BJ54" t="str">
        <f>""</f>
        <v/>
      </c>
      <c r="BK54">
        <v>1</v>
      </c>
      <c r="BL54" t="s">
        <v>107</v>
      </c>
      <c r="BM54" t="str">
        <f>"The Goldman Sachs Group Inc"</f>
        <v>The Goldman Sachs Group Inc</v>
      </c>
      <c r="BN54" t="s">
        <v>7214</v>
      </c>
      <c r="BP54" t="s">
        <v>1213</v>
      </c>
      <c r="BQ54" t="s">
        <v>1214</v>
      </c>
      <c r="BR54" t="s">
        <v>100</v>
      </c>
      <c r="BS54" s="5">
        <v>7302</v>
      </c>
      <c r="BT54" s="2">
        <v>68601</v>
      </c>
      <c r="BV54" t="s">
        <v>105</v>
      </c>
      <c r="BW54" s="2">
        <v>67766</v>
      </c>
      <c r="BX54" t="s">
        <v>105</v>
      </c>
      <c r="BZ54" t="s">
        <v>167</v>
      </c>
      <c r="CA54" t="str">
        <f t="shared" si="2"/>
        <v>7/1/2020 - 6/30/2021</v>
      </c>
      <c r="CF54">
        <v>1</v>
      </c>
      <c r="CG54" t="s">
        <v>98</v>
      </c>
      <c r="CH54" t="s">
        <v>98</v>
      </c>
      <c r="CI54" t="s">
        <v>206</v>
      </c>
      <c r="CJ54" t="s">
        <v>98</v>
      </c>
      <c r="CK54" t="s">
        <v>12323</v>
      </c>
      <c r="CL54" t="s">
        <v>108</v>
      </c>
      <c r="CM54" t="s">
        <v>109</v>
      </c>
      <c r="CN54" t="str">
        <f>"Khanum"</f>
        <v>Khanum</v>
      </c>
      <c r="CO54" t="str">
        <f>"Hajeera"</f>
        <v>Hajeera</v>
      </c>
      <c r="CP54" t="str">
        <f>""</f>
        <v/>
      </c>
      <c r="CQ54" t="str">
        <f>"Infosys Limited"</f>
        <v>Infosys Limited</v>
      </c>
      <c r="CR54" t="s">
        <v>900</v>
      </c>
    </row>
    <row r="55" spans="1:96" x14ac:dyDescent="0.2">
      <c r="A55" t="s">
        <v>7255</v>
      </c>
      <c r="B55" t="s">
        <v>96</v>
      </c>
      <c r="C55" s="1">
        <v>44098</v>
      </c>
      <c r="D55" s="1">
        <v>44105</v>
      </c>
      <c r="F55" t="s">
        <v>97</v>
      </c>
      <c r="G55" t="str">
        <f>"Devops Engineer"</f>
        <v>Devops Engineer</v>
      </c>
      <c r="H55" t="s">
        <v>12272</v>
      </c>
      <c r="I55" t="s">
        <v>1486</v>
      </c>
      <c r="J55" t="s">
        <v>98</v>
      </c>
      <c r="K55" s="1">
        <v>44138</v>
      </c>
      <c r="L55" s="1">
        <v>45056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7256</v>
      </c>
      <c r="U55" t="str">
        <f>""</f>
        <v/>
      </c>
      <c r="V55" t="s">
        <v>7257</v>
      </c>
      <c r="W55" t="str">
        <f>""</f>
        <v/>
      </c>
      <c r="X55" t="s">
        <v>1328</v>
      </c>
      <c r="Y55" t="s">
        <v>934</v>
      </c>
      <c r="Z55" s="3">
        <v>68137</v>
      </c>
      <c r="AA55" t="s">
        <v>101</v>
      </c>
      <c r="AC55" s="4" t="str">
        <f>"+14086377976"</f>
        <v>+14086377976</v>
      </c>
      <c r="AE55" t="str">
        <f>"541511"</f>
        <v>541511</v>
      </c>
      <c r="AF55" t="s">
        <v>208</v>
      </c>
      <c r="AG55" t="s">
        <v>7258</v>
      </c>
      <c r="AI55" t="s">
        <v>7259</v>
      </c>
      <c r="AJ55" t="s">
        <v>7257</v>
      </c>
      <c r="AK55" t="str">
        <f>""</f>
        <v/>
      </c>
      <c r="AL55" t="s">
        <v>1328</v>
      </c>
      <c r="AM55" t="s">
        <v>934</v>
      </c>
      <c r="AN55" s="3">
        <v>68137</v>
      </c>
      <c r="AO55" t="s">
        <v>101</v>
      </c>
      <c r="AQ55" t="str">
        <f>"+14086377976"</f>
        <v>+14086377976</v>
      </c>
      <c r="AS55" t="s">
        <v>7260</v>
      </c>
      <c r="AT55" t="s">
        <v>102</v>
      </c>
      <c r="AU55" t="str">
        <f>""</f>
        <v/>
      </c>
      <c r="AV55" t="str">
        <f>""</f>
        <v/>
      </c>
      <c r="AW55" t="str">
        <f>""</f>
        <v/>
      </c>
      <c r="AX55" t="str">
        <f>""</f>
        <v/>
      </c>
      <c r="AY55" t="str">
        <f>""</f>
        <v/>
      </c>
      <c r="AZ55" t="str">
        <f>""</f>
        <v/>
      </c>
      <c r="BA55" t="str">
        <f>""</f>
        <v/>
      </c>
      <c r="BC55" t="str">
        <f>""</f>
        <v/>
      </c>
      <c r="BD55" t="str">
        <f>""</f>
        <v/>
      </c>
      <c r="BE55" t="str">
        <f>""</f>
        <v/>
      </c>
      <c r="BF55" t="str">
        <f>""</f>
        <v/>
      </c>
      <c r="BG55" t="str">
        <f>""</f>
        <v/>
      </c>
      <c r="BH55" t="str">
        <f>""</f>
        <v/>
      </c>
      <c r="BI55" t="str">
        <f>""</f>
        <v/>
      </c>
      <c r="BJ55" t="str">
        <f>""</f>
        <v/>
      </c>
      <c r="BK55">
        <v>1</v>
      </c>
      <c r="BL55" t="s">
        <v>107</v>
      </c>
      <c r="BM55" t="str">
        <f>"Vanguard"</f>
        <v>Vanguard</v>
      </c>
      <c r="BN55" t="s">
        <v>7261</v>
      </c>
      <c r="BP55" t="s">
        <v>1237</v>
      </c>
      <c r="BQ55" t="s">
        <v>1238</v>
      </c>
      <c r="BR55" t="s">
        <v>127</v>
      </c>
      <c r="BS55" s="5">
        <v>19355</v>
      </c>
      <c r="BT55" s="2">
        <v>89400</v>
      </c>
      <c r="BU55" s="2">
        <v>94200</v>
      </c>
      <c r="BV55" t="s">
        <v>105</v>
      </c>
      <c r="BW55" s="2">
        <v>61339</v>
      </c>
      <c r="BX55" t="s">
        <v>105</v>
      </c>
      <c r="BZ55" t="s">
        <v>167</v>
      </c>
      <c r="CA55" t="str">
        <f t="shared" si="2"/>
        <v>7/1/2020 - 6/30/2021</v>
      </c>
      <c r="CF55">
        <v>1</v>
      </c>
      <c r="CG55" t="s">
        <v>98</v>
      </c>
      <c r="CH55" t="s">
        <v>98</v>
      </c>
      <c r="CI55" t="s">
        <v>206</v>
      </c>
      <c r="CJ55" t="s">
        <v>98</v>
      </c>
      <c r="CK55" t="s">
        <v>12323</v>
      </c>
      <c r="CL55" t="s">
        <v>108</v>
      </c>
      <c r="CM55" t="s">
        <v>353</v>
      </c>
      <c r="CN55" t="str">
        <f>"Patel"</f>
        <v>Patel</v>
      </c>
      <c r="CO55" t="str">
        <f>"Mahendra "</f>
        <v xml:space="preserve">Mahendra </v>
      </c>
      <c r="CP55" t="str">
        <f>""</f>
        <v/>
      </c>
      <c r="CQ55" t="str">
        <f>"TECHNOCRATIC INC "</f>
        <v xml:space="preserve">TECHNOCRATIC INC </v>
      </c>
      <c r="CR55" t="s">
        <v>7260</v>
      </c>
    </row>
    <row r="56" spans="1:96" x14ac:dyDescent="0.2">
      <c r="A56" t="s">
        <v>7281</v>
      </c>
      <c r="B56" t="s">
        <v>96</v>
      </c>
      <c r="C56" s="1">
        <v>44098</v>
      </c>
      <c r="D56" s="1">
        <v>44105</v>
      </c>
      <c r="F56" t="s">
        <v>97</v>
      </c>
      <c r="G56" t="str">
        <f>"Software Engineer"</f>
        <v>Software Engineer</v>
      </c>
      <c r="H56" t="s">
        <v>12169</v>
      </c>
      <c r="I56" t="s">
        <v>124</v>
      </c>
      <c r="J56" t="s">
        <v>98</v>
      </c>
      <c r="K56" s="1">
        <v>44144</v>
      </c>
      <c r="L56" s="1">
        <v>45238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 t="s">
        <v>466</v>
      </c>
      <c r="U56" t="str">
        <f>""</f>
        <v/>
      </c>
      <c r="V56" t="s">
        <v>467</v>
      </c>
      <c r="W56" t="str">
        <f>"AKA 1601 Willow Road"</f>
        <v>AKA 1601 Willow Road</v>
      </c>
      <c r="X56" t="s">
        <v>468</v>
      </c>
      <c r="Y56" t="s">
        <v>141</v>
      </c>
      <c r="Z56" s="3">
        <v>94025</v>
      </c>
      <c r="AA56" t="s">
        <v>101</v>
      </c>
      <c r="AC56" s="4" t="str">
        <f>"+16505434800"</f>
        <v>+16505434800</v>
      </c>
      <c r="AE56" t="str">
        <f>"518210"</f>
        <v>518210</v>
      </c>
      <c r="AF56" t="s">
        <v>469</v>
      </c>
      <c r="AG56" t="s">
        <v>470</v>
      </c>
      <c r="AI56" t="s">
        <v>471</v>
      </c>
      <c r="AJ56" t="s">
        <v>467</v>
      </c>
      <c r="AK56" t="str">
        <f>"AKA 1601 Willow Road "</f>
        <v xml:space="preserve">AKA 1601 Willow Road </v>
      </c>
      <c r="AL56" t="s">
        <v>472</v>
      </c>
      <c r="AM56" t="s">
        <v>141</v>
      </c>
      <c r="AN56" s="3">
        <v>94025</v>
      </c>
      <c r="AO56" t="s">
        <v>101</v>
      </c>
      <c r="AQ56" t="str">
        <f>"+14085335781"</f>
        <v>+14085335781</v>
      </c>
      <c r="AS56" t="s">
        <v>108</v>
      </c>
      <c r="AT56" t="s">
        <v>107</v>
      </c>
      <c r="AU56" t="str">
        <f>"McCarthy"</f>
        <v>McCarthy</v>
      </c>
      <c r="AV56" t="str">
        <f>"Susan"</f>
        <v>Susan</v>
      </c>
      <c r="AW56" t="str">
        <f>""</f>
        <v/>
      </c>
      <c r="AX56" t="str">
        <f>"P.O. Box 31608"</f>
        <v>P.O. Box 31608</v>
      </c>
      <c r="AY56" t="str">
        <f>""</f>
        <v/>
      </c>
      <c r="AZ56" t="str">
        <f>"Raleigh"</f>
        <v>Raleigh</v>
      </c>
      <c r="BA56" t="str">
        <f>"NC"</f>
        <v>NC</v>
      </c>
      <c r="BB56" s="3">
        <v>27622</v>
      </c>
      <c r="BC56" t="str">
        <f>"UNITED STATES OF AMERICA"</f>
        <v>UNITED STATES OF AMERICA</v>
      </c>
      <c r="BD56" t="str">
        <f>""</f>
        <v/>
      </c>
      <c r="BE56" t="str">
        <f>"+19193077002"</f>
        <v>+19193077002</v>
      </c>
      <c r="BF56" t="str">
        <f>""</f>
        <v/>
      </c>
      <c r="BG56" t="str">
        <f>"vicky.johnson@ogletreedeakins.com"</f>
        <v>vicky.johnson@ogletreedeakins.com</v>
      </c>
      <c r="BH56" t="str">
        <f>"Ogletree, Deakins, Nash, Smoak &amp; Stewart, P.C."</f>
        <v>Ogletree, Deakins, Nash, Smoak &amp; Stewart, P.C.</v>
      </c>
      <c r="BI56" t="str">
        <f>"NJ"</f>
        <v>NJ</v>
      </c>
      <c r="BJ56" t="str">
        <f>"Supreme Court of New Jersey"</f>
        <v>Supreme Court of New Jersey</v>
      </c>
      <c r="BK56">
        <v>1</v>
      </c>
      <c r="BL56" t="s">
        <v>102</v>
      </c>
      <c r="BM56" t="str">
        <f>""</f>
        <v/>
      </c>
      <c r="BN56" t="s">
        <v>467</v>
      </c>
      <c r="BO56" t="s">
        <v>1098</v>
      </c>
      <c r="BP56" t="s">
        <v>472</v>
      </c>
      <c r="BQ56" t="s">
        <v>994</v>
      </c>
      <c r="BR56" t="s">
        <v>141</v>
      </c>
      <c r="BS56" s="5">
        <v>94025</v>
      </c>
      <c r="BT56" s="2">
        <v>195000</v>
      </c>
      <c r="BV56" t="s">
        <v>105</v>
      </c>
      <c r="BW56" s="2">
        <v>169562</v>
      </c>
      <c r="BX56" t="s">
        <v>105</v>
      </c>
      <c r="BZ56" t="s">
        <v>159</v>
      </c>
      <c r="CA56" t="str">
        <f t="shared" si="2"/>
        <v>7/1/2020 - 6/30/2021</v>
      </c>
      <c r="CF56">
        <v>2</v>
      </c>
      <c r="CG56" t="s">
        <v>98</v>
      </c>
      <c r="CH56" t="s">
        <v>98</v>
      </c>
      <c r="CI56" t="s">
        <v>206</v>
      </c>
      <c r="CJ56" t="s">
        <v>98</v>
      </c>
      <c r="CK56" t="s">
        <v>12323</v>
      </c>
      <c r="CL56" t="s">
        <v>108</v>
      </c>
      <c r="CM56" t="s">
        <v>109</v>
      </c>
      <c r="CN56" t="str">
        <f>"McCarthy "</f>
        <v xml:space="preserve">McCarthy </v>
      </c>
      <c r="CO56" t="str">
        <f>"Susan "</f>
        <v xml:space="preserve">Susan </v>
      </c>
      <c r="CP56" t="str">
        <f>""</f>
        <v/>
      </c>
      <c r="CQ56" t="str">
        <f>"Ogletree, Deakins, Nash, Smoak &amp; Stewart, P.C. "</f>
        <v xml:space="preserve">Ogletree, Deakins, Nash, Smoak &amp; Stewart, P.C. </v>
      </c>
      <c r="CR56" t="s">
        <v>473</v>
      </c>
    </row>
    <row r="57" spans="1:96" x14ac:dyDescent="0.2">
      <c r="A57" t="s">
        <v>7310</v>
      </c>
      <c r="B57" t="s">
        <v>96</v>
      </c>
      <c r="C57" s="1">
        <v>44098</v>
      </c>
      <c r="D57" s="1">
        <v>44105</v>
      </c>
      <c r="F57" t="s">
        <v>97</v>
      </c>
      <c r="G57" t="str">
        <f>"Applications Consultant 3"</f>
        <v>Applications Consultant 3</v>
      </c>
      <c r="H57" t="s">
        <v>12169</v>
      </c>
      <c r="I57" t="s">
        <v>124</v>
      </c>
      <c r="J57" t="s">
        <v>98</v>
      </c>
      <c r="K57" s="1">
        <v>44098</v>
      </c>
      <c r="L57" s="1">
        <v>45164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 t="s">
        <v>1421</v>
      </c>
      <c r="U57" t="str">
        <f>""</f>
        <v/>
      </c>
      <c r="V57" t="s">
        <v>1422</v>
      </c>
      <c r="W57" t="str">
        <f>"SUITE 300"</f>
        <v>SUITE 300</v>
      </c>
      <c r="X57" t="s">
        <v>843</v>
      </c>
      <c r="Y57" t="s">
        <v>345</v>
      </c>
      <c r="Z57" s="3">
        <v>60606</v>
      </c>
      <c r="AA57" t="s">
        <v>101</v>
      </c>
      <c r="AC57" s="4" t="str">
        <f>"+13123955000"</f>
        <v>+13123955000</v>
      </c>
      <c r="AE57" t="str">
        <f>"5416"</f>
        <v>5416</v>
      </c>
      <c r="AF57" t="s">
        <v>1423</v>
      </c>
      <c r="AG57" t="s">
        <v>1424</v>
      </c>
      <c r="AI57" t="s">
        <v>1425</v>
      </c>
      <c r="AJ57" t="s">
        <v>1422</v>
      </c>
      <c r="AK57" t="str">
        <f>"SUITE 300"</f>
        <v>SUITE 300</v>
      </c>
      <c r="AL57" t="s">
        <v>843</v>
      </c>
      <c r="AM57" t="s">
        <v>345</v>
      </c>
      <c r="AN57" s="3">
        <v>60606</v>
      </c>
      <c r="AO57" t="s">
        <v>101</v>
      </c>
      <c r="AQ57" t="str">
        <f>"+13123958209"</f>
        <v>+13123958209</v>
      </c>
      <c r="AS57" t="s">
        <v>1426</v>
      </c>
      <c r="AT57" t="s">
        <v>102</v>
      </c>
      <c r="AU57" t="str">
        <f>""</f>
        <v/>
      </c>
      <c r="AV57" t="str">
        <f>""</f>
        <v/>
      </c>
      <c r="AW57" t="str">
        <f>""</f>
        <v/>
      </c>
      <c r="AX57" t="str">
        <f>""</f>
        <v/>
      </c>
      <c r="AY57" t="str">
        <f>""</f>
        <v/>
      </c>
      <c r="AZ57" t="str">
        <f>""</f>
        <v/>
      </c>
      <c r="BA57" t="str">
        <f>""</f>
        <v/>
      </c>
      <c r="BC57" t="str">
        <f>""</f>
        <v/>
      </c>
      <c r="BD57" t="str">
        <f>""</f>
        <v/>
      </c>
      <c r="BE57" t="str">
        <f>""</f>
        <v/>
      </c>
      <c r="BF57" t="str">
        <f>""</f>
        <v/>
      </c>
      <c r="BG57" t="str">
        <f>""</f>
        <v/>
      </c>
      <c r="BH57" t="str">
        <f>""</f>
        <v/>
      </c>
      <c r="BI57" t="str">
        <f>""</f>
        <v/>
      </c>
      <c r="BJ57" t="str">
        <f>""</f>
        <v/>
      </c>
      <c r="BK57">
        <v>1</v>
      </c>
      <c r="BL57" t="s">
        <v>102</v>
      </c>
      <c r="BM57" t="str">
        <f>""</f>
        <v/>
      </c>
      <c r="BN57" t="s">
        <v>7311</v>
      </c>
      <c r="BP57" t="s">
        <v>1206</v>
      </c>
      <c r="BQ57" t="s">
        <v>1214</v>
      </c>
      <c r="BR57" t="s">
        <v>100</v>
      </c>
      <c r="BS57" s="5">
        <v>7306</v>
      </c>
      <c r="BT57" s="2">
        <v>122221</v>
      </c>
      <c r="BV57" t="s">
        <v>105</v>
      </c>
      <c r="BW57" s="2">
        <v>122221</v>
      </c>
      <c r="BX57" t="s">
        <v>105</v>
      </c>
      <c r="BZ57" t="s">
        <v>123</v>
      </c>
      <c r="CA57" t="str">
        <f t="shared" si="2"/>
        <v>7/1/2020 - 6/30/2021</v>
      </c>
      <c r="CF57">
        <v>1</v>
      </c>
      <c r="CG57" t="s">
        <v>98</v>
      </c>
      <c r="CH57" t="s">
        <v>98</v>
      </c>
      <c r="CI57" t="s">
        <v>206</v>
      </c>
      <c r="CJ57" t="s">
        <v>98</v>
      </c>
      <c r="CK57" t="s">
        <v>12323</v>
      </c>
      <c r="CL57" t="s">
        <v>108</v>
      </c>
      <c r="CM57" t="s">
        <v>109</v>
      </c>
      <c r="CN57" t="str">
        <f>""</f>
        <v/>
      </c>
      <c r="CO57" t="str">
        <f>""</f>
        <v/>
      </c>
      <c r="CP57" t="str">
        <f>""</f>
        <v/>
      </c>
      <c r="CQ57" t="str">
        <f>""</f>
        <v/>
      </c>
    </row>
    <row r="58" spans="1:96" x14ac:dyDescent="0.2">
      <c r="A58" t="s">
        <v>7313</v>
      </c>
      <c r="B58" t="s">
        <v>96</v>
      </c>
      <c r="C58" s="1">
        <v>44098</v>
      </c>
      <c r="D58" s="1">
        <v>44105</v>
      </c>
      <c r="F58" t="s">
        <v>97</v>
      </c>
      <c r="G58" t="str">
        <f>"IT Consultant (Application Developer)"</f>
        <v>IT Consultant (Application Developer)</v>
      </c>
      <c r="H58" t="s">
        <v>12169</v>
      </c>
      <c r="I58" t="s">
        <v>124</v>
      </c>
      <c r="J58" t="s">
        <v>98</v>
      </c>
      <c r="K58" s="1">
        <v>44098</v>
      </c>
      <c r="L58" s="1">
        <v>45192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t="s">
        <v>7314</v>
      </c>
      <c r="U58" t="str">
        <f>""</f>
        <v/>
      </c>
      <c r="V58" t="s">
        <v>7315</v>
      </c>
      <c r="W58" t="str">
        <f>"Suite 706"</f>
        <v>Suite 706</v>
      </c>
      <c r="X58" t="s">
        <v>3974</v>
      </c>
      <c r="Y58" t="s">
        <v>215</v>
      </c>
      <c r="Z58" s="3">
        <v>30024</v>
      </c>
      <c r="AA58" t="s">
        <v>101</v>
      </c>
      <c r="AC58" s="4" t="str">
        <f>"+16789332228"</f>
        <v>+16789332228</v>
      </c>
      <c r="AE58" t="str">
        <f>"541511"</f>
        <v>541511</v>
      </c>
      <c r="AF58" t="s">
        <v>7316</v>
      </c>
      <c r="AG58" t="s">
        <v>6027</v>
      </c>
      <c r="AI58" t="s">
        <v>508</v>
      </c>
      <c r="AJ58" t="s">
        <v>7315</v>
      </c>
      <c r="AK58" t="str">
        <f>"Suite 706"</f>
        <v>Suite 706</v>
      </c>
      <c r="AL58" t="s">
        <v>3974</v>
      </c>
      <c r="AM58" t="s">
        <v>215</v>
      </c>
      <c r="AN58" s="3">
        <v>30024</v>
      </c>
      <c r="AO58" t="s">
        <v>101</v>
      </c>
      <c r="AQ58" t="str">
        <f>"+16789332226"</f>
        <v>+16789332226</v>
      </c>
      <c r="AS58" t="s">
        <v>7317</v>
      </c>
      <c r="AT58" t="s">
        <v>107</v>
      </c>
      <c r="AU58" t="str">
        <f>"Mannam"</f>
        <v>Mannam</v>
      </c>
      <c r="AV58" t="str">
        <f>"Ravi"</f>
        <v>Ravi</v>
      </c>
      <c r="AW58" t="str">
        <f>""</f>
        <v/>
      </c>
      <c r="AX58" t="str">
        <f>"3651 Peachtree Parkway"</f>
        <v>3651 Peachtree Parkway</v>
      </c>
      <c r="AY58" t="str">
        <f>"Suite E-360"</f>
        <v>Suite E-360</v>
      </c>
      <c r="AZ58" t="str">
        <f>"Suwanee"</f>
        <v>Suwanee</v>
      </c>
      <c r="BA58" t="str">
        <f>"GA"</f>
        <v>GA</v>
      </c>
      <c r="BB58" s="3">
        <v>30024</v>
      </c>
      <c r="BC58" t="str">
        <f>"UNITED STATES OF AMERICA"</f>
        <v>UNITED STATES OF AMERICA</v>
      </c>
      <c r="BD58" t="str">
        <f>""</f>
        <v/>
      </c>
      <c r="BE58" t="str">
        <f>"+18775961761"</f>
        <v>+18775961761</v>
      </c>
      <c r="BF58" t="str">
        <f>""</f>
        <v/>
      </c>
      <c r="BG58" t="str">
        <f>"lawxpert@yahoo.com"</f>
        <v>lawxpert@yahoo.com</v>
      </c>
      <c r="BH58" t="str">
        <f>"Mannam &amp; Associates, LLC"</f>
        <v>Mannam &amp; Associates, LLC</v>
      </c>
      <c r="BI58" t="str">
        <f>"TN"</f>
        <v>TN</v>
      </c>
      <c r="BJ58" t="str">
        <f>"Supreme Court"</f>
        <v>Supreme Court</v>
      </c>
      <c r="BK58">
        <v>1</v>
      </c>
      <c r="BL58" t="s">
        <v>107</v>
      </c>
      <c r="BM58" t="str">
        <f>"Remote Work From Home for Trans Union"</f>
        <v>Remote Work From Home for Trans Union</v>
      </c>
      <c r="BN58" t="s">
        <v>7318</v>
      </c>
      <c r="BP58" t="s">
        <v>6382</v>
      </c>
      <c r="BQ58" t="s">
        <v>214</v>
      </c>
      <c r="BR58" t="s">
        <v>215</v>
      </c>
      <c r="BS58" s="5">
        <v>30041</v>
      </c>
      <c r="BT58" s="2">
        <v>41.27</v>
      </c>
      <c r="BU58" s="2">
        <v>41.28</v>
      </c>
      <c r="BV58" t="s">
        <v>210</v>
      </c>
      <c r="BW58" s="2">
        <v>41.27</v>
      </c>
      <c r="BX58" t="s">
        <v>210</v>
      </c>
      <c r="BZ58" t="s">
        <v>167</v>
      </c>
      <c r="CA58" t="str">
        <f t="shared" si="2"/>
        <v>7/1/2020 - 6/30/2021</v>
      </c>
      <c r="CF58">
        <v>2</v>
      </c>
      <c r="CG58" t="s">
        <v>98</v>
      </c>
      <c r="CH58" t="s">
        <v>98</v>
      </c>
      <c r="CI58" t="s">
        <v>206</v>
      </c>
      <c r="CJ58" t="s">
        <v>98</v>
      </c>
      <c r="CK58" t="s">
        <v>12323</v>
      </c>
      <c r="CL58" t="s">
        <v>108</v>
      </c>
      <c r="CM58" t="s">
        <v>109</v>
      </c>
      <c r="CN58" t="str">
        <f>"Sanoussi"</f>
        <v>Sanoussi</v>
      </c>
      <c r="CO58" t="str">
        <f>"Sabirou"</f>
        <v>Sabirou</v>
      </c>
      <c r="CP58" t="str">
        <f>"T"</f>
        <v>T</v>
      </c>
      <c r="CQ58" t="str">
        <f>"Mannam &amp; Associates, LLC"</f>
        <v>Mannam &amp; Associates, LLC</v>
      </c>
      <c r="CR58" t="s">
        <v>3265</v>
      </c>
    </row>
    <row r="59" spans="1:96" x14ac:dyDescent="0.2">
      <c r="A59" t="s">
        <v>7322</v>
      </c>
      <c r="B59" t="s">
        <v>96</v>
      </c>
      <c r="C59" s="1">
        <v>44098</v>
      </c>
      <c r="D59" s="1">
        <v>44105</v>
      </c>
      <c r="F59" t="s">
        <v>97</v>
      </c>
      <c r="G59" t="str">
        <f>"IT Consultant"</f>
        <v>IT Consultant</v>
      </c>
      <c r="H59" t="s">
        <v>12169</v>
      </c>
      <c r="I59" t="s">
        <v>124</v>
      </c>
      <c r="J59" t="s">
        <v>98</v>
      </c>
      <c r="K59" s="1">
        <v>44226</v>
      </c>
      <c r="L59" s="1">
        <v>45320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t="s">
        <v>4358</v>
      </c>
      <c r="U59" t="str">
        <f>""</f>
        <v/>
      </c>
      <c r="V59" t="s">
        <v>4359</v>
      </c>
      <c r="W59" t="str">
        <f>"SUITE 303"</f>
        <v>SUITE 303</v>
      </c>
      <c r="X59" t="s">
        <v>4360</v>
      </c>
      <c r="Y59" t="s">
        <v>100</v>
      </c>
      <c r="Z59" s="3">
        <v>7652</v>
      </c>
      <c r="AA59" t="s">
        <v>101</v>
      </c>
      <c r="AC59" s="4" t="str">
        <f>"+12013369431"</f>
        <v>+12013369431</v>
      </c>
      <c r="AE59" t="str">
        <f>"5415"</f>
        <v>5415</v>
      </c>
      <c r="AF59" t="s">
        <v>1457</v>
      </c>
      <c r="AG59" t="s">
        <v>4361</v>
      </c>
      <c r="AI59" t="s">
        <v>4362</v>
      </c>
      <c r="AJ59" t="s">
        <v>4359</v>
      </c>
      <c r="AK59" t="str">
        <f>"Suite 303"</f>
        <v>Suite 303</v>
      </c>
      <c r="AL59" t="s">
        <v>4363</v>
      </c>
      <c r="AM59" t="s">
        <v>100</v>
      </c>
      <c r="AN59" s="3">
        <v>7652</v>
      </c>
      <c r="AO59" t="s">
        <v>101</v>
      </c>
      <c r="AQ59" t="str">
        <f>"+12016002333"</f>
        <v>+12016002333</v>
      </c>
      <c r="AS59" t="s">
        <v>4364</v>
      </c>
      <c r="AT59" t="s">
        <v>107</v>
      </c>
      <c r="AU59" t="str">
        <f>"Shapiro"</f>
        <v>Shapiro</v>
      </c>
      <c r="AV59" t="str">
        <f>"Harvey"</f>
        <v>Harvey</v>
      </c>
      <c r="AW59" t="str">
        <f>""</f>
        <v/>
      </c>
      <c r="AX59" t="str">
        <f>"260 Madison Avenue"</f>
        <v>260 Madison Avenue</v>
      </c>
      <c r="AY59" t="str">
        <f>"15th Floor"</f>
        <v>15th Floor</v>
      </c>
      <c r="AZ59" t="str">
        <f>"New York"</f>
        <v>New York</v>
      </c>
      <c r="BA59" t="str">
        <f>"NY"</f>
        <v>NY</v>
      </c>
      <c r="BB59" s="3">
        <v>10016</v>
      </c>
      <c r="BC59" t="str">
        <f>"UNITED STATES OF AMERICA"</f>
        <v>UNITED STATES OF AMERICA</v>
      </c>
      <c r="BD59" t="str">
        <f>""</f>
        <v/>
      </c>
      <c r="BE59" t="str">
        <f>"+12123555240"</f>
        <v>+12123555240</v>
      </c>
      <c r="BF59" t="str">
        <f>""</f>
        <v/>
      </c>
      <c r="BG59" t="str">
        <f>"kate@harveyshapiro.com"</f>
        <v>kate@harveyshapiro.com</v>
      </c>
      <c r="BH59" t="str">
        <f>"Law Offices of Harvey Shapiro"</f>
        <v>Law Offices of Harvey Shapiro</v>
      </c>
      <c r="BI59" t="str">
        <f>"NY"</f>
        <v>NY</v>
      </c>
      <c r="BJ59" t="str">
        <f>"Supreme Court of New York"</f>
        <v>Supreme Court of New York</v>
      </c>
      <c r="BK59">
        <v>1</v>
      </c>
      <c r="BL59" t="s">
        <v>107</v>
      </c>
      <c r="BM59" t="str">
        <f>"Nike Inc."</f>
        <v>Nike Inc.</v>
      </c>
      <c r="BN59" t="s">
        <v>6367</v>
      </c>
      <c r="BP59" t="s">
        <v>812</v>
      </c>
      <c r="BQ59" t="s">
        <v>813</v>
      </c>
      <c r="BR59" t="s">
        <v>814</v>
      </c>
      <c r="BS59" s="5">
        <v>97124</v>
      </c>
      <c r="BT59" s="2">
        <v>94000</v>
      </c>
      <c r="BV59" t="s">
        <v>105</v>
      </c>
      <c r="BW59" s="2">
        <v>90979</v>
      </c>
      <c r="BX59" t="s">
        <v>105</v>
      </c>
      <c r="BZ59" t="s">
        <v>167</v>
      </c>
      <c r="CA59" t="str">
        <f t="shared" si="2"/>
        <v>7/1/2020 - 6/30/2021</v>
      </c>
      <c r="CF59">
        <v>1</v>
      </c>
      <c r="CG59" t="s">
        <v>98</v>
      </c>
      <c r="CH59" t="s">
        <v>98</v>
      </c>
      <c r="CI59" t="s">
        <v>206</v>
      </c>
      <c r="CJ59" t="s">
        <v>98</v>
      </c>
      <c r="CK59" t="s">
        <v>12323</v>
      </c>
      <c r="CL59" t="s">
        <v>108</v>
      </c>
      <c r="CM59" t="s">
        <v>109</v>
      </c>
      <c r="CN59" t="str">
        <f>""</f>
        <v/>
      </c>
      <c r="CO59" t="str">
        <f>""</f>
        <v/>
      </c>
      <c r="CP59" t="str">
        <f>""</f>
        <v/>
      </c>
      <c r="CQ59" t="str">
        <f>""</f>
        <v/>
      </c>
    </row>
    <row r="60" spans="1:96" x14ac:dyDescent="0.2">
      <c r="A60" t="s">
        <v>7395</v>
      </c>
      <c r="B60" t="s">
        <v>96</v>
      </c>
      <c r="C60" s="1">
        <v>44098</v>
      </c>
      <c r="D60" s="1">
        <v>44105</v>
      </c>
      <c r="F60" t="s">
        <v>97</v>
      </c>
      <c r="G60" t="str">
        <f>"Project Manager - US "</f>
        <v xml:space="preserve">Project Manager - US </v>
      </c>
      <c r="H60" t="s">
        <v>12181</v>
      </c>
      <c r="I60" t="s">
        <v>110</v>
      </c>
      <c r="J60" t="s">
        <v>98</v>
      </c>
      <c r="K60" s="1">
        <v>44109</v>
      </c>
      <c r="L60" s="1">
        <v>45201</v>
      </c>
      <c r="M60">
        <v>5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723</v>
      </c>
      <c r="U60" t="str">
        <f>""</f>
        <v/>
      </c>
      <c r="V60" t="s">
        <v>724</v>
      </c>
      <c r="W60" t="str">
        <f>"STE C150"</f>
        <v>STE C150</v>
      </c>
      <c r="X60" t="s">
        <v>725</v>
      </c>
      <c r="Y60" t="s">
        <v>114</v>
      </c>
      <c r="Z60" s="3">
        <v>75082</v>
      </c>
      <c r="AA60" t="s">
        <v>101</v>
      </c>
      <c r="AC60" s="4" t="str">
        <f>"+12143062100"</f>
        <v>+12143062100</v>
      </c>
      <c r="AE60" t="str">
        <f t="shared" ref="AE60:AE70" si="4">"541511"</f>
        <v>541511</v>
      </c>
      <c r="AF60" t="s">
        <v>726</v>
      </c>
      <c r="AG60" t="s">
        <v>727</v>
      </c>
      <c r="AI60" t="s">
        <v>728</v>
      </c>
      <c r="AJ60" t="s">
        <v>724</v>
      </c>
      <c r="AK60" t="str">
        <f>"STE C150"</f>
        <v>STE C150</v>
      </c>
      <c r="AL60" t="s">
        <v>725</v>
      </c>
      <c r="AM60" t="s">
        <v>114</v>
      </c>
      <c r="AN60" s="3">
        <v>75082</v>
      </c>
      <c r="AO60" t="s">
        <v>101</v>
      </c>
      <c r="AQ60" t="str">
        <f>"+12143062100"</f>
        <v>+12143062100</v>
      </c>
      <c r="AS60" t="s">
        <v>729</v>
      </c>
      <c r="AT60" t="s">
        <v>102</v>
      </c>
      <c r="AU60" t="str">
        <f>""</f>
        <v/>
      </c>
      <c r="AV60" t="str">
        <f>""</f>
        <v/>
      </c>
      <c r="AW60" t="str">
        <f>""</f>
        <v/>
      </c>
      <c r="AX60" t="str">
        <f>""</f>
        <v/>
      </c>
      <c r="AY60" t="str">
        <f>""</f>
        <v/>
      </c>
      <c r="AZ60" t="str">
        <f>""</f>
        <v/>
      </c>
      <c r="BA60" t="str">
        <f>""</f>
        <v/>
      </c>
      <c r="BC60" t="str">
        <f>""</f>
        <v/>
      </c>
      <c r="BD60" t="str">
        <f>""</f>
        <v/>
      </c>
      <c r="BE60" t="str">
        <f>""</f>
        <v/>
      </c>
      <c r="BF60" t="str">
        <f>""</f>
        <v/>
      </c>
      <c r="BG60" t="str">
        <f>""</f>
        <v/>
      </c>
      <c r="BH60" t="str">
        <f>""</f>
        <v/>
      </c>
      <c r="BI60" t="str">
        <f>""</f>
        <v/>
      </c>
      <c r="BJ60" t="str">
        <f>""</f>
        <v/>
      </c>
      <c r="BK60">
        <v>5</v>
      </c>
      <c r="BL60" t="s">
        <v>107</v>
      </c>
      <c r="BM60" t="str">
        <f>"General Motors Acceptance Corp"</f>
        <v>General Motors Acceptance Corp</v>
      </c>
      <c r="BN60" t="s">
        <v>7396</v>
      </c>
      <c r="BP60" t="s">
        <v>604</v>
      </c>
      <c r="BQ60" t="s">
        <v>121</v>
      </c>
      <c r="BR60" t="s">
        <v>122</v>
      </c>
      <c r="BS60" s="5">
        <v>28202</v>
      </c>
      <c r="BT60" s="2">
        <v>98114</v>
      </c>
      <c r="BU60" s="2">
        <v>110320</v>
      </c>
      <c r="BV60" t="s">
        <v>105</v>
      </c>
      <c r="BW60" s="2">
        <v>98114</v>
      </c>
      <c r="BX60" t="s">
        <v>105</v>
      </c>
      <c r="BZ60" t="s">
        <v>123</v>
      </c>
      <c r="CA60" t="str">
        <f t="shared" si="2"/>
        <v>7/1/2020 - 6/30/2021</v>
      </c>
      <c r="CF60">
        <v>1</v>
      </c>
      <c r="CG60" t="s">
        <v>98</v>
      </c>
      <c r="CH60" t="s">
        <v>98</v>
      </c>
      <c r="CI60" t="s">
        <v>206</v>
      </c>
      <c r="CJ60" t="s">
        <v>98</v>
      </c>
      <c r="CK60" t="s">
        <v>12323</v>
      </c>
      <c r="CL60" t="s">
        <v>108</v>
      </c>
      <c r="CM60" t="s">
        <v>109</v>
      </c>
      <c r="CN60" t="str">
        <f>"Khanum"</f>
        <v>Khanum</v>
      </c>
      <c r="CO60" t="str">
        <f>"Hajeera"</f>
        <v>Hajeera</v>
      </c>
      <c r="CP60" t="str">
        <f>""</f>
        <v/>
      </c>
      <c r="CQ60" t="str">
        <f>"Infosys Limited"</f>
        <v>Infosys Limited</v>
      </c>
      <c r="CR60" t="s">
        <v>900</v>
      </c>
    </row>
    <row r="61" spans="1:96" x14ac:dyDescent="0.2">
      <c r="A61" t="s">
        <v>7493</v>
      </c>
      <c r="B61" t="s">
        <v>96</v>
      </c>
      <c r="C61" s="1">
        <v>44098</v>
      </c>
      <c r="D61" s="1">
        <v>44105</v>
      </c>
      <c r="F61" t="s">
        <v>97</v>
      </c>
      <c r="G61" t="str">
        <f>"ETL  Developer"</f>
        <v>ETL  Developer</v>
      </c>
      <c r="H61" t="s">
        <v>12169</v>
      </c>
      <c r="I61" t="s">
        <v>124</v>
      </c>
      <c r="J61" t="s">
        <v>98</v>
      </c>
      <c r="K61" s="1">
        <v>44145</v>
      </c>
      <c r="L61" s="1">
        <v>45077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7494</v>
      </c>
      <c r="U61" t="str">
        <f>""</f>
        <v/>
      </c>
      <c r="V61" t="s">
        <v>7495</v>
      </c>
      <c r="W61" t="str">
        <f>""</f>
        <v/>
      </c>
      <c r="X61" t="s">
        <v>1328</v>
      </c>
      <c r="Y61" t="s">
        <v>934</v>
      </c>
      <c r="Z61" s="3">
        <v>68114</v>
      </c>
      <c r="AA61" t="s">
        <v>101</v>
      </c>
      <c r="AC61" s="4" t="str">
        <f>"+17029843398"</f>
        <v>+17029843398</v>
      </c>
      <c r="AE61" t="str">
        <f t="shared" si="4"/>
        <v>541511</v>
      </c>
      <c r="AF61" t="s">
        <v>7496</v>
      </c>
      <c r="AG61" t="s">
        <v>7497</v>
      </c>
      <c r="AI61" t="s">
        <v>298</v>
      </c>
      <c r="AJ61" t="s">
        <v>7495</v>
      </c>
      <c r="AK61" t="str">
        <f>""</f>
        <v/>
      </c>
      <c r="AL61" t="s">
        <v>1328</v>
      </c>
      <c r="AM61" t="s">
        <v>934</v>
      </c>
      <c r="AN61" s="3">
        <v>68114</v>
      </c>
      <c r="AO61" t="s">
        <v>101</v>
      </c>
      <c r="AQ61" t="str">
        <f>"+17029843398"</f>
        <v>+17029843398</v>
      </c>
      <c r="AS61" t="s">
        <v>7498</v>
      </c>
      <c r="AT61" t="s">
        <v>102</v>
      </c>
      <c r="AU61" t="str">
        <f>""</f>
        <v/>
      </c>
      <c r="AV61" t="str">
        <f>""</f>
        <v/>
      </c>
      <c r="AW61" t="str">
        <f>""</f>
        <v/>
      </c>
      <c r="AX61" t="str">
        <f>""</f>
        <v/>
      </c>
      <c r="AY61" t="str">
        <f>""</f>
        <v/>
      </c>
      <c r="AZ61" t="str">
        <f>""</f>
        <v/>
      </c>
      <c r="BA61" t="str">
        <f>""</f>
        <v/>
      </c>
      <c r="BC61" t="str">
        <f>""</f>
        <v/>
      </c>
      <c r="BD61" t="str">
        <f>""</f>
        <v/>
      </c>
      <c r="BE61" t="str">
        <f>""</f>
        <v/>
      </c>
      <c r="BF61" t="str">
        <f>""</f>
        <v/>
      </c>
      <c r="BG61" t="str">
        <f>""</f>
        <v/>
      </c>
      <c r="BH61" t="str">
        <f>""</f>
        <v/>
      </c>
      <c r="BI61" t="str">
        <f>""</f>
        <v/>
      </c>
      <c r="BJ61" t="str">
        <f>""</f>
        <v/>
      </c>
      <c r="BK61">
        <v>1</v>
      </c>
      <c r="BL61" t="s">
        <v>107</v>
      </c>
      <c r="BM61" t="str">
        <f>"Cisco Systems Inc"</f>
        <v>Cisco Systems Inc</v>
      </c>
      <c r="BN61" t="s">
        <v>3099</v>
      </c>
      <c r="BP61" t="s">
        <v>585</v>
      </c>
      <c r="BQ61" t="s">
        <v>230</v>
      </c>
      <c r="BR61" t="s">
        <v>141</v>
      </c>
      <c r="BS61" s="5">
        <v>95134</v>
      </c>
      <c r="BT61" s="2">
        <v>121300</v>
      </c>
      <c r="BU61" s="2">
        <v>125400</v>
      </c>
      <c r="BV61" t="s">
        <v>105</v>
      </c>
      <c r="BW61" s="2">
        <v>120578</v>
      </c>
      <c r="BX61" t="s">
        <v>105</v>
      </c>
      <c r="BZ61" t="s">
        <v>167</v>
      </c>
      <c r="CA61" t="str">
        <f t="shared" si="2"/>
        <v>7/1/2020 - 6/30/2021</v>
      </c>
      <c r="CF61">
        <v>1</v>
      </c>
      <c r="CG61" t="s">
        <v>98</v>
      </c>
      <c r="CH61" t="s">
        <v>98</v>
      </c>
      <c r="CI61" t="s">
        <v>206</v>
      </c>
      <c r="CJ61" t="s">
        <v>98</v>
      </c>
      <c r="CK61" t="s">
        <v>12323</v>
      </c>
      <c r="CL61" t="s">
        <v>108</v>
      </c>
      <c r="CM61" t="s">
        <v>353</v>
      </c>
      <c r="CN61" t="str">
        <f>"Vishwa"</f>
        <v>Vishwa</v>
      </c>
      <c r="CO61" t="str">
        <f>"Vinod "</f>
        <v xml:space="preserve">Vinod </v>
      </c>
      <c r="CP61" t="str">
        <f>""</f>
        <v/>
      </c>
      <c r="CQ61" t="str">
        <f>"EXEVCONSULTING INC"</f>
        <v>EXEVCONSULTING INC</v>
      </c>
      <c r="CR61" t="s">
        <v>7498</v>
      </c>
    </row>
    <row r="62" spans="1:96" x14ac:dyDescent="0.2">
      <c r="A62" t="s">
        <v>7522</v>
      </c>
      <c r="B62" t="s">
        <v>96</v>
      </c>
      <c r="C62" s="1">
        <v>44098</v>
      </c>
      <c r="D62" s="1">
        <v>44105</v>
      </c>
      <c r="F62" t="s">
        <v>97</v>
      </c>
      <c r="G62" t="str">
        <f>"Technology Lead - US "</f>
        <v xml:space="preserve">Technology Lead - US </v>
      </c>
      <c r="H62" t="s">
        <v>12168</v>
      </c>
      <c r="I62" t="s">
        <v>367</v>
      </c>
      <c r="J62" t="s">
        <v>98</v>
      </c>
      <c r="K62" s="1">
        <v>44109</v>
      </c>
      <c r="L62" s="1">
        <v>45202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 t="s">
        <v>723</v>
      </c>
      <c r="U62" t="str">
        <f>""</f>
        <v/>
      </c>
      <c r="V62" t="s">
        <v>724</v>
      </c>
      <c r="W62" t="str">
        <f>"STE C150"</f>
        <v>STE C150</v>
      </c>
      <c r="X62" t="s">
        <v>725</v>
      </c>
      <c r="Y62" t="s">
        <v>114</v>
      </c>
      <c r="Z62" s="3">
        <v>75082</v>
      </c>
      <c r="AA62" t="s">
        <v>101</v>
      </c>
      <c r="AC62" s="4" t="str">
        <f>"+12143062100"</f>
        <v>+12143062100</v>
      </c>
      <c r="AE62" t="str">
        <f t="shared" si="4"/>
        <v>541511</v>
      </c>
      <c r="AF62" t="s">
        <v>726</v>
      </c>
      <c r="AG62" t="s">
        <v>727</v>
      </c>
      <c r="AI62" t="s">
        <v>728</v>
      </c>
      <c r="AJ62" t="s">
        <v>724</v>
      </c>
      <c r="AK62" t="str">
        <f>"STE C150"</f>
        <v>STE C150</v>
      </c>
      <c r="AL62" t="s">
        <v>725</v>
      </c>
      <c r="AM62" t="s">
        <v>114</v>
      </c>
      <c r="AN62" s="3">
        <v>75082</v>
      </c>
      <c r="AO62" t="s">
        <v>101</v>
      </c>
      <c r="AQ62" t="str">
        <f>"+12143062100"</f>
        <v>+12143062100</v>
      </c>
      <c r="AS62" t="s">
        <v>729</v>
      </c>
      <c r="AT62" t="s">
        <v>102</v>
      </c>
      <c r="AU62" t="str">
        <f>""</f>
        <v/>
      </c>
      <c r="AV62" t="str">
        <f>""</f>
        <v/>
      </c>
      <c r="AW62" t="str">
        <f>""</f>
        <v/>
      </c>
      <c r="AX62" t="str">
        <f>""</f>
        <v/>
      </c>
      <c r="AY62" t="str">
        <f>""</f>
        <v/>
      </c>
      <c r="AZ62" t="str">
        <f>""</f>
        <v/>
      </c>
      <c r="BA62" t="str">
        <f>""</f>
        <v/>
      </c>
      <c r="BC62" t="str">
        <f>""</f>
        <v/>
      </c>
      <c r="BD62" t="str">
        <f>""</f>
        <v/>
      </c>
      <c r="BE62" t="str">
        <f>""</f>
        <v/>
      </c>
      <c r="BF62" t="str">
        <f>""</f>
        <v/>
      </c>
      <c r="BG62" t="str">
        <f>""</f>
        <v/>
      </c>
      <c r="BH62" t="str">
        <f>""</f>
        <v/>
      </c>
      <c r="BI62" t="str">
        <f>""</f>
        <v/>
      </c>
      <c r="BJ62" t="str">
        <f>""</f>
        <v/>
      </c>
      <c r="BK62">
        <v>1</v>
      </c>
      <c r="BL62" t="s">
        <v>107</v>
      </c>
      <c r="BM62" t="str">
        <f>"Verizon Sourcing, LLC"</f>
        <v>Verizon Sourcing, LLC</v>
      </c>
      <c r="BN62" t="s">
        <v>7523</v>
      </c>
      <c r="BP62" t="s">
        <v>7524</v>
      </c>
      <c r="BQ62" t="s">
        <v>529</v>
      </c>
      <c r="BR62" t="s">
        <v>195</v>
      </c>
      <c r="BS62" s="5">
        <v>20904</v>
      </c>
      <c r="BT62" s="2">
        <v>97594</v>
      </c>
      <c r="BV62" t="s">
        <v>105</v>
      </c>
      <c r="BW62" s="2">
        <v>97594</v>
      </c>
      <c r="BX62" t="s">
        <v>105</v>
      </c>
      <c r="BZ62" t="s">
        <v>167</v>
      </c>
      <c r="CA62" t="str">
        <f t="shared" si="2"/>
        <v>7/1/2020 - 6/30/2021</v>
      </c>
      <c r="CF62">
        <v>1</v>
      </c>
      <c r="CG62" t="s">
        <v>98</v>
      </c>
      <c r="CH62" t="s">
        <v>98</v>
      </c>
      <c r="CI62" t="s">
        <v>206</v>
      </c>
      <c r="CJ62" t="s">
        <v>98</v>
      </c>
      <c r="CK62" t="s">
        <v>12323</v>
      </c>
      <c r="CL62" t="s">
        <v>108</v>
      </c>
      <c r="CM62" t="s">
        <v>109</v>
      </c>
      <c r="CN62" t="str">
        <f>"JAYARAM"</f>
        <v>JAYARAM</v>
      </c>
      <c r="CO62" t="str">
        <f>"SUSHMA"</f>
        <v>SUSHMA</v>
      </c>
      <c r="CP62" t="str">
        <f>""</f>
        <v/>
      </c>
      <c r="CQ62" t="str">
        <f>"INFOSYS LIMITED"</f>
        <v>INFOSYS LIMITED</v>
      </c>
      <c r="CR62" t="s">
        <v>3699</v>
      </c>
    </row>
    <row r="63" spans="1:96" x14ac:dyDescent="0.2">
      <c r="A63" t="s">
        <v>7547</v>
      </c>
      <c r="B63" t="s">
        <v>96</v>
      </c>
      <c r="C63" s="1">
        <v>44098</v>
      </c>
      <c r="D63" s="1">
        <v>44105</v>
      </c>
      <c r="F63" t="s">
        <v>97</v>
      </c>
      <c r="G63" t="str">
        <f>"Bigdata Developer"</f>
        <v>Bigdata Developer</v>
      </c>
      <c r="H63" t="s">
        <v>12272</v>
      </c>
      <c r="I63" t="s">
        <v>1486</v>
      </c>
      <c r="J63" t="s">
        <v>98</v>
      </c>
      <c r="K63" s="1">
        <v>44139</v>
      </c>
      <c r="L63" s="1">
        <v>45068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7256</v>
      </c>
      <c r="U63" t="str">
        <f>""</f>
        <v/>
      </c>
      <c r="V63" t="s">
        <v>7257</v>
      </c>
      <c r="W63" t="str">
        <f>""</f>
        <v/>
      </c>
      <c r="X63" t="s">
        <v>1328</v>
      </c>
      <c r="Y63" t="s">
        <v>934</v>
      </c>
      <c r="Z63" s="3">
        <v>68137</v>
      </c>
      <c r="AA63" t="s">
        <v>101</v>
      </c>
      <c r="AC63" s="4" t="str">
        <f>"+14086377976"</f>
        <v>+14086377976</v>
      </c>
      <c r="AE63" t="str">
        <f t="shared" si="4"/>
        <v>541511</v>
      </c>
      <c r="AF63" t="s">
        <v>208</v>
      </c>
      <c r="AG63" t="s">
        <v>7258</v>
      </c>
      <c r="AI63" t="s">
        <v>7259</v>
      </c>
      <c r="AJ63" t="s">
        <v>7257</v>
      </c>
      <c r="AK63" t="str">
        <f>""</f>
        <v/>
      </c>
      <c r="AL63" t="s">
        <v>1328</v>
      </c>
      <c r="AM63" t="s">
        <v>934</v>
      </c>
      <c r="AN63" s="3">
        <v>68137</v>
      </c>
      <c r="AO63" t="s">
        <v>101</v>
      </c>
      <c r="AQ63" t="str">
        <f>"+14086377976"</f>
        <v>+14086377976</v>
      </c>
      <c r="AS63" t="s">
        <v>7260</v>
      </c>
      <c r="AT63" t="s">
        <v>102</v>
      </c>
      <c r="AU63" t="str">
        <f>""</f>
        <v/>
      </c>
      <c r="AV63" t="str">
        <f>""</f>
        <v/>
      </c>
      <c r="AW63" t="str">
        <f>""</f>
        <v/>
      </c>
      <c r="AX63" t="str">
        <f>""</f>
        <v/>
      </c>
      <c r="AY63" t="str">
        <f>""</f>
        <v/>
      </c>
      <c r="AZ63" t="str">
        <f>""</f>
        <v/>
      </c>
      <c r="BA63" t="str">
        <f>""</f>
        <v/>
      </c>
      <c r="BC63" t="str">
        <f>""</f>
        <v/>
      </c>
      <c r="BD63" t="str">
        <f>""</f>
        <v/>
      </c>
      <c r="BE63" t="str">
        <f>""</f>
        <v/>
      </c>
      <c r="BF63" t="str">
        <f>""</f>
        <v/>
      </c>
      <c r="BG63" t="str">
        <f>""</f>
        <v/>
      </c>
      <c r="BH63" t="str">
        <f>""</f>
        <v/>
      </c>
      <c r="BI63" t="str">
        <f>""</f>
        <v/>
      </c>
      <c r="BJ63" t="str">
        <f>""</f>
        <v/>
      </c>
      <c r="BK63">
        <v>1</v>
      </c>
      <c r="BL63" t="s">
        <v>107</v>
      </c>
      <c r="BM63" t="str">
        <f>"Educational Service"</f>
        <v>Educational Service</v>
      </c>
      <c r="BN63" t="s">
        <v>4411</v>
      </c>
      <c r="BP63" t="s">
        <v>947</v>
      </c>
      <c r="BQ63" t="s">
        <v>404</v>
      </c>
      <c r="BR63" t="s">
        <v>100</v>
      </c>
      <c r="BS63" s="5">
        <v>8541</v>
      </c>
      <c r="BT63" s="2">
        <v>89300</v>
      </c>
      <c r="BU63" s="2">
        <v>95200</v>
      </c>
      <c r="BV63" t="s">
        <v>105</v>
      </c>
      <c r="BW63" s="2">
        <v>60590</v>
      </c>
      <c r="BX63" t="s">
        <v>105</v>
      </c>
      <c r="BZ63" t="s">
        <v>167</v>
      </c>
      <c r="CA63" t="str">
        <f t="shared" si="2"/>
        <v>7/1/2020 - 6/30/2021</v>
      </c>
      <c r="CF63">
        <v>1</v>
      </c>
      <c r="CG63" t="s">
        <v>98</v>
      </c>
      <c r="CH63" t="s">
        <v>98</v>
      </c>
      <c r="CI63" t="s">
        <v>206</v>
      </c>
      <c r="CJ63" t="s">
        <v>98</v>
      </c>
      <c r="CK63" t="s">
        <v>12323</v>
      </c>
      <c r="CL63" t="s">
        <v>108</v>
      </c>
      <c r="CM63" t="s">
        <v>353</v>
      </c>
      <c r="CN63" t="str">
        <f>"Patel"</f>
        <v>Patel</v>
      </c>
      <c r="CO63" t="str">
        <f>"Mahendra "</f>
        <v xml:space="preserve">Mahendra </v>
      </c>
      <c r="CP63" t="str">
        <f>""</f>
        <v/>
      </c>
      <c r="CQ63" t="str">
        <f>"TECHNOCRATIC INC "</f>
        <v xml:space="preserve">TECHNOCRATIC INC </v>
      </c>
      <c r="CR63" t="s">
        <v>7260</v>
      </c>
    </row>
    <row r="64" spans="1:96" x14ac:dyDescent="0.2">
      <c r="A64" t="s">
        <v>7573</v>
      </c>
      <c r="B64" t="s">
        <v>96</v>
      </c>
      <c r="C64" s="1">
        <v>44098</v>
      </c>
      <c r="D64" s="1">
        <v>44105</v>
      </c>
      <c r="F64" t="s">
        <v>97</v>
      </c>
      <c r="G64" t="str">
        <f>"TECHNICAL SPECIALIST"</f>
        <v>TECHNICAL SPECIALIST</v>
      </c>
      <c r="H64" t="s">
        <v>12168</v>
      </c>
      <c r="I64" t="s">
        <v>160</v>
      </c>
      <c r="J64" t="s">
        <v>98</v>
      </c>
      <c r="K64" s="1">
        <v>44106</v>
      </c>
      <c r="L64" s="1">
        <v>45197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t="s">
        <v>1143</v>
      </c>
      <c r="U64" t="str">
        <f>""</f>
        <v/>
      </c>
      <c r="V64" t="s">
        <v>1144</v>
      </c>
      <c r="W64" t="str">
        <f>"N/A"</f>
        <v>N/A</v>
      </c>
      <c r="X64" t="s">
        <v>1145</v>
      </c>
      <c r="Y64" t="s">
        <v>100</v>
      </c>
      <c r="Z64" s="3">
        <v>7059</v>
      </c>
      <c r="AA64" t="s">
        <v>101</v>
      </c>
      <c r="AC64" s="4" t="str">
        <f>"+14254959011"</f>
        <v>+14254959011</v>
      </c>
      <c r="AE64" t="str">
        <f t="shared" si="4"/>
        <v>541511</v>
      </c>
      <c r="AF64" t="s">
        <v>1146</v>
      </c>
      <c r="AG64" t="s">
        <v>359</v>
      </c>
      <c r="AH64" t="s">
        <v>108</v>
      </c>
      <c r="AI64" t="s">
        <v>1147</v>
      </c>
      <c r="AJ64" t="s">
        <v>1148</v>
      </c>
      <c r="AK64" t="str">
        <f>"N/A"</f>
        <v>N/A</v>
      </c>
      <c r="AL64" t="s">
        <v>498</v>
      </c>
      <c r="AM64" t="s">
        <v>176</v>
      </c>
      <c r="AN64" s="3">
        <v>98052</v>
      </c>
      <c r="AO64" t="s">
        <v>101</v>
      </c>
      <c r="AQ64" t="str">
        <f>"+14254959011"</f>
        <v>+14254959011</v>
      </c>
      <c r="AS64" t="s">
        <v>1149</v>
      </c>
      <c r="AT64" t="s">
        <v>107</v>
      </c>
      <c r="AU64" t="str">
        <f>"PATEL"</f>
        <v>PATEL</v>
      </c>
      <c r="AV64" t="str">
        <f>"TEJAL"</f>
        <v>TEJAL</v>
      </c>
      <c r="AW64" t="str">
        <f>""</f>
        <v/>
      </c>
      <c r="AX64" t="str">
        <f>"100 HIGH STREET"</f>
        <v>100 HIGH STREET</v>
      </c>
      <c r="AY64" t="str">
        <f>"FLOOR 3"</f>
        <v>FLOOR 3</v>
      </c>
      <c r="AZ64" t="str">
        <f>"BOSTON"</f>
        <v>BOSTON</v>
      </c>
      <c r="BA64" t="str">
        <f>"MA"</f>
        <v>MA</v>
      </c>
      <c r="BB64" s="3">
        <v>2110</v>
      </c>
      <c r="BC64" t="str">
        <f>"UNITED STATES OF AMERICA"</f>
        <v>UNITED STATES OF AMERICA</v>
      </c>
      <c r="BD64" t="str">
        <f>""</f>
        <v/>
      </c>
      <c r="BE64" t="str">
        <f>"+16175740400"</f>
        <v>+16175740400</v>
      </c>
      <c r="BF64" t="str">
        <f>""</f>
        <v/>
      </c>
      <c r="BG64" t="str">
        <f>"MINDTREEUSA@FRAGOMEN.COM"</f>
        <v>MINDTREEUSA@FRAGOMEN.COM</v>
      </c>
      <c r="BH64" t="str">
        <f>"FRAGOMEN, DEL REY, BERNSEN &amp; LOEWY, LLP"</f>
        <v>FRAGOMEN, DEL REY, BERNSEN &amp; LOEWY, LLP</v>
      </c>
      <c r="BI64" t="str">
        <f>"MA"</f>
        <v>MA</v>
      </c>
      <c r="BJ64" t="str">
        <f>"SUPREME JUDICIAL COURT"</f>
        <v>SUPREME JUDICIAL COURT</v>
      </c>
      <c r="BK64">
        <v>1</v>
      </c>
      <c r="BL64" t="s">
        <v>102</v>
      </c>
      <c r="BM64" t="str">
        <f>""</f>
        <v/>
      </c>
      <c r="BN64" t="s">
        <v>7574</v>
      </c>
      <c r="BP64" t="s">
        <v>197</v>
      </c>
      <c r="BQ64" t="s">
        <v>183</v>
      </c>
      <c r="BR64" t="s">
        <v>176</v>
      </c>
      <c r="BS64" s="5">
        <v>98007</v>
      </c>
      <c r="BT64" s="2">
        <v>86145</v>
      </c>
      <c r="BV64" t="s">
        <v>105</v>
      </c>
      <c r="BW64" s="2">
        <v>77875</v>
      </c>
      <c r="BX64" t="s">
        <v>105</v>
      </c>
      <c r="BZ64" t="s">
        <v>167</v>
      </c>
      <c r="CA64" t="str">
        <f t="shared" si="2"/>
        <v>7/1/2020 - 6/30/2021</v>
      </c>
      <c r="CF64">
        <v>1</v>
      </c>
      <c r="CG64" t="s">
        <v>98</v>
      </c>
      <c r="CH64" t="s">
        <v>98</v>
      </c>
      <c r="CI64" t="s">
        <v>206</v>
      </c>
      <c r="CJ64" t="s">
        <v>98</v>
      </c>
      <c r="CK64" t="s">
        <v>12323</v>
      </c>
      <c r="CL64" t="s">
        <v>108</v>
      </c>
      <c r="CM64" t="s">
        <v>109</v>
      </c>
      <c r="CN64" t="str">
        <f>"SHAJI"</f>
        <v>SHAJI</v>
      </c>
      <c r="CO64" t="str">
        <f>"SHRUTHI"</f>
        <v>SHRUTHI</v>
      </c>
      <c r="CP64" t="str">
        <f>"N/A"</f>
        <v>N/A</v>
      </c>
      <c r="CQ64" t="str">
        <f>"FRAGOMEN, DEL REY, BERNSEN &amp; LOEWY, LLP"</f>
        <v>FRAGOMEN, DEL REY, BERNSEN &amp; LOEWY, LLP</v>
      </c>
      <c r="CR64" t="s">
        <v>1150</v>
      </c>
    </row>
    <row r="65" spans="1:96" x14ac:dyDescent="0.2">
      <c r="A65" t="s">
        <v>7594</v>
      </c>
      <c r="B65" t="s">
        <v>96</v>
      </c>
      <c r="C65" s="1">
        <v>44098</v>
      </c>
      <c r="D65" s="1">
        <v>44105</v>
      </c>
      <c r="F65" t="s">
        <v>97</v>
      </c>
      <c r="G65" t="str">
        <f>"SOFTWARE DEVELOPER"</f>
        <v>SOFTWARE DEVELOPER</v>
      </c>
      <c r="H65" t="s">
        <v>12169</v>
      </c>
      <c r="I65" t="s">
        <v>124</v>
      </c>
      <c r="J65" t="s">
        <v>98</v>
      </c>
      <c r="K65" s="1">
        <v>44099</v>
      </c>
      <c r="L65" s="1">
        <v>45193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5598</v>
      </c>
      <c r="U65" t="str">
        <f>""</f>
        <v/>
      </c>
      <c r="V65" t="s">
        <v>5599</v>
      </c>
      <c r="W65" t="str">
        <f>"SUITE#100"</f>
        <v>SUITE#100</v>
      </c>
      <c r="X65" t="s">
        <v>683</v>
      </c>
      <c r="Y65" t="s">
        <v>100</v>
      </c>
      <c r="Z65" s="3">
        <v>8830</v>
      </c>
      <c r="AA65" t="s">
        <v>101</v>
      </c>
      <c r="AC65" s="4" t="str">
        <f>"+17322271772"</f>
        <v>+17322271772</v>
      </c>
      <c r="AE65" t="str">
        <f t="shared" si="4"/>
        <v>541511</v>
      </c>
      <c r="AF65" t="s">
        <v>5600</v>
      </c>
      <c r="AG65" t="s">
        <v>2794</v>
      </c>
      <c r="AI65" t="s">
        <v>5601</v>
      </c>
      <c r="AJ65" t="s">
        <v>5599</v>
      </c>
      <c r="AK65" t="str">
        <f>"SUITE #100"</f>
        <v>SUITE #100</v>
      </c>
      <c r="AL65" t="s">
        <v>683</v>
      </c>
      <c r="AM65" t="s">
        <v>100</v>
      </c>
      <c r="AN65" s="3">
        <v>8830</v>
      </c>
      <c r="AO65" t="s">
        <v>101</v>
      </c>
      <c r="AQ65" t="str">
        <f>"+17322271772"</f>
        <v>+17322271772</v>
      </c>
      <c r="AS65" t="s">
        <v>5602</v>
      </c>
      <c r="AT65" t="s">
        <v>102</v>
      </c>
      <c r="AU65" t="str">
        <f>""</f>
        <v/>
      </c>
      <c r="AV65" t="str">
        <f>""</f>
        <v/>
      </c>
      <c r="AW65" t="str">
        <f>""</f>
        <v/>
      </c>
      <c r="AX65" t="str">
        <f>""</f>
        <v/>
      </c>
      <c r="AY65" t="str">
        <f>""</f>
        <v/>
      </c>
      <c r="AZ65" t="str">
        <f>""</f>
        <v/>
      </c>
      <c r="BA65" t="str">
        <f>""</f>
        <v/>
      </c>
      <c r="BC65" t="str">
        <f>""</f>
        <v/>
      </c>
      <c r="BD65" t="str">
        <f>""</f>
        <v/>
      </c>
      <c r="BE65" t="str">
        <f>""</f>
        <v/>
      </c>
      <c r="BF65" t="str">
        <f>""</f>
        <v/>
      </c>
      <c r="BG65" t="str">
        <f>""</f>
        <v/>
      </c>
      <c r="BH65" t="str">
        <f>""</f>
        <v/>
      </c>
      <c r="BI65" t="str">
        <f>""</f>
        <v/>
      </c>
      <c r="BJ65" t="str">
        <f>""</f>
        <v/>
      </c>
      <c r="BK65">
        <v>1</v>
      </c>
      <c r="BL65" t="s">
        <v>102</v>
      </c>
      <c r="BM65" t="str">
        <f>""</f>
        <v/>
      </c>
      <c r="BN65" t="s">
        <v>7595</v>
      </c>
      <c r="BO65" t="s">
        <v>7596</v>
      </c>
      <c r="BP65" t="s">
        <v>2986</v>
      </c>
      <c r="BQ65" t="s">
        <v>2987</v>
      </c>
      <c r="BR65" t="s">
        <v>122</v>
      </c>
      <c r="BS65" s="5">
        <v>28117</v>
      </c>
      <c r="BT65" s="2">
        <v>85488</v>
      </c>
      <c r="BV65" t="s">
        <v>105</v>
      </c>
      <c r="BW65" s="2">
        <v>85488</v>
      </c>
      <c r="BX65" t="s">
        <v>105</v>
      </c>
      <c r="BZ65" t="s">
        <v>167</v>
      </c>
      <c r="CA65" t="str">
        <f t="shared" si="2"/>
        <v>7/1/2020 - 6/30/2021</v>
      </c>
      <c r="CF65">
        <v>1</v>
      </c>
      <c r="CG65" t="s">
        <v>98</v>
      </c>
      <c r="CH65" t="s">
        <v>98</v>
      </c>
      <c r="CI65" t="s">
        <v>206</v>
      </c>
      <c r="CJ65" t="s">
        <v>98</v>
      </c>
      <c r="CK65" t="s">
        <v>12323</v>
      </c>
      <c r="CL65" t="s">
        <v>108</v>
      </c>
      <c r="CM65" t="s">
        <v>109</v>
      </c>
      <c r="CN65" t="str">
        <f>""</f>
        <v/>
      </c>
      <c r="CO65" t="str">
        <f>""</f>
        <v/>
      </c>
      <c r="CP65" t="str">
        <f>""</f>
        <v/>
      </c>
      <c r="CQ65" t="str">
        <f>""</f>
        <v/>
      </c>
    </row>
    <row r="66" spans="1:96" x14ac:dyDescent="0.2">
      <c r="A66" t="s">
        <v>7603</v>
      </c>
      <c r="B66" t="s">
        <v>96</v>
      </c>
      <c r="C66" s="1">
        <v>44098</v>
      </c>
      <c r="D66" s="1">
        <v>44105</v>
      </c>
      <c r="F66" t="s">
        <v>97</v>
      </c>
      <c r="G66" t="str">
        <f>"Senior Software Developer"</f>
        <v>Senior Software Developer</v>
      </c>
      <c r="H66" t="s">
        <v>12169</v>
      </c>
      <c r="I66" t="s">
        <v>124</v>
      </c>
      <c r="J66" t="s">
        <v>98</v>
      </c>
      <c r="K66" s="1">
        <v>44099</v>
      </c>
      <c r="L66" s="1">
        <v>45193</v>
      </c>
      <c r="M66">
        <v>6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 t="s">
        <v>2509</v>
      </c>
      <c r="U66" t="str">
        <f>"Mastech Digital InfoTech, Inc."</f>
        <v>Mastech Digital InfoTech, Inc.</v>
      </c>
      <c r="V66" t="s">
        <v>1081</v>
      </c>
      <c r="W66" t="str">
        <f>"Bldg. 210, Suite 400"</f>
        <v>Bldg. 210, Suite 400</v>
      </c>
      <c r="X66" t="s">
        <v>1082</v>
      </c>
      <c r="Y66" t="s">
        <v>127</v>
      </c>
      <c r="Z66" s="3">
        <v>15108</v>
      </c>
      <c r="AA66" t="s">
        <v>101</v>
      </c>
      <c r="AB66" t="s">
        <v>2510</v>
      </c>
      <c r="AC66" s="4" t="str">
        <f>"+14127879553"</f>
        <v>+14127879553</v>
      </c>
      <c r="AE66" t="str">
        <f t="shared" si="4"/>
        <v>541511</v>
      </c>
      <c r="AF66" t="s">
        <v>1083</v>
      </c>
      <c r="AG66" t="s">
        <v>1084</v>
      </c>
      <c r="AI66" t="s">
        <v>1085</v>
      </c>
      <c r="AJ66" t="s">
        <v>1081</v>
      </c>
      <c r="AK66" t="str">
        <f>"Bldg. 210, Ste 400"</f>
        <v>Bldg. 210, Ste 400</v>
      </c>
      <c r="AL66" t="s">
        <v>1082</v>
      </c>
      <c r="AM66" t="s">
        <v>127</v>
      </c>
      <c r="AN66" s="3">
        <v>15108</v>
      </c>
      <c r="AO66" t="s">
        <v>101</v>
      </c>
      <c r="AQ66" t="str">
        <f>"+14127879553"</f>
        <v>+14127879553</v>
      </c>
      <c r="AS66" t="s">
        <v>1086</v>
      </c>
      <c r="AT66" t="s">
        <v>102</v>
      </c>
      <c r="AU66" t="str">
        <f>""</f>
        <v/>
      </c>
      <c r="AV66" t="str">
        <f>""</f>
        <v/>
      </c>
      <c r="AW66" t="str">
        <f>""</f>
        <v/>
      </c>
      <c r="AX66" t="str">
        <f>""</f>
        <v/>
      </c>
      <c r="AY66" t="str">
        <f>""</f>
        <v/>
      </c>
      <c r="AZ66" t="str">
        <f>""</f>
        <v/>
      </c>
      <c r="BA66" t="str">
        <f>""</f>
        <v/>
      </c>
      <c r="BC66" t="str">
        <f>""</f>
        <v/>
      </c>
      <c r="BD66" t="str">
        <f>""</f>
        <v/>
      </c>
      <c r="BE66" t="str">
        <f>""</f>
        <v/>
      </c>
      <c r="BF66" t="str">
        <f>""</f>
        <v/>
      </c>
      <c r="BG66" t="str">
        <f>""</f>
        <v/>
      </c>
      <c r="BH66" t="str">
        <f>""</f>
        <v/>
      </c>
      <c r="BI66" t="str">
        <f>""</f>
        <v/>
      </c>
      <c r="BJ66" t="str">
        <f>""</f>
        <v/>
      </c>
      <c r="BK66">
        <v>6</v>
      </c>
      <c r="BL66" t="s">
        <v>107</v>
      </c>
      <c r="BM66" t="str">
        <f>"PNC Bank"</f>
        <v>PNC Bank</v>
      </c>
      <c r="BN66" t="s">
        <v>7531</v>
      </c>
      <c r="BP66" t="s">
        <v>1647</v>
      </c>
      <c r="BQ66" t="s">
        <v>1087</v>
      </c>
      <c r="BR66" t="s">
        <v>225</v>
      </c>
      <c r="BS66" s="5">
        <v>44135</v>
      </c>
      <c r="BT66" s="2">
        <v>87006</v>
      </c>
      <c r="BU66" s="2">
        <v>102006</v>
      </c>
      <c r="BV66" t="s">
        <v>105</v>
      </c>
      <c r="BW66" s="2">
        <v>87006</v>
      </c>
      <c r="BX66" t="s">
        <v>105</v>
      </c>
      <c r="BZ66" t="s">
        <v>123</v>
      </c>
      <c r="CA66" t="str">
        <f t="shared" ref="CA66:CA71" si="5">"7/1/2020 - 6/30/2021"</f>
        <v>7/1/2020 - 6/30/2021</v>
      </c>
      <c r="CF66">
        <v>2</v>
      </c>
      <c r="CG66" t="s">
        <v>98</v>
      </c>
      <c r="CH66" t="s">
        <v>98</v>
      </c>
      <c r="CI66" t="s">
        <v>206</v>
      </c>
      <c r="CJ66" t="s">
        <v>98</v>
      </c>
      <c r="CK66" t="s">
        <v>12323</v>
      </c>
      <c r="CL66" t="s">
        <v>108</v>
      </c>
      <c r="CM66" t="s">
        <v>109</v>
      </c>
      <c r="CN66" t="str">
        <f>""</f>
        <v/>
      </c>
      <c r="CO66" t="str">
        <f>""</f>
        <v/>
      </c>
      <c r="CP66" t="str">
        <f>""</f>
        <v/>
      </c>
      <c r="CQ66" t="str">
        <f>""</f>
        <v/>
      </c>
    </row>
    <row r="67" spans="1:96" x14ac:dyDescent="0.2">
      <c r="A67" t="s">
        <v>7604</v>
      </c>
      <c r="B67" t="s">
        <v>96</v>
      </c>
      <c r="C67" s="1">
        <v>44098</v>
      </c>
      <c r="D67" s="1">
        <v>44105</v>
      </c>
      <c r="F67" t="s">
        <v>97</v>
      </c>
      <c r="G67" t="str">
        <f>"Consultant - Infrastructure Management - US - Practitioner"</f>
        <v>Consultant - Infrastructure Management - US - Practitioner</v>
      </c>
      <c r="H67" t="s">
        <v>12187</v>
      </c>
      <c r="I67" t="s">
        <v>331</v>
      </c>
      <c r="J67" t="s">
        <v>98</v>
      </c>
      <c r="K67" s="1">
        <v>44109</v>
      </c>
      <c r="L67" s="1">
        <v>45201</v>
      </c>
      <c r="M67">
        <v>5</v>
      </c>
      <c r="N67">
        <v>0</v>
      </c>
      <c r="O67">
        <v>0</v>
      </c>
      <c r="P67">
        <v>5</v>
      </c>
      <c r="Q67">
        <v>0</v>
      </c>
      <c r="R67">
        <v>0</v>
      </c>
      <c r="S67">
        <v>0</v>
      </c>
      <c r="T67" t="s">
        <v>723</v>
      </c>
      <c r="U67" t="str">
        <f>""</f>
        <v/>
      </c>
      <c r="V67" t="s">
        <v>724</v>
      </c>
      <c r="W67" t="str">
        <f>"STE C150"</f>
        <v>STE C150</v>
      </c>
      <c r="X67" t="s">
        <v>725</v>
      </c>
      <c r="Y67" t="s">
        <v>114</v>
      </c>
      <c r="Z67" s="3">
        <v>75082</v>
      </c>
      <c r="AA67" t="s">
        <v>101</v>
      </c>
      <c r="AC67" s="4" t="str">
        <f>"+12143062100"</f>
        <v>+12143062100</v>
      </c>
      <c r="AE67" t="str">
        <f t="shared" si="4"/>
        <v>541511</v>
      </c>
      <c r="AF67" t="s">
        <v>726</v>
      </c>
      <c r="AG67" t="s">
        <v>727</v>
      </c>
      <c r="AI67" t="s">
        <v>728</v>
      </c>
      <c r="AJ67" t="s">
        <v>724</v>
      </c>
      <c r="AK67" t="str">
        <f>"STE C150"</f>
        <v>STE C150</v>
      </c>
      <c r="AL67" t="s">
        <v>725</v>
      </c>
      <c r="AM67" t="s">
        <v>114</v>
      </c>
      <c r="AN67" s="3">
        <v>75082</v>
      </c>
      <c r="AO67" t="s">
        <v>101</v>
      </c>
      <c r="AQ67" t="str">
        <f>"+12143062100"</f>
        <v>+12143062100</v>
      </c>
      <c r="AS67" t="s">
        <v>729</v>
      </c>
      <c r="AT67" t="s">
        <v>102</v>
      </c>
      <c r="AU67" t="str">
        <f>""</f>
        <v/>
      </c>
      <c r="AV67" t="str">
        <f>""</f>
        <v/>
      </c>
      <c r="AW67" t="str">
        <f>""</f>
        <v/>
      </c>
      <c r="AX67" t="str">
        <f>""</f>
        <v/>
      </c>
      <c r="AY67" t="str">
        <f>""</f>
        <v/>
      </c>
      <c r="AZ67" t="str">
        <f>""</f>
        <v/>
      </c>
      <c r="BA67" t="str">
        <f>""</f>
        <v/>
      </c>
      <c r="BC67" t="str">
        <f>""</f>
        <v/>
      </c>
      <c r="BD67" t="str">
        <f>""</f>
        <v/>
      </c>
      <c r="BE67" t="str">
        <f>""</f>
        <v/>
      </c>
      <c r="BF67" t="str">
        <f>""</f>
        <v/>
      </c>
      <c r="BG67" t="str">
        <f>""</f>
        <v/>
      </c>
      <c r="BH67" t="str">
        <f>""</f>
        <v/>
      </c>
      <c r="BI67" t="str">
        <f>""</f>
        <v/>
      </c>
      <c r="BJ67" t="str">
        <f>""</f>
        <v/>
      </c>
      <c r="BK67">
        <v>5</v>
      </c>
      <c r="BL67" t="s">
        <v>107</v>
      </c>
      <c r="BM67" t="str">
        <f>"The Northern Trust Corporation "</f>
        <v xml:space="preserve">The Northern Trust Corporation </v>
      </c>
      <c r="BN67" t="s">
        <v>7147</v>
      </c>
      <c r="BP67" t="s">
        <v>843</v>
      </c>
      <c r="BQ67" t="s">
        <v>788</v>
      </c>
      <c r="BR67" t="s">
        <v>345</v>
      </c>
      <c r="BS67" s="5">
        <v>60604</v>
      </c>
      <c r="BT67" s="2">
        <v>35.840000000000003</v>
      </c>
      <c r="BU67" s="2">
        <v>42.33</v>
      </c>
      <c r="BV67" t="s">
        <v>210</v>
      </c>
      <c r="BW67" s="2">
        <v>35.840000000000003</v>
      </c>
      <c r="BX67" t="s">
        <v>210</v>
      </c>
      <c r="BZ67" t="s">
        <v>167</v>
      </c>
      <c r="CA67" t="str">
        <f t="shared" si="5"/>
        <v>7/1/2020 - 6/30/2021</v>
      </c>
      <c r="CF67">
        <v>1</v>
      </c>
      <c r="CG67" t="s">
        <v>98</v>
      </c>
      <c r="CH67" t="s">
        <v>98</v>
      </c>
      <c r="CI67" t="s">
        <v>206</v>
      </c>
      <c r="CJ67" t="s">
        <v>98</v>
      </c>
      <c r="CK67" t="s">
        <v>12323</v>
      </c>
      <c r="CL67" t="s">
        <v>108</v>
      </c>
      <c r="CM67" t="s">
        <v>109</v>
      </c>
      <c r="CN67" t="str">
        <f>"ALI"</f>
        <v>ALI</v>
      </c>
      <c r="CO67" t="str">
        <f>"ASIF"</f>
        <v>ASIF</v>
      </c>
      <c r="CP67" t="str">
        <f>""</f>
        <v/>
      </c>
      <c r="CQ67" t="str">
        <f>"INFOSYS LIMITED"</f>
        <v>INFOSYS LIMITED</v>
      </c>
      <c r="CR67" t="s">
        <v>796</v>
      </c>
    </row>
    <row r="68" spans="1:96" x14ac:dyDescent="0.2">
      <c r="A68" t="s">
        <v>7655</v>
      </c>
      <c r="B68" t="s">
        <v>96</v>
      </c>
      <c r="C68" s="1">
        <v>44098</v>
      </c>
      <c r="D68" s="1">
        <v>44105</v>
      </c>
      <c r="F68" t="s">
        <v>97</v>
      </c>
      <c r="G68" t="str">
        <f>"Programmer Analyst"</f>
        <v>Programmer Analyst</v>
      </c>
      <c r="H68" t="s">
        <v>12181</v>
      </c>
      <c r="I68" t="s">
        <v>110</v>
      </c>
      <c r="J68" t="s">
        <v>98</v>
      </c>
      <c r="K68" s="1">
        <v>44098</v>
      </c>
      <c r="L68" s="1">
        <v>45192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5136</v>
      </c>
      <c r="U68" t="str">
        <f>""</f>
        <v/>
      </c>
      <c r="V68" t="s">
        <v>5137</v>
      </c>
      <c r="W68" t="str">
        <f>"Suite 210"</f>
        <v>Suite 210</v>
      </c>
      <c r="X68" t="s">
        <v>5138</v>
      </c>
      <c r="Y68" t="s">
        <v>127</v>
      </c>
      <c r="Z68" s="3">
        <v>15317</v>
      </c>
      <c r="AA68" t="s">
        <v>101</v>
      </c>
      <c r="AB68" t="s">
        <v>127</v>
      </c>
      <c r="AC68" s="4" t="str">
        <f>"+17247457100"</f>
        <v>+17247457100</v>
      </c>
      <c r="AE68" t="str">
        <f t="shared" si="4"/>
        <v>541511</v>
      </c>
      <c r="AF68" t="s">
        <v>4058</v>
      </c>
      <c r="AG68" t="s">
        <v>964</v>
      </c>
      <c r="AH68" t="s">
        <v>1032</v>
      </c>
      <c r="AI68" t="s">
        <v>5139</v>
      </c>
      <c r="AJ68" t="s">
        <v>5140</v>
      </c>
      <c r="AK68" t="str">
        <f>"STE 210"</f>
        <v>STE 210</v>
      </c>
      <c r="AL68" t="s">
        <v>5141</v>
      </c>
      <c r="AM68" t="s">
        <v>127</v>
      </c>
      <c r="AN68" s="3">
        <v>15317</v>
      </c>
      <c r="AO68" t="s">
        <v>101</v>
      </c>
      <c r="AQ68" t="str">
        <f>"+17245147100"</f>
        <v>+17245147100</v>
      </c>
      <c r="AR68">
        <v>5667</v>
      </c>
      <c r="AS68" t="s">
        <v>5142</v>
      </c>
      <c r="AT68" t="s">
        <v>102</v>
      </c>
      <c r="AU68" t="str">
        <f>""</f>
        <v/>
      </c>
      <c r="AV68" t="str">
        <f>""</f>
        <v/>
      </c>
      <c r="AW68" t="str">
        <f>""</f>
        <v/>
      </c>
      <c r="AX68" t="str">
        <f>""</f>
        <v/>
      </c>
      <c r="AY68" t="str">
        <f>""</f>
        <v/>
      </c>
      <c r="AZ68" t="str">
        <f>""</f>
        <v/>
      </c>
      <c r="BA68" t="str">
        <f>""</f>
        <v/>
      </c>
      <c r="BC68" t="str">
        <f>""</f>
        <v/>
      </c>
      <c r="BD68" t="str">
        <f>""</f>
        <v/>
      </c>
      <c r="BE68" t="str">
        <f>""</f>
        <v/>
      </c>
      <c r="BF68" t="str">
        <f>""</f>
        <v/>
      </c>
      <c r="BG68" t="str">
        <f>""</f>
        <v/>
      </c>
      <c r="BH68" t="str">
        <f>""</f>
        <v/>
      </c>
      <c r="BI68" t="str">
        <f>""</f>
        <v/>
      </c>
      <c r="BJ68" t="str">
        <f>""</f>
        <v/>
      </c>
      <c r="BK68">
        <v>1</v>
      </c>
      <c r="BL68" t="s">
        <v>107</v>
      </c>
      <c r="BM68" t="str">
        <f>"Illinois Department of Healthcare and Family Services"</f>
        <v>Illinois Department of Healthcare and Family Services</v>
      </c>
      <c r="BN68" t="s">
        <v>7656</v>
      </c>
      <c r="BP68" t="s">
        <v>421</v>
      </c>
      <c r="BQ68" t="s">
        <v>424</v>
      </c>
      <c r="BR68" t="s">
        <v>345</v>
      </c>
      <c r="BS68" s="5">
        <v>62704</v>
      </c>
      <c r="BT68" s="2">
        <v>80000</v>
      </c>
      <c r="BU68" s="2">
        <v>100000</v>
      </c>
      <c r="BV68" t="s">
        <v>105</v>
      </c>
      <c r="BW68" s="2">
        <v>77293</v>
      </c>
      <c r="BX68" t="s">
        <v>105</v>
      </c>
      <c r="BZ68" t="s">
        <v>167</v>
      </c>
      <c r="CA68" t="str">
        <f t="shared" si="5"/>
        <v>7/1/2020 - 6/30/2021</v>
      </c>
      <c r="CF68">
        <v>2</v>
      </c>
      <c r="CG68" t="s">
        <v>98</v>
      </c>
      <c r="CH68" t="s">
        <v>98</v>
      </c>
      <c r="CI68" t="s">
        <v>206</v>
      </c>
      <c r="CJ68" t="s">
        <v>98</v>
      </c>
      <c r="CK68" t="s">
        <v>12323</v>
      </c>
      <c r="CL68" t="s">
        <v>108</v>
      </c>
      <c r="CM68" t="s">
        <v>109</v>
      </c>
      <c r="CN68" t="str">
        <f>"Asher"</f>
        <v>Asher</v>
      </c>
      <c r="CO68" t="str">
        <f>"Bimal"</f>
        <v>Bimal</v>
      </c>
      <c r="CP68" t="str">
        <f>"NA"</f>
        <v>NA</v>
      </c>
      <c r="CQ68" t="str">
        <f>"Ness USA Inc"</f>
        <v>Ness USA Inc</v>
      </c>
      <c r="CR68" t="s">
        <v>5565</v>
      </c>
    </row>
    <row r="69" spans="1:96" x14ac:dyDescent="0.2">
      <c r="A69" t="s">
        <v>7707</v>
      </c>
      <c r="B69" t="s">
        <v>96</v>
      </c>
      <c r="C69" s="1">
        <v>44098</v>
      </c>
      <c r="D69" s="1">
        <v>44105</v>
      </c>
      <c r="F69" t="s">
        <v>97</v>
      </c>
      <c r="G69" t="str">
        <f>"Project Manager - US "</f>
        <v xml:space="preserve">Project Manager - US </v>
      </c>
      <c r="H69" t="s">
        <v>12181</v>
      </c>
      <c r="I69" t="s">
        <v>110</v>
      </c>
      <c r="J69" t="s">
        <v>98</v>
      </c>
      <c r="K69" s="1">
        <v>44109</v>
      </c>
      <c r="L69" s="1">
        <v>45201</v>
      </c>
      <c r="M69">
        <v>5</v>
      </c>
      <c r="N69">
        <v>0</v>
      </c>
      <c r="O69">
        <v>0</v>
      </c>
      <c r="P69">
        <v>0</v>
      </c>
      <c r="Q69">
        <v>0</v>
      </c>
      <c r="R69">
        <v>0</v>
      </c>
      <c r="S69">
        <v>5</v>
      </c>
      <c r="T69" t="s">
        <v>723</v>
      </c>
      <c r="U69" t="str">
        <f>""</f>
        <v/>
      </c>
      <c r="V69" t="s">
        <v>724</v>
      </c>
      <c r="W69" t="str">
        <f>"STE C150"</f>
        <v>STE C150</v>
      </c>
      <c r="X69" t="s">
        <v>725</v>
      </c>
      <c r="Y69" t="s">
        <v>114</v>
      </c>
      <c r="Z69" s="3">
        <v>75082</v>
      </c>
      <c r="AA69" t="s">
        <v>101</v>
      </c>
      <c r="AC69" s="4" t="str">
        <f>"+12143062100"</f>
        <v>+12143062100</v>
      </c>
      <c r="AE69" t="str">
        <f t="shared" si="4"/>
        <v>541511</v>
      </c>
      <c r="AF69" t="s">
        <v>726</v>
      </c>
      <c r="AG69" t="s">
        <v>727</v>
      </c>
      <c r="AI69" t="s">
        <v>728</v>
      </c>
      <c r="AJ69" t="s">
        <v>724</v>
      </c>
      <c r="AK69" t="str">
        <f>"STE C150"</f>
        <v>STE C150</v>
      </c>
      <c r="AL69" t="s">
        <v>725</v>
      </c>
      <c r="AM69" t="s">
        <v>114</v>
      </c>
      <c r="AN69" s="3">
        <v>75082</v>
      </c>
      <c r="AO69" t="s">
        <v>101</v>
      </c>
      <c r="AQ69" t="str">
        <f>"+12143062100"</f>
        <v>+12143062100</v>
      </c>
      <c r="AS69" t="s">
        <v>729</v>
      </c>
      <c r="AT69" t="s">
        <v>102</v>
      </c>
      <c r="AU69" t="str">
        <f>""</f>
        <v/>
      </c>
      <c r="AV69" t="str">
        <f>""</f>
        <v/>
      </c>
      <c r="AW69" t="str">
        <f>""</f>
        <v/>
      </c>
      <c r="AX69" t="str">
        <f>""</f>
        <v/>
      </c>
      <c r="AY69" t="str">
        <f>""</f>
        <v/>
      </c>
      <c r="AZ69" t="str">
        <f>""</f>
        <v/>
      </c>
      <c r="BA69" t="str">
        <f>""</f>
        <v/>
      </c>
      <c r="BC69" t="str">
        <f>""</f>
        <v/>
      </c>
      <c r="BD69" t="str">
        <f>""</f>
        <v/>
      </c>
      <c r="BE69" t="str">
        <f>""</f>
        <v/>
      </c>
      <c r="BF69" t="str">
        <f>""</f>
        <v/>
      </c>
      <c r="BG69" t="str">
        <f>""</f>
        <v/>
      </c>
      <c r="BH69" t="str">
        <f>""</f>
        <v/>
      </c>
      <c r="BI69" t="str">
        <f>""</f>
        <v/>
      </c>
      <c r="BJ69" t="str">
        <f>""</f>
        <v/>
      </c>
      <c r="BK69">
        <v>5</v>
      </c>
      <c r="BL69" t="s">
        <v>107</v>
      </c>
      <c r="BM69" t="str">
        <f>"BNSF Railway Company"</f>
        <v>BNSF Railway Company</v>
      </c>
      <c r="BN69" t="s">
        <v>7708</v>
      </c>
      <c r="BP69" t="s">
        <v>1768</v>
      </c>
      <c r="BQ69" t="s">
        <v>1769</v>
      </c>
      <c r="BR69" t="s">
        <v>193</v>
      </c>
      <c r="BS69" s="5">
        <v>66612</v>
      </c>
      <c r="BT69" s="2">
        <v>72925</v>
      </c>
      <c r="BU69" s="2">
        <v>106001</v>
      </c>
      <c r="BV69" t="s">
        <v>105</v>
      </c>
      <c r="BW69" s="2">
        <v>72925</v>
      </c>
      <c r="BX69" t="s">
        <v>105</v>
      </c>
      <c r="BZ69" t="s">
        <v>123</v>
      </c>
      <c r="CA69" t="str">
        <f t="shared" si="5"/>
        <v>7/1/2020 - 6/30/2021</v>
      </c>
      <c r="CF69">
        <v>1</v>
      </c>
      <c r="CG69" t="s">
        <v>98</v>
      </c>
      <c r="CH69" t="s">
        <v>98</v>
      </c>
      <c r="CI69" t="s">
        <v>206</v>
      </c>
      <c r="CJ69" t="s">
        <v>98</v>
      </c>
      <c r="CK69" t="s">
        <v>12323</v>
      </c>
      <c r="CL69" t="s">
        <v>108</v>
      </c>
      <c r="CM69" t="s">
        <v>109</v>
      </c>
      <c r="CN69" t="str">
        <f>"ALI"</f>
        <v>ALI</v>
      </c>
      <c r="CO69" t="str">
        <f>"ASIF"</f>
        <v>ASIF</v>
      </c>
      <c r="CP69" t="str">
        <f>""</f>
        <v/>
      </c>
      <c r="CQ69" t="str">
        <f>"INFOSYS LIMITED"</f>
        <v>INFOSYS LIMITED</v>
      </c>
      <c r="CR69" t="s">
        <v>796</v>
      </c>
    </row>
    <row r="70" spans="1:96" x14ac:dyDescent="0.2">
      <c r="A70" t="s">
        <v>7720</v>
      </c>
      <c r="B70" t="s">
        <v>96</v>
      </c>
      <c r="C70" s="1">
        <v>44098</v>
      </c>
      <c r="D70" s="1">
        <v>44105</v>
      </c>
      <c r="F70" t="s">
        <v>97</v>
      </c>
      <c r="G70" t="str">
        <f>"NETWORK ENGINEER"</f>
        <v>NETWORK ENGINEER</v>
      </c>
      <c r="H70" t="s">
        <v>12183</v>
      </c>
      <c r="I70" t="s">
        <v>2335</v>
      </c>
      <c r="J70" t="s">
        <v>98</v>
      </c>
      <c r="K70" s="1">
        <v>44106</v>
      </c>
      <c r="L70" s="1">
        <v>45200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7721</v>
      </c>
      <c r="U70" t="str">
        <f>""</f>
        <v/>
      </c>
      <c r="V70" t="s">
        <v>7722</v>
      </c>
      <c r="W70" t="str">
        <f>"FLOOR # 7, SUITE 705"</f>
        <v>FLOOR # 7, SUITE 705</v>
      </c>
      <c r="X70" t="s">
        <v>921</v>
      </c>
      <c r="Y70" t="s">
        <v>100</v>
      </c>
      <c r="Z70" s="3">
        <v>7601</v>
      </c>
      <c r="AA70" t="s">
        <v>101</v>
      </c>
      <c r="AC70" s="4" t="str">
        <f>"+12017279299"</f>
        <v>+12017279299</v>
      </c>
      <c r="AE70" t="str">
        <f t="shared" si="4"/>
        <v>541511</v>
      </c>
      <c r="AF70" t="s">
        <v>1179</v>
      </c>
      <c r="AG70" t="s">
        <v>7723</v>
      </c>
      <c r="AI70" t="s">
        <v>425</v>
      </c>
      <c r="AJ70" t="s">
        <v>7722</v>
      </c>
      <c r="AK70" t="str">
        <f>"FLOOR # 7, SUITE 705"</f>
        <v>FLOOR # 7, SUITE 705</v>
      </c>
      <c r="AL70" t="s">
        <v>921</v>
      </c>
      <c r="AM70" t="s">
        <v>100</v>
      </c>
      <c r="AN70" s="3">
        <v>7601</v>
      </c>
      <c r="AO70" t="s">
        <v>101</v>
      </c>
      <c r="AQ70" t="str">
        <f>"+12017279299"</f>
        <v>+12017279299</v>
      </c>
      <c r="AS70" t="s">
        <v>7724</v>
      </c>
      <c r="AT70" t="s">
        <v>107</v>
      </c>
      <c r="AU70" t="str">
        <f>"ALLEN"</f>
        <v>ALLEN</v>
      </c>
      <c r="AV70" t="str">
        <f>"THOMAS"</f>
        <v>THOMAS</v>
      </c>
      <c r="AW70" t="str">
        <f>"V."</f>
        <v>V.</v>
      </c>
      <c r="AX70" t="str">
        <f>"50 CRAGWOOD ROAD"</f>
        <v>50 CRAGWOOD ROAD</v>
      </c>
      <c r="AY70" t="str">
        <f>"SUITE 100"</f>
        <v>SUITE 100</v>
      </c>
      <c r="AZ70" t="str">
        <f>"SOUTH PLAINFIELD"</f>
        <v>SOUTH PLAINFIELD</v>
      </c>
      <c r="BA70" t="str">
        <f>"NJ"</f>
        <v>NJ</v>
      </c>
      <c r="BB70" s="3">
        <v>7080</v>
      </c>
      <c r="BC70" t="str">
        <f>"UNITED STATES OF AMERICA"</f>
        <v>UNITED STATES OF AMERICA</v>
      </c>
      <c r="BD70" t="str">
        <f>""</f>
        <v/>
      </c>
      <c r="BE70" t="str">
        <f>"+17328327978"</f>
        <v>+17328327978</v>
      </c>
      <c r="BF70" t="str">
        <f>""</f>
        <v/>
      </c>
      <c r="BG70" t="str">
        <f>"ICERT@THOMASVALLEN.COM"</f>
        <v>ICERT@THOMASVALLEN.COM</v>
      </c>
      <c r="BH70" t="str">
        <f>"LAW OFFICE OF THOMAS V. ALLEN PLLC"</f>
        <v>LAW OFFICE OF THOMAS V. ALLEN PLLC</v>
      </c>
      <c r="BI70" t="str">
        <f>"NY"</f>
        <v>NY</v>
      </c>
      <c r="BJ70" t="str">
        <f>"APPELLATE COURT"</f>
        <v>APPELLATE COURT</v>
      </c>
      <c r="BK70">
        <v>1</v>
      </c>
      <c r="BL70" t="s">
        <v>107</v>
      </c>
      <c r="BM70" t="str">
        <f>"ERNST &amp; YOUNG"</f>
        <v>ERNST &amp; YOUNG</v>
      </c>
      <c r="BN70" t="s">
        <v>7725</v>
      </c>
      <c r="BP70" t="s">
        <v>3240</v>
      </c>
      <c r="BQ70" t="s">
        <v>1214</v>
      </c>
      <c r="BR70" t="s">
        <v>100</v>
      </c>
      <c r="BS70" s="5">
        <v>7094</v>
      </c>
      <c r="BT70" s="2">
        <v>103000</v>
      </c>
      <c r="BV70" t="s">
        <v>105</v>
      </c>
      <c r="BW70" s="2">
        <v>102274</v>
      </c>
      <c r="BX70" t="s">
        <v>105</v>
      </c>
      <c r="BZ70" t="s">
        <v>167</v>
      </c>
      <c r="CA70" t="str">
        <f t="shared" si="5"/>
        <v>7/1/2020 - 6/30/2021</v>
      </c>
      <c r="CF70">
        <v>2</v>
      </c>
      <c r="CG70" t="s">
        <v>98</v>
      </c>
      <c r="CH70" t="s">
        <v>98</v>
      </c>
      <c r="CI70" t="s">
        <v>206</v>
      </c>
      <c r="CJ70" t="s">
        <v>98</v>
      </c>
      <c r="CK70" t="s">
        <v>12323</v>
      </c>
      <c r="CL70" t="s">
        <v>108</v>
      </c>
      <c r="CM70" t="s">
        <v>109</v>
      </c>
      <c r="CN70" t="str">
        <f>""</f>
        <v/>
      </c>
      <c r="CO70" t="str">
        <f>""</f>
        <v/>
      </c>
      <c r="CP70" t="str">
        <f>""</f>
        <v/>
      </c>
      <c r="CQ70" t="str">
        <f>""</f>
        <v/>
      </c>
    </row>
    <row r="71" spans="1:96" x14ac:dyDescent="0.2">
      <c r="A71" t="s">
        <v>7740</v>
      </c>
      <c r="B71" t="s">
        <v>96</v>
      </c>
      <c r="C71" s="1">
        <v>44098</v>
      </c>
      <c r="D71" s="1">
        <v>44105</v>
      </c>
      <c r="F71" t="s">
        <v>97</v>
      </c>
      <c r="G71" t="str">
        <f>"Java Developer"</f>
        <v>Java Developer</v>
      </c>
      <c r="H71" t="s">
        <v>12169</v>
      </c>
      <c r="I71" t="s">
        <v>124</v>
      </c>
      <c r="J71" t="s">
        <v>98</v>
      </c>
      <c r="K71" s="1">
        <v>44265</v>
      </c>
      <c r="L71" s="1">
        <v>45360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 t="s">
        <v>7741</v>
      </c>
      <c r="U71" t="str">
        <f>""</f>
        <v/>
      </c>
      <c r="V71" t="s">
        <v>7742</v>
      </c>
      <c r="W71" t="str">
        <f>"Suite 2200"</f>
        <v>Suite 2200</v>
      </c>
      <c r="X71" t="s">
        <v>483</v>
      </c>
      <c r="Y71" t="s">
        <v>114</v>
      </c>
      <c r="Z71" s="3">
        <v>75038</v>
      </c>
      <c r="AA71" t="s">
        <v>101</v>
      </c>
      <c r="AC71" s="4" t="str">
        <f>"+19725733382"</f>
        <v>+19725733382</v>
      </c>
      <c r="AE71" t="str">
        <f>"541512"</f>
        <v>541512</v>
      </c>
      <c r="AF71" t="s">
        <v>7743</v>
      </c>
      <c r="AG71" t="s">
        <v>7744</v>
      </c>
      <c r="AI71" t="s">
        <v>298</v>
      </c>
      <c r="AJ71" t="s">
        <v>7742</v>
      </c>
      <c r="AK71" t="str">
        <f>"Suite 2200"</f>
        <v>Suite 2200</v>
      </c>
      <c r="AL71" t="s">
        <v>483</v>
      </c>
      <c r="AM71" t="s">
        <v>114</v>
      </c>
      <c r="AN71" s="3">
        <v>75038</v>
      </c>
      <c r="AO71" t="s">
        <v>101</v>
      </c>
      <c r="AQ71" t="str">
        <f>"+19725733382"</f>
        <v>+19725733382</v>
      </c>
      <c r="AS71" t="s">
        <v>7745</v>
      </c>
      <c r="AT71" t="s">
        <v>107</v>
      </c>
      <c r="AU71" t="str">
        <f>"Singh"</f>
        <v>Singh</v>
      </c>
      <c r="AV71" t="str">
        <f>"Amardeep"</f>
        <v>Amardeep</v>
      </c>
      <c r="AW71" t="str">
        <f>""</f>
        <v/>
      </c>
      <c r="AX71" t="str">
        <f>"230 W Monroe Street [792500]"</f>
        <v>230 W Monroe Street [792500]</v>
      </c>
      <c r="AY71" t="str">
        <f>"Suite 2800"</f>
        <v>Suite 2800</v>
      </c>
      <c r="AZ71" t="str">
        <f>"Chicago"</f>
        <v>Chicago</v>
      </c>
      <c r="BA71" t="str">
        <f>"IL"</f>
        <v>IL</v>
      </c>
      <c r="BB71" s="3">
        <v>60606</v>
      </c>
      <c r="BC71" t="str">
        <f>"UNITED STATES OF AMERICA"</f>
        <v>UNITED STATES OF AMERICA</v>
      </c>
      <c r="BD71" t="str">
        <f>""</f>
        <v/>
      </c>
      <c r="BE71" t="str">
        <f>"+13127226300"</f>
        <v>+13127226300</v>
      </c>
      <c r="BF71" t="str">
        <f>""</f>
        <v/>
      </c>
      <c r="BG71" t="str">
        <f>"gov@giafirm.com"</f>
        <v>gov@giafirm.com</v>
      </c>
      <c r="BH71" t="str">
        <f>"Global Immigration Associates, P.C."</f>
        <v>Global Immigration Associates, P.C.</v>
      </c>
      <c r="BI71" t="str">
        <f>"WI"</f>
        <v>WI</v>
      </c>
      <c r="BJ71" t="str">
        <f>"Supreme Court"</f>
        <v>Supreme Court</v>
      </c>
      <c r="BK71">
        <v>1</v>
      </c>
      <c r="BL71" t="s">
        <v>107</v>
      </c>
      <c r="BM71" t="str">
        <f>"Fidelity Investments"</f>
        <v>Fidelity Investments</v>
      </c>
      <c r="BN71" t="s">
        <v>1359</v>
      </c>
      <c r="BP71" t="s">
        <v>1113</v>
      </c>
      <c r="BQ71" t="s">
        <v>302</v>
      </c>
      <c r="BR71" t="s">
        <v>122</v>
      </c>
      <c r="BS71" s="5">
        <v>27709</v>
      </c>
      <c r="BT71" s="2">
        <v>110240</v>
      </c>
      <c r="BV71" t="s">
        <v>105</v>
      </c>
      <c r="BW71" s="2">
        <v>90147</v>
      </c>
      <c r="BX71" t="s">
        <v>105</v>
      </c>
      <c r="BZ71" t="s">
        <v>167</v>
      </c>
      <c r="CA71" t="str">
        <f t="shared" si="5"/>
        <v>7/1/2020 - 6/30/2021</v>
      </c>
      <c r="CF71">
        <v>1</v>
      </c>
      <c r="CG71" t="s">
        <v>98</v>
      </c>
      <c r="CH71" t="s">
        <v>98</v>
      </c>
      <c r="CI71" t="s">
        <v>206</v>
      </c>
      <c r="CJ71" t="s">
        <v>98</v>
      </c>
      <c r="CK71" t="s">
        <v>12323</v>
      </c>
      <c r="CL71" t="s">
        <v>108</v>
      </c>
      <c r="CM71" t="s">
        <v>109</v>
      </c>
      <c r="CN71" t="str">
        <f>""</f>
        <v/>
      </c>
      <c r="CO71" t="str">
        <f>""</f>
        <v/>
      </c>
      <c r="CP71" t="str">
        <f>""</f>
        <v/>
      </c>
      <c r="CQ71" t="str">
        <f>""</f>
        <v/>
      </c>
    </row>
    <row r="72" spans="1:96" x14ac:dyDescent="0.2">
      <c r="A72" t="s">
        <v>7855</v>
      </c>
      <c r="B72" t="s">
        <v>96</v>
      </c>
      <c r="C72" s="1">
        <v>44098</v>
      </c>
      <c r="D72" s="1">
        <v>44105</v>
      </c>
      <c r="F72" t="s">
        <v>97</v>
      </c>
      <c r="G72" t="str">
        <f>"Manager, Implementation Engineering"</f>
        <v>Manager, Implementation Engineering</v>
      </c>
      <c r="H72" t="s">
        <v>12176</v>
      </c>
      <c r="I72" t="s">
        <v>246</v>
      </c>
      <c r="J72" t="s">
        <v>98</v>
      </c>
      <c r="K72" s="1">
        <v>44105</v>
      </c>
      <c r="L72" s="1">
        <v>45199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5760</v>
      </c>
      <c r="U72" t="str">
        <f>""</f>
        <v/>
      </c>
      <c r="V72" t="s">
        <v>5761</v>
      </c>
      <c r="W72" t="str">
        <f>"Ste. 200"</f>
        <v>Ste. 200</v>
      </c>
      <c r="X72" t="s">
        <v>1698</v>
      </c>
      <c r="Y72" t="s">
        <v>141</v>
      </c>
      <c r="Z72" s="3">
        <v>95008</v>
      </c>
      <c r="AA72" t="s">
        <v>101</v>
      </c>
      <c r="AC72" s="4" t="str">
        <f>"+14083711900"</f>
        <v>+14083711900</v>
      </c>
      <c r="AE72" t="str">
        <f>"541511"</f>
        <v>541511</v>
      </c>
      <c r="AF72" t="s">
        <v>5762</v>
      </c>
      <c r="AG72" t="s">
        <v>5763</v>
      </c>
      <c r="AI72" t="s">
        <v>5764</v>
      </c>
      <c r="AJ72" t="s">
        <v>5761</v>
      </c>
      <c r="AK72" t="str">
        <f>"Ste. 200"</f>
        <v>Ste. 200</v>
      </c>
      <c r="AL72" t="s">
        <v>1698</v>
      </c>
      <c r="AM72" t="s">
        <v>141</v>
      </c>
      <c r="AN72" s="3">
        <v>95008</v>
      </c>
      <c r="AO72" t="s">
        <v>101</v>
      </c>
      <c r="AQ72" t="str">
        <f>"+14083711900"</f>
        <v>+14083711900</v>
      </c>
      <c r="AS72" t="s">
        <v>5765</v>
      </c>
      <c r="AT72" t="s">
        <v>107</v>
      </c>
      <c r="AU72" t="str">
        <f>"Raft"</f>
        <v>Raft</v>
      </c>
      <c r="AV72" t="str">
        <f>"David"</f>
        <v>David</v>
      </c>
      <c r="AW72" t="str">
        <f>"Brian"</f>
        <v>Brian</v>
      </c>
      <c r="AX72" t="str">
        <f>"30300 Agoura Road"</f>
        <v>30300 Agoura Road</v>
      </c>
      <c r="AY72" t="str">
        <f>"Ste. B100"</f>
        <v>Ste. B100</v>
      </c>
      <c r="AZ72" t="str">
        <f>"Agoura Hills"</f>
        <v>Agoura Hills</v>
      </c>
      <c r="BA72" t="str">
        <f>"CA"</f>
        <v>CA</v>
      </c>
      <c r="BB72" s="3">
        <v>91301</v>
      </c>
      <c r="BC72" t="str">
        <f>"UNITED STATES OF AMERICA"</f>
        <v>UNITED STATES OF AMERICA</v>
      </c>
      <c r="BD72" t="str">
        <f>""</f>
        <v/>
      </c>
      <c r="BE72" t="str">
        <f>"+18189146482"</f>
        <v>+18189146482</v>
      </c>
      <c r="BF72" t="str">
        <f>""</f>
        <v/>
      </c>
      <c r="BG72" t="str">
        <f>"Admin@gotcherlaw.com"</f>
        <v>Admin@gotcherlaw.com</v>
      </c>
      <c r="BH72" t="str">
        <f>"Global Immigration Partners, Inc"</f>
        <v>Global Immigration Partners, Inc</v>
      </c>
      <c r="BI72" t="str">
        <f>"CA"</f>
        <v>CA</v>
      </c>
      <c r="BJ72" t="str">
        <f>"Supreme Court of the State of CA"</f>
        <v>Supreme Court of the State of CA</v>
      </c>
      <c r="BK72">
        <v>1</v>
      </c>
      <c r="BL72" t="s">
        <v>102</v>
      </c>
      <c r="BM72" t="str">
        <f>""</f>
        <v/>
      </c>
      <c r="BN72" t="s">
        <v>7856</v>
      </c>
      <c r="BP72" t="s">
        <v>1393</v>
      </c>
      <c r="BQ72" t="s">
        <v>185</v>
      </c>
      <c r="BR72" t="s">
        <v>186</v>
      </c>
      <c r="BS72" s="5">
        <v>55446</v>
      </c>
      <c r="BT72" s="2">
        <v>124200</v>
      </c>
      <c r="BV72" t="s">
        <v>105</v>
      </c>
      <c r="BW72" s="2">
        <v>82826</v>
      </c>
      <c r="BX72" t="s">
        <v>105</v>
      </c>
      <c r="CA72" t="str">
        <f>""</f>
        <v/>
      </c>
      <c r="CB72" t="s">
        <v>244</v>
      </c>
      <c r="CC72">
        <v>2020</v>
      </c>
      <c r="CD72" t="s">
        <v>2321</v>
      </c>
      <c r="CE72" t="s">
        <v>5467</v>
      </c>
      <c r="CF72">
        <v>4</v>
      </c>
      <c r="CG72" t="s">
        <v>98</v>
      </c>
      <c r="CH72" t="s">
        <v>98</v>
      </c>
      <c r="CI72" t="s">
        <v>206</v>
      </c>
      <c r="CJ72" t="s">
        <v>98</v>
      </c>
      <c r="CK72" t="s">
        <v>12323</v>
      </c>
      <c r="CL72" t="s">
        <v>108</v>
      </c>
      <c r="CM72" t="s">
        <v>109</v>
      </c>
      <c r="CN72" t="str">
        <f>"Raft"</f>
        <v>Raft</v>
      </c>
      <c r="CO72" t="str">
        <f>"David"</f>
        <v>David</v>
      </c>
      <c r="CP72" t="str">
        <f>"B"</f>
        <v>B</v>
      </c>
      <c r="CQ72" t="str">
        <f>"Global Immigration Partners, Inc"</f>
        <v>Global Immigration Partners, Inc</v>
      </c>
      <c r="CR72" t="s">
        <v>1275</v>
      </c>
    </row>
    <row r="73" spans="1:96" x14ac:dyDescent="0.2">
      <c r="A73" t="s">
        <v>7866</v>
      </c>
      <c r="B73" t="s">
        <v>96</v>
      </c>
      <c r="C73" s="1">
        <v>44098</v>
      </c>
      <c r="D73" s="1">
        <v>44105</v>
      </c>
      <c r="F73" t="s">
        <v>97</v>
      </c>
      <c r="G73" t="str">
        <f>"Software Developer"</f>
        <v>Software Developer</v>
      </c>
      <c r="H73" t="s">
        <v>12169</v>
      </c>
      <c r="I73" t="s">
        <v>124</v>
      </c>
      <c r="J73" t="s">
        <v>98</v>
      </c>
      <c r="K73" s="1">
        <v>44107</v>
      </c>
      <c r="L73" s="1">
        <v>45202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7867</v>
      </c>
      <c r="U73" t="str">
        <f>""</f>
        <v/>
      </c>
      <c r="V73" t="s">
        <v>7868</v>
      </c>
      <c r="W73" t="str">
        <f>"Suite 385"</f>
        <v>Suite 385</v>
      </c>
      <c r="X73" t="s">
        <v>483</v>
      </c>
      <c r="Y73" t="s">
        <v>114</v>
      </c>
      <c r="Z73" s="3">
        <v>75063</v>
      </c>
      <c r="AA73" t="s">
        <v>101</v>
      </c>
      <c r="AC73" s="4" t="str">
        <f>"+12145960830"</f>
        <v>+12145960830</v>
      </c>
      <c r="AE73" t="str">
        <f>"541512"</f>
        <v>541512</v>
      </c>
      <c r="AF73" t="s">
        <v>7869</v>
      </c>
      <c r="AG73" t="s">
        <v>7790</v>
      </c>
      <c r="AI73" t="s">
        <v>1351</v>
      </c>
      <c r="AJ73" t="s">
        <v>7868</v>
      </c>
      <c r="AK73" t="str">
        <f>"Suite 385"</f>
        <v>Suite 385</v>
      </c>
      <c r="AL73" t="s">
        <v>483</v>
      </c>
      <c r="AM73" t="s">
        <v>114</v>
      </c>
      <c r="AN73" s="3">
        <v>75063</v>
      </c>
      <c r="AO73" t="s">
        <v>101</v>
      </c>
      <c r="AQ73" t="str">
        <f>"+12148426969"</f>
        <v>+12148426969</v>
      </c>
      <c r="AR73">
        <v>301</v>
      </c>
      <c r="AS73" t="s">
        <v>7870</v>
      </c>
      <c r="AT73" t="s">
        <v>107</v>
      </c>
      <c r="AU73" t="str">
        <f>"Hope"</f>
        <v>Hope</v>
      </c>
      <c r="AV73" t="str">
        <f>"Shawn"</f>
        <v>Shawn</v>
      </c>
      <c r="AW73" t="str">
        <f>"Thomas"</f>
        <v>Thomas</v>
      </c>
      <c r="AX73" t="str">
        <f>"580 Kirts Blvd."</f>
        <v>580 Kirts Blvd.</v>
      </c>
      <c r="AY73" t="str">
        <f>"Suite 307"</f>
        <v>Suite 307</v>
      </c>
      <c r="AZ73" t="str">
        <f>"Troy"</f>
        <v>Troy</v>
      </c>
      <c r="BA73" t="str">
        <f>"MI"</f>
        <v>MI</v>
      </c>
      <c r="BB73" s="3">
        <v>48084</v>
      </c>
      <c r="BC73" t="str">
        <f>"UNITED STATES OF AMERICA"</f>
        <v>UNITED STATES OF AMERICA</v>
      </c>
      <c r="BD73" t="str">
        <f>""</f>
        <v/>
      </c>
      <c r="BE73" t="str">
        <f>"+12484391595"</f>
        <v>+12484391595</v>
      </c>
      <c r="BF73" t="str">
        <f>""</f>
        <v/>
      </c>
      <c r="BG73" t="str">
        <f>"shawn@sgimmigration.com"</f>
        <v>shawn@sgimmigration.com</v>
      </c>
      <c r="BH73" t="str">
        <f>"Siegel, Gross &amp; Tou, P.C."</f>
        <v>Siegel, Gross &amp; Tou, P.C.</v>
      </c>
      <c r="BI73" t="str">
        <f>"MI"</f>
        <v>MI</v>
      </c>
      <c r="BJ73" t="str">
        <f>"Michigan Supreme Court"</f>
        <v>Michigan Supreme Court</v>
      </c>
      <c r="BK73">
        <v>1</v>
      </c>
      <c r="BL73" t="s">
        <v>107</v>
      </c>
      <c r="BM73" t="str">
        <f>"Cincinnati Financials"</f>
        <v>Cincinnati Financials</v>
      </c>
      <c r="BN73" t="s">
        <v>7871</v>
      </c>
      <c r="BP73" t="s">
        <v>5124</v>
      </c>
      <c r="BQ73" t="s">
        <v>2968</v>
      </c>
      <c r="BR73" t="s">
        <v>225</v>
      </c>
      <c r="BS73" s="5">
        <v>45014</v>
      </c>
      <c r="BT73" s="2">
        <v>87194</v>
      </c>
      <c r="BV73" t="s">
        <v>105</v>
      </c>
      <c r="BW73" s="2">
        <v>87194</v>
      </c>
      <c r="BX73" t="s">
        <v>105</v>
      </c>
      <c r="BZ73" t="s">
        <v>167</v>
      </c>
      <c r="CA73" t="str">
        <f t="shared" ref="CA73:CA104" si="6">"7/1/2020 - 6/30/2021"</f>
        <v>7/1/2020 - 6/30/2021</v>
      </c>
      <c r="CF73">
        <v>1</v>
      </c>
      <c r="CG73" t="s">
        <v>98</v>
      </c>
      <c r="CH73" t="s">
        <v>98</v>
      </c>
      <c r="CI73" t="s">
        <v>206</v>
      </c>
      <c r="CJ73" t="s">
        <v>98</v>
      </c>
      <c r="CK73" t="s">
        <v>12323</v>
      </c>
      <c r="CL73" t="s">
        <v>108</v>
      </c>
      <c r="CM73" t="s">
        <v>109</v>
      </c>
      <c r="CN73" t="str">
        <f>"Hope"</f>
        <v>Hope</v>
      </c>
      <c r="CO73" t="str">
        <f>"Shawn"</f>
        <v>Shawn</v>
      </c>
      <c r="CP73" t="str">
        <f>"T."</f>
        <v>T.</v>
      </c>
      <c r="CQ73" t="str">
        <f>"Siegel, Gross &amp; Tou, P.C."</f>
        <v>Siegel, Gross &amp; Tou, P.C.</v>
      </c>
      <c r="CR73" t="s">
        <v>3161</v>
      </c>
    </row>
    <row r="74" spans="1:96" x14ac:dyDescent="0.2">
      <c r="A74" t="s">
        <v>7910</v>
      </c>
      <c r="B74" t="s">
        <v>96</v>
      </c>
      <c r="C74" s="1">
        <v>44098</v>
      </c>
      <c r="D74" s="1">
        <v>44105</v>
      </c>
      <c r="F74" t="s">
        <v>97</v>
      </c>
      <c r="G74" t="str">
        <f>"Software Engineer"</f>
        <v>Software Engineer</v>
      </c>
      <c r="H74" t="s">
        <v>12168</v>
      </c>
      <c r="I74" t="s">
        <v>160</v>
      </c>
      <c r="J74" t="s">
        <v>98</v>
      </c>
      <c r="K74" s="1">
        <v>44105</v>
      </c>
      <c r="L74" s="1">
        <v>45199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 t="s">
        <v>7911</v>
      </c>
      <c r="U74" t="str">
        <f>""</f>
        <v/>
      </c>
      <c r="V74" t="s">
        <v>7912</v>
      </c>
      <c r="W74" t="str">
        <f>"Suite #111 J"</f>
        <v>Suite #111 J</v>
      </c>
      <c r="X74" t="s">
        <v>1985</v>
      </c>
      <c r="Y74" t="s">
        <v>345</v>
      </c>
      <c r="Z74" s="3">
        <v>60173</v>
      </c>
      <c r="AA74" t="s">
        <v>101</v>
      </c>
      <c r="AC74" s="4" t="str">
        <f>"+18479691314"</f>
        <v>+18479691314</v>
      </c>
      <c r="AE74" t="str">
        <f>"561330"</f>
        <v>561330</v>
      </c>
      <c r="AF74" t="s">
        <v>7913</v>
      </c>
      <c r="AG74" t="s">
        <v>3636</v>
      </c>
      <c r="AI74" t="s">
        <v>508</v>
      </c>
      <c r="AJ74" t="s">
        <v>7912</v>
      </c>
      <c r="AK74" t="str">
        <f>"Ste. 111J"</f>
        <v>Ste. 111J</v>
      </c>
      <c r="AL74" t="s">
        <v>1985</v>
      </c>
      <c r="AM74" t="s">
        <v>345</v>
      </c>
      <c r="AN74" s="3">
        <v>60173</v>
      </c>
      <c r="AO74" t="s">
        <v>101</v>
      </c>
      <c r="AQ74" t="str">
        <f>"+18479691314"</f>
        <v>+18479691314</v>
      </c>
      <c r="AS74" t="s">
        <v>7914</v>
      </c>
      <c r="AT74" t="s">
        <v>107</v>
      </c>
      <c r="AU74" t="str">
        <f>"Hass"</f>
        <v>Hass</v>
      </c>
      <c r="AV74" t="str">
        <f>"Trevor"</f>
        <v>Trevor</v>
      </c>
      <c r="AW74" t="str">
        <f>"Loman"</f>
        <v>Loman</v>
      </c>
      <c r="AX74" t="str">
        <f>"7031 Orchard Lake Road"</f>
        <v>7031 Orchard Lake Road</v>
      </c>
      <c r="AY74" t="str">
        <f>"Suite 302"</f>
        <v>Suite 302</v>
      </c>
      <c r="AZ74" t="str">
        <f>"West Bloomfield"</f>
        <v>West Bloomfield</v>
      </c>
      <c r="BA74" t="str">
        <f>"MI"</f>
        <v>MI</v>
      </c>
      <c r="BB74" s="3">
        <v>48322</v>
      </c>
      <c r="BC74" t="str">
        <f>"UNITED STATES OF AMERICA"</f>
        <v>UNITED STATES OF AMERICA</v>
      </c>
      <c r="BD74" t="str">
        <f>""</f>
        <v/>
      </c>
      <c r="BE74" t="str">
        <f>"+12488653331"</f>
        <v>+12488653331</v>
      </c>
      <c r="BF74" t="str">
        <f>""</f>
        <v/>
      </c>
      <c r="BG74" t="str">
        <f>"trevor@insvisa.com"</f>
        <v>trevor@insvisa.com</v>
      </c>
      <c r="BH74" t="str">
        <f>"Joseph Kallabat &amp; Associates, P.C."</f>
        <v>Joseph Kallabat &amp; Associates, P.C.</v>
      </c>
      <c r="BI74" t="str">
        <f>"MI"</f>
        <v>MI</v>
      </c>
      <c r="BJ74" t="str">
        <f>"Michigan Supreme Court"</f>
        <v>Michigan Supreme Court</v>
      </c>
      <c r="BK74">
        <v>1</v>
      </c>
      <c r="BL74" t="s">
        <v>107</v>
      </c>
      <c r="BM74" t="str">
        <f>"FedEx"</f>
        <v>FedEx</v>
      </c>
      <c r="BN74" t="s">
        <v>7915</v>
      </c>
      <c r="BP74" t="s">
        <v>297</v>
      </c>
      <c r="BQ74" t="s">
        <v>556</v>
      </c>
      <c r="BR74" t="s">
        <v>114</v>
      </c>
      <c r="BS74" s="5">
        <v>75024</v>
      </c>
      <c r="BT74" s="2">
        <v>74027</v>
      </c>
      <c r="BV74" t="s">
        <v>105</v>
      </c>
      <c r="BW74" s="2">
        <v>74027</v>
      </c>
      <c r="BX74" t="s">
        <v>105</v>
      </c>
      <c r="BZ74" t="s">
        <v>167</v>
      </c>
      <c r="CA74" t="str">
        <f t="shared" si="6"/>
        <v>7/1/2020 - 6/30/2021</v>
      </c>
      <c r="CF74">
        <v>2</v>
      </c>
      <c r="CG74" t="s">
        <v>98</v>
      </c>
      <c r="CH74" t="s">
        <v>98</v>
      </c>
      <c r="CI74" t="s">
        <v>206</v>
      </c>
      <c r="CJ74" t="s">
        <v>98</v>
      </c>
      <c r="CK74" t="s">
        <v>12323</v>
      </c>
      <c r="CL74" t="s">
        <v>108</v>
      </c>
      <c r="CM74" t="s">
        <v>109</v>
      </c>
      <c r="CN74" t="str">
        <f>""</f>
        <v/>
      </c>
      <c r="CO74" t="str">
        <f>""</f>
        <v/>
      </c>
      <c r="CP74" t="str">
        <f>""</f>
        <v/>
      </c>
      <c r="CQ74" t="str">
        <f>""</f>
        <v/>
      </c>
    </row>
    <row r="75" spans="1:96" x14ac:dyDescent="0.2">
      <c r="A75" t="s">
        <v>7918</v>
      </c>
      <c r="B75" t="s">
        <v>96</v>
      </c>
      <c r="C75" s="1">
        <v>44098</v>
      </c>
      <c r="D75" s="1">
        <v>44105</v>
      </c>
      <c r="F75" t="s">
        <v>97</v>
      </c>
      <c r="G75" t="str">
        <f>"Technical Test Lead - US"</f>
        <v>Technical Test Lead - US</v>
      </c>
      <c r="H75" t="s">
        <v>12168</v>
      </c>
      <c r="I75" t="s">
        <v>319</v>
      </c>
      <c r="J75" t="s">
        <v>98</v>
      </c>
      <c r="K75" s="1">
        <v>44109</v>
      </c>
      <c r="L75" s="1">
        <v>45201</v>
      </c>
      <c r="M75">
        <v>5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 t="s">
        <v>723</v>
      </c>
      <c r="U75" t="str">
        <f>""</f>
        <v/>
      </c>
      <c r="V75" t="s">
        <v>724</v>
      </c>
      <c r="W75" t="str">
        <f>"STE C150"</f>
        <v>STE C150</v>
      </c>
      <c r="X75" t="s">
        <v>725</v>
      </c>
      <c r="Y75" t="s">
        <v>114</v>
      </c>
      <c r="Z75" s="3">
        <v>75082</v>
      </c>
      <c r="AA75" t="s">
        <v>101</v>
      </c>
      <c r="AC75" s="4" t="str">
        <f>"+12143062100"</f>
        <v>+12143062100</v>
      </c>
      <c r="AE75" t="str">
        <f>"541511"</f>
        <v>541511</v>
      </c>
      <c r="AF75" t="s">
        <v>726</v>
      </c>
      <c r="AG75" t="s">
        <v>727</v>
      </c>
      <c r="AI75" t="s">
        <v>728</v>
      </c>
      <c r="AJ75" t="s">
        <v>724</v>
      </c>
      <c r="AK75" t="str">
        <f>"STE C150"</f>
        <v>STE C150</v>
      </c>
      <c r="AL75" t="s">
        <v>725</v>
      </c>
      <c r="AM75" t="s">
        <v>114</v>
      </c>
      <c r="AN75" s="3">
        <v>75082</v>
      </c>
      <c r="AO75" t="s">
        <v>101</v>
      </c>
      <c r="AQ75" t="str">
        <f>"+12143062100"</f>
        <v>+12143062100</v>
      </c>
      <c r="AS75" t="s">
        <v>729</v>
      </c>
      <c r="AT75" t="s">
        <v>102</v>
      </c>
      <c r="AU75" t="str">
        <f>""</f>
        <v/>
      </c>
      <c r="AV75" t="str">
        <f>""</f>
        <v/>
      </c>
      <c r="AW75" t="str">
        <f>""</f>
        <v/>
      </c>
      <c r="AX75" t="str">
        <f>""</f>
        <v/>
      </c>
      <c r="AY75" t="str">
        <f>""</f>
        <v/>
      </c>
      <c r="AZ75" t="str">
        <f>""</f>
        <v/>
      </c>
      <c r="BA75" t="str">
        <f>""</f>
        <v/>
      </c>
      <c r="BC75" t="str">
        <f>""</f>
        <v/>
      </c>
      <c r="BD75" t="str">
        <f>""</f>
        <v/>
      </c>
      <c r="BE75" t="str">
        <f>""</f>
        <v/>
      </c>
      <c r="BF75" t="str">
        <f>""</f>
        <v/>
      </c>
      <c r="BG75" t="str">
        <f>""</f>
        <v/>
      </c>
      <c r="BH75" t="str">
        <f>""</f>
        <v/>
      </c>
      <c r="BI75" t="str">
        <f>""</f>
        <v/>
      </c>
      <c r="BJ75" t="str">
        <f>""</f>
        <v/>
      </c>
      <c r="BK75">
        <v>5</v>
      </c>
      <c r="BL75" t="s">
        <v>107</v>
      </c>
      <c r="BM75" t="str">
        <f>"The Depository Trust and Clearing Corporation"</f>
        <v>The Depository Trust and Clearing Corporation</v>
      </c>
      <c r="BN75" t="s">
        <v>4005</v>
      </c>
      <c r="BP75" t="s">
        <v>1107</v>
      </c>
      <c r="BQ75" t="s">
        <v>1034</v>
      </c>
      <c r="BR75" t="s">
        <v>577</v>
      </c>
      <c r="BS75" s="5">
        <v>33647</v>
      </c>
      <c r="BT75" s="2">
        <v>69659</v>
      </c>
      <c r="BU75" s="2">
        <v>82025</v>
      </c>
      <c r="BV75" t="s">
        <v>105</v>
      </c>
      <c r="BW75" s="2">
        <v>69659</v>
      </c>
      <c r="BX75" t="s">
        <v>105</v>
      </c>
      <c r="BZ75" t="s">
        <v>167</v>
      </c>
      <c r="CA75" t="str">
        <f t="shared" si="6"/>
        <v>7/1/2020 - 6/30/2021</v>
      </c>
      <c r="CF75">
        <v>1</v>
      </c>
      <c r="CG75" t="s">
        <v>98</v>
      </c>
      <c r="CH75" t="s">
        <v>98</v>
      </c>
      <c r="CI75" t="s">
        <v>206</v>
      </c>
      <c r="CJ75" t="s">
        <v>98</v>
      </c>
      <c r="CK75" t="s">
        <v>12323</v>
      </c>
      <c r="CL75" t="s">
        <v>108</v>
      </c>
      <c r="CM75" t="s">
        <v>109</v>
      </c>
      <c r="CN75" t="str">
        <f>"Khanum"</f>
        <v>Khanum</v>
      </c>
      <c r="CO75" t="str">
        <f>"Hajeera"</f>
        <v>Hajeera</v>
      </c>
      <c r="CP75" t="str">
        <f>""</f>
        <v/>
      </c>
      <c r="CQ75" t="str">
        <f>"Infosys Limited"</f>
        <v>Infosys Limited</v>
      </c>
      <c r="CR75" t="s">
        <v>900</v>
      </c>
    </row>
    <row r="76" spans="1:96" x14ac:dyDescent="0.2">
      <c r="A76" t="s">
        <v>7970</v>
      </c>
      <c r="B76" t="s">
        <v>96</v>
      </c>
      <c r="C76" s="1">
        <v>44098</v>
      </c>
      <c r="D76" s="1">
        <v>44105</v>
      </c>
      <c r="F76" t="s">
        <v>97</v>
      </c>
      <c r="G76" t="str">
        <f>"SENIOR MANAGER - DELIVERY"</f>
        <v>SENIOR MANAGER - DELIVERY</v>
      </c>
      <c r="H76" t="s">
        <v>12168</v>
      </c>
      <c r="I76" t="s">
        <v>722</v>
      </c>
      <c r="J76" t="s">
        <v>98</v>
      </c>
      <c r="K76" s="1">
        <v>44162</v>
      </c>
      <c r="L76" s="1">
        <v>45256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t="s">
        <v>1779</v>
      </c>
      <c r="U76" t="str">
        <f>""</f>
        <v/>
      </c>
      <c r="V76" t="s">
        <v>1048</v>
      </c>
      <c r="W76" t="str">
        <f>"1st Floor"</f>
        <v>1st Floor</v>
      </c>
      <c r="X76" t="s">
        <v>103</v>
      </c>
      <c r="Y76" t="s">
        <v>100</v>
      </c>
      <c r="Z76" s="3">
        <v>8854</v>
      </c>
      <c r="AA76" t="s">
        <v>101</v>
      </c>
      <c r="AC76" s="4" t="str">
        <f>"+19087550226"</f>
        <v>+19087550226</v>
      </c>
      <c r="AE76" t="str">
        <f>"54151"</f>
        <v>54151</v>
      </c>
      <c r="AF76" t="s">
        <v>1780</v>
      </c>
      <c r="AG76" t="s">
        <v>1781</v>
      </c>
      <c r="AH76" t="s">
        <v>320</v>
      </c>
      <c r="AI76" t="s">
        <v>1782</v>
      </c>
      <c r="AJ76" t="s">
        <v>1783</v>
      </c>
      <c r="AK76" t="str">
        <f>"SUITE 100"</f>
        <v>SUITE 100</v>
      </c>
      <c r="AL76" t="s">
        <v>804</v>
      </c>
      <c r="AM76" t="s">
        <v>100</v>
      </c>
      <c r="AN76" s="3">
        <v>8854</v>
      </c>
      <c r="AO76" t="s">
        <v>101</v>
      </c>
      <c r="AQ76" t="str">
        <f>"+19087550105"</f>
        <v>+19087550105</v>
      </c>
      <c r="AS76" t="s">
        <v>1053</v>
      </c>
      <c r="AT76" t="s">
        <v>107</v>
      </c>
      <c r="AU76" t="str">
        <f>"MEHTA"</f>
        <v>MEHTA</v>
      </c>
      <c r="AV76" t="str">
        <f>"CYRUS"</f>
        <v>CYRUS</v>
      </c>
      <c r="AW76" t="str">
        <f>"D."</f>
        <v>D.</v>
      </c>
      <c r="AX76" t="str">
        <f>"ONE BATTERY PARK PLAZA"</f>
        <v>ONE BATTERY PARK PLAZA</v>
      </c>
      <c r="AY76" t="str">
        <f>"9TH FLOOR"</f>
        <v>9TH FLOOR</v>
      </c>
      <c r="AZ76" t="str">
        <f>"NEW YORK"</f>
        <v>NEW YORK</v>
      </c>
      <c r="BA76" t="str">
        <f>"NY"</f>
        <v>NY</v>
      </c>
      <c r="BB76" s="3">
        <v>10004</v>
      </c>
      <c r="BC76" t="str">
        <f>"UNITED STATES OF AMERICA"</f>
        <v>UNITED STATES OF AMERICA</v>
      </c>
      <c r="BD76" t="str">
        <f>""</f>
        <v/>
      </c>
      <c r="BE76" t="str">
        <f>"+12124250555"</f>
        <v>+12124250555</v>
      </c>
      <c r="BF76" t="str">
        <f>""</f>
        <v/>
      </c>
      <c r="BG76" t="str">
        <f>"CM@CYRUSMEHTA.COM"</f>
        <v>CM@CYRUSMEHTA.COM</v>
      </c>
      <c r="BH76" t="str">
        <f>"CYRUS D. MEHTA &amp; PARTNERS, PLLC"</f>
        <v>CYRUS D. MEHTA &amp; PARTNERS, PLLC</v>
      </c>
      <c r="BI76" t="str">
        <f>"NY"</f>
        <v>NY</v>
      </c>
      <c r="BJ76" t="str">
        <f>"NEW YORK COURT OF APPEALS"</f>
        <v>NEW YORK COURT OF APPEALS</v>
      </c>
      <c r="BK76">
        <v>1</v>
      </c>
      <c r="BL76" t="s">
        <v>107</v>
      </c>
      <c r="BM76" t="str">
        <f>"GOVERNMENT EMPLOYEES INSURANCE COMPANY"</f>
        <v>GOVERNMENT EMPLOYEES INSURANCE COMPANY</v>
      </c>
      <c r="BN76" t="s">
        <v>7971</v>
      </c>
      <c r="BP76" t="s">
        <v>7972</v>
      </c>
      <c r="BQ76" t="s">
        <v>529</v>
      </c>
      <c r="BR76" t="s">
        <v>195</v>
      </c>
      <c r="BS76" s="5">
        <v>20815</v>
      </c>
      <c r="BT76" s="2">
        <v>140000</v>
      </c>
      <c r="BV76" t="s">
        <v>105</v>
      </c>
      <c r="BW76" s="2">
        <v>134722</v>
      </c>
      <c r="BX76" t="s">
        <v>105</v>
      </c>
      <c r="BZ76" t="s">
        <v>159</v>
      </c>
      <c r="CA76" t="str">
        <f t="shared" si="6"/>
        <v>7/1/2020 - 6/30/2021</v>
      </c>
      <c r="CF76">
        <v>1</v>
      </c>
      <c r="CG76" t="s">
        <v>98</v>
      </c>
      <c r="CH76" t="s">
        <v>98</v>
      </c>
      <c r="CI76" t="s">
        <v>206</v>
      </c>
      <c r="CJ76" t="s">
        <v>98</v>
      </c>
      <c r="CK76" t="s">
        <v>12323</v>
      </c>
      <c r="CL76" t="s">
        <v>108</v>
      </c>
      <c r="CM76" t="s">
        <v>109</v>
      </c>
      <c r="CN76" t="str">
        <f>"KIM"</f>
        <v>KIM</v>
      </c>
      <c r="CO76" t="str">
        <f>"NURI"</f>
        <v>NURI</v>
      </c>
      <c r="CP76" t="str">
        <f>"J."</f>
        <v>J.</v>
      </c>
      <c r="CQ76" t="str">
        <f>"CYRUS D. MEHTA &amp; PARTNERS, PLLC"</f>
        <v>CYRUS D. MEHTA &amp; PARTNERS, PLLC</v>
      </c>
      <c r="CR76" t="s">
        <v>1784</v>
      </c>
    </row>
    <row r="77" spans="1:96" x14ac:dyDescent="0.2">
      <c r="A77" t="s">
        <v>7973</v>
      </c>
      <c r="B77" t="s">
        <v>96</v>
      </c>
      <c r="C77" s="1">
        <v>44098</v>
      </c>
      <c r="D77" s="1">
        <v>44105</v>
      </c>
      <c r="F77" t="s">
        <v>97</v>
      </c>
      <c r="G77" t="str">
        <f>"Consultant - US "</f>
        <v xml:space="preserve">Consultant - US </v>
      </c>
      <c r="H77" t="s">
        <v>12168</v>
      </c>
      <c r="I77" t="s">
        <v>367</v>
      </c>
      <c r="J77" t="s">
        <v>98</v>
      </c>
      <c r="K77" s="1">
        <v>44109</v>
      </c>
      <c r="L77" s="1">
        <v>45202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 t="s">
        <v>723</v>
      </c>
      <c r="U77" t="str">
        <f>""</f>
        <v/>
      </c>
      <c r="V77" t="s">
        <v>724</v>
      </c>
      <c r="W77" t="str">
        <f>"STE C150"</f>
        <v>STE C150</v>
      </c>
      <c r="X77" t="s">
        <v>725</v>
      </c>
      <c r="Y77" t="s">
        <v>114</v>
      </c>
      <c r="Z77" s="3">
        <v>75082</v>
      </c>
      <c r="AA77" t="s">
        <v>101</v>
      </c>
      <c r="AC77" s="4" t="str">
        <f>"+12143062100"</f>
        <v>+12143062100</v>
      </c>
      <c r="AE77" t="str">
        <f>"541511"</f>
        <v>541511</v>
      </c>
      <c r="AF77" t="s">
        <v>726</v>
      </c>
      <c r="AG77" t="s">
        <v>727</v>
      </c>
      <c r="AI77" t="s">
        <v>728</v>
      </c>
      <c r="AJ77" t="s">
        <v>724</v>
      </c>
      <c r="AK77" t="str">
        <f>"STE C150"</f>
        <v>STE C150</v>
      </c>
      <c r="AL77" t="s">
        <v>725</v>
      </c>
      <c r="AM77" t="s">
        <v>114</v>
      </c>
      <c r="AN77" s="3">
        <v>75082</v>
      </c>
      <c r="AO77" t="s">
        <v>101</v>
      </c>
      <c r="AQ77" t="str">
        <f>"+12143062100"</f>
        <v>+12143062100</v>
      </c>
      <c r="AS77" t="s">
        <v>729</v>
      </c>
      <c r="AT77" t="s">
        <v>102</v>
      </c>
      <c r="AU77" t="str">
        <f>""</f>
        <v/>
      </c>
      <c r="AV77" t="str">
        <f>""</f>
        <v/>
      </c>
      <c r="AW77" t="str">
        <f>""</f>
        <v/>
      </c>
      <c r="AX77" t="str">
        <f>""</f>
        <v/>
      </c>
      <c r="AY77" t="str">
        <f>""</f>
        <v/>
      </c>
      <c r="AZ77" t="str">
        <f>""</f>
        <v/>
      </c>
      <c r="BA77" t="str">
        <f>""</f>
        <v/>
      </c>
      <c r="BC77" t="str">
        <f>""</f>
        <v/>
      </c>
      <c r="BD77" t="str">
        <f>""</f>
        <v/>
      </c>
      <c r="BE77" t="str">
        <f>""</f>
        <v/>
      </c>
      <c r="BF77" t="str">
        <f>""</f>
        <v/>
      </c>
      <c r="BG77" t="str">
        <f>""</f>
        <v/>
      </c>
      <c r="BH77" t="str">
        <f>""</f>
        <v/>
      </c>
      <c r="BI77" t="str">
        <f>""</f>
        <v/>
      </c>
      <c r="BJ77" t="str">
        <f>""</f>
        <v/>
      </c>
      <c r="BK77">
        <v>1</v>
      </c>
      <c r="BL77" t="s">
        <v>107</v>
      </c>
      <c r="BM77" t="str">
        <f>"Cisco Systems Inc"</f>
        <v>Cisco Systems Inc</v>
      </c>
      <c r="BN77" t="s">
        <v>7974</v>
      </c>
      <c r="BP77" t="s">
        <v>585</v>
      </c>
      <c r="BQ77" t="s">
        <v>230</v>
      </c>
      <c r="BR77" t="s">
        <v>141</v>
      </c>
      <c r="BS77" s="5">
        <v>95134</v>
      </c>
      <c r="BT77" s="2">
        <v>110926</v>
      </c>
      <c r="BV77" t="s">
        <v>105</v>
      </c>
      <c r="BW77" s="2">
        <v>110926</v>
      </c>
      <c r="BX77" t="s">
        <v>105</v>
      </c>
      <c r="BZ77" t="s">
        <v>167</v>
      </c>
      <c r="CA77" t="str">
        <f t="shared" si="6"/>
        <v>7/1/2020 - 6/30/2021</v>
      </c>
      <c r="CF77">
        <v>1</v>
      </c>
      <c r="CG77" t="s">
        <v>98</v>
      </c>
      <c r="CH77" t="s">
        <v>98</v>
      </c>
      <c r="CI77" t="s">
        <v>206</v>
      </c>
      <c r="CJ77" t="s">
        <v>98</v>
      </c>
      <c r="CK77" t="s">
        <v>12323</v>
      </c>
      <c r="CL77" t="s">
        <v>108</v>
      </c>
      <c r="CM77" t="s">
        <v>109</v>
      </c>
      <c r="CN77" t="str">
        <f>"JAYARAM"</f>
        <v>JAYARAM</v>
      </c>
      <c r="CO77" t="str">
        <f>"SUSHMA"</f>
        <v>SUSHMA</v>
      </c>
      <c r="CP77" t="str">
        <f>""</f>
        <v/>
      </c>
      <c r="CQ77" t="str">
        <f>"INFOSYS LIMITED"</f>
        <v>INFOSYS LIMITED</v>
      </c>
      <c r="CR77" t="s">
        <v>3699</v>
      </c>
    </row>
    <row r="78" spans="1:96" x14ac:dyDescent="0.2">
      <c r="A78" t="s">
        <v>8051</v>
      </c>
      <c r="B78" t="s">
        <v>96</v>
      </c>
      <c r="C78" s="1">
        <v>44098</v>
      </c>
      <c r="D78" s="1">
        <v>44105</v>
      </c>
      <c r="F78" t="s">
        <v>97</v>
      </c>
      <c r="G78" t="str">
        <f>"Software Engineer"</f>
        <v>Software Engineer</v>
      </c>
      <c r="H78" t="s">
        <v>12169</v>
      </c>
      <c r="I78" t="s">
        <v>124</v>
      </c>
      <c r="J78" t="s">
        <v>98</v>
      </c>
      <c r="K78" s="1">
        <v>44181</v>
      </c>
      <c r="L78" s="1">
        <v>45275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t="s">
        <v>1330</v>
      </c>
      <c r="U78" t="str">
        <f>""</f>
        <v/>
      </c>
      <c r="V78" t="s">
        <v>1331</v>
      </c>
      <c r="W78" t="str">
        <f>"16th Floor"</f>
        <v>16th Floor</v>
      </c>
      <c r="X78" t="s">
        <v>277</v>
      </c>
      <c r="Y78" t="s">
        <v>190</v>
      </c>
      <c r="Z78" s="3">
        <v>10018</v>
      </c>
      <c r="AA78" t="s">
        <v>101</v>
      </c>
      <c r="AC78" s="4" t="str">
        <f>"+16467237366"</f>
        <v>+16467237366</v>
      </c>
      <c r="AE78" t="str">
        <f>"5419"</f>
        <v>5419</v>
      </c>
      <c r="AF78" t="s">
        <v>1332</v>
      </c>
      <c r="AG78" t="s">
        <v>1333</v>
      </c>
      <c r="AI78" t="s">
        <v>1096</v>
      </c>
      <c r="AJ78" t="s">
        <v>1331</v>
      </c>
      <c r="AK78" t="str">
        <f>"16th Floor"</f>
        <v>16th Floor</v>
      </c>
      <c r="AL78" t="s">
        <v>277</v>
      </c>
      <c r="AM78" t="s">
        <v>190</v>
      </c>
      <c r="AN78" s="3">
        <v>10018</v>
      </c>
      <c r="AO78" t="s">
        <v>101</v>
      </c>
      <c r="AQ78" t="str">
        <f>"+16467237366"</f>
        <v>+16467237366</v>
      </c>
      <c r="AS78" t="s">
        <v>1334</v>
      </c>
      <c r="AT78" t="s">
        <v>107</v>
      </c>
      <c r="AU78" t="str">
        <f>"Wang"</f>
        <v>Wang</v>
      </c>
      <c r="AV78" t="str">
        <f>"Weicheng"</f>
        <v>Weicheng</v>
      </c>
      <c r="AW78" t="str">
        <f>""</f>
        <v/>
      </c>
      <c r="AX78" t="str">
        <f>"197 Route 18"</f>
        <v>197 Route 18</v>
      </c>
      <c r="AY78" t="str">
        <f>"Suite 309"</f>
        <v>Suite 309</v>
      </c>
      <c r="AZ78" t="str">
        <f>"East Brunswick"</f>
        <v>East Brunswick</v>
      </c>
      <c r="BA78" t="str">
        <f>"NJ"</f>
        <v>NJ</v>
      </c>
      <c r="BB78" s="3">
        <v>8816</v>
      </c>
      <c r="BC78" t="str">
        <f>"UNITED STATES OF AMERICA"</f>
        <v>UNITED STATES OF AMERICA</v>
      </c>
      <c r="BD78" t="str">
        <f>""</f>
        <v/>
      </c>
      <c r="BE78" t="str">
        <f>"+17324188865"</f>
        <v>+17324188865</v>
      </c>
      <c r="BF78" t="str">
        <f>""</f>
        <v/>
      </c>
      <c r="BG78" t="str">
        <f>"wangwesq@aol.com"</f>
        <v>wangwesq@aol.com</v>
      </c>
      <c r="BH78" t="str">
        <f>"Law Offices of Weicheng Wang"</f>
        <v>Law Offices of Weicheng Wang</v>
      </c>
      <c r="BI78" t="str">
        <f>"NJ"</f>
        <v>NJ</v>
      </c>
      <c r="BJ78" t="str">
        <f>"Supreme Court of New Jersey"</f>
        <v>Supreme Court of New Jersey</v>
      </c>
      <c r="BK78">
        <v>1</v>
      </c>
      <c r="BL78" t="s">
        <v>107</v>
      </c>
      <c r="BM78" t="str">
        <f>"Bank of America"</f>
        <v>Bank of America</v>
      </c>
      <c r="BN78" t="s">
        <v>3864</v>
      </c>
      <c r="BP78" t="s">
        <v>1213</v>
      </c>
      <c r="BQ78" t="s">
        <v>1214</v>
      </c>
      <c r="BR78" t="s">
        <v>100</v>
      </c>
      <c r="BS78" s="5">
        <v>7302</v>
      </c>
      <c r="BT78" s="2">
        <v>125000</v>
      </c>
      <c r="BU78" s="2">
        <v>145000</v>
      </c>
      <c r="BV78" t="s">
        <v>105</v>
      </c>
      <c r="BW78" s="2">
        <v>122221</v>
      </c>
      <c r="BX78" t="s">
        <v>105</v>
      </c>
      <c r="BZ78" t="s">
        <v>123</v>
      </c>
      <c r="CA78" t="str">
        <f t="shared" si="6"/>
        <v>7/1/2020 - 6/30/2021</v>
      </c>
      <c r="CF78">
        <v>2</v>
      </c>
      <c r="CG78" t="s">
        <v>98</v>
      </c>
      <c r="CH78" t="s">
        <v>98</v>
      </c>
      <c r="CI78" t="s">
        <v>206</v>
      </c>
      <c r="CJ78" t="s">
        <v>98</v>
      </c>
      <c r="CK78" t="s">
        <v>12323</v>
      </c>
      <c r="CL78" t="s">
        <v>108</v>
      </c>
      <c r="CM78" t="s">
        <v>109</v>
      </c>
      <c r="CN78" t="str">
        <f>""</f>
        <v/>
      </c>
      <c r="CO78" t="str">
        <f>""</f>
        <v/>
      </c>
      <c r="CP78" t="str">
        <f>""</f>
        <v/>
      </c>
      <c r="CQ78" t="str">
        <f>""</f>
        <v/>
      </c>
    </row>
    <row r="79" spans="1:96" x14ac:dyDescent="0.2">
      <c r="A79" t="s">
        <v>8070</v>
      </c>
      <c r="B79" t="s">
        <v>96</v>
      </c>
      <c r="C79" s="1">
        <v>44098</v>
      </c>
      <c r="D79" s="1">
        <v>44105</v>
      </c>
      <c r="F79" t="s">
        <v>97</v>
      </c>
      <c r="G79" t="str">
        <f>"Sr. Technical Architect"</f>
        <v>Sr. Technical Architect</v>
      </c>
      <c r="H79" t="s">
        <v>12169</v>
      </c>
      <c r="I79" t="s">
        <v>124</v>
      </c>
      <c r="J79" t="s">
        <v>98</v>
      </c>
      <c r="K79" s="1">
        <v>44106</v>
      </c>
      <c r="L79" s="1">
        <v>45200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2838</v>
      </c>
      <c r="U79" t="str">
        <f>""</f>
        <v/>
      </c>
      <c r="V79" t="s">
        <v>3352</v>
      </c>
      <c r="W79" t="str">
        <f>"Ste. 600"</f>
        <v>Ste. 600</v>
      </c>
      <c r="X79" t="s">
        <v>447</v>
      </c>
      <c r="Y79" t="s">
        <v>100</v>
      </c>
      <c r="Z79" s="3">
        <v>8830</v>
      </c>
      <c r="AA79" t="s">
        <v>101</v>
      </c>
      <c r="AC79" s="4" t="str">
        <f>"+16094096950"</f>
        <v>+16094096950</v>
      </c>
      <c r="AE79" t="str">
        <f>"541512"</f>
        <v>541512</v>
      </c>
      <c r="AF79" t="s">
        <v>3353</v>
      </c>
      <c r="AG79" t="s">
        <v>3354</v>
      </c>
      <c r="AI79" t="s">
        <v>3355</v>
      </c>
      <c r="AJ79" t="s">
        <v>3352</v>
      </c>
      <c r="AK79" t="str">
        <f>"Ste. 600"</f>
        <v>Ste. 600</v>
      </c>
      <c r="AL79" t="s">
        <v>447</v>
      </c>
      <c r="AM79" t="s">
        <v>100</v>
      </c>
      <c r="AN79" s="3">
        <v>8830</v>
      </c>
      <c r="AO79" t="s">
        <v>101</v>
      </c>
      <c r="AQ79" t="str">
        <f>"+16094096950"</f>
        <v>+16094096950</v>
      </c>
      <c r="AS79" t="s">
        <v>451</v>
      </c>
      <c r="AT79" t="s">
        <v>107</v>
      </c>
      <c r="AU79" t="str">
        <f>"Szachta/Dutot"</f>
        <v>Szachta/Dutot</v>
      </c>
      <c r="AV79" t="str">
        <f>"Christine/Christopher"</f>
        <v>Christine/Christopher</v>
      </c>
      <c r="AW79" t="str">
        <f>""</f>
        <v/>
      </c>
      <c r="AX79" t="str">
        <f>"5250 Corporate Drive"</f>
        <v>5250 Corporate Drive</v>
      </c>
      <c r="AY79" t="str">
        <f>"Ste. 300"</f>
        <v>Ste. 300</v>
      </c>
      <c r="AZ79" t="str">
        <f>"Troy"</f>
        <v>Troy</v>
      </c>
      <c r="BA79" t="str">
        <f>"MI"</f>
        <v>MI</v>
      </c>
      <c r="BB79" s="3">
        <v>48098</v>
      </c>
      <c r="BC79" t="str">
        <f>"UNITED STATES OF AMERICA"</f>
        <v>UNITED STATES OF AMERICA</v>
      </c>
      <c r="BD79" t="str">
        <f>""</f>
        <v/>
      </c>
      <c r="BE79" t="str">
        <f>"+12486434900"</f>
        <v>+12486434900</v>
      </c>
      <c r="BF79" t="str">
        <f>""</f>
        <v/>
      </c>
      <c r="BG79" t="str">
        <f>"sumitc@employmentimmigration.com"</f>
        <v>sumitc@employmentimmigration.com</v>
      </c>
      <c r="BH79" t="str">
        <f>"Fakhoury Global Immigration, USA PC"</f>
        <v>Fakhoury Global Immigration, USA PC</v>
      </c>
      <c r="BI79" t="str">
        <f>"MI"</f>
        <v>MI</v>
      </c>
      <c r="BJ79" t="str">
        <f>"Supreme Court"</f>
        <v>Supreme Court</v>
      </c>
      <c r="BK79">
        <v>1</v>
      </c>
      <c r="BL79" t="s">
        <v>107</v>
      </c>
      <c r="BM79" t="str">
        <f>"Freddie Mac"</f>
        <v>Freddie Mac</v>
      </c>
      <c r="BN79" t="s">
        <v>5083</v>
      </c>
      <c r="BP79" t="s">
        <v>958</v>
      </c>
      <c r="BQ79" t="s">
        <v>454</v>
      </c>
      <c r="BR79" t="s">
        <v>135</v>
      </c>
      <c r="BS79" s="5">
        <v>22102</v>
      </c>
      <c r="BT79" s="2">
        <v>138850</v>
      </c>
      <c r="BU79" s="2">
        <v>160000</v>
      </c>
      <c r="BV79" t="s">
        <v>105</v>
      </c>
      <c r="BW79" s="2">
        <v>138819</v>
      </c>
      <c r="BX79" t="s">
        <v>105</v>
      </c>
      <c r="BZ79" t="s">
        <v>159</v>
      </c>
      <c r="CA79" t="str">
        <f t="shared" si="6"/>
        <v>7/1/2020 - 6/30/2021</v>
      </c>
      <c r="CF79">
        <v>2</v>
      </c>
      <c r="CG79" t="s">
        <v>98</v>
      </c>
      <c r="CH79" t="s">
        <v>98</v>
      </c>
      <c r="CI79" t="s">
        <v>206</v>
      </c>
      <c r="CJ79" t="s">
        <v>98</v>
      </c>
      <c r="CK79" t="s">
        <v>12323</v>
      </c>
      <c r="CL79" t="s">
        <v>108</v>
      </c>
      <c r="CM79" t="s">
        <v>109</v>
      </c>
      <c r="CN79" t="str">
        <f>"Szachta/Dutot"</f>
        <v>Szachta/Dutot</v>
      </c>
      <c r="CO79" t="str">
        <f>"Christine/Christopher"</f>
        <v>Christine/Christopher</v>
      </c>
      <c r="CP79" t="str">
        <f>""</f>
        <v/>
      </c>
      <c r="CQ79" t="str">
        <f>"Fakhoury Global Immigration, USA PC"</f>
        <v>Fakhoury Global Immigration, USA PC</v>
      </c>
      <c r="CR79" t="s">
        <v>4856</v>
      </c>
    </row>
    <row r="80" spans="1:96" x14ac:dyDescent="0.2">
      <c r="A80" t="s">
        <v>8072</v>
      </c>
      <c r="B80" t="s">
        <v>96</v>
      </c>
      <c r="C80" s="1">
        <v>44098</v>
      </c>
      <c r="D80" s="1">
        <v>44105</v>
      </c>
      <c r="F80" t="s">
        <v>97</v>
      </c>
      <c r="G80" t="str">
        <f>"Director, UAG Research &amp; Development (Signaling)"</f>
        <v>Director, UAG Research &amp; Development (Signaling)</v>
      </c>
      <c r="H80" t="s">
        <v>12178</v>
      </c>
      <c r="I80" t="s">
        <v>582</v>
      </c>
      <c r="J80" t="s">
        <v>98</v>
      </c>
      <c r="K80" s="1">
        <v>44255</v>
      </c>
      <c r="L80" s="1">
        <v>45349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t="s">
        <v>3536</v>
      </c>
      <c r="U80" t="str">
        <f>""</f>
        <v/>
      </c>
      <c r="V80" t="s">
        <v>3537</v>
      </c>
      <c r="W80" t="str">
        <f>"Suite 200"</f>
        <v>Suite 200</v>
      </c>
      <c r="X80" t="s">
        <v>761</v>
      </c>
      <c r="Y80" t="s">
        <v>114</v>
      </c>
      <c r="Z80" s="3">
        <v>75081</v>
      </c>
      <c r="AA80" t="s">
        <v>101</v>
      </c>
      <c r="AC80" s="4" t="str">
        <f>"+14699164393"</f>
        <v>+14699164393</v>
      </c>
      <c r="AE80" t="str">
        <f>"541618"</f>
        <v>541618</v>
      </c>
      <c r="AF80" t="s">
        <v>3538</v>
      </c>
      <c r="AG80" t="s">
        <v>3539</v>
      </c>
      <c r="AI80" t="s">
        <v>3540</v>
      </c>
      <c r="AJ80" t="s">
        <v>3537</v>
      </c>
      <c r="AK80" t="str">
        <f>"Suite 200"</f>
        <v>Suite 200</v>
      </c>
      <c r="AL80" t="s">
        <v>761</v>
      </c>
      <c r="AM80" t="s">
        <v>114</v>
      </c>
      <c r="AN80" s="3">
        <v>75081</v>
      </c>
      <c r="AO80" t="s">
        <v>101</v>
      </c>
      <c r="AQ80" t="str">
        <f>"+14699164393"</f>
        <v>+14699164393</v>
      </c>
      <c r="AS80" t="s">
        <v>3541</v>
      </c>
      <c r="AT80" t="s">
        <v>107</v>
      </c>
      <c r="AU80" t="str">
        <f>"BLUMBERG"</f>
        <v>BLUMBERG</v>
      </c>
      <c r="AV80" t="str">
        <f>"Aaron"</f>
        <v>Aaron</v>
      </c>
      <c r="AW80" t="str">
        <f>"Michael"</f>
        <v>Michael</v>
      </c>
      <c r="AX80" t="str">
        <f>"800 NW 62ND AVE"</f>
        <v>800 NW 62ND AVE</v>
      </c>
      <c r="AY80" t="str">
        <f>"SUITE 590"</f>
        <v>SUITE 590</v>
      </c>
      <c r="AZ80" t="str">
        <f>"MIAMI"</f>
        <v>MIAMI</v>
      </c>
      <c r="BA80" t="str">
        <f>"FL"</f>
        <v>FL</v>
      </c>
      <c r="BB80" s="3">
        <v>33126</v>
      </c>
      <c r="BC80" t="str">
        <f>"UNITED STATES OF AMERICA"</f>
        <v>UNITED STATES OF AMERICA</v>
      </c>
      <c r="BD80" t="str">
        <f>""</f>
        <v/>
      </c>
      <c r="BE80" t="str">
        <f>"+13057745800"</f>
        <v>+13057745800</v>
      </c>
      <c r="BF80" t="str">
        <f>""</f>
        <v/>
      </c>
      <c r="BG80" t="str">
        <f>"FragomenBlumbergTeam@FRAGOMEN.COM"</f>
        <v>FragomenBlumbergTeam@FRAGOMEN.COM</v>
      </c>
      <c r="BH80" t="str">
        <f>"Fragomen, Del Rey, Bernsen &amp; Loewy, LLP"</f>
        <v>Fragomen, Del Rey, Bernsen &amp; Loewy, LLP</v>
      </c>
      <c r="BI80" t="str">
        <f>"FL"</f>
        <v>FL</v>
      </c>
      <c r="BJ80" t="str">
        <f>"Supreme Court"</f>
        <v>Supreme Court</v>
      </c>
      <c r="BK80">
        <v>1</v>
      </c>
      <c r="BL80" t="s">
        <v>102</v>
      </c>
      <c r="BM80" t="str">
        <f>""</f>
        <v/>
      </c>
      <c r="BN80" t="s">
        <v>3537</v>
      </c>
      <c r="BO80" t="s">
        <v>787</v>
      </c>
      <c r="BP80" t="s">
        <v>761</v>
      </c>
      <c r="BQ80" t="s">
        <v>484</v>
      </c>
      <c r="BR80" t="s">
        <v>114</v>
      </c>
      <c r="BS80" s="5">
        <v>75081</v>
      </c>
      <c r="BT80" s="2">
        <v>141429.12</v>
      </c>
      <c r="BU80" s="2">
        <v>141430.12</v>
      </c>
      <c r="BV80" t="s">
        <v>105</v>
      </c>
      <c r="BW80" s="2">
        <v>136552</v>
      </c>
      <c r="BX80" t="s">
        <v>105</v>
      </c>
      <c r="BZ80" t="s">
        <v>167</v>
      </c>
      <c r="CA80" t="str">
        <f t="shared" si="6"/>
        <v>7/1/2020 - 6/30/2021</v>
      </c>
      <c r="CF80">
        <v>1</v>
      </c>
      <c r="CG80" t="s">
        <v>98</v>
      </c>
      <c r="CH80" t="s">
        <v>98</v>
      </c>
      <c r="CI80" t="s">
        <v>206</v>
      </c>
      <c r="CJ80" t="s">
        <v>98</v>
      </c>
      <c r="CK80" t="s">
        <v>12323</v>
      </c>
      <c r="CL80" t="s">
        <v>108</v>
      </c>
      <c r="CM80" t="s">
        <v>109</v>
      </c>
      <c r="CN80" t="str">
        <f>""</f>
        <v/>
      </c>
      <c r="CO80" t="str">
        <f>""</f>
        <v/>
      </c>
      <c r="CP80" t="str">
        <f>""</f>
        <v/>
      </c>
      <c r="CQ80" t="str">
        <f>""</f>
        <v/>
      </c>
    </row>
    <row r="81" spans="1:96" x14ac:dyDescent="0.2">
      <c r="A81" t="s">
        <v>8085</v>
      </c>
      <c r="B81" t="s">
        <v>96</v>
      </c>
      <c r="C81" s="1">
        <v>44098</v>
      </c>
      <c r="D81" s="1">
        <v>44105</v>
      </c>
      <c r="F81" t="s">
        <v>97</v>
      </c>
      <c r="G81" t="str">
        <f>"Cloud Engineer"</f>
        <v>Cloud Engineer</v>
      </c>
      <c r="H81" t="s">
        <v>12169</v>
      </c>
      <c r="I81" t="s">
        <v>124</v>
      </c>
      <c r="J81" t="s">
        <v>98</v>
      </c>
      <c r="K81" s="1">
        <v>44105</v>
      </c>
      <c r="L81" s="1">
        <v>45199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5888</v>
      </c>
      <c r="U81" t="str">
        <f>""</f>
        <v/>
      </c>
      <c r="V81" t="s">
        <v>5889</v>
      </c>
      <c r="W81" t="str">
        <f>"Suite D1"</f>
        <v>Suite D1</v>
      </c>
      <c r="X81" t="s">
        <v>3676</v>
      </c>
      <c r="Y81" t="s">
        <v>100</v>
      </c>
      <c r="Z81" s="3">
        <v>8859</v>
      </c>
      <c r="AA81" t="s">
        <v>101</v>
      </c>
      <c r="AC81" s="4" t="str">
        <f>"+17324167646"</f>
        <v>+17324167646</v>
      </c>
      <c r="AE81" t="str">
        <f>"541511"</f>
        <v>541511</v>
      </c>
      <c r="AF81" t="s">
        <v>208</v>
      </c>
      <c r="AG81" t="s">
        <v>5890</v>
      </c>
      <c r="AI81" t="s">
        <v>298</v>
      </c>
      <c r="AJ81" t="s">
        <v>5889</v>
      </c>
      <c r="AK81" t="str">
        <f>"Suite D1"</f>
        <v>Suite D1</v>
      </c>
      <c r="AL81" t="s">
        <v>3676</v>
      </c>
      <c r="AM81" t="s">
        <v>100</v>
      </c>
      <c r="AN81" s="3">
        <v>8859</v>
      </c>
      <c r="AO81" t="s">
        <v>101</v>
      </c>
      <c r="AQ81" t="str">
        <f>"+17324167646"</f>
        <v>+17324167646</v>
      </c>
      <c r="AS81" t="s">
        <v>5891</v>
      </c>
      <c r="AT81" t="s">
        <v>107</v>
      </c>
      <c r="AU81" t="str">
        <f>"Nalliah"</f>
        <v>Nalliah</v>
      </c>
      <c r="AV81" t="str">
        <f>"Rajaguru"</f>
        <v>Rajaguru</v>
      </c>
      <c r="AW81" t="str">
        <f>""</f>
        <v/>
      </c>
      <c r="AX81" t="str">
        <f>"1231 Green way Drive "</f>
        <v xml:space="preserve">1231 Green way Drive </v>
      </c>
      <c r="AY81" t="str">
        <f>"Suite 210"</f>
        <v>Suite 210</v>
      </c>
      <c r="AZ81" t="str">
        <f>"Irving"</f>
        <v>Irving</v>
      </c>
      <c r="BA81" t="str">
        <f>"TX"</f>
        <v>TX</v>
      </c>
      <c r="BB81" s="3">
        <v>75038</v>
      </c>
      <c r="BC81" t="str">
        <f>"UNITED STATES OF AMERICA"</f>
        <v>UNITED STATES OF AMERICA</v>
      </c>
      <c r="BD81" t="str">
        <f>""</f>
        <v/>
      </c>
      <c r="BE81" t="str">
        <f>"+12489431444"</f>
        <v>+12489431444</v>
      </c>
      <c r="BF81" t="str">
        <f>""</f>
        <v/>
      </c>
      <c r="BG81" t="str">
        <f>"LCA@IMMLAWS.COM"</f>
        <v>LCA@IMMLAWS.COM</v>
      </c>
      <c r="BH81" t="str">
        <f>"IMM Laws"</f>
        <v>IMM Laws</v>
      </c>
      <c r="BI81" t="str">
        <f>"OH"</f>
        <v>OH</v>
      </c>
      <c r="BJ81" t="str">
        <f>"Supreme court of Ohio"</f>
        <v>Supreme court of Ohio</v>
      </c>
      <c r="BK81">
        <v>1</v>
      </c>
      <c r="BL81" t="s">
        <v>107</v>
      </c>
      <c r="BM81" t="str">
        <f>"Citizens Bank"</f>
        <v>Citizens Bank</v>
      </c>
      <c r="BN81" t="s">
        <v>8086</v>
      </c>
      <c r="BP81" t="s">
        <v>8087</v>
      </c>
      <c r="BQ81" t="s">
        <v>2947</v>
      </c>
      <c r="BR81" t="s">
        <v>857</v>
      </c>
      <c r="BS81" s="5">
        <v>2919</v>
      </c>
      <c r="BT81" s="2">
        <v>90418</v>
      </c>
      <c r="BV81" t="s">
        <v>105</v>
      </c>
      <c r="BW81" s="2">
        <v>90418</v>
      </c>
      <c r="BX81" t="s">
        <v>105</v>
      </c>
      <c r="BZ81" t="s">
        <v>167</v>
      </c>
      <c r="CA81" t="str">
        <f t="shared" si="6"/>
        <v>7/1/2020 - 6/30/2021</v>
      </c>
      <c r="CF81">
        <v>1</v>
      </c>
      <c r="CG81" t="s">
        <v>98</v>
      </c>
      <c r="CH81" t="s">
        <v>98</v>
      </c>
      <c r="CI81" t="s">
        <v>206</v>
      </c>
      <c r="CJ81" t="s">
        <v>98</v>
      </c>
      <c r="CK81" t="s">
        <v>12323</v>
      </c>
      <c r="CL81" t="s">
        <v>108</v>
      </c>
      <c r="CM81" t="s">
        <v>109</v>
      </c>
      <c r="CN81" t="str">
        <f>"Nalliah"</f>
        <v>Nalliah</v>
      </c>
      <c r="CO81" t="str">
        <f>"Rajaguru"</f>
        <v>Rajaguru</v>
      </c>
      <c r="CP81" t="str">
        <f>""</f>
        <v/>
      </c>
      <c r="CQ81" t="str">
        <f>"Immlaws"</f>
        <v>Immlaws</v>
      </c>
      <c r="CR81" t="s">
        <v>2914</v>
      </c>
    </row>
    <row r="82" spans="1:96" x14ac:dyDescent="0.2">
      <c r="A82" t="s">
        <v>8164</v>
      </c>
      <c r="B82" t="s">
        <v>96</v>
      </c>
      <c r="C82" s="1">
        <v>44098</v>
      </c>
      <c r="D82" s="1">
        <v>44105</v>
      </c>
      <c r="F82" t="s">
        <v>97</v>
      </c>
      <c r="G82" t="str">
        <f>"Senior Project Manager - US "</f>
        <v xml:space="preserve">Senior Project Manager - US </v>
      </c>
      <c r="H82" t="s">
        <v>12168</v>
      </c>
      <c r="I82" t="s">
        <v>367</v>
      </c>
      <c r="J82" t="s">
        <v>98</v>
      </c>
      <c r="K82" s="1">
        <v>44109</v>
      </c>
      <c r="L82" s="1">
        <v>45201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723</v>
      </c>
      <c r="U82" t="str">
        <f>""</f>
        <v/>
      </c>
      <c r="V82" t="s">
        <v>724</v>
      </c>
      <c r="W82" t="str">
        <f>"STE C150"</f>
        <v>STE C150</v>
      </c>
      <c r="X82" t="s">
        <v>725</v>
      </c>
      <c r="Y82" t="s">
        <v>114</v>
      </c>
      <c r="Z82" s="3">
        <v>75082</v>
      </c>
      <c r="AA82" t="s">
        <v>101</v>
      </c>
      <c r="AC82" s="4" t="str">
        <f>"+12143062100"</f>
        <v>+12143062100</v>
      </c>
      <c r="AE82" t="str">
        <f>"541511"</f>
        <v>541511</v>
      </c>
      <c r="AF82" t="s">
        <v>726</v>
      </c>
      <c r="AG82" t="s">
        <v>727</v>
      </c>
      <c r="AI82" t="s">
        <v>728</v>
      </c>
      <c r="AJ82" t="s">
        <v>724</v>
      </c>
      <c r="AK82" t="str">
        <f>"STE C150"</f>
        <v>STE C150</v>
      </c>
      <c r="AL82" t="s">
        <v>725</v>
      </c>
      <c r="AM82" t="s">
        <v>114</v>
      </c>
      <c r="AN82" s="3">
        <v>75082</v>
      </c>
      <c r="AO82" t="s">
        <v>101</v>
      </c>
      <c r="AQ82" t="str">
        <f>"+12143062100"</f>
        <v>+12143062100</v>
      </c>
      <c r="AS82" t="s">
        <v>729</v>
      </c>
      <c r="AT82" t="s">
        <v>102</v>
      </c>
      <c r="AU82" t="str">
        <f>""</f>
        <v/>
      </c>
      <c r="AV82" t="str">
        <f>""</f>
        <v/>
      </c>
      <c r="AW82" t="str">
        <f>""</f>
        <v/>
      </c>
      <c r="AX82" t="str">
        <f>""</f>
        <v/>
      </c>
      <c r="AY82" t="str">
        <f>""</f>
        <v/>
      </c>
      <c r="AZ82" t="str">
        <f>""</f>
        <v/>
      </c>
      <c r="BA82" t="str">
        <f>""</f>
        <v/>
      </c>
      <c r="BC82" t="str">
        <f>""</f>
        <v/>
      </c>
      <c r="BD82" t="str">
        <f>""</f>
        <v/>
      </c>
      <c r="BE82" t="str">
        <f>""</f>
        <v/>
      </c>
      <c r="BF82" t="str">
        <f>""</f>
        <v/>
      </c>
      <c r="BG82" t="str">
        <f>""</f>
        <v/>
      </c>
      <c r="BH82" t="str">
        <f>""</f>
        <v/>
      </c>
      <c r="BI82" t="str">
        <f>""</f>
        <v/>
      </c>
      <c r="BJ82" t="str">
        <f>""</f>
        <v/>
      </c>
      <c r="BK82">
        <v>1</v>
      </c>
      <c r="BL82" t="s">
        <v>107</v>
      </c>
      <c r="BM82" t="str">
        <f>"Citizens Bank"</f>
        <v>Citizens Bank</v>
      </c>
      <c r="BN82" t="s">
        <v>8165</v>
      </c>
      <c r="BP82" t="s">
        <v>1068</v>
      </c>
      <c r="BQ82" t="s">
        <v>2947</v>
      </c>
      <c r="BR82" t="s">
        <v>857</v>
      </c>
      <c r="BS82" s="5">
        <v>2919</v>
      </c>
      <c r="BT82" s="2">
        <v>98654</v>
      </c>
      <c r="BV82" t="s">
        <v>105</v>
      </c>
      <c r="BW82" s="2">
        <v>98654</v>
      </c>
      <c r="BX82" t="s">
        <v>105</v>
      </c>
      <c r="BZ82" t="s">
        <v>159</v>
      </c>
      <c r="CA82" t="str">
        <f t="shared" si="6"/>
        <v>7/1/2020 - 6/30/2021</v>
      </c>
      <c r="CF82">
        <v>2</v>
      </c>
      <c r="CG82" t="s">
        <v>98</v>
      </c>
      <c r="CH82" t="s">
        <v>98</v>
      </c>
      <c r="CI82" t="s">
        <v>206</v>
      </c>
      <c r="CJ82" t="s">
        <v>98</v>
      </c>
      <c r="CK82" t="s">
        <v>12323</v>
      </c>
      <c r="CL82" t="s">
        <v>108</v>
      </c>
      <c r="CM82" t="s">
        <v>109</v>
      </c>
      <c r="CN82" t="str">
        <f>"JAYARAM"</f>
        <v>JAYARAM</v>
      </c>
      <c r="CO82" t="str">
        <f>"SUSHMA"</f>
        <v>SUSHMA</v>
      </c>
      <c r="CP82" t="str">
        <f>""</f>
        <v/>
      </c>
      <c r="CQ82" t="str">
        <f>"INFOSYS LIMITED"</f>
        <v>INFOSYS LIMITED</v>
      </c>
      <c r="CR82" t="s">
        <v>3699</v>
      </c>
    </row>
    <row r="83" spans="1:96" x14ac:dyDescent="0.2">
      <c r="A83" t="s">
        <v>8169</v>
      </c>
      <c r="B83" t="s">
        <v>96</v>
      </c>
      <c r="C83" s="1">
        <v>44098</v>
      </c>
      <c r="D83" s="1">
        <v>44105</v>
      </c>
      <c r="F83" t="s">
        <v>97</v>
      </c>
      <c r="G83" t="str">
        <f>"Program Management 3"</f>
        <v>Program Management 3</v>
      </c>
      <c r="H83" t="s">
        <v>12168</v>
      </c>
      <c r="I83" t="s">
        <v>367</v>
      </c>
      <c r="J83" t="s">
        <v>98</v>
      </c>
      <c r="K83" s="1">
        <v>44111</v>
      </c>
      <c r="L83" s="1">
        <v>45205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8170</v>
      </c>
      <c r="U83" t="str">
        <f>""</f>
        <v/>
      </c>
      <c r="V83" t="s">
        <v>8171</v>
      </c>
      <c r="W83" t="str">
        <f>""</f>
        <v/>
      </c>
      <c r="X83" t="s">
        <v>8172</v>
      </c>
      <c r="Y83" t="s">
        <v>190</v>
      </c>
      <c r="Z83" s="3">
        <v>10573</v>
      </c>
      <c r="AA83" t="s">
        <v>101</v>
      </c>
      <c r="AC83" s="4" t="str">
        <f>"+14083764956"</f>
        <v>+14083764956</v>
      </c>
      <c r="AE83" t="str">
        <f>"541613"</f>
        <v>541613</v>
      </c>
      <c r="AF83" t="s">
        <v>1268</v>
      </c>
      <c r="AG83" t="s">
        <v>1269</v>
      </c>
      <c r="AI83" t="s">
        <v>254</v>
      </c>
      <c r="AJ83" t="s">
        <v>1267</v>
      </c>
      <c r="AK83" t="str">
        <f>""</f>
        <v/>
      </c>
      <c r="AL83" t="s">
        <v>585</v>
      </c>
      <c r="AM83" t="s">
        <v>141</v>
      </c>
      <c r="AN83" s="3">
        <v>95125</v>
      </c>
      <c r="AO83" t="s">
        <v>101</v>
      </c>
      <c r="AQ83" t="str">
        <f>"+14083768590"</f>
        <v>+14083768590</v>
      </c>
      <c r="AR83">
        <v>0</v>
      </c>
      <c r="AS83" t="s">
        <v>1270</v>
      </c>
      <c r="AT83" t="s">
        <v>107</v>
      </c>
      <c r="AU83" t="str">
        <f>"Jung"</f>
        <v>Jung</v>
      </c>
      <c r="AV83" t="str">
        <f>"David"</f>
        <v>David</v>
      </c>
      <c r="AW83" t="str">
        <f>""</f>
        <v/>
      </c>
      <c r="AX83" t="str">
        <f>"2101 Wilson Blvd."</f>
        <v>2101 Wilson Blvd.</v>
      </c>
      <c r="AY83" t="str">
        <f>"Suite 1100"</f>
        <v>Suite 1100</v>
      </c>
      <c r="AZ83" t="str">
        <f>"Arlington"</f>
        <v>Arlington</v>
      </c>
      <c r="BA83" t="str">
        <f>"VA"</f>
        <v>VA</v>
      </c>
      <c r="BB83" s="3">
        <v>22201</v>
      </c>
      <c r="BC83" t="str">
        <f>"UNITED STATES OF AMERICA"</f>
        <v>UNITED STATES OF AMERICA</v>
      </c>
      <c r="BD83" t="str">
        <f>""</f>
        <v/>
      </c>
      <c r="BE83" t="str">
        <f>"+17036784000"</f>
        <v>+17036784000</v>
      </c>
      <c r="BF83" t="str">
        <f>""</f>
        <v/>
      </c>
      <c r="BG83" t="str">
        <f>"david@eiglaw.com"</f>
        <v>david@eiglaw.com</v>
      </c>
      <c r="BH83" t="str">
        <f>"Erickson Immigration Group"</f>
        <v>Erickson Immigration Group</v>
      </c>
      <c r="BI83" t="str">
        <f>"TN"</f>
        <v>TN</v>
      </c>
      <c r="BJ83" t="str">
        <f>"Supreme Court"</f>
        <v>Supreme Court</v>
      </c>
      <c r="BK83">
        <v>1</v>
      </c>
      <c r="BL83" t="s">
        <v>102</v>
      </c>
      <c r="BM83" t="str">
        <f>""</f>
        <v/>
      </c>
      <c r="BN83" t="s">
        <v>8171</v>
      </c>
      <c r="BP83" t="s">
        <v>8172</v>
      </c>
      <c r="BQ83" t="s">
        <v>2066</v>
      </c>
      <c r="BR83" t="s">
        <v>190</v>
      </c>
      <c r="BS83" s="5">
        <v>10573</v>
      </c>
      <c r="BT83" s="2">
        <v>115894.84</v>
      </c>
      <c r="BV83" t="s">
        <v>105</v>
      </c>
      <c r="BW83" s="2">
        <v>91374</v>
      </c>
      <c r="BX83" t="s">
        <v>105</v>
      </c>
      <c r="BZ83" t="s">
        <v>123</v>
      </c>
      <c r="CA83" t="str">
        <f t="shared" si="6"/>
        <v>7/1/2020 - 6/30/2021</v>
      </c>
      <c r="CF83">
        <v>2</v>
      </c>
      <c r="CG83" t="s">
        <v>98</v>
      </c>
      <c r="CH83" t="s">
        <v>98</v>
      </c>
      <c r="CI83" t="s">
        <v>206</v>
      </c>
      <c r="CJ83" t="s">
        <v>98</v>
      </c>
      <c r="CK83" t="s">
        <v>12323</v>
      </c>
      <c r="CL83" t="s">
        <v>108</v>
      </c>
      <c r="CM83" t="s">
        <v>109</v>
      </c>
      <c r="CN83" t="str">
        <f>"KOUWENAAR"</f>
        <v>KOUWENAAR</v>
      </c>
      <c r="CO83" t="str">
        <f>"DAVITA"</f>
        <v>DAVITA</v>
      </c>
      <c r="CP83" t="str">
        <f>"W"</f>
        <v>W</v>
      </c>
      <c r="CQ83" t="str">
        <f>"ERICKSON IMMIGRATION GROUP"</f>
        <v>ERICKSON IMMIGRATION GROUP</v>
      </c>
      <c r="CR83" t="s">
        <v>2858</v>
      </c>
    </row>
    <row r="84" spans="1:96" x14ac:dyDescent="0.2">
      <c r="A84" t="s">
        <v>8242</v>
      </c>
      <c r="B84" t="s">
        <v>96</v>
      </c>
      <c r="C84" s="1">
        <v>44098</v>
      </c>
      <c r="D84" s="1">
        <v>44105</v>
      </c>
      <c r="F84" t="s">
        <v>97</v>
      </c>
      <c r="G84" t="str">
        <f>"Software Developer"</f>
        <v>Software Developer</v>
      </c>
      <c r="H84" t="s">
        <v>12169</v>
      </c>
      <c r="I84" t="s">
        <v>124</v>
      </c>
      <c r="J84" t="s">
        <v>98</v>
      </c>
      <c r="K84" s="1">
        <v>44099</v>
      </c>
      <c r="L84" s="1">
        <v>45193</v>
      </c>
      <c r="M84">
        <v>6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 t="s">
        <v>2509</v>
      </c>
      <c r="U84" t="str">
        <f>"Mastech Digital InfoTech, Inc."</f>
        <v>Mastech Digital InfoTech, Inc.</v>
      </c>
      <c r="V84" t="s">
        <v>1081</v>
      </c>
      <c r="W84" t="str">
        <f>"Bldg. 210, Suite 400"</f>
        <v>Bldg. 210, Suite 400</v>
      </c>
      <c r="X84" t="s">
        <v>1082</v>
      </c>
      <c r="Y84" t="s">
        <v>127</v>
      </c>
      <c r="Z84" s="3">
        <v>15108</v>
      </c>
      <c r="AA84" t="s">
        <v>101</v>
      </c>
      <c r="AB84" t="s">
        <v>2510</v>
      </c>
      <c r="AC84" s="4" t="str">
        <f>"+14127879553"</f>
        <v>+14127879553</v>
      </c>
      <c r="AE84" t="str">
        <f>"541511"</f>
        <v>541511</v>
      </c>
      <c r="AF84" t="s">
        <v>1083</v>
      </c>
      <c r="AG84" t="s">
        <v>1084</v>
      </c>
      <c r="AI84" t="s">
        <v>1085</v>
      </c>
      <c r="AJ84" t="s">
        <v>1081</v>
      </c>
      <c r="AK84" t="str">
        <f>"Bldg. 210, Ste 400"</f>
        <v>Bldg. 210, Ste 400</v>
      </c>
      <c r="AL84" t="s">
        <v>1082</v>
      </c>
      <c r="AM84" t="s">
        <v>127</v>
      </c>
      <c r="AN84" s="3">
        <v>15108</v>
      </c>
      <c r="AO84" t="s">
        <v>101</v>
      </c>
      <c r="AQ84" t="str">
        <f>"+14127879553"</f>
        <v>+14127879553</v>
      </c>
      <c r="AS84" t="s">
        <v>1086</v>
      </c>
      <c r="AT84" t="s">
        <v>102</v>
      </c>
      <c r="AU84" t="str">
        <f>""</f>
        <v/>
      </c>
      <c r="AV84" t="str">
        <f>""</f>
        <v/>
      </c>
      <c r="AW84" t="str">
        <f>""</f>
        <v/>
      </c>
      <c r="AX84" t="str">
        <f>""</f>
        <v/>
      </c>
      <c r="AY84" t="str">
        <f>""</f>
        <v/>
      </c>
      <c r="AZ84" t="str">
        <f>""</f>
        <v/>
      </c>
      <c r="BA84" t="str">
        <f>""</f>
        <v/>
      </c>
      <c r="BC84" t="str">
        <f>""</f>
        <v/>
      </c>
      <c r="BD84" t="str">
        <f>""</f>
        <v/>
      </c>
      <c r="BE84" t="str">
        <f>""</f>
        <v/>
      </c>
      <c r="BF84" t="str">
        <f>""</f>
        <v/>
      </c>
      <c r="BG84" t="str">
        <f>""</f>
        <v/>
      </c>
      <c r="BH84" t="str">
        <f>""</f>
        <v/>
      </c>
      <c r="BI84" t="str">
        <f>""</f>
        <v/>
      </c>
      <c r="BJ84" t="str">
        <f>""</f>
        <v/>
      </c>
      <c r="BK84">
        <v>6</v>
      </c>
      <c r="BL84" t="s">
        <v>107</v>
      </c>
      <c r="BM84" t="str">
        <f>"PNC Bank"</f>
        <v>PNC Bank</v>
      </c>
      <c r="BN84" t="s">
        <v>7531</v>
      </c>
      <c r="BP84" t="s">
        <v>1647</v>
      </c>
      <c r="BQ84" t="s">
        <v>1087</v>
      </c>
      <c r="BR84" t="s">
        <v>225</v>
      </c>
      <c r="BS84" s="5">
        <v>44135</v>
      </c>
      <c r="BT84" s="2">
        <v>70678</v>
      </c>
      <c r="BU84" s="2">
        <v>85678</v>
      </c>
      <c r="BV84" t="s">
        <v>105</v>
      </c>
      <c r="BW84" s="2">
        <v>70678</v>
      </c>
      <c r="BX84" t="s">
        <v>105</v>
      </c>
      <c r="BZ84" t="s">
        <v>167</v>
      </c>
      <c r="CA84" t="str">
        <f t="shared" si="6"/>
        <v>7/1/2020 - 6/30/2021</v>
      </c>
      <c r="CF84">
        <v>2</v>
      </c>
      <c r="CG84" t="s">
        <v>98</v>
      </c>
      <c r="CH84" t="s">
        <v>98</v>
      </c>
      <c r="CI84" t="s">
        <v>206</v>
      </c>
      <c r="CJ84" t="s">
        <v>98</v>
      </c>
      <c r="CK84" t="s">
        <v>12323</v>
      </c>
      <c r="CL84" t="s">
        <v>108</v>
      </c>
      <c r="CM84" t="s">
        <v>109</v>
      </c>
      <c r="CN84" t="str">
        <f>""</f>
        <v/>
      </c>
      <c r="CO84" t="str">
        <f>""</f>
        <v/>
      </c>
      <c r="CP84" t="str">
        <f>""</f>
        <v/>
      </c>
      <c r="CQ84" t="str">
        <f>""</f>
        <v/>
      </c>
    </row>
    <row r="85" spans="1:96" x14ac:dyDescent="0.2">
      <c r="A85" t="s">
        <v>8243</v>
      </c>
      <c r="B85" t="s">
        <v>96</v>
      </c>
      <c r="C85" s="1">
        <v>44098</v>
      </c>
      <c r="D85" s="1">
        <v>44105</v>
      </c>
      <c r="F85" t="s">
        <v>97</v>
      </c>
      <c r="G85" t="str">
        <f>"Software Developer / Architect"</f>
        <v>Software Developer / Architect</v>
      </c>
      <c r="H85" t="s">
        <v>12169</v>
      </c>
      <c r="I85" t="s">
        <v>124</v>
      </c>
      <c r="J85" t="s">
        <v>98</v>
      </c>
      <c r="K85" s="1">
        <v>44211</v>
      </c>
      <c r="L85" s="1">
        <v>45305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t="s">
        <v>2838</v>
      </c>
      <c r="U85" t="str">
        <f>""</f>
        <v/>
      </c>
      <c r="V85" t="s">
        <v>446</v>
      </c>
      <c r="W85" t="str">
        <f>"Suite 600"</f>
        <v>Suite 600</v>
      </c>
      <c r="X85" t="s">
        <v>447</v>
      </c>
      <c r="Y85" t="s">
        <v>100</v>
      </c>
      <c r="Z85" s="3">
        <v>8830</v>
      </c>
      <c r="AA85" t="s">
        <v>101</v>
      </c>
      <c r="AC85" s="4" t="str">
        <f>"+16094096957"</f>
        <v>+16094096957</v>
      </c>
      <c r="AE85" t="str">
        <f>"541512"</f>
        <v>541512</v>
      </c>
      <c r="AF85" t="s">
        <v>448</v>
      </c>
      <c r="AG85" t="s">
        <v>449</v>
      </c>
      <c r="AI85" t="s">
        <v>3983</v>
      </c>
      <c r="AJ85" t="s">
        <v>446</v>
      </c>
      <c r="AK85" t="str">
        <f>"Ste. 600"</f>
        <v>Ste. 600</v>
      </c>
      <c r="AL85" t="s">
        <v>447</v>
      </c>
      <c r="AM85" t="s">
        <v>100</v>
      </c>
      <c r="AN85" s="3">
        <v>8830</v>
      </c>
      <c r="AO85" t="s">
        <v>101</v>
      </c>
      <c r="AQ85" t="str">
        <f>"+16094092214"</f>
        <v>+16094092214</v>
      </c>
      <c r="AS85" t="s">
        <v>2839</v>
      </c>
      <c r="AT85" t="s">
        <v>107</v>
      </c>
      <c r="AU85" t="str">
        <f>"Chothani"</f>
        <v>Chothani</v>
      </c>
      <c r="AV85" t="str">
        <f>"Poorvi"</f>
        <v>Poorvi</v>
      </c>
      <c r="AW85" t="str">
        <f>"Rohit"</f>
        <v>Rohit</v>
      </c>
      <c r="AX85" t="str">
        <f>"244 Madison Ave."</f>
        <v>244 Madison Ave.</v>
      </c>
      <c r="AY85" t="str">
        <f>"Suite 2350"</f>
        <v>Suite 2350</v>
      </c>
      <c r="AZ85" t="str">
        <f>"New York"</f>
        <v>New York</v>
      </c>
      <c r="BA85" t="str">
        <f>"NY"</f>
        <v>NY</v>
      </c>
      <c r="BB85" s="3">
        <v>10016</v>
      </c>
      <c r="BC85" t="str">
        <f>"UNITED STATES OF AMERICA"</f>
        <v>UNITED STATES OF AMERICA</v>
      </c>
      <c r="BD85" t="str">
        <f>""</f>
        <v/>
      </c>
      <c r="BE85" t="str">
        <f>"+16464190933"</f>
        <v>+16464190933</v>
      </c>
      <c r="BF85" t="str">
        <f>""</f>
        <v/>
      </c>
      <c r="BG85" t="str">
        <f>"gov@poorvichothani.com"</f>
        <v>gov@poorvichothani.com</v>
      </c>
      <c r="BH85" t="str">
        <f>"The Law Office of Poorvi Chothani, PLLC"</f>
        <v>The Law Office of Poorvi Chothani, PLLC</v>
      </c>
      <c r="BI85" t="str">
        <f>"NY"</f>
        <v>NY</v>
      </c>
      <c r="BJ85" t="str">
        <f>"NY Court of Appeals"</f>
        <v>NY Court of Appeals</v>
      </c>
      <c r="BK85">
        <v>1</v>
      </c>
      <c r="BL85" t="s">
        <v>107</v>
      </c>
      <c r="BM85" t="str">
        <f>"Cambia Health Solutions"</f>
        <v>Cambia Health Solutions</v>
      </c>
      <c r="BN85" t="s">
        <v>8244</v>
      </c>
      <c r="BP85" t="s">
        <v>5775</v>
      </c>
      <c r="BQ85" t="s">
        <v>2769</v>
      </c>
      <c r="BR85" t="s">
        <v>814</v>
      </c>
      <c r="BS85" s="5">
        <v>97201</v>
      </c>
      <c r="BT85" s="2">
        <v>92480</v>
      </c>
      <c r="BU85" s="2">
        <v>99480</v>
      </c>
      <c r="BV85" t="s">
        <v>105</v>
      </c>
      <c r="BW85" s="2">
        <v>90979</v>
      </c>
      <c r="BX85" t="s">
        <v>105</v>
      </c>
      <c r="BZ85" t="s">
        <v>167</v>
      </c>
      <c r="CA85" t="str">
        <f t="shared" si="6"/>
        <v>7/1/2020 - 6/30/2021</v>
      </c>
      <c r="CF85">
        <v>2</v>
      </c>
      <c r="CG85" t="s">
        <v>98</v>
      </c>
      <c r="CH85" t="s">
        <v>98</v>
      </c>
      <c r="CI85" t="s">
        <v>206</v>
      </c>
      <c r="CJ85" t="s">
        <v>98</v>
      </c>
      <c r="CK85" t="s">
        <v>12323</v>
      </c>
      <c r="CL85" t="s">
        <v>108</v>
      </c>
      <c r="CM85" t="s">
        <v>718</v>
      </c>
      <c r="CN85" t="str">
        <f>"Chothani"</f>
        <v>Chothani</v>
      </c>
      <c r="CO85" t="str">
        <f>"Poorvi"</f>
        <v>Poorvi</v>
      </c>
      <c r="CP85" t="str">
        <f>"R"</f>
        <v>R</v>
      </c>
      <c r="CQ85" t="str">
        <f>"The Law Office of Poorvi Chothani, PLLC"</f>
        <v>The Law Office of Poorvi Chothani, PLLC</v>
      </c>
      <c r="CR85" t="s">
        <v>455</v>
      </c>
    </row>
    <row r="86" spans="1:96" x14ac:dyDescent="0.2">
      <c r="A86" t="s">
        <v>8330</v>
      </c>
      <c r="B86" t="s">
        <v>96</v>
      </c>
      <c r="C86" s="1">
        <v>44098</v>
      </c>
      <c r="D86" s="1">
        <v>44105</v>
      </c>
      <c r="F86" t="s">
        <v>97</v>
      </c>
      <c r="G86" t="str">
        <f>"IT Project Managers - III"</f>
        <v>IT Project Managers - III</v>
      </c>
      <c r="H86" t="s">
        <v>12168</v>
      </c>
      <c r="I86" t="s">
        <v>367</v>
      </c>
      <c r="J86" t="s">
        <v>98</v>
      </c>
      <c r="K86" s="1">
        <v>44098</v>
      </c>
      <c r="L86" s="1">
        <v>45192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669</v>
      </c>
      <c r="U86" t="str">
        <f>""</f>
        <v/>
      </c>
      <c r="V86" t="s">
        <v>670</v>
      </c>
      <c r="W86" t="str">
        <f>""</f>
        <v/>
      </c>
      <c r="X86" t="s">
        <v>671</v>
      </c>
      <c r="Y86" t="s">
        <v>141</v>
      </c>
      <c r="Z86" s="3">
        <v>94085</v>
      </c>
      <c r="AA86" t="s">
        <v>101</v>
      </c>
      <c r="AC86" s="4" t="str">
        <f>"+14087330480"</f>
        <v>+14087330480</v>
      </c>
      <c r="AE86" t="str">
        <f t="shared" ref="AE86:AE91" si="7">"541511"</f>
        <v>541511</v>
      </c>
      <c r="AF86" t="s">
        <v>672</v>
      </c>
      <c r="AG86" t="s">
        <v>673</v>
      </c>
      <c r="AI86" t="s">
        <v>674</v>
      </c>
      <c r="AJ86" t="s">
        <v>670</v>
      </c>
      <c r="AK86" t="str">
        <f>""</f>
        <v/>
      </c>
      <c r="AL86" t="s">
        <v>671</v>
      </c>
      <c r="AM86" t="s">
        <v>141</v>
      </c>
      <c r="AN86" s="3">
        <v>94085</v>
      </c>
      <c r="AO86" t="s">
        <v>101</v>
      </c>
      <c r="AQ86" t="str">
        <f>"+14087330480"</f>
        <v>+14087330480</v>
      </c>
      <c r="AS86" t="s">
        <v>675</v>
      </c>
      <c r="AT86" t="s">
        <v>102</v>
      </c>
      <c r="AU86" t="str">
        <f>""</f>
        <v/>
      </c>
      <c r="AV86" t="str">
        <f>""</f>
        <v/>
      </c>
      <c r="AW86" t="str">
        <f>""</f>
        <v/>
      </c>
      <c r="AX86" t="str">
        <f>""</f>
        <v/>
      </c>
      <c r="AY86" t="str">
        <f>""</f>
        <v/>
      </c>
      <c r="AZ86" t="str">
        <f>""</f>
        <v/>
      </c>
      <c r="BA86" t="str">
        <f>""</f>
        <v/>
      </c>
      <c r="BC86" t="str">
        <f>""</f>
        <v/>
      </c>
      <c r="BD86" t="str">
        <f>""</f>
        <v/>
      </c>
      <c r="BE86" t="str">
        <f>""</f>
        <v/>
      </c>
      <c r="BF86" t="str">
        <f>""</f>
        <v/>
      </c>
      <c r="BG86" t="str">
        <f>""</f>
        <v/>
      </c>
      <c r="BH86" t="str">
        <f>""</f>
        <v/>
      </c>
      <c r="BI86" t="str">
        <f>""</f>
        <v/>
      </c>
      <c r="BJ86" t="str">
        <f>""</f>
        <v/>
      </c>
      <c r="BK86">
        <v>1</v>
      </c>
      <c r="BL86" t="s">
        <v>102</v>
      </c>
      <c r="BM86" t="str">
        <f>""</f>
        <v/>
      </c>
      <c r="BN86" t="s">
        <v>8331</v>
      </c>
      <c r="BP86" t="s">
        <v>213</v>
      </c>
      <c r="BQ86" t="s">
        <v>214</v>
      </c>
      <c r="BR86" t="s">
        <v>215</v>
      </c>
      <c r="BS86" s="5">
        <v>30327</v>
      </c>
      <c r="BT86" s="2">
        <v>137363</v>
      </c>
      <c r="BV86" t="s">
        <v>105</v>
      </c>
      <c r="BW86" s="2">
        <v>94453</v>
      </c>
      <c r="BX86" t="s">
        <v>105</v>
      </c>
      <c r="BZ86" t="s">
        <v>123</v>
      </c>
      <c r="CA86" t="str">
        <f t="shared" si="6"/>
        <v>7/1/2020 - 6/30/2021</v>
      </c>
      <c r="CF86">
        <v>1</v>
      </c>
      <c r="CG86" t="s">
        <v>98</v>
      </c>
      <c r="CH86" t="s">
        <v>98</v>
      </c>
      <c r="CI86" t="s">
        <v>206</v>
      </c>
      <c r="CJ86" t="s">
        <v>98</v>
      </c>
      <c r="CK86" t="s">
        <v>12323</v>
      </c>
      <c r="CL86" t="s">
        <v>108</v>
      </c>
      <c r="CM86" t="s">
        <v>109</v>
      </c>
      <c r="CN86" t="str">
        <f>""</f>
        <v/>
      </c>
      <c r="CO86" t="str">
        <f>""</f>
        <v/>
      </c>
      <c r="CP86" t="str">
        <f>""</f>
        <v/>
      </c>
      <c r="CQ86" t="str">
        <f>""</f>
        <v/>
      </c>
    </row>
    <row r="87" spans="1:96" x14ac:dyDescent="0.2">
      <c r="A87" t="s">
        <v>8384</v>
      </c>
      <c r="B87" t="s">
        <v>96</v>
      </c>
      <c r="C87" s="1">
        <v>44098</v>
      </c>
      <c r="D87" s="1">
        <v>44105</v>
      </c>
      <c r="F87" t="s">
        <v>97</v>
      </c>
      <c r="G87" t="str">
        <f>"Consultant - US "</f>
        <v xml:space="preserve">Consultant - US </v>
      </c>
      <c r="H87" t="s">
        <v>12168</v>
      </c>
      <c r="I87" t="s">
        <v>367</v>
      </c>
      <c r="J87" t="s">
        <v>98</v>
      </c>
      <c r="K87" s="1">
        <v>44166</v>
      </c>
      <c r="L87" s="1">
        <v>45258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723</v>
      </c>
      <c r="U87" t="str">
        <f>""</f>
        <v/>
      </c>
      <c r="V87" t="s">
        <v>724</v>
      </c>
      <c r="W87" t="str">
        <f>"STE C150"</f>
        <v>STE C150</v>
      </c>
      <c r="X87" t="s">
        <v>725</v>
      </c>
      <c r="Y87" t="s">
        <v>114</v>
      </c>
      <c r="Z87" s="3">
        <v>75082</v>
      </c>
      <c r="AA87" t="s">
        <v>101</v>
      </c>
      <c r="AC87" s="4" t="str">
        <f>"+12143062100"</f>
        <v>+12143062100</v>
      </c>
      <c r="AE87" t="str">
        <f t="shared" si="7"/>
        <v>541511</v>
      </c>
      <c r="AF87" t="s">
        <v>726</v>
      </c>
      <c r="AG87" t="s">
        <v>727</v>
      </c>
      <c r="AI87" t="s">
        <v>728</v>
      </c>
      <c r="AJ87" t="s">
        <v>724</v>
      </c>
      <c r="AK87" t="str">
        <f>"STE C150"</f>
        <v>STE C150</v>
      </c>
      <c r="AL87" t="s">
        <v>725</v>
      </c>
      <c r="AM87" t="s">
        <v>114</v>
      </c>
      <c r="AN87" s="3">
        <v>75082</v>
      </c>
      <c r="AO87" t="s">
        <v>101</v>
      </c>
      <c r="AQ87" t="str">
        <f>"+12143062100"</f>
        <v>+12143062100</v>
      </c>
      <c r="AS87" t="s">
        <v>729</v>
      </c>
      <c r="AT87" t="s">
        <v>102</v>
      </c>
      <c r="AU87" t="str">
        <f>""</f>
        <v/>
      </c>
      <c r="AV87" t="str">
        <f>""</f>
        <v/>
      </c>
      <c r="AW87" t="str">
        <f>""</f>
        <v/>
      </c>
      <c r="AX87" t="str">
        <f>""</f>
        <v/>
      </c>
      <c r="AY87" t="str">
        <f>""</f>
        <v/>
      </c>
      <c r="AZ87" t="str">
        <f>""</f>
        <v/>
      </c>
      <c r="BA87" t="str">
        <f>""</f>
        <v/>
      </c>
      <c r="BC87" t="str">
        <f>""</f>
        <v/>
      </c>
      <c r="BD87" t="str">
        <f>""</f>
        <v/>
      </c>
      <c r="BE87" t="str">
        <f>""</f>
        <v/>
      </c>
      <c r="BF87" t="str">
        <f>""</f>
        <v/>
      </c>
      <c r="BG87" t="str">
        <f>""</f>
        <v/>
      </c>
      <c r="BH87" t="str">
        <f>""</f>
        <v/>
      </c>
      <c r="BI87" t="str">
        <f>""</f>
        <v/>
      </c>
      <c r="BJ87" t="str">
        <f>""</f>
        <v/>
      </c>
      <c r="BK87">
        <v>1</v>
      </c>
      <c r="BL87" t="s">
        <v>107</v>
      </c>
      <c r="BM87" t="str">
        <f>"CVS PHARMACY, INC"</f>
        <v>CVS PHARMACY, INC</v>
      </c>
      <c r="BN87" t="s">
        <v>8385</v>
      </c>
      <c r="BP87" t="s">
        <v>299</v>
      </c>
      <c r="BQ87" t="s">
        <v>257</v>
      </c>
      <c r="BR87" t="s">
        <v>258</v>
      </c>
      <c r="BS87" s="5">
        <v>85040</v>
      </c>
      <c r="BT87" s="2">
        <v>68365</v>
      </c>
      <c r="BV87" t="s">
        <v>105</v>
      </c>
      <c r="BW87" s="2">
        <v>66768</v>
      </c>
      <c r="BX87" t="s">
        <v>105</v>
      </c>
      <c r="BZ87" t="s">
        <v>167</v>
      </c>
      <c r="CA87" t="str">
        <f t="shared" si="6"/>
        <v>7/1/2020 - 6/30/2021</v>
      </c>
      <c r="CF87">
        <v>1</v>
      </c>
      <c r="CG87" t="s">
        <v>98</v>
      </c>
      <c r="CH87" t="s">
        <v>98</v>
      </c>
      <c r="CI87" t="s">
        <v>206</v>
      </c>
      <c r="CJ87" t="s">
        <v>98</v>
      </c>
      <c r="CK87" t="s">
        <v>12323</v>
      </c>
      <c r="CL87" t="s">
        <v>108</v>
      </c>
      <c r="CM87" t="s">
        <v>109</v>
      </c>
      <c r="CN87" t="str">
        <f>"Khanum"</f>
        <v>Khanum</v>
      </c>
      <c r="CO87" t="str">
        <f>"Hajeera"</f>
        <v>Hajeera</v>
      </c>
      <c r="CP87" t="str">
        <f>""</f>
        <v/>
      </c>
      <c r="CQ87" t="str">
        <f>"Infosys Limited"</f>
        <v>Infosys Limited</v>
      </c>
      <c r="CR87" t="s">
        <v>900</v>
      </c>
    </row>
    <row r="88" spans="1:96" x14ac:dyDescent="0.2">
      <c r="A88" t="s">
        <v>8396</v>
      </c>
      <c r="B88" t="s">
        <v>96</v>
      </c>
      <c r="C88" s="1">
        <v>44098</v>
      </c>
      <c r="D88" s="1">
        <v>44105</v>
      </c>
      <c r="F88" t="s">
        <v>97</v>
      </c>
      <c r="G88" t="str">
        <f>"Manager-Quality Control"</f>
        <v>Manager-Quality Control</v>
      </c>
      <c r="H88" t="s">
        <v>12168</v>
      </c>
      <c r="I88" t="s">
        <v>722</v>
      </c>
      <c r="J88" t="s">
        <v>98</v>
      </c>
      <c r="K88" s="1">
        <v>44105</v>
      </c>
      <c r="L88" s="1">
        <v>45199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 t="s">
        <v>8397</v>
      </c>
      <c r="U88" t="str">
        <f>""</f>
        <v/>
      </c>
      <c r="V88" t="s">
        <v>4897</v>
      </c>
      <c r="W88" t="str">
        <f>"Suite 3301"</f>
        <v>Suite 3301</v>
      </c>
      <c r="X88" t="s">
        <v>277</v>
      </c>
      <c r="Y88" t="s">
        <v>190</v>
      </c>
      <c r="Z88" s="3">
        <v>10036</v>
      </c>
      <c r="AA88" t="s">
        <v>101</v>
      </c>
      <c r="AC88" s="4" t="str">
        <f>"+19802723983"</f>
        <v>+19802723983</v>
      </c>
      <c r="AE88" t="str">
        <f t="shared" si="7"/>
        <v>541511</v>
      </c>
      <c r="AF88" t="s">
        <v>4898</v>
      </c>
      <c r="AG88" t="s">
        <v>4899</v>
      </c>
      <c r="AI88" t="s">
        <v>5406</v>
      </c>
      <c r="AJ88" t="s">
        <v>8398</v>
      </c>
      <c r="AK88" t="str">
        <f>"Suite 3301"</f>
        <v>Suite 3301</v>
      </c>
      <c r="AL88" t="s">
        <v>295</v>
      </c>
      <c r="AM88" t="s">
        <v>190</v>
      </c>
      <c r="AN88" s="3">
        <v>10036</v>
      </c>
      <c r="AO88" t="s">
        <v>101</v>
      </c>
      <c r="AQ88" t="str">
        <f>"+19802723983"</f>
        <v>+19802723983</v>
      </c>
      <c r="AS88" t="s">
        <v>4900</v>
      </c>
      <c r="AT88" t="s">
        <v>107</v>
      </c>
      <c r="AU88" t="str">
        <f>"Morin"</f>
        <v>Morin</v>
      </c>
      <c r="AV88" t="str">
        <f>"Ashley"</f>
        <v>Ashley</v>
      </c>
      <c r="AW88" t="str">
        <f>""</f>
        <v/>
      </c>
      <c r="AX88" t="str">
        <f>"5250 Corporate Drive "</f>
        <v xml:space="preserve">5250 Corporate Drive </v>
      </c>
      <c r="AY88" t="str">
        <f>"Suite 300 "</f>
        <v xml:space="preserve">Suite 300 </v>
      </c>
      <c r="AZ88" t="str">
        <f>"Troy"</f>
        <v>Troy</v>
      </c>
      <c r="BA88" t="str">
        <f>"MI"</f>
        <v>MI</v>
      </c>
      <c r="BB88" s="3">
        <v>48098</v>
      </c>
      <c r="BC88" t="str">
        <f>"UNITED STATES OF AMERICA"</f>
        <v>UNITED STATES OF AMERICA</v>
      </c>
      <c r="BD88" t="str">
        <f>""</f>
        <v/>
      </c>
      <c r="BE88" t="str">
        <f>"+12486434900"</f>
        <v>+12486434900</v>
      </c>
      <c r="BF88" t="str">
        <f>""</f>
        <v/>
      </c>
      <c r="BG88" t="str">
        <f>"alext@employmentimmigration.com"</f>
        <v>alext@employmentimmigration.com</v>
      </c>
      <c r="BH88" t="str">
        <f>"Fakhoury Global Immigration, USA PC "</f>
        <v xml:space="preserve">Fakhoury Global Immigration, USA PC </v>
      </c>
      <c r="BI88" t="str">
        <f>"IL"</f>
        <v>IL</v>
      </c>
      <c r="BJ88" t="str">
        <f>"ILLINOIS SUPREME COURT "</f>
        <v xml:space="preserve">ILLINOIS SUPREME COURT </v>
      </c>
      <c r="BK88">
        <v>1</v>
      </c>
      <c r="BL88" t="s">
        <v>107</v>
      </c>
      <c r="BM88" t="str">
        <f>"[m]Platform LLC"</f>
        <v>[m]Platform LLC</v>
      </c>
      <c r="BN88" t="s">
        <v>8399</v>
      </c>
      <c r="BO88" t="s">
        <v>5571</v>
      </c>
      <c r="BP88" t="s">
        <v>277</v>
      </c>
      <c r="BQ88" t="s">
        <v>189</v>
      </c>
      <c r="BR88" t="s">
        <v>190</v>
      </c>
      <c r="BS88" s="5">
        <v>10006</v>
      </c>
      <c r="BT88" s="2">
        <v>100203</v>
      </c>
      <c r="BV88" t="s">
        <v>105</v>
      </c>
      <c r="BW88" s="2">
        <v>91374</v>
      </c>
      <c r="BX88" t="s">
        <v>105</v>
      </c>
      <c r="BZ88" t="s">
        <v>123</v>
      </c>
      <c r="CA88" t="str">
        <f t="shared" si="6"/>
        <v>7/1/2020 - 6/30/2021</v>
      </c>
      <c r="CF88">
        <v>2</v>
      </c>
      <c r="CG88" t="s">
        <v>98</v>
      </c>
      <c r="CH88" t="s">
        <v>98</v>
      </c>
      <c r="CI88" t="s">
        <v>206</v>
      </c>
      <c r="CJ88" t="s">
        <v>98</v>
      </c>
      <c r="CK88" t="s">
        <v>12323</v>
      </c>
      <c r="CL88" t="s">
        <v>108</v>
      </c>
      <c r="CM88" t="s">
        <v>109</v>
      </c>
      <c r="CN88" t="str">
        <f>"Morin"</f>
        <v>Morin</v>
      </c>
      <c r="CO88" t="str">
        <f>"Ashley"</f>
        <v>Ashley</v>
      </c>
      <c r="CP88" t="str">
        <f>""</f>
        <v/>
      </c>
      <c r="CQ88" t="str">
        <f>"Fakhoury Global Immigration, USA PC"</f>
        <v>Fakhoury Global Immigration, USA PC</v>
      </c>
      <c r="CR88" t="s">
        <v>8294</v>
      </c>
    </row>
    <row r="89" spans="1:96" x14ac:dyDescent="0.2">
      <c r="A89" t="s">
        <v>8445</v>
      </c>
      <c r="B89" t="s">
        <v>96</v>
      </c>
      <c r="C89" s="1">
        <v>44098</v>
      </c>
      <c r="D89" s="1">
        <v>44105</v>
      </c>
      <c r="F89" t="s">
        <v>97</v>
      </c>
      <c r="G89" t="str">
        <f>"Data Analyst"</f>
        <v>Data Analyst</v>
      </c>
      <c r="H89" t="s">
        <v>12181</v>
      </c>
      <c r="I89" t="s">
        <v>110</v>
      </c>
      <c r="J89" t="s">
        <v>98</v>
      </c>
      <c r="K89" s="1">
        <v>44147</v>
      </c>
      <c r="L89" s="1">
        <v>45100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7494</v>
      </c>
      <c r="U89" t="str">
        <f>""</f>
        <v/>
      </c>
      <c r="V89" t="s">
        <v>7495</v>
      </c>
      <c r="W89" t="str">
        <f>""</f>
        <v/>
      </c>
      <c r="X89" t="s">
        <v>1328</v>
      </c>
      <c r="Y89" t="s">
        <v>934</v>
      </c>
      <c r="Z89" s="3">
        <v>68114</v>
      </c>
      <c r="AA89" t="s">
        <v>101</v>
      </c>
      <c r="AC89" s="4" t="str">
        <f>"+17029843398"</f>
        <v>+17029843398</v>
      </c>
      <c r="AE89" t="str">
        <f t="shared" si="7"/>
        <v>541511</v>
      </c>
      <c r="AF89" t="s">
        <v>7496</v>
      </c>
      <c r="AG89" t="s">
        <v>7497</v>
      </c>
      <c r="AI89" t="s">
        <v>298</v>
      </c>
      <c r="AJ89" t="s">
        <v>7495</v>
      </c>
      <c r="AK89" t="str">
        <f>""</f>
        <v/>
      </c>
      <c r="AL89" t="s">
        <v>1328</v>
      </c>
      <c r="AM89" t="s">
        <v>934</v>
      </c>
      <c r="AN89" s="3">
        <v>68114</v>
      </c>
      <c r="AO89" t="s">
        <v>101</v>
      </c>
      <c r="AQ89" t="str">
        <f>"+17029843398"</f>
        <v>+17029843398</v>
      </c>
      <c r="AS89" t="s">
        <v>7498</v>
      </c>
      <c r="AT89" t="s">
        <v>102</v>
      </c>
      <c r="AU89" t="str">
        <f>""</f>
        <v/>
      </c>
      <c r="AV89" t="str">
        <f>""</f>
        <v/>
      </c>
      <c r="AW89" t="str">
        <f>""</f>
        <v/>
      </c>
      <c r="AX89" t="str">
        <f>""</f>
        <v/>
      </c>
      <c r="AY89" t="str">
        <f>""</f>
        <v/>
      </c>
      <c r="AZ89" t="str">
        <f>""</f>
        <v/>
      </c>
      <c r="BA89" t="str">
        <f>""</f>
        <v/>
      </c>
      <c r="BC89" t="str">
        <f>""</f>
        <v/>
      </c>
      <c r="BD89" t="str">
        <f>""</f>
        <v/>
      </c>
      <c r="BE89" t="str">
        <f>""</f>
        <v/>
      </c>
      <c r="BF89" t="str">
        <f>""</f>
        <v/>
      </c>
      <c r="BG89" t="str">
        <f>""</f>
        <v/>
      </c>
      <c r="BH89" t="str">
        <f>""</f>
        <v/>
      </c>
      <c r="BI89" t="str">
        <f>""</f>
        <v/>
      </c>
      <c r="BJ89" t="str">
        <f>""</f>
        <v/>
      </c>
      <c r="BK89">
        <v>1</v>
      </c>
      <c r="BL89" t="s">
        <v>107</v>
      </c>
      <c r="BM89" t="str">
        <f>"Walgreens"</f>
        <v>Walgreens</v>
      </c>
      <c r="BN89" t="s">
        <v>8446</v>
      </c>
      <c r="BP89" t="s">
        <v>2601</v>
      </c>
      <c r="BQ89" t="s">
        <v>691</v>
      </c>
      <c r="BR89" t="s">
        <v>345</v>
      </c>
      <c r="BS89" s="5">
        <v>60015</v>
      </c>
      <c r="BT89" s="2">
        <v>88500</v>
      </c>
      <c r="BU89" s="2">
        <v>94200</v>
      </c>
      <c r="BV89" t="s">
        <v>105</v>
      </c>
      <c r="BW89" s="2">
        <v>73882</v>
      </c>
      <c r="BX89" t="s">
        <v>105</v>
      </c>
      <c r="BZ89" t="s">
        <v>167</v>
      </c>
      <c r="CA89" t="str">
        <f t="shared" si="6"/>
        <v>7/1/2020 - 6/30/2021</v>
      </c>
      <c r="CF89">
        <v>1</v>
      </c>
      <c r="CG89" t="s">
        <v>98</v>
      </c>
      <c r="CH89" t="s">
        <v>98</v>
      </c>
      <c r="CI89" t="s">
        <v>206</v>
      </c>
      <c r="CJ89" t="s">
        <v>98</v>
      </c>
      <c r="CK89" t="s">
        <v>12323</v>
      </c>
      <c r="CL89" t="s">
        <v>108</v>
      </c>
      <c r="CM89" t="s">
        <v>353</v>
      </c>
      <c r="CN89" t="str">
        <f>"Vishwa"</f>
        <v>Vishwa</v>
      </c>
      <c r="CO89" t="str">
        <f>"Vinod "</f>
        <v xml:space="preserve">Vinod </v>
      </c>
      <c r="CP89" t="str">
        <f>""</f>
        <v/>
      </c>
      <c r="CQ89" t="str">
        <f>"EXEVCONSULTING INC"</f>
        <v>EXEVCONSULTING INC</v>
      </c>
      <c r="CR89" t="s">
        <v>7498</v>
      </c>
    </row>
    <row r="90" spans="1:96" x14ac:dyDescent="0.2">
      <c r="A90" t="s">
        <v>8449</v>
      </c>
      <c r="B90" t="s">
        <v>96</v>
      </c>
      <c r="C90" s="1">
        <v>44098</v>
      </c>
      <c r="D90" s="1">
        <v>44105</v>
      </c>
      <c r="F90" t="s">
        <v>97</v>
      </c>
      <c r="G90" t="str">
        <f>"Technology Architect - US "</f>
        <v xml:space="preserve">Technology Architect - US </v>
      </c>
      <c r="H90" t="s">
        <v>12168</v>
      </c>
      <c r="I90" t="s">
        <v>160</v>
      </c>
      <c r="J90" t="s">
        <v>98</v>
      </c>
      <c r="K90" s="1">
        <v>44109</v>
      </c>
      <c r="L90" s="1">
        <v>45202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 t="s">
        <v>723</v>
      </c>
      <c r="U90" t="str">
        <f>""</f>
        <v/>
      </c>
      <c r="V90" t="s">
        <v>724</v>
      </c>
      <c r="W90" t="str">
        <f>"STE C150"</f>
        <v>STE C150</v>
      </c>
      <c r="X90" t="s">
        <v>725</v>
      </c>
      <c r="Y90" t="s">
        <v>114</v>
      </c>
      <c r="Z90" s="3">
        <v>75082</v>
      </c>
      <c r="AA90" t="s">
        <v>101</v>
      </c>
      <c r="AC90" s="4" t="str">
        <f>"+12143062100"</f>
        <v>+12143062100</v>
      </c>
      <c r="AE90" t="str">
        <f t="shared" si="7"/>
        <v>541511</v>
      </c>
      <c r="AF90" t="s">
        <v>726</v>
      </c>
      <c r="AG90" t="s">
        <v>727</v>
      </c>
      <c r="AI90" t="s">
        <v>728</v>
      </c>
      <c r="AJ90" t="s">
        <v>724</v>
      </c>
      <c r="AK90" t="str">
        <f>"STE C150"</f>
        <v>STE C150</v>
      </c>
      <c r="AL90" t="s">
        <v>725</v>
      </c>
      <c r="AM90" t="s">
        <v>114</v>
      </c>
      <c r="AN90" s="3">
        <v>75082</v>
      </c>
      <c r="AO90" t="s">
        <v>101</v>
      </c>
      <c r="AQ90" t="str">
        <f>"+12143062100"</f>
        <v>+12143062100</v>
      </c>
      <c r="AS90" t="s">
        <v>729</v>
      </c>
      <c r="AT90" t="s">
        <v>102</v>
      </c>
      <c r="AU90" t="str">
        <f>""</f>
        <v/>
      </c>
      <c r="AV90" t="str">
        <f>""</f>
        <v/>
      </c>
      <c r="AW90" t="str">
        <f>""</f>
        <v/>
      </c>
      <c r="AX90" t="str">
        <f>""</f>
        <v/>
      </c>
      <c r="AY90" t="str">
        <f>""</f>
        <v/>
      </c>
      <c r="AZ90" t="str">
        <f>""</f>
        <v/>
      </c>
      <c r="BA90" t="str">
        <f>""</f>
        <v/>
      </c>
      <c r="BC90" t="str">
        <f>""</f>
        <v/>
      </c>
      <c r="BD90" t="str">
        <f>""</f>
        <v/>
      </c>
      <c r="BE90" t="str">
        <f>""</f>
        <v/>
      </c>
      <c r="BF90" t="str">
        <f>""</f>
        <v/>
      </c>
      <c r="BG90" t="str">
        <f>""</f>
        <v/>
      </c>
      <c r="BH90" t="str">
        <f>""</f>
        <v/>
      </c>
      <c r="BI90" t="str">
        <f>""</f>
        <v/>
      </c>
      <c r="BJ90" t="str">
        <f>""</f>
        <v/>
      </c>
      <c r="BK90">
        <v>1</v>
      </c>
      <c r="BL90" t="s">
        <v>102</v>
      </c>
      <c r="BM90" t="str">
        <f>""</f>
        <v/>
      </c>
      <c r="BN90" t="s">
        <v>8450</v>
      </c>
      <c r="BO90" t="s">
        <v>8451</v>
      </c>
      <c r="BP90" t="s">
        <v>182</v>
      </c>
      <c r="BQ90" t="s">
        <v>183</v>
      </c>
      <c r="BR90" t="s">
        <v>176</v>
      </c>
      <c r="BS90" s="5">
        <v>98005</v>
      </c>
      <c r="BT90" s="2">
        <v>97510</v>
      </c>
      <c r="BV90" t="s">
        <v>105</v>
      </c>
      <c r="BW90" s="2">
        <v>97510</v>
      </c>
      <c r="BX90" t="s">
        <v>105</v>
      </c>
      <c r="BZ90" t="s">
        <v>123</v>
      </c>
      <c r="CA90" t="str">
        <f t="shared" si="6"/>
        <v>7/1/2020 - 6/30/2021</v>
      </c>
      <c r="CF90">
        <v>1</v>
      </c>
      <c r="CG90" t="s">
        <v>98</v>
      </c>
      <c r="CH90" t="s">
        <v>98</v>
      </c>
      <c r="CI90" t="s">
        <v>206</v>
      </c>
      <c r="CJ90" t="s">
        <v>98</v>
      </c>
      <c r="CK90" t="s">
        <v>12323</v>
      </c>
      <c r="CL90" t="s">
        <v>108</v>
      </c>
      <c r="CM90" t="s">
        <v>109</v>
      </c>
      <c r="CN90" t="str">
        <f>"JAYARAM"</f>
        <v>JAYARAM</v>
      </c>
      <c r="CO90" t="str">
        <f>"SUSHMA"</f>
        <v>SUSHMA</v>
      </c>
      <c r="CP90" t="str">
        <f>""</f>
        <v/>
      </c>
      <c r="CQ90" t="str">
        <f>"INFOSYS LIMITED"</f>
        <v>INFOSYS LIMITED</v>
      </c>
      <c r="CR90" t="s">
        <v>3699</v>
      </c>
    </row>
    <row r="91" spans="1:96" x14ac:dyDescent="0.2">
      <c r="A91" t="s">
        <v>8468</v>
      </c>
      <c r="B91" t="s">
        <v>96</v>
      </c>
      <c r="C91" s="1">
        <v>44098</v>
      </c>
      <c r="D91" s="1">
        <v>44105</v>
      </c>
      <c r="F91" t="s">
        <v>97</v>
      </c>
      <c r="G91" t="str">
        <f>"SR. MANAGER - RECRUITMENT"</f>
        <v>SR. MANAGER - RECRUITMENT</v>
      </c>
      <c r="H91" t="s">
        <v>12241</v>
      </c>
      <c r="I91" t="s">
        <v>3257</v>
      </c>
      <c r="J91" t="s">
        <v>98</v>
      </c>
      <c r="K91" s="1">
        <v>44197</v>
      </c>
      <c r="L91" s="1">
        <v>45291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3071</v>
      </c>
      <c r="U91" t="str">
        <f>""</f>
        <v/>
      </c>
      <c r="V91" t="s">
        <v>3072</v>
      </c>
      <c r="W91" t="str">
        <f>"SUITE 3301"</f>
        <v>SUITE 3301</v>
      </c>
      <c r="X91" t="s">
        <v>189</v>
      </c>
      <c r="Y91" t="s">
        <v>190</v>
      </c>
      <c r="Z91" s="3">
        <v>10036</v>
      </c>
      <c r="AA91" t="s">
        <v>101</v>
      </c>
      <c r="AC91" s="4" t="str">
        <f>"+17047631255"</f>
        <v>+17047631255</v>
      </c>
      <c r="AE91" t="str">
        <f t="shared" si="7"/>
        <v>541511</v>
      </c>
      <c r="AF91" t="s">
        <v>3073</v>
      </c>
      <c r="AG91" t="s">
        <v>3074</v>
      </c>
      <c r="AI91" t="s">
        <v>3075</v>
      </c>
      <c r="AJ91" t="s">
        <v>3072</v>
      </c>
      <c r="AK91" t="str">
        <f>"SUITE 3301"</f>
        <v>SUITE 3301</v>
      </c>
      <c r="AL91" t="s">
        <v>189</v>
      </c>
      <c r="AM91" t="s">
        <v>190</v>
      </c>
      <c r="AN91" s="3">
        <v>10036</v>
      </c>
      <c r="AO91" t="s">
        <v>101</v>
      </c>
      <c r="AQ91" t="str">
        <f>"+17047631255"</f>
        <v>+17047631255</v>
      </c>
      <c r="AS91" t="s">
        <v>3076</v>
      </c>
      <c r="AT91" t="s">
        <v>107</v>
      </c>
      <c r="AU91" t="str">
        <f>"JETHMALANI"</f>
        <v>JETHMALANI</v>
      </c>
      <c r="AV91" t="str">
        <f>"ANIL"</f>
        <v>ANIL</v>
      </c>
      <c r="AW91" t="str">
        <f>""</f>
        <v/>
      </c>
      <c r="AX91" t="str">
        <f>"42 BROADWAY"</f>
        <v>42 BROADWAY</v>
      </c>
      <c r="AY91" t="str">
        <f>"SUITE 1548"</f>
        <v>SUITE 1548</v>
      </c>
      <c r="AZ91" t="str">
        <f>"NEW YORK"</f>
        <v>NEW YORK</v>
      </c>
      <c r="BA91" t="str">
        <f>"NY"</f>
        <v>NY</v>
      </c>
      <c r="BB91" s="3">
        <v>10004</v>
      </c>
      <c r="BC91" t="str">
        <f>"UNITED STATES OF AMERICA"</f>
        <v>UNITED STATES OF AMERICA</v>
      </c>
      <c r="BD91" t="str">
        <f>""</f>
        <v/>
      </c>
      <c r="BE91" t="str">
        <f>"+12124069257"</f>
        <v>+12124069257</v>
      </c>
      <c r="BF91" t="str">
        <f>""</f>
        <v/>
      </c>
      <c r="BG91" t="str">
        <f>"FORUM@JNATTORNEY.COM"</f>
        <v>FORUM@JNATTORNEY.COM</v>
      </c>
      <c r="BH91" t="str">
        <f>"Jethmalani &amp; Nallaseth PLLC"</f>
        <v>Jethmalani &amp; Nallaseth PLLC</v>
      </c>
      <c r="BI91" t="str">
        <f>"NY"</f>
        <v>NY</v>
      </c>
      <c r="BJ91" t="str">
        <f>"SUPREME COURT"</f>
        <v>SUPREME COURT</v>
      </c>
      <c r="BK91">
        <v>1</v>
      </c>
      <c r="BL91" t="s">
        <v>102</v>
      </c>
      <c r="BM91" t="str">
        <f>""</f>
        <v/>
      </c>
      <c r="BN91" t="s">
        <v>6823</v>
      </c>
      <c r="BO91" t="s">
        <v>8469</v>
      </c>
      <c r="BP91" t="s">
        <v>998</v>
      </c>
      <c r="BQ91" t="s">
        <v>121</v>
      </c>
      <c r="BR91" t="s">
        <v>122</v>
      </c>
      <c r="BS91" s="5">
        <v>28202</v>
      </c>
      <c r="BT91" s="2">
        <v>69306</v>
      </c>
      <c r="BV91" t="s">
        <v>105</v>
      </c>
      <c r="BW91" s="2">
        <v>69306</v>
      </c>
      <c r="BX91" t="s">
        <v>105</v>
      </c>
      <c r="BZ91" t="s">
        <v>123</v>
      </c>
      <c r="CA91" t="str">
        <f t="shared" si="6"/>
        <v>7/1/2020 - 6/30/2021</v>
      </c>
      <c r="CF91">
        <v>1</v>
      </c>
      <c r="CG91" t="s">
        <v>98</v>
      </c>
      <c r="CH91" t="s">
        <v>98</v>
      </c>
      <c r="CI91" t="s">
        <v>206</v>
      </c>
      <c r="CJ91" t="s">
        <v>98</v>
      </c>
      <c r="CK91" t="s">
        <v>12323</v>
      </c>
      <c r="CL91" t="s">
        <v>108</v>
      </c>
      <c r="CM91" t="s">
        <v>109</v>
      </c>
      <c r="CN91" t="str">
        <f>""</f>
        <v/>
      </c>
      <c r="CO91" t="str">
        <f>""</f>
        <v/>
      </c>
      <c r="CP91" t="str">
        <f>""</f>
        <v/>
      </c>
      <c r="CQ91" t="str">
        <f>""</f>
        <v/>
      </c>
    </row>
    <row r="92" spans="1:96" x14ac:dyDescent="0.2">
      <c r="A92" t="s">
        <v>8480</v>
      </c>
      <c r="B92" t="s">
        <v>96</v>
      </c>
      <c r="C92" s="1">
        <v>44098</v>
      </c>
      <c r="D92" s="1">
        <v>44105</v>
      </c>
      <c r="F92" t="s">
        <v>97</v>
      </c>
      <c r="G92" t="str">
        <f>"Solution Architecture Manager 4"</f>
        <v>Solution Architecture Manager 4</v>
      </c>
      <c r="H92" t="s">
        <v>12178</v>
      </c>
      <c r="I92" t="s">
        <v>582</v>
      </c>
      <c r="J92" t="s">
        <v>98</v>
      </c>
      <c r="K92" s="1">
        <v>44105</v>
      </c>
      <c r="L92" s="1">
        <v>45199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 t="s">
        <v>1421</v>
      </c>
      <c r="U92" t="str">
        <f>""</f>
        <v/>
      </c>
      <c r="V92" t="s">
        <v>1422</v>
      </c>
      <c r="W92" t="str">
        <f>"SUITE 300"</f>
        <v>SUITE 300</v>
      </c>
      <c r="X92" t="s">
        <v>843</v>
      </c>
      <c r="Y92" t="s">
        <v>345</v>
      </c>
      <c r="Z92" s="3">
        <v>60606</v>
      </c>
      <c r="AA92" t="s">
        <v>101</v>
      </c>
      <c r="AC92" s="4" t="str">
        <f>"+13123955000"</f>
        <v>+13123955000</v>
      </c>
      <c r="AE92" t="str">
        <f>"5416"</f>
        <v>5416</v>
      </c>
      <c r="AF92" t="s">
        <v>1423</v>
      </c>
      <c r="AG92" t="s">
        <v>1424</v>
      </c>
      <c r="AI92" t="s">
        <v>1425</v>
      </c>
      <c r="AJ92" t="s">
        <v>1422</v>
      </c>
      <c r="AK92" t="str">
        <f>"SUITE 300"</f>
        <v>SUITE 300</v>
      </c>
      <c r="AL92" t="s">
        <v>843</v>
      </c>
      <c r="AM92" t="s">
        <v>345</v>
      </c>
      <c r="AN92" s="3">
        <v>60606</v>
      </c>
      <c r="AO92" t="s">
        <v>101</v>
      </c>
      <c r="AQ92" t="str">
        <f>"+13123958209"</f>
        <v>+13123958209</v>
      </c>
      <c r="AS92" t="s">
        <v>1426</v>
      </c>
      <c r="AT92" t="s">
        <v>102</v>
      </c>
      <c r="AU92" t="str">
        <f>""</f>
        <v/>
      </c>
      <c r="AV92" t="str">
        <f>""</f>
        <v/>
      </c>
      <c r="AW92" t="str">
        <f>""</f>
        <v/>
      </c>
      <c r="AX92" t="str">
        <f>""</f>
        <v/>
      </c>
      <c r="AY92" t="str">
        <f>""</f>
        <v/>
      </c>
      <c r="AZ92" t="str">
        <f>""</f>
        <v/>
      </c>
      <c r="BA92" t="str">
        <f>""</f>
        <v/>
      </c>
      <c r="BC92" t="str">
        <f>""</f>
        <v/>
      </c>
      <c r="BD92" t="str">
        <f>""</f>
        <v/>
      </c>
      <c r="BE92" t="str">
        <f>""</f>
        <v/>
      </c>
      <c r="BF92" t="str">
        <f>""</f>
        <v/>
      </c>
      <c r="BG92" t="str">
        <f>""</f>
        <v/>
      </c>
      <c r="BH92" t="str">
        <f>""</f>
        <v/>
      </c>
      <c r="BI92" t="str">
        <f>""</f>
        <v/>
      </c>
      <c r="BJ92" t="str">
        <f>""</f>
        <v/>
      </c>
      <c r="BK92">
        <v>1</v>
      </c>
      <c r="BL92" t="s">
        <v>102</v>
      </c>
      <c r="BM92" t="str">
        <f>""</f>
        <v/>
      </c>
      <c r="BN92" t="s">
        <v>3828</v>
      </c>
      <c r="BP92" t="s">
        <v>805</v>
      </c>
      <c r="BQ92" t="s">
        <v>395</v>
      </c>
      <c r="BR92" t="s">
        <v>114</v>
      </c>
      <c r="BS92" s="5">
        <v>77056</v>
      </c>
      <c r="BT92" s="2">
        <v>184766</v>
      </c>
      <c r="BU92" s="2">
        <v>220318</v>
      </c>
      <c r="BV92" t="s">
        <v>105</v>
      </c>
      <c r="BW92" s="2">
        <v>184766</v>
      </c>
      <c r="BX92" t="s">
        <v>105</v>
      </c>
      <c r="BZ92" t="s">
        <v>159</v>
      </c>
      <c r="CA92" t="str">
        <f t="shared" si="6"/>
        <v>7/1/2020 - 6/30/2021</v>
      </c>
      <c r="CF92">
        <v>2</v>
      </c>
      <c r="CG92" t="s">
        <v>98</v>
      </c>
      <c r="CH92" t="s">
        <v>98</v>
      </c>
      <c r="CI92" t="s">
        <v>206</v>
      </c>
      <c r="CJ92" t="s">
        <v>98</v>
      </c>
      <c r="CK92" t="s">
        <v>12323</v>
      </c>
      <c r="CL92" t="s">
        <v>108</v>
      </c>
      <c r="CM92" t="s">
        <v>109</v>
      </c>
      <c r="CN92" t="str">
        <f>""</f>
        <v/>
      </c>
      <c r="CO92" t="str">
        <f>""</f>
        <v/>
      </c>
      <c r="CP92" t="str">
        <f>""</f>
        <v/>
      </c>
      <c r="CQ92" t="str">
        <f>""</f>
        <v/>
      </c>
    </row>
    <row r="93" spans="1:96" x14ac:dyDescent="0.2">
      <c r="A93" t="s">
        <v>8514</v>
      </c>
      <c r="B93" t="s">
        <v>96</v>
      </c>
      <c r="C93" s="1">
        <v>44098</v>
      </c>
      <c r="D93" s="1">
        <v>44105</v>
      </c>
      <c r="F93" t="s">
        <v>97</v>
      </c>
      <c r="G93" t="str">
        <f>"Software Developer"</f>
        <v>Software Developer</v>
      </c>
      <c r="H93" t="s">
        <v>12169</v>
      </c>
      <c r="I93" t="s">
        <v>124</v>
      </c>
      <c r="J93" t="s">
        <v>98</v>
      </c>
      <c r="K93" s="1">
        <v>44256</v>
      </c>
      <c r="L93" s="1">
        <v>45345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t="s">
        <v>5107</v>
      </c>
      <c r="U93" t="str">
        <f>""</f>
        <v/>
      </c>
      <c r="V93" t="s">
        <v>5948</v>
      </c>
      <c r="W93" t="str">
        <f>"ste 400"</f>
        <v>ste 400</v>
      </c>
      <c r="X93" t="s">
        <v>1400</v>
      </c>
      <c r="Y93" t="s">
        <v>608</v>
      </c>
      <c r="Z93" s="3">
        <v>50309</v>
      </c>
      <c r="AA93" t="s">
        <v>101</v>
      </c>
      <c r="AC93" s="4" t="str">
        <f>"+15157087427"</f>
        <v>+15157087427</v>
      </c>
      <c r="AE93" t="str">
        <f>"541511"</f>
        <v>541511</v>
      </c>
      <c r="AF93" t="s">
        <v>5108</v>
      </c>
      <c r="AG93" t="s">
        <v>5109</v>
      </c>
      <c r="AI93" t="s">
        <v>646</v>
      </c>
      <c r="AJ93" t="s">
        <v>5948</v>
      </c>
      <c r="AK93" t="str">
        <f>"ste 400"</f>
        <v>ste 400</v>
      </c>
      <c r="AL93" t="s">
        <v>1400</v>
      </c>
      <c r="AM93" t="s">
        <v>608</v>
      </c>
      <c r="AN93" s="3">
        <v>50309</v>
      </c>
      <c r="AO93" t="s">
        <v>101</v>
      </c>
      <c r="AQ93" t="str">
        <f>"+15157087427"</f>
        <v>+15157087427</v>
      </c>
      <c r="AS93" t="s">
        <v>5110</v>
      </c>
      <c r="AT93" t="s">
        <v>102</v>
      </c>
      <c r="AU93" t="str">
        <f>""</f>
        <v/>
      </c>
      <c r="AV93" t="str">
        <f>""</f>
        <v/>
      </c>
      <c r="AW93" t="str">
        <f>""</f>
        <v/>
      </c>
      <c r="AX93" t="str">
        <f>""</f>
        <v/>
      </c>
      <c r="AY93" t="str">
        <f>""</f>
        <v/>
      </c>
      <c r="AZ93" t="str">
        <f>""</f>
        <v/>
      </c>
      <c r="BA93" t="str">
        <f>""</f>
        <v/>
      </c>
      <c r="BC93" t="str">
        <f>""</f>
        <v/>
      </c>
      <c r="BD93" t="str">
        <f>""</f>
        <v/>
      </c>
      <c r="BE93" t="str">
        <f>""</f>
        <v/>
      </c>
      <c r="BF93" t="str">
        <f>""</f>
        <v/>
      </c>
      <c r="BG93" t="str">
        <f>""</f>
        <v/>
      </c>
      <c r="BH93" t="str">
        <f>""</f>
        <v/>
      </c>
      <c r="BI93" t="str">
        <f>""</f>
        <v/>
      </c>
      <c r="BJ93" t="str">
        <f>""</f>
        <v/>
      </c>
      <c r="BK93">
        <v>1</v>
      </c>
      <c r="BL93" t="s">
        <v>107</v>
      </c>
      <c r="BM93" t="str">
        <f>"J.P Morgan Chase"</f>
        <v>J.P Morgan Chase</v>
      </c>
      <c r="BN93" t="s">
        <v>8515</v>
      </c>
      <c r="BP93" t="s">
        <v>1775</v>
      </c>
      <c r="BQ93" t="s">
        <v>1777</v>
      </c>
      <c r="BR93" t="s">
        <v>1776</v>
      </c>
      <c r="BS93" s="5">
        <v>19803</v>
      </c>
      <c r="BT93" s="2">
        <v>90000</v>
      </c>
      <c r="BV93" t="s">
        <v>105</v>
      </c>
      <c r="BW93" s="2">
        <v>89773</v>
      </c>
      <c r="BX93" t="s">
        <v>105</v>
      </c>
      <c r="BZ93" t="s">
        <v>167</v>
      </c>
      <c r="CA93" t="str">
        <f t="shared" si="6"/>
        <v>7/1/2020 - 6/30/2021</v>
      </c>
      <c r="CF93">
        <v>1</v>
      </c>
      <c r="CG93" t="s">
        <v>98</v>
      </c>
      <c r="CH93" t="s">
        <v>98</v>
      </c>
      <c r="CI93" t="s">
        <v>206</v>
      </c>
      <c r="CJ93" t="s">
        <v>98</v>
      </c>
      <c r="CK93" t="s">
        <v>12323</v>
      </c>
      <c r="CL93" t="s">
        <v>108</v>
      </c>
      <c r="CM93" t="s">
        <v>109</v>
      </c>
      <c r="CN93" t="str">
        <f>""</f>
        <v/>
      </c>
      <c r="CO93" t="str">
        <f>""</f>
        <v/>
      </c>
      <c r="CP93" t="str">
        <f>""</f>
        <v/>
      </c>
      <c r="CQ93" t="str">
        <f>""</f>
        <v/>
      </c>
    </row>
    <row r="94" spans="1:96" x14ac:dyDescent="0.2">
      <c r="A94" t="s">
        <v>8566</v>
      </c>
      <c r="B94" t="s">
        <v>96</v>
      </c>
      <c r="C94" s="1">
        <v>44098</v>
      </c>
      <c r="D94" s="1">
        <v>44105</v>
      </c>
      <c r="F94" t="s">
        <v>97</v>
      </c>
      <c r="G94" t="str">
        <f>"Technology Lead - US "</f>
        <v xml:space="preserve">Technology Lead - US </v>
      </c>
      <c r="H94" t="s">
        <v>12168</v>
      </c>
      <c r="I94" t="s">
        <v>367</v>
      </c>
      <c r="J94" t="s">
        <v>98</v>
      </c>
      <c r="K94" s="1">
        <v>44136</v>
      </c>
      <c r="L94" s="1">
        <v>45228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 t="s">
        <v>723</v>
      </c>
      <c r="U94" t="str">
        <f>""</f>
        <v/>
      </c>
      <c r="V94" t="s">
        <v>724</v>
      </c>
      <c r="W94" t="str">
        <f>"STE C150"</f>
        <v>STE C150</v>
      </c>
      <c r="X94" t="s">
        <v>725</v>
      </c>
      <c r="Y94" t="s">
        <v>114</v>
      </c>
      <c r="Z94" s="3">
        <v>75082</v>
      </c>
      <c r="AA94" t="s">
        <v>101</v>
      </c>
      <c r="AC94" s="4" t="str">
        <f>"+12143062100"</f>
        <v>+12143062100</v>
      </c>
      <c r="AE94" t="str">
        <f>"541511"</f>
        <v>541511</v>
      </c>
      <c r="AF94" t="s">
        <v>726</v>
      </c>
      <c r="AG94" t="s">
        <v>727</v>
      </c>
      <c r="AI94" t="s">
        <v>728</v>
      </c>
      <c r="AJ94" t="s">
        <v>724</v>
      </c>
      <c r="AK94" t="str">
        <f>"STE C150"</f>
        <v>STE C150</v>
      </c>
      <c r="AL94" t="s">
        <v>725</v>
      </c>
      <c r="AM94" t="s">
        <v>114</v>
      </c>
      <c r="AN94" s="3">
        <v>75082</v>
      </c>
      <c r="AO94" t="s">
        <v>101</v>
      </c>
      <c r="AQ94" t="str">
        <f>"+12143062100"</f>
        <v>+12143062100</v>
      </c>
      <c r="AS94" t="s">
        <v>729</v>
      </c>
      <c r="AT94" t="s">
        <v>102</v>
      </c>
      <c r="AU94" t="str">
        <f>""</f>
        <v/>
      </c>
      <c r="AV94" t="str">
        <f>""</f>
        <v/>
      </c>
      <c r="AW94" t="str">
        <f>""</f>
        <v/>
      </c>
      <c r="AX94" t="str">
        <f>""</f>
        <v/>
      </c>
      <c r="AY94" t="str">
        <f>""</f>
        <v/>
      </c>
      <c r="AZ94" t="str">
        <f>""</f>
        <v/>
      </c>
      <c r="BA94" t="str">
        <f>""</f>
        <v/>
      </c>
      <c r="BC94" t="str">
        <f>""</f>
        <v/>
      </c>
      <c r="BD94" t="str">
        <f>""</f>
        <v/>
      </c>
      <c r="BE94" t="str">
        <f>""</f>
        <v/>
      </c>
      <c r="BF94" t="str">
        <f>""</f>
        <v/>
      </c>
      <c r="BG94" t="str">
        <f>""</f>
        <v/>
      </c>
      <c r="BH94" t="str">
        <f>""</f>
        <v/>
      </c>
      <c r="BI94" t="str">
        <f>""</f>
        <v/>
      </c>
      <c r="BJ94" t="str">
        <f>""</f>
        <v/>
      </c>
      <c r="BK94">
        <v>1</v>
      </c>
      <c r="BL94" t="s">
        <v>107</v>
      </c>
      <c r="BM94" t="str">
        <f>"American Express Travel Related Services Company, Inc."</f>
        <v>American Express Travel Related Services Company, Inc.</v>
      </c>
      <c r="BN94" t="s">
        <v>6355</v>
      </c>
      <c r="BP94" t="s">
        <v>299</v>
      </c>
      <c r="BQ94" t="s">
        <v>257</v>
      </c>
      <c r="BR94" t="s">
        <v>258</v>
      </c>
      <c r="BS94" s="5">
        <v>85054</v>
      </c>
      <c r="BT94" s="2">
        <v>68365</v>
      </c>
      <c r="BV94" t="s">
        <v>105</v>
      </c>
      <c r="BW94" s="2">
        <v>66768</v>
      </c>
      <c r="BX94" t="s">
        <v>105</v>
      </c>
      <c r="BZ94" t="s">
        <v>167</v>
      </c>
      <c r="CA94" t="str">
        <f t="shared" si="6"/>
        <v>7/1/2020 - 6/30/2021</v>
      </c>
      <c r="CF94">
        <v>1</v>
      </c>
      <c r="CG94" t="s">
        <v>98</v>
      </c>
      <c r="CH94" t="s">
        <v>98</v>
      </c>
      <c r="CI94" t="s">
        <v>206</v>
      </c>
      <c r="CJ94" t="s">
        <v>98</v>
      </c>
      <c r="CK94" t="s">
        <v>12323</v>
      </c>
      <c r="CL94" t="s">
        <v>108</v>
      </c>
      <c r="CM94" t="s">
        <v>109</v>
      </c>
      <c r="CN94" t="str">
        <f>"JAYARAM"</f>
        <v>JAYARAM</v>
      </c>
      <c r="CO94" t="str">
        <f>"SUSHMA"</f>
        <v>SUSHMA</v>
      </c>
      <c r="CP94" t="str">
        <f>""</f>
        <v/>
      </c>
      <c r="CQ94" t="str">
        <f>"INFOSYS LIMITED"</f>
        <v>INFOSYS LIMITED</v>
      </c>
      <c r="CR94" t="s">
        <v>3699</v>
      </c>
    </row>
    <row r="95" spans="1:96" x14ac:dyDescent="0.2">
      <c r="A95" t="s">
        <v>8577</v>
      </c>
      <c r="B95" t="s">
        <v>96</v>
      </c>
      <c r="C95" s="1">
        <v>44098</v>
      </c>
      <c r="D95" s="1">
        <v>44105</v>
      </c>
      <c r="F95" t="s">
        <v>97</v>
      </c>
      <c r="G95" t="str">
        <f>"DEVELOPER"</f>
        <v>DEVELOPER</v>
      </c>
      <c r="H95" t="s">
        <v>12239</v>
      </c>
      <c r="I95" t="s">
        <v>378</v>
      </c>
      <c r="J95" t="s">
        <v>98</v>
      </c>
      <c r="K95" s="1">
        <v>44197</v>
      </c>
      <c r="L95" s="1">
        <v>44700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t="s">
        <v>864</v>
      </c>
      <c r="U95" t="str">
        <f>""</f>
        <v/>
      </c>
      <c r="V95" t="s">
        <v>865</v>
      </c>
      <c r="W95" t="str">
        <f>"SUITE 320"</f>
        <v>SUITE 320</v>
      </c>
      <c r="X95" t="s">
        <v>866</v>
      </c>
      <c r="Y95" t="s">
        <v>195</v>
      </c>
      <c r="Z95" s="3">
        <v>20850</v>
      </c>
      <c r="AA95" t="s">
        <v>101</v>
      </c>
      <c r="AC95" s="4" t="str">
        <f>"+13012319083"</f>
        <v>+13012319083</v>
      </c>
      <c r="AE95" t="str">
        <f>"541511"</f>
        <v>541511</v>
      </c>
      <c r="AF95" t="s">
        <v>867</v>
      </c>
      <c r="AG95" t="s">
        <v>868</v>
      </c>
      <c r="AH95" t="s">
        <v>108</v>
      </c>
      <c r="AI95" t="s">
        <v>869</v>
      </c>
      <c r="AJ95" t="s">
        <v>865</v>
      </c>
      <c r="AK95" t="str">
        <f>"SUITE 320"</f>
        <v>SUITE 320</v>
      </c>
      <c r="AL95" t="s">
        <v>866</v>
      </c>
      <c r="AM95" t="s">
        <v>195</v>
      </c>
      <c r="AN95" s="3">
        <v>20850</v>
      </c>
      <c r="AO95" t="s">
        <v>101</v>
      </c>
      <c r="AQ95" t="str">
        <f>"+13012319083"</f>
        <v>+13012319083</v>
      </c>
      <c r="AS95" t="s">
        <v>870</v>
      </c>
      <c r="AT95" t="s">
        <v>107</v>
      </c>
      <c r="AU95" t="str">
        <f>"MUHLENKAMP"</f>
        <v>MUHLENKAMP</v>
      </c>
      <c r="AV95" t="str">
        <f>"PRISCILLA"</f>
        <v>PRISCILLA</v>
      </c>
      <c r="AW95" t="str">
        <f>"H."</f>
        <v>H.</v>
      </c>
      <c r="AX95" t="str">
        <f>"1101 15TH STREET NW"</f>
        <v>1101 15TH STREET NW</v>
      </c>
      <c r="AY95" t="str">
        <f>"SUITE 700"</f>
        <v>SUITE 700</v>
      </c>
      <c r="AZ95" t="str">
        <f>"WASHINGTON"</f>
        <v>WASHINGTON</v>
      </c>
      <c r="BA95" t="str">
        <f>"DC"</f>
        <v>DC</v>
      </c>
      <c r="BB95" s="3">
        <v>20005</v>
      </c>
      <c r="BC95" t="str">
        <f>"UNITED STATES OF AMERICA"</f>
        <v>UNITED STATES OF AMERICA</v>
      </c>
      <c r="BD95" t="str">
        <f>""</f>
        <v/>
      </c>
      <c r="BE95" t="str">
        <f>"+12022235515"</f>
        <v>+12022235515</v>
      </c>
      <c r="BF95" t="str">
        <f>""</f>
        <v/>
      </c>
      <c r="BG95" t="str">
        <f>"TCSLCA@FRAGOMEN.COM"</f>
        <v>TCSLCA@FRAGOMEN.COM</v>
      </c>
      <c r="BH95" t="str">
        <f>"FRAGOMEN, DEL REY, BERNSEN &amp; LOEWY LLP"</f>
        <v>FRAGOMEN, DEL REY, BERNSEN &amp; LOEWY LLP</v>
      </c>
      <c r="BI95" t="str">
        <f>"DC"</f>
        <v>DC</v>
      </c>
      <c r="BJ95" t="str">
        <f>"DISTRICT OF COLUMBIA COURT OF APPEALS"</f>
        <v>DISTRICT OF COLUMBIA COURT OF APPEALS</v>
      </c>
      <c r="BK95">
        <v>1</v>
      </c>
      <c r="BL95" t="s">
        <v>107</v>
      </c>
      <c r="BM95" t="str">
        <f>"CVS HEALTH"</f>
        <v>CVS HEALTH</v>
      </c>
      <c r="BN95" t="s">
        <v>8578</v>
      </c>
      <c r="BP95" t="s">
        <v>5517</v>
      </c>
      <c r="BQ95" t="s">
        <v>5517</v>
      </c>
      <c r="BR95" t="s">
        <v>857</v>
      </c>
      <c r="BS95" s="5">
        <v>2865</v>
      </c>
      <c r="BT95" s="2">
        <v>75795</v>
      </c>
      <c r="BU95" s="2">
        <v>100200</v>
      </c>
      <c r="BV95" t="s">
        <v>105</v>
      </c>
      <c r="BW95" s="2">
        <v>75795</v>
      </c>
      <c r="BX95" t="s">
        <v>105</v>
      </c>
      <c r="BZ95" t="s">
        <v>167</v>
      </c>
      <c r="CA95" t="str">
        <f t="shared" si="6"/>
        <v>7/1/2020 - 6/30/2021</v>
      </c>
      <c r="CF95">
        <v>1</v>
      </c>
      <c r="CG95" t="s">
        <v>98</v>
      </c>
      <c r="CH95" t="s">
        <v>98</v>
      </c>
      <c r="CI95" t="s">
        <v>206</v>
      </c>
      <c r="CJ95" t="s">
        <v>98</v>
      </c>
      <c r="CK95" t="s">
        <v>12323</v>
      </c>
      <c r="CL95" t="s">
        <v>108</v>
      </c>
      <c r="CM95" t="s">
        <v>109</v>
      </c>
      <c r="CN95" t="str">
        <f>""</f>
        <v/>
      </c>
      <c r="CO95" t="str">
        <f>""</f>
        <v/>
      </c>
      <c r="CP95" t="str">
        <f>""</f>
        <v/>
      </c>
      <c r="CQ95" t="str">
        <f>""</f>
        <v/>
      </c>
    </row>
    <row r="96" spans="1:96" x14ac:dyDescent="0.2">
      <c r="A96" t="s">
        <v>8601</v>
      </c>
      <c r="B96" t="s">
        <v>96</v>
      </c>
      <c r="C96" s="1">
        <v>44098</v>
      </c>
      <c r="D96" s="1">
        <v>44105</v>
      </c>
      <c r="F96" t="s">
        <v>97</v>
      </c>
      <c r="G96" t="str">
        <f>"SENIOR SYSTEMS ANALYST"</f>
        <v>SENIOR SYSTEMS ANALYST</v>
      </c>
      <c r="H96" t="s">
        <v>12181</v>
      </c>
      <c r="I96" t="s">
        <v>110</v>
      </c>
      <c r="J96" t="s">
        <v>98</v>
      </c>
      <c r="K96" s="1">
        <v>44197</v>
      </c>
      <c r="L96" s="1">
        <v>45291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t="s">
        <v>356</v>
      </c>
      <c r="U96" t="str">
        <f>""</f>
        <v/>
      </c>
      <c r="V96" t="s">
        <v>357</v>
      </c>
      <c r="W96" t="str">
        <f>""</f>
        <v/>
      </c>
      <c r="X96" t="s">
        <v>358</v>
      </c>
      <c r="Y96" t="s">
        <v>141</v>
      </c>
      <c r="Z96" s="3">
        <v>92656</v>
      </c>
      <c r="AA96" t="s">
        <v>101</v>
      </c>
      <c r="AC96" s="4" t="str">
        <f>"+19495332644"</f>
        <v>+19495332644</v>
      </c>
      <c r="AE96" t="str">
        <f>"541511"</f>
        <v>541511</v>
      </c>
      <c r="AF96" t="s">
        <v>359</v>
      </c>
      <c r="AG96" t="s">
        <v>360</v>
      </c>
      <c r="AI96" t="s">
        <v>361</v>
      </c>
      <c r="AJ96" t="s">
        <v>362</v>
      </c>
      <c r="AK96" t="str">
        <f>""</f>
        <v/>
      </c>
      <c r="AL96" t="s">
        <v>363</v>
      </c>
      <c r="AM96" t="s">
        <v>141</v>
      </c>
      <c r="AN96" s="3">
        <v>92656</v>
      </c>
      <c r="AO96" t="s">
        <v>101</v>
      </c>
      <c r="AQ96" t="str">
        <f>"+19495332644"</f>
        <v>+19495332644</v>
      </c>
      <c r="AS96" t="s">
        <v>3561</v>
      </c>
      <c r="AT96" t="s">
        <v>107</v>
      </c>
      <c r="AU96" t="str">
        <f>"CHUGH"</f>
        <v>CHUGH</v>
      </c>
      <c r="AV96" t="str">
        <f>"NAVNEET"</f>
        <v>NAVNEET</v>
      </c>
      <c r="AW96" t="str">
        <f>"SINGH"</f>
        <v>SINGH</v>
      </c>
      <c r="AX96" t="str">
        <f>"15925 CARMENITA RD"</f>
        <v>15925 CARMENITA RD</v>
      </c>
      <c r="AY96" t="str">
        <f>""</f>
        <v/>
      </c>
      <c r="AZ96" t="str">
        <f>"CERRITOS"</f>
        <v>CERRITOS</v>
      </c>
      <c r="BA96" t="str">
        <f>"CA"</f>
        <v>CA</v>
      </c>
      <c r="BB96" s="3">
        <v>90703</v>
      </c>
      <c r="BC96" t="str">
        <f>"UNITED STATES OF AMERICA"</f>
        <v>UNITED STATES OF AMERICA</v>
      </c>
      <c r="BD96" t="str">
        <f>""</f>
        <v/>
      </c>
      <c r="BE96" t="str">
        <f>"+15622291220"</f>
        <v>+15622291220</v>
      </c>
      <c r="BF96" t="str">
        <f>""</f>
        <v/>
      </c>
      <c r="BG96" t="str">
        <f>"DANIELA.OCHOA@CHUGH.COM"</f>
        <v>DANIELA.OCHOA@CHUGH.COM</v>
      </c>
      <c r="BH96" t="str">
        <f>"CHUGH LLP"</f>
        <v>CHUGH LLP</v>
      </c>
      <c r="BI96" t="str">
        <f>"CA"</f>
        <v>CA</v>
      </c>
      <c r="BJ96" t="str">
        <f>"SUPREME COURT"</f>
        <v>SUPREME COURT</v>
      </c>
      <c r="BK96">
        <v>1</v>
      </c>
      <c r="BL96" t="s">
        <v>107</v>
      </c>
      <c r="BM96" t="str">
        <f>"ANTHEM INC"</f>
        <v>ANTHEM INC</v>
      </c>
      <c r="BN96" t="s">
        <v>6221</v>
      </c>
      <c r="BP96" t="s">
        <v>1171</v>
      </c>
      <c r="BQ96" t="s">
        <v>1145</v>
      </c>
      <c r="BR96" t="s">
        <v>225</v>
      </c>
      <c r="BS96" s="5">
        <v>45040</v>
      </c>
      <c r="BT96" s="2">
        <v>78166</v>
      </c>
      <c r="BV96" t="s">
        <v>105</v>
      </c>
      <c r="BW96" s="2">
        <v>78166</v>
      </c>
      <c r="BX96" t="s">
        <v>105</v>
      </c>
      <c r="BZ96" t="s">
        <v>167</v>
      </c>
      <c r="CA96" t="str">
        <f t="shared" si="6"/>
        <v>7/1/2020 - 6/30/2021</v>
      </c>
      <c r="CF96">
        <v>2</v>
      </c>
      <c r="CG96" t="s">
        <v>98</v>
      </c>
      <c r="CH96" t="s">
        <v>98</v>
      </c>
      <c r="CI96" t="s">
        <v>206</v>
      </c>
      <c r="CJ96" t="s">
        <v>98</v>
      </c>
      <c r="CK96" t="s">
        <v>12323</v>
      </c>
      <c r="CL96" t="s">
        <v>108</v>
      </c>
      <c r="CM96" t="s">
        <v>109</v>
      </c>
      <c r="CN96" t="str">
        <f>"OCHOA"</f>
        <v>OCHOA</v>
      </c>
      <c r="CO96" t="str">
        <f>"DANIELA"</f>
        <v>DANIELA</v>
      </c>
      <c r="CP96" t="str">
        <f>"V"</f>
        <v>V</v>
      </c>
      <c r="CQ96" t="str">
        <f>"CHUGH LLP"</f>
        <v>CHUGH LLP</v>
      </c>
      <c r="CR96" t="s">
        <v>366</v>
      </c>
    </row>
    <row r="97" spans="1:96" x14ac:dyDescent="0.2">
      <c r="A97" t="s">
        <v>8617</v>
      </c>
      <c r="B97" t="s">
        <v>96</v>
      </c>
      <c r="C97" s="1">
        <v>44098</v>
      </c>
      <c r="D97" s="1">
        <v>44105</v>
      </c>
      <c r="F97" t="s">
        <v>97</v>
      </c>
      <c r="G97" t="str">
        <f>".NET Developer/ Software Developer"</f>
        <v>.NET Developer/ Software Developer</v>
      </c>
      <c r="H97" t="s">
        <v>12169</v>
      </c>
      <c r="I97" t="s">
        <v>124</v>
      </c>
      <c r="J97" t="s">
        <v>98</v>
      </c>
      <c r="K97" s="1">
        <v>44109</v>
      </c>
      <c r="L97" s="1">
        <v>45203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 t="s">
        <v>8618</v>
      </c>
      <c r="U97" t="str">
        <f>""</f>
        <v/>
      </c>
      <c r="V97" t="s">
        <v>8619</v>
      </c>
      <c r="W97" t="str">
        <f>"Ste. 1590"</f>
        <v>Ste. 1590</v>
      </c>
      <c r="X97" t="s">
        <v>2956</v>
      </c>
      <c r="Y97" t="s">
        <v>577</v>
      </c>
      <c r="Z97" s="3">
        <v>32746</v>
      </c>
      <c r="AA97" t="s">
        <v>101</v>
      </c>
      <c r="AC97" s="4" t="str">
        <f>"+14074857565"</f>
        <v>+14074857565</v>
      </c>
      <c r="AE97" t="str">
        <f>"541511"</f>
        <v>541511</v>
      </c>
      <c r="AF97" t="s">
        <v>8620</v>
      </c>
      <c r="AG97" t="s">
        <v>3959</v>
      </c>
      <c r="AI97" t="s">
        <v>2813</v>
      </c>
      <c r="AJ97" t="s">
        <v>8619</v>
      </c>
      <c r="AK97" t="str">
        <f>"Ste. 1590"</f>
        <v>Ste. 1590</v>
      </c>
      <c r="AL97" t="s">
        <v>2956</v>
      </c>
      <c r="AM97" t="s">
        <v>577</v>
      </c>
      <c r="AN97" s="3">
        <v>32746</v>
      </c>
      <c r="AO97" t="s">
        <v>101</v>
      </c>
      <c r="AQ97" t="str">
        <f>"+14074857565"</f>
        <v>+14074857565</v>
      </c>
      <c r="AS97" t="s">
        <v>8621</v>
      </c>
      <c r="AT97" t="s">
        <v>107</v>
      </c>
      <c r="AU97" t="str">
        <f>"Wu"</f>
        <v>Wu</v>
      </c>
      <c r="AV97" t="str">
        <f>"Katie"</f>
        <v>Katie</v>
      </c>
      <c r="AW97" t="str">
        <f>"W."</f>
        <v>W.</v>
      </c>
      <c r="AX97" t="str">
        <f>"30300 Agoura Road"</f>
        <v>30300 Agoura Road</v>
      </c>
      <c r="AY97" t="str">
        <f>"Ste. B100"</f>
        <v>Ste. B100</v>
      </c>
      <c r="AZ97" t="str">
        <f>"Agoura Hills"</f>
        <v>Agoura Hills</v>
      </c>
      <c r="BA97" t="str">
        <f>"CA"</f>
        <v>CA</v>
      </c>
      <c r="BB97" s="3">
        <v>91301</v>
      </c>
      <c r="BC97" t="str">
        <f>"UNITED STATES OF AMERICA"</f>
        <v>UNITED STATES OF AMERICA</v>
      </c>
      <c r="BD97" t="str">
        <f>""</f>
        <v/>
      </c>
      <c r="BE97" t="str">
        <f>"+18189146482"</f>
        <v>+18189146482</v>
      </c>
      <c r="BF97" t="str">
        <f>""</f>
        <v/>
      </c>
      <c r="BG97" t="str">
        <f>"Admin@gotcherlaw.com"</f>
        <v>Admin@gotcherlaw.com</v>
      </c>
      <c r="BH97" t="str">
        <f>"Global Immigration Partners, Inc"</f>
        <v>Global Immigration Partners, Inc</v>
      </c>
      <c r="BI97" t="str">
        <f>"CA"</f>
        <v>CA</v>
      </c>
      <c r="BJ97" t="str">
        <f>"Supreme Court"</f>
        <v>Supreme Court</v>
      </c>
      <c r="BK97">
        <v>1</v>
      </c>
      <c r="BL97" t="s">
        <v>102</v>
      </c>
      <c r="BM97" t="str">
        <f>""</f>
        <v/>
      </c>
      <c r="BN97" t="s">
        <v>8622</v>
      </c>
      <c r="BO97" t="s">
        <v>8623</v>
      </c>
      <c r="BP97" t="s">
        <v>483</v>
      </c>
      <c r="BQ97" t="s">
        <v>484</v>
      </c>
      <c r="BR97" t="s">
        <v>114</v>
      </c>
      <c r="BS97" s="5">
        <v>75038</v>
      </c>
      <c r="BT97" s="2">
        <v>37</v>
      </c>
      <c r="BU97" s="2">
        <v>43</v>
      </c>
      <c r="BV97" t="s">
        <v>210</v>
      </c>
      <c r="BW97" s="2">
        <v>36.9</v>
      </c>
      <c r="BX97" t="s">
        <v>210</v>
      </c>
      <c r="BZ97" t="s">
        <v>191</v>
      </c>
      <c r="CA97" t="str">
        <f t="shared" si="6"/>
        <v>7/1/2020 - 6/30/2021</v>
      </c>
      <c r="CF97">
        <v>2</v>
      </c>
      <c r="CG97" t="s">
        <v>98</v>
      </c>
      <c r="CH97" t="s">
        <v>98</v>
      </c>
      <c r="CI97" t="s">
        <v>206</v>
      </c>
      <c r="CJ97" t="s">
        <v>98</v>
      </c>
      <c r="CK97" t="s">
        <v>12323</v>
      </c>
      <c r="CL97" t="s">
        <v>108</v>
      </c>
      <c r="CM97" t="s">
        <v>109</v>
      </c>
      <c r="CN97" t="str">
        <f>"Wu"</f>
        <v>Wu</v>
      </c>
      <c r="CO97" t="str">
        <f>"Katie"</f>
        <v>Katie</v>
      </c>
      <c r="CP97" t="str">
        <f>"W."</f>
        <v>W.</v>
      </c>
      <c r="CQ97" t="str">
        <f>"Global Immigration Partners, Inc"</f>
        <v>Global Immigration Partners, Inc</v>
      </c>
      <c r="CR97" t="s">
        <v>1275</v>
      </c>
    </row>
    <row r="98" spans="1:96" x14ac:dyDescent="0.2">
      <c r="A98" t="s">
        <v>8690</v>
      </c>
      <c r="B98" t="s">
        <v>96</v>
      </c>
      <c r="C98" s="1">
        <v>44098</v>
      </c>
      <c r="D98" s="1">
        <v>44105</v>
      </c>
      <c r="F98" t="s">
        <v>97</v>
      </c>
      <c r="G98" t="str">
        <f>"Manager JC50"</f>
        <v>Manager JC50</v>
      </c>
      <c r="H98" t="s">
        <v>12181</v>
      </c>
      <c r="I98" t="s">
        <v>110</v>
      </c>
      <c r="J98" t="s">
        <v>98</v>
      </c>
      <c r="K98" s="1">
        <v>44227</v>
      </c>
      <c r="L98" s="1">
        <v>45321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t="s">
        <v>111</v>
      </c>
      <c r="U98" t="str">
        <f>"CTSUS"</f>
        <v>CTSUS</v>
      </c>
      <c r="V98" t="s">
        <v>112</v>
      </c>
      <c r="W98" t="str">
        <f>""</f>
        <v/>
      </c>
      <c r="X98" t="s">
        <v>113</v>
      </c>
      <c r="Y98" t="s">
        <v>114</v>
      </c>
      <c r="Z98" s="3">
        <v>77845</v>
      </c>
      <c r="AA98" t="s">
        <v>101</v>
      </c>
      <c r="AB98" t="s">
        <v>114</v>
      </c>
      <c r="AC98" s="4" t="str">
        <f>"+19793296682"</f>
        <v>+19793296682</v>
      </c>
      <c r="AE98" t="str">
        <f>"541512"</f>
        <v>541512</v>
      </c>
      <c r="AF98" t="s">
        <v>115</v>
      </c>
      <c r="AG98" t="s">
        <v>116</v>
      </c>
      <c r="AH98" t="s">
        <v>108</v>
      </c>
      <c r="AI98" t="s">
        <v>117</v>
      </c>
      <c r="AJ98" t="s">
        <v>118</v>
      </c>
      <c r="AK98" t="str">
        <f>""</f>
        <v/>
      </c>
      <c r="AL98" t="s">
        <v>119</v>
      </c>
      <c r="AM98" t="s">
        <v>114</v>
      </c>
      <c r="AN98" s="3">
        <v>77845</v>
      </c>
      <c r="AO98" t="s">
        <v>101</v>
      </c>
      <c r="AQ98" t="str">
        <f>"+19793296682"</f>
        <v>+19793296682</v>
      </c>
      <c r="AS98" t="s">
        <v>120</v>
      </c>
      <c r="AT98" t="s">
        <v>102</v>
      </c>
      <c r="AU98" t="str">
        <f>""</f>
        <v/>
      </c>
      <c r="AV98" t="str">
        <f>""</f>
        <v/>
      </c>
      <c r="AW98" t="str">
        <f>""</f>
        <v/>
      </c>
      <c r="AX98" t="str">
        <f>""</f>
        <v/>
      </c>
      <c r="AY98" t="str">
        <f>""</f>
        <v/>
      </c>
      <c r="AZ98" t="str">
        <f>""</f>
        <v/>
      </c>
      <c r="BA98" t="str">
        <f>""</f>
        <v/>
      </c>
      <c r="BC98" t="str">
        <f>""</f>
        <v/>
      </c>
      <c r="BD98" t="str">
        <f>""</f>
        <v/>
      </c>
      <c r="BE98" t="str">
        <f>""</f>
        <v/>
      </c>
      <c r="BF98" t="str">
        <f>""</f>
        <v/>
      </c>
      <c r="BG98" t="str">
        <f>""</f>
        <v/>
      </c>
      <c r="BH98" t="str">
        <f>""</f>
        <v/>
      </c>
      <c r="BI98" t="str">
        <f>""</f>
        <v/>
      </c>
      <c r="BJ98" t="str">
        <f>""</f>
        <v/>
      </c>
      <c r="BK98">
        <v>1</v>
      </c>
      <c r="BL98" t="s">
        <v>107</v>
      </c>
      <c r="BM98" t="str">
        <f>"Delta Air Lines, Inc"</f>
        <v>Delta Air Lines, Inc</v>
      </c>
      <c r="BN98" t="s">
        <v>8691</v>
      </c>
      <c r="BP98" t="s">
        <v>213</v>
      </c>
      <c r="BQ98" t="s">
        <v>214</v>
      </c>
      <c r="BR98" t="s">
        <v>215</v>
      </c>
      <c r="BS98" s="5">
        <v>30354</v>
      </c>
      <c r="BT98" s="2">
        <v>91686</v>
      </c>
      <c r="BV98" t="s">
        <v>105</v>
      </c>
      <c r="BW98" s="2">
        <v>91686</v>
      </c>
      <c r="BX98" t="s">
        <v>105</v>
      </c>
      <c r="BZ98" t="s">
        <v>123</v>
      </c>
      <c r="CA98" t="str">
        <f t="shared" si="6"/>
        <v>7/1/2020 - 6/30/2021</v>
      </c>
      <c r="CF98">
        <v>1</v>
      </c>
      <c r="CG98" t="s">
        <v>98</v>
      </c>
      <c r="CH98" t="s">
        <v>98</v>
      </c>
      <c r="CI98" t="s">
        <v>206</v>
      </c>
      <c r="CJ98" t="s">
        <v>98</v>
      </c>
      <c r="CK98" t="s">
        <v>12323</v>
      </c>
      <c r="CL98" t="s">
        <v>108</v>
      </c>
      <c r="CM98" t="s">
        <v>109</v>
      </c>
      <c r="CN98" t="str">
        <f>""</f>
        <v/>
      </c>
      <c r="CO98" t="str">
        <f>""</f>
        <v/>
      </c>
      <c r="CP98" t="str">
        <f>""</f>
        <v/>
      </c>
      <c r="CQ98" t="str">
        <f>""</f>
        <v/>
      </c>
    </row>
    <row r="99" spans="1:96" x14ac:dyDescent="0.2">
      <c r="A99" t="s">
        <v>8703</v>
      </c>
      <c r="B99" t="s">
        <v>96</v>
      </c>
      <c r="C99" s="1">
        <v>44098</v>
      </c>
      <c r="D99" s="1">
        <v>44105</v>
      </c>
      <c r="F99" t="s">
        <v>97</v>
      </c>
      <c r="G99" t="str">
        <f>"Senior Software Developer"</f>
        <v>Senior Software Developer</v>
      </c>
      <c r="H99" t="s">
        <v>12169</v>
      </c>
      <c r="I99" t="s">
        <v>124</v>
      </c>
      <c r="J99" t="s">
        <v>98</v>
      </c>
      <c r="K99" s="1">
        <v>44099</v>
      </c>
      <c r="L99" s="1">
        <v>45193</v>
      </c>
      <c r="M99">
        <v>6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 t="s">
        <v>2509</v>
      </c>
      <c r="U99" t="str">
        <f>"Mastech Digital InfoTech, Inc."</f>
        <v>Mastech Digital InfoTech, Inc.</v>
      </c>
      <c r="V99" t="s">
        <v>1081</v>
      </c>
      <c r="W99" t="str">
        <f>"Bldg. 210, Suite 400"</f>
        <v>Bldg. 210, Suite 400</v>
      </c>
      <c r="X99" t="s">
        <v>1082</v>
      </c>
      <c r="Y99" t="s">
        <v>127</v>
      </c>
      <c r="Z99" s="3">
        <v>15108</v>
      </c>
      <c r="AA99" t="s">
        <v>101</v>
      </c>
      <c r="AB99" t="s">
        <v>2510</v>
      </c>
      <c r="AC99" s="4" t="str">
        <f>"+14127879553"</f>
        <v>+14127879553</v>
      </c>
      <c r="AE99" t="str">
        <f>"541511"</f>
        <v>541511</v>
      </c>
      <c r="AF99" t="s">
        <v>1083</v>
      </c>
      <c r="AG99" t="s">
        <v>1084</v>
      </c>
      <c r="AI99" t="s">
        <v>1085</v>
      </c>
      <c r="AJ99" t="s">
        <v>1081</v>
      </c>
      <c r="AK99" t="str">
        <f>"Bldg. 210, Ste 400"</f>
        <v>Bldg. 210, Ste 400</v>
      </c>
      <c r="AL99" t="s">
        <v>1082</v>
      </c>
      <c r="AM99" t="s">
        <v>127</v>
      </c>
      <c r="AN99" s="3">
        <v>15108</v>
      </c>
      <c r="AO99" t="s">
        <v>101</v>
      </c>
      <c r="AQ99" t="str">
        <f>"+14127879553"</f>
        <v>+14127879553</v>
      </c>
      <c r="AS99" t="s">
        <v>1086</v>
      </c>
      <c r="AT99" t="s">
        <v>102</v>
      </c>
      <c r="AU99" t="str">
        <f>""</f>
        <v/>
      </c>
      <c r="AV99" t="str">
        <f>""</f>
        <v/>
      </c>
      <c r="AW99" t="str">
        <f>""</f>
        <v/>
      </c>
      <c r="AX99" t="str">
        <f>""</f>
        <v/>
      </c>
      <c r="AY99" t="str">
        <f>""</f>
        <v/>
      </c>
      <c r="AZ99" t="str">
        <f>""</f>
        <v/>
      </c>
      <c r="BA99" t="str">
        <f>""</f>
        <v/>
      </c>
      <c r="BC99" t="str">
        <f>""</f>
        <v/>
      </c>
      <c r="BD99" t="str">
        <f>""</f>
        <v/>
      </c>
      <c r="BE99" t="str">
        <f>""</f>
        <v/>
      </c>
      <c r="BF99" t="str">
        <f>""</f>
        <v/>
      </c>
      <c r="BG99" t="str">
        <f>""</f>
        <v/>
      </c>
      <c r="BH99" t="str">
        <f>""</f>
        <v/>
      </c>
      <c r="BI99" t="str">
        <f>""</f>
        <v/>
      </c>
      <c r="BJ99" t="str">
        <f>""</f>
        <v/>
      </c>
      <c r="BK99">
        <v>6</v>
      </c>
      <c r="BL99" t="s">
        <v>107</v>
      </c>
      <c r="BM99" t="str">
        <f>"PNC Bank"</f>
        <v>PNC Bank</v>
      </c>
      <c r="BN99" t="s">
        <v>7531</v>
      </c>
      <c r="BP99" t="s">
        <v>1647</v>
      </c>
      <c r="BQ99" t="s">
        <v>1087</v>
      </c>
      <c r="BR99" t="s">
        <v>225</v>
      </c>
      <c r="BS99" s="5">
        <v>44135</v>
      </c>
      <c r="BT99" s="2">
        <v>87006</v>
      </c>
      <c r="BU99" s="2">
        <v>102006</v>
      </c>
      <c r="BV99" t="s">
        <v>105</v>
      </c>
      <c r="BW99" s="2">
        <v>87006</v>
      </c>
      <c r="BX99" t="s">
        <v>105</v>
      </c>
      <c r="BZ99" t="s">
        <v>123</v>
      </c>
      <c r="CA99" t="str">
        <f t="shared" si="6"/>
        <v>7/1/2020 - 6/30/2021</v>
      </c>
      <c r="CF99">
        <v>2</v>
      </c>
      <c r="CG99" t="s">
        <v>98</v>
      </c>
      <c r="CH99" t="s">
        <v>98</v>
      </c>
      <c r="CI99" t="s">
        <v>206</v>
      </c>
      <c r="CJ99" t="s">
        <v>98</v>
      </c>
      <c r="CK99" t="s">
        <v>12323</v>
      </c>
      <c r="CL99" t="s">
        <v>108</v>
      </c>
      <c r="CM99" t="s">
        <v>109</v>
      </c>
      <c r="CN99" t="str">
        <f>""</f>
        <v/>
      </c>
      <c r="CO99" t="str">
        <f>""</f>
        <v/>
      </c>
      <c r="CP99" t="str">
        <f>""</f>
        <v/>
      </c>
      <c r="CQ99" t="str">
        <f>""</f>
        <v/>
      </c>
    </row>
    <row r="100" spans="1:96" x14ac:dyDescent="0.2">
      <c r="A100" t="s">
        <v>8762</v>
      </c>
      <c r="B100" t="s">
        <v>96</v>
      </c>
      <c r="C100" s="1">
        <v>44098</v>
      </c>
      <c r="D100" s="1">
        <v>44105</v>
      </c>
      <c r="F100" t="s">
        <v>97</v>
      </c>
      <c r="G100" t="str">
        <f>"Technology Lead - US - Professional "</f>
        <v xml:space="preserve">Technology Lead - US - Professional </v>
      </c>
      <c r="H100" t="s">
        <v>12168</v>
      </c>
      <c r="I100" t="s">
        <v>367</v>
      </c>
      <c r="J100" t="s">
        <v>98</v>
      </c>
      <c r="K100" s="1">
        <v>44109</v>
      </c>
      <c r="L100" s="1">
        <v>45201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 t="s">
        <v>723</v>
      </c>
      <c r="U100" t="str">
        <f>""</f>
        <v/>
      </c>
      <c r="V100" t="s">
        <v>724</v>
      </c>
      <c r="W100" t="str">
        <f>"STE C150"</f>
        <v>STE C150</v>
      </c>
      <c r="X100" t="s">
        <v>725</v>
      </c>
      <c r="Y100" t="s">
        <v>114</v>
      </c>
      <c r="Z100" s="3">
        <v>75082</v>
      </c>
      <c r="AA100" t="s">
        <v>101</v>
      </c>
      <c r="AC100" s="4" t="str">
        <f>"+12143062100"</f>
        <v>+12143062100</v>
      </c>
      <c r="AE100" t="str">
        <f>"541511"</f>
        <v>541511</v>
      </c>
      <c r="AF100" t="s">
        <v>726</v>
      </c>
      <c r="AG100" t="s">
        <v>727</v>
      </c>
      <c r="AI100" t="s">
        <v>728</v>
      </c>
      <c r="AJ100" t="s">
        <v>724</v>
      </c>
      <c r="AK100" t="str">
        <f>"STE C150"</f>
        <v>STE C150</v>
      </c>
      <c r="AL100" t="s">
        <v>725</v>
      </c>
      <c r="AM100" t="s">
        <v>114</v>
      </c>
      <c r="AN100" s="3">
        <v>75082</v>
      </c>
      <c r="AO100" t="s">
        <v>101</v>
      </c>
      <c r="AQ100" t="str">
        <f>"+12143062100"</f>
        <v>+12143062100</v>
      </c>
      <c r="AS100" t="s">
        <v>729</v>
      </c>
      <c r="AT100" t="s">
        <v>102</v>
      </c>
      <c r="AU100" t="str">
        <f>""</f>
        <v/>
      </c>
      <c r="AV100" t="str">
        <f>""</f>
        <v/>
      </c>
      <c r="AW100" t="str">
        <f>""</f>
        <v/>
      </c>
      <c r="AX100" t="str">
        <f>""</f>
        <v/>
      </c>
      <c r="AY100" t="str">
        <f>""</f>
        <v/>
      </c>
      <c r="AZ100" t="str">
        <f>""</f>
        <v/>
      </c>
      <c r="BA100" t="str">
        <f>""</f>
        <v/>
      </c>
      <c r="BC100" t="str">
        <f>""</f>
        <v/>
      </c>
      <c r="BD100" t="str">
        <f>""</f>
        <v/>
      </c>
      <c r="BE100" t="str">
        <f>""</f>
        <v/>
      </c>
      <c r="BF100" t="str">
        <f>""</f>
        <v/>
      </c>
      <c r="BG100" t="str">
        <f>""</f>
        <v/>
      </c>
      <c r="BH100" t="str">
        <f>""</f>
        <v/>
      </c>
      <c r="BI100" t="str">
        <f>""</f>
        <v/>
      </c>
      <c r="BJ100" t="str">
        <f>""</f>
        <v/>
      </c>
      <c r="BK100">
        <v>1</v>
      </c>
      <c r="BL100" t="s">
        <v>107</v>
      </c>
      <c r="BM100" t="str">
        <f>"Haier US appliance Solution, INC"</f>
        <v>Haier US appliance Solution, INC</v>
      </c>
      <c r="BN100" t="s">
        <v>8395</v>
      </c>
      <c r="BP100" t="s">
        <v>368</v>
      </c>
      <c r="BQ100" t="s">
        <v>369</v>
      </c>
      <c r="BR100" t="s">
        <v>370</v>
      </c>
      <c r="BS100" s="5">
        <v>40225</v>
      </c>
      <c r="BT100" s="2">
        <v>66140</v>
      </c>
      <c r="BV100" t="s">
        <v>105</v>
      </c>
      <c r="BW100" s="2">
        <v>60133</v>
      </c>
      <c r="BX100" t="s">
        <v>105</v>
      </c>
      <c r="BZ100" t="s">
        <v>167</v>
      </c>
      <c r="CA100" t="str">
        <f t="shared" si="6"/>
        <v>7/1/2020 - 6/30/2021</v>
      </c>
      <c r="CF100">
        <v>1</v>
      </c>
      <c r="CG100" t="s">
        <v>98</v>
      </c>
      <c r="CH100" t="s">
        <v>98</v>
      </c>
      <c r="CI100" t="s">
        <v>206</v>
      </c>
      <c r="CJ100" t="s">
        <v>98</v>
      </c>
      <c r="CK100" t="s">
        <v>12323</v>
      </c>
      <c r="CL100" t="s">
        <v>108</v>
      </c>
      <c r="CM100" t="s">
        <v>109</v>
      </c>
      <c r="CN100" t="str">
        <f>"Khanum"</f>
        <v>Khanum</v>
      </c>
      <c r="CO100" t="str">
        <f>"Hajeera"</f>
        <v>Hajeera</v>
      </c>
      <c r="CP100" t="str">
        <f>""</f>
        <v/>
      </c>
      <c r="CQ100" t="str">
        <f>"Infosys Limited"</f>
        <v>Infosys Limited</v>
      </c>
      <c r="CR100" t="s">
        <v>900</v>
      </c>
    </row>
    <row r="101" spans="1:96" x14ac:dyDescent="0.2">
      <c r="A101" t="s">
        <v>8765</v>
      </c>
      <c r="B101" t="s">
        <v>96</v>
      </c>
      <c r="C101" s="1">
        <v>44098</v>
      </c>
      <c r="D101" s="1">
        <v>44105</v>
      </c>
      <c r="F101" t="s">
        <v>97</v>
      </c>
      <c r="G101" t="str">
        <f>"Database Administrator"</f>
        <v>Database Administrator</v>
      </c>
      <c r="H101" t="s">
        <v>12168</v>
      </c>
      <c r="I101" t="s">
        <v>319</v>
      </c>
      <c r="J101" t="s">
        <v>206</v>
      </c>
      <c r="K101" s="1">
        <v>44104</v>
      </c>
      <c r="L101" s="1">
        <v>45189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7532</v>
      </c>
      <c r="U101" t="str">
        <f>""</f>
        <v/>
      </c>
      <c r="V101" t="s">
        <v>7533</v>
      </c>
      <c r="W101" t="str">
        <f>"Suite # 710"</f>
        <v>Suite # 710</v>
      </c>
      <c r="X101" t="s">
        <v>980</v>
      </c>
      <c r="Y101" t="s">
        <v>114</v>
      </c>
      <c r="Z101" s="3">
        <v>75024</v>
      </c>
      <c r="AA101" t="s">
        <v>101</v>
      </c>
      <c r="AC101" s="4" t="str">
        <f>"+19729059701"</f>
        <v>+19729059701</v>
      </c>
      <c r="AE101" t="str">
        <f>"5415"</f>
        <v>5415</v>
      </c>
      <c r="AF101" t="s">
        <v>7534</v>
      </c>
      <c r="AG101" t="s">
        <v>2255</v>
      </c>
      <c r="AI101" t="s">
        <v>1153</v>
      </c>
      <c r="AJ101" t="s">
        <v>7533</v>
      </c>
      <c r="AK101" t="str">
        <f>"Suite # 710"</f>
        <v>Suite # 710</v>
      </c>
      <c r="AL101" t="s">
        <v>980</v>
      </c>
      <c r="AM101" t="s">
        <v>114</v>
      </c>
      <c r="AN101" s="3">
        <v>75024</v>
      </c>
      <c r="AO101" t="s">
        <v>101</v>
      </c>
      <c r="AQ101" t="str">
        <f>"+19729059701"</f>
        <v>+19729059701</v>
      </c>
      <c r="AS101" t="s">
        <v>7535</v>
      </c>
      <c r="AT101" t="s">
        <v>102</v>
      </c>
      <c r="AU101" t="str">
        <f>""</f>
        <v/>
      </c>
      <c r="AV101" t="str">
        <f>""</f>
        <v/>
      </c>
      <c r="AW101" t="str">
        <f>""</f>
        <v/>
      </c>
      <c r="AX101" t="str">
        <f>""</f>
        <v/>
      </c>
      <c r="AY101" t="str">
        <f>""</f>
        <v/>
      </c>
      <c r="AZ101" t="str">
        <f>""</f>
        <v/>
      </c>
      <c r="BA101" t="str">
        <f>""</f>
        <v/>
      </c>
      <c r="BC101" t="str">
        <f>""</f>
        <v/>
      </c>
      <c r="BD101" t="str">
        <f>""</f>
        <v/>
      </c>
      <c r="BE101" t="str">
        <f>""</f>
        <v/>
      </c>
      <c r="BF101" t="str">
        <f>""</f>
        <v/>
      </c>
      <c r="BG101" t="str">
        <f>""</f>
        <v/>
      </c>
      <c r="BH101" t="str">
        <f>""</f>
        <v/>
      </c>
      <c r="BI101" t="str">
        <f>""</f>
        <v/>
      </c>
      <c r="BJ101" t="str">
        <f>""</f>
        <v/>
      </c>
      <c r="BK101">
        <v>1</v>
      </c>
      <c r="BL101" t="s">
        <v>102</v>
      </c>
      <c r="BM101" t="str">
        <f>""</f>
        <v/>
      </c>
      <c r="BN101" t="s">
        <v>7536</v>
      </c>
      <c r="BO101" t="s">
        <v>7537</v>
      </c>
      <c r="BP101" t="s">
        <v>297</v>
      </c>
      <c r="BQ101" t="s">
        <v>556</v>
      </c>
      <c r="BR101" t="s">
        <v>114</v>
      </c>
      <c r="BS101" s="5">
        <v>75024</v>
      </c>
      <c r="BT101" s="2">
        <v>36</v>
      </c>
      <c r="BU101" s="2">
        <v>37</v>
      </c>
      <c r="BV101" t="s">
        <v>210</v>
      </c>
      <c r="BW101" s="2">
        <v>35.590000000000003</v>
      </c>
      <c r="BX101" t="s">
        <v>210</v>
      </c>
      <c r="BZ101" t="s">
        <v>167</v>
      </c>
      <c r="CA101" t="str">
        <f t="shared" si="6"/>
        <v>7/1/2020 - 6/30/2021</v>
      </c>
      <c r="CF101">
        <v>2</v>
      </c>
      <c r="CG101" t="s">
        <v>98</v>
      </c>
      <c r="CH101" t="s">
        <v>98</v>
      </c>
      <c r="CI101" t="s">
        <v>206</v>
      </c>
      <c r="CJ101" t="s">
        <v>98</v>
      </c>
      <c r="CK101" t="s">
        <v>12323</v>
      </c>
      <c r="CL101" t="s">
        <v>108</v>
      </c>
      <c r="CM101" t="s">
        <v>109</v>
      </c>
      <c r="CN101" t="str">
        <f>""</f>
        <v/>
      </c>
      <c r="CO101" t="str">
        <f>""</f>
        <v/>
      </c>
      <c r="CP101" t="str">
        <f>""</f>
        <v/>
      </c>
      <c r="CQ101" t="str">
        <f>""</f>
        <v/>
      </c>
    </row>
    <row r="102" spans="1:96" x14ac:dyDescent="0.2">
      <c r="A102" t="s">
        <v>8785</v>
      </c>
      <c r="B102" t="s">
        <v>96</v>
      </c>
      <c r="C102" s="1">
        <v>44098</v>
      </c>
      <c r="D102" s="1">
        <v>44105</v>
      </c>
      <c r="F102" t="s">
        <v>97</v>
      </c>
      <c r="G102" t="str">
        <f>"Senior Systems Analyst JC60"</f>
        <v>Senior Systems Analyst JC60</v>
      </c>
      <c r="H102" t="s">
        <v>12181</v>
      </c>
      <c r="I102" t="s">
        <v>110</v>
      </c>
      <c r="J102" t="s">
        <v>98</v>
      </c>
      <c r="K102" s="1">
        <v>44107</v>
      </c>
      <c r="L102" s="1">
        <v>45201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t="s">
        <v>111</v>
      </c>
      <c r="U102" t="str">
        <f>"CTSUS"</f>
        <v>CTSUS</v>
      </c>
      <c r="V102" t="s">
        <v>112</v>
      </c>
      <c r="W102" t="str">
        <f>""</f>
        <v/>
      </c>
      <c r="X102" t="s">
        <v>113</v>
      </c>
      <c r="Y102" t="s">
        <v>114</v>
      </c>
      <c r="Z102" s="3">
        <v>77845</v>
      </c>
      <c r="AA102" t="s">
        <v>101</v>
      </c>
      <c r="AB102" t="s">
        <v>114</v>
      </c>
      <c r="AC102" s="4" t="str">
        <f>"+19793296682"</f>
        <v>+19793296682</v>
      </c>
      <c r="AE102" t="str">
        <f>"541512"</f>
        <v>541512</v>
      </c>
      <c r="AF102" t="s">
        <v>115</v>
      </c>
      <c r="AG102" t="s">
        <v>116</v>
      </c>
      <c r="AH102" t="s">
        <v>108</v>
      </c>
      <c r="AI102" t="s">
        <v>117</v>
      </c>
      <c r="AJ102" t="s">
        <v>118</v>
      </c>
      <c r="AK102" t="str">
        <f>""</f>
        <v/>
      </c>
      <c r="AL102" t="s">
        <v>119</v>
      </c>
      <c r="AM102" t="s">
        <v>114</v>
      </c>
      <c r="AN102" s="3">
        <v>77845</v>
      </c>
      <c r="AO102" t="s">
        <v>101</v>
      </c>
      <c r="AQ102" t="str">
        <f>"+19793296682"</f>
        <v>+19793296682</v>
      </c>
      <c r="AS102" t="s">
        <v>120</v>
      </c>
      <c r="AT102" t="s">
        <v>102</v>
      </c>
      <c r="AU102" t="str">
        <f>""</f>
        <v/>
      </c>
      <c r="AV102" t="str">
        <f>""</f>
        <v/>
      </c>
      <c r="AW102" t="str">
        <f>""</f>
        <v/>
      </c>
      <c r="AX102" t="str">
        <f>""</f>
        <v/>
      </c>
      <c r="AY102" t="str">
        <f>""</f>
        <v/>
      </c>
      <c r="AZ102" t="str">
        <f>""</f>
        <v/>
      </c>
      <c r="BA102" t="str">
        <f>""</f>
        <v/>
      </c>
      <c r="BC102" t="str">
        <f>""</f>
        <v/>
      </c>
      <c r="BD102" t="str">
        <f>""</f>
        <v/>
      </c>
      <c r="BE102" t="str">
        <f>""</f>
        <v/>
      </c>
      <c r="BF102" t="str">
        <f>""</f>
        <v/>
      </c>
      <c r="BG102" t="str">
        <f>""</f>
        <v/>
      </c>
      <c r="BH102" t="str">
        <f>""</f>
        <v/>
      </c>
      <c r="BI102" t="str">
        <f>""</f>
        <v/>
      </c>
      <c r="BJ102" t="str">
        <f>""</f>
        <v/>
      </c>
      <c r="BK102">
        <v>1</v>
      </c>
      <c r="BL102" t="s">
        <v>107</v>
      </c>
      <c r="BM102" t="str">
        <f>"The Hartford"</f>
        <v>The Hartford</v>
      </c>
      <c r="BN102" t="s">
        <v>6633</v>
      </c>
      <c r="BP102" t="s">
        <v>1142</v>
      </c>
      <c r="BQ102" t="s">
        <v>547</v>
      </c>
      <c r="BR102" t="s">
        <v>280</v>
      </c>
      <c r="BS102" s="5">
        <v>6155</v>
      </c>
      <c r="BT102" s="2">
        <v>81453</v>
      </c>
      <c r="BV102" t="s">
        <v>105</v>
      </c>
      <c r="BW102" s="2">
        <v>81453</v>
      </c>
      <c r="BX102" t="s">
        <v>105</v>
      </c>
      <c r="BZ102" t="s">
        <v>167</v>
      </c>
      <c r="CA102" t="str">
        <f t="shared" si="6"/>
        <v>7/1/2020 - 6/30/2021</v>
      </c>
      <c r="CF102">
        <v>1</v>
      </c>
      <c r="CG102" t="s">
        <v>98</v>
      </c>
      <c r="CH102" t="s">
        <v>98</v>
      </c>
      <c r="CI102" t="s">
        <v>206</v>
      </c>
      <c r="CJ102" t="s">
        <v>98</v>
      </c>
      <c r="CK102" t="s">
        <v>12323</v>
      </c>
      <c r="CL102" t="s">
        <v>108</v>
      </c>
      <c r="CM102" t="s">
        <v>109</v>
      </c>
      <c r="CN102" t="str">
        <f>""</f>
        <v/>
      </c>
      <c r="CO102" t="str">
        <f>""</f>
        <v/>
      </c>
      <c r="CP102" t="str">
        <f>""</f>
        <v/>
      </c>
      <c r="CQ102" t="str">
        <f>""</f>
        <v/>
      </c>
    </row>
    <row r="103" spans="1:96" x14ac:dyDescent="0.2">
      <c r="A103" t="s">
        <v>8803</v>
      </c>
      <c r="B103" t="s">
        <v>96</v>
      </c>
      <c r="C103" s="1">
        <v>44098</v>
      </c>
      <c r="D103" s="1">
        <v>44105</v>
      </c>
      <c r="F103" t="s">
        <v>97</v>
      </c>
      <c r="G103" t="str">
        <f>"QA ARCHITECT"</f>
        <v>QA ARCHITECT</v>
      </c>
      <c r="H103" t="s">
        <v>12168</v>
      </c>
      <c r="I103" t="s">
        <v>319</v>
      </c>
      <c r="J103" t="s">
        <v>98</v>
      </c>
      <c r="K103" s="1">
        <v>44106</v>
      </c>
      <c r="L103" s="1">
        <v>45200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 t="s">
        <v>8804</v>
      </c>
      <c r="U103" t="str">
        <f>""</f>
        <v/>
      </c>
      <c r="V103" t="s">
        <v>5385</v>
      </c>
      <c r="W103" t="str">
        <f>"SUITE 321"</f>
        <v>SUITE 321</v>
      </c>
      <c r="X103" t="s">
        <v>2341</v>
      </c>
      <c r="Y103" t="s">
        <v>100</v>
      </c>
      <c r="Z103" s="3">
        <v>7080</v>
      </c>
      <c r="AA103" t="s">
        <v>101</v>
      </c>
      <c r="AC103" s="4" t="str">
        <f>"+17325868292"</f>
        <v>+17325868292</v>
      </c>
      <c r="AE103" t="str">
        <f>"541511"</f>
        <v>541511</v>
      </c>
      <c r="AF103" t="s">
        <v>8805</v>
      </c>
      <c r="AG103" t="s">
        <v>7538</v>
      </c>
      <c r="AI103" t="s">
        <v>2882</v>
      </c>
      <c r="AJ103" t="s">
        <v>5385</v>
      </c>
      <c r="AK103" t="str">
        <f>"SUITE 321"</f>
        <v>SUITE 321</v>
      </c>
      <c r="AL103" t="s">
        <v>2341</v>
      </c>
      <c r="AM103" t="s">
        <v>100</v>
      </c>
      <c r="AN103" s="3">
        <v>7080</v>
      </c>
      <c r="AO103" t="s">
        <v>101</v>
      </c>
      <c r="AQ103" t="str">
        <f>"+17325868292"</f>
        <v>+17325868292</v>
      </c>
      <c r="AS103" t="s">
        <v>8806</v>
      </c>
      <c r="AT103" t="s">
        <v>107</v>
      </c>
      <c r="AU103" t="str">
        <f>"ALLEN"</f>
        <v>ALLEN</v>
      </c>
      <c r="AV103" t="str">
        <f>"THOMAS"</f>
        <v>THOMAS</v>
      </c>
      <c r="AW103" t="str">
        <f>"V."</f>
        <v>V.</v>
      </c>
      <c r="AX103" t="str">
        <f>"50 CRAGWOOD ROAD"</f>
        <v>50 CRAGWOOD ROAD</v>
      </c>
      <c r="AY103" t="str">
        <f>"SUITE 100"</f>
        <v>SUITE 100</v>
      </c>
      <c r="AZ103" t="str">
        <f>"SOUTH PLAINFIELD"</f>
        <v>SOUTH PLAINFIELD</v>
      </c>
      <c r="BA103" t="str">
        <f>"NJ"</f>
        <v>NJ</v>
      </c>
      <c r="BB103" s="3">
        <v>7080</v>
      </c>
      <c r="BC103" t="str">
        <f>"UNITED STATES OF AMERICA"</f>
        <v>UNITED STATES OF AMERICA</v>
      </c>
      <c r="BD103" t="str">
        <f>""</f>
        <v/>
      </c>
      <c r="BE103" t="str">
        <f>"+17328327978"</f>
        <v>+17328327978</v>
      </c>
      <c r="BF103" t="str">
        <f>""</f>
        <v/>
      </c>
      <c r="BG103" t="str">
        <f>"ICERT@THOMASVALLEN.COM"</f>
        <v>ICERT@THOMASVALLEN.COM</v>
      </c>
      <c r="BH103" t="str">
        <f>"LAW OFFICE OF THOMAS V. ALLEN PLLC"</f>
        <v>LAW OFFICE OF THOMAS V. ALLEN PLLC</v>
      </c>
      <c r="BI103" t="str">
        <f>"NY"</f>
        <v>NY</v>
      </c>
      <c r="BJ103" t="str">
        <f>"APPELLATE COURT"</f>
        <v>APPELLATE COURT</v>
      </c>
      <c r="BK103">
        <v>1</v>
      </c>
      <c r="BL103" t="s">
        <v>107</v>
      </c>
      <c r="BM103" t="str">
        <f>"WAWA, INC."</f>
        <v>WAWA, INC.</v>
      </c>
      <c r="BN103" t="s">
        <v>8807</v>
      </c>
      <c r="BP103" t="s">
        <v>6784</v>
      </c>
      <c r="BQ103" t="s">
        <v>1556</v>
      </c>
      <c r="BR103" t="s">
        <v>127</v>
      </c>
      <c r="BS103" s="5">
        <v>19063</v>
      </c>
      <c r="BT103" s="2">
        <v>94224</v>
      </c>
      <c r="BV103" t="s">
        <v>105</v>
      </c>
      <c r="BW103" s="2">
        <v>94224</v>
      </c>
      <c r="BX103" t="s">
        <v>105</v>
      </c>
      <c r="BZ103" t="s">
        <v>123</v>
      </c>
      <c r="CA103" t="str">
        <f t="shared" si="6"/>
        <v>7/1/2020 - 6/30/2021</v>
      </c>
      <c r="CF103">
        <v>2</v>
      </c>
      <c r="CG103" t="s">
        <v>98</v>
      </c>
      <c r="CH103" t="s">
        <v>98</v>
      </c>
      <c r="CI103" t="s">
        <v>206</v>
      </c>
      <c r="CJ103" t="s">
        <v>98</v>
      </c>
      <c r="CK103" t="s">
        <v>12323</v>
      </c>
      <c r="CL103" t="s">
        <v>108</v>
      </c>
      <c r="CM103" t="s">
        <v>109</v>
      </c>
      <c r="CN103" t="str">
        <f>""</f>
        <v/>
      </c>
      <c r="CO103" t="str">
        <f>""</f>
        <v/>
      </c>
      <c r="CP103" t="str">
        <f>""</f>
        <v/>
      </c>
      <c r="CQ103" t="str">
        <f>""</f>
        <v/>
      </c>
    </row>
    <row r="104" spans="1:96" x14ac:dyDescent="0.2">
      <c r="A104" t="s">
        <v>8808</v>
      </c>
      <c r="B104" t="s">
        <v>96</v>
      </c>
      <c r="C104" s="1">
        <v>44098</v>
      </c>
      <c r="D104" s="1">
        <v>44105</v>
      </c>
      <c r="F104" t="s">
        <v>97</v>
      </c>
      <c r="G104" t="str">
        <f>"Computer Systems Engineer"</f>
        <v>Computer Systems Engineer</v>
      </c>
      <c r="H104" t="s">
        <v>12168</v>
      </c>
      <c r="I104" t="s">
        <v>160</v>
      </c>
      <c r="J104" t="s">
        <v>98</v>
      </c>
      <c r="K104" s="1">
        <v>44105</v>
      </c>
      <c r="L104" s="1">
        <v>45199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8263</v>
      </c>
      <c r="U104" t="str">
        <f>""</f>
        <v/>
      </c>
      <c r="V104" t="s">
        <v>8264</v>
      </c>
      <c r="W104" t="str">
        <f>"Suite # 302"</f>
        <v>Suite # 302</v>
      </c>
      <c r="X104" t="s">
        <v>3681</v>
      </c>
      <c r="Y104" t="s">
        <v>215</v>
      </c>
      <c r="Z104" s="3">
        <v>30097</v>
      </c>
      <c r="AA104" t="s">
        <v>101</v>
      </c>
      <c r="AC104" s="4" t="str">
        <f>"+17702469800"</f>
        <v>+17702469800</v>
      </c>
      <c r="AD104">
        <v>101</v>
      </c>
      <c r="AE104" t="str">
        <f>"541511"</f>
        <v>541511</v>
      </c>
      <c r="AF104" t="s">
        <v>8126</v>
      </c>
      <c r="AG104" t="s">
        <v>5879</v>
      </c>
      <c r="AI104" t="s">
        <v>508</v>
      </c>
      <c r="AJ104" t="s">
        <v>8264</v>
      </c>
      <c r="AK104" t="str">
        <f>"Suite # 302"</f>
        <v>Suite # 302</v>
      </c>
      <c r="AL104" t="s">
        <v>3681</v>
      </c>
      <c r="AM104" t="s">
        <v>215</v>
      </c>
      <c r="AN104" s="3">
        <v>30097</v>
      </c>
      <c r="AO104" t="s">
        <v>101</v>
      </c>
      <c r="AQ104" t="str">
        <f>"+17702469800"</f>
        <v>+17702469800</v>
      </c>
      <c r="AR104">
        <v>101</v>
      </c>
      <c r="AS104" t="s">
        <v>8265</v>
      </c>
      <c r="AT104" t="s">
        <v>102</v>
      </c>
      <c r="AU104" t="str">
        <f>""</f>
        <v/>
      </c>
      <c r="AV104" t="str">
        <f>""</f>
        <v/>
      </c>
      <c r="AW104" t="str">
        <f>""</f>
        <v/>
      </c>
      <c r="AX104" t="str">
        <f>""</f>
        <v/>
      </c>
      <c r="AY104" t="str">
        <f>""</f>
        <v/>
      </c>
      <c r="AZ104" t="str">
        <f>""</f>
        <v/>
      </c>
      <c r="BA104" t="str">
        <f>""</f>
        <v/>
      </c>
      <c r="BC104" t="str">
        <f>""</f>
        <v/>
      </c>
      <c r="BD104" t="str">
        <f>""</f>
        <v/>
      </c>
      <c r="BE104" t="str">
        <f>""</f>
        <v/>
      </c>
      <c r="BF104" t="str">
        <f>""</f>
        <v/>
      </c>
      <c r="BG104" t="str">
        <f>""</f>
        <v/>
      </c>
      <c r="BH104" t="str">
        <f>""</f>
        <v/>
      </c>
      <c r="BI104" t="str">
        <f>""</f>
        <v/>
      </c>
      <c r="BJ104" t="str">
        <f>""</f>
        <v/>
      </c>
      <c r="BK104">
        <v>1</v>
      </c>
      <c r="BL104" t="s">
        <v>102</v>
      </c>
      <c r="BM104" t="str">
        <f>""</f>
        <v/>
      </c>
      <c r="BN104" t="s">
        <v>8264</v>
      </c>
      <c r="BO104" t="s">
        <v>8809</v>
      </c>
      <c r="BP104" t="s">
        <v>3681</v>
      </c>
      <c r="BQ104" t="s">
        <v>214</v>
      </c>
      <c r="BR104" t="s">
        <v>215</v>
      </c>
      <c r="BS104" s="5">
        <v>30097</v>
      </c>
      <c r="BT104" s="2">
        <v>74100</v>
      </c>
      <c r="BU104" s="2">
        <v>94000</v>
      </c>
      <c r="BV104" t="s">
        <v>105</v>
      </c>
      <c r="BW104" s="2">
        <v>74006</v>
      </c>
      <c r="BX104" t="s">
        <v>105</v>
      </c>
      <c r="BZ104" t="s">
        <v>167</v>
      </c>
      <c r="CA104" t="str">
        <f t="shared" si="6"/>
        <v>7/1/2020 - 6/30/2021</v>
      </c>
      <c r="CF104">
        <v>1</v>
      </c>
      <c r="CG104" t="s">
        <v>98</v>
      </c>
      <c r="CH104" t="s">
        <v>98</v>
      </c>
      <c r="CI104" t="s">
        <v>206</v>
      </c>
      <c r="CJ104" t="s">
        <v>98</v>
      </c>
      <c r="CK104" t="s">
        <v>12323</v>
      </c>
      <c r="CL104" t="s">
        <v>108</v>
      </c>
      <c r="CM104" t="s">
        <v>109</v>
      </c>
      <c r="CN104" t="str">
        <f>""</f>
        <v/>
      </c>
      <c r="CO104" t="str">
        <f>""</f>
        <v/>
      </c>
      <c r="CP104" t="str">
        <f>""</f>
        <v/>
      </c>
      <c r="CQ104" t="str">
        <f>""</f>
        <v/>
      </c>
    </row>
    <row r="105" spans="1:96" x14ac:dyDescent="0.2">
      <c r="A105" t="s">
        <v>8821</v>
      </c>
      <c r="B105" t="s">
        <v>96</v>
      </c>
      <c r="C105" s="1">
        <v>44098</v>
      </c>
      <c r="D105" s="1">
        <v>44105</v>
      </c>
      <c r="F105" t="s">
        <v>97</v>
      </c>
      <c r="G105" t="str">
        <f>"Applications Consultant 2"</f>
        <v>Applications Consultant 2</v>
      </c>
      <c r="H105" t="s">
        <v>12169</v>
      </c>
      <c r="I105" t="s">
        <v>124</v>
      </c>
      <c r="J105" t="s">
        <v>98</v>
      </c>
      <c r="K105" s="1">
        <v>44107</v>
      </c>
      <c r="L105" s="1">
        <v>45201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 t="s">
        <v>1421</v>
      </c>
      <c r="U105" t="str">
        <f>""</f>
        <v/>
      </c>
      <c r="V105" t="s">
        <v>1422</v>
      </c>
      <c r="W105" t="str">
        <f>"SUITE 300"</f>
        <v>SUITE 300</v>
      </c>
      <c r="X105" t="s">
        <v>843</v>
      </c>
      <c r="Y105" t="s">
        <v>345</v>
      </c>
      <c r="Z105" s="3">
        <v>60606</v>
      </c>
      <c r="AA105" t="s">
        <v>101</v>
      </c>
      <c r="AC105" s="4" t="str">
        <f>"+13123955000"</f>
        <v>+13123955000</v>
      </c>
      <c r="AE105" t="str">
        <f>"5416"</f>
        <v>5416</v>
      </c>
      <c r="AF105" t="s">
        <v>1423</v>
      </c>
      <c r="AG105" t="s">
        <v>1424</v>
      </c>
      <c r="AI105" t="s">
        <v>1425</v>
      </c>
      <c r="AJ105" t="s">
        <v>1422</v>
      </c>
      <c r="AK105" t="str">
        <f>"SUITE 300"</f>
        <v>SUITE 300</v>
      </c>
      <c r="AL105" t="s">
        <v>843</v>
      </c>
      <c r="AM105" t="s">
        <v>345</v>
      </c>
      <c r="AN105" s="3">
        <v>60606</v>
      </c>
      <c r="AO105" t="s">
        <v>101</v>
      </c>
      <c r="AQ105" t="str">
        <f>"+13123958209"</f>
        <v>+13123958209</v>
      </c>
      <c r="AS105" t="s">
        <v>1426</v>
      </c>
      <c r="AT105" t="s">
        <v>102</v>
      </c>
      <c r="AU105" t="str">
        <f>""</f>
        <v/>
      </c>
      <c r="AV105" t="str">
        <f>""</f>
        <v/>
      </c>
      <c r="AW105" t="str">
        <f>""</f>
        <v/>
      </c>
      <c r="AX105" t="str">
        <f>""</f>
        <v/>
      </c>
      <c r="AY105" t="str">
        <f>""</f>
        <v/>
      </c>
      <c r="AZ105" t="str">
        <f>""</f>
        <v/>
      </c>
      <c r="BA105" t="str">
        <f>""</f>
        <v/>
      </c>
      <c r="BC105" t="str">
        <f>""</f>
        <v/>
      </c>
      <c r="BD105" t="str">
        <f>""</f>
        <v/>
      </c>
      <c r="BE105" t="str">
        <f>""</f>
        <v/>
      </c>
      <c r="BF105" t="str">
        <f>""</f>
        <v/>
      </c>
      <c r="BG105" t="str">
        <f>""</f>
        <v/>
      </c>
      <c r="BH105" t="str">
        <f>""</f>
        <v/>
      </c>
      <c r="BI105" t="str">
        <f>""</f>
        <v/>
      </c>
      <c r="BJ105" t="str">
        <f>""</f>
        <v/>
      </c>
      <c r="BK105">
        <v>1</v>
      </c>
      <c r="BL105" t="s">
        <v>102</v>
      </c>
      <c r="BM105" t="str">
        <f>""</f>
        <v/>
      </c>
      <c r="BN105" t="s">
        <v>8822</v>
      </c>
      <c r="BP105" t="s">
        <v>2928</v>
      </c>
      <c r="BQ105" t="s">
        <v>377</v>
      </c>
      <c r="BR105" t="s">
        <v>577</v>
      </c>
      <c r="BS105" s="5">
        <v>32821</v>
      </c>
      <c r="BT105" s="2">
        <v>83512</v>
      </c>
      <c r="BU105" s="2">
        <v>87000</v>
      </c>
      <c r="BV105" t="s">
        <v>105</v>
      </c>
      <c r="BW105" s="2">
        <v>83512</v>
      </c>
      <c r="BX105" t="s">
        <v>105</v>
      </c>
      <c r="BZ105" t="s">
        <v>167</v>
      </c>
      <c r="CA105" t="str">
        <f t="shared" ref="CA105:CA136" si="8">"7/1/2020 - 6/30/2021"</f>
        <v>7/1/2020 - 6/30/2021</v>
      </c>
      <c r="CF105">
        <v>1</v>
      </c>
      <c r="CG105" t="s">
        <v>98</v>
      </c>
      <c r="CH105" t="s">
        <v>98</v>
      </c>
      <c r="CI105" t="s">
        <v>206</v>
      </c>
      <c r="CJ105" t="s">
        <v>98</v>
      </c>
      <c r="CK105" t="s">
        <v>12323</v>
      </c>
      <c r="CL105" t="s">
        <v>108</v>
      </c>
      <c r="CM105" t="s">
        <v>109</v>
      </c>
      <c r="CN105" t="str">
        <f>""</f>
        <v/>
      </c>
      <c r="CO105" t="str">
        <f>""</f>
        <v/>
      </c>
      <c r="CP105" t="str">
        <f>""</f>
        <v/>
      </c>
      <c r="CQ105" t="str">
        <f>""</f>
        <v/>
      </c>
    </row>
    <row r="106" spans="1:96" x14ac:dyDescent="0.2">
      <c r="A106" t="s">
        <v>8859</v>
      </c>
      <c r="B106" t="s">
        <v>96</v>
      </c>
      <c r="C106" s="1">
        <v>44098</v>
      </c>
      <c r="D106" s="1">
        <v>44105</v>
      </c>
      <c r="F106" t="s">
        <v>97</v>
      </c>
      <c r="G106" t="str">
        <f>"TECHNICAL ARCHITECT"</f>
        <v>TECHNICAL ARCHITECT</v>
      </c>
      <c r="H106" t="s">
        <v>12168</v>
      </c>
      <c r="I106" t="s">
        <v>367</v>
      </c>
      <c r="J106" t="s">
        <v>98</v>
      </c>
      <c r="K106" s="1">
        <v>44106</v>
      </c>
      <c r="L106" s="1">
        <v>45197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t="s">
        <v>1143</v>
      </c>
      <c r="U106" t="str">
        <f>""</f>
        <v/>
      </c>
      <c r="V106" t="s">
        <v>1144</v>
      </c>
      <c r="W106" t="str">
        <f>"N/A"</f>
        <v>N/A</v>
      </c>
      <c r="X106" t="s">
        <v>1145</v>
      </c>
      <c r="Y106" t="s">
        <v>100</v>
      </c>
      <c r="Z106" s="3">
        <v>7059</v>
      </c>
      <c r="AA106" t="s">
        <v>101</v>
      </c>
      <c r="AC106" s="4" t="str">
        <f>"+14254959011"</f>
        <v>+14254959011</v>
      </c>
      <c r="AE106" t="str">
        <f>"541511"</f>
        <v>541511</v>
      </c>
      <c r="AF106" t="s">
        <v>1146</v>
      </c>
      <c r="AG106" t="s">
        <v>359</v>
      </c>
      <c r="AH106" t="s">
        <v>108</v>
      </c>
      <c r="AI106" t="s">
        <v>1147</v>
      </c>
      <c r="AJ106" t="s">
        <v>1148</v>
      </c>
      <c r="AK106" t="str">
        <f>"N/A"</f>
        <v>N/A</v>
      </c>
      <c r="AL106" t="s">
        <v>498</v>
      </c>
      <c r="AM106" t="s">
        <v>176</v>
      </c>
      <c r="AN106" s="3">
        <v>98052</v>
      </c>
      <c r="AO106" t="s">
        <v>101</v>
      </c>
      <c r="AQ106" t="str">
        <f>"+14254959011"</f>
        <v>+14254959011</v>
      </c>
      <c r="AS106" t="s">
        <v>1149</v>
      </c>
      <c r="AT106" t="s">
        <v>107</v>
      </c>
      <c r="AU106" t="str">
        <f>"PATEL"</f>
        <v>PATEL</v>
      </c>
      <c r="AV106" t="str">
        <f>"TEJAL"</f>
        <v>TEJAL</v>
      </c>
      <c r="AW106" t="str">
        <f>""</f>
        <v/>
      </c>
      <c r="AX106" t="str">
        <f>"100 HIGH STREET"</f>
        <v>100 HIGH STREET</v>
      </c>
      <c r="AY106" t="str">
        <f>"FLOOR 3"</f>
        <v>FLOOR 3</v>
      </c>
      <c r="AZ106" t="str">
        <f>"BOSTON"</f>
        <v>BOSTON</v>
      </c>
      <c r="BA106" t="str">
        <f>"MA"</f>
        <v>MA</v>
      </c>
      <c r="BB106" s="3">
        <v>2110</v>
      </c>
      <c r="BC106" t="str">
        <f>"UNITED STATES OF AMERICA"</f>
        <v>UNITED STATES OF AMERICA</v>
      </c>
      <c r="BD106" t="str">
        <f>""</f>
        <v/>
      </c>
      <c r="BE106" t="str">
        <f>"+16175740400"</f>
        <v>+16175740400</v>
      </c>
      <c r="BF106" t="str">
        <f>""</f>
        <v/>
      </c>
      <c r="BG106" t="str">
        <f>"MINDTREEUSA@FRAGOMEN.COM"</f>
        <v>MINDTREEUSA@FRAGOMEN.COM</v>
      </c>
      <c r="BH106" t="str">
        <f>"FRAGOMEN, DEL REY, BERNSEN &amp; LOEWY, LLP"</f>
        <v>FRAGOMEN, DEL REY, BERNSEN &amp; LOEWY, LLP</v>
      </c>
      <c r="BI106" t="str">
        <f>"MA"</f>
        <v>MA</v>
      </c>
      <c r="BJ106" t="str">
        <f>"SUPREME JUDICIAL COURT"</f>
        <v>SUPREME JUDICIAL COURT</v>
      </c>
      <c r="BK106">
        <v>1</v>
      </c>
      <c r="BL106" t="s">
        <v>107</v>
      </c>
      <c r="BM106" t="str">
        <f>"Realogy Services Group, LLC"</f>
        <v>Realogy Services Group, LLC</v>
      </c>
      <c r="BN106" t="s">
        <v>8860</v>
      </c>
      <c r="BP106" t="s">
        <v>712</v>
      </c>
      <c r="BQ106" t="s">
        <v>1029</v>
      </c>
      <c r="BR106" t="s">
        <v>100</v>
      </c>
      <c r="BS106" s="5">
        <v>7940</v>
      </c>
      <c r="BT106" s="2">
        <v>155595</v>
      </c>
      <c r="BV106" t="s">
        <v>105</v>
      </c>
      <c r="BW106" s="2">
        <v>91374</v>
      </c>
      <c r="BX106" t="s">
        <v>105</v>
      </c>
      <c r="BZ106" t="s">
        <v>123</v>
      </c>
      <c r="CA106" t="str">
        <f t="shared" si="8"/>
        <v>7/1/2020 - 6/30/2021</v>
      </c>
      <c r="CF106">
        <v>1</v>
      </c>
      <c r="CG106" t="s">
        <v>98</v>
      </c>
      <c r="CH106" t="s">
        <v>98</v>
      </c>
      <c r="CI106" t="s">
        <v>206</v>
      </c>
      <c r="CJ106" t="s">
        <v>98</v>
      </c>
      <c r="CK106" t="s">
        <v>12323</v>
      </c>
      <c r="CL106" t="s">
        <v>108</v>
      </c>
      <c r="CM106" t="s">
        <v>109</v>
      </c>
      <c r="CN106" t="str">
        <f>"SHAJI"</f>
        <v>SHAJI</v>
      </c>
      <c r="CO106" t="str">
        <f>"SHRUTHI"</f>
        <v>SHRUTHI</v>
      </c>
      <c r="CP106" t="str">
        <f>"N/A"</f>
        <v>N/A</v>
      </c>
      <c r="CQ106" t="str">
        <f>"FRAGOMEN, DEL REY, BERNSEN &amp; LOEWY, LLP"</f>
        <v>FRAGOMEN, DEL REY, BERNSEN &amp; LOEWY, LLP</v>
      </c>
      <c r="CR106" t="s">
        <v>1150</v>
      </c>
    </row>
    <row r="107" spans="1:96" x14ac:dyDescent="0.2">
      <c r="A107" t="s">
        <v>8861</v>
      </c>
      <c r="B107" t="s">
        <v>96</v>
      </c>
      <c r="C107" s="1">
        <v>44098</v>
      </c>
      <c r="D107" s="1">
        <v>44105</v>
      </c>
      <c r="F107" t="s">
        <v>97</v>
      </c>
      <c r="G107" t="str">
        <f>"Manager JC50 - IT Project Managers"</f>
        <v>Manager JC50 - IT Project Managers</v>
      </c>
      <c r="H107" t="s">
        <v>12168</v>
      </c>
      <c r="I107" t="s">
        <v>367</v>
      </c>
      <c r="J107" t="s">
        <v>98</v>
      </c>
      <c r="K107" s="1">
        <v>44196</v>
      </c>
      <c r="L107" s="1">
        <v>45290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t="s">
        <v>111</v>
      </c>
      <c r="U107" t="str">
        <f>"CTSUS"</f>
        <v>CTSUS</v>
      </c>
      <c r="V107" t="s">
        <v>112</v>
      </c>
      <c r="W107" t="str">
        <f>""</f>
        <v/>
      </c>
      <c r="X107" t="s">
        <v>113</v>
      </c>
      <c r="Y107" t="s">
        <v>114</v>
      </c>
      <c r="Z107" s="3">
        <v>77845</v>
      </c>
      <c r="AA107" t="s">
        <v>101</v>
      </c>
      <c r="AB107" t="s">
        <v>114</v>
      </c>
      <c r="AC107" s="4" t="str">
        <f>"+19793296682"</f>
        <v>+19793296682</v>
      </c>
      <c r="AE107" t="str">
        <f>"541512"</f>
        <v>541512</v>
      </c>
      <c r="AF107" t="s">
        <v>115</v>
      </c>
      <c r="AG107" t="s">
        <v>116</v>
      </c>
      <c r="AH107" t="s">
        <v>108</v>
      </c>
      <c r="AI107" t="s">
        <v>117</v>
      </c>
      <c r="AJ107" t="s">
        <v>118</v>
      </c>
      <c r="AK107" t="str">
        <f>""</f>
        <v/>
      </c>
      <c r="AL107" t="s">
        <v>119</v>
      </c>
      <c r="AM107" t="s">
        <v>114</v>
      </c>
      <c r="AN107" s="3">
        <v>77845</v>
      </c>
      <c r="AO107" t="s">
        <v>101</v>
      </c>
      <c r="AQ107" t="str">
        <f>"+19793296682"</f>
        <v>+19793296682</v>
      </c>
      <c r="AS107" t="s">
        <v>120</v>
      </c>
      <c r="AT107" t="s">
        <v>102</v>
      </c>
      <c r="AU107" t="str">
        <f>""</f>
        <v/>
      </c>
      <c r="AV107" t="str">
        <f>""</f>
        <v/>
      </c>
      <c r="AW107" t="str">
        <f>""</f>
        <v/>
      </c>
      <c r="AX107" t="str">
        <f>""</f>
        <v/>
      </c>
      <c r="AY107" t="str">
        <f>""</f>
        <v/>
      </c>
      <c r="AZ107" t="str">
        <f>""</f>
        <v/>
      </c>
      <c r="BA107" t="str">
        <f>""</f>
        <v/>
      </c>
      <c r="BC107" t="str">
        <f>""</f>
        <v/>
      </c>
      <c r="BD107" t="str">
        <f>""</f>
        <v/>
      </c>
      <c r="BE107" t="str">
        <f>""</f>
        <v/>
      </c>
      <c r="BF107" t="str">
        <f>""</f>
        <v/>
      </c>
      <c r="BG107" t="str">
        <f>""</f>
        <v/>
      </c>
      <c r="BH107" t="str">
        <f>""</f>
        <v/>
      </c>
      <c r="BI107" t="str">
        <f>""</f>
        <v/>
      </c>
      <c r="BJ107" t="str">
        <f>""</f>
        <v/>
      </c>
      <c r="BK107">
        <v>1</v>
      </c>
      <c r="BL107" t="s">
        <v>107</v>
      </c>
      <c r="BM107" t="str">
        <f>"Avis Budget Car Rental, LLC"</f>
        <v>Avis Budget Car Rental, LLC</v>
      </c>
      <c r="BN107" t="s">
        <v>8862</v>
      </c>
      <c r="BP107" t="s">
        <v>1045</v>
      </c>
      <c r="BQ107" t="s">
        <v>1029</v>
      </c>
      <c r="BR107" t="s">
        <v>100</v>
      </c>
      <c r="BS107" s="5">
        <v>7054</v>
      </c>
      <c r="BT107" s="2">
        <v>91374</v>
      </c>
      <c r="BV107" t="s">
        <v>105</v>
      </c>
      <c r="BW107" s="2">
        <v>91374</v>
      </c>
      <c r="BX107" t="s">
        <v>105</v>
      </c>
      <c r="BZ107" t="s">
        <v>123</v>
      </c>
      <c r="CA107" t="str">
        <f t="shared" si="8"/>
        <v>7/1/2020 - 6/30/2021</v>
      </c>
      <c r="CF107">
        <v>1</v>
      </c>
      <c r="CG107" t="s">
        <v>98</v>
      </c>
      <c r="CH107" t="s">
        <v>98</v>
      </c>
      <c r="CI107" t="s">
        <v>206</v>
      </c>
      <c r="CJ107" t="s">
        <v>98</v>
      </c>
      <c r="CK107" t="s">
        <v>12323</v>
      </c>
      <c r="CL107" t="s">
        <v>108</v>
      </c>
      <c r="CM107" t="s">
        <v>109</v>
      </c>
      <c r="CN107" t="str">
        <f>""</f>
        <v/>
      </c>
      <c r="CO107" t="str">
        <f>""</f>
        <v/>
      </c>
      <c r="CP107" t="str">
        <f>""</f>
        <v/>
      </c>
      <c r="CQ107" t="str">
        <f>""</f>
        <v/>
      </c>
    </row>
    <row r="108" spans="1:96" x14ac:dyDescent="0.2">
      <c r="A108" t="s">
        <v>8930</v>
      </c>
      <c r="B108" t="s">
        <v>96</v>
      </c>
      <c r="C108" s="1">
        <v>44098</v>
      </c>
      <c r="D108" s="1">
        <v>44105</v>
      </c>
      <c r="F108" t="s">
        <v>97</v>
      </c>
      <c r="G108" t="str">
        <f>"SOFTWARE DEVELOPER"</f>
        <v>SOFTWARE DEVELOPER</v>
      </c>
      <c r="H108" t="s">
        <v>12169</v>
      </c>
      <c r="I108" t="s">
        <v>124</v>
      </c>
      <c r="J108" t="s">
        <v>98</v>
      </c>
      <c r="K108" s="1">
        <v>44105</v>
      </c>
      <c r="L108" s="1">
        <v>45199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8931</v>
      </c>
      <c r="U108" t="str">
        <f>""</f>
        <v/>
      </c>
      <c r="V108" t="s">
        <v>8932</v>
      </c>
      <c r="W108" t="str">
        <f>"N/A"</f>
        <v>N/A</v>
      </c>
      <c r="X108" t="s">
        <v>1025</v>
      </c>
      <c r="Y108" t="s">
        <v>577</v>
      </c>
      <c r="Z108" s="3">
        <v>33647</v>
      </c>
      <c r="AA108" t="s">
        <v>101</v>
      </c>
      <c r="AC108" s="4" t="str">
        <f>"+18132203457"</f>
        <v>+18132203457</v>
      </c>
      <c r="AE108" t="str">
        <f>"541511"</f>
        <v>541511</v>
      </c>
      <c r="AF108" t="s">
        <v>4875</v>
      </c>
      <c r="AG108" t="s">
        <v>7051</v>
      </c>
      <c r="AH108" t="s">
        <v>108</v>
      </c>
      <c r="AI108" t="s">
        <v>425</v>
      </c>
      <c r="AJ108" t="s">
        <v>8932</v>
      </c>
      <c r="AK108" t="str">
        <f>"N/A"</f>
        <v>N/A</v>
      </c>
      <c r="AL108" t="s">
        <v>1025</v>
      </c>
      <c r="AM108" t="s">
        <v>577</v>
      </c>
      <c r="AN108" s="3">
        <v>33647</v>
      </c>
      <c r="AO108" t="s">
        <v>101</v>
      </c>
      <c r="AQ108" t="str">
        <f>"+18132203457"</f>
        <v>+18132203457</v>
      </c>
      <c r="AS108" t="s">
        <v>8933</v>
      </c>
      <c r="AT108" t="s">
        <v>107</v>
      </c>
      <c r="AU108" t="str">
        <f>"BALAKRISHNAN"</f>
        <v>BALAKRISHNAN</v>
      </c>
      <c r="AV108" t="str">
        <f>"RANA"</f>
        <v>RANA</v>
      </c>
      <c r="AW108" t="str">
        <f>"N/A"</f>
        <v>N/A</v>
      </c>
      <c r="AX108" t="str">
        <f>"139 FULTON STREET"</f>
        <v>139 FULTON STREET</v>
      </c>
      <c r="AY108" t="str">
        <f>"SUITE 312"</f>
        <v>SUITE 312</v>
      </c>
      <c r="AZ108" t="str">
        <f>"NEW YORK"</f>
        <v>NEW YORK</v>
      </c>
      <c r="BA108" t="str">
        <f>"NY"</f>
        <v>NY</v>
      </c>
      <c r="BB108" s="3">
        <v>10038</v>
      </c>
      <c r="BC108" t="str">
        <f>"UNITED STATES OF AMERICA"</f>
        <v>UNITED STATES OF AMERICA</v>
      </c>
      <c r="BD108" t="str">
        <f>""</f>
        <v/>
      </c>
      <c r="BE108" t="str">
        <f>"+12129647552"</f>
        <v>+12129647552</v>
      </c>
      <c r="BF108" t="str">
        <f>""</f>
        <v/>
      </c>
      <c r="BG108" t="str">
        <f>"RANALAWFIRM@AOL.COM"</f>
        <v>RANALAWFIRM@AOL.COM</v>
      </c>
      <c r="BH108" t="str">
        <f>"RANA LAW FIRM"</f>
        <v>RANA LAW FIRM</v>
      </c>
      <c r="BI108" t="str">
        <f>"NY"</f>
        <v>NY</v>
      </c>
      <c r="BJ108" t="str">
        <f>"SUPREME COURT"</f>
        <v>SUPREME COURT</v>
      </c>
      <c r="BK108">
        <v>1</v>
      </c>
      <c r="BL108" t="s">
        <v>102</v>
      </c>
      <c r="BM108" t="str">
        <f>""</f>
        <v/>
      </c>
      <c r="BN108" t="s">
        <v>8932</v>
      </c>
      <c r="BP108" t="s">
        <v>1025</v>
      </c>
      <c r="BQ108" t="s">
        <v>1034</v>
      </c>
      <c r="BR108" t="s">
        <v>577</v>
      </c>
      <c r="BS108" s="5">
        <v>33647</v>
      </c>
      <c r="BT108" s="2">
        <v>40</v>
      </c>
      <c r="BV108" t="s">
        <v>210</v>
      </c>
      <c r="BW108" s="2">
        <v>39.33</v>
      </c>
      <c r="BX108" t="s">
        <v>210</v>
      </c>
      <c r="BZ108" t="s">
        <v>167</v>
      </c>
      <c r="CA108" t="str">
        <f t="shared" si="8"/>
        <v>7/1/2020 - 6/30/2021</v>
      </c>
      <c r="CF108">
        <v>1</v>
      </c>
      <c r="CG108" t="s">
        <v>98</v>
      </c>
      <c r="CH108" t="s">
        <v>98</v>
      </c>
      <c r="CI108" t="s">
        <v>206</v>
      </c>
      <c r="CJ108" t="s">
        <v>98</v>
      </c>
      <c r="CK108" t="s">
        <v>12323</v>
      </c>
      <c r="CL108" t="s">
        <v>108</v>
      </c>
      <c r="CM108" t="s">
        <v>109</v>
      </c>
      <c r="CN108" t="str">
        <f>"BALAKRISHNAN"</f>
        <v>BALAKRISHNAN</v>
      </c>
      <c r="CO108" t="str">
        <f>"RANA"</f>
        <v>RANA</v>
      </c>
      <c r="CP108" t="str">
        <f>""</f>
        <v/>
      </c>
      <c r="CQ108" t="str">
        <f>"RANA LAW FIRM"</f>
        <v>RANA LAW FIRM</v>
      </c>
      <c r="CR108" t="s">
        <v>8641</v>
      </c>
    </row>
    <row r="109" spans="1:96" x14ac:dyDescent="0.2">
      <c r="A109" t="s">
        <v>8975</v>
      </c>
      <c r="B109" t="s">
        <v>96</v>
      </c>
      <c r="C109" s="1">
        <v>44098</v>
      </c>
      <c r="D109" s="1">
        <v>44105</v>
      </c>
      <c r="F109" t="s">
        <v>97</v>
      </c>
      <c r="G109" t="str">
        <f>"Computer Systems Analyst"</f>
        <v>Computer Systems Analyst</v>
      </c>
      <c r="H109" t="s">
        <v>12181</v>
      </c>
      <c r="I109" t="s">
        <v>110</v>
      </c>
      <c r="J109" t="s">
        <v>98</v>
      </c>
      <c r="K109" s="1">
        <v>44099</v>
      </c>
      <c r="L109" s="1">
        <v>45193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6269</v>
      </c>
      <c r="U109" t="str">
        <f>""</f>
        <v/>
      </c>
      <c r="V109" t="s">
        <v>6270</v>
      </c>
      <c r="W109" t="str">
        <f>""</f>
        <v/>
      </c>
      <c r="X109" t="s">
        <v>6241</v>
      </c>
      <c r="Y109" t="s">
        <v>577</v>
      </c>
      <c r="Z109" s="3">
        <v>33755</v>
      </c>
      <c r="AA109" t="s">
        <v>101</v>
      </c>
      <c r="AC109" s="4" t="str">
        <f>"+13475494446"</f>
        <v>+13475494446</v>
      </c>
      <c r="AE109" t="str">
        <f>"541511"</f>
        <v>541511</v>
      </c>
      <c r="AF109" t="s">
        <v>6271</v>
      </c>
      <c r="AG109" t="s">
        <v>4453</v>
      </c>
      <c r="AH109" t="s">
        <v>382</v>
      </c>
      <c r="AI109" t="s">
        <v>298</v>
      </c>
      <c r="AJ109" t="s">
        <v>6270</v>
      </c>
      <c r="AK109" t="str">
        <f>""</f>
        <v/>
      </c>
      <c r="AL109" t="s">
        <v>6241</v>
      </c>
      <c r="AM109" t="s">
        <v>577</v>
      </c>
      <c r="AN109" s="3">
        <v>33755</v>
      </c>
      <c r="AO109" t="s">
        <v>101</v>
      </c>
      <c r="AQ109" t="str">
        <f>"+13475494446"</f>
        <v>+13475494446</v>
      </c>
      <c r="AS109" t="s">
        <v>6272</v>
      </c>
      <c r="AT109" t="s">
        <v>107</v>
      </c>
      <c r="AU109" t="str">
        <f>"Harding"</f>
        <v>Harding</v>
      </c>
      <c r="AV109" t="str">
        <f>"Richard"</f>
        <v>Richard</v>
      </c>
      <c r="AW109" t="str">
        <f>"Alan"</f>
        <v>Alan</v>
      </c>
      <c r="AX109" t="str">
        <f>"30300 Agoura Road"</f>
        <v>30300 Agoura Road</v>
      </c>
      <c r="AY109" t="str">
        <f>"Ste. B100"</f>
        <v>Ste. B100</v>
      </c>
      <c r="AZ109" t="str">
        <f>"Agoura Hills"</f>
        <v>Agoura Hills</v>
      </c>
      <c r="BA109" t="str">
        <f>"CA"</f>
        <v>CA</v>
      </c>
      <c r="BB109" s="3">
        <v>91301</v>
      </c>
      <c r="BC109" t="str">
        <f>"UNITED STATES OF AMERICA"</f>
        <v>UNITED STATES OF AMERICA</v>
      </c>
      <c r="BD109" t="str">
        <f>""</f>
        <v/>
      </c>
      <c r="BE109" t="str">
        <f>"+18189146482"</f>
        <v>+18189146482</v>
      </c>
      <c r="BF109" t="str">
        <f>""</f>
        <v/>
      </c>
      <c r="BG109" t="str">
        <f>"Admin@gotcherlaw.com"</f>
        <v>Admin@gotcherlaw.com</v>
      </c>
      <c r="BH109" t="str">
        <f>"Global Immigration Partners, Inc"</f>
        <v>Global Immigration Partners, Inc</v>
      </c>
      <c r="BI109" t="str">
        <f>"CA"</f>
        <v>CA</v>
      </c>
      <c r="BJ109" t="str">
        <f>"California Supreme Court"</f>
        <v>California Supreme Court</v>
      </c>
      <c r="BK109">
        <v>1</v>
      </c>
      <c r="BL109" t="s">
        <v>107</v>
      </c>
      <c r="BM109" t="str">
        <f>"Salesforce.com, Inc."</f>
        <v>Salesforce.com, Inc.</v>
      </c>
      <c r="BN109" t="s">
        <v>8976</v>
      </c>
      <c r="BO109" t="s">
        <v>8977</v>
      </c>
      <c r="BP109" t="s">
        <v>182</v>
      </c>
      <c r="BQ109" t="s">
        <v>183</v>
      </c>
      <c r="BR109" t="s">
        <v>176</v>
      </c>
      <c r="BS109" s="5">
        <v>98004</v>
      </c>
      <c r="BT109" s="2">
        <v>91042</v>
      </c>
      <c r="BV109" t="s">
        <v>105</v>
      </c>
      <c r="BW109" s="2">
        <v>91042</v>
      </c>
      <c r="BX109" t="s">
        <v>105</v>
      </c>
      <c r="BZ109" t="s">
        <v>167</v>
      </c>
      <c r="CA109" t="str">
        <f t="shared" si="8"/>
        <v>7/1/2020 - 6/30/2021</v>
      </c>
      <c r="CF109">
        <v>2</v>
      </c>
      <c r="CG109" t="s">
        <v>98</v>
      </c>
      <c r="CH109" t="s">
        <v>98</v>
      </c>
      <c r="CI109" t="s">
        <v>206</v>
      </c>
      <c r="CJ109" t="s">
        <v>98</v>
      </c>
      <c r="CK109" t="s">
        <v>12323</v>
      </c>
      <c r="CL109" t="s">
        <v>108</v>
      </c>
      <c r="CM109" t="s">
        <v>109</v>
      </c>
      <c r="CN109" t="str">
        <f>"Harding"</f>
        <v>Harding</v>
      </c>
      <c r="CO109" t="str">
        <f>"Richard"</f>
        <v>Richard</v>
      </c>
      <c r="CP109" t="str">
        <f>"A."</f>
        <v>A.</v>
      </c>
      <c r="CQ109" t="str">
        <f>"Global Immigration Partners, Inc"</f>
        <v>Global Immigration Partners, Inc</v>
      </c>
      <c r="CR109" t="s">
        <v>1275</v>
      </c>
    </row>
    <row r="110" spans="1:96" x14ac:dyDescent="0.2">
      <c r="A110" t="s">
        <v>9001</v>
      </c>
      <c r="B110" t="s">
        <v>96</v>
      </c>
      <c r="C110" s="1">
        <v>44098</v>
      </c>
      <c r="D110" s="1">
        <v>44105</v>
      </c>
      <c r="F110" t="s">
        <v>97</v>
      </c>
      <c r="G110" t="str">
        <f>"Pega Developer"</f>
        <v>Pega Developer</v>
      </c>
      <c r="H110" t="s">
        <v>12169</v>
      </c>
      <c r="I110" t="s">
        <v>124</v>
      </c>
      <c r="J110" t="s">
        <v>98</v>
      </c>
      <c r="K110" s="1">
        <v>44098</v>
      </c>
      <c r="L110" s="1">
        <v>45192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2807</v>
      </c>
      <c r="U110" t="str">
        <f>""</f>
        <v/>
      </c>
      <c r="V110" t="s">
        <v>2808</v>
      </c>
      <c r="W110" t="str">
        <f>"SUITE 1E"</f>
        <v>SUITE 1E</v>
      </c>
      <c r="X110" t="s">
        <v>2809</v>
      </c>
      <c r="Y110" t="s">
        <v>225</v>
      </c>
      <c r="Z110" s="3">
        <v>43085</v>
      </c>
      <c r="AA110" t="s">
        <v>101</v>
      </c>
      <c r="AC110" s="4" t="str">
        <f>"+13098070575"</f>
        <v>+13098070575</v>
      </c>
      <c r="AE110" t="str">
        <f>"541511"</f>
        <v>541511</v>
      </c>
      <c r="AF110" t="s">
        <v>2810</v>
      </c>
      <c r="AG110" t="s">
        <v>2811</v>
      </c>
      <c r="AI110" t="s">
        <v>1789</v>
      </c>
      <c r="AJ110" t="s">
        <v>2808</v>
      </c>
      <c r="AK110" t="str">
        <f>"SUITE 1 E"</f>
        <v>SUITE 1 E</v>
      </c>
      <c r="AL110" t="s">
        <v>2809</v>
      </c>
      <c r="AM110" t="s">
        <v>225</v>
      </c>
      <c r="AN110" s="3">
        <v>43085</v>
      </c>
      <c r="AO110" t="s">
        <v>101</v>
      </c>
      <c r="AQ110" t="str">
        <f>"+13098070575"</f>
        <v>+13098070575</v>
      </c>
      <c r="AS110" t="s">
        <v>2812</v>
      </c>
      <c r="AT110" t="s">
        <v>102</v>
      </c>
      <c r="AU110" t="str">
        <f>""</f>
        <v/>
      </c>
      <c r="AV110" t="str">
        <f>""</f>
        <v/>
      </c>
      <c r="AW110" t="str">
        <f>""</f>
        <v/>
      </c>
      <c r="AX110" t="str">
        <f>""</f>
        <v/>
      </c>
      <c r="AY110" t="str">
        <f>""</f>
        <v/>
      </c>
      <c r="AZ110" t="str">
        <f>""</f>
        <v/>
      </c>
      <c r="BA110" t="str">
        <f>""</f>
        <v/>
      </c>
      <c r="BC110" t="str">
        <f>""</f>
        <v/>
      </c>
      <c r="BD110" t="str">
        <f>""</f>
        <v/>
      </c>
      <c r="BE110" t="str">
        <f>""</f>
        <v/>
      </c>
      <c r="BF110" t="str">
        <f>""</f>
        <v/>
      </c>
      <c r="BG110" t="str">
        <f>""</f>
        <v/>
      </c>
      <c r="BH110" t="str">
        <f>""</f>
        <v/>
      </c>
      <c r="BI110" t="str">
        <f>""</f>
        <v/>
      </c>
      <c r="BJ110" t="str">
        <f>""</f>
        <v/>
      </c>
      <c r="BK110">
        <v>1</v>
      </c>
      <c r="BL110" t="s">
        <v>107</v>
      </c>
      <c r="BM110" t="str">
        <f>"CIGNA Inc"</f>
        <v>CIGNA Inc</v>
      </c>
      <c r="BN110" t="s">
        <v>3844</v>
      </c>
      <c r="BP110" t="s">
        <v>1557</v>
      </c>
      <c r="BQ110" t="s">
        <v>1307</v>
      </c>
      <c r="BR110" t="s">
        <v>100</v>
      </c>
      <c r="BS110" s="5">
        <v>7417</v>
      </c>
      <c r="BT110" s="2">
        <v>100526</v>
      </c>
      <c r="BV110" t="s">
        <v>105</v>
      </c>
      <c r="BW110" s="2">
        <v>100526</v>
      </c>
      <c r="BX110" t="s">
        <v>105</v>
      </c>
      <c r="BZ110" t="s">
        <v>167</v>
      </c>
      <c r="CA110" t="str">
        <f t="shared" si="8"/>
        <v>7/1/2020 - 6/30/2021</v>
      </c>
      <c r="CF110">
        <v>3</v>
      </c>
      <c r="CG110" t="s">
        <v>98</v>
      </c>
      <c r="CH110" t="s">
        <v>98</v>
      </c>
      <c r="CI110" t="s">
        <v>206</v>
      </c>
      <c r="CJ110" t="s">
        <v>98</v>
      </c>
      <c r="CK110" t="s">
        <v>12323</v>
      </c>
      <c r="CL110" t="s">
        <v>108</v>
      </c>
      <c r="CM110" t="s">
        <v>109</v>
      </c>
      <c r="CN110" t="str">
        <f>""</f>
        <v/>
      </c>
      <c r="CO110" t="str">
        <f>""</f>
        <v/>
      </c>
      <c r="CP110" t="str">
        <f>""</f>
        <v/>
      </c>
      <c r="CQ110" t="str">
        <f>""</f>
        <v/>
      </c>
    </row>
    <row r="111" spans="1:96" x14ac:dyDescent="0.2">
      <c r="A111" t="s">
        <v>9002</v>
      </c>
      <c r="B111" t="s">
        <v>96</v>
      </c>
      <c r="C111" s="1">
        <v>44098</v>
      </c>
      <c r="D111" s="1">
        <v>44105</v>
      </c>
      <c r="F111" t="s">
        <v>97</v>
      </c>
      <c r="G111" t="str">
        <f>"Test Analyst - II"</f>
        <v>Test Analyst - II</v>
      </c>
      <c r="H111" t="s">
        <v>12168</v>
      </c>
      <c r="I111" t="s">
        <v>319</v>
      </c>
      <c r="J111" t="s">
        <v>98</v>
      </c>
      <c r="K111" s="1">
        <v>44098</v>
      </c>
      <c r="L111" s="1">
        <v>45192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669</v>
      </c>
      <c r="U111" t="str">
        <f>""</f>
        <v/>
      </c>
      <c r="V111" t="s">
        <v>670</v>
      </c>
      <c r="W111" t="str">
        <f>""</f>
        <v/>
      </c>
      <c r="X111" t="s">
        <v>671</v>
      </c>
      <c r="Y111" t="s">
        <v>141</v>
      </c>
      <c r="Z111" s="3">
        <v>94085</v>
      </c>
      <c r="AA111" t="s">
        <v>101</v>
      </c>
      <c r="AC111" s="4" t="str">
        <f>"+14087330480"</f>
        <v>+14087330480</v>
      </c>
      <c r="AE111" t="str">
        <f>"541511"</f>
        <v>541511</v>
      </c>
      <c r="AF111" t="s">
        <v>672</v>
      </c>
      <c r="AG111" t="s">
        <v>673</v>
      </c>
      <c r="AI111" t="s">
        <v>674</v>
      </c>
      <c r="AJ111" t="s">
        <v>670</v>
      </c>
      <c r="AK111" t="str">
        <f>""</f>
        <v/>
      </c>
      <c r="AL111" t="s">
        <v>671</v>
      </c>
      <c r="AM111" t="s">
        <v>141</v>
      </c>
      <c r="AN111" s="3">
        <v>94085</v>
      </c>
      <c r="AO111" t="s">
        <v>101</v>
      </c>
      <c r="AQ111" t="str">
        <f>"+14087330480"</f>
        <v>+14087330480</v>
      </c>
      <c r="AS111" t="s">
        <v>675</v>
      </c>
      <c r="AT111" t="s">
        <v>102</v>
      </c>
      <c r="AU111" t="str">
        <f>""</f>
        <v/>
      </c>
      <c r="AV111" t="str">
        <f>""</f>
        <v/>
      </c>
      <c r="AW111" t="str">
        <f>""</f>
        <v/>
      </c>
      <c r="AX111" t="str">
        <f>""</f>
        <v/>
      </c>
      <c r="AY111" t="str">
        <f>""</f>
        <v/>
      </c>
      <c r="AZ111" t="str">
        <f>""</f>
        <v/>
      </c>
      <c r="BA111" t="str">
        <f>""</f>
        <v/>
      </c>
      <c r="BC111" t="str">
        <f>""</f>
        <v/>
      </c>
      <c r="BD111" t="str">
        <f>""</f>
        <v/>
      </c>
      <c r="BE111" t="str">
        <f>""</f>
        <v/>
      </c>
      <c r="BF111" t="str">
        <f>""</f>
        <v/>
      </c>
      <c r="BG111" t="str">
        <f>""</f>
        <v/>
      </c>
      <c r="BH111" t="str">
        <f>""</f>
        <v/>
      </c>
      <c r="BI111" t="str">
        <f>""</f>
        <v/>
      </c>
      <c r="BJ111" t="str">
        <f>""</f>
        <v/>
      </c>
      <c r="BK111">
        <v>1</v>
      </c>
      <c r="BL111" t="s">
        <v>107</v>
      </c>
      <c r="BM111" t="str">
        <f>"Truist Bank"</f>
        <v>Truist Bank</v>
      </c>
      <c r="BN111" t="s">
        <v>9003</v>
      </c>
      <c r="BP111" t="s">
        <v>2714</v>
      </c>
      <c r="BQ111" t="s">
        <v>2715</v>
      </c>
      <c r="BR111" t="s">
        <v>127</v>
      </c>
      <c r="BS111" s="5">
        <v>17110</v>
      </c>
      <c r="BT111" s="2">
        <v>83331</v>
      </c>
      <c r="BV111" t="s">
        <v>105</v>
      </c>
      <c r="BW111" s="2">
        <v>70325</v>
      </c>
      <c r="BX111" t="s">
        <v>105</v>
      </c>
      <c r="BZ111" t="s">
        <v>167</v>
      </c>
      <c r="CA111" t="str">
        <f t="shared" si="8"/>
        <v>7/1/2020 - 6/30/2021</v>
      </c>
      <c r="CF111">
        <v>1</v>
      </c>
      <c r="CG111" t="s">
        <v>98</v>
      </c>
      <c r="CH111" t="s">
        <v>98</v>
      </c>
      <c r="CI111" t="s">
        <v>206</v>
      </c>
      <c r="CJ111" t="s">
        <v>98</v>
      </c>
      <c r="CK111" t="s">
        <v>12323</v>
      </c>
      <c r="CL111" t="s">
        <v>108</v>
      </c>
      <c r="CM111" t="s">
        <v>109</v>
      </c>
      <c r="CN111" t="str">
        <f>""</f>
        <v/>
      </c>
      <c r="CO111" t="str">
        <f>""</f>
        <v/>
      </c>
      <c r="CP111" t="str">
        <f>""</f>
        <v/>
      </c>
      <c r="CQ111" t="str">
        <f>""</f>
        <v/>
      </c>
    </row>
    <row r="112" spans="1:96" x14ac:dyDescent="0.2">
      <c r="A112" t="s">
        <v>9013</v>
      </c>
      <c r="B112" t="s">
        <v>96</v>
      </c>
      <c r="C112" s="1">
        <v>44098</v>
      </c>
      <c r="D112" s="1">
        <v>44105</v>
      </c>
      <c r="F112" t="s">
        <v>97</v>
      </c>
      <c r="G112" t="str">
        <f>".Net Developer"</f>
        <v>.Net Developer</v>
      </c>
      <c r="H112" t="s">
        <v>12169</v>
      </c>
      <c r="I112" t="s">
        <v>124</v>
      </c>
      <c r="J112" t="s">
        <v>98</v>
      </c>
      <c r="K112" s="1">
        <v>44100</v>
      </c>
      <c r="L112" s="1">
        <v>45194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 t="s">
        <v>6958</v>
      </c>
      <c r="U112" t="str">
        <f>""</f>
        <v/>
      </c>
      <c r="V112" t="s">
        <v>6959</v>
      </c>
      <c r="W112" t="str">
        <f>"Ste. 295"</f>
        <v>Ste. 295</v>
      </c>
      <c r="X112" t="s">
        <v>3829</v>
      </c>
      <c r="Y112" t="s">
        <v>608</v>
      </c>
      <c r="Z112" s="3">
        <v>50266</v>
      </c>
      <c r="AA112" t="s">
        <v>101</v>
      </c>
      <c r="AC112" s="4" t="str">
        <f>"+15154739538"</f>
        <v>+15154739538</v>
      </c>
      <c r="AE112" t="str">
        <f>"518210"</f>
        <v>518210</v>
      </c>
      <c r="AF112" t="s">
        <v>1065</v>
      </c>
      <c r="AG112" t="s">
        <v>2434</v>
      </c>
      <c r="AH112" t="s">
        <v>1435</v>
      </c>
      <c r="AI112" t="s">
        <v>807</v>
      </c>
      <c r="AJ112" t="s">
        <v>6959</v>
      </c>
      <c r="AK112" t="str">
        <f>"Ste. 295"</f>
        <v>Ste. 295</v>
      </c>
      <c r="AL112" t="s">
        <v>3829</v>
      </c>
      <c r="AM112" t="s">
        <v>608</v>
      </c>
      <c r="AN112" s="3">
        <v>50266</v>
      </c>
      <c r="AO112" t="s">
        <v>101</v>
      </c>
      <c r="AQ112" t="str">
        <f>"+15154739538"</f>
        <v>+15154739538</v>
      </c>
      <c r="AS112" t="s">
        <v>6009</v>
      </c>
      <c r="AT112" t="s">
        <v>107</v>
      </c>
      <c r="AU112" t="str">
        <f>"Harding"</f>
        <v>Harding</v>
      </c>
      <c r="AV112" t="str">
        <f>"Richard"</f>
        <v>Richard</v>
      </c>
      <c r="AW112" t="str">
        <f>"Alan"</f>
        <v>Alan</v>
      </c>
      <c r="AX112" t="str">
        <f>"30300 Agoura Road"</f>
        <v>30300 Agoura Road</v>
      </c>
      <c r="AY112" t="str">
        <f>"Ste. B100"</f>
        <v>Ste. B100</v>
      </c>
      <c r="AZ112" t="str">
        <f>"Agoura Hills"</f>
        <v>Agoura Hills</v>
      </c>
      <c r="BA112" t="str">
        <f>"CA"</f>
        <v>CA</v>
      </c>
      <c r="BB112" s="3">
        <v>91301</v>
      </c>
      <c r="BC112" t="str">
        <f>"UNITED STATES OF AMERICA"</f>
        <v>UNITED STATES OF AMERICA</v>
      </c>
      <c r="BD112" t="str">
        <f>""</f>
        <v/>
      </c>
      <c r="BE112" t="str">
        <f>"+18189146482"</f>
        <v>+18189146482</v>
      </c>
      <c r="BF112" t="str">
        <f>""</f>
        <v/>
      </c>
      <c r="BG112" t="str">
        <f>"Admin@gotcherlaw.com"</f>
        <v>Admin@gotcherlaw.com</v>
      </c>
      <c r="BH112" t="str">
        <f>"Global Immigration Partners, Inc"</f>
        <v>Global Immigration Partners, Inc</v>
      </c>
      <c r="BI112" t="str">
        <f>"CA"</f>
        <v>CA</v>
      </c>
      <c r="BJ112" t="str">
        <f>"California Supreme Court"</f>
        <v>California Supreme Court</v>
      </c>
      <c r="BK112">
        <v>1</v>
      </c>
      <c r="BL112" t="s">
        <v>102</v>
      </c>
      <c r="BM112" t="str">
        <f>""</f>
        <v/>
      </c>
      <c r="BN112" t="s">
        <v>9014</v>
      </c>
      <c r="BO112" t="s">
        <v>9015</v>
      </c>
      <c r="BP112" t="s">
        <v>3829</v>
      </c>
      <c r="BQ112" t="s">
        <v>484</v>
      </c>
      <c r="BR112" t="s">
        <v>608</v>
      </c>
      <c r="BS112" s="5">
        <v>50266</v>
      </c>
      <c r="BT112" s="2">
        <v>85000</v>
      </c>
      <c r="BV112" t="s">
        <v>105</v>
      </c>
      <c r="BW112" s="2">
        <v>84760</v>
      </c>
      <c r="BX112" t="s">
        <v>105</v>
      </c>
      <c r="BZ112" t="s">
        <v>167</v>
      </c>
      <c r="CA112" t="str">
        <f t="shared" si="8"/>
        <v>7/1/2020 - 6/30/2021</v>
      </c>
      <c r="CF112">
        <v>1</v>
      </c>
      <c r="CG112" t="s">
        <v>98</v>
      </c>
      <c r="CH112" t="s">
        <v>98</v>
      </c>
      <c r="CI112" t="s">
        <v>206</v>
      </c>
      <c r="CJ112" t="s">
        <v>98</v>
      </c>
      <c r="CK112" t="s">
        <v>12323</v>
      </c>
      <c r="CL112" t="s">
        <v>108</v>
      </c>
      <c r="CM112" t="s">
        <v>109</v>
      </c>
      <c r="CN112" t="str">
        <f>"Harding"</f>
        <v>Harding</v>
      </c>
      <c r="CO112" t="str">
        <f>"Richard"</f>
        <v>Richard</v>
      </c>
      <c r="CP112" t="str">
        <f>"A."</f>
        <v>A.</v>
      </c>
      <c r="CQ112" t="str">
        <f>"Global Immigration Partners, Inc"</f>
        <v>Global Immigration Partners, Inc</v>
      </c>
      <c r="CR112" t="s">
        <v>1275</v>
      </c>
    </row>
    <row r="113" spans="1:96" x14ac:dyDescent="0.2">
      <c r="A113" t="s">
        <v>9028</v>
      </c>
      <c r="B113" t="s">
        <v>96</v>
      </c>
      <c r="C113" s="1">
        <v>44098</v>
      </c>
      <c r="D113" s="1">
        <v>44105</v>
      </c>
      <c r="F113" t="s">
        <v>97</v>
      </c>
      <c r="G113" t="str">
        <f>"Software Developer"</f>
        <v>Software Developer</v>
      </c>
      <c r="H113" t="s">
        <v>12169</v>
      </c>
      <c r="I113" t="s">
        <v>124</v>
      </c>
      <c r="J113" t="s">
        <v>98</v>
      </c>
      <c r="K113" s="1">
        <v>44105</v>
      </c>
      <c r="L113" s="1">
        <v>45199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8323</v>
      </c>
      <c r="U113" t="str">
        <f>"Terra Information Group Inc"</f>
        <v>Terra Information Group Inc</v>
      </c>
      <c r="V113" t="s">
        <v>8324</v>
      </c>
      <c r="W113" t="str">
        <f>""</f>
        <v/>
      </c>
      <c r="X113" t="s">
        <v>1381</v>
      </c>
      <c r="Y113" t="s">
        <v>345</v>
      </c>
      <c r="Z113" s="3">
        <v>60504</v>
      </c>
      <c r="AA113" t="s">
        <v>101</v>
      </c>
      <c r="AC113" s="4" t="str">
        <f>"+9726306674478"</f>
        <v>+9726306674478</v>
      </c>
      <c r="AE113" t="str">
        <f>"541511"</f>
        <v>541511</v>
      </c>
      <c r="AF113" t="s">
        <v>5594</v>
      </c>
      <c r="AG113" t="s">
        <v>7098</v>
      </c>
      <c r="AI113" t="s">
        <v>508</v>
      </c>
      <c r="AJ113" t="s">
        <v>8325</v>
      </c>
      <c r="AK113" t="str">
        <f>""</f>
        <v/>
      </c>
      <c r="AL113" t="s">
        <v>1381</v>
      </c>
      <c r="AM113" t="s">
        <v>345</v>
      </c>
      <c r="AN113" s="3">
        <v>60504</v>
      </c>
      <c r="AO113" t="s">
        <v>101</v>
      </c>
      <c r="AQ113" t="str">
        <f>"+97216306674478"</f>
        <v>+97216306674478</v>
      </c>
      <c r="AS113" t="s">
        <v>8326</v>
      </c>
      <c r="AT113" t="s">
        <v>102</v>
      </c>
      <c r="AU113" t="str">
        <f>""</f>
        <v/>
      </c>
      <c r="AV113" t="str">
        <f>""</f>
        <v/>
      </c>
      <c r="AW113" t="str">
        <f>""</f>
        <v/>
      </c>
      <c r="AX113" t="str">
        <f>""</f>
        <v/>
      </c>
      <c r="AY113" t="str">
        <f>""</f>
        <v/>
      </c>
      <c r="AZ113" t="str">
        <f>""</f>
        <v/>
      </c>
      <c r="BA113" t="str">
        <f>""</f>
        <v/>
      </c>
      <c r="BC113" t="str">
        <f>""</f>
        <v/>
      </c>
      <c r="BD113" t="str">
        <f>""</f>
        <v/>
      </c>
      <c r="BE113" t="str">
        <f>""</f>
        <v/>
      </c>
      <c r="BF113" t="str">
        <f>""</f>
        <v/>
      </c>
      <c r="BG113" t="str">
        <f>""</f>
        <v/>
      </c>
      <c r="BH113" t="str">
        <f>""</f>
        <v/>
      </c>
      <c r="BI113" t="str">
        <f>""</f>
        <v/>
      </c>
      <c r="BJ113" t="str">
        <f>""</f>
        <v/>
      </c>
      <c r="BK113">
        <v>1</v>
      </c>
      <c r="BL113" t="s">
        <v>102</v>
      </c>
      <c r="BM113" t="str">
        <f>""</f>
        <v/>
      </c>
      <c r="BN113" t="s">
        <v>8598</v>
      </c>
      <c r="BP113" t="s">
        <v>1381</v>
      </c>
      <c r="BQ113" t="s">
        <v>1382</v>
      </c>
      <c r="BR113" t="s">
        <v>345</v>
      </c>
      <c r="BS113" s="5">
        <v>60504</v>
      </c>
      <c r="BT113" s="2">
        <v>88000</v>
      </c>
      <c r="BV113" t="s">
        <v>105</v>
      </c>
      <c r="BW113" s="2">
        <v>87838</v>
      </c>
      <c r="BX113" t="s">
        <v>105</v>
      </c>
      <c r="BZ113" t="s">
        <v>167</v>
      </c>
      <c r="CA113" t="str">
        <f t="shared" si="8"/>
        <v>7/1/2020 - 6/30/2021</v>
      </c>
      <c r="CF113">
        <v>1</v>
      </c>
      <c r="CG113" t="s">
        <v>98</v>
      </c>
      <c r="CH113" t="s">
        <v>98</v>
      </c>
      <c r="CI113" t="s">
        <v>206</v>
      </c>
      <c r="CJ113" t="s">
        <v>98</v>
      </c>
      <c r="CK113" t="s">
        <v>12323</v>
      </c>
      <c r="CL113" t="s">
        <v>108</v>
      </c>
      <c r="CM113" t="s">
        <v>109</v>
      </c>
      <c r="CN113" t="str">
        <f>""</f>
        <v/>
      </c>
      <c r="CO113" t="str">
        <f>""</f>
        <v/>
      </c>
      <c r="CP113" t="str">
        <f>""</f>
        <v/>
      </c>
      <c r="CQ113" t="str">
        <f>""</f>
        <v/>
      </c>
    </row>
    <row r="114" spans="1:96" x14ac:dyDescent="0.2">
      <c r="A114" t="s">
        <v>9029</v>
      </c>
      <c r="B114" t="s">
        <v>96</v>
      </c>
      <c r="C114" s="1">
        <v>44098</v>
      </c>
      <c r="D114" s="1">
        <v>44105</v>
      </c>
      <c r="F114" t="s">
        <v>97</v>
      </c>
      <c r="G114" t="str">
        <f>"TEST SPECIALIST"</f>
        <v>TEST SPECIALIST</v>
      </c>
      <c r="H114" t="s">
        <v>12168</v>
      </c>
      <c r="I114" t="s">
        <v>319</v>
      </c>
      <c r="J114" t="s">
        <v>98</v>
      </c>
      <c r="K114" s="1">
        <v>44105</v>
      </c>
      <c r="L114" s="1">
        <v>45192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1143</v>
      </c>
      <c r="U114" t="str">
        <f>""</f>
        <v/>
      </c>
      <c r="V114" t="s">
        <v>1144</v>
      </c>
      <c r="W114" t="str">
        <f>"N/A"</f>
        <v>N/A</v>
      </c>
      <c r="X114" t="s">
        <v>1145</v>
      </c>
      <c r="Y114" t="s">
        <v>100</v>
      </c>
      <c r="Z114" s="3">
        <v>7059</v>
      </c>
      <c r="AA114" t="s">
        <v>101</v>
      </c>
      <c r="AC114" s="4" t="str">
        <f>"+14254959011"</f>
        <v>+14254959011</v>
      </c>
      <c r="AE114" t="str">
        <f>"541511"</f>
        <v>541511</v>
      </c>
      <c r="AF114" t="s">
        <v>1146</v>
      </c>
      <c r="AG114" t="s">
        <v>359</v>
      </c>
      <c r="AH114" t="s">
        <v>108</v>
      </c>
      <c r="AI114" t="s">
        <v>1147</v>
      </c>
      <c r="AJ114" t="s">
        <v>1148</v>
      </c>
      <c r="AK114" t="str">
        <f>"N/A"</f>
        <v>N/A</v>
      </c>
      <c r="AL114" t="s">
        <v>498</v>
      </c>
      <c r="AM114" t="s">
        <v>176</v>
      </c>
      <c r="AN114" s="3">
        <v>98052</v>
      </c>
      <c r="AO114" t="s">
        <v>101</v>
      </c>
      <c r="AQ114" t="str">
        <f>"+14254959011"</f>
        <v>+14254959011</v>
      </c>
      <c r="AS114" t="s">
        <v>1149</v>
      </c>
      <c r="AT114" t="s">
        <v>107</v>
      </c>
      <c r="AU114" t="str">
        <f>"PATEL"</f>
        <v>PATEL</v>
      </c>
      <c r="AV114" t="str">
        <f>"TEJAL"</f>
        <v>TEJAL</v>
      </c>
      <c r="AW114" t="str">
        <f>""</f>
        <v/>
      </c>
      <c r="AX114" t="str">
        <f>"100 HIGH STREET"</f>
        <v>100 HIGH STREET</v>
      </c>
      <c r="AY114" t="str">
        <f>"FLOOR 3"</f>
        <v>FLOOR 3</v>
      </c>
      <c r="AZ114" t="str">
        <f>"BOSTON"</f>
        <v>BOSTON</v>
      </c>
      <c r="BA114" t="str">
        <f>"MA"</f>
        <v>MA</v>
      </c>
      <c r="BB114" s="3">
        <v>2110</v>
      </c>
      <c r="BC114" t="str">
        <f>"UNITED STATES OF AMERICA"</f>
        <v>UNITED STATES OF AMERICA</v>
      </c>
      <c r="BD114" t="str">
        <f>""</f>
        <v/>
      </c>
      <c r="BE114" t="str">
        <f>"+16175740400"</f>
        <v>+16175740400</v>
      </c>
      <c r="BF114" t="str">
        <f>""</f>
        <v/>
      </c>
      <c r="BG114" t="str">
        <f>"MINDTREEUSA@FRAGOMEN.COM"</f>
        <v>MINDTREEUSA@FRAGOMEN.COM</v>
      </c>
      <c r="BH114" t="str">
        <f>"FRAGOMEN, DEL REY, BERNSEN &amp; LOEWY, LLP"</f>
        <v>FRAGOMEN, DEL REY, BERNSEN &amp; LOEWY, LLP</v>
      </c>
      <c r="BI114" t="str">
        <f>"MA"</f>
        <v>MA</v>
      </c>
      <c r="BJ114" t="str">
        <f>"SUPREME JUDICIAL COURT"</f>
        <v>SUPREME JUDICIAL COURT</v>
      </c>
      <c r="BK114">
        <v>1</v>
      </c>
      <c r="BL114" t="s">
        <v>102</v>
      </c>
      <c r="BM114" t="str">
        <f>""</f>
        <v/>
      </c>
      <c r="BN114" t="s">
        <v>2560</v>
      </c>
      <c r="BP114" t="s">
        <v>498</v>
      </c>
      <c r="BQ114" t="s">
        <v>183</v>
      </c>
      <c r="BR114" t="s">
        <v>176</v>
      </c>
      <c r="BS114" s="5">
        <v>98052</v>
      </c>
      <c r="BT114" s="2">
        <v>78389</v>
      </c>
      <c r="BV114" t="s">
        <v>105</v>
      </c>
      <c r="BW114" s="2">
        <v>77875</v>
      </c>
      <c r="BX114" t="s">
        <v>105</v>
      </c>
      <c r="BZ114" t="s">
        <v>167</v>
      </c>
      <c r="CA114" t="str">
        <f t="shared" si="8"/>
        <v>7/1/2020 - 6/30/2021</v>
      </c>
      <c r="CF114">
        <v>3</v>
      </c>
      <c r="CG114" t="s">
        <v>98</v>
      </c>
      <c r="CH114" t="s">
        <v>98</v>
      </c>
      <c r="CI114" t="s">
        <v>206</v>
      </c>
      <c r="CJ114" t="s">
        <v>98</v>
      </c>
      <c r="CK114" t="s">
        <v>12323</v>
      </c>
      <c r="CL114" t="s">
        <v>108</v>
      </c>
      <c r="CM114" t="s">
        <v>109</v>
      </c>
      <c r="CN114" t="str">
        <f>"SHAJI"</f>
        <v>SHAJI</v>
      </c>
      <c r="CO114" t="str">
        <f>"SHRUTHI"</f>
        <v>SHRUTHI</v>
      </c>
      <c r="CP114" t="str">
        <f>"N/A"</f>
        <v>N/A</v>
      </c>
      <c r="CQ114" t="str">
        <f>"FRAGOMEN, DEL REY, BERNSEN &amp; LOEWY, LLP"</f>
        <v>FRAGOMEN, DEL REY, BERNSEN &amp; LOEWY, LLP</v>
      </c>
      <c r="CR114" t="s">
        <v>1150</v>
      </c>
    </row>
    <row r="115" spans="1:96" x14ac:dyDescent="0.2">
      <c r="A115" t="s">
        <v>9035</v>
      </c>
      <c r="B115" t="s">
        <v>96</v>
      </c>
      <c r="C115" s="1">
        <v>44098</v>
      </c>
      <c r="D115" s="1">
        <v>44105</v>
      </c>
      <c r="F115" t="s">
        <v>97</v>
      </c>
      <c r="G115" t="str">
        <f>"Applications Developer"</f>
        <v>Applications Developer</v>
      </c>
      <c r="H115" t="s">
        <v>12169</v>
      </c>
      <c r="I115" t="s">
        <v>124</v>
      </c>
      <c r="J115" t="s">
        <v>98</v>
      </c>
      <c r="K115" s="1">
        <v>44105</v>
      </c>
      <c r="L115" s="1">
        <v>45200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 t="s">
        <v>7975</v>
      </c>
      <c r="U115" t="str">
        <f>""</f>
        <v/>
      </c>
      <c r="V115" t="s">
        <v>4148</v>
      </c>
      <c r="W115" t="str">
        <f>"Suite 189"</f>
        <v>Suite 189</v>
      </c>
      <c r="X115" t="s">
        <v>755</v>
      </c>
      <c r="Y115" t="s">
        <v>135</v>
      </c>
      <c r="Z115" s="3">
        <v>20171</v>
      </c>
      <c r="AA115" t="s">
        <v>101</v>
      </c>
      <c r="AC115" s="4" t="str">
        <f>"+17034240077"</f>
        <v>+17034240077</v>
      </c>
      <c r="AE115" t="str">
        <f>"541511"</f>
        <v>541511</v>
      </c>
      <c r="AF115" t="s">
        <v>7976</v>
      </c>
      <c r="AG115" t="s">
        <v>5349</v>
      </c>
      <c r="AI115" t="s">
        <v>508</v>
      </c>
      <c r="AJ115" t="s">
        <v>2269</v>
      </c>
      <c r="AK115" t="str">
        <f>"Suite 189"</f>
        <v>Suite 189</v>
      </c>
      <c r="AL115" t="s">
        <v>755</v>
      </c>
      <c r="AM115" t="s">
        <v>135</v>
      </c>
      <c r="AN115" s="3">
        <v>20171</v>
      </c>
      <c r="AO115" t="s">
        <v>101</v>
      </c>
      <c r="AQ115" t="str">
        <f>"+17034240077"</f>
        <v>+17034240077</v>
      </c>
      <c r="AS115" t="s">
        <v>7977</v>
      </c>
      <c r="AT115" t="s">
        <v>102</v>
      </c>
      <c r="AU115" t="str">
        <f>""</f>
        <v/>
      </c>
      <c r="AV115" t="str">
        <f>""</f>
        <v/>
      </c>
      <c r="AW115" t="str">
        <f>""</f>
        <v/>
      </c>
      <c r="AX115" t="str">
        <f>""</f>
        <v/>
      </c>
      <c r="AY115" t="str">
        <f>""</f>
        <v/>
      </c>
      <c r="AZ115" t="str">
        <f>""</f>
        <v/>
      </c>
      <c r="BA115" t="str">
        <f>""</f>
        <v/>
      </c>
      <c r="BC115" t="str">
        <f>""</f>
        <v/>
      </c>
      <c r="BD115" t="str">
        <f>""</f>
        <v/>
      </c>
      <c r="BE115" t="str">
        <f>""</f>
        <v/>
      </c>
      <c r="BF115" t="str">
        <f>""</f>
        <v/>
      </c>
      <c r="BG115" t="str">
        <f>""</f>
        <v/>
      </c>
      <c r="BH115" t="str">
        <f>""</f>
        <v/>
      </c>
      <c r="BI115" t="str">
        <f>""</f>
        <v/>
      </c>
      <c r="BJ115" t="str">
        <f>""</f>
        <v/>
      </c>
      <c r="BK115">
        <v>1</v>
      </c>
      <c r="BL115" t="s">
        <v>107</v>
      </c>
      <c r="BM115" t="str">
        <f>"Karsun Solutions, LLC"</f>
        <v>Karsun Solutions, LLC</v>
      </c>
      <c r="BN115" t="s">
        <v>9036</v>
      </c>
      <c r="BO115" t="s">
        <v>1336</v>
      </c>
      <c r="BP115" t="s">
        <v>755</v>
      </c>
      <c r="BQ115" t="s">
        <v>454</v>
      </c>
      <c r="BR115" t="s">
        <v>135</v>
      </c>
      <c r="BS115" s="5">
        <v>20170</v>
      </c>
      <c r="BT115" s="2">
        <v>105000</v>
      </c>
      <c r="BV115" t="s">
        <v>105</v>
      </c>
      <c r="BW115" s="2">
        <v>97406</v>
      </c>
      <c r="BX115" t="s">
        <v>105</v>
      </c>
      <c r="BZ115" t="s">
        <v>167</v>
      </c>
      <c r="CA115" t="str">
        <f t="shared" si="8"/>
        <v>7/1/2020 - 6/30/2021</v>
      </c>
      <c r="CF115">
        <v>1</v>
      </c>
      <c r="CG115" t="s">
        <v>98</v>
      </c>
      <c r="CH115" t="s">
        <v>98</v>
      </c>
      <c r="CI115" t="s">
        <v>206</v>
      </c>
      <c r="CJ115" t="s">
        <v>98</v>
      </c>
      <c r="CK115" t="s">
        <v>12323</v>
      </c>
      <c r="CL115" t="s">
        <v>108</v>
      </c>
      <c r="CM115" t="s">
        <v>109</v>
      </c>
      <c r="CN115" t="str">
        <f>""</f>
        <v/>
      </c>
      <c r="CO115" t="str">
        <f>""</f>
        <v/>
      </c>
      <c r="CP115" t="str">
        <f>""</f>
        <v/>
      </c>
      <c r="CQ115" t="str">
        <f>""</f>
        <v/>
      </c>
    </row>
    <row r="116" spans="1:96" x14ac:dyDescent="0.2">
      <c r="A116" t="s">
        <v>9057</v>
      </c>
      <c r="B116" t="s">
        <v>96</v>
      </c>
      <c r="C116" s="1">
        <v>44098</v>
      </c>
      <c r="D116" s="1">
        <v>44105</v>
      </c>
      <c r="F116" t="s">
        <v>97</v>
      </c>
      <c r="G116" t="str">
        <f>"TECHNICAL SPECIALIST"</f>
        <v>TECHNICAL SPECIALIST</v>
      </c>
      <c r="H116" t="s">
        <v>12168</v>
      </c>
      <c r="I116" t="s">
        <v>160</v>
      </c>
      <c r="J116" t="s">
        <v>98</v>
      </c>
      <c r="K116" s="1">
        <v>44106</v>
      </c>
      <c r="L116" s="1">
        <v>45197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t="s">
        <v>1143</v>
      </c>
      <c r="U116" t="str">
        <f>""</f>
        <v/>
      </c>
      <c r="V116" t="s">
        <v>1144</v>
      </c>
      <c r="W116" t="str">
        <f>"N/A"</f>
        <v>N/A</v>
      </c>
      <c r="X116" t="s">
        <v>1145</v>
      </c>
      <c r="Y116" t="s">
        <v>100</v>
      </c>
      <c r="Z116" s="3">
        <v>7059</v>
      </c>
      <c r="AA116" t="s">
        <v>101</v>
      </c>
      <c r="AC116" s="4" t="str">
        <f>"+14254959011"</f>
        <v>+14254959011</v>
      </c>
      <c r="AE116" t="str">
        <f>"541511"</f>
        <v>541511</v>
      </c>
      <c r="AF116" t="s">
        <v>1146</v>
      </c>
      <c r="AG116" t="s">
        <v>359</v>
      </c>
      <c r="AH116" t="s">
        <v>108</v>
      </c>
      <c r="AI116" t="s">
        <v>1147</v>
      </c>
      <c r="AJ116" t="s">
        <v>1148</v>
      </c>
      <c r="AK116" t="str">
        <f>"N/A"</f>
        <v>N/A</v>
      </c>
      <c r="AL116" t="s">
        <v>498</v>
      </c>
      <c r="AM116" t="s">
        <v>176</v>
      </c>
      <c r="AN116" s="3">
        <v>98052</v>
      </c>
      <c r="AO116" t="s">
        <v>101</v>
      </c>
      <c r="AQ116" t="str">
        <f>"+14254959011"</f>
        <v>+14254959011</v>
      </c>
      <c r="AS116" t="s">
        <v>1149</v>
      </c>
      <c r="AT116" t="s">
        <v>107</v>
      </c>
      <c r="AU116" t="str">
        <f>"PATEL"</f>
        <v>PATEL</v>
      </c>
      <c r="AV116" t="str">
        <f>"TEJAL"</f>
        <v>TEJAL</v>
      </c>
      <c r="AW116" t="str">
        <f>""</f>
        <v/>
      </c>
      <c r="AX116" t="str">
        <f>"100 HIGH STREET"</f>
        <v>100 HIGH STREET</v>
      </c>
      <c r="AY116" t="str">
        <f>"FLOOR 3"</f>
        <v>FLOOR 3</v>
      </c>
      <c r="AZ116" t="str">
        <f>"BOSTON"</f>
        <v>BOSTON</v>
      </c>
      <c r="BA116" t="str">
        <f>"MA"</f>
        <v>MA</v>
      </c>
      <c r="BB116" s="3">
        <v>2110</v>
      </c>
      <c r="BC116" t="str">
        <f>"UNITED STATES OF AMERICA"</f>
        <v>UNITED STATES OF AMERICA</v>
      </c>
      <c r="BD116" t="str">
        <f>""</f>
        <v/>
      </c>
      <c r="BE116" t="str">
        <f>"+16175740400"</f>
        <v>+16175740400</v>
      </c>
      <c r="BF116" t="str">
        <f>""</f>
        <v/>
      </c>
      <c r="BG116" t="str">
        <f>"MINDTREEUSA@FRAGOMEN.COM"</f>
        <v>MINDTREEUSA@FRAGOMEN.COM</v>
      </c>
      <c r="BH116" t="str">
        <f>"FRAGOMEN, DEL REY, BERNSEN &amp; LOEWY, LLP"</f>
        <v>FRAGOMEN, DEL REY, BERNSEN &amp; LOEWY, LLP</v>
      </c>
      <c r="BI116" t="str">
        <f>"MA"</f>
        <v>MA</v>
      </c>
      <c r="BJ116" t="str">
        <f>"SUPREME JUDICIAL COURT"</f>
        <v>SUPREME JUDICIAL COURT</v>
      </c>
      <c r="BK116">
        <v>1</v>
      </c>
      <c r="BL116" t="s">
        <v>102</v>
      </c>
      <c r="BM116" t="str">
        <f>""</f>
        <v/>
      </c>
      <c r="BN116" t="s">
        <v>2560</v>
      </c>
      <c r="BP116" t="s">
        <v>498</v>
      </c>
      <c r="BQ116" t="s">
        <v>183</v>
      </c>
      <c r="BR116" t="s">
        <v>176</v>
      </c>
      <c r="BS116" s="5">
        <v>98052</v>
      </c>
      <c r="BT116" s="2">
        <v>86145</v>
      </c>
      <c r="BV116" t="s">
        <v>105</v>
      </c>
      <c r="BW116" s="2">
        <v>77875</v>
      </c>
      <c r="BX116" t="s">
        <v>105</v>
      </c>
      <c r="BZ116" t="s">
        <v>167</v>
      </c>
      <c r="CA116" t="str">
        <f t="shared" si="8"/>
        <v>7/1/2020 - 6/30/2021</v>
      </c>
      <c r="CF116">
        <v>3</v>
      </c>
      <c r="CG116" t="s">
        <v>98</v>
      </c>
      <c r="CH116" t="s">
        <v>98</v>
      </c>
      <c r="CI116" t="s">
        <v>206</v>
      </c>
      <c r="CJ116" t="s">
        <v>98</v>
      </c>
      <c r="CK116" t="s">
        <v>12323</v>
      </c>
      <c r="CL116" t="s">
        <v>108</v>
      </c>
      <c r="CM116" t="s">
        <v>109</v>
      </c>
      <c r="CN116" t="str">
        <f>"SHAJI"</f>
        <v>SHAJI</v>
      </c>
      <c r="CO116" t="str">
        <f>"SHRUTHI"</f>
        <v>SHRUTHI</v>
      </c>
      <c r="CP116" t="str">
        <f>"N/A"</f>
        <v>N/A</v>
      </c>
      <c r="CQ116" t="str">
        <f>"FRAGOMEN, DEL REY, BERNSEN &amp; LOEWY, LLP"</f>
        <v>FRAGOMEN, DEL REY, BERNSEN &amp; LOEWY, LLP</v>
      </c>
      <c r="CR116" t="s">
        <v>1150</v>
      </c>
    </row>
    <row r="117" spans="1:96" x14ac:dyDescent="0.2">
      <c r="A117" t="s">
        <v>9062</v>
      </c>
      <c r="B117" t="s">
        <v>96</v>
      </c>
      <c r="C117" s="1">
        <v>44098</v>
      </c>
      <c r="D117" s="1">
        <v>44105</v>
      </c>
      <c r="F117" t="s">
        <v>97</v>
      </c>
      <c r="G117" t="str">
        <f>"Data Scientist"</f>
        <v>Data Scientist</v>
      </c>
      <c r="H117" t="s">
        <v>12182</v>
      </c>
      <c r="I117" t="s">
        <v>168</v>
      </c>
      <c r="J117" t="s">
        <v>98</v>
      </c>
      <c r="K117" s="1">
        <v>44109</v>
      </c>
      <c r="L117" s="1">
        <v>45203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 t="s">
        <v>466</v>
      </c>
      <c r="U117" t="str">
        <f>""</f>
        <v/>
      </c>
      <c r="V117" t="s">
        <v>467</v>
      </c>
      <c r="W117" t="str">
        <f>"AKA 1601 Willow Road"</f>
        <v>AKA 1601 Willow Road</v>
      </c>
      <c r="X117" t="s">
        <v>468</v>
      </c>
      <c r="Y117" t="s">
        <v>141</v>
      </c>
      <c r="Z117" s="3">
        <v>94025</v>
      </c>
      <c r="AA117" t="s">
        <v>101</v>
      </c>
      <c r="AC117" s="4" t="str">
        <f>"+16505434800"</f>
        <v>+16505434800</v>
      </c>
      <c r="AE117" t="str">
        <f>"518210"</f>
        <v>518210</v>
      </c>
      <c r="AF117" t="s">
        <v>469</v>
      </c>
      <c r="AG117" t="s">
        <v>470</v>
      </c>
      <c r="AI117" t="s">
        <v>471</v>
      </c>
      <c r="AJ117" t="s">
        <v>467</v>
      </c>
      <c r="AK117" t="str">
        <f>"AKA 1601 Willow Road "</f>
        <v xml:space="preserve">AKA 1601 Willow Road </v>
      </c>
      <c r="AL117" t="s">
        <v>472</v>
      </c>
      <c r="AM117" t="s">
        <v>141</v>
      </c>
      <c r="AN117" s="3">
        <v>94025</v>
      </c>
      <c r="AO117" t="s">
        <v>101</v>
      </c>
      <c r="AQ117" t="str">
        <f>"+14085335781"</f>
        <v>+14085335781</v>
      </c>
      <c r="AS117" t="s">
        <v>108</v>
      </c>
      <c r="AT117" t="s">
        <v>107</v>
      </c>
      <c r="AU117" t="str">
        <f>"McCarthy"</f>
        <v>McCarthy</v>
      </c>
      <c r="AV117" t="str">
        <f>"Susan"</f>
        <v>Susan</v>
      </c>
      <c r="AW117" t="str">
        <f>""</f>
        <v/>
      </c>
      <c r="AX117" t="str">
        <f>"P.O. Box 31608"</f>
        <v>P.O. Box 31608</v>
      </c>
      <c r="AY117" t="str">
        <f>""</f>
        <v/>
      </c>
      <c r="AZ117" t="str">
        <f>"Raleigh"</f>
        <v>Raleigh</v>
      </c>
      <c r="BA117" t="str">
        <f>"NC"</f>
        <v>NC</v>
      </c>
      <c r="BB117" s="3">
        <v>27622</v>
      </c>
      <c r="BC117" t="str">
        <f>"UNITED STATES OF AMERICA"</f>
        <v>UNITED STATES OF AMERICA</v>
      </c>
      <c r="BD117" t="str">
        <f>""</f>
        <v/>
      </c>
      <c r="BE117" t="str">
        <f>"+19193077002"</f>
        <v>+19193077002</v>
      </c>
      <c r="BF117" t="str">
        <f>""</f>
        <v/>
      </c>
      <c r="BG117" t="str">
        <f>"vicky.johnson@ogletreedeakins.com"</f>
        <v>vicky.johnson@ogletreedeakins.com</v>
      </c>
      <c r="BH117" t="str">
        <f>"Ogletree, Deakins, Nash, Smoak &amp; Stewart, P.C."</f>
        <v>Ogletree, Deakins, Nash, Smoak &amp; Stewart, P.C.</v>
      </c>
      <c r="BI117" t="str">
        <f>"NJ"</f>
        <v>NJ</v>
      </c>
      <c r="BJ117" t="str">
        <f>"Supreme Court of New Jersey"</f>
        <v>Supreme Court of New Jersey</v>
      </c>
      <c r="BK117">
        <v>1</v>
      </c>
      <c r="BL117" t="s">
        <v>102</v>
      </c>
      <c r="BM117" t="str">
        <f>""</f>
        <v/>
      </c>
      <c r="BN117" t="s">
        <v>9063</v>
      </c>
      <c r="BP117" t="s">
        <v>8219</v>
      </c>
      <c r="BQ117" t="s">
        <v>419</v>
      </c>
      <c r="BR117" t="s">
        <v>141</v>
      </c>
      <c r="BS117" s="5">
        <v>94555</v>
      </c>
      <c r="BT117" s="2">
        <v>165000</v>
      </c>
      <c r="BV117" t="s">
        <v>105</v>
      </c>
      <c r="BW117" s="2">
        <v>138341</v>
      </c>
      <c r="BX117" t="s">
        <v>105</v>
      </c>
      <c r="BZ117" t="s">
        <v>159</v>
      </c>
      <c r="CA117" t="str">
        <f t="shared" si="8"/>
        <v>7/1/2020 - 6/30/2021</v>
      </c>
      <c r="CF117">
        <v>2</v>
      </c>
      <c r="CG117" t="s">
        <v>98</v>
      </c>
      <c r="CH117" t="s">
        <v>98</v>
      </c>
      <c r="CI117" t="s">
        <v>206</v>
      </c>
      <c r="CJ117" t="s">
        <v>98</v>
      </c>
      <c r="CK117" t="s">
        <v>12323</v>
      </c>
      <c r="CL117" t="s">
        <v>108</v>
      </c>
      <c r="CM117" t="s">
        <v>109</v>
      </c>
      <c r="CN117" t="str">
        <f>"McCarthy "</f>
        <v xml:space="preserve">McCarthy </v>
      </c>
      <c r="CO117" t="str">
        <f>"Susan"</f>
        <v>Susan</v>
      </c>
      <c r="CP117" t="str">
        <f>""</f>
        <v/>
      </c>
      <c r="CQ117" t="str">
        <f>"Ogletree, Deakins, Nash, Smoak &amp; Stewart, P.C. "</f>
        <v xml:space="preserve">Ogletree, Deakins, Nash, Smoak &amp; Stewart, P.C. </v>
      </c>
      <c r="CR117" t="s">
        <v>473</v>
      </c>
    </row>
    <row r="118" spans="1:96" x14ac:dyDescent="0.2">
      <c r="A118" t="s">
        <v>9124</v>
      </c>
      <c r="B118" t="s">
        <v>96</v>
      </c>
      <c r="C118" s="1">
        <v>44098</v>
      </c>
      <c r="D118" s="1">
        <v>44105</v>
      </c>
      <c r="F118" t="s">
        <v>97</v>
      </c>
      <c r="G118" t="str">
        <f>"Senior Software Developer"</f>
        <v>Senior Software Developer</v>
      </c>
      <c r="H118" t="s">
        <v>12169</v>
      </c>
      <c r="I118" t="s">
        <v>124</v>
      </c>
      <c r="J118" t="s">
        <v>98</v>
      </c>
      <c r="K118" s="1">
        <v>44099</v>
      </c>
      <c r="L118" s="1">
        <v>45193</v>
      </c>
      <c r="M118">
        <v>6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 t="s">
        <v>1634</v>
      </c>
      <c r="U118" t="str">
        <f>"Mastech Digital Technologies, Inc."</f>
        <v>Mastech Digital Technologies, Inc.</v>
      </c>
      <c r="V118" t="s">
        <v>1081</v>
      </c>
      <c r="W118" t="str">
        <f>"Building 210, Suite 400"</f>
        <v>Building 210, Suite 400</v>
      </c>
      <c r="X118" t="s">
        <v>1082</v>
      </c>
      <c r="Y118" t="s">
        <v>127</v>
      </c>
      <c r="Z118" s="3">
        <v>15018</v>
      </c>
      <c r="AA118" t="s">
        <v>101</v>
      </c>
      <c r="AB118" t="s">
        <v>127</v>
      </c>
      <c r="AC118" s="4" t="str">
        <f>"+14127879553"</f>
        <v>+14127879553</v>
      </c>
      <c r="AE118" t="str">
        <f>"541511"</f>
        <v>541511</v>
      </c>
      <c r="AF118" t="s">
        <v>1083</v>
      </c>
      <c r="AG118" t="s">
        <v>1084</v>
      </c>
      <c r="AI118" t="s">
        <v>1085</v>
      </c>
      <c r="AJ118" t="s">
        <v>1081</v>
      </c>
      <c r="AK118" t="str">
        <f>"Bldg. 210, Ste 400"</f>
        <v>Bldg. 210, Ste 400</v>
      </c>
      <c r="AL118" t="s">
        <v>1082</v>
      </c>
      <c r="AM118" t="s">
        <v>127</v>
      </c>
      <c r="AN118" s="3">
        <v>15108</v>
      </c>
      <c r="AO118" t="s">
        <v>101</v>
      </c>
      <c r="AQ118" t="str">
        <f>"+14127879553"</f>
        <v>+14127879553</v>
      </c>
      <c r="AS118" t="s">
        <v>1086</v>
      </c>
      <c r="AT118" t="s">
        <v>102</v>
      </c>
      <c r="AU118" t="str">
        <f>""</f>
        <v/>
      </c>
      <c r="AV118" t="str">
        <f>""</f>
        <v/>
      </c>
      <c r="AW118" t="str">
        <f>""</f>
        <v/>
      </c>
      <c r="AX118" t="str">
        <f>""</f>
        <v/>
      </c>
      <c r="AY118" t="str">
        <f>""</f>
        <v/>
      </c>
      <c r="AZ118" t="str">
        <f>""</f>
        <v/>
      </c>
      <c r="BA118" t="str">
        <f>""</f>
        <v/>
      </c>
      <c r="BC118" t="str">
        <f>""</f>
        <v/>
      </c>
      <c r="BD118" t="str">
        <f>""</f>
        <v/>
      </c>
      <c r="BE118" t="str">
        <f>""</f>
        <v/>
      </c>
      <c r="BF118" t="str">
        <f>""</f>
        <v/>
      </c>
      <c r="BG118" t="str">
        <f>""</f>
        <v/>
      </c>
      <c r="BH118" t="str">
        <f>""</f>
        <v/>
      </c>
      <c r="BI118" t="str">
        <f>""</f>
        <v/>
      </c>
      <c r="BJ118" t="str">
        <f>""</f>
        <v/>
      </c>
      <c r="BK118">
        <v>6</v>
      </c>
      <c r="BL118" t="s">
        <v>107</v>
      </c>
      <c r="BM118" t="str">
        <f>"NYS Department of Health"</f>
        <v>NYS Department of Health</v>
      </c>
      <c r="BN118" t="s">
        <v>9125</v>
      </c>
      <c r="BP118" t="s">
        <v>4753</v>
      </c>
      <c r="BQ118" t="s">
        <v>1933</v>
      </c>
      <c r="BR118" t="s">
        <v>190</v>
      </c>
      <c r="BS118" s="5">
        <v>12204</v>
      </c>
      <c r="BT118" s="2">
        <v>47.16</v>
      </c>
      <c r="BU118" s="2">
        <v>47.26</v>
      </c>
      <c r="BV118" t="s">
        <v>210</v>
      </c>
      <c r="BW118" s="2">
        <v>47.16</v>
      </c>
      <c r="BX118" t="s">
        <v>210</v>
      </c>
      <c r="BZ118" t="s">
        <v>123</v>
      </c>
      <c r="CA118" t="str">
        <f t="shared" si="8"/>
        <v>7/1/2020 - 6/30/2021</v>
      </c>
      <c r="CF118">
        <v>2</v>
      </c>
      <c r="CG118" t="s">
        <v>98</v>
      </c>
      <c r="CH118" t="s">
        <v>98</v>
      </c>
      <c r="CI118" t="s">
        <v>206</v>
      </c>
      <c r="CJ118" t="s">
        <v>98</v>
      </c>
      <c r="CK118" t="s">
        <v>12323</v>
      </c>
      <c r="CL118" t="s">
        <v>108</v>
      </c>
      <c r="CM118" t="s">
        <v>109</v>
      </c>
      <c r="CN118" t="str">
        <f>""</f>
        <v/>
      </c>
      <c r="CO118" t="str">
        <f>""</f>
        <v/>
      </c>
      <c r="CP118" t="str">
        <f>""</f>
        <v/>
      </c>
      <c r="CQ118" t="str">
        <f>""</f>
        <v/>
      </c>
    </row>
    <row r="119" spans="1:96" x14ac:dyDescent="0.2">
      <c r="A119" t="s">
        <v>9134</v>
      </c>
      <c r="B119" t="s">
        <v>96</v>
      </c>
      <c r="C119" s="1">
        <v>44098</v>
      </c>
      <c r="D119" s="1">
        <v>44105</v>
      </c>
      <c r="F119" t="s">
        <v>97</v>
      </c>
      <c r="G119" t="str">
        <f>"Senior Manager JC45"</f>
        <v>Senior Manager JC45</v>
      </c>
      <c r="H119" t="s">
        <v>12181</v>
      </c>
      <c r="I119" t="s">
        <v>110</v>
      </c>
      <c r="J119" t="s">
        <v>98</v>
      </c>
      <c r="K119" s="1">
        <v>44106</v>
      </c>
      <c r="L119" s="1">
        <v>45200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 t="s">
        <v>111</v>
      </c>
      <c r="U119" t="str">
        <f>"CTSUS"</f>
        <v>CTSUS</v>
      </c>
      <c r="V119" t="s">
        <v>112</v>
      </c>
      <c r="W119" t="str">
        <f>""</f>
        <v/>
      </c>
      <c r="X119" t="s">
        <v>113</v>
      </c>
      <c r="Y119" t="s">
        <v>114</v>
      </c>
      <c r="Z119" s="3">
        <v>77845</v>
      </c>
      <c r="AA119" t="s">
        <v>101</v>
      </c>
      <c r="AB119" t="s">
        <v>114</v>
      </c>
      <c r="AC119" s="4" t="str">
        <f>"+19793296682"</f>
        <v>+19793296682</v>
      </c>
      <c r="AE119" t="str">
        <f>"541512"</f>
        <v>541512</v>
      </c>
      <c r="AF119" t="s">
        <v>115</v>
      </c>
      <c r="AG119" t="s">
        <v>116</v>
      </c>
      <c r="AH119" t="s">
        <v>108</v>
      </c>
      <c r="AI119" t="s">
        <v>117</v>
      </c>
      <c r="AJ119" t="s">
        <v>118</v>
      </c>
      <c r="AK119" t="str">
        <f>""</f>
        <v/>
      </c>
      <c r="AL119" t="s">
        <v>119</v>
      </c>
      <c r="AM119" t="s">
        <v>114</v>
      </c>
      <c r="AN119" s="3">
        <v>77845</v>
      </c>
      <c r="AO119" t="s">
        <v>101</v>
      </c>
      <c r="AQ119" t="str">
        <f>"+19793296682"</f>
        <v>+19793296682</v>
      </c>
      <c r="AS119" t="s">
        <v>120</v>
      </c>
      <c r="AT119" t="s">
        <v>102</v>
      </c>
      <c r="AU119" t="str">
        <f>""</f>
        <v/>
      </c>
      <c r="AV119" t="str">
        <f>""</f>
        <v/>
      </c>
      <c r="AW119" t="str">
        <f>""</f>
        <v/>
      </c>
      <c r="AX119" t="str">
        <f>""</f>
        <v/>
      </c>
      <c r="AY119" t="str">
        <f>""</f>
        <v/>
      </c>
      <c r="AZ119" t="str">
        <f>""</f>
        <v/>
      </c>
      <c r="BA119" t="str">
        <f>""</f>
        <v/>
      </c>
      <c r="BC119" t="str">
        <f>""</f>
        <v/>
      </c>
      <c r="BD119" t="str">
        <f>""</f>
        <v/>
      </c>
      <c r="BE119" t="str">
        <f>""</f>
        <v/>
      </c>
      <c r="BF119" t="str">
        <f>""</f>
        <v/>
      </c>
      <c r="BG119" t="str">
        <f>""</f>
        <v/>
      </c>
      <c r="BH119" t="str">
        <f>""</f>
        <v/>
      </c>
      <c r="BI119" t="str">
        <f>""</f>
        <v/>
      </c>
      <c r="BJ119" t="str">
        <f>""</f>
        <v/>
      </c>
      <c r="BK119">
        <v>1</v>
      </c>
      <c r="BL119" t="s">
        <v>102</v>
      </c>
      <c r="BM119" t="str">
        <f>""</f>
        <v/>
      </c>
      <c r="BN119" t="s">
        <v>9135</v>
      </c>
      <c r="BP119" t="s">
        <v>2486</v>
      </c>
      <c r="BQ119" t="s">
        <v>2487</v>
      </c>
      <c r="BR119" t="s">
        <v>577</v>
      </c>
      <c r="BS119" s="5">
        <v>32934</v>
      </c>
      <c r="BT119" s="2">
        <v>108763</v>
      </c>
      <c r="BV119" t="s">
        <v>105</v>
      </c>
      <c r="BW119" s="2">
        <v>108763</v>
      </c>
      <c r="BX119" t="s">
        <v>105</v>
      </c>
      <c r="BZ119" t="s">
        <v>159</v>
      </c>
      <c r="CA119" t="str">
        <f t="shared" si="8"/>
        <v>7/1/2020 - 6/30/2021</v>
      </c>
      <c r="CF119">
        <v>1</v>
      </c>
      <c r="CG119" t="s">
        <v>98</v>
      </c>
      <c r="CH119" t="s">
        <v>98</v>
      </c>
      <c r="CI119" t="s">
        <v>206</v>
      </c>
      <c r="CJ119" t="s">
        <v>98</v>
      </c>
      <c r="CK119" t="s">
        <v>12323</v>
      </c>
      <c r="CL119" t="s">
        <v>108</v>
      </c>
      <c r="CM119" t="s">
        <v>109</v>
      </c>
      <c r="CN119" t="str">
        <f>""</f>
        <v/>
      </c>
      <c r="CO119" t="str">
        <f>""</f>
        <v/>
      </c>
      <c r="CP119" t="str">
        <f>""</f>
        <v/>
      </c>
      <c r="CQ119" t="str">
        <f>""</f>
        <v/>
      </c>
    </row>
    <row r="120" spans="1:96" x14ac:dyDescent="0.2">
      <c r="A120" t="s">
        <v>9138</v>
      </c>
      <c r="B120" t="s">
        <v>96</v>
      </c>
      <c r="C120" s="1">
        <v>44098</v>
      </c>
      <c r="D120" s="1">
        <v>44105</v>
      </c>
      <c r="F120" t="s">
        <v>97</v>
      </c>
      <c r="G120" t="str">
        <f>"Senior Manager JC45"</f>
        <v>Senior Manager JC45</v>
      </c>
      <c r="H120" t="s">
        <v>12181</v>
      </c>
      <c r="I120" t="s">
        <v>110</v>
      </c>
      <c r="J120" t="s">
        <v>98</v>
      </c>
      <c r="K120" s="1">
        <v>44141</v>
      </c>
      <c r="L120" s="1">
        <v>45235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t="s">
        <v>111</v>
      </c>
      <c r="U120" t="str">
        <f>"CTSUS"</f>
        <v>CTSUS</v>
      </c>
      <c r="V120" t="s">
        <v>112</v>
      </c>
      <c r="W120" t="str">
        <f>""</f>
        <v/>
      </c>
      <c r="X120" t="s">
        <v>113</v>
      </c>
      <c r="Y120" t="s">
        <v>114</v>
      </c>
      <c r="Z120" s="3">
        <v>77845</v>
      </c>
      <c r="AA120" t="s">
        <v>101</v>
      </c>
      <c r="AB120" t="s">
        <v>114</v>
      </c>
      <c r="AC120" s="4" t="str">
        <f>"+19793296682"</f>
        <v>+19793296682</v>
      </c>
      <c r="AE120" t="str">
        <f>"541512"</f>
        <v>541512</v>
      </c>
      <c r="AF120" t="s">
        <v>115</v>
      </c>
      <c r="AG120" t="s">
        <v>116</v>
      </c>
      <c r="AH120" t="s">
        <v>108</v>
      </c>
      <c r="AI120" t="s">
        <v>117</v>
      </c>
      <c r="AJ120" t="s">
        <v>118</v>
      </c>
      <c r="AK120" t="str">
        <f>""</f>
        <v/>
      </c>
      <c r="AL120" t="s">
        <v>119</v>
      </c>
      <c r="AM120" t="s">
        <v>114</v>
      </c>
      <c r="AN120" s="3">
        <v>77845</v>
      </c>
      <c r="AO120" t="s">
        <v>101</v>
      </c>
      <c r="AQ120" t="str">
        <f>"+19793296682"</f>
        <v>+19793296682</v>
      </c>
      <c r="AS120" t="s">
        <v>120</v>
      </c>
      <c r="AT120" t="s">
        <v>102</v>
      </c>
      <c r="AU120" t="str">
        <f>""</f>
        <v/>
      </c>
      <c r="AV120" t="str">
        <f>""</f>
        <v/>
      </c>
      <c r="AW120" t="str">
        <f>""</f>
        <v/>
      </c>
      <c r="AX120" t="str">
        <f>""</f>
        <v/>
      </c>
      <c r="AY120" t="str">
        <f>""</f>
        <v/>
      </c>
      <c r="AZ120" t="str">
        <f>""</f>
        <v/>
      </c>
      <c r="BA120" t="str">
        <f>""</f>
        <v/>
      </c>
      <c r="BC120" t="str">
        <f>""</f>
        <v/>
      </c>
      <c r="BD120" t="str">
        <f>""</f>
        <v/>
      </c>
      <c r="BE120" t="str">
        <f>""</f>
        <v/>
      </c>
      <c r="BF120" t="str">
        <f>""</f>
        <v/>
      </c>
      <c r="BG120" t="str">
        <f>""</f>
        <v/>
      </c>
      <c r="BH120" t="str">
        <f>""</f>
        <v/>
      </c>
      <c r="BI120" t="str">
        <f>""</f>
        <v/>
      </c>
      <c r="BJ120" t="str">
        <f>""</f>
        <v/>
      </c>
      <c r="BK120">
        <v>1</v>
      </c>
      <c r="BL120" t="s">
        <v>102</v>
      </c>
      <c r="BM120" t="str">
        <f>""</f>
        <v/>
      </c>
      <c r="BN120" t="s">
        <v>9139</v>
      </c>
      <c r="BP120" t="s">
        <v>9140</v>
      </c>
      <c r="BQ120" t="s">
        <v>2026</v>
      </c>
      <c r="BR120" t="s">
        <v>127</v>
      </c>
      <c r="BS120" s="5">
        <v>17007</v>
      </c>
      <c r="BT120" s="2">
        <v>118019</v>
      </c>
      <c r="BV120" t="s">
        <v>105</v>
      </c>
      <c r="BW120" s="2">
        <v>118019</v>
      </c>
      <c r="BX120" t="s">
        <v>105</v>
      </c>
      <c r="BZ120" t="s">
        <v>159</v>
      </c>
      <c r="CA120" t="str">
        <f t="shared" si="8"/>
        <v>7/1/2020 - 6/30/2021</v>
      </c>
      <c r="CF120">
        <v>1</v>
      </c>
      <c r="CG120" t="s">
        <v>98</v>
      </c>
      <c r="CH120" t="s">
        <v>98</v>
      </c>
      <c r="CI120" t="s">
        <v>206</v>
      </c>
      <c r="CJ120" t="s">
        <v>98</v>
      </c>
      <c r="CK120" t="s">
        <v>12323</v>
      </c>
      <c r="CL120" t="s">
        <v>108</v>
      </c>
      <c r="CM120" t="s">
        <v>109</v>
      </c>
      <c r="CN120" t="str">
        <f>""</f>
        <v/>
      </c>
      <c r="CO120" t="str">
        <f>""</f>
        <v/>
      </c>
      <c r="CP120" t="str">
        <f>""</f>
        <v/>
      </c>
      <c r="CQ120" t="str">
        <f>""</f>
        <v/>
      </c>
    </row>
    <row r="121" spans="1:96" x14ac:dyDescent="0.2">
      <c r="A121" t="s">
        <v>9179</v>
      </c>
      <c r="B121" t="s">
        <v>96</v>
      </c>
      <c r="C121" s="1">
        <v>44098</v>
      </c>
      <c r="D121" s="1">
        <v>44105</v>
      </c>
      <c r="F121" t="s">
        <v>97</v>
      </c>
      <c r="G121" t="str">
        <f>"Associate Director JC40"</f>
        <v>Associate Director JC40</v>
      </c>
      <c r="H121" t="s">
        <v>12181</v>
      </c>
      <c r="I121" t="s">
        <v>110</v>
      </c>
      <c r="J121" t="s">
        <v>98</v>
      </c>
      <c r="K121" s="1">
        <v>44107</v>
      </c>
      <c r="L121" s="1">
        <v>45201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t="s">
        <v>111</v>
      </c>
      <c r="U121" t="str">
        <f>"CTSUS"</f>
        <v>CTSUS</v>
      </c>
      <c r="V121" t="s">
        <v>112</v>
      </c>
      <c r="W121" t="str">
        <f>""</f>
        <v/>
      </c>
      <c r="X121" t="s">
        <v>113</v>
      </c>
      <c r="Y121" t="s">
        <v>114</v>
      </c>
      <c r="Z121" s="3">
        <v>77845</v>
      </c>
      <c r="AA121" t="s">
        <v>101</v>
      </c>
      <c r="AB121" t="s">
        <v>114</v>
      </c>
      <c r="AC121" s="4" t="str">
        <f>"+19793296682"</f>
        <v>+19793296682</v>
      </c>
      <c r="AE121" t="str">
        <f>"541512"</f>
        <v>541512</v>
      </c>
      <c r="AF121" t="s">
        <v>115</v>
      </c>
      <c r="AG121" t="s">
        <v>116</v>
      </c>
      <c r="AH121" t="s">
        <v>108</v>
      </c>
      <c r="AI121" t="s">
        <v>117</v>
      </c>
      <c r="AJ121" t="s">
        <v>118</v>
      </c>
      <c r="AK121" t="str">
        <f>""</f>
        <v/>
      </c>
      <c r="AL121" t="s">
        <v>119</v>
      </c>
      <c r="AM121" t="s">
        <v>114</v>
      </c>
      <c r="AN121" s="3">
        <v>77845</v>
      </c>
      <c r="AO121" t="s">
        <v>101</v>
      </c>
      <c r="AQ121" t="str">
        <f>"+19793296682"</f>
        <v>+19793296682</v>
      </c>
      <c r="AS121" t="s">
        <v>120</v>
      </c>
      <c r="AT121" t="s">
        <v>102</v>
      </c>
      <c r="AU121" t="str">
        <f>""</f>
        <v/>
      </c>
      <c r="AV121" t="str">
        <f>""</f>
        <v/>
      </c>
      <c r="AW121" t="str">
        <f>""</f>
        <v/>
      </c>
      <c r="AX121" t="str">
        <f>""</f>
        <v/>
      </c>
      <c r="AY121" t="str">
        <f>""</f>
        <v/>
      </c>
      <c r="AZ121" t="str">
        <f>""</f>
        <v/>
      </c>
      <c r="BA121" t="str">
        <f>""</f>
        <v/>
      </c>
      <c r="BC121" t="str">
        <f>""</f>
        <v/>
      </c>
      <c r="BD121" t="str">
        <f>""</f>
        <v/>
      </c>
      <c r="BE121" t="str">
        <f>""</f>
        <v/>
      </c>
      <c r="BF121" t="str">
        <f>""</f>
        <v/>
      </c>
      <c r="BG121" t="str">
        <f>""</f>
        <v/>
      </c>
      <c r="BH121" t="str">
        <f>""</f>
        <v/>
      </c>
      <c r="BI121" t="str">
        <f>""</f>
        <v/>
      </c>
      <c r="BJ121" t="str">
        <f>""</f>
        <v/>
      </c>
      <c r="BK121">
        <v>1</v>
      </c>
      <c r="BL121" t="s">
        <v>102</v>
      </c>
      <c r="BM121" t="str">
        <f>""</f>
        <v/>
      </c>
      <c r="BN121" t="s">
        <v>9180</v>
      </c>
      <c r="BP121" t="s">
        <v>297</v>
      </c>
      <c r="BQ121" t="s">
        <v>556</v>
      </c>
      <c r="BR121" t="s">
        <v>114</v>
      </c>
      <c r="BS121" s="5">
        <v>75024</v>
      </c>
      <c r="BT121" s="2">
        <v>114005</v>
      </c>
      <c r="BV121" t="s">
        <v>105</v>
      </c>
      <c r="BW121" s="2">
        <v>114005</v>
      </c>
      <c r="BX121" t="s">
        <v>105</v>
      </c>
      <c r="BZ121" t="s">
        <v>159</v>
      </c>
      <c r="CA121" t="str">
        <f t="shared" si="8"/>
        <v>7/1/2020 - 6/30/2021</v>
      </c>
      <c r="CF121">
        <v>1</v>
      </c>
      <c r="CG121" t="s">
        <v>98</v>
      </c>
      <c r="CH121" t="s">
        <v>98</v>
      </c>
      <c r="CI121" t="s">
        <v>206</v>
      </c>
      <c r="CJ121" t="s">
        <v>98</v>
      </c>
      <c r="CK121" t="s">
        <v>12323</v>
      </c>
      <c r="CL121" t="s">
        <v>108</v>
      </c>
      <c r="CM121" t="s">
        <v>109</v>
      </c>
      <c r="CN121" t="str">
        <f>""</f>
        <v/>
      </c>
      <c r="CO121" t="str">
        <f>""</f>
        <v/>
      </c>
      <c r="CP121" t="str">
        <f>""</f>
        <v/>
      </c>
      <c r="CQ121" t="str">
        <f>""</f>
        <v/>
      </c>
    </row>
    <row r="122" spans="1:96" x14ac:dyDescent="0.2">
      <c r="A122" t="s">
        <v>9201</v>
      </c>
      <c r="B122" t="s">
        <v>96</v>
      </c>
      <c r="C122" s="1">
        <v>44098</v>
      </c>
      <c r="D122" s="1">
        <v>44105</v>
      </c>
      <c r="F122" t="s">
        <v>97</v>
      </c>
      <c r="G122" t="str">
        <f>"Computer Systems Analyst"</f>
        <v>Computer Systems Analyst</v>
      </c>
      <c r="H122" t="s">
        <v>12181</v>
      </c>
      <c r="I122" t="s">
        <v>110</v>
      </c>
      <c r="J122" t="s">
        <v>98</v>
      </c>
      <c r="K122" s="1">
        <v>44098</v>
      </c>
      <c r="L122" s="1">
        <v>45192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2872</v>
      </c>
      <c r="U122" t="str">
        <f>""</f>
        <v/>
      </c>
      <c r="V122" t="s">
        <v>2613</v>
      </c>
      <c r="W122" t="str">
        <f>"Ste. 200A"</f>
        <v>Ste. 200A</v>
      </c>
      <c r="X122" t="s">
        <v>2614</v>
      </c>
      <c r="Y122" t="s">
        <v>100</v>
      </c>
      <c r="Z122" s="3">
        <v>7921</v>
      </c>
      <c r="AA122" t="s">
        <v>101</v>
      </c>
      <c r="AC122" s="4" t="str">
        <f>"+19732169008"</f>
        <v>+19732169008</v>
      </c>
      <c r="AE122" t="str">
        <f>"541511"</f>
        <v>541511</v>
      </c>
      <c r="AF122" t="s">
        <v>2873</v>
      </c>
      <c r="AG122" t="s">
        <v>2874</v>
      </c>
      <c r="AI122" t="s">
        <v>1488</v>
      </c>
      <c r="AJ122" t="s">
        <v>2613</v>
      </c>
      <c r="AK122" t="str">
        <f>"Ste. 200A"</f>
        <v>Ste. 200A</v>
      </c>
      <c r="AL122" t="s">
        <v>2614</v>
      </c>
      <c r="AM122" t="s">
        <v>100</v>
      </c>
      <c r="AN122" s="3">
        <v>7921</v>
      </c>
      <c r="AO122" t="s">
        <v>101</v>
      </c>
      <c r="AQ122" t="str">
        <f>"+19732169008"</f>
        <v>+19732169008</v>
      </c>
      <c r="AS122" t="s">
        <v>2875</v>
      </c>
      <c r="AT122" t="s">
        <v>107</v>
      </c>
      <c r="AU122" t="str">
        <f>"Hammond"</f>
        <v>Hammond</v>
      </c>
      <c r="AV122" t="str">
        <f>"Michael"</f>
        <v>Michael</v>
      </c>
      <c r="AW122" t="str">
        <f>"Fitzgerald"</f>
        <v>Fitzgerald</v>
      </c>
      <c r="AX122" t="str">
        <f>"441 Vine Street"</f>
        <v>441 Vine Street</v>
      </c>
      <c r="AY122" t="str">
        <f>"3200 Carew Tower"</f>
        <v>3200 Carew Tower</v>
      </c>
      <c r="AZ122" t="str">
        <f>"Cincinnati"</f>
        <v>Cincinnati</v>
      </c>
      <c r="BA122" t="str">
        <f>"OH"</f>
        <v>OH</v>
      </c>
      <c r="BB122" s="3">
        <v>45202</v>
      </c>
      <c r="BC122" t="str">
        <f>"UNITED STATES OF AMERICA"</f>
        <v>UNITED STATES OF AMERICA</v>
      </c>
      <c r="BD122" t="str">
        <f>""</f>
        <v/>
      </c>
      <c r="BE122" t="str">
        <f>"+15133812011"</f>
        <v>+15133812011</v>
      </c>
      <c r="BF122" t="str">
        <f>""</f>
        <v/>
      </c>
      <c r="BG122" t="str">
        <f>"mfh@hammondlawgroup.com"</f>
        <v>mfh@hammondlawgroup.com</v>
      </c>
      <c r="BH122" t="str">
        <f>"Hammond Law Group"</f>
        <v>Hammond Law Group</v>
      </c>
      <c r="BI122" t="str">
        <f>"OH"</f>
        <v>OH</v>
      </c>
      <c r="BJ122" t="str">
        <f>"Supreme Court"</f>
        <v>Supreme Court</v>
      </c>
      <c r="BK122">
        <v>1</v>
      </c>
      <c r="BL122" t="s">
        <v>102</v>
      </c>
      <c r="BM122" t="str">
        <f>""</f>
        <v/>
      </c>
      <c r="BN122" t="s">
        <v>7118</v>
      </c>
      <c r="BO122" t="s">
        <v>7394</v>
      </c>
      <c r="BP122" t="s">
        <v>297</v>
      </c>
      <c r="BQ122" t="s">
        <v>556</v>
      </c>
      <c r="BR122" t="s">
        <v>114</v>
      </c>
      <c r="BS122" s="5">
        <v>75093</v>
      </c>
      <c r="BT122" s="2">
        <v>80476</v>
      </c>
      <c r="BV122" t="s">
        <v>105</v>
      </c>
      <c r="BW122" s="2">
        <v>80475</v>
      </c>
      <c r="BX122" t="s">
        <v>105</v>
      </c>
      <c r="BZ122" t="s">
        <v>167</v>
      </c>
      <c r="CA122" t="str">
        <f t="shared" si="8"/>
        <v>7/1/2020 - 6/30/2021</v>
      </c>
      <c r="CF122">
        <v>1</v>
      </c>
      <c r="CG122" t="s">
        <v>98</v>
      </c>
      <c r="CH122" t="s">
        <v>98</v>
      </c>
      <c r="CI122" t="s">
        <v>206</v>
      </c>
      <c r="CJ122" t="s">
        <v>98</v>
      </c>
      <c r="CK122" t="s">
        <v>12323</v>
      </c>
      <c r="CL122" t="s">
        <v>108</v>
      </c>
      <c r="CM122" t="s">
        <v>109</v>
      </c>
      <c r="CN122" t="str">
        <f>""</f>
        <v/>
      </c>
      <c r="CO122" t="str">
        <f>""</f>
        <v/>
      </c>
      <c r="CP122" t="str">
        <f>""</f>
        <v/>
      </c>
      <c r="CQ122" t="str">
        <f>""</f>
        <v/>
      </c>
    </row>
    <row r="123" spans="1:96" x14ac:dyDescent="0.2">
      <c r="A123" t="s">
        <v>9227</v>
      </c>
      <c r="B123" t="s">
        <v>96</v>
      </c>
      <c r="C123" s="1">
        <v>44098</v>
      </c>
      <c r="D123" s="1">
        <v>44105</v>
      </c>
      <c r="F123" t="s">
        <v>97</v>
      </c>
      <c r="G123" t="str">
        <f>"Technical Test Lead - US "</f>
        <v xml:space="preserve">Technical Test Lead - US </v>
      </c>
      <c r="H123" t="s">
        <v>12168</v>
      </c>
      <c r="I123" t="s">
        <v>319</v>
      </c>
      <c r="J123" t="s">
        <v>98</v>
      </c>
      <c r="K123" s="1">
        <v>44192</v>
      </c>
      <c r="L123" s="1">
        <v>45284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t="s">
        <v>723</v>
      </c>
      <c r="U123" t="str">
        <f>""</f>
        <v/>
      </c>
      <c r="V123" t="s">
        <v>724</v>
      </c>
      <c r="W123" t="str">
        <f>"STE C150"</f>
        <v>STE C150</v>
      </c>
      <c r="X123" t="s">
        <v>725</v>
      </c>
      <c r="Y123" t="s">
        <v>114</v>
      </c>
      <c r="Z123" s="3">
        <v>75082</v>
      </c>
      <c r="AA123" t="s">
        <v>101</v>
      </c>
      <c r="AC123" s="4" t="str">
        <f>"+12143062100"</f>
        <v>+12143062100</v>
      </c>
      <c r="AE123" t="str">
        <f>"541511"</f>
        <v>541511</v>
      </c>
      <c r="AF123" t="s">
        <v>726</v>
      </c>
      <c r="AG123" t="s">
        <v>727</v>
      </c>
      <c r="AI123" t="s">
        <v>728</v>
      </c>
      <c r="AJ123" t="s">
        <v>724</v>
      </c>
      <c r="AK123" t="str">
        <f>"STE C150"</f>
        <v>STE C150</v>
      </c>
      <c r="AL123" t="s">
        <v>725</v>
      </c>
      <c r="AM123" t="s">
        <v>114</v>
      </c>
      <c r="AN123" s="3">
        <v>75082</v>
      </c>
      <c r="AO123" t="s">
        <v>101</v>
      </c>
      <c r="AQ123" t="str">
        <f>"+12143062100"</f>
        <v>+12143062100</v>
      </c>
      <c r="AS123" t="s">
        <v>729</v>
      </c>
      <c r="AT123" t="s">
        <v>102</v>
      </c>
      <c r="AU123" t="str">
        <f>""</f>
        <v/>
      </c>
      <c r="AV123" t="str">
        <f>""</f>
        <v/>
      </c>
      <c r="AW123" t="str">
        <f>""</f>
        <v/>
      </c>
      <c r="AX123" t="str">
        <f>""</f>
        <v/>
      </c>
      <c r="AY123" t="str">
        <f>""</f>
        <v/>
      </c>
      <c r="AZ123" t="str">
        <f>""</f>
        <v/>
      </c>
      <c r="BA123" t="str">
        <f>""</f>
        <v/>
      </c>
      <c r="BC123" t="str">
        <f>""</f>
        <v/>
      </c>
      <c r="BD123" t="str">
        <f>""</f>
        <v/>
      </c>
      <c r="BE123" t="str">
        <f>""</f>
        <v/>
      </c>
      <c r="BF123" t="str">
        <f>""</f>
        <v/>
      </c>
      <c r="BG123" t="str">
        <f>""</f>
        <v/>
      </c>
      <c r="BH123" t="str">
        <f>""</f>
        <v/>
      </c>
      <c r="BI123" t="str">
        <f>""</f>
        <v/>
      </c>
      <c r="BJ123" t="str">
        <f>""</f>
        <v/>
      </c>
      <c r="BK123">
        <v>1</v>
      </c>
      <c r="BL123" t="s">
        <v>107</v>
      </c>
      <c r="BM123" t="str">
        <f>"Wells Fargo &amp; Company"</f>
        <v>Wells Fargo &amp; Company</v>
      </c>
      <c r="BN123" t="s">
        <v>6949</v>
      </c>
      <c r="BP123" t="s">
        <v>604</v>
      </c>
      <c r="BQ123" t="s">
        <v>121</v>
      </c>
      <c r="BR123" t="s">
        <v>122</v>
      </c>
      <c r="BS123" s="5">
        <v>28262</v>
      </c>
      <c r="BT123" s="2">
        <v>73486</v>
      </c>
      <c r="BV123" t="s">
        <v>105</v>
      </c>
      <c r="BW123" s="2">
        <v>73486</v>
      </c>
      <c r="BX123" t="s">
        <v>105</v>
      </c>
      <c r="BZ123" t="s">
        <v>167</v>
      </c>
      <c r="CA123" t="str">
        <f t="shared" si="8"/>
        <v>7/1/2020 - 6/30/2021</v>
      </c>
      <c r="CF123">
        <v>1</v>
      </c>
      <c r="CG123" t="s">
        <v>98</v>
      </c>
      <c r="CH123" t="s">
        <v>98</v>
      </c>
      <c r="CI123" t="s">
        <v>206</v>
      </c>
      <c r="CJ123" t="s">
        <v>98</v>
      </c>
      <c r="CK123" t="s">
        <v>12323</v>
      </c>
      <c r="CL123" t="s">
        <v>108</v>
      </c>
      <c r="CM123" t="s">
        <v>109</v>
      </c>
      <c r="CN123" t="str">
        <f>"Khanum"</f>
        <v>Khanum</v>
      </c>
      <c r="CO123" t="str">
        <f>"Hajeera"</f>
        <v>Hajeera</v>
      </c>
      <c r="CP123" t="str">
        <f>""</f>
        <v/>
      </c>
      <c r="CQ123" t="str">
        <f>"Infosys Limited"</f>
        <v>Infosys Limited</v>
      </c>
      <c r="CR123" t="s">
        <v>900</v>
      </c>
    </row>
    <row r="124" spans="1:96" x14ac:dyDescent="0.2">
      <c r="A124" t="s">
        <v>9237</v>
      </c>
      <c r="B124" t="s">
        <v>96</v>
      </c>
      <c r="C124" s="1">
        <v>44098</v>
      </c>
      <c r="D124" s="1">
        <v>44105</v>
      </c>
      <c r="F124" t="s">
        <v>97</v>
      </c>
      <c r="G124" t="str">
        <f>"BI DEVELOPER"</f>
        <v>BI DEVELOPER</v>
      </c>
      <c r="H124" t="s">
        <v>12168</v>
      </c>
      <c r="I124" t="s">
        <v>249</v>
      </c>
      <c r="J124" t="s">
        <v>98</v>
      </c>
      <c r="K124" s="1">
        <v>44109</v>
      </c>
      <c r="L124" s="1">
        <v>45203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8669</v>
      </c>
      <c r="U124" t="str">
        <f>""</f>
        <v/>
      </c>
      <c r="V124" t="s">
        <v>6368</v>
      </c>
      <c r="W124" t="str">
        <f>"SUITE 201"</f>
        <v>SUITE 201</v>
      </c>
      <c r="X124" t="s">
        <v>2770</v>
      </c>
      <c r="Y124" t="s">
        <v>215</v>
      </c>
      <c r="Z124" s="3">
        <v>30024</v>
      </c>
      <c r="AA124" t="s">
        <v>101</v>
      </c>
      <c r="AC124" s="4" t="str">
        <f>"+17709355165"</f>
        <v>+17709355165</v>
      </c>
      <c r="AE124" t="str">
        <f>"541511"</f>
        <v>541511</v>
      </c>
      <c r="AF124" t="s">
        <v>6218</v>
      </c>
      <c r="AG124" t="s">
        <v>8670</v>
      </c>
      <c r="AI124" t="s">
        <v>6369</v>
      </c>
      <c r="AJ124" t="s">
        <v>8671</v>
      </c>
      <c r="AK124" t="str">
        <f>"SUITE 201"</f>
        <v>SUITE 201</v>
      </c>
      <c r="AL124" t="s">
        <v>2770</v>
      </c>
      <c r="AM124" t="s">
        <v>215</v>
      </c>
      <c r="AN124" s="3">
        <v>30024</v>
      </c>
      <c r="AO124" t="s">
        <v>101</v>
      </c>
      <c r="AQ124" t="str">
        <f>"+17709355165"</f>
        <v>+17709355165</v>
      </c>
      <c r="AS124" t="s">
        <v>6220</v>
      </c>
      <c r="AT124" t="s">
        <v>102</v>
      </c>
      <c r="AU124" t="str">
        <f>""</f>
        <v/>
      </c>
      <c r="AV124" t="str">
        <f>""</f>
        <v/>
      </c>
      <c r="AW124" t="str">
        <f>""</f>
        <v/>
      </c>
      <c r="AX124" t="str">
        <f>""</f>
        <v/>
      </c>
      <c r="AY124" t="str">
        <f>""</f>
        <v/>
      </c>
      <c r="AZ124" t="str">
        <f>""</f>
        <v/>
      </c>
      <c r="BA124" t="str">
        <f>""</f>
        <v/>
      </c>
      <c r="BC124" t="str">
        <f>""</f>
        <v/>
      </c>
      <c r="BD124" t="str">
        <f>""</f>
        <v/>
      </c>
      <c r="BE124" t="str">
        <f>""</f>
        <v/>
      </c>
      <c r="BF124" t="str">
        <f>""</f>
        <v/>
      </c>
      <c r="BG124" t="str">
        <f>""</f>
        <v/>
      </c>
      <c r="BH124" t="str">
        <f>""</f>
        <v/>
      </c>
      <c r="BI124" t="str">
        <f>""</f>
        <v/>
      </c>
      <c r="BJ124" t="str">
        <f>""</f>
        <v/>
      </c>
      <c r="BK124">
        <v>1</v>
      </c>
      <c r="BL124" t="s">
        <v>102</v>
      </c>
      <c r="BM124" t="str">
        <f>""</f>
        <v/>
      </c>
      <c r="BN124" t="s">
        <v>9238</v>
      </c>
      <c r="BO124" t="s">
        <v>8672</v>
      </c>
      <c r="BP124" t="s">
        <v>9037</v>
      </c>
      <c r="BQ124" t="s">
        <v>2947</v>
      </c>
      <c r="BR124" t="s">
        <v>857</v>
      </c>
      <c r="BS124" s="5">
        <v>2920</v>
      </c>
      <c r="BT124" s="2">
        <v>65000</v>
      </c>
      <c r="BV124" t="s">
        <v>105</v>
      </c>
      <c r="BW124" s="2">
        <v>64938</v>
      </c>
      <c r="BX124" t="s">
        <v>105</v>
      </c>
      <c r="BZ124" t="s">
        <v>167</v>
      </c>
      <c r="CA124" t="str">
        <f t="shared" si="8"/>
        <v>7/1/2020 - 6/30/2021</v>
      </c>
      <c r="CF124">
        <v>1</v>
      </c>
      <c r="CG124" t="s">
        <v>98</v>
      </c>
      <c r="CH124" t="s">
        <v>98</v>
      </c>
      <c r="CI124" t="s">
        <v>206</v>
      </c>
      <c r="CJ124" t="s">
        <v>98</v>
      </c>
      <c r="CK124" t="s">
        <v>12323</v>
      </c>
      <c r="CL124" t="s">
        <v>108</v>
      </c>
      <c r="CM124" t="s">
        <v>109</v>
      </c>
      <c r="CN124" t="str">
        <f>""</f>
        <v/>
      </c>
      <c r="CO124" t="str">
        <f>""</f>
        <v/>
      </c>
      <c r="CP124" t="str">
        <f>""</f>
        <v/>
      </c>
      <c r="CQ124" t="str">
        <f>""</f>
        <v/>
      </c>
    </row>
    <row r="125" spans="1:96" x14ac:dyDescent="0.2">
      <c r="A125" t="s">
        <v>9242</v>
      </c>
      <c r="B125" t="s">
        <v>96</v>
      </c>
      <c r="C125" s="1">
        <v>44098</v>
      </c>
      <c r="D125" s="1">
        <v>44105</v>
      </c>
      <c r="F125" t="s">
        <v>97</v>
      </c>
      <c r="G125" t="str">
        <f>"Devops Engineer"</f>
        <v>Devops Engineer</v>
      </c>
      <c r="H125" t="s">
        <v>12169</v>
      </c>
      <c r="I125" t="s">
        <v>124</v>
      </c>
      <c r="J125" t="s">
        <v>98</v>
      </c>
      <c r="K125" s="1">
        <v>44106</v>
      </c>
      <c r="L125" s="1">
        <v>45200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9243</v>
      </c>
      <c r="U125" t="str">
        <f>""</f>
        <v/>
      </c>
      <c r="V125" t="s">
        <v>9244</v>
      </c>
      <c r="W125" t="str">
        <f>"Suite 909"</f>
        <v>Suite 909</v>
      </c>
      <c r="X125" t="s">
        <v>9245</v>
      </c>
      <c r="Y125" t="s">
        <v>127</v>
      </c>
      <c r="Z125" s="3">
        <v>19006</v>
      </c>
      <c r="AA125" t="s">
        <v>101</v>
      </c>
      <c r="AC125" s="4" t="str">
        <f>"+12156605084"</f>
        <v>+12156605084</v>
      </c>
      <c r="AE125" t="str">
        <f>"541511"</f>
        <v>541511</v>
      </c>
      <c r="AF125" t="s">
        <v>9246</v>
      </c>
      <c r="AG125" t="s">
        <v>9247</v>
      </c>
      <c r="AI125" t="s">
        <v>298</v>
      </c>
      <c r="AJ125" t="s">
        <v>9244</v>
      </c>
      <c r="AK125" t="str">
        <f>"Suite 909"</f>
        <v>Suite 909</v>
      </c>
      <c r="AL125" t="s">
        <v>9245</v>
      </c>
      <c r="AM125" t="s">
        <v>127</v>
      </c>
      <c r="AN125" s="3">
        <v>19006</v>
      </c>
      <c r="AO125" t="s">
        <v>101</v>
      </c>
      <c r="AQ125" t="str">
        <f>"+12156605084"</f>
        <v>+12156605084</v>
      </c>
      <c r="AS125" t="s">
        <v>9248</v>
      </c>
      <c r="AT125" t="s">
        <v>107</v>
      </c>
      <c r="AU125" t="str">
        <f>"Nalliah"</f>
        <v>Nalliah</v>
      </c>
      <c r="AV125" t="str">
        <f>"Rajaguru"</f>
        <v>Rajaguru</v>
      </c>
      <c r="AW125" t="str">
        <f>""</f>
        <v/>
      </c>
      <c r="AX125" t="str">
        <f>"1231 Green way Drive "</f>
        <v xml:space="preserve">1231 Green way Drive </v>
      </c>
      <c r="AY125" t="str">
        <f>"Suite 210"</f>
        <v>Suite 210</v>
      </c>
      <c r="AZ125" t="str">
        <f>"Irving"</f>
        <v>Irving</v>
      </c>
      <c r="BA125" t="str">
        <f>"TX"</f>
        <v>TX</v>
      </c>
      <c r="BB125" s="3">
        <v>75038</v>
      </c>
      <c r="BC125" t="str">
        <f>"UNITED STATES OF AMERICA"</f>
        <v>UNITED STATES OF AMERICA</v>
      </c>
      <c r="BD125" t="str">
        <f>""</f>
        <v/>
      </c>
      <c r="BE125" t="str">
        <f>"+12489431444"</f>
        <v>+12489431444</v>
      </c>
      <c r="BF125" t="str">
        <f>""</f>
        <v/>
      </c>
      <c r="BG125" t="str">
        <f>"LCA@IMMLAWS.COM"</f>
        <v>LCA@IMMLAWS.COM</v>
      </c>
      <c r="BH125" t="str">
        <f>"IMM Laws"</f>
        <v>IMM Laws</v>
      </c>
      <c r="BI125" t="str">
        <f>"OH"</f>
        <v>OH</v>
      </c>
      <c r="BJ125" t="str">
        <f>"Supreme court of Ohio"</f>
        <v>Supreme court of Ohio</v>
      </c>
      <c r="BK125">
        <v>1</v>
      </c>
      <c r="BL125" t="s">
        <v>107</v>
      </c>
      <c r="BM125" t="str">
        <f>"Capital One"</f>
        <v>Capital One</v>
      </c>
      <c r="BN125" t="s">
        <v>9249</v>
      </c>
      <c r="BP125" t="s">
        <v>693</v>
      </c>
      <c r="BQ125" t="s">
        <v>1319</v>
      </c>
      <c r="BR125" t="s">
        <v>135</v>
      </c>
      <c r="BS125" s="5">
        <v>23238</v>
      </c>
      <c r="BT125" s="2">
        <v>89773</v>
      </c>
      <c r="BV125" t="s">
        <v>105</v>
      </c>
      <c r="BW125" s="2">
        <v>87984</v>
      </c>
      <c r="BX125" t="s">
        <v>105</v>
      </c>
      <c r="BZ125" t="s">
        <v>167</v>
      </c>
      <c r="CA125" t="str">
        <f t="shared" si="8"/>
        <v>7/1/2020 - 6/30/2021</v>
      </c>
      <c r="CF125">
        <v>2</v>
      </c>
      <c r="CG125" t="s">
        <v>98</v>
      </c>
      <c r="CH125" t="s">
        <v>98</v>
      </c>
      <c r="CI125" t="s">
        <v>206</v>
      </c>
      <c r="CJ125" t="s">
        <v>98</v>
      </c>
      <c r="CK125" t="s">
        <v>12323</v>
      </c>
      <c r="CL125" t="s">
        <v>108</v>
      </c>
      <c r="CM125" t="s">
        <v>109</v>
      </c>
      <c r="CN125" t="str">
        <f>"Nalliah"</f>
        <v>Nalliah</v>
      </c>
      <c r="CO125" t="str">
        <f>"Rajaguru"</f>
        <v>Rajaguru</v>
      </c>
      <c r="CP125" t="str">
        <f>""</f>
        <v/>
      </c>
      <c r="CQ125" t="str">
        <f>"Immlaws"</f>
        <v>Immlaws</v>
      </c>
      <c r="CR125" t="s">
        <v>2914</v>
      </c>
    </row>
    <row r="126" spans="1:96" x14ac:dyDescent="0.2">
      <c r="A126" t="s">
        <v>9254</v>
      </c>
      <c r="B126" t="s">
        <v>96</v>
      </c>
      <c r="C126" s="1">
        <v>44098</v>
      </c>
      <c r="D126" s="1">
        <v>44105</v>
      </c>
      <c r="F126" t="s">
        <v>97</v>
      </c>
      <c r="G126" t="str">
        <f>"Manager JC50"</f>
        <v>Manager JC50</v>
      </c>
      <c r="H126" t="s">
        <v>12181</v>
      </c>
      <c r="I126" t="s">
        <v>110</v>
      </c>
      <c r="J126" t="s">
        <v>98</v>
      </c>
      <c r="K126" s="1">
        <v>44107</v>
      </c>
      <c r="L126" s="1">
        <v>45201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t="s">
        <v>111</v>
      </c>
      <c r="U126" t="str">
        <f>"CTSUS"</f>
        <v>CTSUS</v>
      </c>
      <c r="V126" t="s">
        <v>112</v>
      </c>
      <c r="W126" t="str">
        <f>""</f>
        <v/>
      </c>
      <c r="X126" t="s">
        <v>113</v>
      </c>
      <c r="Y126" t="s">
        <v>114</v>
      </c>
      <c r="Z126" s="3">
        <v>77845</v>
      </c>
      <c r="AA126" t="s">
        <v>101</v>
      </c>
      <c r="AB126" t="s">
        <v>114</v>
      </c>
      <c r="AC126" s="4" t="str">
        <f>"+19793296682"</f>
        <v>+19793296682</v>
      </c>
      <c r="AE126" t="str">
        <f>"541512"</f>
        <v>541512</v>
      </c>
      <c r="AF126" t="s">
        <v>115</v>
      </c>
      <c r="AG126" t="s">
        <v>116</v>
      </c>
      <c r="AH126" t="s">
        <v>108</v>
      </c>
      <c r="AI126" t="s">
        <v>117</v>
      </c>
      <c r="AJ126" t="s">
        <v>118</v>
      </c>
      <c r="AK126" t="str">
        <f>""</f>
        <v/>
      </c>
      <c r="AL126" t="s">
        <v>119</v>
      </c>
      <c r="AM126" t="s">
        <v>114</v>
      </c>
      <c r="AN126" s="3">
        <v>77845</v>
      </c>
      <c r="AO126" t="s">
        <v>101</v>
      </c>
      <c r="AQ126" t="str">
        <f>"+19793296682"</f>
        <v>+19793296682</v>
      </c>
      <c r="AS126" t="s">
        <v>120</v>
      </c>
      <c r="AT126" t="s">
        <v>102</v>
      </c>
      <c r="AU126" t="str">
        <f>""</f>
        <v/>
      </c>
      <c r="AV126" t="str">
        <f>""</f>
        <v/>
      </c>
      <c r="AW126" t="str">
        <f>""</f>
        <v/>
      </c>
      <c r="AX126" t="str">
        <f>""</f>
        <v/>
      </c>
      <c r="AY126" t="str">
        <f>""</f>
        <v/>
      </c>
      <c r="AZ126" t="str">
        <f>""</f>
        <v/>
      </c>
      <c r="BA126" t="str">
        <f>""</f>
        <v/>
      </c>
      <c r="BC126" t="str">
        <f>""</f>
        <v/>
      </c>
      <c r="BD126" t="str">
        <f>""</f>
        <v/>
      </c>
      <c r="BE126" t="str">
        <f>""</f>
        <v/>
      </c>
      <c r="BF126" t="str">
        <f>""</f>
        <v/>
      </c>
      <c r="BG126" t="str">
        <f>""</f>
        <v/>
      </c>
      <c r="BH126" t="str">
        <f>""</f>
        <v/>
      </c>
      <c r="BI126" t="str">
        <f>""</f>
        <v/>
      </c>
      <c r="BJ126" t="str">
        <f>""</f>
        <v/>
      </c>
      <c r="BK126">
        <v>1</v>
      </c>
      <c r="BL126" t="s">
        <v>102</v>
      </c>
      <c r="BM126" t="str">
        <f>""</f>
        <v/>
      </c>
      <c r="BN126" t="s">
        <v>9255</v>
      </c>
      <c r="BP126" t="s">
        <v>765</v>
      </c>
      <c r="BQ126" t="s">
        <v>721</v>
      </c>
      <c r="BR126" t="s">
        <v>114</v>
      </c>
      <c r="BS126" s="5">
        <v>78758</v>
      </c>
      <c r="BT126" s="2">
        <v>87485</v>
      </c>
      <c r="BV126" t="s">
        <v>105</v>
      </c>
      <c r="BW126" s="2">
        <v>87485</v>
      </c>
      <c r="BX126" t="s">
        <v>105</v>
      </c>
      <c r="BZ126" t="s">
        <v>123</v>
      </c>
      <c r="CA126" t="str">
        <f t="shared" si="8"/>
        <v>7/1/2020 - 6/30/2021</v>
      </c>
      <c r="CF126">
        <v>1</v>
      </c>
      <c r="CG126" t="s">
        <v>98</v>
      </c>
      <c r="CH126" t="s">
        <v>98</v>
      </c>
      <c r="CI126" t="s">
        <v>206</v>
      </c>
      <c r="CJ126" t="s">
        <v>98</v>
      </c>
      <c r="CK126" t="s">
        <v>12323</v>
      </c>
      <c r="CL126" t="s">
        <v>108</v>
      </c>
      <c r="CM126" t="s">
        <v>109</v>
      </c>
      <c r="CN126" t="str">
        <f>""</f>
        <v/>
      </c>
      <c r="CO126" t="str">
        <f>""</f>
        <v/>
      </c>
      <c r="CP126" t="str">
        <f>""</f>
        <v/>
      </c>
      <c r="CQ126" t="str">
        <f>""</f>
        <v/>
      </c>
    </row>
    <row r="127" spans="1:96" x14ac:dyDescent="0.2">
      <c r="A127" t="s">
        <v>9256</v>
      </c>
      <c r="B127" t="s">
        <v>96</v>
      </c>
      <c r="C127" s="1">
        <v>44098</v>
      </c>
      <c r="D127" s="1">
        <v>44105</v>
      </c>
      <c r="F127" t="s">
        <v>97</v>
      </c>
      <c r="G127" t="str">
        <f>"Performance and Capacity Engineer "</f>
        <v xml:space="preserve">Performance and Capacity Engineer </v>
      </c>
      <c r="H127" t="s">
        <v>12176</v>
      </c>
      <c r="I127" t="s">
        <v>246</v>
      </c>
      <c r="J127" t="s">
        <v>98</v>
      </c>
      <c r="K127" s="1">
        <v>44105</v>
      </c>
      <c r="L127" s="1">
        <v>45199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 t="s">
        <v>412</v>
      </c>
      <c r="U127" t="str">
        <f>""</f>
        <v/>
      </c>
      <c r="V127" t="s">
        <v>413</v>
      </c>
      <c r="W127" t="str">
        <f>"(*ALSO KNOWN AS 1601 WILLOW ROAD)"</f>
        <v>(*ALSO KNOWN AS 1601 WILLOW ROAD)</v>
      </c>
      <c r="X127" t="s">
        <v>414</v>
      </c>
      <c r="Y127" t="s">
        <v>141</v>
      </c>
      <c r="Z127" s="3">
        <v>94025</v>
      </c>
      <c r="AA127" t="s">
        <v>101</v>
      </c>
      <c r="AB127" t="s">
        <v>141</v>
      </c>
      <c r="AC127" s="4" t="str">
        <f>"+14085335781"</f>
        <v>+14085335781</v>
      </c>
      <c r="AE127" t="str">
        <f>"51913"</f>
        <v>51913</v>
      </c>
      <c r="AF127" t="s">
        <v>415</v>
      </c>
      <c r="AG127" t="s">
        <v>416</v>
      </c>
      <c r="AI127" t="s">
        <v>417</v>
      </c>
      <c r="AJ127" t="s">
        <v>413</v>
      </c>
      <c r="AK127" t="str">
        <f>"(*ALSO KNOWN AS 1601 WILLOW RD.*)"</f>
        <v>(*ALSO KNOWN AS 1601 WILLOW RD.*)</v>
      </c>
      <c r="AL127" t="s">
        <v>414</v>
      </c>
      <c r="AM127" t="s">
        <v>141</v>
      </c>
      <c r="AN127" s="3">
        <v>94025</v>
      </c>
      <c r="AO127" t="s">
        <v>101</v>
      </c>
      <c r="AQ127" t="str">
        <f>"+14085335781"</f>
        <v>+14085335781</v>
      </c>
      <c r="AS127" t="s">
        <v>418</v>
      </c>
      <c r="AT127" t="s">
        <v>107</v>
      </c>
      <c r="AU127" t="str">
        <f>"Nesch"</f>
        <v>Nesch</v>
      </c>
      <c r="AV127" t="str">
        <f>"Elena"</f>
        <v>Elena</v>
      </c>
      <c r="AW127" t="str">
        <f>"N/A"</f>
        <v>N/A</v>
      </c>
      <c r="AX127" t="str">
        <f>"2400 N. GLENVILLE DRIVE"</f>
        <v>2400 N. GLENVILLE DRIVE</v>
      </c>
      <c r="AY127" t="str">
        <f>"BUILDING A, SUITE 100"</f>
        <v>BUILDING A, SUITE 100</v>
      </c>
      <c r="AZ127" t="str">
        <f>"RICHARDSON"</f>
        <v>RICHARDSON</v>
      </c>
      <c r="BA127" t="str">
        <f>"TX"</f>
        <v>TX</v>
      </c>
      <c r="BB127" s="3">
        <v>75082</v>
      </c>
      <c r="BC127" t="str">
        <f>"UNITED STATES OF AMERICA"</f>
        <v>UNITED STATES OF AMERICA</v>
      </c>
      <c r="BD127" t="str">
        <f>""</f>
        <v/>
      </c>
      <c r="BE127" t="str">
        <f>"+14692909204"</f>
        <v>+14692909204</v>
      </c>
      <c r="BF127" t="str">
        <f>""</f>
        <v/>
      </c>
      <c r="BG127" t="str">
        <f>"ismithard@balglobal.com"</f>
        <v>ismithard@balglobal.com</v>
      </c>
      <c r="BH127" t="str">
        <f>"BERRY APPLEMAN &amp; LEIDEN LLP"</f>
        <v>BERRY APPLEMAN &amp; LEIDEN LLP</v>
      </c>
      <c r="BI127" t="str">
        <f>"NC"</f>
        <v>NC</v>
      </c>
      <c r="BJ127" t="str">
        <f>"The Supreme Court of North Carolina"</f>
        <v>The Supreme Court of North Carolina</v>
      </c>
      <c r="BK127">
        <v>1</v>
      </c>
      <c r="BL127" t="s">
        <v>102</v>
      </c>
      <c r="BM127" t="str">
        <f>""</f>
        <v/>
      </c>
      <c r="BN127" t="s">
        <v>3178</v>
      </c>
      <c r="BO127" t="s">
        <v>3179</v>
      </c>
      <c r="BP127" t="s">
        <v>414</v>
      </c>
      <c r="BQ127" t="s">
        <v>994</v>
      </c>
      <c r="BR127" t="s">
        <v>141</v>
      </c>
      <c r="BS127" s="5">
        <v>94025</v>
      </c>
      <c r="BT127" s="2">
        <v>125760.25</v>
      </c>
      <c r="BV127" t="s">
        <v>105</v>
      </c>
      <c r="BW127" s="2">
        <v>120931</v>
      </c>
      <c r="BX127" t="s">
        <v>105</v>
      </c>
      <c r="BZ127" t="s">
        <v>167</v>
      </c>
      <c r="CA127" t="str">
        <f t="shared" si="8"/>
        <v>7/1/2020 - 6/30/2021</v>
      </c>
      <c r="CF127">
        <v>2</v>
      </c>
      <c r="CG127" t="s">
        <v>98</v>
      </c>
      <c r="CH127" t="s">
        <v>98</v>
      </c>
      <c r="CI127" t="s">
        <v>206</v>
      </c>
      <c r="CJ127" t="s">
        <v>98</v>
      </c>
      <c r="CK127" t="s">
        <v>12323</v>
      </c>
      <c r="CL127" t="s">
        <v>108</v>
      </c>
      <c r="CM127" t="s">
        <v>109</v>
      </c>
      <c r="CN127" t="str">
        <f>""</f>
        <v/>
      </c>
      <c r="CO127" t="str">
        <f>""</f>
        <v/>
      </c>
      <c r="CP127" t="str">
        <f>""</f>
        <v/>
      </c>
      <c r="CQ127" t="str">
        <f>""</f>
        <v/>
      </c>
    </row>
    <row r="128" spans="1:96" x14ac:dyDescent="0.2">
      <c r="A128" t="s">
        <v>9280</v>
      </c>
      <c r="B128" t="s">
        <v>96</v>
      </c>
      <c r="C128" s="1">
        <v>44098</v>
      </c>
      <c r="D128" s="1">
        <v>44105</v>
      </c>
      <c r="F128" t="s">
        <v>97</v>
      </c>
      <c r="G128" t="str">
        <f>"Test Consultant 2"</f>
        <v>Test Consultant 2</v>
      </c>
      <c r="H128" t="s">
        <v>12168</v>
      </c>
      <c r="I128" t="s">
        <v>319</v>
      </c>
      <c r="J128" t="s">
        <v>98</v>
      </c>
      <c r="K128" s="1">
        <v>44107</v>
      </c>
      <c r="L128" s="1">
        <v>45201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 t="s">
        <v>1421</v>
      </c>
      <c r="U128" t="str">
        <f>""</f>
        <v/>
      </c>
      <c r="V128" t="s">
        <v>1422</v>
      </c>
      <c r="W128" t="str">
        <f>"SUITE 300"</f>
        <v>SUITE 300</v>
      </c>
      <c r="X128" t="s">
        <v>843</v>
      </c>
      <c r="Y128" t="s">
        <v>345</v>
      </c>
      <c r="Z128" s="3">
        <v>60606</v>
      </c>
      <c r="AA128" t="s">
        <v>101</v>
      </c>
      <c r="AC128" s="4" t="str">
        <f>"+13123955000"</f>
        <v>+13123955000</v>
      </c>
      <c r="AE128" t="str">
        <f>"5416"</f>
        <v>5416</v>
      </c>
      <c r="AF128" t="s">
        <v>1423</v>
      </c>
      <c r="AG128" t="s">
        <v>1424</v>
      </c>
      <c r="AI128" t="s">
        <v>1425</v>
      </c>
      <c r="AJ128" t="s">
        <v>1422</v>
      </c>
      <c r="AK128" t="str">
        <f>"SUITE 300"</f>
        <v>SUITE 300</v>
      </c>
      <c r="AL128" t="s">
        <v>843</v>
      </c>
      <c r="AM128" t="s">
        <v>345</v>
      </c>
      <c r="AN128" s="3">
        <v>60606</v>
      </c>
      <c r="AO128" t="s">
        <v>101</v>
      </c>
      <c r="AQ128" t="str">
        <f>"+13123958209"</f>
        <v>+13123958209</v>
      </c>
      <c r="AS128" t="s">
        <v>1426</v>
      </c>
      <c r="AT128" t="s">
        <v>102</v>
      </c>
      <c r="AU128" t="str">
        <f>""</f>
        <v/>
      </c>
      <c r="AV128" t="str">
        <f>""</f>
        <v/>
      </c>
      <c r="AW128" t="str">
        <f>""</f>
        <v/>
      </c>
      <c r="AX128" t="str">
        <f>""</f>
        <v/>
      </c>
      <c r="AY128" t="str">
        <f>""</f>
        <v/>
      </c>
      <c r="AZ128" t="str">
        <f>""</f>
        <v/>
      </c>
      <c r="BA128" t="str">
        <f>""</f>
        <v/>
      </c>
      <c r="BC128" t="str">
        <f>""</f>
        <v/>
      </c>
      <c r="BD128" t="str">
        <f>""</f>
        <v/>
      </c>
      <c r="BE128" t="str">
        <f>""</f>
        <v/>
      </c>
      <c r="BF128" t="str">
        <f>""</f>
        <v/>
      </c>
      <c r="BG128" t="str">
        <f>""</f>
        <v/>
      </c>
      <c r="BH128" t="str">
        <f>""</f>
        <v/>
      </c>
      <c r="BI128" t="str">
        <f>""</f>
        <v/>
      </c>
      <c r="BJ128" t="str">
        <f>""</f>
        <v/>
      </c>
      <c r="BK128">
        <v>1</v>
      </c>
      <c r="BL128" t="s">
        <v>102</v>
      </c>
      <c r="BM128" t="str">
        <f>""</f>
        <v/>
      </c>
      <c r="BN128" t="s">
        <v>9281</v>
      </c>
      <c r="BP128" t="s">
        <v>6459</v>
      </c>
      <c r="BQ128" t="s">
        <v>1087</v>
      </c>
      <c r="BR128" t="s">
        <v>225</v>
      </c>
      <c r="BS128" s="5">
        <v>44124</v>
      </c>
      <c r="BT128" s="2">
        <v>64064</v>
      </c>
      <c r="BU128" s="2">
        <v>72306</v>
      </c>
      <c r="BV128" t="s">
        <v>105</v>
      </c>
      <c r="BW128" s="2">
        <v>64064</v>
      </c>
      <c r="BX128" t="s">
        <v>105</v>
      </c>
      <c r="BZ128" t="s">
        <v>167</v>
      </c>
      <c r="CA128" t="str">
        <f t="shared" si="8"/>
        <v>7/1/2020 - 6/30/2021</v>
      </c>
      <c r="CF128">
        <v>1</v>
      </c>
      <c r="CG128" t="s">
        <v>98</v>
      </c>
      <c r="CH128" t="s">
        <v>98</v>
      </c>
      <c r="CI128" t="s">
        <v>206</v>
      </c>
      <c r="CJ128" t="s">
        <v>98</v>
      </c>
      <c r="CK128" t="s">
        <v>12323</v>
      </c>
      <c r="CL128" t="s">
        <v>108</v>
      </c>
      <c r="CM128" t="s">
        <v>109</v>
      </c>
      <c r="CN128" t="str">
        <f>""</f>
        <v/>
      </c>
      <c r="CO128" t="str">
        <f>""</f>
        <v/>
      </c>
      <c r="CP128" t="str">
        <f>""</f>
        <v/>
      </c>
      <c r="CQ128" t="str">
        <f>""</f>
        <v/>
      </c>
    </row>
    <row r="129" spans="1:96" x14ac:dyDescent="0.2">
      <c r="A129" t="s">
        <v>9295</v>
      </c>
      <c r="B129" t="s">
        <v>96</v>
      </c>
      <c r="C129" s="1">
        <v>44098</v>
      </c>
      <c r="D129" s="1">
        <v>44105</v>
      </c>
      <c r="F129" t="s">
        <v>97</v>
      </c>
      <c r="G129" t="str">
        <f>"SENIOR SOFTWARE TEST ENGINEER"</f>
        <v>SENIOR SOFTWARE TEST ENGINEER</v>
      </c>
      <c r="H129" t="s">
        <v>12176</v>
      </c>
      <c r="I129" t="s">
        <v>246</v>
      </c>
      <c r="J129" t="s">
        <v>98</v>
      </c>
      <c r="K129" s="1">
        <v>44269</v>
      </c>
      <c r="L129" s="1">
        <v>45364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t="s">
        <v>2815</v>
      </c>
      <c r="U129" t="str">
        <f>""</f>
        <v/>
      </c>
      <c r="V129" t="s">
        <v>2816</v>
      </c>
      <c r="W129" t="str">
        <f>"SUITE 550"</f>
        <v>SUITE 550</v>
      </c>
      <c r="X129" t="s">
        <v>980</v>
      </c>
      <c r="Y129" t="s">
        <v>114</v>
      </c>
      <c r="Z129" s="3">
        <v>75093</v>
      </c>
      <c r="AA129" t="s">
        <v>101</v>
      </c>
      <c r="AB129" t="s">
        <v>108</v>
      </c>
      <c r="AC129" s="4" t="str">
        <f>"+19727551817"</f>
        <v>+19727551817</v>
      </c>
      <c r="AE129" t="str">
        <f>"541511"</f>
        <v>541511</v>
      </c>
      <c r="AF129" t="s">
        <v>2817</v>
      </c>
      <c r="AG129" t="s">
        <v>2818</v>
      </c>
      <c r="AH129" t="s">
        <v>2819</v>
      </c>
      <c r="AI129" t="s">
        <v>2820</v>
      </c>
      <c r="AJ129" t="s">
        <v>2816</v>
      </c>
      <c r="AK129" t="str">
        <f>"SUITE 550"</f>
        <v>SUITE 550</v>
      </c>
      <c r="AL129" t="s">
        <v>980</v>
      </c>
      <c r="AM129" t="s">
        <v>114</v>
      </c>
      <c r="AN129" s="3">
        <v>75093</v>
      </c>
      <c r="AO129" t="s">
        <v>101</v>
      </c>
      <c r="AQ129" t="str">
        <f>"+19727551817"</f>
        <v>+19727551817</v>
      </c>
      <c r="AS129" t="s">
        <v>2821</v>
      </c>
      <c r="AT129" t="s">
        <v>102</v>
      </c>
      <c r="AU129" t="str">
        <f>""</f>
        <v/>
      </c>
      <c r="AV129" t="str">
        <f>""</f>
        <v/>
      </c>
      <c r="AW129" t="str">
        <f>""</f>
        <v/>
      </c>
      <c r="AX129" t="str">
        <f>""</f>
        <v/>
      </c>
      <c r="AY129" t="str">
        <f>""</f>
        <v/>
      </c>
      <c r="AZ129" t="str">
        <f>""</f>
        <v/>
      </c>
      <c r="BA129" t="str">
        <f>""</f>
        <v/>
      </c>
      <c r="BC129" t="str">
        <f>""</f>
        <v/>
      </c>
      <c r="BD129" t="str">
        <f>""</f>
        <v/>
      </c>
      <c r="BE129" t="str">
        <f>""</f>
        <v/>
      </c>
      <c r="BF129" t="str">
        <f>""</f>
        <v/>
      </c>
      <c r="BG129" t="str">
        <f>""</f>
        <v/>
      </c>
      <c r="BH129" t="str">
        <f>""</f>
        <v/>
      </c>
      <c r="BI129" t="str">
        <f>""</f>
        <v/>
      </c>
      <c r="BJ129" t="str">
        <f>""</f>
        <v/>
      </c>
      <c r="BK129">
        <v>1</v>
      </c>
      <c r="BL129" t="s">
        <v>107</v>
      </c>
      <c r="BM129" t="str">
        <f>"HITACHI RAIL STS USA, INC"</f>
        <v>HITACHI RAIL STS USA, INC</v>
      </c>
      <c r="BN129" t="s">
        <v>7467</v>
      </c>
      <c r="BP129" t="s">
        <v>617</v>
      </c>
      <c r="BQ129" t="s">
        <v>861</v>
      </c>
      <c r="BR129" t="s">
        <v>127</v>
      </c>
      <c r="BS129" s="5">
        <v>15219</v>
      </c>
      <c r="BT129" s="2">
        <v>100000</v>
      </c>
      <c r="BV129" t="s">
        <v>105</v>
      </c>
      <c r="BW129" s="2">
        <v>95264</v>
      </c>
      <c r="BX129" t="s">
        <v>105</v>
      </c>
      <c r="BZ129" t="s">
        <v>123</v>
      </c>
      <c r="CA129" t="str">
        <f t="shared" si="8"/>
        <v>7/1/2020 - 6/30/2021</v>
      </c>
      <c r="CF129">
        <v>1</v>
      </c>
      <c r="CG129" t="s">
        <v>98</v>
      </c>
      <c r="CH129" t="s">
        <v>98</v>
      </c>
      <c r="CI129" t="s">
        <v>206</v>
      </c>
      <c r="CJ129" t="s">
        <v>98</v>
      </c>
      <c r="CK129" t="s">
        <v>12323</v>
      </c>
      <c r="CL129" t="s">
        <v>108</v>
      </c>
      <c r="CM129" t="s">
        <v>109</v>
      </c>
      <c r="CN129" t="str">
        <f>""</f>
        <v/>
      </c>
      <c r="CO129" t="str">
        <f>""</f>
        <v/>
      </c>
      <c r="CP129" t="str">
        <f>""</f>
        <v/>
      </c>
      <c r="CQ129" t="str">
        <f>""</f>
        <v/>
      </c>
    </row>
    <row r="130" spans="1:96" x14ac:dyDescent="0.2">
      <c r="A130" t="s">
        <v>9318</v>
      </c>
      <c r="B130" t="s">
        <v>96</v>
      </c>
      <c r="C130" s="1">
        <v>44098</v>
      </c>
      <c r="D130" s="1">
        <v>44105</v>
      </c>
      <c r="F130" t="s">
        <v>97</v>
      </c>
      <c r="G130" t="str">
        <f>"Business Systems Analyst 2"</f>
        <v>Business Systems Analyst 2</v>
      </c>
      <c r="H130" t="s">
        <v>12181</v>
      </c>
      <c r="I130" t="s">
        <v>110</v>
      </c>
      <c r="J130" t="s">
        <v>98</v>
      </c>
      <c r="K130" s="1">
        <v>44238</v>
      </c>
      <c r="L130" s="1">
        <v>45332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t="s">
        <v>1383</v>
      </c>
      <c r="U130" t="str">
        <f>""</f>
        <v/>
      </c>
      <c r="V130" t="s">
        <v>1384</v>
      </c>
      <c r="W130" t="str">
        <f>"Suite 300"</f>
        <v>Suite 300</v>
      </c>
      <c r="X130" t="s">
        <v>833</v>
      </c>
      <c r="Y130" t="s">
        <v>345</v>
      </c>
      <c r="Z130" s="3">
        <v>60606</v>
      </c>
      <c r="AA130" t="s">
        <v>101</v>
      </c>
      <c r="AC130" s="4" t="str">
        <f>"+13123955000"</f>
        <v>+13123955000</v>
      </c>
      <c r="AE130" t="str">
        <f>"541511"</f>
        <v>541511</v>
      </c>
      <c r="AF130" t="s">
        <v>1385</v>
      </c>
      <c r="AG130" t="s">
        <v>1386</v>
      </c>
      <c r="AH130" t="s">
        <v>1387</v>
      </c>
      <c r="AI130" t="s">
        <v>1388</v>
      </c>
      <c r="AJ130" t="s">
        <v>1384</v>
      </c>
      <c r="AK130" t="str">
        <f>"Suite 300"</f>
        <v>Suite 300</v>
      </c>
      <c r="AL130" t="s">
        <v>833</v>
      </c>
      <c r="AM130" t="s">
        <v>345</v>
      </c>
      <c r="AN130" s="3">
        <v>60606</v>
      </c>
      <c r="AO130" t="s">
        <v>101</v>
      </c>
      <c r="AQ130" t="str">
        <f>"+13123955000"</f>
        <v>+13123955000</v>
      </c>
      <c r="AS130" t="s">
        <v>1389</v>
      </c>
      <c r="AT130" t="s">
        <v>107</v>
      </c>
      <c r="AU130" t="str">
        <f>"Payne"</f>
        <v>Payne</v>
      </c>
      <c r="AV130" t="str">
        <f>"Timothy"</f>
        <v>Timothy</v>
      </c>
      <c r="AW130" t="str">
        <f>"G."</f>
        <v>G.</v>
      </c>
      <c r="AX130" t="str">
        <f>"1 S DEARBORN ST"</f>
        <v>1 S DEARBORN ST</v>
      </c>
      <c r="AY130" t="str">
        <f>""</f>
        <v/>
      </c>
      <c r="AZ130" t="str">
        <f>"CHICAGO"</f>
        <v>CHICAGO</v>
      </c>
      <c r="BA130" t="str">
        <f>"IL"</f>
        <v>IL</v>
      </c>
      <c r="BB130" s="3" t="s">
        <v>12309</v>
      </c>
      <c r="BC130" t="str">
        <f>"UNITED STATES OF AMERICA"</f>
        <v>UNITED STATES OF AMERICA</v>
      </c>
      <c r="BD130" t="str">
        <f>"Cook"</f>
        <v>Cook</v>
      </c>
      <c r="BE130" t="str">
        <f>"+13128537445"</f>
        <v>+13128537445</v>
      </c>
      <c r="BF130" t="str">
        <f>""</f>
        <v/>
      </c>
      <c r="BG130" t="str">
        <f>"tpayne@sidley.com"</f>
        <v>tpayne@sidley.com</v>
      </c>
      <c r="BH130" t="str">
        <f>"Sidley Austin LLP"</f>
        <v>Sidley Austin LLP</v>
      </c>
      <c r="BI130" t="str">
        <f>"IL"</f>
        <v>IL</v>
      </c>
      <c r="BJ130" t="str">
        <f>"Supreme Court of Illinois"</f>
        <v>Supreme Court of Illinois</v>
      </c>
      <c r="BK130">
        <v>1</v>
      </c>
      <c r="BL130" t="s">
        <v>107</v>
      </c>
      <c r="BM130" t="str">
        <f>"Ally Auto Financial Services"</f>
        <v>Ally Auto Financial Services</v>
      </c>
      <c r="BN130" t="s">
        <v>9319</v>
      </c>
      <c r="BO130" t="s">
        <v>5539</v>
      </c>
      <c r="BP130" t="s">
        <v>348</v>
      </c>
      <c r="BQ130" t="s">
        <v>719</v>
      </c>
      <c r="BR130" t="s">
        <v>265</v>
      </c>
      <c r="BS130" s="5">
        <v>48083</v>
      </c>
      <c r="BT130" s="2">
        <v>98862</v>
      </c>
      <c r="BV130" t="s">
        <v>105</v>
      </c>
      <c r="BW130" s="2">
        <v>75213</v>
      </c>
      <c r="BX130" t="s">
        <v>105</v>
      </c>
      <c r="BZ130" t="s">
        <v>167</v>
      </c>
      <c r="CA130" t="str">
        <f t="shared" si="8"/>
        <v>7/1/2020 - 6/30/2021</v>
      </c>
      <c r="CF130">
        <v>1</v>
      </c>
      <c r="CG130" t="s">
        <v>98</v>
      </c>
      <c r="CH130" t="s">
        <v>98</v>
      </c>
      <c r="CI130" t="s">
        <v>206</v>
      </c>
      <c r="CJ130" t="s">
        <v>98</v>
      </c>
      <c r="CK130" t="s">
        <v>12323</v>
      </c>
      <c r="CL130" t="s">
        <v>108</v>
      </c>
      <c r="CM130" t="s">
        <v>109</v>
      </c>
      <c r="CN130" t="str">
        <f>"Hwang"</f>
        <v>Hwang</v>
      </c>
      <c r="CO130" t="str">
        <f>"Yeju"</f>
        <v>Yeju</v>
      </c>
      <c r="CP130" t="str">
        <f>""</f>
        <v/>
      </c>
      <c r="CQ130" t="str">
        <f>"Sidley Austin LLP"</f>
        <v>Sidley Austin LLP</v>
      </c>
      <c r="CR130" t="s">
        <v>6050</v>
      </c>
    </row>
    <row r="131" spans="1:96" x14ac:dyDescent="0.2">
      <c r="A131" t="s">
        <v>9321</v>
      </c>
      <c r="B131" t="s">
        <v>96</v>
      </c>
      <c r="C131" s="1">
        <v>44098</v>
      </c>
      <c r="D131" s="1">
        <v>44105</v>
      </c>
      <c r="F131" t="s">
        <v>97</v>
      </c>
      <c r="G131" t="str">
        <f>"Technology Lead - US"</f>
        <v>Technology Lead - US</v>
      </c>
      <c r="H131" t="s">
        <v>12168</v>
      </c>
      <c r="I131" t="s">
        <v>367</v>
      </c>
      <c r="J131" t="s">
        <v>98</v>
      </c>
      <c r="K131" s="1">
        <v>44109</v>
      </c>
      <c r="L131" s="1">
        <v>45201</v>
      </c>
      <c r="M131">
        <v>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</v>
      </c>
      <c r="T131" t="s">
        <v>723</v>
      </c>
      <c r="U131" t="str">
        <f>""</f>
        <v/>
      </c>
      <c r="V131" t="s">
        <v>724</v>
      </c>
      <c r="W131" t="str">
        <f>"STE C150"</f>
        <v>STE C150</v>
      </c>
      <c r="X131" t="s">
        <v>725</v>
      </c>
      <c r="Y131" t="s">
        <v>114</v>
      </c>
      <c r="Z131" s="3">
        <v>75082</v>
      </c>
      <c r="AA131" t="s">
        <v>101</v>
      </c>
      <c r="AC131" s="4" t="str">
        <f>"+12143062100"</f>
        <v>+12143062100</v>
      </c>
      <c r="AE131" t="str">
        <f>"541511"</f>
        <v>541511</v>
      </c>
      <c r="AF131" t="s">
        <v>726</v>
      </c>
      <c r="AG131" t="s">
        <v>727</v>
      </c>
      <c r="AI131" t="s">
        <v>728</v>
      </c>
      <c r="AJ131" t="s">
        <v>724</v>
      </c>
      <c r="AK131" t="str">
        <f>"STE C150"</f>
        <v>STE C150</v>
      </c>
      <c r="AL131" t="s">
        <v>725</v>
      </c>
      <c r="AM131" t="s">
        <v>114</v>
      </c>
      <c r="AN131" s="3">
        <v>75082</v>
      </c>
      <c r="AO131" t="s">
        <v>101</v>
      </c>
      <c r="AQ131" t="str">
        <f>"+12143062100"</f>
        <v>+12143062100</v>
      </c>
      <c r="AS131" t="s">
        <v>729</v>
      </c>
      <c r="AT131" t="s">
        <v>102</v>
      </c>
      <c r="AU131" t="str">
        <f>""</f>
        <v/>
      </c>
      <c r="AV131" t="str">
        <f>""</f>
        <v/>
      </c>
      <c r="AW131" t="str">
        <f>""</f>
        <v/>
      </c>
      <c r="AX131" t="str">
        <f>""</f>
        <v/>
      </c>
      <c r="AY131" t="str">
        <f>""</f>
        <v/>
      </c>
      <c r="AZ131" t="str">
        <f>""</f>
        <v/>
      </c>
      <c r="BA131" t="str">
        <f>""</f>
        <v/>
      </c>
      <c r="BC131" t="str">
        <f>""</f>
        <v/>
      </c>
      <c r="BD131" t="str">
        <f>""</f>
        <v/>
      </c>
      <c r="BE131" t="str">
        <f>""</f>
        <v/>
      </c>
      <c r="BF131" t="str">
        <f>""</f>
        <v/>
      </c>
      <c r="BG131" t="str">
        <f>""</f>
        <v/>
      </c>
      <c r="BH131" t="str">
        <f>""</f>
        <v/>
      </c>
      <c r="BI131" t="str">
        <f>""</f>
        <v/>
      </c>
      <c r="BJ131" t="str">
        <f>""</f>
        <v/>
      </c>
      <c r="BK131">
        <v>5</v>
      </c>
      <c r="BL131" t="s">
        <v>107</v>
      </c>
      <c r="BM131" t="str">
        <f>"Williams-Sonoma, Inc."</f>
        <v>Williams-Sonoma, Inc.</v>
      </c>
      <c r="BN131" t="s">
        <v>9322</v>
      </c>
      <c r="BP131" t="s">
        <v>6832</v>
      </c>
      <c r="BQ131" t="s">
        <v>2273</v>
      </c>
      <c r="BR131" t="s">
        <v>141</v>
      </c>
      <c r="BS131" s="5" t="s">
        <v>12318</v>
      </c>
      <c r="BT131" s="2">
        <v>34.93</v>
      </c>
      <c r="BU131" s="2">
        <v>43.88</v>
      </c>
      <c r="BV131" t="s">
        <v>210</v>
      </c>
      <c r="BW131" s="2">
        <v>34.93</v>
      </c>
      <c r="BX131" t="s">
        <v>210</v>
      </c>
      <c r="BZ131" t="s">
        <v>167</v>
      </c>
      <c r="CA131" t="str">
        <f t="shared" si="8"/>
        <v>7/1/2020 - 6/30/2021</v>
      </c>
      <c r="CF131">
        <v>1</v>
      </c>
      <c r="CG131" t="s">
        <v>98</v>
      </c>
      <c r="CH131" t="s">
        <v>98</v>
      </c>
      <c r="CI131" t="s">
        <v>206</v>
      </c>
      <c r="CJ131" t="s">
        <v>98</v>
      </c>
      <c r="CK131" t="s">
        <v>12323</v>
      </c>
      <c r="CL131" t="s">
        <v>108</v>
      </c>
      <c r="CM131" t="s">
        <v>109</v>
      </c>
      <c r="CN131" t="str">
        <f>"ALI"</f>
        <v>ALI</v>
      </c>
      <c r="CO131" t="str">
        <f>"ASIF"</f>
        <v>ASIF</v>
      </c>
      <c r="CP131" t="str">
        <f>""</f>
        <v/>
      </c>
      <c r="CQ131" t="str">
        <f>"INFOSYS LIMITED"</f>
        <v>INFOSYS LIMITED</v>
      </c>
      <c r="CR131" t="s">
        <v>796</v>
      </c>
    </row>
    <row r="132" spans="1:96" x14ac:dyDescent="0.2">
      <c r="A132" t="s">
        <v>9358</v>
      </c>
      <c r="B132" t="s">
        <v>96</v>
      </c>
      <c r="C132" s="1">
        <v>44098</v>
      </c>
      <c r="D132" s="1">
        <v>44105</v>
      </c>
      <c r="F132" t="s">
        <v>97</v>
      </c>
      <c r="G132" t="str">
        <f>"Senior Systems Analyst JC60"</f>
        <v>Senior Systems Analyst JC60</v>
      </c>
      <c r="H132" t="s">
        <v>12181</v>
      </c>
      <c r="I132" t="s">
        <v>110</v>
      </c>
      <c r="J132" t="s">
        <v>98</v>
      </c>
      <c r="K132" s="1">
        <v>44107</v>
      </c>
      <c r="L132" s="1">
        <v>45201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t="s">
        <v>111</v>
      </c>
      <c r="U132" t="str">
        <f>"CTSUS"</f>
        <v>CTSUS</v>
      </c>
      <c r="V132" t="s">
        <v>112</v>
      </c>
      <c r="W132" t="str">
        <f>""</f>
        <v/>
      </c>
      <c r="X132" t="s">
        <v>113</v>
      </c>
      <c r="Y132" t="s">
        <v>114</v>
      </c>
      <c r="Z132" s="3">
        <v>77845</v>
      </c>
      <c r="AA132" t="s">
        <v>101</v>
      </c>
      <c r="AB132" t="s">
        <v>114</v>
      </c>
      <c r="AC132" s="4" t="str">
        <f>"+19793296682"</f>
        <v>+19793296682</v>
      </c>
      <c r="AE132" t="str">
        <f>"541512"</f>
        <v>541512</v>
      </c>
      <c r="AF132" t="s">
        <v>115</v>
      </c>
      <c r="AG132" t="s">
        <v>116</v>
      </c>
      <c r="AH132" t="s">
        <v>108</v>
      </c>
      <c r="AI132" t="s">
        <v>117</v>
      </c>
      <c r="AJ132" t="s">
        <v>118</v>
      </c>
      <c r="AK132" t="str">
        <f>""</f>
        <v/>
      </c>
      <c r="AL132" t="s">
        <v>119</v>
      </c>
      <c r="AM132" t="s">
        <v>114</v>
      </c>
      <c r="AN132" s="3">
        <v>77845</v>
      </c>
      <c r="AO132" t="s">
        <v>101</v>
      </c>
      <c r="AQ132" t="str">
        <f>"+19793296682"</f>
        <v>+19793296682</v>
      </c>
      <c r="AS132" t="s">
        <v>120</v>
      </c>
      <c r="AT132" t="s">
        <v>102</v>
      </c>
      <c r="AU132" t="str">
        <f>""</f>
        <v/>
      </c>
      <c r="AV132" t="str">
        <f>""</f>
        <v/>
      </c>
      <c r="AW132" t="str">
        <f>""</f>
        <v/>
      </c>
      <c r="AX132" t="str">
        <f>""</f>
        <v/>
      </c>
      <c r="AY132" t="str">
        <f>""</f>
        <v/>
      </c>
      <c r="AZ132" t="str">
        <f>""</f>
        <v/>
      </c>
      <c r="BA132" t="str">
        <f>""</f>
        <v/>
      </c>
      <c r="BC132" t="str">
        <f>""</f>
        <v/>
      </c>
      <c r="BD132" t="str">
        <f>""</f>
        <v/>
      </c>
      <c r="BE132" t="str">
        <f>""</f>
        <v/>
      </c>
      <c r="BF132" t="str">
        <f>""</f>
        <v/>
      </c>
      <c r="BG132" t="str">
        <f>""</f>
        <v/>
      </c>
      <c r="BH132" t="str">
        <f>""</f>
        <v/>
      </c>
      <c r="BI132" t="str">
        <f>""</f>
        <v/>
      </c>
      <c r="BJ132" t="str">
        <f>""</f>
        <v/>
      </c>
      <c r="BK132">
        <v>1</v>
      </c>
      <c r="BL132" t="s">
        <v>102</v>
      </c>
      <c r="BM132" t="str">
        <f>""</f>
        <v/>
      </c>
      <c r="BN132" t="s">
        <v>9359</v>
      </c>
      <c r="BP132" t="s">
        <v>483</v>
      </c>
      <c r="BQ132" t="s">
        <v>484</v>
      </c>
      <c r="BR132" t="s">
        <v>114</v>
      </c>
      <c r="BS132" s="5">
        <v>75039</v>
      </c>
      <c r="BT132" s="2">
        <v>80475</v>
      </c>
      <c r="BV132" t="s">
        <v>105</v>
      </c>
      <c r="BW132" s="2">
        <v>80475</v>
      </c>
      <c r="BX132" t="s">
        <v>105</v>
      </c>
      <c r="BZ132" t="s">
        <v>167</v>
      </c>
      <c r="CA132" t="str">
        <f t="shared" si="8"/>
        <v>7/1/2020 - 6/30/2021</v>
      </c>
      <c r="CF132">
        <v>1</v>
      </c>
      <c r="CG132" t="s">
        <v>98</v>
      </c>
      <c r="CH132" t="s">
        <v>98</v>
      </c>
      <c r="CI132" t="s">
        <v>206</v>
      </c>
      <c r="CJ132" t="s">
        <v>98</v>
      </c>
      <c r="CK132" t="s">
        <v>12323</v>
      </c>
      <c r="CL132" t="s">
        <v>108</v>
      </c>
      <c r="CM132" t="s">
        <v>109</v>
      </c>
      <c r="CN132" t="str">
        <f>""</f>
        <v/>
      </c>
      <c r="CO132" t="str">
        <f>""</f>
        <v/>
      </c>
      <c r="CP132" t="str">
        <f>""</f>
        <v/>
      </c>
      <c r="CQ132" t="str">
        <f>""</f>
        <v/>
      </c>
    </row>
    <row r="133" spans="1:96" x14ac:dyDescent="0.2">
      <c r="A133" t="s">
        <v>9360</v>
      </c>
      <c r="B133" t="s">
        <v>96</v>
      </c>
      <c r="C133" s="1">
        <v>44098</v>
      </c>
      <c r="D133" s="1">
        <v>44105</v>
      </c>
      <c r="F133" t="s">
        <v>97</v>
      </c>
      <c r="G133" t="str">
        <f>"SOFTWARE DEVELOPER"</f>
        <v>SOFTWARE DEVELOPER</v>
      </c>
      <c r="H133" t="s">
        <v>12169</v>
      </c>
      <c r="I133" t="s">
        <v>124</v>
      </c>
      <c r="J133" t="s">
        <v>98</v>
      </c>
      <c r="K133" s="1">
        <v>44197</v>
      </c>
      <c r="L133" s="1">
        <v>45291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 t="s">
        <v>503</v>
      </c>
      <c r="U133" t="str">
        <f>""</f>
        <v/>
      </c>
      <c r="V133" t="s">
        <v>504</v>
      </c>
      <c r="W133" t="str">
        <f>"SUITE 102"</f>
        <v>SUITE 102</v>
      </c>
      <c r="X133" t="s">
        <v>162</v>
      </c>
      <c r="Y133" t="s">
        <v>100</v>
      </c>
      <c r="Z133" s="3">
        <v>8536</v>
      </c>
      <c r="AA133" t="s">
        <v>101</v>
      </c>
      <c r="AB133" t="s">
        <v>505</v>
      </c>
      <c r="AC133" s="4" t="str">
        <f>"+16096069010"</f>
        <v>+16096069010</v>
      </c>
      <c r="AD133">
        <v>1249</v>
      </c>
      <c r="AE133" t="str">
        <f>"541511"</f>
        <v>541511</v>
      </c>
      <c r="AF133" t="s">
        <v>1030</v>
      </c>
      <c r="AG133" t="s">
        <v>1031</v>
      </c>
      <c r="AH133" t="s">
        <v>108</v>
      </c>
      <c r="AI133" t="s">
        <v>425</v>
      </c>
      <c r="AJ133" t="s">
        <v>504</v>
      </c>
      <c r="AK133" t="str">
        <f>"SUITE 102"</f>
        <v>SUITE 102</v>
      </c>
      <c r="AL133" t="s">
        <v>162</v>
      </c>
      <c r="AM133" t="s">
        <v>100</v>
      </c>
      <c r="AN133" s="3">
        <v>8536</v>
      </c>
      <c r="AO133" t="s">
        <v>101</v>
      </c>
      <c r="AQ133" t="str">
        <f>"+16096069010"</f>
        <v>+16096069010</v>
      </c>
      <c r="AR133">
        <v>1249</v>
      </c>
      <c r="AS133" t="s">
        <v>509</v>
      </c>
      <c r="AT133" t="s">
        <v>102</v>
      </c>
      <c r="AU133" t="str">
        <f>""</f>
        <v/>
      </c>
      <c r="AV133" t="str">
        <f>""</f>
        <v/>
      </c>
      <c r="AW133" t="str">
        <f>""</f>
        <v/>
      </c>
      <c r="AX133" t="str">
        <f>""</f>
        <v/>
      </c>
      <c r="AY133" t="str">
        <f>""</f>
        <v/>
      </c>
      <c r="AZ133" t="str">
        <f>""</f>
        <v/>
      </c>
      <c r="BA133" t="str">
        <f>""</f>
        <v/>
      </c>
      <c r="BC133" t="str">
        <f>""</f>
        <v/>
      </c>
      <c r="BD133" t="str">
        <f>""</f>
        <v/>
      </c>
      <c r="BE133" t="str">
        <f>""</f>
        <v/>
      </c>
      <c r="BF133" t="str">
        <f>""</f>
        <v/>
      </c>
      <c r="BG133" t="str">
        <f>""</f>
        <v/>
      </c>
      <c r="BH133" t="str">
        <f>""</f>
        <v/>
      </c>
      <c r="BI133" t="str">
        <f>""</f>
        <v/>
      </c>
      <c r="BJ133" t="str">
        <f>""</f>
        <v/>
      </c>
      <c r="BK133">
        <v>1</v>
      </c>
      <c r="BL133" t="s">
        <v>107</v>
      </c>
      <c r="BM133" t="str">
        <f>"FIS Global "</f>
        <v xml:space="preserve">FIS Global </v>
      </c>
      <c r="BN133" t="s">
        <v>9361</v>
      </c>
      <c r="BO133" t="s">
        <v>2609</v>
      </c>
      <c r="BP133" t="s">
        <v>2988</v>
      </c>
      <c r="BQ133" t="s">
        <v>121</v>
      </c>
      <c r="BR133" t="s">
        <v>122</v>
      </c>
      <c r="BS133" s="5">
        <v>28213</v>
      </c>
      <c r="BT133" s="2">
        <v>104250</v>
      </c>
      <c r="BU133" s="2">
        <v>122750</v>
      </c>
      <c r="BV133" t="s">
        <v>105</v>
      </c>
      <c r="BW133" s="2">
        <v>104042</v>
      </c>
      <c r="BX133" t="s">
        <v>105</v>
      </c>
      <c r="BZ133" t="s">
        <v>123</v>
      </c>
      <c r="CA133" t="str">
        <f t="shared" si="8"/>
        <v>7/1/2020 - 6/30/2021</v>
      </c>
      <c r="CF133">
        <v>1</v>
      </c>
      <c r="CG133" t="s">
        <v>98</v>
      </c>
      <c r="CH133" t="s">
        <v>98</v>
      </c>
      <c r="CI133" t="s">
        <v>206</v>
      </c>
      <c r="CJ133" t="s">
        <v>98</v>
      </c>
      <c r="CK133" t="s">
        <v>12323</v>
      </c>
      <c r="CL133" t="s">
        <v>108</v>
      </c>
      <c r="CM133" t="s">
        <v>109</v>
      </c>
      <c r="CN133" t="str">
        <f>"N/A"</f>
        <v>N/A</v>
      </c>
      <c r="CO133" t="str">
        <f>"N/A"</f>
        <v>N/A</v>
      </c>
      <c r="CP133" t="str">
        <f>"N/A"</f>
        <v>N/A</v>
      </c>
      <c r="CQ133" t="str">
        <f>"COMPUNNEL SOFTWARE GROUP INC"</f>
        <v>COMPUNNEL SOFTWARE GROUP INC</v>
      </c>
      <c r="CR133" t="s">
        <v>509</v>
      </c>
    </row>
    <row r="134" spans="1:96" x14ac:dyDescent="0.2">
      <c r="A134" t="s">
        <v>9362</v>
      </c>
      <c r="B134" t="s">
        <v>96</v>
      </c>
      <c r="C134" s="1">
        <v>44098</v>
      </c>
      <c r="D134" s="1">
        <v>44105</v>
      </c>
      <c r="F134" t="s">
        <v>97</v>
      </c>
      <c r="G134" t="str">
        <f>"SAP Financial Analyst  "</f>
        <v xml:space="preserve">SAP Financial Analyst  </v>
      </c>
      <c r="H134" t="s">
        <v>12214</v>
      </c>
      <c r="I134" t="s">
        <v>276</v>
      </c>
      <c r="J134" t="s">
        <v>98</v>
      </c>
      <c r="K134" s="1">
        <v>44109</v>
      </c>
      <c r="L134" s="1">
        <v>45203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 t="s">
        <v>5847</v>
      </c>
      <c r="U134" t="str">
        <f>""</f>
        <v/>
      </c>
      <c r="V134" t="s">
        <v>5848</v>
      </c>
      <c r="W134" t="str">
        <f>"Bldg 200, Suite 201"</f>
        <v>Bldg 200, Suite 201</v>
      </c>
      <c r="X134" t="s">
        <v>3974</v>
      </c>
      <c r="Y134" t="s">
        <v>215</v>
      </c>
      <c r="Z134" s="3">
        <v>30024</v>
      </c>
      <c r="AA134" t="s">
        <v>101</v>
      </c>
      <c r="AC134" s="4" t="str">
        <f>"+17709355165"</f>
        <v>+17709355165</v>
      </c>
      <c r="AD134">
        <v>800</v>
      </c>
      <c r="AE134" t="str">
        <f>"541511"</f>
        <v>541511</v>
      </c>
      <c r="AF134" t="s">
        <v>5849</v>
      </c>
      <c r="AG134" t="s">
        <v>5850</v>
      </c>
      <c r="AI134" t="s">
        <v>2765</v>
      </c>
      <c r="AJ134" t="s">
        <v>5848</v>
      </c>
      <c r="AK134" t="str">
        <f>"Bldg 200, Suite 201"</f>
        <v>Bldg 200, Suite 201</v>
      </c>
      <c r="AL134" t="s">
        <v>3974</v>
      </c>
      <c r="AM134" t="s">
        <v>215</v>
      </c>
      <c r="AN134" s="3">
        <v>30024</v>
      </c>
      <c r="AO134" t="s">
        <v>101</v>
      </c>
      <c r="AQ134" t="str">
        <f>"+17709355165"</f>
        <v>+17709355165</v>
      </c>
      <c r="AR134">
        <v>800</v>
      </c>
      <c r="AS134" t="s">
        <v>5851</v>
      </c>
      <c r="AT134" t="s">
        <v>107</v>
      </c>
      <c r="AU134" t="str">
        <f>"Lu"</f>
        <v>Lu</v>
      </c>
      <c r="AV134" t="str">
        <f>"Lucy"</f>
        <v>Lucy</v>
      </c>
      <c r="AW134" t="str">
        <f>""</f>
        <v/>
      </c>
      <c r="AX134" t="str">
        <f>"3475 Lenox Road NE "</f>
        <v xml:space="preserve">3475 Lenox Road NE </v>
      </c>
      <c r="AY134" t="str">
        <f>"Suite 730"</f>
        <v>Suite 730</v>
      </c>
      <c r="AZ134" t="str">
        <f>"Atlanta"</f>
        <v>Atlanta</v>
      </c>
      <c r="BA134" t="str">
        <f>"GA"</f>
        <v>GA</v>
      </c>
      <c r="BB134" s="3">
        <v>30326</v>
      </c>
      <c r="BC134" t="str">
        <f>"UNITED STATES OF AMERICA"</f>
        <v>UNITED STATES OF AMERICA</v>
      </c>
      <c r="BD134" t="str">
        <f>""</f>
        <v/>
      </c>
      <c r="BE134" t="str">
        <f>"+14043437166"</f>
        <v>+14043437166</v>
      </c>
      <c r="BF134" t="str">
        <f>""</f>
        <v/>
      </c>
      <c r="BG134" t="str">
        <f>"info@lucylulaw.com"</f>
        <v>info@lucylulaw.com</v>
      </c>
      <c r="BH134" t="str">
        <f>"Lucy Lu &amp; Associates"</f>
        <v>Lucy Lu &amp; Associates</v>
      </c>
      <c r="BI134" t="str">
        <f>"TN"</f>
        <v>TN</v>
      </c>
      <c r="BJ134" t="str">
        <f>"Supreme Court"</f>
        <v>Supreme Court</v>
      </c>
      <c r="BK134">
        <v>1</v>
      </c>
      <c r="BL134" t="s">
        <v>107</v>
      </c>
      <c r="BM134" t="str">
        <f>"Pfizer"</f>
        <v>Pfizer</v>
      </c>
      <c r="BN134" t="s">
        <v>6734</v>
      </c>
      <c r="BP134" t="s">
        <v>2869</v>
      </c>
      <c r="BQ134" t="s">
        <v>529</v>
      </c>
      <c r="BR134" t="s">
        <v>127</v>
      </c>
      <c r="BS134" s="5">
        <v>19426</v>
      </c>
      <c r="BT134" s="2">
        <v>105000</v>
      </c>
      <c r="BV134" t="s">
        <v>105</v>
      </c>
      <c r="BW134" s="2">
        <v>99528</v>
      </c>
      <c r="BX134" t="s">
        <v>105</v>
      </c>
      <c r="BZ134" t="s">
        <v>123</v>
      </c>
      <c r="CA134" t="str">
        <f t="shared" si="8"/>
        <v>7/1/2020 - 6/30/2021</v>
      </c>
      <c r="CF134">
        <v>2</v>
      </c>
      <c r="CG134" t="s">
        <v>98</v>
      </c>
      <c r="CH134" t="s">
        <v>98</v>
      </c>
      <c r="CI134" t="s">
        <v>206</v>
      </c>
      <c r="CJ134" t="s">
        <v>98</v>
      </c>
      <c r="CK134" t="s">
        <v>12323</v>
      </c>
      <c r="CL134" t="s">
        <v>108</v>
      </c>
      <c r="CM134" t="s">
        <v>109</v>
      </c>
      <c r="CN134" t="str">
        <f>"Hameed"</f>
        <v>Hameed</v>
      </c>
      <c r="CO134" t="str">
        <f>"Sarah"</f>
        <v>Sarah</v>
      </c>
      <c r="CP134" t="str">
        <f>""</f>
        <v/>
      </c>
      <c r="CQ134" t="str">
        <f>"Lucy Lu &amp; Associates "</f>
        <v xml:space="preserve">Lucy Lu &amp; Associates </v>
      </c>
      <c r="CR134" t="s">
        <v>5852</v>
      </c>
    </row>
    <row r="135" spans="1:96" x14ac:dyDescent="0.2">
      <c r="A135" t="s">
        <v>9368</v>
      </c>
      <c r="B135" t="s">
        <v>96</v>
      </c>
      <c r="C135" s="1">
        <v>44098</v>
      </c>
      <c r="D135" s="1">
        <v>44105</v>
      </c>
      <c r="F135" t="s">
        <v>97</v>
      </c>
      <c r="G135" t="str">
        <f>"Principal Technical Architect (Data Governance)"</f>
        <v>Principal Technical Architect (Data Governance)</v>
      </c>
      <c r="H135" t="s">
        <v>12169</v>
      </c>
      <c r="I135" t="s">
        <v>124</v>
      </c>
      <c r="J135" t="s">
        <v>98</v>
      </c>
      <c r="K135" s="1">
        <v>44106</v>
      </c>
      <c r="L135" s="1">
        <v>45200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 t="s">
        <v>7210</v>
      </c>
      <c r="U135" t="str">
        <f>""</f>
        <v/>
      </c>
      <c r="V135" t="s">
        <v>9369</v>
      </c>
      <c r="W135" t="str">
        <f>""</f>
        <v/>
      </c>
      <c r="X135" t="s">
        <v>2124</v>
      </c>
      <c r="Y135" t="s">
        <v>141</v>
      </c>
      <c r="Z135" s="3">
        <v>90503</v>
      </c>
      <c r="AA135" t="s">
        <v>101</v>
      </c>
      <c r="AC135" s="4" t="str">
        <f>"+13108183415"</f>
        <v>+13108183415</v>
      </c>
      <c r="AE135" t="str">
        <f>"541511"</f>
        <v>541511</v>
      </c>
      <c r="AF135" t="s">
        <v>7211</v>
      </c>
      <c r="AG135" t="s">
        <v>1869</v>
      </c>
      <c r="AI135" t="s">
        <v>7212</v>
      </c>
      <c r="AJ135" t="s">
        <v>9369</v>
      </c>
      <c r="AK135" t="str">
        <f>""</f>
        <v/>
      </c>
      <c r="AL135" t="s">
        <v>2124</v>
      </c>
      <c r="AM135" t="s">
        <v>141</v>
      </c>
      <c r="AN135" s="3">
        <v>90503</v>
      </c>
      <c r="AO135" t="s">
        <v>101</v>
      </c>
      <c r="AQ135" t="str">
        <f>"+13108183415"</f>
        <v>+13108183415</v>
      </c>
      <c r="AS135" t="s">
        <v>9370</v>
      </c>
      <c r="AT135" t="s">
        <v>107</v>
      </c>
      <c r="AU135" t="str">
        <f>"Taylor"</f>
        <v>Taylor</v>
      </c>
      <c r="AV135" t="str">
        <f>"Marc"</f>
        <v>Marc</v>
      </c>
      <c r="AW135" t="str">
        <f>""</f>
        <v/>
      </c>
      <c r="AX135" t="str">
        <f>"366 Lewis Avenue"</f>
        <v>366 Lewis Avenue</v>
      </c>
      <c r="AY135" t="str">
        <f>"Ground Floor"</f>
        <v>Ground Floor</v>
      </c>
      <c r="AZ135" t="str">
        <f>"Brooklyn"</f>
        <v>Brooklyn</v>
      </c>
      <c r="BA135" t="str">
        <f>"NY"</f>
        <v>NY</v>
      </c>
      <c r="BB135" s="3">
        <v>11233</v>
      </c>
      <c r="BC135" t="str">
        <f>"UNITED STATES OF AMERICA"</f>
        <v>UNITED STATES OF AMERICA</v>
      </c>
      <c r="BD135" t="str">
        <f>""</f>
        <v/>
      </c>
      <c r="BE135" t="str">
        <f>"+15169976994"</f>
        <v>+15169976994</v>
      </c>
      <c r="BF135" t="str">
        <f>""</f>
        <v/>
      </c>
      <c r="BG135" t="str">
        <f>"info@tnalaw.com"</f>
        <v>info@tnalaw.com</v>
      </c>
      <c r="BH135" t="str">
        <f>"Taylor &amp; Associates Law P.C"</f>
        <v>Taylor &amp; Associates Law P.C</v>
      </c>
      <c r="BI135" t="str">
        <f>"NY"</f>
        <v>NY</v>
      </c>
      <c r="BJ135" t="str">
        <f>"COURT OF APPEALS"</f>
        <v>COURT OF APPEALS</v>
      </c>
      <c r="BK135">
        <v>1</v>
      </c>
      <c r="BL135" t="s">
        <v>102</v>
      </c>
      <c r="BM135" t="str">
        <f>""</f>
        <v/>
      </c>
      <c r="BN135" t="s">
        <v>9371</v>
      </c>
      <c r="BP135" t="s">
        <v>6100</v>
      </c>
      <c r="BQ135" t="s">
        <v>668</v>
      </c>
      <c r="BR135" t="s">
        <v>114</v>
      </c>
      <c r="BS135" s="5">
        <v>78641</v>
      </c>
      <c r="BT135" s="2">
        <v>124550</v>
      </c>
      <c r="BU135" s="2">
        <v>150000</v>
      </c>
      <c r="BV135" t="s">
        <v>105</v>
      </c>
      <c r="BW135" s="2">
        <v>124550</v>
      </c>
      <c r="BX135" t="s">
        <v>105</v>
      </c>
      <c r="BZ135" t="s">
        <v>159</v>
      </c>
      <c r="CA135" t="str">
        <f t="shared" si="8"/>
        <v>7/1/2020 - 6/30/2021</v>
      </c>
      <c r="CF135">
        <v>1</v>
      </c>
      <c r="CG135" t="s">
        <v>98</v>
      </c>
      <c r="CH135" t="s">
        <v>98</v>
      </c>
      <c r="CI135" t="s">
        <v>206</v>
      </c>
      <c r="CJ135" t="s">
        <v>98</v>
      </c>
      <c r="CK135" t="s">
        <v>12323</v>
      </c>
      <c r="CL135" t="s">
        <v>108</v>
      </c>
      <c r="CM135" t="s">
        <v>109</v>
      </c>
      <c r="CN135" t="str">
        <f>""</f>
        <v/>
      </c>
      <c r="CO135" t="str">
        <f>""</f>
        <v/>
      </c>
      <c r="CP135" t="str">
        <f>""</f>
        <v/>
      </c>
      <c r="CQ135" t="str">
        <f>""</f>
        <v/>
      </c>
    </row>
    <row r="136" spans="1:96" x14ac:dyDescent="0.2">
      <c r="A136" t="s">
        <v>9372</v>
      </c>
      <c r="B136" t="s">
        <v>96</v>
      </c>
      <c r="C136" s="1">
        <v>44098</v>
      </c>
      <c r="D136" s="1">
        <v>44105</v>
      </c>
      <c r="F136" t="s">
        <v>97</v>
      </c>
      <c r="G136" t="str">
        <f>"Java Developer (Software Developer, Applications)"</f>
        <v>Java Developer (Software Developer, Applications)</v>
      </c>
      <c r="H136" t="s">
        <v>12169</v>
      </c>
      <c r="I136" t="s">
        <v>124</v>
      </c>
      <c r="J136" t="s">
        <v>98</v>
      </c>
      <c r="K136" s="1">
        <v>44105</v>
      </c>
      <c r="L136" s="1">
        <v>45199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 t="s">
        <v>2232</v>
      </c>
      <c r="U136" t="str">
        <f>""</f>
        <v/>
      </c>
      <c r="V136" t="s">
        <v>2233</v>
      </c>
      <c r="W136" t="str">
        <f>"Building 3, 2nd Floor, Suite 350"</f>
        <v>Building 3, 2nd Floor, Suite 350</v>
      </c>
      <c r="X136" t="s">
        <v>2234</v>
      </c>
      <c r="Y136" t="s">
        <v>100</v>
      </c>
      <c r="Z136" s="3">
        <v>7701</v>
      </c>
      <c r="AA136" t="s">
        <v>101</v>
      </c>
      <c r="AC136" s="4" t="str">
        <f>"+17327596080"</f>
        <v>+17327596080</v>
      </c>
      <c r="AE136" t="str">
        <f>"5415"</f>
        <v>5415</v>
      </c>
      <c r="AF136" t="s">
        <v>2235</v>
      </c>
      <c r="AG136" t="s">
        <v>2236</v>
      </c>
      <c r="AI136" t="s">
        <v>2237</v>
      </c>
      <c r="AJ136" t="s">
        <v>2238</v>
      </c>
      <c r="AK136" t="str">
        <f>"Building 3, 2nd Floor, Suite 350 "</f>
        <v xml:space="preserve">Building 3, 2nd Floor, Suite 350 </v>
      </c>
      <c r="AL136" t="s">
        <v>2239</v>
      </c>
      <c r="AM136" t="s">
        <v>100</v>
      </c>
      <c r="AN136" s="3">
        <v>7701</v>
      </c>
      <c r="AO136" t="s">
        <v>101</v>
      </c>
      <c r="AQ136" t="str">
        <f>"+17327596080"</f>
        <v>+17327596080</v>
      </c>
      <c r="AS136" t="s">
        <v>2240</v>
      </c>
      <c r="AT136" t="s">
        <v>107</v>
      </c>
      <c r="AU136" t="str">
        <f>"Hammond"</f>
        <v>Hammond</v>
      </c>
      <c r="AV136" t="str">
        <f>"Michael "</f>
        <v xml:space="preserve">Michael </v>
      </c>
      <c r="AW136" t="str">
        <f>"F. "</f>
        <v xml:space="preserve">F. </v>
      </c>
      <c r="AX136" t="str">
        <f>"441 Vine Street "</f>
        <v xml:space="preserve">441 Vine Street </v>
      </c>
      <c r="AY136" t="str">
        <f>"Suite 3200 "</f>
        <v xml:space="preserve">Suite 3200 </v>
      </c>
      <c r="AZ136" t="str">
        <f>"Cincinnati"</f>
        <v>Cincinnati</v>
      </c>
      <c r="BA136" t="str">
        <f>"OH"</f>
        <v>OH</v>
      </c>
      <c r="BB136" s="3">
        <v>45202</v>
      </c>
      <c r="BC136" t="str">
        <f>"UNITED STATES OF AMERICA"</f>
        <v>UNITED STATES OF AMERICA</v>
      </c>
      <c r="BD136" t="str">
        <f>""</f>
        <v/>
      </c>
      <c r="BE136" t="str">
        <f>"+15133812011"</f>
        <v>+15133812011</v>
      </c>
      <c r="BF136" t="str">
        <f>""</f>
        <v/>
      </c>
      <c r="BG136" t="str">
        <f>"megan.belinsky@hammondlawgroup.com"</f>
        <v>megan.belinsky@hammondlawgroup.com</v>
      </c>
      <c r="BH136" t="str">
        <f>"Hammond Law Group LLC"</f>
        <v>Hammond Law Group LLC</v>
      </c>
      <c r="BI136" t="str">
        <f>"OH"</f>
        <v>OH</v>
      </c>
      <c r="BJ136" t="str">
        <f>"SUPREME COURT"</f>
        <v>SUPREME COURT</v>
      </c>
      <c r="BK136">
        <v>1</v>
      </c>
      <c r="BL136" t="s">
        <v>107</v>
      </c>
      <c r="BM136" t="str">
        <f>"Wells Fargo "</f>
        <v xml:space="preserve">Wells Fargo </v>
      </c>
      <c r="BN136" t="s">
        <v>9373</v>
      </c>
      <c r="BP136" t="s">
        <v>604</v>
      </c>
      <c r="BQ136" t="s">
        <v>121</v>
      </c>
      <c r="BR136" t="s">
        <v>122</v>
      </c>
      <c r="BS136" s="5">
        <v>28262</v>
      </c>
      <c r="BT136" s="2">
        <v>41.1</v>
      </c>
      <c r="BU136" s="2">
        <v>67</v>
      </c>
      <c r="BV136" t="s">
        <v>210</v>
      </c>
      <c r="BW136" s="2">
        <v>41.1</v>
      </c>
      <c r="BX136" t="s">
        <v>210</v>
      </c>
      <c r="BZ136" t="s">
        <v>167</v>
      </c>
      <c r="CA136" t="str">
        <f t="shared" si="8"/>
        <v>7/1/2020 - 6/30/2021</v>
      </c>
      <c r="CF136">
        <v>2</v>
      </c>
      <c r="CG136" t="s">
        <v>98</v>
      </c>
      <c r="CH136" t="s">
        <v>98</v>
      </c>
      <c r="CI136" t="s">
        <v>206</v>
      </c>
      <c r="CJ136" t="s">
        <v>98</v>
      </c>
      <c r="CK136" t="s">
        <v>12323</v>
      </c>
      <c r="CL136" t="s">
        <v>108</v>
      </c>
      <c r="CM136" t="s">
        <v>109</v>
      </c>
      <c r="CN136" t="str">
        <f>""</f>
        <v/>
      </c>
      <c r="CO136" t="str">
        <f>""</f>
        <v/>
      </c>
      <c r="CP136" t="str">
        <f>""</f>
        <v/>
      </c>
      <c r="CQ136" t="str">
        <f>""</f>
        <v/>
      </c>
    </row>
    <row r="137" spans="1:96" x14ac:dyDescent="0.2">
      <c r="A137" t="s">
        <v>9423</v>
      </c>
      <c r="B137" t="s">
        <v>96</v>
      </c>
      <c r="C137" s="1">
        <v>44098</v>
      </c>
      <c r="D137" s="1">
        <v>44105</v>
      </c>
      <c r="F137" t="s">
        <v>97</v>
      </c>
      <c r="G137" t="str">
        <f>"Lead QA"</f>
        <v>Lead QA</v>
      </c>
      <c r="H137" t="s">
        <v>12168</v>
      </c>
      <c r="I137" t="s">
        <v>319</v>
      </c>
      <c r="J137" t="s">
        <v>98</v>
      </c>
      <c r="K137" s="1">
        <v>44105</v>
      </c>
      <c r="L137" s="1">
        <v>45177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6500</v>
      </c>
      <c r="U137" t="str">
        <f>""</f>
        <v/>
      </c>
      <c r="V137" t="s">
        <v>6501</v>
      </c>
      <c r="W137" t="str">
        <f>"SUITE 490"</f>
        <v>SUITE 490</v>
      </c>
      <c r="X137" t="s">
        <v>1487</v>
      </c>
      <c r="Y137" t="s">
        <v>114</v>
      </c>
      <c r="Z137" s="3">
        <v>75038</v>
      </c>
      <c r="AA137" t="s">
        <v>101</v>
      </c>
      <c r="AC137" s="4" t="str">
        <f>"+19725141113"</f>
        <v>+19725141113</v>
      </c>
      <c r="AE137" t="str">
        <f>"541511"</f>
        <v>541511</v>
      </c>
      <c r="AF137" t="s">
        <v>6502</v>
      </c>
      <c r="AG137" t="s">
        <v>6503</v>
      </c>
      <c r="AI137" t="s">
        <v>6504</v>
      </c>
      <c r="AJ137" t="s">
        <v>6501</v>
      </c>
      <c r="AK137" t="str">
        <f>"SUITE 490"</f>
        <v>SUITE 490</v>
      </c>
      <c r="AL137" t="s">
        <v>1487</v>
      </c>
      <c r="AM137" t="s">
        <v>114</v>
      </c>
      <c r="AN137" s="3">
        <v>75038</v>
      </c>
      <c r="AO137" t="s">
        <v>101</v>
      </c>
      <c r="AQ137" t="str">
        <f>"+19725141113"</f>
        <v>+19725141113</v>
      </c>
      <c r="AS137" t="s">
        <v>6505</v>
      </c>
      <c r="AT137" t="s">
        <v>107</v>
      </c>
      <c r="AU137" t="str">
        <f>"SILVIA"</f>
        <v>SILVIA</v>
      </c>
      <c r="AV137" t="str">
        <f>"KATIE"</f>
        <v>KATIE</v>
      </c>
      <c r="AW137" t="str">
        <f>""</f>
        <v/>
      </c>
      <c r="AX137" t="str">
        <f>"100 HIGH STREET"</f>
        <v>100 HIGH STREET</v>
      </c>
      <c r="AY137" t="str">
        <f>"FLOOR 3"</f>
        <v>FLOOR 3</v>
      </c>
      <c r="AZ137" t="str">
        <f>"BOSTON"</f>
        <v>BOSTON</v>
      </c>
      <c r="BA137" t="str">
        <f>"MA"</f>
        <v>MA</v>
      </c>
      <c r="BB137" s="3">
        <v>2110</v>
      </c>
      <c r="BC137" t="str">
        <f>"UNITED STATES OF AMERICA"</f>
        <v>UNITED STATES OF AMERICA</v>
      </c>
      <c r="BD137" t="str">
        <f>""</f>
        <v/>
      </c>
      <c r="BE137" t="str">
        <f>"+16175740400"</f>
        <v>+16175740400</v>
      </c>
      <c r="BF137" t="str">
        <f>""</f>
        <v/>
      </c>
      <c r="BG137" t="str">
        <f>"Alphaclientskochi@fragomen.com"</f>
        <v>Alphaclientskochi@fragomen.com</v>
      </c>
      <c r="BH137" t="str">
        <f>"FRAGOMEN, DEL REY, BERNSEN &amp; LOEWY, LLP"</f>
        <v>FRAGOMEN, DEL REY, BERNSEN &amp; LOEWY, LLP</v>
      </c>
      <c r="BI137" t="str">
        <f>"MA"</f>
        <v>MA</v>
      </c>
      <c r="BJ137" t="str">
        <f>"SUPREME JUDICIAL COURT"</f>
        <v>SUPREME JUDICIAL COURT</v>
      </c>
      <c r="BK137">
        <v>1</v>
      </c>
      <c r="BL137" t="s">
        <v>107</v>
      </c>
      <c r="BM137" t="str">
        <f>"Health Management Systems, Inc. (HMS)"</f>
        <v>Health Management Systems, Inc. (HMS)</v>
      </c>
      <c r="BN137" t="s">
        <v>9424</v>
      </c>
      <c r="BP137" t="s">
        <v>1487</v>
      </c>
      <c r="BQ137" t="s">
        <v>484</v>
      </c>
      <c r="BR137" t="s">
        <v>114</v>
      </c>
      <c r="BS137" s="5">
        <v>75038</v>
      </c>
      <c r="BT137" s="2">
        <v>78000</v>
      </c>
      <c r="BV137" t="s">
        <v>105</v>
      </c>
      <c r="BW137" s="2">
        <v>74027</v>
      </c>
      <c r="BX137" t="s">
        <v>105</v>
      </c>
      <c r="BZ137" t="s">
        <v>167</v>
      </c>
      <c r="CA137" t="str">
        <f t="shared" ref="CA137:CA157" si="9">"7/1/2020 - 6/30/2021"</f>
        <v>7/1/2020 - 6/30/2021</v>
      </c>
      <c r="CF137">
        <v>1</v>
      </c>
      <c r="CG137" t="s">
        <v>98</v>
      </c>
      <c r="CH137" t="s">
        <v>98</v>
      </c>
      <c r="CI137" t="s">
        <v>206</v>
      </c>
      <c r="CJ137" t="s">
        <v>98</v>
      </c>
      <c r="CK137" t="s">
        <v>12323</v>
      </c>
      <c r="CL137" t="s">
        <v>108</v>
      </c>
      <c r="CM137" t="s">
        <v>109</v>
      </c>
      <c r="CN137" t="str">
        <f>"RAJENDRAN"</f>
        <v>RAJENDRAN</v>
      </c>
      <c r="CO137" t="str">
        <f>"RESHMA"</f>
        <v>RESHMA</v>
      </c>
      <c r="CP137" t="str">
        <f>""</f>
        <v/>
      </c>
      <c r="CQ137" t="str">
        <f>"FRAGOMEN, DEL REV, BERNSEN &amp; LOEWY, LLP"</f>
        <v>FRAGOMEN, DEL REV, BERNSEN &amp; LOEWY, LLP</v>
      </c>
      <c r="CR137" t="s">
        <v>7779</v>
      </c>
    </row>
    <row r="138" spans="1:96" x14ac:dyDescent="0.2">
      <c r="A138" t="s">
        <v>9453</v>
      </c>
      <c r="B138" t="s">
        <v>96</v>
      </c>
      <c r="C138" s="1">
        <v>44098</v>
      </c>
      <c r="D138" s="1">
        <v>44105</v>
      </c>
      <c r="F138" t="s">
        <v>97</v>
      </c>
      <c r="G138" t="str">
        <f>"Senior Software Developer"</f>
        <v>Senior Software Developer</v>
      </c>
      <c r="H138" t="s">
        <v>12169</v>
      </c>
      <c r="I138" t="s">
        <v>124</v>
      </c>
      <c r="J138" t="s">
        <v>98</v>
      </c>
      <c r="K138" s="1">
        <v>44099</v>
      </c>
      <c r="L138" s="1">
        <v>45193</v>
      </c>
      <c r="M138">
        <v>6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 t="s">
        <v>2509</v>
      </c>
      <c r="U138" t="str">
        <f>"Mastech Digital InfoTech, Inc."</f>
        <v>Mastech Digital InfoTech, Inc.</v>
      </c>
      <c r="V138" t="s">
        <v>1081</v>
      </c>
      <c r="W138" t="str">
        <f>"Bldg. 210, Suite 400"</f>
        <v>Bldg. 210, Suite 400</v>
      </c>
      <c r="X138" t="s">
        <v>1082</v>
      </c>
      <c r="Y138" t="s">
        <v>127</v>
      </c>
      <c r="Z138" s="3">
        <v>15108</v>
      </c>
      <c r="AA138" t="s">
        <v>101</v>
      </c>
      <c r="AB138" t="s">
        <v>2510</v>
      </c>
      <c r="AC138" s="4" t="str">
        <f>"+14127879553"</f>
        <v>+14127879553</v>
      </c>
      <c r="AE138" t="str">
        <f>"541511"</f>
        <v>541511</v>
      </c>
      <c r="AF138" t="s">
        <v>1083</v>
      </c>
      <c r="AG138" t="s">
        <v>1084</v>
      </c>
      <c r="AI138" t="s">
        <v>1085</v>
      </c>
      <c r="AJ138" t="s">
        <v>1081</v>
      </c>
      <c r="AK138" t="str">
        <f>"Bldg. 210, Ste 400"</f>
        <v>Bldg. 210, Ste 400</v>
      </c>
      <c r="AL138" t="s">
        <v>1082</v>
      </c>
      <c r="AM138" t="s">
        <v>127</v>
      </c>
      <c r="AN138" s="3">
        <v>15108</v>
      </c>
      <c r="AO138" t="s">
        <v>101</v>
      </c>
      <c r="AQ138" t="str">
        <f>"+14127879553"</f>
        <v>+14127879553</v>
      </c>
      <c r="AS138" t="s">
        <v>1086</v>
      </c>
      <c r="AT138" t="s">
        <v>102</v>
      </c>
      <c r="AU138" t="str">
        <f>""</f>
        <v/>
      </c>
      <c r="AV138" t="str">
        <f>""</f>
        <v/>
      </c>
      <c r="AW138" t="str">
        <f>""</f>
        <v/>
      </c>
      <c r="AX138" t="str">
        <f>""</f>
        <v/>
      </c>
      <c r="AY138" t="str">
        <f>""</f>
        <v/>
      </c>
      <c r="AZ138" t="str">
        <f>""</f>
        <v/>
      </c>
      <c r="BA138" t="str">
        <f>""</f>
        <v/>
      </c>
      <c r="BC138" t="str">
        <f>""</f>
        <v/>
      </c>
      <c r="BD138" t="str">
        <f>""</f>
        <v/>
      </c>
      <c r="BE138" t="str">
        <f>""</f>
        <v/>
      </c>
      <c r="BF138" t="str">
        <f>""</f>
        <v/>
      </c>
      <c r="BG138" t="str">
        <f>""</f>
        <v/>
      </c>
      <c r="BH138" t="str">
        <f>""</f>
        <v/>
      </c>
      <c r="BI138" t="str">
        <f>""</f>
        <v/>
      </c>
      <c r="BJ138" t="str">
        <f>""</f>
        <v/>
      </c>
      <c r="BK138">
        <v>6</v>
      </c>
      <c r="BL138" t="s">
        <v>107</v>
      </c>
      <c r="BM138" t="str">
        <f>"Credit Suisse"</f>
        <v>Credit Suisse</v>
      </c>
      <c r="BN138" t="s">
        <v>4793</v>
      </c>
      <c r="BP138" t="s">
        <v>1911</v>
      </c>
      <c r="BQ138" t="s">
        <v>1067</v>
      </c>
      <c r="BR138" t="s">
        <v>122</v>
      </c>
      <c r="BS138" s="5">
        <v>27560</v>
      </c>
      <c r="BT138" s="2">
        <v>108659</v>
      </c>
      <c r="BU138" s="2">
        <v>123659</v>
      </c>
      <c r="BV138" t="s">
        <v>105</v>
      </c>
      <c r="BW138" s="2">
        <v>108659</v>
      </c>
      <c r="BX138" t="s">
        <v>105</v>
      </c>
      <c r="BZ138" t="s">
        <v>123</v>
      </c>
      <c r="CA138" t="str">
        <f t="shared" si="9"/>
        <v>7/1/2020 - 6/30/2021</v>
      </c>
      <c r="CF138">
        <v>2</v>
      </c>
      <c r="CG138" t="s">
        <v>98</v>
      </c>
      <c r="CH138" t="s">
        <v>98</v>
      </c>
      <c r="CI138" t="s">
        <v>206</v>
      </c>
      <c r="CJ138" t="s">
        <v>98</v>
      </c>
      <c r="CK138" t="s">
        <v>12323</v>
      </c>
      <c r="CL138" t="s">
        <v>108</v>
      </c>
      <c r="CM138" t="s">
        <v>109</v>
      </c>
      <c r="CN138" t="str">
        <f>""</f>
        <v/>
      </c>
      <c r="CO138" t="str">
        <f>""</f>
        <v/>
      </c>
      <c r="CP138" t="str">
        <f>""</f>
        <v/>
      </c>
      <c r="CQ138" t="str">
        <f>""</f>
        <v/>
      </c>
    </row>
    <row r="139" spans="1:96" x14ac:dyDescent="0.2">
      <c r="A139" t="s">
        <v>9457</v>
      </c>
      <c r="B139" t="s">
        <v>96</v>
      </c>
      <c r="C139" s="1">
        <v>44098</v>
      </c>
      <c r="D139" s="1">
        <v>44105</v>
      </c>
      <c r="F139" t="s">
        <v>97</v>
      </c>
      <c r="G139" t="str">
        <f>"Cognos TMI Analytics Consultant"</f>
        <v>Cognos TMI Analytics Consultant</v>
      </c>
      <c r="H139" t="s">
        <v>12169</v>
      </c>
      <c r="I139" t="s">
        <v>124</v>
      </c>
      <c r="J139" t="s">
        <v>98</v>
      </c>
      <c r="K139" s="1">
        <v>44105</v>
      </c>
      <c r="L139" s="1">
        <v>45199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5050</v>
      </c>
      <c r="U139" t="str">
        <f>""</f>
        <v/>
      </c>
      <c r="V139" t="s">
        <v>5051</v>
      </c>
      <c r="W139" t="str">
        <f>"STE 190"</f>
        <v>STE 190</v>
      </c>
      <c r="X139" t="s">
        <v>1025</v>
      </c>
      <c r="Y139" t="s">
        <v>577</v>
      </c>
      <c r="Z139" s="3">
        <v>33647</v>
      </c>
      <c r="AA139" t="s">
        <v>101</v>
      </c>
      <c r="AC139" s="4" t="str">
        <f>"+18134236501"</f>
        <v>+18134236501</v>
      </c>
      <c r="AE139" t="str">
        <f>"541511"</f>
        <v>541511</v>
      </c>
      <c r="AF139" t="s">
        <v>3535</v>
      </c>
      <c r="AG139" t="s">
        <v>5052</v>
      </c>
      <c r="AI139" t="s">
        <v>425</v>
      </c>
      <c r="AJ139" t="s">
        <v>5051</v>
      </c>
      <c r="AK139" t="str">
        <f>"STE 190"</f>
        <v>STE 190</v>
      </c>
      <c r="AL139" t="s">
        <v>1025</v>
      </c>
      <c r="AM139" t="s">
        <v>577</v>
      </c>
      <c r="AN139" s="3">
        <v>33647</v>
      </c>
      <c r="AO139" t="s">
        <v>101</v>
      </c>
      <c r="AQ139" t="str">
        <f>"+18134236501"</f>
        <v>+18134236501</v>
      </c>
      <c r="AS139" t="s">
        <v>5053</v>
      </c>
      <c r="AT139" t="s">
        <v>107</v>
      </c>
      <c r="AU139" t="str">
        <f>"ILINDRA"</f>
        <v>ILINDRA</v>
      </c>
      <c r="AV139" t="str">
        <f>"BHANU"</f>
        <v>BHANU</v>
      </c>
      <c r="AW139" t="str">
        <f>"BABU"</f>
        <v>BABU</v>
      </c>
      <c r="AX139" t="str">
        <f>"P.O. BOX 1114"</f>
        <v>P.O. BOX 1114</v>
      </c>
      <c r="AY139" t="str">
        <f>""</f>
        <v/>
      </c>
      <c r="AZ139" t="str">
        <f>"HERNDON"</f>
        <v>HERNDON</v>
      </c>
      <c r="BA139" t="str">
        <f>"VA"</f>
        <v>VA</v>
      </c>
      <c r="BB139" s="3">
        <v>20170</v>
      </c>
      <c r="BC139" t="str">
        <f>"UNITED STATES OF AMERICA"</f>
        <v>UNITED STATES OF AMERICA</v>
      </c>
      <c r="BD139" t="str">
        <f>""</f>
        <v/>
      </c>
      <c r="BE139" t="str">
        <f>"+17034967722"</f>
        <v>+17034967722</v>
      </c>
      <c r="BF139" t="str">
        <f>""</f>
        <v/>
      </c>
      <c r="BG139" t="str">
        <f>"BHANU@BBILAWGROUP.COM"</f>
        <v>BHANU@BBILAWGROUP.COM</v>
      </c>
      <c r="BH139" t="str">
        <f>"BBI LAW GROUP, P.C."</f>
        <v>BBI LAW GROUP, P.C.</v>
      </c>
      <c r="BI139" t="str">
        <f>"NY"</f>
        <v>NY</v>
      </c>
      <c r="BJ139" t="str">
        <f>"THIRD APPELLATE COURT"</f>
        <v>THIRD APPELLATE COURT</v>
      </c>
      <c r="BK139">
        <v>1</v>
      </c>
      <c r="BL139" t="s">
        <v>107</v>
      </c>
      <c r="BM139" t="str">
        <f>"Nielsen"</f>
        <v>Nielsen</v>
      </c>
      <c r="BN139" t="s">
        <v>9458</v>
      </c>
      <c r="BP139" t="s">
        <v>5054</v>
      </c>
      <c r="BQ139" t="s">
        <v>2666</v>
      </c>
      <c r="BR139" t="s">
        <v>577</v>
      </c>
      <c r="BS139" s="5">
        <v>34677</v>
      </c>
      <c r="BT139" s="2">
        <v>81850</v>
      </c>
      <c r="BV139" t="s">
        <v>105</v>
      </c>
      <c r="BW139" s="2">
        <v>81806</v>
      </c>
      <c r="BX139" t="s">
        <v>105</v>
      </c>
      <c r="BZ139" t="s">
        <v>167</v>
      </c>
      <c r="CA139" t="str">
        <f t="shared" si="9"/>
        <v>7/1/2020 - 6/30/2021</v>
      </c>
      <c r="CF139">
        <v>2</v>
      </c>
      <c r="CG139" t="s">
        <v>98</v>
      </c>
      <c r="CH139" t="s">
        <v>98</v>
      </c>
      <c r="CI139" t="s">
        <v>206</v>
      </c>
      <c r="CJ139" t="s">
        <v>98</v>
      </c>
      <c r="CK139" t="s">
        <v>12323</v>
      </c>
      <c r="CL139" t="s">
        <v>108</v>
      </c>
      <c r="CM139" t="s">
        <v>109</v>
      </c>
      <c r="CN139" t="str">
        <f>"Ilindra"</f>
        <v>Ilindra</v>
      </c>
      <c r="CO139" t="str">
        <f>"Bhanu"</f>
        <v>Bhanu</v>
      </c>
      <c r="CP139" t="str">
        <f>"B"</f>
        <v>B</v>
      </c>
      <c r="CQ139" t="str">
        <f>"BBI LAW Group, P.C."</f>
        <v>BBI LAW Group, P.C.</v>
      </c>
      <c r="CR139" t="s">
        <v>1320</v>
      </c>
    </row>
    <row r="140" spans="1:96" x14ac:dyDescent="0.2">
      <c r="A140" t="s">
        <v>9459</v>
      </c>
      <c r="B140" t="s">
        <v>96</v>
      </c>
      <c r="C140" s="1">
        <v>44098</v>
      </c>
      <c r="D140" s="1">
        <v>44105</v>
      </c>
      <c r="F140" t="s">
        <v>97</v>
      </c>
      <c r="G140" t="str">
        <f>"Pega Developer"</f>
        <v>Pega Developer</v>
      </c>
      <c r="H140" t="s">
        <v>12169</v>
      </c>
      <c r="I140" t="s">
        <v>124</v>
      </c>
      <c r="J140" t="s">
        <v>98</v>
      </c>
      <c r="K140" s="1">
        <v>44098</v>
      </c>
      <c r="L140" s="1">
        <v>45192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 t="s">
        <v>2807</v>
      </c>
      <c r="U140" t="str">
        <f>""</f>
        <v/>
      </c>
      <c r="V140" t="s">
        <v>2808</v>
      </c>
      <c r="W140" t="str">
        <f>"SUITE 1E"</f>
        <v>SUITE 1E</v>
      </c>
      <c r="X140" t="s">
        <v>2809</v>
      </c>
      <c r="Y140" t="s">
        <v>225</v>
      </c>
      <c r="Z140" s="3">
        <v>43085</v>
      </c>
      <c r="AA140" t="s">
        <v>101</v>
      </c>
      <c r="AC140" s="4" t="str">
        <f>"+13098070575"</f>
        <v>+13098070575</v>
      </c>
      <c r="AE140" t="str">
        <f>"541511"</f>
        <v>541511</v>
      </c>
      <c r="AF140" t="s">
        <v>2810</v>
      </c>
      <c r="AG140" t="s">
        <v>2811</v>
      </c>
      <c r="AI140" t="s">
        <v>1789</v>
      </c>
      <c r="AJ140" t="s">
        <v>2808</v>
      </c>
      <c r="AK140" t="str">
        <f>"SUITE 1 E"</f>
        <v>SUITE 1 E</v>
      </c>
      <c r="AL140" t="s">
        <v>2809</v>
      </c>
      <c r="AM140" t="s">
        <v>225</v>
      </c>
      <c r="AN140" s="3">
        <v>43085</v>
      </c>
      <c r="AO140" t="s">
        <v>101</v>
      </c>
      <c r="AQ140" t="str">
        <f>"+13098070575"</f>
        <v>+13098070575</v>
      </c>
      <c r="AS140" t="s">
        <v>2812</v>
      </c>
      <c r="AT140" t="s">
        <v>102</v>
      </c>
      <c r="AU140" t="str">
        <f>""</f>
        <v/>
      </c>
      <c r="AV140" t="str">
        <f>""</f>
        <v/>
      </c>
      <c r="AW140" t="str">
        <f>""</f>
        <v/>
      </c>
      <c r="AX140" t="str">
        <f>""</f>
        <v/>
      </c>
      <c r="AY140" t="str">
        <f>""</f>
        <v/>
      </c>
      <c r="AZ140" t="str">
        <f>""</f>
        <v/>
      </c>
      <c r="BA140" t="str">
        <f>""</f>
        <v/>
      </c>
      <c r="BC140" t="str">
        <f>""</f>
        <v/>
      </c>
      <c r="BD140" t="str">
        <f>""</f>
        <v/>
      </c>
      <c r="BE140" t="str">
        <f>""</f>
        <v/>
      </c>
      <c r="BF140" t="str">
        <f>""</f>
        <v/>
      </c>
      <c r="BG140" t="str">
        <f>""</f>
        <v/>
      </c>
      <c r="BH140" t="str">
        <f>""</f>
        <v/>
      </c>
      <c r="BI140" t="str">
        <f>""</f>
        <v/>
      </c>
      <c r="BJ140" t="str">
        <f>""</f>
        <v/>
      </c>
      <c r="BK140">
        <v>1</v>
      </c>
      <c r="BL140" t="s">
        <v>107</v>
      </c>
      <c r="BM140" t="str">
        <f>"CIGNA Inc"</f>
        <v>CIGNA Inc</v>
      </c>
      <c r="BN140" t="s">
        <v>3844</v>
      </c>
      <c r="BP140" t="s">
        <v>1557</v>
      </c>
      <c r="BQ140" t="s">
        <v>1307</v>
      </c>
      <c r="BR140" t="s">
        <v>100</v>
      </c>
      <c r="BS140" s="5">
        <v>7417</v>
      </c>
      <c r="BT140" s="2">
        <v>100526</v>
      </c>
      <c r="BV140" t="s">
        <v>105</v>
      </c>
      <c r="BW140" s="2">
        <v>100526</v>
      </c>
      <c r="BX140" t="s">
        <v>105</v>
      </c>
      <c r="BZ140" t="s">
        <v>167</v>
      </c>
      <c r="CA140" t="str">
        <f t="shared" si="9"/>
        <v>7/1/2020 - 6/30/2021</v>
      </c>
      <c r="CF140">
        <v>3</v>
      </c>
      <c r="CG140" t="s">
        <v>98</v>
      </c>
      <c r="CH140" t="s">
        <v>98</v>
      </c>
      <c r="CI140" t="s">
        <v>206</v>
      </c>
      <c r="CJ140" t="s">
        <v>98</v>
      </c>
      <c r="CK140" t="s">
        <v>12323</v>
      </c>
      <c r="CL140" t="s">
        <v>108</v>
      </c>
      <c r="CM140" t="s">
        <v>109</v>
      </c>
      <c r="CN140" t="str">
        <f>""</f>
        <v/>
      </c>
      <c r="CO140" t="str">
        <f>""</f>
        <v/>
      </c>
      <c r="CP140" t="str">
        <f>""</f>
        <v/>
      </c>
      <c r="CQ140" t="str">
        <f>""</f>
        <v/>
      </c>
    </row>
    <row r="141" spans="1:96" x14ac:dyDescent="0.2">
      <c r="A141" t="s">
        <v>9525</v>
      </c>
      <c r="B141" t="s">
        <v>96</v>
      </c>
      <c r="C141" s="1">
        <v>44098</v>
      </c>
      <c r="D141" s="1">
        <v>44105</v>
      </c>
      <c r="F141" t="s">
        <v>97</v>
      </c>
      <c r="G141" t="str">
        <f>"Software Engineer"</f>
        <v>Software Engineer</v>
      </c>
      <c r="H141" t="s">
        <v>12169</v>
      </c>
      <c r="I141" t="s">
        <v>124</v>
      </c>
      <c r="J141" t="s">
        <v>98</v>
      </c>
      <c r="K141" s="1">
        <v>44261</v>
      </c>
      <c r="L141" s="1">
        <v>45356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t="s">
        <v>412</v>
      </c>
      <c r="U141" t="str">
        <f>""</f>
        <v/>
      </c>
      <c r="V141" t="s">
        <v>413</v>
      </c>
      <c r="W141" t="str">
        <f>"(*ALSO KNOWN AS 1601 WILLOW ROAD)"</f>
        <v>(*ALSO KNOWN AS 1601 WILLOW ROAD)</v>
      </c>
      <c r="X141" t="s">
        <v>414</v>
      </c>
      <c r="Y141" t="s">
        <v>141</v>
      </c>
      <c r="Z141" s="3">
        <v>94025</v>
      </c>
      <c r="AA141" t="s">
        <v>101</v>
      </c>
      <c r="AB141" t="s">
        <v>141</v>
      </c>
      <c r="AC141" s="4" t="str">
        <f>"+14085335781"</f>
        <v>+14085335781</v>
      </c>
      <c r="AE141" t="str">
        <f>"51913"</f>
        <v>51913</v>
      </c>
      <c r="AF141" t="s">
        <v>415</v>
      </c>
      <c r="AG141" t="s">
        <v>416</v>
      </c>
      <c r="AI141" t="s">
        <v>417</v>
      </c>
      <c r="AJ141" t="s">
        <v>413</v>
      </c>
      <c r="AK141" t="str">
        <f>"(*ALSO KNOWN AS 1601 WILLOW RD.*)"</f>
        <v>(*ALSO KNOWN AS 1601 WILLOW RD.*)</v>
      </c>
      <c r="AL141" t="s">
        <v>414</v>
      </c>
      <c r="AM141" t="s">
        <v>141</v>
      </c>
      <c r="AN141" s="3">
        <v>94025</v>
      </c>
      <c r="AO141" t="s">
        <v>101</v>
      </c>
      <c r="AQ141" t="str">
        <f>"+14085335781"</f>
        <v>+14085335781</v>
      </c>
      <c r="AS141" t="s">
        <v>418</v>
      </c>
      <c r="AT141" t="s">
        <v>107</v>
      </c>
      <c r="AU141" t="str">
        <f>"Nesch"</f>
        <v>Nesch</v>
      </c>
      <c r="AV141" t="str">
        <f>"Elena"</f>
        <v>Elena</v>
      </c>
      <c r="AW141" t="str">
        <f>"N/A"</f>
        <v>N/A</v>
      </c>
      <c r="AX141" t="str">
        <f>"2400 N. GLENVILLE DRIVE"</f>
        <v>2400 N. GLENVILLE DRIVE</v>
      </c>
      <c r="AY141" t="str">
        <f>"BUILDING A, SUITE 100"</f>
        <v>BUILDING A, SUITE 100</v>
      </c>
      <c r="AZ141" t="str">
        <f>"RICHARDSON"</f>
        <v>RICHARDSON</v>
      </c>
      <c r="BA141" t="str">
        <f>"TX"</f>
        <v>TX</v>
      </c>
      <c r="BB141" s="3">
        <v>75082</v>
      </c>
      <c r="BC141" t="str">
        <f>"UNITED STATES OF AMERICA"</f>
        <v>UNITED STATES OF AMERICA</v>
      </c>
      <c r="BD141" t="str">
        <f>""</f>
        <v/>
      </c>
      <c r="BE141" t="str">
        <f>"+14692909204"</f>
        <v>+14692909204</v>
      </c>
      <c r="BF141" t="str">
        <f>""</f>
        <v/>
      </c>
      <c r="BG141" t="str">
        <f>"anapier@balglobal.com"</f>
        <v>anapier@balglobal.com</v>
      </c>
      <c r="BH141" t="str">
        <f>"BERRY APPLEMAN &amp; LEIDEN LLP"</f>
        <v>BERRY APPLEMAN &amp; LEIDEN LLP</v>
      </c>
      <c r="BI141" t="str">
        <f>"NC"</f>
        <v>NC</v>
      </c>
      <c r="BJ141" t="str">
        <f>"The Supreme Court of North Carolina"</f>
        <v>The Supreme Court of North Carolina</v>
      </c>
      <c r="BK141">
        <v>1</v>
      </c>
      <c r="BL141" t="s">
        <v>102</v>
      </c>
      <c r="BM141" t="str">
        <f>""</f>
        <v/>
      </c>
      <c r="BN141" t="s">
        <v>6310</v>
      </c>
      <c r="BP141" t="s">
        <v>433</v>
      </c>
      <c r="BQ141" t="s">
        <v>183</v>
      </c>
      <c r="BR141" t="s">
        <v>176</v>
      </c>
      <c r="BS141" s="5">
        <v>98109</v>
      </c>
      <c r="BT141" s="2">
        <v>191100</v>
      </c>
      <c r="BV141" t="s">
        <v>105</v>
      </c>
      <c r="BW141" s="2">
        <v>155106</v>
      </c>
      <c r="BX141" t="s">
        <v>105</v>
      </c>
      <c r="BZ141" t="s">
        <v>159</v>
      </c>
      <c r="CA141" t="str">
        <f t="shared" si="9"/>
        <v>7/1/2020 - 6/30/2021</v>
      </c>
      <c r="CF141">
        <v>2</v>
      </c>
      <c r="CG141" t="s">
        <v>98</v>
      </c>
      <c r="CH141" t="s">
        <v>98</v>
      </c>
      <c r="CI141" t="s">
        <v>206</v>
      </c>
      <c r="CJ141" t="s">
        <v>98</v>
      </c>
      <c r="CK141" t="s">
        <v>12323</v>
      </c>
      <c r="CL141" t="s">
        <v>108</v>
      </c>
      <c r="CM141" t="s">
        <v>109</v>
      </c>
      <c r="CN141" t="str">
        <f>""</f>
        <v/>
      </c>
      <c r="CO141" t="str">
        <f>""</f>
        <v/>
      </c>
      <c r="CP141" t="str">
        <f>""</f>
        <v/>
      </c>
      <c r="CQ141" t="str">
        <f>""</f>
        <v/>
      </c>
    </row>
    <row r="142" spans="1:96" x14ac:dyDescent="0.2">
      <c r="A142" t="s">
        <v>9537</v>
      </c>
      <c r="B142" t="s">
        <v>96</v>
      </c>
      <c r="C142" s="1">
        <v>44098</v>
      </c>
      <c r="D142" s="1">
        <v>44105</v>
      </c>
      <c r="F142" t="s">
        <v>97</v>
      </c>
      <c r="G142" t="str">
        <f>"Manager JC50"</f>
        <v>Manager JC50</v>
      </c>
      <c r="H142" t="s">
        <v>12181</v>
      </c>
      <c r="I142" t="s">
        <v>110</v>
      </c>
      <c r="J142" t="s">
        <v>98</v>
      </c>
      <c r="K142" s="1">
        <v>44227</v>
      </c>
      <c r="L142" s="1">
        <v>45321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t="s">
        <v>111</v>
      </c>
      <c r="U142" t="str">
        <f>"CTSUS"</f>
        <v>CTSUS</v>
      </c>
      <c r="V142" t="s">
        <v>112</v>
      </c>
      <c r="W142" t="str">
        <f>""</f>
        <v/>
      </c>
      <c r="X142" t="s">
        <v>113</v>
      </c>
      <c r="Y142" t="s">
        <v>114</v>
      </c>
      <c r="Z142" s="3">
        <v>77845</v>
      </c>
      <c r="AA142" t="s">
        <v>101</v>
      </c>
      <c r="AB142" t="s">
        <v>114</v>
      </c>
      <c r="AC142" s="4" t="str">
        <f>"+19793296682"</f>
        <v>+19793296682</v>
      </c>
      <c r="AE142" t="str">
        <f>"541512"</f>
        <v>541512</v>
      </c>
      <c r="AF142" t="s">
        <v>115</v>
      </c>
      <c r="AG142" t="s">
        <v>116</v>
      </c>
      <c r="AH142" t="s">
        <v>108</v>
      </c>
      <c r="AI142" t="s">
        <v>117</v>
      </c>
      <c r="AJ142" t="s">
        <v>118</v>
      </c>
      <c r="AK142" t="str">
        <f>""</f>
        <v/>
      </c>
      <c r="AL142" t="s">
        <v>119</v>
      </c>
      <c r="AM142" t="s">
        <v>114</v>
      </c>
      <c r="AN142" s="3">
        <v>77845</v>
      </c>
      <c r="AO142" t="s">
        <v>101</v>
      </c>
      <c r="AQ142" t="str">
        <f>"+19793296682"</f>
        <v>+19793296682</v>
      </c>
      <c r="AS142" t="s">
        <v>120</v>
      </c>
      <c r="AT142" t="s">
        <v>102</v>
      </c>
      <c r="AU142" t="str">
        <f>""</f>
        <v/>
      </c>
      <c r="AV142" t="str">
        <f>""</f>
        <v/>
      </c>
      <c r="AW142" t="str">
        <f>""</f>
        <v/>
      </c>
      <c r="AX142" t="str">
        <f>""</f>
        <v/>
      </c>
      <c r="AY142" t="str">
        <f>""</f>
        <v/>
      </c>
      <c r="AZ142" t="str">
        <f>""</f>
        <v/>
      </c>
      <c r="BA142" t="str">
        <f>""</f>
        <v/>
      </c>
      <c r="BC142" t="str">
        <f>""</f>
        <v/>
      </c>
      <c r="BD142" t="str">
        <f>""</f>
        <v/>
      </c>
      <c r="BE142" t="str">
        <f>""</f>
        <v/>
      </c>
      <c r="BF142" t="str">
        <f>""</f>
        <v/>
      </c>
      <c r="BG142" t="str">
        <f>""</f>
        <v/>
      </c>
      <c r="BH142" t="str">
        <f>""</f>
        <v/>
      </c>
      <c r="BI142" t="str">
        <f>""</f>
        <v/>
      </c>
      <c r="BJ142" t="str">
        <f>""</f>
        <v/>
      </c>
      <c r="BK142">
        <v>1</v>
      </c>
      <c r="BL142" t="s">
        <v>102</v>
      </c>
      <c r="BM142" t="str">
        <f>""</f>
        <v/>
      </c>
      <c r="BN142" t="s">
        <v>9538</v>
      </c>
      <c r="BP142" t="s">
        <v>2274</v>
      </c>
      <c r="BQ142" t="s">
        <v>1029</v>
      </c>
      <c r="BR142" t="s">
        <v>100</v>
      </c>
      <c r="BS142" s="5">
        <v>7869</v>
      </c>
      <c r="BT142" s="2">
        <v>114067</v>
      </c>
      <c r="BV142" t="s">
        <v>105</v>
      </c>
      <c r="BW142" s="2">
        <v>114067</v>
      </c>
      <c r="BX142" t="s">
        <v>105</v>
      </c>
      <c r="BZ142" t="s">
        <v>123</v>
      </c>
      <c r="CA142" t="str">
        <f t="shared" si="9"/>
        <v>7/1/2020 - 6/30/2021</v>
      </c>
      <c r="CF142">
        <v>1</v>
      </c>
      <c r="CG142" t="s">
        <v>98</v>
      </c>
      <c r="CH142" t="s">
        <v>98</v>
      </c>
      <c r="CI142" t="s">
        <v>206</v>
      </c>
      <c r="CJ142" t="s">
        <v>98</v>
      </c>
      <c r="CK142" t="s">
        <v>12323</v>
      </c>
      <c r="CL142" t="s">
        <v>108</v>
      </c>
      <c r="CM142" t="s">
        <v>109</v>
      </c>
      <c r="CN142" t="str">
        <f>""</f>
        <v/>
      </c>
      <c r="CO142" t="str">
        <f>""</f>
        <v/>
      </c>
      <c r="CP142" t="str">
        <f>""</f>
        <v/>
      </c>
      <c r="CQ142" t="str">
        <f>""</f>
        <v/>
      </c>
    </row>
    <row r="143" spans="1:96" x14ac:dyDescent="0.2">
      <c r="A143" t="s">
        <v>9546</v>
      </c>
      <c r="B143" t="s">
        <v>96</v>
      </c>
      <c r="C143" s="1">
        <v>44098</v>
      </c>
      <c r="D143" s="1">
        <v>44105</v>
      </c>
      <c r="F143" t="s">
        <v>97</v>
      </c>
      <c r="G143" t="str">
        <f>"Architect"</f>
        <v>Architect</v>
      </c>
      <c r="H143" t="s">
        <v>12168</v>
      </c>
      <c r="I143" t="s">
        <v>160</v>
      </c>
      <c r="J143" t="s">
        <v>98</v>
      </c>
      <c r="K143" s="1">
        <v>44111</v>
      </c>
      <c r="L143" s="1">
        <v>45205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379</v>
      </c>
      <c r="U143" t="str">
        <f>""</f>
        <v/>
      </c>
      <c r="V143" t="s">
        <v>380</v>
      </c>
      <c r="W143" t="str">
        <f>"Suite 320"</f>
        <v>Suite 320</v>
      </c>
      <c r="X143" t="s">
        <v>381</v>
      </c>
      <c r="Y143" t="s">
        <v>195</v>
      </c>
      <c r="Z143" s="3">
        <v>20850</v>
      </c>
      <c r="AA143" t="s">
        <v>101</v>
      </c>
      <c r="AB143" t="s">
        <v>382</v>
      </c>
      <c r="AC143" s="4" t="str">
        <f>"+13012319083"</f>
        <v>+13012319083</v>
      </c>
      <c r="AE143" t="str">
        <f>"541511"</f>
        <v>541511</v>
      </c>
      <c r="AF143" t="s">
        <v>383</v>
      </c>
      <c r="AG143" t="s">
        <v>384</v>
      </c>
      <c r="AI143" t="s">
        <v>385</v>
      </c>
      <c r="AJ143" t="s">
        <v>386</v>
      </c>
      <c r="AK143" t="str">
        <f>"Suite 320"</f>
        <v>Suite 320</v>
      </c>
      <c r="AL143" t="s">
        <v>381</v>
      </c>
      <c r="AM143" t="s">
        <v>195</v>
      </c>
      <c r="AN143" s="3">
        <v>20850</v>
      </c>
      <c r="AO143" t="s">
        <v>101</v>
      </c>
      <c r="AQ143" t="str">
        <f>"+13012319083"</f>
        <v>+13012319083</v>
      </c>
      <c r="AS143" t="s">
        <v>387</v>
      </c>
      <c r="AT143" t="s">
        <v>107</v>
      </c>
      <c r="AU143" t="str">
        <f>"Uribe"</f>
        <v>Uribe</v>
      </c>
      <c r="AV143" t="str">
        <f>"Elmer"</f>
        <v>Elmer</v>
      </c>
      <c r="AW143" t="str">
        <f>"Martin"</f>
        <v>Martin</v>
      </c>
      <c r="AX143" t="str">
        <f>"12100 Sunset Hills Rd"</f>
        <v>12100 Sunset Hills Rd</v>
      </c>
      <c r="AY143" t="str">
        <f>"Ste. 301"</f>
        <v>Ste. 301</v>
      </c>
      <c r="AZ143" t="str">
        <f>"Reston"</f>
        <v>Reston</v>
      </c>
      <c r="BA143" t="str">
        <f>"VA"</f>
        <v>VA</v>
      </c>
      <c r="BB143" s="3">
        <v>20190</v>
      </c>
      <c r="BC143" t="str">
        <f>"UNITED STATES OF AMERICA"</f>
        <v>UNITED STATES OF AMERICA</v>
      </c>
      <c r="BD143" t="str">
        <f>""</f>
        <v/>
      </c>
      <c r="BE143" t="str">
        <f>"+17037969898"</f>
        <v>+17037969898</v>
      </c>
      <c r="BF143" t="str">
        <f>"117"</f>
        <v>117</v>
      </c>
      <c r="BG143" t="str">
        <f>"martin.uribe@goellaw.com"</f>
        <v>martin.uribe@goellaw.com</v>
      </c>
      <c r="BH143" t="str">
        <f>"Goel &amp; Anderson, LLC"</f>
        <v>Goel &amp; Anderson, LLC</v>
      </c>
      <c r="BI143" t="str">
        <f>"MD"</f>
        <v>MD</v>
      </c>
      <c r="BJ143" t="str">
        <f>"Court of Appeals"</f>
        <v>Court of Appeals</v>
      </c>
      <c r="BK143">
        <v>1</v>
      </c>
      <c r="BL143" t="s">
        <v>107</v>
      </c>
      <c r="BM143" t="str">
        <f>"Honeywell Inc."</f>
        <v>Honeywell Inc.</v>
      </c>
      <c r="BN143" t="s">
        <v>9547</v>
      </c>
      <c r="BP143" t="s">
        <v>299</v>
      </c>
      <c r="BQ143" t="s">
        <v>257</v>
      </c>
      <c r="BR143" t="s">
        <v>258</v>
      </c>
      <c r="BS143" s="5">
        <v>85027</v>
      </c>
      <c r="BT143" s="2">
        <v>115000</v>
      </c>
      <c r="BU143" s="2">
        <v>125000</v>
      </c>
      <c r="BV143" t="s">
        <v>105</v>
      </c>
      <c r="BW143" s="2">
        <v>66768</v>
      </c>
      <c r="BX143" t="s">
        <v>105</v>
      </c>
      <c r="BZ143" t="s">
        <v>167</v>
      </c>
      <c r="CA143" t="str">
        <f t="shared" si="9"/>
        <v>7/1/2020 - 6/30/2021</v>
      </c>
      <c r="CF143">
        <v>1</v>
      </c>
      <c r="CG143" t="s">
        <v>98</v>
      </c>
      <c r="CH143" t="s">
        <v>98</v>
      </c>
      <c r="CI143" t="s">
        <v>206</v>
      </c>
      <c r="CJ143" t="s">
        <v>98</v>
      </c>
      <c r="CK143" t="s">
        <v>12323</v>
      </c>
      <c r="CL143" t="s">
        <v>108</v>
      </c>
      <c r="CM143" t="s">
        <v>109</v>
      </c>
      <c r="CN143" t="str">
        <f>"Uribe"</f>
        <v>Uribe</v>
      </c>
      <c r="CO143" t="str">
        <f>"E. Martin"</f>
        <v>E. Martin</v>
      </c>
      <c r="CP143" t="str">
        <f>""</f>
        <v/>
      </c>
      <c r="CQ143" t="str">
        <f>"Goel &amp; Anderson LLC"</f>
        <v>Goel &amp; Anderson LLC</v>
      </c>
      <c r="CR143" t="s">
        <v>389</v>
      </c>
    </row>
    <row r="144" spans="1:96" x14ac:dyDescent="0.2">
      <c r="A144" t="s">
        <v>9548</v>
      </c>
      <c r="B144" t="s">
        <v>96</v>
      </c>
      <c r="C144" s="1">
        <v>44098</v>
      </c>
      <c r="D144" s="1">
        <v>44105</v>
      </c>
      <c r="F144" t="s">
        <v>97</v>
      </c>
      <c r="G144" t="str">
        <f>"IT Consultant (JAVA Full Stack Developer)"</f>
        <v>IT Consultant (JAVA Full Stack Developer)</v>
      </c>
      <c r="H144" t="s">
        <v>12169</v>
      </c>
      <c r="I144" t="s">
        <v>124</v>
      </c>
      <c r="J144" t="s">
        <v>98</v>
      </c>
      <c r="K144" s="1">
        <v>44098</v>
      </c>
      <c r="L144" s="1">
        <v>45192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t="s">
        <v>7314</v>
      </c>
      <c r="U144" t="str">
        <f>""</f>
        <v/>
      </c>
      <c r="V144" t="s">
        <v>7315</v>
      </c>
      <c r="W144" t="str">
        <f>"Suite 706"</f>
        <v>Suite 706</v>
      </c>
      <c r="X144" t="s">
        <v>3974</v>
      </c>
      <c r="Y144" t="s">
        <v>215</v>
      </c>
      <c r="Z144" s="3">
        <v>30024</v>
      </c>
      <c r="AA144" t="s">
        <v>101</v>
      </c>
      <c r="AC144" s="4" t="str">
        <f>"+16789332228"</f>
        <v>+16789332228</v>
      </c>
      <c r="AE144" t="str">
        <f>"541511"</f>
        <v>541511</v>
      </c>
      <c r="AF144" t="s">
        <v>7316</v>
      </c>
      <c r="AG144" t="s">
        <v>6027</v>
      </c>
      <c r="AI144" t="s">
        <v>508</v>
      </c>
      <c r="AJ144" t="s">
        <v>7315</v>
      </c>
      <c r="AK144" t="str">
        <f>"Suite 706"</f>
        <v>Suite 706</v>
      </c>
      <c r="AL144" t="s">
        <v>3974</v>
      </c>
      <c r="AM144" t="s">
        <v>215</v>
      </c>
      <c r="AN144" s="3">
        <v>30024</v>
      </c>
      <c r="AO144" t="s">
        <v>101</v>
      </c>
      <c r="AQ144" t="str">
        <f>"+16789332226"</f>
        <v>+16789332226</v>
      </c>
      <c r="AS144" t="s">
        <v>7317</v>
      </c>
      <c r="AT144" t="s">
        <v>107</v>
      </c>
      <c r="AU144" t="str">
        <f>"Mannam"</f>
        <v>Mannam</v>
      </c>
      <c r="AV144" t="str">
        <f>"Ravi"</f>
        <v>Ravi</v>
      </c>
      <c r="AW144" t="str">
        <f>""</f>
        <v/>
      </c>
      <c r="AX144" t="str">
        <f>"3651 Peachtree Parkway"</f>
        <v>3651 Peachtree Parkway</v>
      </c>
      <c r="AY144" t="str">
        <f>"Suite E-360"</f>
        <v>Suite E-360</v>
      </c>
      <c r="AZ144" t="str">
        <f>"Suwanee"</f>
        <v>Suwanee</v>
      </c>
      <c r="BA144" t="str">
        <f>"GA"</f>
        <v>GA</v>
      </c>
      <c r="BB144" s="3">
        <v>30024</v>
      </c>
      <c r="BC144" t="str">
        <f>"UNITED STATES OF AMERICA"</f>
        <v>UNITED STATES OF AMERICA</v>
      </c>
      <c r="BD144" t="str">
        <f>""</f>
        <v/>
      </c>
      <c r="BE144" t="str">
        <f>"+18775961761"</f>
        <v>+18775961761</v>
      </c>
      <c r="BF144" t="str">
        <f>""</f>
        <v/>
      </c>
      <c r="BG144" t="str">
        <f>"lawxpert@yahoo.com"</f>
        <v>lawxpert@yahoo.com</v>
      </c>
      <c r="BH144" t="str">
        <f>"Mannam &amp; Associates, LLC"</f>
        <v>Mannam &amp; Associates, LLC</v>
      </c>
      <c r="BI144" t="str">
        <f>"TN"</f>
        <v>TN</v>
      </c>
      <c r="BJ144" t="str">
        <f>"Supreme Court"</f>
        <v>Supreme Court</v>
      </c>
      <c r="BK144">
        <v>1</v>
      </c>
      <c r="BL144" t="s">
        <v>107</v>
      </c>
      <c r="BM144" t="str">
        <f>"Remote Work From Home for Wells Fargo"</f>
        <v>Remote Work From Home for Wells Fargo</v>
      </c>
      <c r="BN144" t="s">
        <v>9549</v>
      </c>
      <c r="BP144" t="s">
        <v>7024</v>
      </c>
      <c r="BQ144" t="s">
        <v>2570</v>
      </c>
      <c r="BR144" t="s">
        <v>280</v>
      </c>
      <c r="BS144" s="5">
        <v>6107</v>
      </c>
      <c r="BT144" s="2">
        <v>41.14</v>
      </c>
      <c r="BU144" s="2">
        <v>41.15</v>
      </c>
      <c r="BV144" t="s">
        <v>210</v>
      </c>
      <c r="BW144" s="2">
        <v>41.14</v>
      </c>
      <c r="BX144" t="s">
        <v>210</v>
      </c>
      <c r="BZ144" t="s">
        <v>167</v>
      </c>
      <c r="CA144" t="str">
        <f t="shared" si="9"/>
        <v>7/1/2020 - 6/30/2021</v>
      </c>
      <c r="CF144">
        <v>2</v>
      </c>
      <c r="CG144" t="s">
        <v>98</v>
      </c>
      <c r="CH144" t="s">
        <v>98</v>
      </c>
      <c r="CI144" t="s">
        <v>206</v>
      </c>
      <c r="CJ144" t="s">
        <v>98</v>
      </c>
      <c r="CK144" t="s">
        <v>12323</v>
      </c>
      <c r="CL144" t="s">
        <v>108</v>
      </c>
      <c r="CM144" t="s">
        <v>109</v>
      </c>
      <c r="CN144" t="str">
        <f>"Sanoussi"</f>
        <v>Sanoussi</v>
      </c>
      <c r="CO144" t="str">
        <f>"Sabirou"</f>
        <v>Sabirou</v>
      </c>
      <c r="CP144" t="str">
        <f>"T"</f>
        <v>T</v>
      </c>
      <c r="CQ144" t="str">
        <f>"Mannam &amp; Associates, LLC"</f>
        <v>Mannam &amp; Associates, LLC</v>
      </c>
      <c r="CR144" t="s">
        <v>3265</v>
      </c>
    </row>
    <row r="145" spans="1:96" x14ac:dyDescent="0.2">
      <c r="A145" t="s">
        <v>9568</v>
      </c>
      <c r="B145" t="s">
        <v>96</v>
      </c>
      <c r="C145" s="1">
        <v>44098</v>
      </c>
      <c r="D145" s="1">
        <v>44105</v>
      </c>
      <c r="F145" t="s">
        <v>97</v>
      </c>
      <c r="G145" t="str">
        <f>"IT Consultant (JAVA Developer)"</f>
        <v>IT Consultant (JAVA Developer)</v>
      </c>
      <c r="H145" t="s">
        <v>12169</v>
      </c>
      <c r="I145" t="s">
        <v>124</v>
      </c>
      <c r="J145" t="s">
        <v>98</v>
      </c>
      <c r="K145" s="1">
        <v>44098</v>
      </c>
      <c r="L145" s="1">
        <v>45192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t="s">
        <v>7314</v>
      </c>
      <c r="U145" t="str">
        <f>""</f>
        <v/>
      </c>
      <c r="V145" t="s">
        <v>7315</v>
      </c>
      <c r="W145" t="str">
        <f>"Suite 706"</f>
        <v>Suite 706</v>
      </c>
      <c r="X145" t="s">
        <v>3974</v>
      </c>
      <c r="Y145" t="s">
        <v>215</v>
      </c>
      <c r="Z145" s="3">
        <v>30024</v>
      </c>
      <c r="AA145" t="s">
        <v>101</v>
      </c>
      <c r="AC145" s="4" t="str">
        <f>"+16789332228"</f>
        <v>+16789332228</v>
      </c>
      <c r="AE145" t="str">
        <f>"541511"</f>
        <v>541511</v>
      </c>
      <c r="AF145" t="s">
        <v>7316</v>
      </c>
      <c r="AG145" t="s">
        <v>6027</v>
      </c>
      <c r="AI145" t="s">
        <v>508</v>
      </c>
      <c r="AJ145" t="s">
        <v>7315</v>
      </c>
      <c r="AK145" t="str">
        <f>"Suite 706"</f>
        <v>Suite 706</v>
      </c>
      <c r="AL145" t="s">
        <v>3974</v>
      </c>
      <c r="AM145" t="s">
        <v>215</v>
      </c>
      <c r="AN145" s="3">
        <v>30024</v>
      </c>
      <c r="AO145" t="s">
        <v>101</v>
      </c>
      <c r="AQ145" t="str">
        <f>"+16789332226"</f>
        <v>+16789332226</v>
      </c>
      <c r="AS145" t="s">
        <v>7317</v>
      </c>
      <c r="AT145" t="s">
        <v>107</v>
      </c>
      <c r="AU145" t="str">
        <f>"Mannam"</f>
        <v>Mannam</v>
      </c>
      <c r="AV145" t="str">
        <f>"Ravi"</f>
        <v>Ravi</v>
      </c>
      <c r="AW145" t="str">
        <f>""</f>
        <v/>
      </c>
      <c r="AX145" t="str">
        <f>"3651 Peachtree Parkway"</f>
        <v>3651 Peachtree Parkway</v>
      </c>
      <c r="AY145" t="str">
        <f>"Suite E-360"</f>
        <v>Suite E-360</v>
      </c>
      <c r="AZ145" t="str">
        <f>"Suwanee"</f>
        <v>Suwanee</v>
      </c>
      <c r="BA145" t="str">
        <f>"GA"</f>
        <v>GA</v>
      </c>
      <c r="BB145" s="3">
        <v>30024</v>
      </c>
      <c r="BC145" t="str">
        <f>"UNITED STATES OF AMERICA"</f>
        <v>UNITED STATES OF AMERICA</v>
      </c>
      <c r="BD145" t="str">
        <f>""</f>
        <v/>
      </c>
      <c r="BE145" t="str">
        <f>"+18775961761"</f>
        <v>+18775961761</v>
      </c>
      <c r="BF145" t="str">
        <f>""</f>
        <v/>
      </c>
      <c r="BG145" t="str">
        <f>"lawxpert@yahoo.com"</f>
        <v>lawxpert@yahoo.com</v>
      </c>
      <c r="BH145" t="str">
        <f>"Mannam &amp; Associates, LLC"</f>
        <v>Mannam &amp; Associates, LLC</v>
      </c>
      <c r="BI145" t="str">
        <f>"TN"</f>
        <v>TN</v>
      </c>
      <c r="BJ145" t="str">
        <f>"Supreme Court"</f>
        <v>Supreme Court</v>
      </c>
      <c r="BK145">
        <v>1</v>
      </c>
      <c r="BL145" t="s">
        <v>107</v>
      </c>
      <c r="BM145" t="str">
        <f>"Remote Work From Home for Silicon Valley Bank"</f>
        <v>Remote Work From Home for Silicon Valley Bank</v>
      </c>
      <c r="BN145" t="s">
        <v>9569</v>
      </c>
      <c r="BP145" t="s">
        <v>847</v>
      </c>
      <c r="BQ145" t="s">
        <v>214</v>
      </c>
      <c r="BR145" t="s">
        <v>215</v>
      </c>
      <c r="BS145" s="5">
        <v>30004</v>
      </c>
      <c r="BT145" s="2">
        <v>41.27</v>
      </c>
      <c r="BU145" s="2">
        <v>41.28</v>
      </c>
      <c r="BV145" t="s">
        <v>210</v>
      </c>
      <c r="BW145" s="2">
        <v>41.27</v>
      </c>
      <c r="BX145" t="s">
        <v>210</v>
      </c>
      <c r="BZ145" t="s">
        <v>167</v>
      </c>
      <c r="CA145" t="str">
        <f t="shared" si="9"/>
        <v>7/1/2020 - 6/30/2021</v>
      </c>
      <c r="CF145">
        <v>2</v>
      </c>
      <c r="CG145" t="s">
        <v>98</v>
      </c>
      <c r="CH145" t="s">
        <v>98</v>
      </c>
      <c r="CI145" t="s">
        <v>206</v>
      </c>
      <c r="CJ145" t="s">
        <v>98</v>
      </c>
      <c r="CK145" t="s">
        <v>12323</v>
      </c>
      <c r="CL145" t="s">
        <v>108</v>
      </c>
      <c r="CM145" t="s">
        <v>109</v>
      </c>
      <c r="CN145" t="str">
        <f>"Sanoussi"</f>
        <v>Sanoussi</v>
      </c>
      <c r="CO145" t="str">
        <f>"Sabirou"</f>
        <v>Sabirou</v>
      </c>
      <c r="CP145" t="str">
        <f>"T"</f>
        <v>T</v>
      </c>
      <c r="CQ145" t="str">
        <f>"Mannam &amp; Associates, LLC"</f>
        <v>Mannam &amp; Associates, LLC</v>
      </c>
      <c r="CR145" t="s">
        <v>3265</v>
      </c>
    </row>
    <row r="146" spans="1:96" x14ac:dyDescent="0.2">
      <c r="A146" t="s">
        <v>9572</v>
      </c>
      <c r="B146" t="s">
        <v>96</v>
      </c>
      <c r="C146" s="1">
        <v>44098</v>
      </c>
      <c r="D146" s="1">
        <v>44105</v>
      </c>
      <c r="F146" t="s">
        <v>97</v>
      </c>
      <c r="G146" t="str">
        <f>"Manager JC50"</f>
        <v>Manager JC50</v>
      </c>
      <c r="H146" t="s">
        <v>12181</v>
      </c>
      <c r="I146" t="s">
        <v>110</v>
      </c>
      <c r="J146" t="s">
        <v>98</v>
      </c>
      <c r="K146" s="1">
        <v>44227</v>
      </c>
      <c r="L146" s="1">
        <v>45321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 t="s">
        <v>111</v>
      </c>
      <c r="U146" t="str">
        <f>"CTSUS"</f>
        <v>CTSUS</v>
      </c>
      <c r="V146" t="s">
        <v>112</v>
      </c>
      <c r="W146" t="str">
        <f>""</f>
        <v/>
      </c>
      <c r="X146" t="s">
        <v>113</v>
      </c>
      <c r="Y146" t="s">
        <v>114</v>
      </c>
      <c r="Z146" s="3">
        <v>77845</v>
      </c>
      <c r="AA146" t="s">
        <v>101</v>
      </c>
      <c r="AB146" t="s">
        <v>114</v>
      </c>
      <c r="AC146" s="4" t="str">
        <f>"+19793296682"</f>
        <v>+19793296682</v>
      </c>
      <c r="AE146" t="str">
        <f>"541512"</f>
        <v>541512</v>
      </c>
      <c r="AF146" t="s">
        <v>115</v>
      </c>
      <c r="AG146" t="s">
        <v>116</v>
      </c>
      <c r="AH146" t="s">
        <v>108</v>
      </c>
      <c r="AI146" t="s">
        <v>117</v>
      </c>
      <c r="AJ146" t="s">
        <v>118</v>
      </c>
      <c r="AK146" t="str">
        <f>""</f>
        <v/>
      </c>
      <c r="AL146" t="s">
        <v>119</v>
      </c>
      <c r="AM146" t="s">
        <v>114</v>
      </c>
      <c r="AN146" s="3">
        <v>77845</v>
      </c>
      <c r="AO146" t="s">
        <v>101</v>
      </c>
      <c r="AQ146" t="str">
        <f>"+19793296682"</f>
        <v>+19793296682</v>
      </c>
      <c r="AS146" t="s">
        <v>120</v>
      </c>
      <c r="AT146" t="s">
        <v>102</v>
      </c>
      <c r="AU146" t="str">
        <f>""</f>
        <v/>
      </c>
      <c r="AV146" t="str">
        <f>""</f>
        <v/>
      </c>
      <c r="AW146" t="str">
        <f>""</f>
        <v/>
      </c>
      <c r="AX146" t="str">
        <f>""</f>
        <v/>
      </c>
      <c r="AY146" t="str">
        <f>""</f>
        <v/>
      </c>
      <c r="AZ146" t="str">
        <f>""</f>
        <v/>
      </c>
      <c r="BA146" t="str">
        <f>""</f>
        <v/>
      </c>
      <c r="BC146" t="str">
        <f>""</f>
        <v/>
      </c>
      <c r="BD146" t="str">
        <f>""</f>
        <v/>
      </c>
      <c r="BE146" t="str">
        <f>""</f>
        <v/>
      </c>
      <c r="BF146" t="str">
        <f>""</f>
        <v/>
      </c>
      <c r="BG146" t="str">
        <f>""</f>
        <v/>
      </c>
      <c r="BH146" t="str">
        <f>""</f>
        <v/>
      </c>
      <c r="BI146" t="str">
        <f>""</f>
        <v/>
      </c>
      <c r="BJ146" t="str">
        <f>""</f>
        <v/>
      </c>
      <c r="BK146">
        <v>1</v>
      </c>
      <c r="BL146" t="s">
        <v>102</v>
      </c>
      <c r="BM146" t="str">
        <f>""</f>
        <v/>
      </c>
      <c r="BN146" t="s">
        <v>9573</v>
      </c>
      <c r="BP146" t="s">
        <v>213</v>
      </c>
      <c r="BQ146" t="s">
        <v>214</v>
      </c>
      <c r="BR146" t="s">
        <v>215</v>
      </c>
      <c r="BS146" s="5">
        <v>30338</v>
      </c>
      <c r="BT146" s="2">
        <v>91686</v>
      </c>
      <c r="BV146" t="s">
        <v>105</v>
      </c>
      <c r="BW146" s="2">
        <v>91686</v>
      </c>
      <c r="BX146" t="s">
        <v>105</v>
      </c>
      <c r="BZ146" t="s">
        <v>123</v>
      </c>
      <c r="CA146" t="str">
        <f t="shared" si="9"/>
        <v>7/1/2020 - 6/30/2021</v>
      </c>
      <c r="CF146">
        <v>1</v>
      </c>
      <c r="CG146" t="s">
        <v>98</v>
      </c>
      <c r="CH146" t="s">
        <v>98</v>
      </c>
      <c r="CI146" t="s">
        <v>206</v>
      </c>
      <c r="CJ146" t="s">
        <v>98</v>
      </c>
      <c r="CK146" t="s">
        <v>12323</v>
      </c>
      <c r="CL146" t="s">
        <v>108</v>
      </c>
      <c r="CM146" t="s">
        <v>109</v>
      </c>
      <c r="CN146" t="str">
        <f>""</f>
        <v/>
      </c>
      <c r="CO146" t="str">
        <f>""</f>
        <v/>
      </c>
      <c r="CP146" t="str">
        <f>""</f>
        <v/>
      </c>
      <c r="CQ146" t="str">
        <f>""</f>
        <v/>
      </c>
    </row>
    <row r="147" spans="1:96" x14ac:dyDescent="0.2">
      <c r="A147" t="s">
        <v>9574</v>
      </c>
      <c r="B147" t="s">
        <v>96</v>
      </c>
      <c r="C147" s="1">
        <v>44098</v>
      </c>
      <c r="D147" s="1">
        <v>44105</v>
      </c>
      <c r="F147" t="s">
        <v>97</v>
      </c>
      <c r="G147" t="str">
        <f>"SOFTWARE ENGINEER"</f>
        <v>SOFTWARE ENGINEER</v>
      </c>
      <c r="H147" t="s">
        <v>12169</v>
      </c>
      <c r="I147" t="s">
        <v>124</v>
      </c>
      <c r="J147" t="s">
        <v>98</v>
      </c>
      <c r="K147" s="1">
        <v>44102</v>
      </c>
      <c r="L147" s="1">
        <v>45196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 t="s">
        <v>5113</v>
      </c>
      <c r="U147" t="str">
        <f>""</f>
        <v/>
      </c>
      <c r="V147" t="s">
        <v>5114</v>
      </c>
      <c r="W147" t="str">
        <f>"SUITE 505N"</f>
        <v>SUITE 505N</v>
      </c>
      <c r="X147" t="s">
        <v>2541</v>
      </c>
      <c r="Y147" t="s">
        <v>934</v>
      </c>
      <c r="Z147" s="3">
        <v>68102</v>
      </c>
      <c r="AA147" t="s">
        <v>101</v>
      </c>
      <c r="AC147" s="4" t="str">
        <f>"+14023445739"</f>
        <v>+14023445739</v>
      </c>
      <c r="AE147" t="str">
        <f>"541511"</f>
        <v>541511</v>
      </c>
      <c r="AF147" t="s">
        <v>2542</v>
      </c>
      <c r="AG147" t="s">
        <v>2543</v>
      </c>
      <c r="AH147" t="s">
        <v>901</v>
      </c>
      <c r="AI147" t="s">
        <v>2544</v>
      </c>
      <c r="AJ147" t="s">
        <v>2545</v>
      </c>
      <c r="AK147" t="str">
        <f>"SUITE 118"</f>
        <v>SUITE 118</v>
      </c>
      <c r="AL147" t="s">
        <v>1631</v>
      </c>
      <c r="AM147" t="s">
        <v>814</v>
      </c>
      <c r="AN147" s="3">
        <v>97008</v>
      </c>
      <c r="AO147" t="s">
        <v>101</v>
      </c>
      <c r="AQ147" t="str">
        <f>"+19713170718"</f>
        <v>+19713170718</v>
      </c>
      <c r="AS147" t="s">
        <v>5115</v>
      </c>
      <c r="AT147" t="s">
        <v>102</v>
      </c>
      <c r="AU147" t="str">
        <f>""</f>
        <v/>
      </c>
      <c r="AV147" t="str">
        <f>""</f>
        <v/>
      </c>
      <c r="AW147" t="str">
        <f>""</f>
        <v/>
      </c>
      <c r="AX147" t="str">
        <f>""</f>
        <v/>
      </c>
      <c r="AY147" t="str">
        <f>""</f>
        <v/>
      </c>
      <c r="AZ147" t="str">
        <f>""</f>
        <v/>
      </c>
      <c r="BA147" t="str">
        <f>""</f>
        <v/>
      </c>
      <c r="BC147" t="str">
        <f>""</f>
        <v/>
      </c>
      <c r="BD147" t="str">
        <f>""</f>
        <v/>
      </c>
      <c r="BE147" t="str">
        <f>""</f>
        <v/>
      </c>
      <c r="BF147" t="str">
        <f>""</f>
        <v/>
      </c>
      <c r="BG147" t="str">
        <f>""</f>
        <v/>
      </c>
      <c r="BH147" t="str">
        <f>""</f>
        <v/>
      </c>
      <c r="BI147" t="str">
        <f>""</f>
        <v/>
      </c>
      <c r="BJ147" t="str">
        <f>""</f>
        <v/>
      </c>
      <c r="BK147">
        <v>1</v>
      </c>
      <c r="BL147" t="s">
        <v>102</v>
      </c>
      <c r="BM147" t="str">
        <f>""</f>
        <v/>
      </c>
      <c r="BN147" t="s">
        <v>9575</v>
      </c>
      <c r="BO147" t="s">
        <v>9576</v>
      </c>
      <c r="BP147" t="s">
        <v>3690</v>
      </c>
      <c r="BQ147" t="s">
        <v>933</v>
      </c>
      <c r="BR147" t="s">
        <v>166</v>
      </c>
      <c r="BS147" s="5">
        <v>80124</v>
      </c>
      <c r="BT147" s="2">
        <v>110677</v>
      </c>
      <c r="BU147" s="2">
        <v>130000</v>
      </c>
      <c r="BV147" t="s">
        <v>105</v>
      </c>
      <c r="BW147" s="2">
        <v>110677</v>
      </c>
      <c r="BX147" t="s">
        <v>105</v>
      </c>
      <c r="BZ147" t="s">
        <v>123</v>
      </c>
      <c r="CA147" t="str">
        <f t="shared" si="9"/>
        <v>7/1/2020 - 6/30/2021</v>
      </c>
      <c r="CF147">
        <v>2</v>
      </c>
      <c r="CG147" t="s">
        <v>98</v>
      </c>
      <c r="CH147" t="s">
        <v>98</v>
      </c>
      <c r="CI147" t="s">
        <v>206</v>
      </c>
      <c r="CJ147" t="s">
        <v>98</v>
      </c>
      <c r="CK147" t="s">
        <v>12323</v>
      </c>
      <c r="CL147" t="s">
        <v>108</v>
      </c>
      <c r="CM147" t="s">
        <v>109</v>
      </c>
      <c r="CN147" t="str">
        <f>"PORTER"</f>
        <v>PORTER</v>
      </c>
      <c r="CO147" t="str">
        <f>"LUCHI"</f>
        <v>LUCHI</v>
      </c>
      <c r="CP147" t="str">
        <f>"S"</f>
        <v>S</v>
      </c>
      <c r="CQ147" t="str">
        <f>"PROKARMA, INC."</f>
        <v>PROKARMA, INC.</v>
      </c>
      <c r="CR147" t="s">
        <v>5117</v>
      </c>
    </row>
    <row r="148" spans="1:96" x14ac:dyDescent="0.2">
      <c r="A148" t="s">
        <v>9593</v>
      </c>
      <c r="B148" t="s">
        <v>96</v>
      </c>
      <c r="C148" s="1">
        <v>44098</v>
      </c>
      <c r="D148" s="1">
        <v>44105</v>
      </c>
      <c r="F148" t="s">
        <v>97</v>
      </c>
      <c r="G148" t="str">
        <f>"Software Developers, Systems Software"</f>
        <v>Software Developers, Systems Software</v>
      </c>
      <c r="H148" t="s">
        <v>12176</v>
      </c>
      <c r="I148" t="s">
        <v>246</v>
      </c>
      <c r="J148" t="s">
        <v>98</v>
      </c>
      <c r="K148" s="1">
        <v>44105</v>
      </c>
      <c r="L148" s="1">
        <v>45194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1649</v>
      </c>
      <c r="U148" t="str">
        <f>""</f>
        <v/>
      </c>
      <c r="V148" t="s">
        <v>3936</v>
      </c>
      <c r="W148" t="str">
        <f>"Suite 3000"</f>
        <v>Suite 3000</v>
      </c>
      <c r="X148" t="s">
        <v>561</v>
      </c>
      <c r="Y148" t="s">
        <v>100</v>
      </c>
      <c r="Z148" s="3">
        <v>8817</v>
      </c>
      <c r="AA148" t="s">
        <v>101</v>
      </c>
      <c r="AC148" s="4" t="str">
        <f>"+17322486189"</f>
        <v>+17322486189</v>
      </c>
      <c r="AE148" t="str">
        <f>"541511"</f>
        <v>541511</v>
      </c>
      <c r="AF148" t="s">
        <v>2271</v>
      </c>
      <c r="AG148" t="s">
        <v>663</v>
      </c>
      <c r="AI148" t="s">
        <v>3937</v>
      </c>
      <c r="AJ148" t="s">
        <v>3936</v>
      </c>
      <c r="AK148" t="str">
        <f>"Suite 3000"</f>
        <v>Suite 3000</v>
      </c>
      <c r="AL148" t="s">
        <v>561</v>
      </c>
      <c r="AM148" t="s">
        <v>100</v>
      </c>
      <c r="AN148" s="3">
        <v>8817</v>
      </c>
      <c r="AO148" t="s">
        <v>101</v>
      </c>
      <c r="AQ148" t="str">
        <f>"+17322486189"</f>
        <v>+17322486189</v>
      </c>
      <c r="AS148" t="s">
        <v>3938</v>
      </c>
      <c r="AT148" t="s">
        <v>102</v>
      </c>
      <c r="AU148" t="str">
        <f>""</f>
        <v/>
      </c>
      <c r="AV148" t="str">
        <f>""</f>
        <v/>
      </c>
      <c r="AW148" t="str">
        <f>""</f>
        <v/>
      </c>
      <c r="AX148" t="str">
        <f>""</f>
        <v/>
      </c>
      <c r="AY148" t="str">
        <f>""</f>
        <v/>
      </c>
      <c r="AZ148" t="str">
        <f>""</f>
        <v/>
      </c>
      <c r="BA148" t="str">
        <f>""</f>
        <v/>
      </c>
      <c r="BC148" t="str">
        <f>""</f>
        <v/>
      </c>
      <c r="BD148" t="str">
        <f>""</f>
        <v/>
      </c>
      <c r="BE148" t="str">
        <f>""</f>
        <v/>
      </c>
      <c r="BF148" t="str">
        <f>""</f>
        <v/>
      </c>
      <c r="BG148" t="str">
        <f>""</f>
        <v/>
      </c>
      <c r="BH148" t="str">
        <f>""</f>
        <v/>
      </c>
      <c r="BI148" t="str">
        <f>""</f>
        <v/>
      </c>
      <c r="BJ148" t="str">
        <f>""</f>
        <v/>
      </c>
      <c r="BK148">
        <v>1</v>
      </c>
      <c r="BL148" t="s">
        <v>107</v>
      </c>
      <c r="BM148" t="str">
        <f>"Carrier Corporation"</f>
        <v>Carrier Corporation</v>
      </c>
      <c r="BN148" t="s">
        <v>9594</v>
      </c>
      <c r="BP148" t="s">
        <v>4320</v>
      </c>
      <c r="BQ148" t="s">
        <v>1138</v>
      </c>
      <c r="BR148" t="s">
        <v>577</v>
      </c>
      <c r="BS148" s="5">
        <v>33418</v>
      </c>
      <c r="BT148" s="2">
        <v>80995</v>
      </c>
      <c r="BU148" s="2">
        <v>80996</v>
      </c>
      <c r="BV148" t="s">
        <v>105</v>
      </c>
      <c r="BW148" s="2">
        <v>80995</v>
      </c>
      <c r="BX148" t="s">
        <v>105</v>
      </c>
      <c r="BZ148" t="s">
        <v>167</v>
      </c>
      <c r="CA148" t="str">
        <f t="shared" si="9"/>
        <v>7/1/2020 - 6/30/2021</v>
      </c>
      <c r="CF148">
        <v>1</v>
      </c>
      <c r="CG148" t="s">
        <v>98</v>
      </c>
      <c r="CH148" t="s">
        <v>98</v>
      </c>
      <c r="CI148" t="s">
        <v>206</v>
      </c>
      <c r="CJ148" t="s">
        <v>98</v>
      </c>
      <c r="CK148" t="s">
        <v>12323</v>
      </c>
      <c r="CL148" t="s">
        <v>108</v>
      </c>
      <c r="CM148" t="s">
        <v>109</v>
      </c>
      <c r="CN148" t="str">
        <f>"Venugopalan"</f>
        <v>Venugopalan</v>
      </c>
      <c r="CO148" t="str">
        <f>"Raghuraman"</f>
        <v>Raghuraman</v>
      </c>
      <c r="CP148" t="str">
        <f>""</f>
        <v/>
      </c>
      <c r="CQ148" t="str">
        <f>"Larsen &amp; Toubro Infotech Limited"</f>
        <v>Larsen &amp; Toubro Infotech Limited</v>
      </c>
      <c r="CR148" t="s">
        <v>3939</v>
      </c>
    </row>
    <row r="149" spans="1:96" x14ac:dyDescent="0.2">
      <c r="A149" t="s">
        <v>9612</v>
      </c>
      <c r="B149" t="s">
        <v>96</v>
      </c>
      <c r="C149" s="1">
        <v>44098</v>
      </c>
      <c r="D149" s="1">
        <v>44105</v>
      </c>
      <c r="F149" t="s">
        <v>97</v>
      </c>
      <c r="G149" t="str">
        <f>"Senior Software Developer"</f>
        <v>Senior Software Developer</v>
      </c>
      <c r="H149" t="s">
        <v>12169</v>
      </c>
      <c r="I149" t="s">
        <v>124</v>
      </c>
      <c r="J149" t="s">
        <v>98</v>
      </c>
      <c r="K149" s="1">
        <v>44168</v>
      </c>
      <c r="L149" s="1">
        <v>45262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t="s">
        <v>7606</v>
      </c>
      <c r="U149" t="str">
        <f>""</f>
        <v/>
      </c>
      <c r="V149" t="s">
        <v>7607</v>
      </c>
      <c r="W149" t="str">
        <f>"Suite N"</f>
        <v>Suite N</v>
      </c>
      <c r="X149" t="s">
        <v>2187</v>
      </c>
      <c r="Y149" t="s">
        <v>135</v>
      </c>
      <c r="Z149" s="3">
        <v>20151</v>
      </c>
      <c r="AA149" t="s">
        <v>101</v>
      </c>
      <c r="AC149" s="4" t="str">
        <f>"+17036214826"</f>
        <v>+17036214826</v>
      </c>
      <c r="AE149" t="str">
        <f>"541511"</f>
        <v>541511</v>
      </c>
      <c r="AF149" t="s">
        <v>7608</v>
      </c>
      <c r="AG149" t="s">
        <v>3906</v>
      </c>
      <c r="AI149" t="s">
        <v>3351</v>
      </c>
      <c r="AJ149" t="s">
        <v>7607</v>
      </c>
      <c r="AK149" t="str">
        <f>"Suite N"</f>
        <v>Suite N</v>
      </c>
      <c r="AL149" t="s">
        <v>2187</v>
      </c>
      <c r="AM149" t="s">
        <v>135</v>
      </c>
      <c r="AN149" s="3">
        <v>20151</v>
      </c>
      <c r="AO149" t="s">
        <v>101</v>
      </c>
      <c r="AQ149" t="str">
        <f>"+17036214826"</f>
        <v>+17036214826</v>
      </c>
      <c r="AS149" t="s">
        <v>7609</v>
      </c>
      <c r="AT149" t="s">
        <v>107</v>
      </c>
      <c r="AU149" t="str">
        <f>"Luciano"</f>
        <v>Luciano</v>
      </c>
      <c r="AV149" t="str">
        <f>"Christine"</f>
        <v>Christine</v>
      </c>
      <c r="AW149" t="str">
        <f>""</f>
        <v/>
      </c>
      <c r="AX149" t="str">
        <f>"800 W. Cummings Park"</f>
        <v>800 W. Cummings Park</v>
      </c>
      <c r="AY149" t="str">
        <f>"Suite 2750"</f>
        <v>Suite 2750</v>
      </c>
      <c r="AZ149" t="str">
        <f>"Woburn"</f>
        <v>Woburn</v>
      </c>
      <c r="BA149" t="str">
        <f>"MA"</f>
        <v>MA</v>
      </c>
      <c r="BB149" s="3">
        <v>1801</v>
      </c>
      <c r="BC149" t="str">
        <f>"UNITED STATES OF AMERICA"</f>
        <v>UNITED STATES OF AMERICA</v>
      </c>
      <c r="BD149" t="str">
        <f>""</f>
        <v/>
      </c>
      <c r="BE149" t="str">
        <f>"+16175009978"</f>
        <v>+16175009978</v>
      </c>
      <c r="BF149" t="str">
        <f>""</f>
        <v/>
      </c>
      <c r="BG149" t="str">
        <f>"christinel@raminenilaw.com"</f>
        <v>christinel@raminenilaw.com</v>
      </c>
      <c r="BH149" t="str">
        <f>"Ramineni &amp; Shepard, LLC"</f>
        <v>Ramineni &amp; Shepard, LLC</v>
      </c>
      <c r="BI149" t="str">
        <f>"MA"</f>
        <v>MA</v>
      </c>
      <c r="BJ149" t="str">
        <f>"MA Judicial Supreme Court"</f>
        <v>MA Judicial Supreme Court</v>
      </c>
      <c r="BK149">
        <v>1</v>
      </c>
      <c r="BL149" t="s">
        <v>107</v>
      </c>
      <c r="BM149" t="str">
        <f>"Automated Financial Systems, Inc."</f>
        <v>Automated Financial Systems, Inc.</v>
      </c>
      <c r="BN149" t="s">
        <v>7610</v>
      </c>
      <c r="BP149" t="s">
        <v>3310</v>
      </c>
      <c r="BQ149" t="s">
        <v>1238</v>
      </c>
      <c r="BR149" t="s">
        <v>127</v>
      </c>
      <c r="BS149" s="5">
        <v>19341</v>
      </c>
      <c r="BT149" s="2">
        <v>120000</v>
      </c>
      <c r="BV149" t="s">
        <v>105</v>
      </c>
      <c r="BW149" s="2">
        <v>89773</v>
      </c>
      <c r="BX149" t="s">
        <v>105</v>
      </c>
      <c r="BZ149" t="s">
        <v>167</v>
      </c>
      <c r="CA149" t="str">
        <f t="shared" si="9"/>
        <v>7/1/2020 - 6/30/2021</v>
      </c>
      <c r="CF149">
        <v>1</v>
      </c>
      <c r="CG149" t="s">
        <v>98</v>
      </c>
      <c r="CH149" t="s">
        <v>98</v>
      </c>
      <c r="CI149" t="s">
        <v>206</v>
      </c>
      <c r="CJ149" t="s">
        <v>98</v>
      </c>
      <c r="CK149" t="s">
        <v>12323</v>
      </c>
      <c r="CL149" t="s">
        <v>108</v>
      </c>
      <c r="CM149" t="s">
        <v>353</v>
      </c>
      <c r="CN149" t="str">
        <f>""</f>
        <v/>
      </c>
      <c r="CO149" t="str">
        <f>""</f>
        <v/>
      </c>
      <c r="CP149" t="str">
        <f>""</f>
        <v/>
      </c>
      <c r="CQ149" t="str">
        <f>""</f>
        <v/>
      </c>
    </row>
    <row r="150" spans="1:96" x14ac:dyDescent="0.2">
      <c r="A150" t="s">
        <v>9613</v>
      </c>
      <c r="B150" t="s">
        <v>96</v>
      </c>
      <c r="C150" s="1">
        <v>44098</v>
      </c>
      <c r="D150" s="1">
        <v>44105</v>
      </c>
      <c r="F150" t="s">
        <v>97</v>
      </c>
      <c r="G150" t="str">
        <f>"Senior Technology Architect - US "</f>
        <v xml:space="preserve">Senior Technology Architect - US </v>
      </c>
      <c r="H150" t="s">
        <v>12168</v>
      </c>
      <c r="I150" t="s">
        <v>160</v>
      </c>
      <c r="J150" t="s">
        <v>98</v>
      </c>
      <c r="K150" s="1">
        <v>44109</v>
      </c>
      <c r="L150" s="1">
        <v>45202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 t="s">
        <v>723</v>
      </c>
      <c r="U150" t="str">
        <f>""</f>
        <v/>
      </c>
      <c r="V150" t="s">
        <v>724</v>
      </c>
      <c r="W150" t="str">
        <f>"STE C150"</f>
        <v>STE C150</v>
      </c>
      <c r="X150" t="s">
        <v>725</v>
      </c>
      <c r="Y150" t="s">
        <v>114</v>
      </c>
      <c r="Z150" s="3">
        <v>75082</v>
      </c>
      <c r="AA150" t="s">
        <v>101</v>
      </c>
      <c r="AC150" s="4" t="str">
        <f>"+12143062100"</f>
        <v>+12143062100</v>
      </c>
      <c r="AE150" t="str">
        <f>"541511"</f>
        <v>541511</v>
      </c>
      <c r="AF150" t="s">
        <v>726</v>
      </c>
      <c r="AG150" t="s">
        <v>727</v>
      </c>
      <c r="AI150" t="s">
        <v>728</v>
      </c>
      <c r="AJ150" t="s">
        <v>724</v>
      </c>
      <c r="AK150" t="str">
        <f>"STE C150"</f>
        <v>STE C150</v>
      </c>
      <c r="AL150" t="s">
        <v>725</v>
      </c>
      <c r="AM150" t="s">
        <v>114</v>
      </c>
      <c r="AN150" s="3">
        <v>75082</v>
      </c>
      <c r="AO150" t="s">
        <v>101</v>
      </c>
      <c r="AQ150" t="str">
        <f>"+12143062100"</f>
        <v>+12143062100</v>
      </c>
      <c r="AS150" t="s">
        <v>729</v>
      </c>
      <c r="AT150" t="s">
        <v>102</v>
      </c>
      <c r="AU150" t="str">
        <f>""</f>
        <v/>
      </c>
      <c r="AV150" t="str">
        <f>""</f>
        <v/>
      </c>
      <c r="AW150" t="str">
        <f>""</f>
        <v/>
      </c>
      <c r="AX150" t="str">
        <f>""</f>
        <v/>
      </c>
      <c r="AY150" t="str">
        <f>""</f>
        <v/>
      </c>
      <c r="AZ150" t="str">
        <f>""</f>
        <v/>
      </c>
      <c r="BA150" t="str">
        <f>""</f>
        <v/>
      </c>
      <c r="BC150" t="str">
        <f>""</f>
        <v/>
      </c>
      <c r="BD150" t="str">
        <f>""</f>
        <v/>
      </c>
      <c r="BE150" t="str">
        <f>""</f>
        <v/>
      </c>
      <c r="BF150" t="str">
        <f>""</f>
        <v/>
      </c>
      <c r="BG150" t="str">
        <f>""</f>
        <v/>
      </c>
      <c r="BH150" t="str">
        <f>""</f>
        <v/>
      </c>
      <c r="BI150" t="str">
        <f>""</f>
        <v/>
      </c>
      <c r="BJ150" t="str">
        <f>""</f>
        <v/>
      </c>
      <c r="BK150">
        <v>1</v>
      </c>
      <c r="BL150" t="s">
        <v>107</v>
      </c>
      <c r="BM150" t="str">
        <f>"Bank of America, N.A."</f>
        <v>Bank of America, N.A.</v>
      </c>
      <c r="BN150" t="s">
        <v>9614</v>
      </c>
      <c r="BP150" t="s">
        <v>604</v>
      </c>
      <c r="BQ150" t="s">
        <v>121</v>
      </c>
      <c r="BR150" t="s">
        <v>122</v>
      </c>
      <c r="BS150" s="5">
        <v>28255</v>
      </c>
      <c r="BT150" s="2">
        <v>100762</v>
      </c>
      <c r="BV150" t="s">
        <v>105</v>
      </c>
      <c r="BW150" s="2">
        <v>93413</v>
      </c>
      <c r="BX150" t="s">
        <v>105</v>
      </c>
      <c r="BZ150" t="s">
        <v>123</v>
      </c>
      <c r="CA150" t="str">
        <f t="shared" si="9"/>
        <v>7/1/2020 - 6/30/2021</v>
      </c>
      <c r="CF150">
        <v>1</v>
      </c>
      <c r="CG150" t="s">
        <v>98</v>
      </c>
      <c r="CH150" t="s">
        <v>98</v>
      </c>
      <c r="CI150" t="s">
        <v>206</v>
      </c>
      <c r="CJ150" t="s">
        <v>98</v>
      </c>
      <c r="CK150" t="s">
        <v>12323</v>
      </c>
      <c r="CL150" t="s">
        <v>108</v>
      </c>
      <c r="CM150" t="s">
        <v>109</v>
      </c>
      <c r="CN150" t="str">
        <f>"JAYARAM"</f>
        <v>JAYARAM</v>
      </c>
      <c r="CO150" t="str">
        <f>"SUSHMA"</f>
        <v>SUSHMA</v>
      </c>
      <c r="CP150" t="str">
        <f>""</f>
        <v/>
      </c>
      <c r="CQ150" t="str">
        <f>"INFOSYS LIMITED"</f>
        <v>INFOSYS LIMITED</v>
      </c>
      <c r="CR150" t="s">
        <v>3699</v>
      </c>
    </row>
    <row r="151" spans="1:96" x14ac:dyDescent="0.2">
      <c r="A151" t="s">
        <v>9666</v>
      </c>
      <c r="B151" t="s">
        <v>96</v>
      </c>
      <c r="C151" s="1">
        <v>44098</v>
      </c>
      <c r="D151" s="1">
        <v>44105</v>
      </c>
      <c r="F151" t="s">
        <v>97</v>
      </c>
      <c r="G151" t="str">
        <f>"Business Analyst"</f>
        <v>Business Analyst</v>
      </c>
      <c r="H151" t="s">
        <v>12168</v>
      </c>
      <c r="I151" t="s">
        <v>722</v>
      </c>
      <c r="J151" t="s">
        <v>98</v>
      </c>
      <c r="K151" s="1">
        <v>44196</v>
      </c>
      <c r="L151" s="1">
        <v>45290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 t="s">
        <v>4394</v>
      </c>
      <c r="U151" t="str">
        <f>""</f>
        <v/>
      </c>
      <c r="V151" t="s">
        <v>4395</v>
      </c>
      <c r="W151" t="str">
        <f>"SUITE # 1"</f>
        <v>SUITE # 1</v>
      </c>
      <c r="X151" t="s">
        <v>211</v>
      </c>
      <c r="Y151" t="s">
        <v>100</v>
      </c>
      <c r="Z151" s="3">
        <v>8817</v>
      </c>
      <c r="AA151" t="s">
        <v>101</v>
      </c>
      <c r="AC151" s="4" t="str">
        <f>"+17325721800"</f>
        <v>+17325721800</v>
      </c>
      <c r="AE151" t="str">
        <f>"541519"</f>
        <v>541519</v>
      </c>
      <c r="AF151" t="s">
        <v>4396</v>
      </c>
      <c r="AG151" t="s">
        <v>4397</v>
      </c>
      <c r="AI151" t="s">
        <v>425</v>
      </c>
      <c r="AJ151" t="s">
        <v>4395</v>
      </c>
      <c r="AK151" t="str">
        <f>"SUITE # 1"</f>
        <v>SUITE # 1</v>
      </c>
      <c r="AL151" t="s">
        <v>211</v>
      </c>
      <c r="AM151" t="s">
        <v>100</v>
      </c>
      <c r="AN151" s="3">
        <v>8817</v>
      </c>
      <c r="AO151" t="s">
        <v>101</v>
      </c>
      <c r="AQ151" t="str">
        <f>"+17325721800"</f>
        <v>+17325721800</v>
      </c>
      <c r="AS151" t="s">
        <v>4398</v>
      </c>
      <c r="AT151" t="s">
        <v>102</v>
      </c>
      <c r="AU151" t="str">
        <f>""</f>
        <v/>
      </c>
      <c r="AV151" t="str">
        <f>""</f>
        <v/>
      </c>
      <c r="AW151" t="str">
        <f>""</f>
        <v/>
      </c>
      <c r="AX151" t="str">
        <f>""</f>
        <v/>
      </c>
      <c r="AY151" t="str">
        <f>""</f>
        <v/>
      </c>
      <c r="AZ151" t="str">
        <f>""</f>
        <v/>
      </c>
      <c r="BA151" t="str">
        <f>""</f>
        <v/>
      </c>
      <c r="BC151" t="str">
        <f>""</f>
        <v/>
      </c>
      <c r="BD151" t="str">
        <f>""</f>
        <v/>
      </c>
      <c r="BE151" t="str">
        <f>""</f>
        <v/>
      </c>
      <c r="BF151" t="str">
        <f>""</f>
        <v/>
      </c>
      <c r="BG151" t="str">
        <f>""</f>
        <v/>
      </c>
      <c r="BH151" t="str">
        <f>""</f>
        <v/>
      </c>
      <c r="BI151" t="str">
        <f>""</f>
        <v/>
      </c>
      <c r="BJ151" t="str">
        <f>""</f>
        <v/>
      </c>
      <c r="BK151">
        <v>1</v>
      </c>
      <c r="BL151" t="s">
        <v>107</v>
      </c>
      <c r="BM151" t="str">
        <f>"UNITED PARCEL SERVICE (UPS)"</f>
        <v>UNITED PARCEL SERVICE (UPS)</v>
      </c>
      <c r="BN151" t="s">
        <v>9667</v>
      </c>
      <c r="BP151" t="s">
        <v>2108</v>
      </c>
      <c r="BQ151" t="s">
        <v>1029</v>
      </c>
      <c r="BR151" t="s">
        <v>100</v>
      </c>
      <c r="BS151" s="5">
        <v>7054</v>
      </c>
      <c r="BT151" s="2">
        <v>67766</v>
      </c>
      <c r="BV151" t="s">
        <v>105</v>
      </c>
      <c r="BW151" s="2">
        <v>67766</v>
      </c>
      <c r="BX151" t="s">
        <v>105</v>
      </c>
      <c r="BZ151" t="s">
        <v>167</v>
      </c>
      <c r="CA151" t="str">
        <f t="shared" si="9"/>
        <v>7/1/2020 - 6/30/2021</v>
      </c>
      <c r="CF151">
        <v>1</v>
      </c>
      <c r="CG151" t="s">
        <v>98</v>
      </c>
      <c r="CH151" t="s">
        <v>98</v>
      </c>
      <c r="CI151" t="s">
        <v>206</v>
      </c>
      <c r="CJ151" t="s">
        <v>98</v>
      </c>
      <c r="CK151" t="s">
        <v>12323</v>
      </c>
      <c r="CL151" t="s">
        <v>108</v>
      </c>
      <c r="CM151" t="s">
        <v>109</v>
      </c>
      <c r="CN151" t="str">
        <f>""</f>
        <v/>
      </c>
      <c r="CO151" t="str">
        <f>""</f>
        <v/>
      </c>
      <c r="CP151" t="str">
        <f>""</f>
        <v/>
      </c>
      <c r="CQ151" t="str">
        <f>""</f>
        <v/>
      </c>
    </row>
    <row r="152" spans="1:96" x14ac:dyDescent="0.2">
      <c r="A152" t="s">
        <v>9668</v>
      </c>
      <c r="B152" t="s">
        <v>96</v>
      </c>
      <c r="C152" s="1">
        <v>44098</v>
      </c>
      <c r="D152" s="1">
        <v>44105</v>
      </c>
      <c r="F152" t="s">
        <v>97</v>
      </c>
      <c r="G152" t="str">
        <f>"Systems Administrator"</f>
        <v>Systems Administrator</v>
      </c>
      <c r="H152" t="s">
        <v>12187</v>
      </c>
      <c r="I152" t="s">
        <v>331</v>
      </c>
      <c r="J152" t="s">
        <v>98</v>
      </c>
      <c r="K152" s="1">
        <v>44105</v>
      </c>
      <c r="L152" s="1">
        <v>45199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973</v>
      </c>
      <c r="U152" t="str">
        <f>""</f>
        <v/>
      </c>
      <c r="V152" t="s">
        <v>974</v>
      </c>
      <c r="W152" t="str">
        <f>"SUITE 200A"</f>
        <v>SUITE 200A</v>
      </c>
      <c r="X152" t="s">
        <v>975</v>
      </c>
      <c r="Y152" t="s">
        <v>100</v>
      </c>
      <c r="Z152" s="3">
        <v>7921</v>
      </c>
      <c r="AA152" t="s">
        <v>101</v>
      </c>
      <c r="AC152" s="4" t="str">
        <f>"+19732169008"</f>
        <v>+19732169008</v>
      </c>
      <c r="AE152" t="str">
        <f>"541511"</f>
        <v>541511</v>
      </c>
      <c r="AF152" t="s">
        <v>976</v>
      </c>
      <c r="AG152" t="s">
        <v>977</v>
      </c>
      <c r="AH152" t="s">
        <v>108</v>
      </c>
      <c r="AI152" t="s">
        <v>978</v>
      </c>
      <c r="AJ152" t="s">
        <v>974</v>
      </c>
      <c r="AK152" t="str">
        <f>"SUITE 200A"</f>
        <v>SUITE 200A</v>
      </c>
      <c r="AL152" t="s">
        <v>975</v>
      </c>
      <c r="AM152" t="s">
        <v>100</v>
      </c>
      <c r="AN152" s="3">
        <v>7921</v>
      </c>
      <c r="AO152" t="s">
        <v>101</v>
      </c>
      <c r="AQ152" t="str">
        <f>"+19732169008"</f>
        <v>+19732169008</v>
      </c>
      <c r="AS152" t="s">
        <v>979</v>
      </c>
      <c r="AT152" t="s">
        <v>102</v>
      </c>
      <c r="AU152" t="str">
        <f>""</f>
        <v/>
      </c>
      <c r="AV152" t="str">
        <f>""</f>
        <v/>
      </c>
      <c r="AW152" t="str">
        <f>""</f>
        <v/>
      </c>
      <c r="AX152" t="str">
        <f>""</f>
        <v/>
      </c>
      <c r="AY152" t="str">
        <f>""</f>
        <v/>
      </c>
      <c r="AZ152" t="str">
        <f>""</f>
        <v/>
      </c>
      <c r="BA152" t="str">
        <f>""</f>
        <v/>
      </c>
      <c r="BC152" t="str">
        <f>""</f>
        <v/>
      </c>
      <c r="BD152" t="str">
        <f>""</f>
        <v/>
      </c>
      <c r="BE152" t="str">
        <f>""</f>
        <v/>
      </c>
      <c r="BF152" t="str">
        <f>""</f>
        <v/>
      </c>
      <c r="BG152" t="str">
        <f>""</f>
        <v/>
      </c>
      <c r="BH152" t="str">
        <f>""</f>
        <v/>
      </c>
      <c r="BI152" t="str">
        <f>""</f>
        <v/>
      </c>
      <c r="BJ152" t="str">
        <f>""</f>
        <v/>
      </c>
      <c r="BK152">
        <v>1</v>
      </c>
      <c r="BL152" t="s">
        <v>107</v>
      </c>
      <c r="BM152" t="str">
        <f>"GE Digital"</f>
        <v>GE Digital</v>
      </c>
      <c r="BN152" t="s">
        <v>9418</v>
      </c>
      <c r="BP152" t="s">
        <v>1766</v>
      </c>
      <c r="BQ152" t="s">
        <v>214</v>
      </c>
      <c r="BR152" t="s">
        <v>215</v>
      </c>
      <c r="BS152" s="5">
        <v>30005</v>
      </c>
      <c r="BT152" s="2">
        <v>74568</v>
      </c>
      <c r="BV152" t="s">
        <v>105</v>
      </c>
      <c r="BW152" s="2">
        <v>74568</v>
      </c>
      <c r="BX152" t="s">
        <v>105</v>
      </c>
      <c r="BZ152" t="s">
        <v>167</v>
      </c>
      <c r="CA152" t="str">
        <f t="shared" si="9"/>
        <v>7/1/2020 - 6/30/2021</v>
      </c>
      <c r="CF152">
        <v>1</v>
      </c>
      <c r="CG152" t="s">
        <v>98</v>
      </c>
      <c r="CH152" t="s">
        <v>98</v>
      </c>
      <c r="CI152" t="s">
        <v>206</v>
      </c>
      <c r="CJ152" t="s">
        <v>98</v>
      </c>
      <c r="CK152" t="s">
        <v>12323</v>
      </c>
      <c r="CL152" t="s">
        <v>108</v>
      </c>
      <c r="CM152" t="s">
        <v>109</v>
      </c>
      <c r="CN152" t="str">
        <f>"MEKALA"</f>
        <v>MEKALA</v>
      </c>
      <c r="CO152" t="str">
        <f>"HEMANTH SAI VENKATA MANIKANTA"</f>
        <v>HEMANTH SAI VENKATA MANIKANTA</v>
      </c>
      <c r="CP152" t="str">
        <f>"N/A"</f>
        <v>N/A</v>
      </c>
      <c r="CQ152" t="str">
        <f>"TECH MAHINDRA (AMERICAS), INC"</f>
        <v>TECH MAHINDRA (AMERICAS), INC</v>
      </c>
      <c r="CR152" t="s">
        <v>981</v>
      </c>
    </row>
    <row r="153" spans="1:96" x14ac:dyDescent="0.2">
      <c r="A153" t="s">
        <v>9677</v>
      </c>
      <c r="B153" t="s">
        <v>96</v>
      </c>
      <c r="C153" s="1">
        <v>44098</v>
      </c>
      <c r="D153" s="1">
        <v>44105</v>
      </c>
      <c r="F153" t="s">
        <v>97</v>
      </c>
      <c r="G153" t="str">
        <f>"System Analyst JC65"</f>
        <v>System Analyst JC65</v>
      </c>
      <c r="H153" t="s">
        <v>12181</v>
      </c>
      <c r="I153" t="s">
        <v>110</v>
      </c>
      <c r="J153" t="s">
        <v>98</v>
      </c>
      <c r="K153" s="1">
        <v>44237</v>
      </c>
      <c r="L153" s="1">
        <v>45331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 t="s">
        <v>111</v>
      </c>
      <c r="U153" t="str">
        <f>"CTSUS"</f>
        <v>CTSUS</v>
      </c>
      <c r="V153" t="s">
        <v>112</v>
      </c>
      <c r="W153" t="str">
        <f>""</f>
        <v/>
      </c>
      <c r="X153" t="s">
        <v>113</v>
      </c>
      <c r="Y153" t="s">
        <v>114</v>
      </c>
      <c r="Z153" s="3">
        <v>77845</v>
      </c>
      <c r="AA153" t="s">
        <v>101</v>
      </c>
      <c r="AB153" t="s">
        <v>114</v>
      </c>
      <c r="AC153" s="4" t="str">
        <f>"+19793296682"</f>
        <v>+19793296682</v>
      </c>
      <c r="AE153" t="str">
        <f>"541512"</f>
        <v>541512</v>
      </c>
      <c r="AF153" t="s">
        <v>115</v>
      </c>
      <c r="AG153" t="s">
        <v>116</v>
      </c>
      <c r="AH153" t="s">
        <v>108</v>
      </c>
      <c r="AI153" t="s">
        <v>117</v>
      </c>
      <c r="AJ153" t="s">
        <v>118</v>
      </c>
      <c r="AK153" t="str">
        <f>""</f>
        <v/>
      </c>
      <c r="AL153" t="s">
        <v>119</v>
      </c>
      <c r="AM153" t="s">
        <v>114</v>
      </c>
      <c r="AN153" s="3">
        <v>77845</v>
      </c>
      <c r="AO153" t="s">
        <v>101</v>
      </c>
      <c r="AQ153" t="str">
        <f>"+19793296682"</f>
        <v>+19793296682</v>
      </c>
      <c r="AS153" t="s">
        <v>120</v>
      </c>
      <c r="AT153" t="s">
        <v>102</v>
      </c>
      <c r="AU153" t="str">
        <f>""</f>
        <v/>
      </c>
      <c r="AV153" t="str">
        <f>""</f>
        <v/>
      </c>
      <c r="AW153" t="str">
        <f>""</f>
        <v/>
      </c>
      <c r="AX153" t="str">
        <f>""</f>
        <v/>
      </c>
      <c r="AY153" t="str">
        <f>""</f>
        <v/>
      </c>
      <c r="AZ153" t="str">
        <f>""</f>
        <v/>
      </c>
      <c r="BA153" t="str">
        <f>""</f>
        <v/>
      </c>
      <c r="BC153" t="str">
        <f>""</f>
        <v/>
      </c>
      <c r="BD153" t="str">
        <f>""</f>
        <v/>
      </c>
      <c r="BE153" t="str">
        <f>""</f>
        <v/>
      </c>
      <c r="BF153" t="str">
        <f>""</f>
        <v/>
      </c>
      <c r="BG153" t="str">
        <f>""</f>
        <v/>
      </c>
      <c r="BH153" t="str">
        <f>""</f>
        <v/>
      </c>
      <c r="BI153" t="str">
        <f>""</f>
        <v/>
      </c>
      <c r="BJ153" t="str">
        <f>""</f>
        <v/>
      </c>
      <c r="BK153">
        <v>1</v>
      </c>
      <c r="BL153" t="s">
        <v>102</v>
      </c>
      <c r="BM153" t="str">
        <f>""</f>
        <v/>
      </c>
      <c r="BN153" t="s">
        <v>9678</v>
      </c>
      <c r="BP153" t="s">
        <v>9289</v>
      </c>
      <c r="BQ153" t="s">
        <v>1832</v>
      </c>
      <c r="BR153" t="s">
        <v>100</v>
      </c>
      <c r="BS153" s="5">
        <v>8109</v>
      </c>
      <c r="BT153" s="2">
        <v>88421</v>
      </c>
      <c r="BV153" t="s">
        <v>105</v>
      </c>
      <c r="BW153" s="2">
        <v>88421</v>
      </c>
      <c r="BX153" t="s">
        <v>105</v>
      </c>
      <c r="BZ153" t="s">
        <v>167</v>
      </c>
      <c r="CA153" t="str">
        <f t="shared" si="9"/>
        <v>7/1/2020 - 6/30/2021</v>
      </c>
      <c r="CF153">
        <v>1</v>
      </c>
      <c r="CG153" t="s">
        <v>98</v>
      </c>
      <c r="CH153" t="s">
        <v>98</v>
      </c>
      <c r="CI153" t="s">
        <v>206</v>
      </c>
      <c r="CJ153" t="s">
        <v>98</v>
      </c>
      <c r="CK153" t="s">
        <v>12323</v>
      </c>
      <c r="CL153" t="s">
        <v>108</v>
      </c>
      <c r="CM153" t="s">
        <v>109</v>
      </c>
      <c r="CN153" t="str">
        <f>""</f>
        <v/>
      </c>
      <c r="CO153" t="str">
        <f>""</f>
        <v/>
      </c>
      <c r="CP153" t="str">
        <f>""</f>
        <v/>
      </c>
      <c r="CQ153" t="str">
        <f>""</f>
        <v/>
      </c>
    </row>
    <row r="154" spans="1:96" x14ac:dyDescent="0.2">
      <c r="A154" t="s">
        <v>9679</v>
      </c>
      <c r="B154" t="s">
        <v>96</v>
      </c>
      <c r="C154" s="1">
        <v>44098</v>
      </c>
      <c r="D154" s="1">
        <v>44105</v>
      </c>
      <c r="F154" t="s">
        <v>97</v>
      </c>
      <c r="G154" t="str">
        <f>"PROJECT MANAGER"</f>
        <v>PROJECT MANAGER</v>
      </c>
      <c r="H154" t="s">
        <v>12168</v>
      </c>
      <c r="I154" t="s">
        <v>722</v>
      </c>
      <c r="J154" t="s">
        <v>98</v>
      </c>
      <c r="K154" s="1">
        <v>44105</v>
      </c>
      <c r="L154" s="1">
        <v>45199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1172</v>
      </c>
      <c r="U154" t="str">
        <f>"Sciata"</f>
        <v>Sciata</v>
      </c>
      <c r="V154" t="s">
        <v>1173</v>
      </c>
      <c r="W154" t="str">
        <f>""</f>
        <v/>
      </c>
      <c r="X154" t="s">
        <v>1174</v>
      </c>
      <c r="Y154" t="s">
        <v>258</v>
      </c>
      <c r="Z154" s="3">
        <v>85251</v>
      </c>
      <c r="AA154" t="s">
        <v>101</v>
      </c>
      <c r="AC154" s="4" t="str">
        <f>"+14803781995"</f>
        <v>+14803781995</v>
      </c>
      <c r="AE154" t="str">
        <f>"541511"</f>
        <v>541511</v>
      </c>
      <c r="AF154" t="s">
        <v>1175</v>
      </c>
      <c r="AG154" t="s">
        <v>1176</v>
      </c>
      <c r="AI154" t="s">
        <v>425</v>
      </c>
      <c r="AJ154" t="s">
        <v>1173</v>
      </c>
      <c r="AK154" t="str">
        <f>""</f>
        <v/>
      </c>
      <c r="AL154" t="s">
        <v>1174</v>
      </c>
      <c r="AM154" t="s">
        <v>258</v>
      </c>
      <c r="AN154" s="3">
        <v>85251</v>
      </c>
      <c r="AO154" t="s">
        <v>101</v>
      </c>
      <c r="AQ154" t="str">
        <f>"+14803781995"</f>
        <v>+14803781995</v>
      </c>
      <c r="AS154" t="s">
        <v>1177</v>
      </c>
      <c r="AT154" t="s">
        <v>107</v>
      </c>
      <c r="AU154" t="str">
        <f>"WALKER"</f>
        <v>WALKER</v>
      </c>
      <c r="AV154" t="str">
        <f>"JIHAN"</f>
        <v>JIHAN</v>
      </c>
      <c r="AW154" t="str">
        <f>"ADELE LUTFALLAH"</f>
        <v>ADELE LUTFALLAH</v>
      </c>
      <c r="AX154" t="str">
        <f>"30445 NORTHWESTERN HIGHWAY"</f>
        <v>30445 NORTHWESTERN HIGHWAY</v>
      </c>
      <c r="AY154" t="str">
        <f>"SUITE 345"</f>
        <v>SUITE 345</v>
      </c>
      <c r="AZ154" t="str">
        <f>"FARMINGTON HILLS"</f>
        <v>FARMINGTON HILLS</v>
      </c>
      <c r="BA154" t="str">
        <f>"MI"</f>
        <v>MI</v>
      </c>
      <c r="BB154" s="3">
        <v>48334</v>
      </c>
      <c r="BC154" t="str">
        <f>"UNITED STATES OF AMERICA"</f>
        <v>UNITED STATES OF AMERICA</v>
      </c>
      <c r="BD154" t="str">
        <f>""</f>
        <v/>
      </c>
      <c r="BE154" t="str">
        <f>"+12489328776"</f>
        <v>+12489328776</v>
      </c>
      <c r="BF154" t="str">
        <f>""</f>
        <v/>
      </c>
      <c r="BG154" t="str">
        <f>"JIHAN@KMWLAWOFFICES.COM"</f>
        <v>JIHAN@KMWLAWOFFICES.COM</v>
      </c>
      <c r="BH154" t="str">
        <f>"LAW OFFICES OF KEVIN M. WILHELMI"</f>
        <v>LAW OFFICES OF KEVIN M. WILHELMI</v>
      </c>
      <c r="BI154" t="str">
        <f>"MI"</f>
        <v>MI</v>
      </c>
      <c r="BJ154" t="str">
        <f>"MICHIGAN SUPREME COURT"</f>
        <v>MICHIGAN SUPREME COURT</v>
      </c>
      <c r="BK154">
        <v>1</v>
      </c>
      <c r="BL154" t="s">
        <v>107</v>
      </c>
      <c r="BM154" t="str">
        <f>"AISHWARYA SINGH'S HOME RESIDENCE"</f>
        <v>AISHWARYA SINGH'S HOME RESIDENCE</v>
      </c>
      <c r="BN154" t="s">
        <v>9680</v>
      </c>
      <c r="BO154" t="s">
        <v>9681</v>
      </c>
      <c r="BP154" t="s">
        <v>831</v>
      </c>
      <c r="BQ154" t="s">
        <v>257</v>
      </c>
      <c r="BR154" t="s">
        <v>258</v>
      </c>
      <c r="BS154" s="5">
        <v>85054</v>
      </c>
      <c r="BT154" s="2">
        <v>86133</v>
      </c>
      <c r="BU154" s="2">
        <v>93000</v>
      </c>
      <c r="BV154" t="s">
        <v>105</v>
      </c>
      <c r="BW154" s="2">
        <v>86133</v>
      </c>
      <c r="BX154" t="s">
        <v>105</v>
      </c>
      <c r="BZ154" t="s">
        <v>123</v>
      </c>
      <c r="CA154" t="str">
        <f t="shared" si="9"/>
        <v>7/1/2020 - 6/30/2021</v>
      </c>
      <c r="CF154">
        <v>2</v>
      </c>
      <c r="CG154" t="s">
        <v>98</v>
      </c>
      <c r="CH154" t="s">
        <v>98</v>
      </c>
      <c r="CI154" t="s">
        <v>206</v>
      </c>
      <c r="CJ154" t="s">
        <v>98</v>
      </c>
      <c r="CK154" t="s">
        <v>12323</v>
      </c>
      <c r="CL154" t="s">
        <v>108</v>
      </c>
      <c r="CM154" t="s">
        <v>109</v>
      </c>
      <c r="CN154" t="str">
        <f>"WALKER"</f>
        <v>WALKER</v>
      </c>
      <c r="CO154" t="str">
        <f>"JIHAN"</f>
        <v>JIHAN</v>
      </c>
      <c r="CP154" t="str">
        <f>"A.L"</f>
        <v>A.L</v>
      </c>
      <c r="CQ154" t="str">
        <f>"THE LAW OFFICES OF KEVIN M. WILHELMI"</f>
        <v>THE LAW OFFICES OF KEVIN M. WILHELMI</v>
      </c>
      <c r="CR154" t="s">
        <v>1178</v>
      </c>
    </row>
    <row r="155" spans="1:96" x14ac:dyDescent="0.2">
      <c r="A155" t="s">
        <v>9684</v>
      </c>
      <c r="B155" t="s">
        <v>96</v>
      </c>
      <c r="C155" s="1">
        <v>44098</v>
      </c>
      <c r="D155" s="1">
        <v>44105</v>
      </c>
      <c r="F155" t="s">
        <v>97</v>
      </c>
      <c r="G155" t="str">
        <f>"Senior Associate JC60 - Computer Systems Engineers"</f>
        <v>Senior Associate JC60 - Computer Systems Engineers</v>
      </c>
      <c r="H155" t="s">
        <v>12168</v>
      </c>
      <c r="I155" t="s">
        <v>160</v>
      </c>
      <c r="J155" t="s">
        <v>98</v>
      </c>
      <c r="K155" s="1">
        <v>44165</v>
      </c>
      <c r="L155" s="1">
        <v>45259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 t="s">
        <v>111</v>
      </c>
      <c r="U155" t="str">
        <f>"CTSUS"</f>
        <v>CTSUS</v>
      </c>
      <c r="V155" t="s">
        <v>112</v>
      </c>
      <c r="W155" t="str">
        <f>""</f>
        <v/>
      </c>
      <c r="X155" t="s">
        <v>113</v>
      </c>
      <c r="Y155" t="s">
        <v>114</v>
      </c>
      <c r="Z155" s="3">
        <v>77845</v>
      </c>
      <c r="AA155" t="s">
        <v>101</v>
      </c>
      <c r="AB155" t="s">
        <v>114</v>
      </c>
      <c r="AC155" s="4" t="str">
        <f>"+19793296682"</f>
        <v>+19793296682</v>
      </c>
      <c r="AE155" t="str">
        <f>"541512"</f>
        <v>541512</v>
      </c>
      <c r="AF155" t="s">
        <v>115</v>
      </c>
      <c r="AG155" t="s">
        <v>116</v>
      </c>
      <c r="AH155" t="s">
        <v>108</v>
      </c>
      <c r="AI155" t="s">
        <v>117</v>
      </c>
      <c r="AJ155" t="s">
        <v>118</v>
      </c>
      <c r="AK155" t="str">
        <f>""</f>
        <v/>
      </c>
      <c r="AL155" t="s">
        <v>119</v>
      </c>
      <c r="AM155" t="s">
        <v>114</v>
      </c>
      <c r="AN155" s="3">
        <v>77845</v>
      </c>
      <c r="AO155" t="s">
        <v>101</v>
      </c>
      <c r="AQ155" t="str">
        <f>"+19793296682"</f>
        <v>+19793296682</v>
      </c>
      <c r="AS155" t="s">
        <v>120</v>
      </c>
      <c r="AT155" t="s">
        <v>102</v>
      </c>
      <c r="AU155" t="str">
        <f>""</f>
        <v/>
      </c>
      <c r="AV155" t="str">
        <f>""</f>
        <v/>
      </c>
      <c r="AW155" t="str">
        <f>""</f>
        <v/>
      </c>
      <c r="AX155" t="str">
        <f>""</f>
        <v/>
      </c>
      <c r="AY155" t="str">
        <f>""</f>
        <v/>
      </c>
      <c r="AZ155" t="str">
        <f>""</f>
        <v/>
      </c>
      <c r="BA155" t="str">
        <f>""</f>
        <v/>
      </c>
      <c r="BC155" t="str">
        <f>""</f>
        <v/>
      </c>
      <c r="BD155" t="str">
        <f>""</f>
        <v/>
      </c>
      <c r="BE155" t="str">
        <f>""</f>
        <v/>
      </c>
      <c r="BF155" t="str">
        <f>""</f>
        <v/>
      </c>
      <c r="BG155" t="str">
        <f>""</f>
        <v/>
      </c>
      <c r="BH155" t="str">
        <f>""</f>
        <v/>
      </c>
      <c r="BI155" t="str">
        <f>""</f>
        <v/>
      </c>
      <c r="BJ155" t="str">
        <f>""</f>
        <v/>
      </c>
      <c r="BK155">
        <v>1</v>
      </c>
      <c r="BL155" t="s">
        <v>107</v>
      </c>
      <c r="BM155" t="str">
        <f>"Merck Sharp &amp; Dohme Corp."</f>
        <v>Merck Sharp &amp; Dohme Corp.</v>
      </c>
      <c r="BN155" t="s">
        <v>9685</v>
      </c>
      <c r="BP155" t="s">
        <v>9686</v>
      </c>
      <c r="BQ155" t="s">
        <v>529</v>
      </c>
      <c r="BR155" t="s">
        <v>127</v>
      </c>
      <c r="BS155" s="5">
        <v>19446</v>
      </c>
      <c r="BT155" s="2">
        <v>74090</v>
      </c>
      <c r="BV155" t="s">
        <v>105</v>
      </c>
      <c r="BW155" s="2">
        <v>74090</v>
      </c>
      <c r="BX155" t="s">
        <v>105</v>
      </c>
      <c r="BZ155" t="s">
        <v>167</v>
      </c>
      <c r="CA155" t="str">
        <f t="shared" si="9"/>
        <v>7/1/2020 - 6/30/2021</v>
      </c>
      <c r="CF155">
        <v>1</v>
      </c>
      <c r="CG155" t="s">
        <v>98</v>
      </c>
      <c r="CH155" t="s">
        <v>98</v>
      </c>
      <c r="CI155" t="s">
        <v>206</v>
      </c>
      <c r="CJ155" t="s">
        <v>98</v>
      </c>
      <c r="CK155" t="s">
        <v>12323</v>
      </c>
      <c r="CL155" t="s">
        <v>108</v>
      </c>
      <c r="CM155" t="s">
        <v>109</v>
      </c>
      <c r="CN155" t="str">
        <f>""</f>
        <v/>
      </c>
      <c r="CO155" t="str">
        <f>""</f>
        <v/>
      </c>
      <c r="CP155" t="str">
        <f>""</f>
        <v/>
      </c>
      <c r="CQ155" t="str">
        <f>""</f>
        <v/>
      </c>
    </row>
    <row r="156" spans="1:96" x14ac:dyDescent="0.2">
      <c r="A156" t="s">
        <v>9739</v>
      </c>
      <c r="B156" t="s">
        <v>96</v>
      </c>
      <c r="C156" s="1">
        <v>44098</v>
      </c>
      <c r="D156" s="1">
        <v>44105</v>
      </c>
      <c r="F156" t="s">
        <v>97</v>
      </c>
      <c r="G156" t="str">
        <f>"Software Developer "</f>
        <v xml:space="preserve">Software Developer </v>
      </c>
      <c r="H156" t="s">
        <v>12169</v>
      </c>
      <c r="I156" t="s">
        <v>124</v>
      </c>
      <c r="J156" t="s">
        <v>98</v>
      </c>
      <c r="K156" s="1">
        <v>44105</v>
      </c>
      <c r="L156" s="1">
        <v>45199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3711</v>
      </c>
      <c r="U156" t="str">
        <f>""</f>
        <v/>
      </c>
      <c r="V156" t="s">
        <v>3712</v>
      </c>
      <c r="W156" t="str">
        <f>"Suite 30"</f>
        <v>Suite 30</v>
      </c>
      <c r="X156" t="s">
        <v>1775</v>
      </c>
      <c r="Y156" t="s">
        <v>1776</v>
      </c>
      <c r="Z156" s="3">
        <v>19810</v>
      </c>
      <c r="AA156" t="s">
        <v>101</v>
      </c>
      <c r="AC156" s="4" t="str">
        <f>"+13023925202"</f>
        <v>+13023925202</v>
      </c>
      <c r="AE156" t="str">
        <f>"541511"</f>
        <v>541511</v>
      </c>
      <c r="AF156" t="s">
        <v>3713</v>
      </c>
      <c r="AG156" t="s">
        <v>3714</v>
      </c>
      <c r="AH156" t="s">
        <v>108</v>
      </c>
      <c r="AI156" t="s">
        <v>3715</v>
      </c>
      <c r="AJ156" t="s">
        <v>3712</v>
      </c>
      <c r="AK156" t="str">
        <f>"SUITE 30"</f>
        <v>SUITE 30</v>
      </c>
      <c r="AL156" t="s">
        <v>1775</v>
      </c>
      <c r="AM156" t="s">
        <v>1776</v>
      </c>
      <c r="AN156" s="3">
        <v>19810</v>
      </c>
      <c r="AO156" t="s">
        <v>101</v>
      </c>
      <c r="AQ156" t="str">
        <f>"+13023925202"</f>
        <v>+13023925202</v>
      </c>
      <c r="AS156" t="s">
        <v>3716</v>
      </c>
      <c r="AT156" t="s">
        <v>107</v>
      </c>
      <c r="AU156" t="str">
        <f>"Tadmor"</f>
        <v>Tadmor</v>
      </c>
      <c r="AV156" t="str">
        <f>"Yoav"</f>
        <v>Yoav</v>
      </c>
      <c r="AW156" t="str">
        <f>"N/A"</f>
        <v>N/A</v>
      </c>
      <c r="AX156" t="str">
        <f>"340 Main Street "</f>
        <v xml:space="preserve">340 Main Street </v>
      </c>
      <c r="AY156" t="str">
        <f>"Suite 610"</f>
        <v>Suite 610</v>
      </c>
      <c r="AZ156" t="str">
        <f>"Worcester "</f>
        <v xml:space="preserve">Worcester </v>
      </c>
      <c r="BA156" t="str">
        <f>"MA"</f>
        <v>MA</v>
      </c>
      <c r="BB156" s="3">
        <v>1608</v>
      </c>
      <c r="BC156" t="str">
        <f>"UNITED STATES OF AMERICA"</f>
        <v>UNITED STATES OF AMERICA</v>
      </c>
      <c r="BD156" t="str">
        <f>""</f>
        <v/>
      </c>
      <c r="BE156" t="str">
        <f>"+15087919400"</f>
        <v>+15087919400</v>
      </c>
      <c r="BF156" t="str">
        <f>""</f>
        <v/>
      </c>
      <c r="BG156" t="str">
        <f>"yoav@tadmorlaw.com"</f>
        <v>yoav@tadmorlaw.com</v>
      </c>
      <c r="BH156" t="str">
        <f>"Tadmor &amp; Tadmor LLP"</f>
        <v>Tadmor &amp; Tadmor LLP</v>
      </c>
      <c r="BI156" t="str">
        <f>"MA"</f>
        <v>MA</v>
      </c>
      <c r="BJ156" t="str">
        <f>"SUPREME JUDICIAL COURT"</f>
        <v>SUPREME JUDICIAL COURT</v>
      </c>
      <c r="BK156">
        <v>1</v>
      </c>
      <c r="BL156" t="s">
        <v>107</v>
      </c>
      <c r="BM156" t="str">
        <f>"Vanguard"</f>
        <v>Vanguard</v>
      </c>
      <c r="BN156" t="s">
        <v>6056</v>
      </c>
      <c r="BP156" t="s">
        <v>1237</v>
      </c>
      <c r="BQ156" t="s">
        <v>1238</v>
      </c>
      <c r="BR156" t="s">
        <v>127</v>
      </c>
      <c r="BS156" s="5">
        <v>19355</v>
      </c>
      <c r="BT156" s="2">
        <v>89773</v>
      </c>
      <c r="BV156" t="s">
        <v>105</v>
      </c>
      <c r="BW156" s="2">
        <v>89773</v>
      </c>
      <c r="BX156" t="s">
        <v>105</v>
      </c>
      <c r="BZ156" t="s">
        <v>167</v>
      </c>
      <c r="CA156" t="str">
        <f t="shared" si="9"/>
        <v>7/1/2020 - 6/30/2021</v>
      </c>
      <c r="CF156">
        <v>2</v>
      </c>
      <c r="CG156" t="s">
        <v>98</v>
      </c>
      <c r="CH156" t="s">
        <v>98</v>
      </c>
      <c r="CI156" t="s">
        <v>206</v>
      </c>
      <c r="CJ156" t="s">
        <v>98</v>
      </c>
      <c r="CK156" t="s">
        <v>12323</v>
      </c>
      <c r="CL156" t="s">
        <v>108</v>
      </c>
      <c r="CM156" t="s">
        <v>109</v>
      </c>
      <c r="CN156" t="str">
        <f>""</f>
        <v/>
      </c>
      <c r="CO156" t="str">
        <f>""</f>
        <v/>
      </c>
      <c r="CP156" t="str">
        <f>""</f>
        <v/>
      </c>
      <c r="CQ156" t="str">
        <f>""</f>
        <v/>
      </c>
    </row>
    <row r="157" spans="1:96" x14ac:dyDescent="0.2">
      <c r="A157" t="s">
        <v>9783</v>
      </c>
      <c r="B157" t="s">
        <v>96</v>
      </c>
      <c r="C157" s="1">
        <v>44098</v>
      </c>
      <c r="D157" s="1">
        <v>44105</v>
      </c>
      <c r="F157" t="s">
        <v>97</v>
      </c>
      <c r="G157" t="str">
        <f>"SOFTWARE ENGINEER"</f>
        <v>SOFTWARE ENGINEER</v>
      </c>
      <c r="H157" t="s">
        <v>12169</v>
      </c>
      <c r="I157" t="s">
        <v>124</v>
      </c>
      <c r="J157" t="s">
        <v>98</v>
      </c>
      <c r="K157" s="1">
        <v>44104</v>
      </c>
      <c r="L157" s="1">
        <v>45199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 t="s">
        <v>9784</v>
      </c>
      <c r="U157" t="str">
        <f>""</f>
        <v/>
      </c>
      <c r="V157" t="s">
        <v>9785</v>
      </c>
      <c r="W157" t="str">
        <f>"SUITE # 255"</f>
        <v>SUITE # 255</v>
      </c>
      <c r="X157" t="s">
        <v>651</v>
      </c>
      <c r="Y157" t="s">
        <v>141</v>
      </c>
      <c r="Z157" s="3">
        <v>95117</v>
      </c>
      <c r="AA157" t="s">
        <v>101</v>
      </c>
      <c r="AC157" s="4" t="str">
        <f>"+14082479500"</f>
        <v>+14082479500</v>
      </c>
      <c r="AD157">
        <v>202</v>
      </c>
      <c r="AE157" t="str">
        <f>"541511"</f>
        <v>541511</v>
      </c>
      <c r="AF157" t="s">
        <v>9786</v>
      </c>
      <c r="AG157" t="s">
        <v>1516</v>
      </c>
      <c r="AI157" t="s">
        <v>425</v>
      </c>
      <c r="AJ157" t="s">
        <v>9787</v>
      </c>
      <c r="AK157" t="str">
        <f>"SUITE # 255"</f>
        <v>SUITE # 255</v>
      </c>
      <c r="AL157" t="s">
        <v>651</v>
      </c>
      <c r="AM157" t="s">
        <v>141</v>
      </c>
      <c r="AN157" s="3">
        <v>95117</v>
      </c>
      <c r="AO157" t="s">
        <v>101</v>
      </c>
      <c r="AQ157" t="str">
        <f>"+14082479500"</f>
        <v>+14082479500</v>
      </c>
      <c r="AR157">
        <v>202</v>
      </c>
      <c r="AS157" t="s">
        <v>9788</v>
      </c>
      <c r="AT157" t="s">
        <v>107</v>
      </c>
      <c r="AU157" t="str">
        <f>"CHUGH"</f>
        <v>CHUGH</v>
      </c>
      <c r="AV157" t="str">
        <f>"NAVNEET"</f>
        <v>NAVNEET</v>
      </c>
      <c r="AW157" t="str">
        <f>"SINGH"</f>
        <v>SINGH</v>
      </c>
      <c r="AX157" t="str">
        <f>"1600 DUANE AVENUE"</f>
        <v>1600 DUANE AVENUE</v>
      </c>
      <c r="AY157" t="str">
        <f>""</f>
        <v/>
      </c>
      <c r="AZ157" t="str">
        <f>"SANTA CLARA"</f>
        <v>SANTA CLARA</v>
      </c>
      <c r="BA157" t="str">
        <f>"CA"</f>
        <v>CA</v>
      </c>
      <c r="BB157" s="3">
        <v>95054</v>
      </c>
      <c r="BC157" t="str">
        <f>"UNITED STATES OF AMERICA"</f>
        <v>UNITED STATES OF AMERICA</v>
      </c>
      <c r="BD157" t="str">
        <f>""</f>
        <v/>
      </c>
      <c r="BE157" t="str">
        <f>"+14089700100"</f>
        <v>+14089700100</v>
      </c>
      <c r="BF157" t="str">
        <f>""</f>
        <v/>
      </c>
      <c r="BG157" t="str">
        <f>"DEEPIKA.SINGH@CHUGH.COM"</f>
        <v>DEEPIKA.SINGH@CHUGH.COM</v>
      </c>
      <c r="BH157" t="str">
        <f>"CHUGH LLP"</f>
        <v>CHUGH LLP</v>
      </c>
      <c r="BI157" t="str">
        <f>"CA"</f>
        <v>CA</v>
      </c>
      <c r="BJ157" t="str">
        <f>"SUPREME COURT, STATE OF CALIFORNIA"</f>
        <v>SUPREME COURT, STATE OF CALIFORNIA</v>
      </c>
      <c r="BK157">
        <v>1</v>
      </c>
      <c r="BL157" t="s">
        <v>107</v>
      </c>
      <c r="BM157" t="str">
        <f>"WESTERN UNION"</f>
        <v>WESTERN UNION</v>
      </c>
      <c r="BN157" t="s">
        <v>9789</v>
      </c>
      <c r="BO157" t="s">
        <v>9790</v>
      </c>
      <c r="BP157" t="s">
        <v>147</v>
      </c>
      <c r="BQ157" t="s">
        <v>147</v>
      </c>
      <c r="BR157" t="s">
        <v>141</v>
      </c>
      <c r="BS157" s="5">
        <v>94107</v>
      </c>
      <c r="BT157" s="2">
        <v>120931</v>
      </c>
      <c r="BU157" s="2">
        <v>121000</v>
      </c>
      <c r="BV157" t="s">
        <v>105</v>
      </c>
      <c r="BW157" s="2">
        <v>120931</v>
      </c>
      <c r="BX157" t="s">
        <v>105</v>
      </c>
      <c r="BZ157" t="s">
        <v>167</v>
      </c>
      <c r="CA157" t="str">
        <f t="shared" si="9"/>
        <v>7/1/2020 - 6/30/2021</v>
      </c>
      <c r="CF157">
        <v>1</v>
      </c>
      <c r="CG157" t="s">
        <v>98</v>
      </c>
      <c r="CH157" t="s">
        <v>98</v>
      </c>
      <c r="CI157" t="s">
        <v>206</v>
      </c>
      <c r="CJ157" t="s">
        <v>98</v>
      </c>
      <c r="CK157" t="s">
        <v>12323</v>
      </c>
      <c r="CL157" t="s">
        <v>108</v>
      </c>
      <c r="CM157" t="s">
        <v>109</v>
      </c>
      <c r="CN157" t="str">
        <f>"DAVID"</f>
        <v>DAVID</v>
      </c>
      <c r="CO157" t="str">
        <f>"GRACE"</f>
        <v>GRACE</v>
      </c>
      <c r="CP157" t="str">
        <f>""</f>
        <v/>
      </c>
      <c r="CQ157" t="str">
        <f>"CHUGH,LLP"</f>
        <v>CHUGH,LLP</v>
      </c>
      <c r="CR157" t="s">
        <v>9791</v>
      </c>
    </row>
    <row r="158" spans="1:96" x14ac:dyDescent="0.2">
      <c r="A158" t="s">
        <v>9804</v>
      </c>
      <c r="B158" t="s">
        <v>96</v>
      </c>
      <c r="C158" s="1">
        <v>44098</v>
      </c>
      <c r="D158" s="1">
        <v>44105</v>
      </c>
      <c r="F158" t="s">
        <v>97</v>
      </c>
      <c r="G158" t="str">
        <f>"Senior Principal Software Engineer"</f>
        <v>Senior Principal Software Engineer</v>
      </c>
      <c r="H158" t="s">
        <v>12178</v>
      </c>
      <c r="I158" t="s">
        <v>582</v>
      </c>
      <c r="J158" t="s">
        <v>98</v>
      </c>
      <c r="K158" s="1">
        <v>44105</v>
      </c>
      <c r="L158" s="1">
        <v>45199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 t="s">
        <v>1114</v>
      </c>
      <c r="U158" t="str">
        <f>""</f>
        <v/>
      </c>
      <c r="V158" t="s">
        <v>1115</v>
      </c>
      <c r="W158" t="str">
        <f>"10TH FLOOR"</f>
        <v>10TH FLOOR</v>
      </c>
      <c r="X158" t="s">
        <v>480</v>
      </c>
      <c r="Y158" t="s">
        <v>215</v>
      </c>
      <c r="Z158" s="3">
        <v>30339</v>
      </c>
      <c r="AA158" t="s">
        <v>101</v>
      </c>
      <c r="AC158" s="4" t="str">
        <f>"+16785977719"</f>
        <v>+16785977719</v>
      </c>
      <c r="AE158" t="str">
        <f>"541511"</f>
        <v>541511</v>
      </c>
      <c r="AF158" t="s">
        <v>1116</v>
      </c>
      <c r="AG158" t="s">
        <v>491</v>
      </c>
      <c r="AI158" t="s">
        <v>1117</v>
      </c>
      <c r="AJ158" t="s">
        <v>1115</v>
      </c>
      <c r="AK158" t="str">
        <f>"10TH FLOOR"</f>
        <v>10TH FLOOR</v>
      </c>
      <c r="AL158" t="s">
        <v>480</v>
      </c>
      <c r="AM158" t="s">
        <v>215</v>
      </c>
      <c r="AN158" s="3">
        <v>30339</v>
      </c>
      <c r="AO158" t="s">
        <v>101</v>
      </c>
      <c r="AQ158" t="str">
        <f>"+16785877719"</f>
        <v>+16785877719</v>
      </c>
      <c r="AS158" t="s">
        <v>1118</v>
      </c>
      <c r="AT158" t="s">
        <v>107</v>
      </c>
      <c r="AU158" t="str">
        <f>"Hawkins"</f>
        <v>Hawkins</v>
      </c>
      <c r="AV158" t="str">
        <f>"Janora"</f>
        <v>Janora</v>
      </c>
      <c r="AW158" t="str">
        <f>""</f>
        <v/>
      </c>
      <c r="AX158" t="str">
        <f>"600 Peachtree Street NE"</f>
        <v>600 Peachtree Street NE</v>
      </c>
      <c r="AY158" t="str">
        <f>"Suite 4200"</f>
        <v>Suite 4200</v>
      </c>
      <c r="AZ158" t="str">
        <f>"Atlanta"</f>
        <v>Atlanta</v>
      </c>
      <c r="BA158" t="str">
        <f>"GA"</f>
        <v>GA</v>
      </c>
      <c r="BB158" s="3">
        <v>30308</v>
      </c>
      <c r="BC158" t="str">
        <f>"UNITED STATES OF AMERICA"</f>
        <v>UNITED STATES OF AMERICA</v>
      </c>
      <c r="BD158" t="str">
        <f>""</f>
        <v/>
      </c>
      <c r="BE158" t="str">
        <f>"+14048565495"</f>
        <v>+14048565495</v>
      </c>
      <c r="BF158" t="str">
        <f>""</f>
        <v/>
      </c>
      <c r="BG158" t="str">
        <f>"gmorajuarez@fragomen.com"</f>
        <v>gmorajuarez@fragomen.com</v>
      </c>
      <c r="BH158" t="str">
        <f>"Fragomen, Del Rey, Bernsen, &amp; Lowey LLP"</f>
        <v>Fragomen, Del Rey, Bernsen, &amp; Lowey LLP</v>
      </c>
      <c r="BI158" t="str">
        <f>"NY"</f>
        <v>NY</v>
      </c>
      <c r="BJ158" t="str">
        <f>"New York Court of Appeals"</f>
        <v>New York Court of Appeals</v>
      </c>
      <c r="BK158">
        <v>1</v>
      </c>
      <c r="BL158" t="s">
        <v>102</v>
      </c>
      <c r="BM158" t="str">
        <f>""</f>
        <v/>
      </c>
      <c r="BN158" t="s">
        <v>1119</v>
      </c>
      <c r="BO158" t="s">
        <v>1120</v>
      </c>
      <c r="BP158" t="s">
        <v>2447</v>
      </c>
      <c r="BQ158" t="s">
        <v>1121</v>
      </c>
      <c r="BR158" t="s">
        <v>215</v>
      </c>
      <c r="BS158" s="5">
        <v>30339</v>
      </c>
      <c r="BT158" s="2">
        <v>108807</v>
      </c>
      <c r="BV158" t="s">
        <v>105</v>
      </c>
      <c r="BW158" s="2">
        <v>108807</v>
      </c>
      <c r="BX158" t="s">
        <v>105</v>
      </c>
      <c r="CA158" t="str">
        <f>""</f>
        <v/>
      </c>
      <c r="CB158" t="s">
        <v>244</v>
      </c>
      <c r="CC158">
        <v>2020</v>
      </c>
      <c r="CD158" t="s">
        <v>569</v>
      </c>
      <c r="CE158" t="s">
        <v>9805</v>
      </c>
      <c r="CF158">
        <v>2</v>
      </c>
      <c r="CG158" t="s">
        <v>98</v>
      </c>
      <c r="CH158" t="s">
        <v>98</v>
      </c>
      <c r="CI158" t="s">
        <v>206</v>
      </c>
      <c r="CJ158" t="s">
        <v>98</v>
      </c>
      <c r="CK158" t="s">
        <v>12323</v>
      </c>
      <c r="CL158" t="s">
        <v>108</v>
      </c>
      <c r="CM158" t="s">
        <v>109</v>
      </c>
      <c r="CN158" t="str">
        <f>""</f>
        <v/>
      </c>
      <c r="CO158" t="str">
        <f>""</f>
        <v/>
      </c>
      <c r="CP158" t="str">
        <f>""</f>
        <v/>
      </c>
      <c r="CQ158" t="str">
        <f>""</f>
        <v/>
      </c>
    </row>
    <row r="159" spans="1:96" x14ac:dyDescent="0.2">
      <c r="A159" t="s">
        <v>9824</v>
      </c>
      <c r="B159" t="s">
        <v>96</v>
      </c>
      <c r="C159" s="1">
        <v>44098</v>
      </c>
      <c r="D159" s="1">
        <v>44105</v>
      </c>
      <c r="F159" t="s">
        <v>97</v>
      </c>
      <c r="G159" t="str">
        <f>"Consultant"</f>
        <v>Consultant</v>
      </c>
      <c r="H159" t="s">
        <v>12181</v>
      </c>
      <c r="I159" t="s">
        <v>110</v>
      </c>
      <c r="J159" t="s">
        <v>98</v>
      </c>
      <c r="K159" s="1">
        <v>44098</v>
      </c>
      <c r="L159" s="1">
        <v>45192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902</v>
      </c>
      <c r="U159" t="str">
        <f>""</f>
        <v/>
      </c>
      <c r="V159" t="s">
        <v>903</v>
      </c>
      <c r="W159" t="str">
        <f>"SUITE 2200"</f>
        <v>SUITE 2200</v>
      </c>
      <c r="X159" t="s">
        <v>904</v>
      </c>
      <c r="Y159" t="s">
        <v>100</v>
      </c>
      <c r="Z159" s="3">
        <v>8816</v>
      </c>
      <c r="AA159" t="s">
        <v>101</v>
      </c>
      <c r="AB159" t="s">
        <v>108</v>
      </c>
      <c r="AC159" s="4" t="str">
        <f>"+17325091586"</f>
        <v>+17325091586</v>
      </c>
      <c r="AE159" t="str">
        <f>"541511"</f>
        <v>541511</v>
      </c>
      <c r="AF159" t="s">
        <v>905</v>
      </c>
      <c r="AG159" t="s">
        <v>906</v>
      </c>
      <c r="AH159" t="s">
        <v>108</v>
      </c>
      <c r="AI159" t="s">
        <v>818</v>
      </c>
      <c r="AJ159" t="s">
        <v>903</v>
      </c>
      <c r="AK159" t="str">
        <f>"SUITE 2200"</f>
        <v>SUITE 2200</v>
      </c>
      <c r="AL159" t="s">
        <v>904</v>
      </c>
      <c r="AM159" t="s">
        <v>100</v>
      </c>
      <c r="AN159" s="3">
        <v>8816</v>
      </c>
      <c r="AO159" t="s">
        <v>101</v>
      </c>
      <c r="AQ159" t="str">
        <f>"+17325091586"</f>
        <v>+17325091586</v>
      </c>
      <c r="AS159" t="s">
        <v>907</v>
      </c>
      <c r="AT159" t="s">
        <v>102</v>
      </c>
      <c r="AU159" t="str">
        <f>""</f>
        <v/>
      </c>
      <c r="AV159" t="str">
        <f>""</f>
        <v/>
      </c>
      <c r="AW159" t="str">
        <f>""</f>
        <v/>
      </c>
      <c r="AX159" t="str">
        <f>""</f>
        <v/>
      </c>
      <c r="AY159" t="str">
        <f>""</f>
        <v/>
      </c>
      <c r="AZ159" t="str">
        <f>""</f>
        <v/>
      </c>
      <c r="BA159" t="str">
        <f>""</f>
        <v/>
      </c>
      <c r="BC159" t="str">
        <f>""</f>
        <v/>
      </c>
      <c r="BD159" t="str">
        <f>""</f>
        <v/>
      </c>
      <c r="BE159" t="str">
        <f>""</f>
        <v/>
      </c>
      <c r="BF159" t="str">
        <f>""</f>
        <v/>
      </c>
      <c r="BG159" t="str">
        <f>""</f>
        <v/>
      </c>
      <c r="BH159" t="str">
        <f>""</f>
        <v/>
      </c>
      <c r="BI159" t="str">
        <f>""</f>
        <v/>
      </c>
      <c r="BJ159" t="str">
        <f>""</f>
        <v/>
      </c>
      <c r="BK159">
        <v>1</v>
      </c>
      <c r="BL159" t="s">
        <v>102</v>
      </c>
      <c r="BM159" t="str">
        <f>""</f>
        <v/>
      </c>
      <c r="BN159" t="s">
        <v>9825</v>
      </c>
      <c r="BO159" t="s">
        <v>1982</v>
      </c>
      <c r="BP159" t="s">
        <v>483</v>
      </c>
      <c r="BQ159" t="s">
        <v>484</v>
      </c>
      <c r="BR159" t="s">
        <v>114</v>
      </c>
      <c r="BS159" s="5">
        <v>75063</v>
      </c>
      <c r="BT159" s="2">
        <v>80475</v>
      </c>
      <c r="BV159" t="s">
        <v>105</v>
      </c>
      <c r="BW159" s="2">
        <v>80475</v>
      </c>
      <c r="BX159" t="s">
        <v>105</v>
      </c>
      <c r="BZ159" t="s">
        <v>167</v>
      </c>
      <c r="CA159" t="str">
        <f t="shared" ref="CA159:CA222" si="10">"7/1/2020 - 6/30/2021"</f>
        <v>7/1/2020 - 6/30/2021</v>
      </c>
      <c r="CF159">
        <v>1</v>
      </c>
      <c r="CG159" t="s">
        <v>98</v>
      </c>
      <c r="CH159" t="s">
        <v>98</v>
      </c>
      <c r="CI159" t="s">
        <v>206</v>
      </c>
      <c r="CJ159" t="s">
        <v>98</v>
      </c>
      <c r="CK159" t="s">
        <v>12323</v>
      </c>
      <c r="CL159" t="s">
        <v>108</v>
      </c>
      <c r="CM159" t="s">
        <v>109</v>
      </c>
      <c r="CN159" t="str">
        <f>""</f>
        <v/>
      </c>
      <c r="CO159" t="str">
        <f>""</f>
        <v/>
      </c>
      <c r="CP159" t="str">
        <f>""</f>
        <v/>
      </c>
      <c r="CQ159" t="str">
        <f>""</f>
        <v/>
      </c>
    </row>
    <row r="160" spans="1:96" x14ac:dyDescent="0.2">
      <c r="A160" t="s">
        <v>9831</v>
      </c>
      <c r="B160" t="s">
        <v>96</v>
      </c>
      <c r="C160" s="1">
        <v>44098</v>
      </c>
      <c r="D160" s="1">
        <v>44105</v>
      </c>
      <c r="F160" t="s">
        <v>97</v>
      </c>
      <c r="G160" t="str">
        <f>"Architect Level 2"</f>
        <v>Architect Level 2</v>
      </c>
      <c r="H160" t="s">
        <v>12168</v>
      </c>
      <c r="I160" t="s">
        <v>160</v>
      </c>
      <c r="J160" t="s">
        <v>98</v>
      </c>
      <c r="K160" s="1">
        <v>44098</v>
      </c>
      <c r="L160" s="1">
        <v>45192</v>
      </c>
      <c r="M160">
        <v>6</v>
      </c>
      <c r="N160">
        <v>1</v>
      </c>
      <c r="O160">
        <v>1</v>
      </c>
      <c r="P160">
        <v>1</v>
      </c>
      <c r="Q160">
        <v>0</v>
      </c>
      <c r="R160">
        <v>2</v>
      </c>
      <c r="S160">
        <v>1</v>
      </c>
      <c r="T160" t="s">
        <v>902</v>
      </c>
      <c r="U160" t="str">
        <f>""</f>
        <v/>
      </c>
      <c r="V160" t="s">
        <v>903</v>
      </c>
      <c r="W160" t="str">
        <f>"SUITE 2200"</f>
        <v>SUITE 2200</v>
      </c>
      <c r="X160" t="s">
        <v>904</v>
      </c>
      <c r="Y160" t="s">
        <v>100</v>
      </c>
      <c r="Z160" s="3">
        <v>8816</v>
      </c>
      <c r="AA160" t="s">
        <v>101</v>
      </c>
      <c r="AB160" t="s">
        <v>108</v>
      </c>
      <c r="AC160" s="4" t="str">
        <f>"+17325091586"</f>
        <v>+17325091586</v>
      </c>
      <c r="AE160" t="str">
        <f>"541511"</f>
        <v>541511</v>
      </c>
      <c r="AF160" t="s">
        <v>905</v>
      </c>
      <c r="AG160" t="s">
        <v>906</v>
      </c>
      <c r="AH160" t="s">
        <v>108</v>
      </c>
      <c r="AI160" t="s">
        <v>818</v>
      </c>
      <c r="AJ160" t="s">
        <v>903</v>
      </c>
      <c r="AK160" t="str">
        <f>"SUITE 2200"</f>
        <v>SUITE 2200</v>
      </c>
      <c r="AL160" t="s">
        <v>904</v>
      </c>
      <c r="AM160" t="s">
        <v>100</v>
      </c>
      <c r="AN160" s="3">
        <v>8816</v>
      </c>
      <c r="AO160" t="s">
        <v>101</v>
      </c>
      <c r="AQ160" t="str">
        <f>"+17325091586"</f>
        <v>+17325091586</v>
      </c>
      <c r="AS160" t="s">
        <v>907</v>
      </c>
      <c r="AT160" t="s">
        <v>102</v>
      </c>
      <c r="AU160" t="str">
        <f>""</f>
        <v/>
      </c>
      <c r="AV160" t="str">
        <f>""</f>
        <v/>
      </c>
      <c r="AW160" t="str">
        <f>""</f>
        <v/>
      </c>
      <c r="AX160" t="str">
        <f>""</f>
        <v/>
      </c>
      <c r="AY160" t="str">
        <f>""</f>
        <v/>
      </c>
      <c r="AZ160" t="str">
        <f>""</f>
        <v/>
      </c>
      <c r="BA160" t="str">
        <f>""</f>
        <v/>
      </c>
      <c r="BC160" t="str">
        <f>""</f>
        <v/>
      </c>
      <c r="BD160" t="str">
        <f>""</f>
        <v/>
      </c>
      <c r="BE160" t="str">
        <f>""</f>
        <v/>
      </c>
      <c r="BF160" t="str">
        <f>""</f>
        <v/>
      </c>
      <c r="BG160" t="str">
        <f>""</f>
        <v/>
      </c>
      <c r="BH160" t="str">
        <f>""</f>
        <v/>
      </c>
      <c r="BI160" t="str">
        <f>""</f>
        <v/>
      </c>
      <c r="BJ160" t="str">
        <f>""</f>
        <v/>
      </c>
      <c r="BK160">
        <v>6</v>
      </c>
      <c r="BL160" t="s">
        <v>107</v>
      </c>
      <c r="BM160" t="str">
        <f>"Nike Inc"</f>
        <v>Nike Inc</v>
      </c>
      <c r="BN160" t="s">
        <v>9832</v>
      </c>
      <c r="BP160" t="s">
        <v>1632</v>
      </c>
      <c r="BQ160" t="s">
        <v>813</v>
      </c>
      <c r="BR160" t="s">
        <v>814</v>
      </c>
      <c r="BS160" s="5">
        <v>97005</v>
      </c>
      <c r="BT160" s="2">
        <v>68578</v>
      </c>
      <c r="BV160" t="s">
        <v>105</v>
      </c>
      <c r="BW160" s="2">
        <v>68578</v>
      </c>
      <c r="BX160" t="s">
        <v>105</v>
      </c>
      <c r="BZ160" t="s">
        <v>167</v>
      </c>
      <c r="CA160" t="str">
        <f t="shared" si="10"/>
        <v>7/1/2020 - 6/30/2021</v>
      </c>
      <c r="CF160">
        <v>1</v>
      </c>
      <c r="CG160" t="s">
        <v>98</v>
      </c>
      <c r="CH160" t="s">
        <v>98</v>
      </c>
      <c r="CI160" t="s">
        <v>206</v>
      </c>
      <c r="CJ160" t="s">
        <v>98</v>
      </c>
      <c r="CK160" t="s">
        <v>12323</v>
      </c>
      <c r="CL160" t="s">
        <v>108</v>
      </c>
      <c r="CM160" t="s">
        <v>109</v>
      </c>
      <c r="CN160" t="str">
        <f>""</f>
        <v/>
      </c>
      <c r="CO160" t="str">
        <f>""</f>
        <v/>
      </c>
      <c r="CP160" t="str">
        <f>""</f>
        <v/>
      </c>
      <c r="CQ160" t="str">
        <f>""</f>
        <v/>
      </c>
    </row>
    <row r="161" spans="1:96" x14ac:dyDescent="0.2">
      <c r="A161" t="s">
        <v>9845</v>
      </c>
      <c r="B161" t="s">
        <v>96</v>
      </c>
      <c r="C161" s="1">
        <v>44098</v>
      </c>
      <c r="D161" s="1">
        <v>44105</v>
      </c>
      <c r="F161" t="s">
        <v>97</v>
      </c>
      <c r="G161" t="str">
        <f>"Senior Software Engineer"</f>
        <v>Senior Software Engineer</v>
      </c>
      <c r="H161" t="s">
        <v>12169</v>
      </c>
      <c r="I161" t="s">
        <v>124</v>
      </c>
      <c r="J161" t="s">
        <v>98</v>
      </c>
      <c r="K161" s="1">
        <v>44198</v>
      </c>
      <c r="L161" s="1">
        <v>45292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 t="s">
        <v>5931</v>
      </c>
      <c r="U161" t="str">
        <f>""</f>
        <v/>
      </c>
      <c r="V161" t="s">
        <v>5932</v>
      </c>
      <c r="W161" t="str">
        <f>""</f>
        <v/>
      </c>
      <c r="X161" t="s">
        <v>3409</v>
      </c>
      <c r="Y161" t="s">
        <v>280</v>
      </c>
      <c r="Z161" s="3">
        <v>6108</v>
      </c>
      <c r="AA161" t="s">
        <v>101</v>
      </c>
      <c r="AC161" s="4" t="str">
        <f>"+14087757667"</f>
        <v>+14087757667</v>
      </c>
      <c r="AE161" t="str">
        <f>"541330"</f>
        <v>541330</v>
      </c>
      <c r="AF161" t="s">
        <v>1472</v>
      </c>
      <c r="AG161" t="s">
        <v>5933</v>
      </c>
      <c r="AI161" t="s">
        <v>5934</v>
      </c>
      <c r="AJ161" t="s">
        <v>5932</v>
      </c>
      <c r="AK161" t="str">
        <f>""</f>
        <v/>
      </c>
      <c r="AL161" t="s">
        <v>3409</v>
      </c>
      <c r="AM161" t="s">
        <v>280</v>
      </c>
      <c r="AN161" s="3">
        <v>6108</v>
      </c>
      <c r="AO161" t="s">
        <v>101</v>
      </c>
      <c r="AQ161" t="str">
        <f>"+14087757667"</f>
        <v>+14087757667</v>
      </c>
      <c r="AS161" t="s">
        <v>5935</v>
      </c>
      <c r="AT161" t="s">
        <v>102</v>
      </c>
      <c r="AU161" t="str">
        <f>""</f>
        <v/>
      </c>
      <c r="AV161" t="str">
        <f>""</f>
        <v/>
      </c>
      <c r="AW161" t="str">
        <f>""</f>
        <v/>
      </c>
      <c r="AX161" t="str">
        <f>""</f>
        <v/>
      </c>
      <c r="AY161" t="str">
        <f>""</f>
        <v/>
      </c>
      <c r="AZ161" t="str">
        <f>""</f>
        <v/>
      </c>
      <c r="BA161" t="str">
        <f>""</f>
        <v/>
      </c>
      <c r="BC161" t="str">
        <f>""</f>
        <v/>
      </c>
      <c r="BD161" t="str">
        <f>""</f>
        <v/>
      </c>
      <c r="BE161" t="str">
        <f>""</f>
        <v/>
      </c>
      <c r="BF161" t="str">
        <f>""</f>
        <v/>
      </c>
      <c r="BG161" t="str">
        <f>""</f>
        <v/>
      </c>
      <c r="BH161" t="str">
        <f>""</f>
        <v/>
      </c>
      <c r="BI161" t="str">
        <f>""</f>
        <v/>
      </c>
      <c r="BJ161" t="str">
        <f>""</f>
        <v/>
      </c>
      <c r="BK161">
        <v>1</v>
      </c>
      <c r="BL161" t="s">
        <v>107</v>
      </c>
      <c r="BM161" t="str">
        <f>"Mitsubishi Electric Automotive America, Inc."</f>
        <v>Mitsubishi Electric Automotive America, Inc.</v>
      </c>
      <c r="BN161" t="s">
        <v>9846</v>
      </c>
      <c r="BP161" t="s">
        <v>5766</v>
      </c>
      <c r="BQ161" t="s">
        <v>533</v>
      </c>
      <c r="BR161" t="s">
        <v>265</v>
      </c>
      <c r="BS161" s="5">
        <v>48168</v>
      </c>
      <c r="BT161" s="2">
        <v>76500</v>
      </c>
      <c r="BU161" s="2">
        <v>79247</v>
      </c>
      <c r="BV161" t="s">
        <v>105</v>
      </c>
      <c r="BW161" s="2">
        <v>63315</v>
      </c>
      <c r="BX161" t="s">
        <v>105</v>
      </c>
      <c r="BZ161" t="s">
        <v>191</v>
      </c>
      <c r="CA161" t="str">
        <f t="shared" si="10"/>
        <v>7/1/2020 - 6/30/2021</v>
      </c>
      <c r="CF161">
        <v>1</v>
      </c>
      <c r="CG161" t="s">
        <v>98</v>
      </c>
      <c r="CH161" t="s">
        <v>98</v>
      </c>
      <c r="CI161" t="s">
        <v>206</v>
      </c>
      <c r="CJ161" t="s">
        <v>98</v>
      </c>
      <c r="CK161" t="s">
        <v>12323</v>
      </c>
      <c r="CL161" t="s">
        <v>108</v>
      </c>
      <c r="CM161" t="s">
        <v>109</v>
      </c>
      <c r="CN161" t="str">
        <f>"SURESH"</f>
        <v>SURESH</v>
      </c>
      <c r="CO161" t="str">
        <f>"MANJUNATH"</f>
        <v>MANJUNATH</v>
      </c>
      <c r="CP161" t="str">
        <f>""</f>
        <v/>
      </c>
      <c r="CQ161" t="str">
        <f>"QUEST GLOBAL SERVICES N A INC"</f>
        <v>QUEST GLOBAL SERVICES N A INC</v>
      </c>
      <c r="CR161" t="s">
        <v>5935</v>
      </c>
    </row>
    <row r="162" spans="1:96" x14ac:dyDescent="0.2">
      <c r="A162" t="s">
        <v>9851</v>
      </c>
      <c r="B162" t="s">
        <v>96</v>
      </c>
      <c r="C162" s="1">
        <v>44098</v>
      </c>
      <c r="D162" s="1">
        <v>44105</v>
      </c>
      <c r="F162" t="s">
        <v>97</v>
      </c>
      <c r="G162" t="str">
        <f>"Azure Security Engineer - Log Analytics"</f>
        <v>Azure Security Engineer - Log Analytics</v>
      </c>
      <c r="H162" t="s">
        <v>12169</v>
      </c>
      <c r="I162" t="s">
        <v>124</v>
      </c>
      <c r="J162" t="s">
        <v>98</v>
      </c>
      <c r="K162" s="1">
        <v>44098</v>
      </c>
      <c r="L162" s="1">
        <v>45192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 t="s">
        <v>9852</v>
      </c>
      <c r="U162" t="str">
        <f>""</f>
        <v/>
      </c>
      <c r="V162" t="s">
        <v>9853</v>
      </c>
      <c r="W162" t="str">
        <f>"Suite #205 D"</f>
        <v>Suite #205 D</v>
      </c>
      <c r="X162" t="s">
        <v>308</v>
      </c>
      <c r="Y162" t="s">
        <v>1776</v>
      </c>
      <c r="Z162" s="3">
        <v>19702</v>
      </c>
      <c r="AA162" t="s">
        <v>101</v>
      </c>
      <c r="AC162" s="4" t="str">
        <f>"+14255239543"</f>
        <v>+14255239543</v>
      </c>
      <c r="AE162" t="str">
        <f>"541511"</f>
        <v>541511</v>
      </c>
      <c r="AF162" t="s">
        <v>9854</v>
      </c>
      <c r="AG162" t="s">
        <v>4649</v>
      </c>
      <c r="AH162" t="s">
        <v>9855</v>
      </c>
      <c r="AI162" t="s">
        <v>629</v>
      </c>
      <c r="AJ162" t="s">
        <v>9853</v>
      </c>
      <c r="AK162" t="str">
        <f>"Suite #205 D"</f>
        <v>Suite #205 D</v>
      </c>
      <c r="AL162" t="s">
        <v>308</v>
      </c>
      <c r="AM162" t="s">
        <v>1776</v>
      </c>
      <c r="AN162" s="3">
        <v>19702</v>
      </c>
      <c r="AO162" t="s">
        <v>101</v>
      </c>
      <c r="AQ162" t="str">
        <f>"+14255239543"</f>
        <v>+14255239543</v>
      </c>
      <c r="AS162" t="s">
        <v>9856</v>
      </c>
      <c r="AT162" t="s">
        <v>107</v>
      </c>
      <c r="AU162" t="str">
        <f>"Mannam"</f>
        <v>Mannam</v>
      </c>
      <c r="AV162" t="str">
        <f>"Ravi"</f>
        <v>Ravi</v>
      </c>
      <c r="AW162" t="str">
        <f>""</f>
        <v/>
      </c>
      <c r="AX162" t="str">
        <f>"3651 Peachtree Parkway"</f>
        <v>3651 Peachtree Parkway</v>
      </c>
      <c r="AY162" t="str">
        <f>"Suite E-360"</f>
        <v>Suite E-360</v>
      </c>
      <c r="AZ162" t="str">
        <f>"Suwanee"</f>
        <v>Suwanee</v>
      </c>
      <c r="BA162" t="str">
        <f>"GA"</f>
        <v>GA</v>
      </c>
      <c r="BB162" s="3">
        <v>30024</v>
      </c>
      <c r="BC162" t="str">
        <f>"UNITED STATES OF AMERICA"</f>
        <v>UNITED STATES OF AMERICA</v>
      </c>
      <c r="BD162" t="str">
        <f>""</f>
        <v/>
      </c>
      <c r="BE162" t="str">
        <f>"+18775961761"</f>
        <v>+18775961761</v>
      </c>
      <c r="BF162" t="str">
        <f>""</f>
        <v/>
      </c>
      <c r="BG162" t="str">
        <f>"lawxpert@yahoo.com"</f>
        <v>lawxpert@yahoo.com</v>
      </c>
      <c r="BH162" t="str">
        <f>"Mannam &amp; Associates, LLC"</f>
        <v>Mannam &amp; Associates, LLC</v>
      </c>
      <c r="BI162" t="str">
        <f>"TN"</f>
        <v>TN</v>
      </c>
      <c r="BJ162" t="str">
        <f>"Supreme Court"</f>
        <v>Supreme Court</v>
      </c>
      <c r="BK162">
        <v>1</v>
      </c>
      <c r="BL162" t="s">
        <v>107</v>
      </c>
      <c r="BM162" t="str">
        <f>"Remote Work from Home for IPTIQ"</f>
        <v>Remote Work from Home for IPTIQ</v>
      </c>
      <c r="BN162" t="s">
        <v>9857</v>
      </c>
      <c r="BO162" t="s">
        <v>9858</v>
      </c>
      <c r="BP162" t="s">
        <v>182</v>
      </c>
      <c r="BQ162" t="s">
        <v>183</v>
      </c>
      <c r="BR162" t="s">
        <v>176</v>
      </c>
      <c r="BS162" s="5">
        <v>98005</v>
      </c>
      <c r="BT162" s="2">
        <v>125000</v>
      </c>
      <c r="BU162" s="2">
        <v>125001</v>
      </c>
      <c r="BV162" t="s">
        <v>105</v>
      </c>
      <c r="BW162" s="2">
        <v>113110</v>
      </c>
      <c r="BX162" t="s">
        <v>105</v>
      </c>
      <c r="BZ162" t="s">
        <v>167</v>
      </c>
      <c r="CA162" t="str">
        <f t="shared" si="10"/>
        <v>7/1/2020 - 6/30/2021</v>
      </c>
      <c r="CF162">
        <v>2</v>
      </c>
      <c r="CG162" t="s">
        <v>98</v>
      </c>
      <c r="CH162" t="s">
        <v>98</v>
      </c>
      <c r="CI162" t="s">
        <v>206</v>
      </c>
      <c r="CJ162" t="s">
        <v>98</v>
      </c>
      <c r="CK162" t="s">
        <v>12323</v>
      </c>
      <c r="CL162" t="s">
        <v>108</v>
      </c>
      <c r="CM162" t="s">
        <v>109</v>
      </c>
      <c r="CN162" t="str">
        <f>"Sanoussi"</f>
        <v>Sanoussi</v>
      </c>
      <c r="CO162" t="str">
        <f>"Sabirou"</f>
        <v>Sabirou</v>
      </c>
      <c r="CP162" t="str">
        <f>"T"</f>
        <v>T</v>
      </c>
      <c r="CQ162" t="str">
        <f>"Mannam &amp; Associates, LLC"</f>
        <v>Mannam &amp; Associates, LLC</v>
      </c>
      <c r="CR162" t="s">
        <v>3265</v>
      </c>
    </row>
    <row r="163" spans="1:96" x14ac:dyDescent="0.2">
      <c r="A163" t="s">
        <v>9859</v>
      </c>
      <c r="B163" t="s">
        <v>96</v>
      </c>
      <c r="C163" s="1">
        <v>44098</v>
      </c>
      <c r="D163" s="1">
        <v>44105</v>
      </c>
      <c r="F163" t="s">
        <v>97</v>
      </c>
      <c r="G163" t="str">
        <f>"Tibco Developer"</f>
        <v>Tibco Developer</v>
      </c>
      <c r="H163" t="s">
        <v>12169</v>
      </c>
      <c r="I163" t="s">
        <v>124</v>
      </c>
      <c r="J163" t="s">
        <v>98</v>
      </c>
      <c r="K163" s="1">
        <v>44152</v>
      </c>
      <c r="L163" s="1">
        <v>45089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7256</v>
      </c>
      <c r="U163" t="str">
        <f>""</f>
        <v/>
      </c>
      <c r="V163" t="s">
        <v>7257</v>
      </c>
      <c r="W163" t="str">
        <f>""</f>
        <v/>
      </c>
      <c r="X163" t="s">
        <v>1328</v>
      </c>
      <c r="Y163" t="s">
        <v>934</v>
      </c>
      <c r="Z163" s="3">
        <v>68137</v>
      </c>
      <c r="AA163" t="s">
        <v>101</v>
      </c>
      <c r="AC163" s="4" t="str">
        <f>"+14086377976"</f>
        <v>+14086377976</v>
      </c>
      <c r="AE163" t="str">
        <f>"541511"</f>
        <v>541511</v>
      </c>
      <c r="AF163" t="s">
        <v>208</v>
      </c>
      <c r="AG163" t="s">
        <v>7258</v>
      </c>
      <c r="AI163" t="s">
        <v>7259</v>
      </c>
      <c r="AJ163" t="s">
        <v>7257</v>
      </c>
      <c r="AK163" t="str">
        <f>""</f>
        <v/>
      </c>
      <c r="AL163" t="s">
        <v>1328</v>
      </c>
      <c r="AM163" t="s">
        <v>934</v>
      </c>
      <c r="AN163" s="3">
        <v>68137</v>
      </c>
      <c r="AO163" t="s">
        <v>101</v>
      </c>
      <c r="AQ163" t="str">
        <f>"+14086377976"</f>
        <v>+14086377976</v>
      </c>
      <c r="AS163" t="s">
        <v>7260</v>
      </c>
      <c r="AT163" t="s">
        <v>102</v>
      </c>
      <c r="AU163" t="str">
        <f>""</f>
        <v/>
      </c>
      <c r="AV163" t="str">
        <f>""</f>
        <v/>
      </c>
      <c r="AW163" t="str">
        <f>""</f>
        <v/>
      </c>
      <c r="AX163" t="str">
        <f>""</f>
        <v/>
      </c>
      <c r="AY163" t="str">
        <f>""</f>
        <v/>
      </c>
      <c r="AZ163" t="str">
        <f>""</f>
        <v/>
      </c>
      <c r="BA163" t="str">
        <f>""</f>
        <v/>
      </c>
      <c r="BC163" t="str">
        <f>""</f>
        <v/>
      </c>
      <c r="BD163" t="str">
        <f>""</f>
        <v/>
      </c>
      <c r="BE163" t="str">
        <f>""</f>
        <v/>
      </c>
      <c r="BF163" t="str">
        <f>""</f>
        <v/>
      </c>
      <c r="BG163" t="str">
        <f>""</f>
        <v/>
      </c>
      <c r="BH163" t="str">
        <f>""</f>
        <v/>
      </c>
      <c r="BI163" t="str">
        <f>""</f>
        <v/>
      </c>
      <c r="BJ163" t="str">
        <f>""</f>
        <v/>
      </c>
      <c r="BK163">
        <v>1</v>
      </c>
      <c r="BL163" t="s">
        <v>107</v>
      </c>
      <c r="BM163" t="str">
        <f>"Wells Fargo"</f>
        <v>Wells Fargo</v>
      </c>
      <c r="BN163" t="s">
        <v>9860</v>
      </c>
      <c r="BP163" t="s">
        <v>555</v>
      </c>
      <c r="BQ163" t="s">
        <v>1888</v>
      </c>
      <c r="BR163" t="s">
        <v>114</v>
      </c>
      <c r="BS163" s="5">
        <v>75034</v>
      </c>
      <c r="BT163" s="2">
        <v>95300</v>
      </c>
      <c r="BU163" s="2">
        <v>99900</v>
      </c>
      <c r="BV163" t="s">
        <v>105</v>
      </c>
      <c r="BW163" s="2">
        <v>93558</v>
      </c>
      <c r="BX163" t="s">
        <v>105</v>
      </c>
      <c r="BZ163" t="s">
        <v>167</v>
      </c>
      <c r="CA163" t="str">
        <f t="shared" si="10"/>
        <v>7/1/2020 - 6/30/2021</v>
      </c>
      <c r="CF163">
        <v>1</v>
      </c>
      <c r="CG163" t="s">
        <v>98</v>
      </c>
      <c r="CH163" t="s">
        <v>98</v>
      </c>
      <c r="CI163" t="s">
        <v>206</v>
      </c>
      <c r="CJ163" t="s">
        <v>98</v>
      </c>
      <c r="CK163" t="s">
        <v>12323</v>
      </c>
      <c r="CL163" t="s">
        <v>108</v>
      </c>
      <c r="CM163" t="s">
        <v>353</v>
      </c>
      <c r="CN163" t="str">
        <f>"Patel"</f>
        <v>Patel</v>
      </c>
      <c r="CO163" t="str">
        <f>"Mahendra "</f>
        <v xml:space="preserve">Mahendra </v>
      </c>
      <c r="CP163" t="str">
        <f>""</f>
        <v/>
      </c>
      <c r="CQ163" t="str">
        <f>" TECHNOCRATIC INC "</f>
        <v xml:space="preserve"> TECHNOCRATIC INC </v>
      </c>
      <c r="CR163" t="s">
        <v>7260</v>
      </c>
    </row>
    <row r="164" spans="1:96" x14ac:dyDescent="0.2">
      <c r="A164" t="s">
        <v>9861</v>
      </c>
      <c r="B164" t="s">
        <v>96</v>
      </c>
      <c r="C164" s="1">
        <v>44098</v>
      </c>
      <c r="D164" s="1">
        <v>44105</v>
      </c>
      <c r="F164" t="s">
        <v>97</v>
      </c>
      <c r="G164" t="str">
        <f>"Software Developer"</f>
        <v>Software Developer</v>
      </c>
      <c r="H164" t="s">
        <v>12169</v>
      </c>
      <c r="I164" t="s">
        <v>124</v>
      </c>
      <c r="J164" t="s">
        <v>98</v>
      </c>
      <c r="K164" s="1">
        <v>44116</v>
      </c>
      <c r="L164" s="1">
        <v>45210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 t="s">
        <v>1505</v>
      </c>
      <c r="U164" t="str">
        <f>""</f>
        <v/>
      </c>
      <c r="V164" t="s">
        <v>1506</v>
      </c>
      <c r="W164" t="str">
        <f>"SUITE 350"</f>
        <v>SUITE 350</v>
      </c>
      <c r="X164" t="s">
        <v>1507</v>
      </c>
      <c r="Y164" t="s">
        <v>135</v>
      </c>
      <c r="Z164" s="3">
        <v>20171</v>
      </c>
      <c r="AA164" t="s">
        <v>101</v>
      </c>
      <c r="AC164" s="4" t="str">
        <f>"+17038707407"</f>
        <v>+17038707407</v>
      </c>
      <c r="AE164" t="str">
        <f>"541511"</f>
        <v>541511</v>
      </c>
      <c r="AF164" t="s">
        <v>1508</v>
      </c>
      <c r="AG164" t="s">
        <v>1509</v>
      </c>
      <c r="AI164" t="s">
        <v>1510</v>
      </c>
      <c r="AJ164" t="s">
        <v>1506</v>
      </c>
      <c r="AK164" t="str">
        <f>"SUITE 350"</f>
        <v>SUITE 350</v>
      </c>
      <c r="AL164" t="s">
        <v>1507</v>
      </c>
      <c r="AM164" t="s">
        <v>135</v>
      </c>
      <c r="AN164" s="3">
        <v>20171</v>
      </c>
      <c r="AO164" t="s">
        <v>101</v>
      </c>
      <c r="AQ164" t="str">
        <f>"+17038707407"</f>
        <v>+17038707407</v>
      </c>
      <c r="AS164" t="s">
        <v>1511</v>
      </c>
      <c r="AT164" t="s">
        <v>102</v>
      </c>
      <c r="AU164" t="str">
        <f>""</f>
        <v/>
      </c>
      <c r="AV164" t="str">
        <f>""</f>
        <v/>
      </c>
      <c r="AW164" t="str">
        <f>""</f>
        <v/>
      </c>
      <c r="AX164" t="str">
        <f>""</f>
        <v/>
      </c>
      <c r="AY164" t="str">
        <f>""</f>
        <v/>
      </c>
      <c r="AZ164" t="str">
        <f>""</f>
        <v/>
      </c>
      <c r="BA164" t="str">
        <f>""</f>
        <v/>
      </c>
      <c r="BC164" t="str">
        <f>""</f>
        <v/>
      </c>
      <c r="BD164" t="str">
        <f>""</f>
        <v/>
      </c>
      <c r="BE164" t="str">
        <f>""</f>
        <v/>
      </c>
      <c r="BF164" t="str">
        <f>""</f>
        <v/>
      </c>
      <c r="BG164" t="str">
        <f>""</f>
        <v/>
      </c>
      <c r="BH164" t="str">
        <f>""</f>
        <v/>
      </c>
      <c r="BI164" t="str">
        <f>""</f>
        <v/>
      </c>
      <c r="BJ164" t="str">
        <f>""</f>
        <v/>
      </c>
      <c r="BK164">
        <v>1</v>
      </c>
      <c r="BL164" t="s">
        <v>107</v>
      </c>
      <c r="BM164" t="str">
        <f>"NTT Data"</f>
        <v>NTT Data</v>
      </c>
      <c r="BN164" t="s">
        <v>9862</v>
      </c>
      <c r="BP164" t="s">
        <v>184</v>
      </c>
      <c r="BQ164" t="s">
        <v>185</v>
      </c>
      <c r="BR164" t="s">
        <v>186</v>
      </c>
      <c r="BS164" s="5">
        <v>55344</v>
      </c>
      <c r="BT164" s="2">
        <v>89000</v>
      </c>
      <c r="BU164" s="2">
        <v>106000</v>
      </c>
      <c r="BV164" t="s">
        <v>105</v>
      </c>
      <c r="BW164" s="2">
        <v>88712</v>
      </c>
      <c r="BX164" t="s">
        <v>105</v>
      </c>
      <c r="BZ164" t="s">
        <v>167</v>
      </c>
      <c r="CA164" t="str">
        <f t="shared" si="10"/>
        <v>7/1/2020 - 6/30/2021</v>
      </c>
      <c r="CF164">
        <v>2</v>
      </c>
      <c r="CG164" t="s">
        <v>98</v>
      </c>
      <c r="CH164" t="s">
        <v>98</v>
      </c>
      <c r="CI164" t="s">
        <v>206</v>
      </c>
      <c r="CJ164" t="s">
        <v>98</v>
      </c>
      <c r="CK164" t="s">
        <v>12323</v>
      </c>
      <c r="CL164" t="s">
        <v>108</v>
      </c>
      <c r="CM164" t="s">
        <v>109</v>
      </c>
      <c r="CN164" t="str">
        <f>""</f>
        <v/>
      </c>
      <c r="CO164" t="str">
        <f>""</f>
        <v/>
      </c>
      <c r="CP164" t="str">
        <f>""</f>
        <v/>
      </c>
      <c r="CQ164" t="str">
        <f>""</f>
        <v/>
      </c>
    </row>
    <row r="165" spans="1:96" x14ac:dyDescent="0.2">
      <c r="A165" t="s">
        <v>9863</v>
      </c>
      <c r="B165" t="s">
        <v>96</v>
      </c>
      <c r="C165" s="1">
        <v>44098</v>
      </c>
      <c r="D165" s="1">
        <v>44105</v>
      </c>
      <c r="F165" t="s">
        <v>97</v>
      </c>
      <c r="G165" t="str">
        <f>"Software Engineer"</f>
        <v>Software Engineer</v>
      </c>
      <c r="H165" t="s">
        <v>12169</v>
      </c>
      <c r="I165" t="s">
        <v>124</v>
      </c>
      <c r="J165" t="s">
        <v>98</v>
      </c>
      <c r="K165" s="1">
        <v>44099</v>
      </c>
      <c r="L165" s="1">
        <v>45193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8093</v>
      </c>
      <c r="U165" t="str">
        <f>""</f>
        <v/>
      </c>
      <c r="V165" t="s">
        <v>8094</v>
      </c>
      <c r="W165" t="str">
        <f>"Suite LL7"</f>
        <v>Suite LL7</v>
      </c>
      <c r="X165" t="s">
        <v>4764</v>
      </c>
      <c r="Y165" t="s">
        <v>1035</v>
      </c>
      <c r="Z165" s="3">
        <v>3062</v>
      </c>
      <c r="AA165" t="s">
        <v>101</v>
      </c>
      <c r="AC165" s="4" t="str">
        <f>"+16038911200"</f>
        <v>+16038911200</v>
      </c>
      <c r="AE165" t="str">
        <f>"54151"</f>
        <v>54151</v>
      </c>
      <c r="AF165" t="s">
        <v>8095</v>
      </c>
      <c r="AG165" t="s">
        <v>3264</v>
      </c>
      <c r="AI165" t="s">
        <v>508</v>
      </c>
      <c r="AJ165" t="s">
        <v>8094</v>
      </c>
      <c r="AK165" t="str">
        <f>"Suite LL7"</f>
        <v>Suite LL7</v>
      </c>
      <c r="AL165" t="s">
        <v>4764</v>
      </c>
      <c r="AM165" t="s">
        <v>1035</v>
      </c>
      <c r="AN165" s="3">
        <v>3062</v>
      </c>
      <c r="AO165" t="s">
        <v>101</v>
      </c>
      <c r="AQ165" t="str">
        <f>"+16038911200"</f>
        <v>+16038911200</v>
      </c>
      <c r="AS165" t="s">
        <v>8096</v>
      </c>
      <c r="AT165" t="s">
        <v>102</v>
      </c>
      <c r="AU165" t="str">
        <f>""</f>
        <v/>
      </c>
      <c r="AV165" t="str">
        <f>""</f>
        <v/>
      </c>
      <c r="AW165" t="str">
        <f>""</f>
        <v/>
      </c>
      <c r="AX165" t="str">
        <f>""</f>
        <v/>
      </c>
      <c r="AY165" t="str">
        <f>""</f>
        <v/>
      </c>
      <c r="AZ165" t="str">
        <f>""</f>
        <v/>
      </c>
      <c r="BA165" t="str">
        <f>""</f>
        <v/>
      </c>
      <c r="BC165" t="str">
        <f>""</f>
        <v/>
      </c>
      <c r="BD165" t="str">
        <f>""</f>
        <v/>
      </c>
      <c r="BE165" t="str">
        <f>""</f>
        <v/>
      </c>
      <c r="BF165" t="str">
        <f>""</f>
        <v/>
      </c>
      <c r="BG165" t="str">
        <f>""</f>
        <v/>
      </c>
      <c r="BH165" t="str">
        <f>""</f>
        <v/>
      </c>
      <c r="BI165" t="str">
        <f>""</f>
        <v/>
      </c>
      <c r="BJ165" t="str">
        <f>""</f>
        <v/>
      </c>
      <c r="BK165">
        <v>1</v>
      </c>
      <c r="BL165" t="s">
        <v>102</v>
      </c>
      <c r="BM165" t="str">
        <f>""</f>
        <v/>
      </c>
      <c r="BN165" t="s">
        <v>8094</v>
      </c>
      <c r="BO165" t="s">
        <v>9864</v>
      </c>
      <c r="BP165" t="s">
        <v>4764</v>
      </c>
      <c r="BQ165" t="s">
        <v>4461</v>
      </c>
      <c r="BR165" t="s">
        <v>1035</v>
      </c>
      <c r="BS165" s="5">
        <v>3062</v>
      </c>
      <c r="BT165" s="2">
        <v>97000</v>
      </c>
      <c r="BV165" t="s">
        <v>105</v>
      </c>
      <c r="BW165" s="2">
        <v>96242</v>
      </c>
      <c r="BX165" t="s">
        <v>105</v>
      </c>
      <c r="BZ165" t="s">
        <v>167</v>
      </c>
      <c r="CA165" t="str">
        <f t="shared" si="10"/>
        <v>7/1/2020 - 6/30/2021</v>
      </c>
      <c r="CF165">
        <v>1</v>
      </c>
      <c r="CG165" t="s">
        <v>98</v>
      </c>
      <c r="CH165" t="s">
        <v>98</v>
      </c>
      <c r="CI165" t="s">
        <v>206</v>
      </c>
      <c r="CJ165" t="s">
        <v>98</v>
      </c>
      <c r="CK165" t="s">
        <v>12323</v>
      </c>
      <c r="CL165" t="s">
        <v>108</v>
      </c>
      <c r="CM165" t="s">
        <v>109</v>
      </c>
      <c r="CN165" t="str">
        <f>""</f>
        <v/>
      </c>
      <c r="CO165" t="str">
        <f>""</f>
        <v/>
      </c>
      <c r="CP165" t="str">
        <f>""</f>
        <v/>
      </c>
      <c r="CQ165" t="str">
        <f>""</f>
        <v/>
      </c>
    </row>
    <row r="166" spans="1:96" x14ac:dyDescent="0.2">
      <c r="A166" t="s">
        <v>9914</v>
      </c>
      <c r="B166" t="s">
        <v>96</v>
      </c>
      <c r="C166" s="1">
        <v>44098</v>
      </c>
      <c r="D166" s="1">
        <v>44105</v>
      </c>
      <c r="F166" t="s">
        <v>97</v>
      </c>
      <c r="G166" t="str">
        <f>"Senior Software Developer"</f>
        <v>Senior Software Developer</v>
      </c>
      <c r="H166" t="s">
        <v>12169</v>
      </c>
      <c r="I166" t="s">
        <v>124</v>
      </c>
      <c r="J166" t="s">
        <v>98</v>
      </c>
      <c r="K166" s="1">
        <v>44105</v>
      </c>
      <c r="L166" s="1">
        <v>45199</v>
      </c>
      <c r="M166">
        <v>6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 t="s">
        <v>1634</v>
      </c>
      <c r="U166" t="str">
        <f>"Mastech Digital Technologies, Inc."</f>
        <v>Mastech Digital Technologies, Inc.</v>
      </c>
      <c r="V166" t="s">
        <v>1081</v>
      </c>
      <c r="W166" t="str">
        <f>"Building 210, Suite 400"</f>
        <v>Building 210, Suite 400</v>
      </c>
      <c r="X166" t="s">
        <v>1082</v>
      </c>
      <c r="Y166" t="s">
        <v>127</v>
      </c>
      <c r="Z166" s="3">
        <v>15018</v>
      </c>
      <c r="AA166" t="s">
        <v>101</v>
      </c>
      <c r="AB166" t="s">
        <v>127</v>
      </c>
      <c r="AC166" s="4" t="str">
        <f>"+14127879553"</f>
        <v>+14127879553</v>
      </c>
      <c r="AE166" t="str">
        <f>"541511"</f>
        <v>541511</v>
      </c>
      <c r="AF166" t="s">
        <v>1083</v>
      </c>
      <c r="AG166" t="s">
        <v>1084</v>
      </c>
      <c r="AI166" t="s">
        <v>1085</v>
      </c>
      <c r="AJ166" t="s">
        <v>1081</v>
      </c>
      <c r="AK166" t="str">
        <f>"Bldg. 210, Ste 400"</f>
        <v>Bldg. 210, Ste 400</v>
      </c>
      <c r="AL166" t="s">
        <v>1082</v>
      </c>
      <c r="AM166" t="s">
        <v>127</v>
      </c>
      <c r="AN166" s="3">
        <v>15108</v>
      </c>
      <c r="AO166" t="s">
        <v>101</v>
      </c>
      <c r="AQ166" t="str">
        <f>"+14127879553"</f>
        <v>+14127879553</v>
      </c>
      <c r="AS166" t="s">
        <v>1086</v>
      </c>
      <c r="AT166" t="s">
        <v>102</v>
      </c>
      <c r="AU166" t="str">
        <f>""</f>
        <v/>
      </c>
      <c r="AV166" t="str">
        <f>""</f>
        <v/>
      </c>
      <c r="AW166" t="str">
        <f>""</f>
        <v/>
      </c>
      <c r="AX166" t="str">
        <f>""</f>
        <v/>
      </c>
      <c r="AY166" t="str">
        <f>""</f>
        <v/>
      </c>
      <c r="AZ166" t="str">
        <f>""</f>
        <v/>
      </c>
      <c r="BA166" t="str">
        <f>""</f>
        <v/>
      </c>
      <c r="BC166" t="str">
        <f>""</f>
        <v/>
      </c>
      <c r="BD166" t="str">
        <f>""</f>
        <v/>
      </c>
      <c r="BE166" t="str">
        <f>""</f>
        <v/>
      </c>
      <c r="BF166" t="str">
        <f>""</f>
        <v/>
      </c>
      <c r="BG166" t="str">
        <f>""</f>
        <v/>
      </c>
      <c r="BH166" t="str">
        <f>""</f>
        <v/>
      </c>
      <c r="BI166" t="str">
        <f>""</f>
        <v/>
      </c>
      <c r="BJ166" t="str">
        <f>""</f>
        <v/>
      </c>
      <c r="BK166">
        <v>6</v>
      </c>
      <c r="BL166" t="s">
        <v>107</v>
      </c>
      <c r="BM166" t="str">
        <f>"PNC Bank"</f>
        <v>PNC Bank</v>
      </c>
      <c r="BN166" t="s">
        <v>7531</v>
      </c>
      <c r="BP166" t="s">
        <v>1647</v>
      </c>
      <c r="BQ166" t="s">
        <v>1087</v>
      </c>
      <c r="BR166" t="s">
        <v>225</v>
      </c>
      <c r="BS166" s="5">
        <v>44135</v>
      </c>
      <c r="BT166" s="2">
        <v>87006</v>
      </c>
      <c r="BU166" s="2">
        <v>102006</v>
      </c>
      <c r="BV166" t="s">
        <v>105</v>
      </c>
      <c r="BW166" s="2">
        <v>87006</v>
      </c>
      <c r="BX166" t="s">
        <v>105</v>
      </c>
      <c r="BZ166" t="s">
        <v>123</v>
      </c>
      <c r="CA166" t="str">
        <f t="shared" si="10"/>
        <v>7/1/2020 - 6/30/2021</v>
      </c>
      <c r="CF166">
        <v>2</v>
      </c>
      <c r="CG166" t="s">
        <v>98</v>
      </c>
      <c r="CH166" t="s">
        <v>98</v>
      </c>
      <c r="CI166" t="s">
        <v>206</v>
      </c>
      <c r="CJ166" t="s">
        <v>98</v>
      </c>
      <c r="CK166" t="s">
        <v>12323</v>
      </c>
      <c r="CL166" t="s">
        <v>108</v>
      </c>
      <c r="CM166" t="s">
        <v>109</v>
      </c>
      <c r="CN166" t="str">
        <f>""</f>
        <v/>
      </c>
      <c r="CO166" t="str">
        <f>""</f>
        <v/>
      </c>
      <c r="CP166" t="str">
        <f>""</f>
        <v/>
      </c>
      <c r="CQ166" t="str">
        <f>""</f>
        <v/>
      </c>
    </row>
    <row r="167" spans="1:96" x14ac:dyDescent="0.2">
      <c r="A167" t="s">
        <v>9922</v>
      </c>
      <c r="B167" t="s">
        <v>96</v>
      </c>
      <c r="C167" s="1">
        <v>44098</v>
      </c>
      <c r="D167" s="1">
        <v>44105</v>
      </c>
      <c r="F167" t="s">
        <v>97</v>
      </c>
      <c r="G167" t="str">
        <f>"Manager JC50"</f>
        <v>Manager JC50</v>
      </c>
      <c r="H167" t="s">
        <v>12181</v>
      </c>
      <c r="I167" t="s">
        <v>110</v>
      </c>
      <c r="J167" t="s">
        <v>98</v>
      </c>
      <c r="K167" s="1">
        <v>44106</v>
      </c>
      <c r="L167" s="1">
        <v>45200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 t="s">
        <v>111</v>
      </c>
      <c r="U167" t="str">
        <f>"CTSUS"</f>
        <v>CTSUS</v>
      </c>
      <c r="V167" t="s">
        <v>112</v>
      </c>
      <c r="W167" t="str">
        <f>""</f>
        <v/>
      </c>
      <c r="X167" t="s">
        <v>113</v>
      </c>
      <c r="Y167" t="s">
        <v>114</v>
      </c>
      <c r="Z167" s="3">
        <v>77845</v>
      </c>
      <c r="AA167" t="s">
        <v>101</v>
      </c>
      <c r="AB167" t="s">
        <v>114</v>
      </c>
      <c r="AC167" s="4" t="str">
        <f>"+19793296682"</f>
        <v>+19793296682</v>
      </c>
      <c r="AE167" t="str">
        <f>"541512"</f>
        <v>541512</v>
      </c>
      <c r="AF167" t="s">
        <v>115</v>
      </c>
      <c r="AG167" t="s">
        <v>116</v>
      </c>
      <c r="AH167" t="s">
        <v>108</v>
      </c>
      <c r="AI167" t="s">
        <v>117</v>
      </c>
      <c r="AJ167" t="s">
        <v>118</v>
      </c>
      <c r="AK167" t="str">
        <f>""</f>
        <v/>
      </c>
      <c r="AL167" t="s">
        <v>119</v>
      </c>
      <c r="AM167" t="s">
        <v>114</v>
      </c>
      <c r="AN167" s="3">
        <v>77845</v>
      </c>
      <c r="AO167" t="s">
        <v>101</v>
      </c>
      <c r="AQ167" t="str">
        <f>"+19793296682"</f>
        <v>+19793296682</v>
      </c>
      <c r="AS167" t="s">
        <v>120</v>
      </c>
      <c r="AT167" t="s">
        <v>102</v>
      </c>
      <c r="AU167" t="str">
        <f>""</f>
        <v/>
      </c>
      <c r="AV167" t="str">
        <f>""</f>
        <v/>
      </c>
      <c r="AW167" t="str">
        <f>""</f>
        <v/>
      </c>
      <c r="AX167" t="str">
        <f>""</f>
        <v/>
      </c>
      <c r="AY167" t="str">
        <f>""</f>
        <v/>
      </c>
      <c r="AZ167" t="str">
        <f>""</f>
        <v/>
      </c>
      <c r="BA167" t="str">
        <f>""</f>
        <v/>
      </c>
      <c r="BC167" t="str">
        <f>""</f>
        <v/>
      </c>
      <c r="BD167" t="str">
        <f>""</f>
        <v/>
      </c>
      <c r="BE167" t="str">
        <f>""</f>
        <v/>
      </c>
      <c r="BF167" t="str">
        <f>""</f>
        <v/>
      </c>
      <c r="BG167" t="str">
        <f>""</f>
        <v/>
      </c>
      <c r="BH167" t="str">
        <f>""</f>
        <v/>
      </c>
      <c r="BI167" t="str">
        <f>""</f>
        <v/>
      </c>
      <c r="BJ167" t="str">
        <f>""</f>
        <v/>
      </c>
      <c r="BK167">
        <v>1</v>
      </c>
      <c r="BL167" t="s">
        <v>107</v>
      </c>
      <c r="BM167" t="str">
        <f>"Comerica Bank"</f>
        <v>Comerica Bank</v>
      </c>
      <c r="BN167" t="s">
        <v>4184</v>
      </c>
      <c r="BP167" t="s">
        <v>2444</v>
      </c>
      <c r="BQ167" t="s">
        <v>719</v>
      </c>
      <c r="BR167" t="s">
        <v>265</v>
      </c>
      <c r="BS167" s="5">
        <v>48326</v>
      </c>
      <c r="BT167" s="2">
        <v>89294</v>
      </c>
      <c r="BV167" t="s">
        <v>105</v>
      </c>
      <c r="BW167" s="2">
        <v>89294</v>
      </c>
      <c r="BX167" t="s">
        <v>105</v>
      </c>
      <c r="BZ167" t="s">
        <v>123</v>
      </c>
      <c r="CA167" t="str">
        <f t="shared" si="10"/>
        <v>7/1/2020 - 6/30/2021</v>
      </c>
      <c r="CF167">
        <v>1</v>
      </c>
      <c r="CG167" t="s">
        <v>98</v>
      </c>
      <c r="CH167" t="s">
        <v>98</v>
      </c>
      <c r="CI167" t="s">
        <v>206</v>
      </c>
      <c r="CJ167" t="s">
        <v>98</v>
      </c>
      <c r="CK167" t="s">
        <v>12323</v>
      </c>
      <c r="CL167" t="s">
        <v>108</v>
      </c>
      <c r="CM167" t="s">
        <v>109</v>
      </c>
      <c r="CN167" t="str">
        <f>""</f>
        <v/>
      </c>
      <c r="CO167" t="str">
        <f>""</f>
        <v/>
      </c>
      <c r="CP167" t="str">
        <f>""</f>
        <v/>
      </c>
      <c r="CQ167" t="str">
        <f>""</f>
        <v/>
      </c>
    </row>
    <row r="168" spans="1:96" x14ac:dyDescent="0.2">
      <c r="A168" t="s">
        <v>9971</v>
      </c>
      <c r="B168" t="s">
        <v>96</v>
      </c>
      <c r="C168" s="1">
        <v>44098</v>
      </c>
      <c r="D168" s="1">
        <v>44105</v>
      </c>
      <c r="F168" t="s">
        <v>97</v>
      </c>
      <c r="G168" t="str">
        <f>"TEST SPECIALIST"</f>
        <v>TEST SPECIALIST</v>
      </c>
      <c r="H168" t="s">
        <v>12168</v>
      </c>
      <c r="I168" t="s">
        <v>319</v>
      </c>
      <c r="J168" t="s">
        <v>98</v>
      </c>
      <c r="K168" s="1">
        <v>44105</v>
      </c>
      <c r="L168" s="1">
        <v>45192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1143</v>
      </c>
      <c r="U168" t="str">
        <f>""</f>
        <v/>
      </c>
      <c r="V168" t="s">
        <v>1144</v>
      </c>
      <c r="W168" t="str">
        <f>"N/A"</f>
        <v>N/A</v>
      </c>
      <c r="X168" t="s">
        <v>1145</v>
      </c>
      <c r="Y168" t="s">
        <v>100</v>
      </c>
      <c r="Z168" s="3">
        <v>7059</v>
      </c>
      <c r="AA168" t="s">
        <v>101</v>
      </c>
      <c r="AC168" s="4" t="str">
        <f>"+14254959011"</f>
        <v>+14254959011</v>
      </c>
      <c r="AE168" t="str">
        <f>"541511"</f>
        <v>541511</v>
      </c>
      <c r="AF168" t="s">
        <v>1146</v>
      </c>
      <c r="AG168" t="s">
        <v>359</v>
      </c>
      <c r="AH168" t="s">
        <v>108</v>
      </c>
      <c r="AI168" t="s">
        <v>1147</v>
      </c>
      <c r="AJ168" t="s">
        <v>1148</v>
      </c>
      <c r="AK168" t="str">
        <f>"N/A"</f>
        <v>N/A</v>
      </c>
      <c r="AL168" t="s">
        <v>498</v>
      </c>
      <c r="AM168" t="s">
        <v>176</v>
      </c>
      <c r="AN168" s="3">
        <v>98052</v>
      </c>
      <c r="AO168" t="s">
        <v>101</v>
      </c>
      <c r="AQ168" t="str">
        <f>"+14254959011"</f>
        <v>+14254959011</v>
      </c>
      <c r="AS168" t="s">
        <v>1149</v>
      </c>
      <c r="AT168" t="s">
        <v>107</v>
      </c>
      <c r="AU168" t="str">
        <f>"PATEL"</f>
        <v>PATEL</v>
      </c>
      <c r="AV168" t="str">
        <f>"TEJAL"</f>
        <v>TEJAL</v>
      </c>
      <c r="AW168" t="str">
        <f>""</f>
        <v/>
      </c>
      <c r="AX168" t="str">
        <f>"100 HIGH STREET"</f>
        <v>100 HIGH STREET</v>
      </c>
      <c r="AY168" t="str">
        <f>"FLOOR 3"</f>
        <v>FLOOR 3</v>
      </c>
      <c r="AZ168" t="str">
        <f>"BOSTON"</f>
        <v>BOSTON</v>
      </c>
      <c r="BA168" t="str">
        <f>"MA"</f>
        <v>MA</v>
      </c>
      <c r="BB168" s="3">
        <v>2110</v>
      </c>
      <c r="BC168" t="str">
        <f>"UNITED STATES OF AMERICA"</f>
        <v>UNITED STATES OF AMERICA</v>
      </c>
      <c r="BD168" t="str">
        <f>""</f>
        <v/>
      </c>
      <c r="BE168" t="str">
        <f>"+16175740400"</f>
        <v>+16175740400</v>
      </c>
      <c r="BF168" t="str">
        <f>""</f>
        <v/>
      </c>
      <c r="BG168" t="str">
        <f>"MINDTREEUSA@FRAGOMEN.COM"</f>
        <v>MINDTREEUSA@FRAGOMEN.COM</v>
      </c>
      <c r="BH168" t="str">
        <f>"FRAGOMEN, DEL REY, BERNSEN &amp; LOEWY, LLP"</f>
        <v>FRAGOMEN, DEL REY, BERNSEN &amp; LOEWY, LLP</v>
      </c>
      <c r="BI168" t="str">
        <f>"MA"</f>
        <v>MA</v>
      </c>
      <c r="BJ168" t="str">
        <f>"SUPREME JUDICIAL COURT"</f>
        <v>SUPREME JUDICIAL COURT</v>
      </c>
      <c r="BK168">
        <v>1</v>
      </c>
      <c r="BL168" t="s">
        <v>102</v>
      </c>
      <c r="BM168" t="str">
        <f>""</f>
        <v/>
      </c>
      <c r="BN168" t="s">
        <v>9972</v>
      </c>
      <c r="BP168" t="s">
        <v>3555</v>
      </c>
      <c r="BQ168" t="s">
        <v>484</v>
      </c>
      <c r="BR168" t="s">
        <v>114</v>
      </c>
      <c r="BS168" s="5">
        <v>75019</v>
      </c>
      <c r="BT168" s="2">
        <v>78389</v>
      </c>
      <c r="BV168" t="s">
        <v>105</v>
      </c>
      <c r="BW168" s="2">
        <v>74027</v>
      </c>
      <c r="BX168" t="s">
        <v>105</v>
      </c>
      <c r="BZ168" t="s">
        <v>167</v>
      </c>
      <c r="CA168" t="str">
        <f t="shared" si="10"/>
        <v>7/1/2020 - 6/30/2021</v>
      </c>
      <c r="CF168">
        <v>1</v>
      </c>
      <c r="CG168" t="s">
        <v>98</v>
      </c>
      <c r="CH168" t="s">
        <v>98</v>
      </c>
      <c r="CI168" t="s">
        <v>206</v>
      </c>
      <c r="CJ168" t="s">
        <v>98</v>
      </c>
      <c r="CK168" t="s">
        <v>12323</v>
      </c>
      <c r="CL168" t="s">
        <v>108</v>
      </c>
      <c r="CM168" t="s">
        <v>109</v>
      </c>
      <c r="CN168" t="str">
        <f>"SHAJI"</f>
        <v>SHAJI</v>
      </c>
      <c r="CO168" t="str">
        <f>"SHRUTHI"</f>
        <v>SHRUTHI</v>
      </c>
      <c r="CP168" t="str">
        <f>"N/A"</f>
        <v>N/A</v>
      </c>
      <c r="CQ168" t="str">
        <f>"FRAGOMEN, DEL REY, BERNSEN &amp; LOEWY, LLP"</f>
        <v>FRAGOMEN, DEL REY, BERNSEN &amp; LOEWY, LLP</v>
      </c>
      <c r="CR168" t="s">
        <v>1150</v>
      </c>
    </row>
    <row r="169" spans="1:96" x14ac:dyDescent="0.2">
      <c r="A169" t="s">
        <v>9974</v>
      </c>
      <c r="B169" t="s">
        <v>96</v>
      </c>
      <c r="C169" s="1">
        <v>44098</v>
      </c>
      <c r="D169" s="1">
        <v>44105</v>
      </c>
      <c r="F169" t="s">
        <v>97</v>
      </c>
      <c r="G169" t="str">
        <f>"Customer Success Director"</f>
        <v>Customer Success Director</v>
      </c>
      <c r="H169" t="s">
        <v>12227</v>
      </c>
      <c r="I169" t="s">
        <v>766</v>
      </c>
      <c r="J169" t="s">
        <v>98</v>
      </c>
      <c r="K169" s="1">
        <v>44119</v>
      </c>
      <c r="L169" s="1">
        <v>45213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 t="s">
        <v>4992</v>
      </c>
      <c r="U169" t="str">
        <f>""</f>
        <v/>
      </c>
      <c r="V169" t="s">
        <v>4993</v>
      </c>
      <c r="W169" t="str">
        <f>"Ste. 207"</f>
        <v>Ste. 207</v>
      </c>
      <c r="X169" t="s">
        <v>762</v>
      </c>
      <c r="Y169" t="s">
        <v>141</v>
      </c>
      <c r="Z169" s="3">
        <v>95035</v>
      </c>
      <c r="AA169" t="s">
        <v>101</v>
      </c>
      <c r="AC169" s="4" t="str">
        <f>"+14087089307"</f>
        <v>+14087089307</v>
      </c>
      <c r="AE169" t="str">
        <f>"541511"</f>
        <v>541511</v>
      </c>
      <c r="AF169" t="s">
        <v>4994</v>
      </c>
      <c r="AG169" t="s">
        <v>4995</v>
      </c>
      <c r="AI169" t="s">
        <v>1700</v>
      </c>
      <c r="AJ169" t="s">
        <v>4993</v>
      </c>
      <c r="AK169" t="str">
        <f>"Ste. 207"</f>
        <v>Ste. 207</v>
      </c>
      <c r="AL169" t="s">
        <v>762</v>
      </c>
      <c r="AM169" t="s">
        <v>141</v>
      </c>
      <c r="AN169" s="3">
        <v>95035</v>
      </c>
      <c r="AO169" t="s">
        <v>101</v>
      </c>
      <c r="AQ169" t="str">
        <f>"+14087089307"</f>
        <v>+14087089307</v>
      </c>
      <c r="AS169" t="s">
        <v>4996</v>
      </c>
      <c r="AT169" t="s">
        <v>107</v>
      </c>
      <c r="AU169" t="str">
        <f>"Yildirim"</f>
        <v>Yildirim</v>
      </c>
      <c r="AV169" t="str">
        <f>"Onur"</f>
        <v>Onur</v>
      </c>
      <c r="AW169" t="str">
        <f>""</f>
        <v/>
      </c>
      <c r="AX169" t="str">
        <f>"30300 Agoura Road"</f>
        <v>30300 Agoura Road</v>
      </c>
      <c r="AY169" t="str">
        <f>"Ste. B100"</f>
        <v>Ste. B100</v>
      </c>
      <c r="AZ169" t="str">
        <f>"Agoura Hills"</f>
        <v>Agoura Hills</v>
      </c>
      <c r="BA169" t="str">
        <f>"CA"</f>
        <v>CA</v>
      </c>
      <c r="BB169" s="3">
        <v>91301</v>
      </c>
      <c r="BC169" t="str">
        <f>"UNITED STATES OF AMERICA"</f>
        <v>UNITED STATES OF AMERICA</v>
      </c>
      <c r="BD169" t="str">
        <f>""</f>
        <v/>
      </c>
      <c r="BE169" t="str">
        <f>"+18189146482"</f>
        <v>+18189146482</v>
      </c>
      <c r="BF169" t="str">
        <f>""</f>
        <v/>
      </c>
      <c r="BG169" t="str">
        <f>"Admin@gotcherlaw.com"</f>
        <v>Admin@gotcherlaw.com</v>
      </c>
      <c r="BH169" t="str">
        <f>"Global Immigration Partners, Inc"</f>
        <v>Global Immigration Partners, Inc</v>
      </c>
      <c r="BI169" t="str">
        <f>"GA"</f>
        <v>GA</v>
      </c>
      <c r="BJ169" t="str">
        <f>"Gwinnett County Superior Court"</f>
        <v>Gwinnett County Superior Court</v>
      </c>
      <c r="BK169">
        <v>1</v>
      </c>
      <c r="BL169" t="s">
        <v>102</v>
      </c>
      <c r="BM169" t="str">
        <f>""</f>
        <v/>
      </c>
      <c r="BN169" t="s">
        <v>9975</v>
      </c>
      <c r="BO169" t="s">
        <v>7224</v>
      </c>
      <c r="BP169" t="s">
        <v>1152</v>
      </c>
      <c r="BQ169" t="s">
        <v>640</v>
      </c>
      <c r="BR169" t="s">
        <v>641</v>
      </c>
      <c r="BS169" s="5">
        <v>72713</v>
      </c>
      <c r="BT169" s="2">
        <v>115000</v>
      </c>
      <c r="BV169" t="s">
        <v>105</v>
      </c>
      <c r="BW169" s="2">
        <v>106371</v>
      </c>
      <c r="BX169" t="s">
        <v>105</v>
      </c>
      <c r="BZ169" t="s">
        <v>123</v>
      </c>
      <c r="CA169" t="str">
        <f t="shared" si="10"/>
        <v>7/1/2020 - 6/30/2021</v>
      </c>
      <c r="CF169">
        <v>1</v>
      </c>
      <c r="CG169" t="s">
        <v>98</v>
      </c>
      <c r="CH169" t="s">
        <v>98</v>
      </c>
      <c r="CI169" t="s">
        <v>206</v>
      </c>
      <c r="CJ169" t="s">
        <v>98</v>
      </c>
      <c r="CK169" t="s">
        <v>12323</v>
      </c>
      <c r="CL169" t="s">
        <v>108</v>
      </c>
      <c r="CM169" t="s">
        <v>109</v>
      </c>
      <c r="CN169" t="str">
        <f>"Yildirim"</f>
        <v>Yildirim</v>
      </c>
      <c r="CO169" t="str">
        <f>"Onur"</f>
        <v>Onur</v>
      </c>
      <c r="CP169" t="str">
        <f>""</f>
        <v/>
      </c>
      <c r="CQ169" t="str">
        <f>"Global Immigration Partners, Inc"</f>
        <v>Global Immigration Partners, Inc</v>
      </c>
      <c r="CR169" t="s">
        <v>1275</v>
      </c>
    </row>
    <row r="170" spans="1:96" x14ac:dyDescent="0.2">
      <c r="A170" t="s">
        <v>10011</v>
      </c>
      <c r="B170" t="s">
        <v>96</v>
      </c>
      <c r="C170" s="1">
        <v>44098</v>
      </c>
      <c r="D170" s="1">
        <v>44105</v>
      </c>
      <c r="F170" t="s">
        <v>97</v>
      </c>
      <c r="G170" t="str">
        <f>"Project Manager 4"</f>
        <v>Project Manager 4</v>
      </c>
      <c r="H170" t="s">
        <v>12168</v>
      </c>
      <c r="I170" t="s">
        <v>367</v>
      </c>
      <c r="J170" t="s">
        <v>98</v>
      </c>
      <c r="K170" s="1">
        <v>44098</v>
      </c>
      <c r="L170" s="1">
        <v>45167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1421</v>
      </c>
      <c r="U170" t="str">
        <f>""</f>
        <v/>
      </c>
      <c r="V170" t="s">
        <v>1422</v>
      </c>
      <c r="W170" t="str">
        <f>"SUITE 300"</f>
        <v>SUITE 300</v>
      </c>
      <c r="X170" t="s">
        <v>843</v>
      </c>
      <c r="Y170" t="s">
        <v>345</v>
      </c>
      <c r="Z170" s="3">
        <v>60606</v>
      </c>
      <c r="AA170" t="s">
        <v>101</v>
      </c>
      <c r="AC170" s="4" t="str">
        <f>"+13123955000"</f>
        <v>+13123955000</v>
      </c>
      <c r="AE170" t="str">
        <f>"5416"</f>
        <v>5416</v>
      </c>
      <c r="AF170" t="s">
        <v>1423</v>
      </c>
      <c r="AG170" t="s">
        <v>1424</v>
      </c>
      <c r="AI170" t="s">
        <v>1425</v>
      </c>
      <c r="AJ170" t="s">
        <v>1422</v>
      </c>
      <c r="AK170" t="str">
        <f>"SUITE 300"</f>
        <v>SUITE 300</v>
      </c>
      <c r="AL170" t="s">
        <v>843</v>
      </c>
      <c r="AM170" t="s">
        <v>345</v>
      </c>
      <c r="AN170" s="3">
        <v>60606</v>
      </c>
      <c r="AO170" t="s">
        <v>101</v>
      </c>
      <c r="AQ170" t="str">
        <f>"+13123958209"</f>
        <v>+13123958209</v>
      </c>
      <c r="AS170" t="s">
        <v>1426</v>
      </c>
      <c r="AT170" t="s">
        <v>102</v>
      </c>
      <c r="AU170" t="str">
        <f>""</f>
        <v/>
      </c>
      <c r="AV170" t="str">
        <f>""</f>
        <v/>
      </c>
      <c r="AW170" t="str">
        <f>""</f>
        <v/>
      </c>
      <c r="AX170" t="str">
        <f>""</f>
        <v/>
      </c>
      <c r="AY170" t="str">
        <f>""</f>
        <v/>
      </c>
      <c r="AZ170" t="str">
        <f>""</f>
        <v/>
      </c>
      <c r="BA170" t="str">
        <f>""</f>
        <v/>
      </c>
      <c r="BC170" t="str">
        <f>""</f>
        <v/>
      </c>
      <c r="BD170" t="str">
        <f>""</f>
        <v/>
      </c>
      <c r="BE170" t="str">
        <f>""</f>
        <v/>
      </c>
      <c r="BF170" t="str">
        <f>""</f>
        <v/>
      </c>
      <c r="BG170" t="str">
        <f>""</f>
        <v/>
      </c>
      <c r="BH170" t="str">
        <f>""</f>
        <v/>
      </c>
      <c r="BI170" t="str">
        <f>""</f>
        <v/>
      </c>
      <c r="BJ170" t="str">
        <f>""</f>
        <v/>
      </c>
      <c r="BK170">
        <v>1</v>
      </c>
      <c r="BL170" t="s">
        <v>102</v>
      </c>
      <c r="BM170" t="str">
        <f>""</f>
        <v/>
      </c>
      <c r="BN170" t="s">
        <v>10012</v>
      </c>
      <c r="BP170" t="s">
        <v>297</v>
      </c>
      <c r="BQ170" t="s">
        <v>556</v>
      </c>
      <c r="BR170" t="s">
        <v>114</v>
      </c>
      <c r="BS170" s="5">
        <v>75024</v>
      </c>
      <c r="BT170" s="2">
        <v>113027</v>
      </c>
      <c r="BU170" s="2">
        <v>115300</v>
      </c>
      <c r="BV170" t="s">
        <v>105</v>
      </c>
      <c r="BW170" s="2">
        <v>113027</v>
      </c>
      <c r="BX170" t="s">
        <v>105</v>
      </c>
      <c r="BZ170" t="s">
        <v>159</v>
      </c>
      <c r="CA170" t="str">
        <f t="shared" si="10"/>
        <v>7/1/2020 - 6/30/2021</v>
      </c>
      <c r="CF170">
        <v>1</v>
      </c>
      <c r="CG170" t="s">
        <v>98</v>
      </c>
      <c r="CH170" t="s">
        <v>98</v>
      </c>
      <c r="CI170" t="s">
        <v>206</v>
      </c>
      <c r="CJ170" t="s">
        <v>98</v>
      </c>
      <c r="CK170" t="s">
        <v>12323</v>
      </c>
      <c r="CL170" t="s">
        <v>108</v>
      </c>
      <c r="CM170" t="s">
        <v>109</v>
      </c>
      <c r="CN170" t="str">
        <f>""</f>
        <v/>
      </c>
      <c r="CO170" t="str">
        <f>""</f>
        <v/>
      </c>
      <c r="CP170" t="str">
        <f>""</f>
        <v/>
      </c>
      <c r="CQ170" t="str">
        <f>""</f>
        <v/>
      </c>
    </row>
    <row r="171" spans="1:96" x14ac:dyDescent="0.2">
      <c r="A171" t="s">
        <v>10040</v>
      </c>
      <c r="B171" t="s">
        <v>96</v>
      </c>
      <c r="C171" s="1">
        <v>44098</v>
      </c>
      <c r="D171" s="1">
        <v>44105</v>
      </c>
      <c r="F171" t="s">
        <v>97</v>
      </c>
      <c r="G171" t="str">
        <f>"System Analyst JC65"</f>
        <v>System Analyst JC65</v>
      </c>
      <c r="H171" t="s">
        <v>12181</v>
      </c>
      <c r="I171" t="s">
        <v>110</v>
      </c>
      <c r="J171" t="s">
        <v>98</v>
      </c>
      <c r="K171" s="1">
        <v>44106</v>
      </c>
      <c r="L171" s="1">
        <v>45200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 t="s">
        <v>111</v>
      </c>
      <c r="U171" t="str">
        <f>"CTSUS"</f>
        <v>CTSUS</v>
      </c>
      <c r="V171" t="s">
        <v>112</v>
      </c>
      <c r="W171" t="str">
        <f>""</f>
        <v/>
      </c>
      <c r="X171" t="s">
        <v>113</v>
      </c>
      <c r="Y171" t="s">
        <v>114</v>
      </c>
      <c r="Z171" s="3">
        <v>77845</v>
      </c>
      <c r="AA171" t="s">
        <v>101</v>
      </c>
      <c r="AB171" t="s">
        <v>114</v>
      </c>
      <c r="AC171" s="4" t="str">
        <f>"+19793296682"</f>
        <v>+19793296682</v>
      </c>
      <c r="AE171" t="str">
        <f>"541512"</f>
        <v>541512</v>
      </c>
      <c r="AF171" t="s">
        <v>115</v>
      </c>
      <c r="AG171" t="s">
        <v>116</v>
      </c>
      <c r="AH171" t="s">
        <v>108</v>
      </c>
      <c r="AI171" t="s">
        <v>117</v>
      </c>
      <c r="AJ171" t="s">
        <v>118</v>
      </c>
      <c r="AK171" t="str">
        <f>""</f>
        <v/>
      </c>
      <c r="AL171" t="s">
        <v>119</v>
      </c>
      <c r="AM171" t="s">
        <v>114</v>
      </c>
      <c r="AN171" s="3">
        <v>77845</v>
      </c>
      <c r="AO171" t="s">
        <v>101</v>
      </c>
      <c r="AQ171" t="str">
        <f>"+19793296682"</f>
        <v>+19793296682</v>
      </c>
      <c r="AS171" t="s">
        <v>120</v>
      </c>
      <c r="AT171" t="s">
        <v>102</v>
      </c>
      <c r="AU171" t="str">
        <f>""</f>
        <v/>
      </c>
      <c r="AV171" t="str">
        <f>""</f>
        <v/>
      </c>
      <c r="AW171" t="str">
        <f>""</f>
        <v/>
      </c>
      <c r="AX171" t="str">
        <f>""</f>
        <v/>
      </c>
      <c r="AY171" t="str">
        <f>""</f>
        <v/>
      </c>
      <c r="AZ171" t="str">
        <f>""</f>
        <v/>
      </c>
      <c r="BA171" t="str">
        <f>""</f>
        <v/>
      </c>
      <c r="BC171" t="str">
        <f>""</f>
        <v/>
      </c>
      <c r="BD171" t="str">
        <f>""</f>
        <v/>
      </c>
      <c r="BE171" t="str">
        <f>""</f>
        <v/>
      </c>
      <c r="BF171" t="str">
        <f>""</f>
        <v/>
      </c>
      <c r="BG171" t="str">
        <f>""</f>
        <v/>
      </c>
      <c r="BH171" t="str">
        <f>""</f>
        <v/>
      </c>
      <c r="BI171" t="str">
        <f>""</f>
        <v/>
      </c>
      <c r="BJ171" t="str">
        <f>""</f>
        <v/>
      </c>
      <c r="BK171">
        <v>1</v>
      </c>
      <c r="BL171" t="s">
        <v>102</v>
      </c>
      <c r="BM171" t="str">
        <f>""</f>
        <v/>
      </c>
      <c r="BN171" t="s">
        <v>10041</v>
      </c>
      <c r="BP171" t="s">
        <v>2262</v>
      </c>
      <c r="BQ171" t="s">
        <v>1145</v>
      </c>
      <c r="BR171" t="s">
        <v>225</v>
      </c>
      <c r="BS171" s="5">
        <v>45040</v>
      </c>
      <c r="BT171" s="2">
        <v>78166</v>
      </c>
      <c r="BV171" t="s">
        <v>105</v>
      </c>
      <c r="BW171" s="2">
        <v>78166</v>
      </c>
      <c r="BX171" t="s">
        <v>105</v>
      </c>
      <c r="BZ171" t="s">
        <v>167</v>
      </c>
      <c r="CA171" t="str">
        <f t="shared" si="10"/>
        <v>7/1/2020 - 6/30/2021</v>
      </c>
      <c r="CF171">
        <v>1</v>
      </c>
      <c r="CG171" t="s">
        <v>98</v>
      </c>
      <c r="CH171" t="s">
        <v>98</v>
      </c>
      <c r="CI171" t="s">
        <v>206</v>
      </c>
      <c r="CJ171" t="s">
        <v>98</v>
      </c>
      <c r="CK171" t="s">
        <v>12323</v>
      </c>
      <c r="CL171" t="s">
        <v>108</v>
      </c>
      <c r="CM171" t="s">
        <v>109</v>
      </c>
      <c r="CN171" t="str">
        <f>""</f>
        <v/>
      </c>
      <c r="CO171" t="str">
        <f>""</f>
        <v/>
      </c>
      <c r="CP171" t="str">
        <f>""</f>
        <v/>
      </c>
      <c r="CQ171" t="str">
        <f>""</f>
        <v/>
      </c>
    </row>
    <row r="172" spans="1:96" x14ac:dyDescent="0.2">
      <c r="A172" t="s">
        <v>10042</v>
      </c>
      <c r="B172" t="s">
        <v>96</v>
      </c>
      <c r="C172" s="1">
        <v>44098</v>
      </c>
      <c r="D172" s="1">
        <v>44105</v>
      </c>
      <c r="F172" t="s">
        <v>97</v>
      </c>
      <c r="G172" t="str">
        <f>"Tableau Developer "</f>
        <v xml:space="preserve">Tableau Developer </v>
      </c>
      <c r="H172" t="s">
        <v>12169</v>
      </c>
      <c r="I172" t="s">
        <v>124</v>
      </c>
      <c r="J172" t="s">
        <v>98</v>
      </c>
      <c r="K172" s="1">
        <v>44105</v>
      </c>
      <c r="L172" s="1">
        <v>45199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9616</v>
      </c>
      <c r="U172" t="str">
        <f>""</f>
        <v/>
      </c>
      <c r="V172" t="s">
        <v>2566</v>
      </c>
      <c r="W172" t="str">
        <f>"SUITE # 370"</f>
        <v>SUITE # 370</v>
      </c>
      <c r="X172" t="s">
        <v>2006</v>
      </c>
      <c r="Y172" t="s">
        <v>135</v>
      </c>
      <c r="Z172" s="3">
        <v>20147</v>
      </c>
      <c r="AA172" t="s">
        <v>101</v>
      </c>
      <c r="AC172" s="4" t="str">
        <f>"+17034455440"</f>
        <v>+17034455440</v>
      </c>
      <c r="AE172" t="str">
        <f>"541511"</f>
        <v>541511</v>
      </c>
      <c r="AF172" t="s">
        <v>9617</v>
      </c>
      <c r="AG172" t="s">
        <v>7399</v>
      </c>
      <c r="AH172" t="s">
        <v>108</v>
      </c>
      <c r="AI172" t="s">
        <v>1586</v>
      </c>
      <c r="AJ172" t="s">
        <v>2566</v>
      </c>
      <c r="AK172" t="str">
        <f>"SUITE # 370"</f>
        <v>SUITE # 370</v>
      </c>
      <c r="AL172" t="s">
        <v>2006</v>
      </c>
      <c r="AM172" t="s">
        <v>135</v>
      </c>
      <c r="AN172" s="3">
        <v>20147</v>
      </c>
      <c r="AO172" t="s">
        <v>101</v>
      </c>
      <c r="AQ172" t="str">
        <f>"+17034455440"</f>
        <v>+17034455440</v>
      </c>
      <c r="AS172" t="s">
        <v>9618</v>
      </c>
      <c r="AT172" t="s">
        <v>107</v>
      </c>
      <c r="AU172" t="str">
        <f>"SOMI REDDY"</f>
        <v>SOMI REDDY</v>
      </c>
      <c r="AV172" t="str">
        <f>"SANTOSH REDDY"</f>
        <v>SANTOSH REDDY</v>
      </c>
      <c r="AW172" t="str">
        <f>""</f>
        <v/>
      </c>
      <c r="AX172" t="str">
        <f>"20745 WILLIAMSPORT PLACE"</f>
        <v>20745 WILLIAMSPORT PLACE</v>
      </c>
      <c r="AY172" t="str">
        <f>"SUITE # 390"</f>
        <v>SUITE # 390</v>
      </c>
      <c r="AZ172" t="str">
        <f>"ASHBURN"</f>
        <v>ASHBURN</v>
      </c>
      <c r="BA172" t="str">
        <f>"VA"</f>
        <v>VA</v>
      </c>
      <c r="BB172" s="3">
        <v>20147</v>
      </c>
      <c r="BC172" t="str">
        <f>"UNITED STATES OF AMERICA"</f>
        <v>UNITED STATES OF AMERICA</v>
      </c>
      <c r="BD172" t="str">
        <f>""</f>
        <v/>
      </c>
      <c r="BE172" t="str">
        <f>"+17035442200"</f>
        <v>+17035442200</v>
      </c>
      <c r="BF172" t="str">
        <f>""</f>
        <v/>
      </c>
      <c r="BG172" t="str">
        <f>"LCA@SOMIREDDYLAW.COM"</f>
        <v>LCA@SOMIREDDYLAW.COM</v>
      </c>
      <c r="BH172" t="str">
        <f>"SOMIREDDY LAW GROUP PLLC"</f>
        <v>SOMIREDDY LAW GROUP PLLC</v>
      </c>
      <c r="BI172" t="str">
        <f>"VA"</f>
        <v>VA</v>
      </c>
      <c r="BJ172" t="str">
        <f>"SUPREME COURT"</f>
        <v>SUPREME COURT</v>
      </c>
      <c r="BK172">
        <v>1</v>
      </c>
      <c r="BL172" t="s">
        <v>107</v>
      </c>
      <c r="BM172" t="str">
        <f>"Verizon"</f>
        <v>Verizon</v>
      </c>
      <c r="BN172" t="s">
        <v>6733</v>
      </c>
      <c r="BO172" t="s">
        <v>108</v>
      </c>
      <c r="BP172" t="s">
        <v>4781</v>
      </c>
      <c r="BQ172" t="s">
        <v>535</v>
      </c>
      <c r="BR172" t="s">
        <v>100</v>
      </c>
      <c r="BS172" s="5">
        <v>7920</v>
      </c>
      <c r="BT172" s="2">
        <v>100526</v>
      </c>
      <c r="BU172" s="2">
        <v>100550</v>
      </c>
      <c r="BV172" t="s">
        <v>105</v>
      </c>
      <c r="BW172" s="2">
        <v>100526</v>
      </c>
      <c r="BX172" t="s">
        <v>105</v>
      </c>
      <c r="BZ172" t="s">
        <v>167</v>
      </c>
      <c r="CA172" t="str">
        <f t="shared" si="10"/>
        <v>7/1/2020 - 6/30/2021</v>
      </c>
      <c r="CF172">
        <v>2</v>
      </c>
      <c r="CG172" t="s">
        <v>98</v>
      </c>
      <c r="CH172" t="s">
        <v>98</v>
      </c>
      <c r="CI172" t="s">
        <v>206</v>
      </c>
      <c r="CJ172" t="s">
        <v>98</v>
      </c>
      <c r="CK172" t="s">
        <v>12323</v>
      </c>
      <c r="CL172" t="s">
        <v>108</v>
      </c>
      <c r="CM172" t="s">
        <v>109</v>
      </c>
      <c r="CN172" t="str">
        <f>""</f>
        <v/>
      </c>
      <c r="CO172" t="str">
        <f>""</f>
        <v/>
      </c>
      <c r="CP172" t="str">
        <f>""</f>
        <v/>
      </c>
      <c r="CQ172" t="str">
        <f>""</f>
        <v/>
      </c>
    </row>
    <row r="173" spans="1:96" x14ac:dyDescent="0.2">
      <c r="A173" t="s">
        <v>10071</v>
      </c>
      <c r="B173" t="s">
        <v>96</v>
      </c>
      <c r="C173" s="1">
        <v>44098</v>
      </c>
      <c r="D173" s="1">
        <v>44105</v>
      </c>
      <c r="F173" t="s">
        <v>97</v>
      </c>
      <c r="G173" t="str">
        <f>"Program Manager"</f>
        <v>Program Manager</v>
      </c>
      <c r="H173" t="s">
        <v>12168</v>
      </c>
      <c r="I173" t="s">
        <v>367</v>
      </c>
      <c r="J173" t="s">
        <v>98</v>
      </c>
      <c r="K173" s="1">
        <v>44103</v>
      </c>
      <c r="L173" s="1">
        <v>45197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412</v>
      </c>
      <c r="U173" t="str">
        <f>""</f>
        <v/>
      </c>
      <c r="V173" t="s">
        <v>413</v>
      </c>
      <c r="W173" t="str">
        <f>"(*ALSO KNOWN AS 1601 WILLOW ROAD)"</f>
        <v>(*ALSO KNOWN AS 1601 WILLOW ROAD)</v>
      </c>
      <c r="X173" t="s">
        <v>414</v>
      </c>
      <c r="Y173" t="s">
        <v>141</v>
      </c>
      <c r="Z173" s="3">
        <v>94025</v>
      </c>
      <c r="AA173" t="s">
        <v>101</v>
      </c>
      <c r="AB173" t="s">
        <v>141</v>
      </c>
      <c r="AC173" s="4" t="str">
        <f>"+14085335781"</f>
        <v>+14085335781</v>
      </c>
      <c r="AE173" t="str">
        <f>"51913"</f>
        <v>51913</v>
      </c>
      <c r="AF173" t="s">
        <v>415</v>
      </c>
      <c r="AG173" t="s">
        <v>416</v>
      </c>
      <c r="AI173" t="s">
        <v>417</v>
      </c>
      <c r="AJ173" t="s">
        <v>413</v>
      </c>
      <c r="AK173" t="str">
        <f>"(*ALSO KNOWN AS 1601 WILLOW RD.*)"</f>
        <v>(*ALSO KNOWN AS 1601 WILLOW RD.*)</v>
      </c>
      <c r="AL173" t="s">
        <v>414</v>
      </c>
      <c r="AM173" t="s">
        <v>141</v>
      </c>
      <c r="AN173" s="3">
        <v>94025</v>
      </c>
      <c r="AO173" t="s">
        <v>101</v>
      </c>
      <c r="AQ173" t="str">
        <f>"+14085335781"</f>
        <v>+14085335781</v>
      </c>
      <c r="AS173" t="s">
        <v>418</v>
      </c>
      <c r="AT173" t="s">
        <v>107</v>
      </c>
      <c r="AU173" t="str">
        <f>"Nesch"</f>
        <v>Nesch</v>
      </c>
      <c r="AV173" t="str">
        <f>"Elena"</f>
        <v>Elena</v>
      </c>
      <c r="AW173" t="str">
        <f>"N/A"</f>
        <v>N/A</v>
      </c>
      <c r="AX173" t="str">
        <f>"2400 N. GLENVILLE DRIVE"</f>
        <v>2400 N. GLENVILLE DRIVE</v>
      </c>
      <c r="AY173" t="str">
        <f>"BUILDING A, SUITE 100"</f>
        <v>BUILDING A, SUITE 100</v>
      </c>
      <c r="AZ173" t="str">
        <f>"RICHARDSON"</f>
        <v>RICHARDSON</v>
      </c>
      <c r="BA173" t="str">
        <f>"TX"</f>
        <v>TX</v>
      </c>
      <c r="BB173" s="3">
        <v>75082</v>
      </c>
      <c r="BC173" t="str">
        <f>"UNITED STATES OF AMERICA"</f>
        <v>UNITED STATES OF AMERICA</v>
      </c>
      <c r="BD173" t="str">
        <f>""</f>
        <v/>
      </c>
      <c r="BE173" t="str">
        <f>"+14692909204"</f>
        <v>+14692909204</v>
      </c>
      <c r="BF173" t="str">
        <f>""</f>
        <v/>
      </c>
      <c r="BG173" t="str">
        <f>"anapier@balglobal.com"</f>
        <v>anapier@balglobal.com</v>
      </c>
      <c r="BH173" t="str">
        <f>"BERRY APPLEMAN &amp; LEIDEN LLP"</f>
        <v>BERRY APPLEMAN &amp; LEIDEN LLP</v>
      </c>
      <c r="BI173" t="str">
        <f>"NC"</f>
        <v>NC</v>
      </c>
      <c r="BJ173" t="str">
        <f>"The Supreme Court of North Carolina"</f>
        <v>The Supreme Court of North Carolina</v>
      </c>
      <c r="BK173">
        <v>1</v>
      </c>
      <c r="BL173" t="s">
        <v>102</v>
      </c>
      <c r="BM173" t="str">
        <f>""</f>
        <v/>
      </c>
      <c r="BN173" t="s">
        <v>2426</v>
      </c>
      <c r="BP173" t="s">
        <v>414</v>
      </c>
      <c r="BQ173" t="s">
        <v>994</v>
      </c>
      <c r="BR173" t="s">
        <v>141</v>
      </c>
      <c r="BS173" s="5">
        <v>94025</v>
      </c>
      <c r="BT173" s="2">
        <v>176043.3</v>
      </c>
      <c r="BV173" t="s">
        <v>105</v>
      </c>
      <c r="BW173" s="2">
        <v>145205</v>
      </c>
      <c r="BX173" t="s">
        <v>105</v>
      </c>
      <c r="BZ173" t="s">
        <v>159</v>
      </c>
      <c r="CA173" t="str">
        <f t="shared" si="10"/>
        <v>7/1/2020 - 6/30/2021</v>
      </c>
      <c r="CF173">
        <v>2</v>
      </c>
      <c r="CG173" t="s">
        <v>98</v>
      </c>
      <c r="CH173" t="s">
        <v>98</v>
      </c>
      <c r="CI173" t="s">
        <v>206</v>
      </c>
      <c r="CJ173" t="s">
        <v>98</v>
      </c>
      <c r="CK173" t="s">
        <v>12323</v>
      </c>
      <c r="CL173" t="s">
        <v>108</v>
      </c>
      <c r="CM173" t="s">
        <v>109</v>
      </c>
      <c r="CN173" t="str">
        <f>""</f>
        <v/>
      </c>
      <c r="CO173" t="str">
        <f>""</f>
        <v/>
      </c>
      <c r="CP173" t="str">
        <f>""</f>
        <v/>
      </c>
      <c r="CQ173" t="str">
        <f>""</f>
        <v/>
      </c>
    </row>
    <row r="174" spans="1:96" x14ac:dyDescent="0.2">
      <c r="A174" t="s">
        <v>10072</v>
      </c>
      <c r="B174" t="s">
        <v>96</v>
      </c>
      <c r="C174" s="1">
        <v>44098</v>
      </c>
      <c r="D174" s="1">
        <v>44105</v>
      </c>
      <c r="F174" t="s">
        <v>97</v>
      </c>
      <c r="G174" t="str">
        <f>"Senior Systems Analyst JC60"</f>
        <v>Senior Systems Analyst JC60</v>
      </c>
      <c r="H174" t="s">
        <v>12181</v>
      </c>
      <c r="I174" t="s">
        <v>110</v>
      </c>
      <c r="J174" t="s">
        <v>98</v>
      </c>
      <c r="K174" s="1">
        <v>44186</v>
      </c>
      <c r="L174" s="1">
        <v>45280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 t="s">
        <v>111</v>
      </c>
      <c r="U174" t="str">
        <f>"CTSUS"</f>
        <v>CTSUS</v>
      </c>
      <c r="V174" t="s">
        <v>112</v>
      </c>
      <c r="W174" t="str">
        <f>""</f>
        <v/>
      </c>
      <c r="X174" t="s">
        <v>113</v>
      </c>
      <c r="Y174" t="s">
        <v>114</v>
      </c>
      <c r="Z174" s="3">
        <v>77845</v>
      </c>
      <c r="AA174" t="s">
        <v>101</v>
      </c>
      <c r="AB174" t="s">
        <v>114</v>
      </c>
      <c r="AC174" s="4" t="str">
        <f>"+19793296682"</f>
        <v>+19793296682</v>
      </c>
      <c r="AE174" t="str">
        <f>"541512"</f>
        <v>541512</v>
      </c>
      <c r="AF174" t="s">
        <v>115</v>
      </c>
      <c r="AG174" t="s">
        <v>116</v>
      </c>
      <c r="AH174" t="s">
        <v>108</v>
      </c>
      <c r="AI174" t="s">
        <v>117</v>
      </c>
      <c r="AJ174" t="s">
        <v>118</v>
      </c>
      <c r="AK174" t="str">
        <f>""</f>
        <v/>
      </c>
      <c r="AL174" t="s">
        <v>119</v>
      </c>
      <c r="AM174" t="s">
        <v>114</v>
      </c>
      <c r="AN174" s="3">
        <v>77845</v>
      </c>
      <c r="AO174" t="s">
        <v>101</v>
      </c>
      <c r="AQ174" t="str">
        <f>"+19793296682"</f>
        <v>+19793296682</v>
      </c>
      <c r="AS174" t="s">
        <v>120</v>
      </c>
      <c r="AT174" t="s">
        <v>102</v>
      </c>
      <c r="AU174" t="str">
        <f>""</f>
        <v/>
      </c>
      <c r="AV174" t="str">
        <f>""</f>
        <v/>
      </c>
      <c r="AW174" t="str">
        <f>""</f>
        <v/>
      </c>
      <c r="AX174" t="str">
        <f>""</f>
        <v/>
      </c>
      <c r="AY174" t="str">
        <f>""</f>
        <v/>
      </c>
      <c r="AZ174" t="str">
        <f>""</f>
        <v/>
      </c>
      <c r="BA174" t="str">
        <f>""</f>
        <v/>
      </c>
      <c r="BC174" t="str">
        <f>""</f>
        <v/>
      </c>
      <c r="BD174" t="str">
        <f>""</f>
        <v/>
      </c>
      <c r="BE174" t="str">
        <f>""</f>
        <v/>
      </c>
      <c r="BF174" t="str">
        <f>""</f>
        <v/>
      </c>
      <c r="BG174" t="str">
        <f>""</f>
        <v/>
      </c>
      <c r="BH174" t="str">
        <f>""</f>
        <v/>
      </c>
      <c r="BI174" t="str">
        <f>""</f>
        <v/>
      </c>
      <c r="BJ174" t="str">
        <f>""</f>
        <v/>
      </c>
      <c r="BK174">
        <v>1</v>
      </c>
      <c r="BL174" t="s">
        <v>107</v>
      </c>
      <c r="BM174" t="str">
        <f>"Branch Banking &amp; Trust Company"</f>
        <v>Branch Banking &amp; Trust Company</v>
      </c>
      <c r="BN174" t="s">
        <v>6365</v>
      </c>
      <c r="BP174" t="s">
        <v>1066</v>
      </c>
      <c r="BQ174" t="s">
        <v>1067</v>
      </c>
      <c r="BR174" t="s">
        <v>122</v>
      </c>
      <c r="BS174" s="5">
        <v>27604</v>
      </c>
      <c r="BT174" s="2">
        <v>79602</v>
      </c>
      <c r="BV174" t="s">
        <v>105</v>
      </c>
      <c r="BW174" s="2">
        <v>79602</v>
      </c>
      <c r="BX174" t="s">
        <v>105</v>
      </c>
      <c r="BZ174" t="s">
        <v>167</v>
      </c>
      <c r="CA174" t="str">
        <f t="shared" si="10"/>
        <v>7/1/2020 - 6/30/2021</v>
      </c>
      <c r="CF174">
        <v>1</v>
      </c>
      <c r="CG174" t="s">
        <v>98</v>
      </c>
      <c r="CH174" t="s">
        <v>98</v>
      </c>
      <c r="CI174" t="s">
        <v>206</v>
      </c>
      <c r="CJ174" t="s">
        <v>98</v>
      </c>
      <c r="CK174" t="s">
        <v>12323</v>
      </c>
      <c r="CL174" t="s">
        <v>108</v>
      </c>
      <c r="CM174" t="s">
        <v>109</v>
      </c>
      <c r="CN174" t="str">
        <f>""</f>
        <v/>
      </c>
      <c r="CO174" t="str">
        <f>""</f>
        <v/>
      </c>
      <c r="CP174" t="str">
        <f>""</f>
        <v/>
      </c>
      <c r="CQ174" t="str">
        <f>""</f>
        <v/>
      </c>
    </row>
    <row r="175" spans="1:96" x14ac:dyDescent="0.2">
      <c r="A175" t="s">
        <v>10097</v>
      </c>
      <c r="B175" t="s">
        <v>96</v>
      </c>
      <c r="C175" s="1">
        <v>44098</v>
      </c>
      <c r="D175" s="1">
        <v>44105</v>
      </c>
      <c r="F175" t="s">
        <v>97</v>
      </c>
      <c r="G175" t="str">
        <f>"Computer Programmer"</f>
        <v>Computer Programmer</v>
      </c>
      <c r="H175" t="s">
        <v>12239</v>
      </c>
      <c r="I175" t="s">
        <v>378</v>
      </c>
      <c r="J175" t="s">
        <v>98</v>
      </c>
      <c r="K175" s="1">
        <v>44240</v>
      </c>
      <c r="L175" s="1">
        <v>45334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 t="s">
        <v>2838</v>
      </c>
      <c r="U175" t="str">
        <f>"Not Applicable"</f>
        <v>Not Applicable</v>
      </c>
      <c r="V175" t="s">
        <v>446</v>
      </c>
      <c r="W175" t="str">
        <f>"Suite 600"</f>
        <v>Suite 600</v>
      </c>
      <c r="X175" t="s">
        <v>447</v>
      </c>
      <c r="Y175" t="s">
        <v>100</v>
      </c>
      <c r="Z175" s="3">
        <v>8830</v>
      </c>
      <c r="AA175" t="s">
        <v>101</v>
      </c>
      <c r="AC175" s="4" t="str">
        <f>"+16094096957"</f>
        <v>+16094096957</v>
      </c>
      <c r="AE175" t="str">
        <f>"541512"</f>
        <v>541512</v>
      </c>
      <c r="AF175" t="s">
        <v>448</v>
      </c>
      <c r="AG175" t="s">
        <v>449</v>
      </c>
      <c r="AI175" t="s">
        <v>3983</v>
      </c>
      <c r="AJ175" t="s">
        <v>446</v>
      </c>
      <c r="AK175" t="str">
        <f>"Suite 600"</f>
        <v>Suite 600</v>
      </c>
      <c r="AL175" t="s">
        <v>447</v>
      </c>
      <c r="AM175" t="s">
        <v>100</v>
      </c>
      <c r="AN175" s="3">
        <v>8830</v>
      </c>
      <c r="AO175" t="s">
        <v>101</v>
      </c>
      <c r="AQ175" t="str">
        <f>"+16094092214"</f>
        <v>+16094092214</v>
      </c>
      <c r="AS175" t="s">
        <v>451</v>
      </c>
      <c r="AT175" t="s">
        <v>107</v>
      </c>
      <c r="AU175" t="str">
        <f>"Chothani"</f>
        <v>Chothani</v>
      </c>
      <c r="AV175" t="str">
        <f>"Poorvi"</f>
        <v>Poorvi</v>
      </c>
      <c r="AW175" t="str">
        <f>"Rohit"</f>
        <v>Rohit</v>
      </c>
      <c r="AX175" t="str">
        <f>"244 Madison Ave."</f>
        <v>244 Madison Ave.</v>
      </c>
      <c r="AY175" t="str">
        <f>"Suite 2350"</f>
        <v>Suite 2350</v>
      </c>
      <c r="AZ175" t="str">
        <f>"New York"</f>
        <v>New York</v>
      </c>
      <c r="BA175" t="str">
        <f>"NY"</f>
        <v>NY</v>
      </c>
      <c r="BB175" s="3">
        <v>10016</v>
      </c>
      <c r="BC175" t="str">
        <f>"UNITED STATES OF AMERICA"</f>
        <v>UNITED STATES OF AMERICA</v>
      </c>
      <c r="BD175" t="str">
        <f>""</f>
        <v/>
      </c>
      <c r="BE175" t="str">
        <f>"+16464190933"</f>
        <v>+16464190933</v>
      </c>
      <c r="BF175" t="str">
        <f>""</f>
        <v/>
      </c>
      <c r="BG175" t="str">
        <f>"gov@poorvichothani.com"</f>
        <v>gov@poorvichothani.com</v>
      </c>
      <c r="BH175" t="str">
        <f>"The Law Office of Poorvi Chothani, PLLC"</f>
        <v>The Law Office of Poorvi Chothani, PLLC</v>
      </c>
      <c r="BI175" t="str">
        <f>"NY"</f>
        <v>NY</v>
      </c>
      <c r="BJ175" t="str">
        <f>"Court of Appeals"</f>
        <v>Court of Appeals</v>
      </c>
      <c r="BK175">
        <v>1</v>
      </c>
      <c r="BL175" t="s">
        <v>107</v>
      </c>
      <c r="BM175" t="str">
        <f>"Fannie Mae"</f>
        <v>Fannie Mae</v>
      </c>
      <c r="BN175" t="s">
        <v>10098</v>
      </c>
      <c r="BP175" t="s">
        <v>133</v>
      </c>
      <c r="BQ175" t="s">
        <v>454</v>
      </c>
      <c r="BR175" t="s">
        <v>135</v>
      </c>
      <c r="BS175" s="5">
        <v>20190</v>
      </c>
      <c r="BT175" s="2">
        <v>87650</v>
      </c>
      <c r="BV175" t="s">
        <v>105</v>
      </c>
      <c r="BW175" s="2">
        <v>81848</v>
      </c>
      <c r="BX175" t="s">
        <v>105</v>
      </c>
      <c r="BZ175" t="s">
        <v>167</v>
      </c>
      <c r="CA175" t="str">
        <f t="shared" si="10"/>
        <v>7/1/2020 - 6/30/2021</v>
      </c>
      <c r="CF175">
        <v>2</v>
      </c>
      <c r="CG175" t="s">
        <v>98</v>
      </c>
      <c r="CH175" t="s">
        <v>98</v>
      </c>
      <c r="CI175" t="s">
        <v>206</v>
      </c>
      <c r="CJ175" t="s">
        <v>98</v>
      </c>
      <c r="CK175" t="s">
        <v>12323</v>
      </c>
      <c r="CL175" t="s">
        <v>108</v>
      </c>
      <c r="CM175" t="s">
        <v>718</v>
      </c>
      <c r="CN175" t="str">
        <f>"Chothani"</f>
        <v>Chothani</v>
      </c>
      <c r="CO175" t="str">
        <f>"Poorvi"</f>
        <v>Poorvi</v>
      </c>
      <c r="CP175" t="str">
        <f>"R"</f>
        <v>R</v>
      </c>
      <c r="CQ175" t="str">
        <f>"The Law Office of Poorvi Chothani, PLLC."</f>
        <v>The Law Office of Poorvi Chothani, PLLC.</v>
      </c>
      <c r="CR175" t="s">
        <v>455</v>
      </c>
    </row>
    <row r="176" spans="1:96" x14ac:dyDescent="0.2">
      <c r="A176" t="s">
        <v>10149</v>
      </c>
      <c r="B176" t="s">
        <v>96</v>
      </c>
      <c r="C176" s="1">
        <v>44098</v>
      </c>
      <c r="D176" s="1">
        <v>44105</v>
      </c>
      <c r="F176" t="s">
        <v>97</v>
      </c>
      <c r="G176" t="str">
        <f>"Software Developer"</f>
        <v>Software Developer</v>
      </c>
      <c r="H176" t="s">
        <v>12169</v>
      </c>
      <c r="I176" t="s">
        <v>124</v>
      </c>
      <c r="J176" t="s">
        <v>98</v>
      </c>
      <c r="K176" s="1">
        <v>44143</v>
      </c>
      <c r="L176" s="1">
        <v>45237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 t="s">
        <v>6735</v>
      </c>
      <c r="U176" t="str">
        <f>""</f>
        <v/>
      </c>
      <c r="V176" t="s">
        <v>6736</v>
      </c>
      <c r="W176" t="str">
        <f>"8th Floor"</f>
        <v>8th Floor</v>
      </c>
      <c r="X176" t="s">
        <v>2646</v>
      </c>
      <c r="Y176" t="s">
        <v>100</v>
      </c>
      <c r="Z176" s="3">
        <v>8816</v>
      </c>
      <c r="AA176" t="s">
        <v>101</v>
      </c>
      <c r="AC176" s="4" t="str">
        <f>"+19252704803"</f>
        <v>+19252704803</v>
      </c>
      <c r="AE176" t="str">
        <f>"541511"</f>
        <v>541511</v>
      </c>
      <c r="AF176" t="s">
        <v>2778</v>
      </c>
      <c r="AG176" t="s">
        <v>1185</v>
      </c>
      <c r="AI176" t="s">
        <v>6737</v>
      </c>
      <c r="AJ176" t="s">
        <v>6736</v>
      </c>
      <c r="AK176" t="str">
        <f>"8th Floor"</f>
        <v>8th Floor</v>
      </c>
      <c r="AL176" t="s">
        <v>2646</v>
      </c>
      <c r="AM176" t="s">
        <v>100</v>
      </c>
      <c r="AN176" s="3">
        <v>8816</v>
      </c>
      <c r="AO176" t="s">
        <v>101</v>
      </c>
      <c r="AQ176" t="str">
        <f>"+19252704803"</f>
        <v>+19252704803</v>
      </c>
      <c r="AS176" t="s">
        <v>6738</v>
      </c>
      <c r="AT176" t="s">
        <v>102</v>
      </c>
      <c r="AU176" t="str">
        <f>""</f>
        <v/>
      </c>
      <c r="AV176" t="str">
        <f>""</f>
        <v/>
      </c>
      <c r="AW176" t="str">
        <f>""</f>
        <v/>
      </c>
      <c r="AX176" t="str">
        <f>""</f>
        <v/>
      </c>
      <c r="AY176" t="str">
        <f>""</f>
        <v/>
      </c>
      <c r="AZ176" t="str">
        <f>""</f>
        <v/>
      </c>
      <c r="BA176" t="str">
        <f>""</f>
        <v/>
      </c>
      <c r="BC176" t="str">
        <f>""</f>
        <v/>
      </c>
      <c r="BD176" t="str">
        <f>""</f>
        <v/>
      </c>
      <c r="BE176" t="str">
        <f>""</f>
        <v/>
      </c>
      <c r="BF176" t="str">
        <f>""</f>
        <v/>
      </c>
      <c r="BG176" t="str">
        <f>""</f>
        <v/>
      </c>
      <c r="BH176" t="str">
        <f>""</f>
        <v/>
      </c>
      <c r="BI176" t="str">
        <f>""</f>
        <v/>
      </c>
      <c r="BJ176" t="str">
        <f>""</f>
        <v/>
      </c>
      <c r="BK176">
        <v>1</v>
      </c>
      <c r="BL176" t="s">
        <v>107</v>
      </c>
      <c r="BM176" t="str">
        <f>"Zions"</f>
        <v>Zions</v>
      </c>
      <c r="BN176" t="s">
        <v>10150</v>
      </c>
      <c r="BP176" t="s">
        <v>2151</v>
      </c>
      <c r="BQ176" t="s">
        <v>1095</v>
      </c>
      <c r="BR176" t="s">
        <v>169</v>
      </c>
      <c r="BS176" s="5">
        <v>84116</v>
      </c>
      <c r="BT176" s="2">
        <v>88504</v>
      </c>
      <c r="BV176" t="s">
        <v>105</v>
      </c>
      <c r="BW176" s="2">
        <v>88504</v>
      </c>
      <c r="BX176" t="s">
        <v>105</v>
      </c>
      <c r="BZ176" t="s">
        <v>167</v>
      </c>
      <c r="CA176" t="str">
        <f t="shared" si="10"/>
        <v>7/1/2020 - 6/30/2021</v>
      </c>
      <c r="CF176">
        <v>1</v>
      </c>
      <c r="CG176" t="s">
        <v>98</v>
      </c>
      <c r="CH176" t="s">
        <v>98</v>
      </c>
      <c r="CI176" t="s">
        <v>206</v>
      </c>
      <c r="CJ176" t="s">
        <v>98</v>
      </c>
      <c r="CK176" t="s">
        <v>12323</v>
      </c>
      <c r="CL176" t="s">
        <v>108</v>
      </c>
      <c r="CM176" t="s">
        <v>109</v>
      </c>
      <c r="CN176" t="str">
        <f>""</f>
        <v/>
      </c>
      <c r="CO176" t="str">
        <f>""</f>
        <v/>
      </c>
      <c r="CP176" t="str">
        <f>""</f>
        <v/>
      </c>
      <c r="CQ176" t="str">
        <f>""</f>
        <v/>
      </c>
    </row>
    <row r="177" spans="1:96" x14ac:dyDescent="0.2">
      <c r="A177" t="s">
        <v>10153</v>
      </c>
      <c r="B177" t="s">
        <v>96</v>
      </c>
      <c r="C177" s="1">
        <v>44098</v>
      </c>
      <c r="D177" s="1">
        <v>44105</v>
      </c>
      <c r="F177" t="s">
        <v>97</v>
      </c>
      <c r="G177" t="str">
        <f>"Senior Product Analyst"</f>
        <v>Senior Product Analyst</v>
      </c>
      <c r="H177" t="s">
        <v>12227</v>
      </c>
      <c r="I177" t="s">
        <v>766</v>
      </c>
      <c r="J177" t="s">
        <v>98</v>
      </c>
      <c r="K177" s="1">
        <v>44098</v>
      </c>
      <c r="L177" s="1">
        <v>45192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2539</v>
      </c>
      <c r="U177" t="str">
        <f>""</f>
        <v/>
      </c>
      <c r="V177" t="s">
        <v>6201</v>
      </c>
      <c r="W177" t="str">
        <f>"Suite 505N"</f>
        <v>Suite 505N</v>
      </c>
      <c r="X177" t="s">
        <v>1328</v>
      </c>
      <c r="Y177" t="s">
        <v>934</v>
      </c>
      <c r="Z177" s="3">
        <v>68102</v>
      </c>
      <c r="AA177" t="s">
        <v>101</v>
      </c>
      <c r="AC177" s="4" t="str">
        <f>"+14023335870"</f>
        <v>+14023335870</v>
      </c>
      <c r="AE177" t="str">
        <f>"541511"</f>
        <v>541511</v>
      </c>
      <c r="AF177" t="s">
        <v>4705</v>
      </c>
      <c r="AG177" t="s">
        <v>6202</v>
      </c>
      <c r="AH177" t="s">
        <v>680</v>
      </c>
      <c r="AI177" t="s">
        <v>4914</v>
      </c>
      <c r="AJ177" t="s">
        <v>6203</v>
      </c>
      <c r="AK177" t="str">
        <f>"Suite 270"</f>
        <v>Suite 270</v>
      </c>
      <c r="AL177" t="s">
        <v>1632</v>
      </c>
      <c r="AM177" t="s">
        <v>814</v>
      </c>
      <c r="AN177" s="3">
        <v>97008</v>
      </c>
      <c r="AO177" t="s">
        <v>101</v>
      </c>
      <c r="AQ177" t="str">
        <f>"+19713170778"</f>
        <v>+19713170778</v>
      </c>
      <c r="AS177" t="s">
        <v>2546</v>
      </c>
      <c r="AT177" t="s">
        <v>102</v>
      </c>
      <c r="AU177" t="str">
        <f>""</f>
        <v/>
      </c>
      <c r="AV177" t="str">
        <f>""</f>
        <v/>
      </c>
      <c r="AW177" t="str">
        <f>""</f>
        <v/>
      </c>
      <c r="AX177" t="str">
        <f>""</f>
        <v/>
      </c>
      <c r="AY177" t="str">
        <f>""</f>
        <v/>
      </c>
      <c r="AZ177" t="str">
        <f>""</f>
        <v/>
      </c>
      <c r="BA177" t="str">
        <f>""</f>
        <v/>
      </c>
      <c r="BC177" t="str">
        <f>""</f>
        <v/>
      </c>
      <c r="BD177" t="str">
        <f>""</f>
        <v/>
      </c>
      <c r="BE177" t="str">
        <f>""</f>
        <v/>
      </c>
      <c r="BF177" t="str">
        <f>""</f>
        <v/>
      </c>
      <c r="BG177" t="str">
        <f>""</f>
        <v/>
      </c>
      <c r="BH177" t="str">
        <f>""</f>
        <v/>
      </c>
      <c r="BI177" t="str">
        <f>""</f>
        <v/>
      </c>
      <c r="BJ177" t="str">
        <f>""</f>
        <v/>
      </c>
      <c r="BK177">
        <v>1</v>
      </c>
      <c r="BL177" t="s">
        <v>102</v>
      </c>
      <c r="BM177" t="str">
        <f>""</f>
        <v/>
      </c>
      <c r="BN177" t="s">
        <v>10154</v>
      </c>
      <c r="BP177" t="s">
        <v>297</v>
      </c>
      <c r="BQ177" t="s">
        <v>556</v>
      </c>
      <c r="BR177" t="s">
        <v>114</v>
      </c>
      <c r="BS177" s="5">
        <v>75025</v>
      </c>
      <c r="BT177" s="2">
        <v>102000</v>
      </c>
      <c r="BU177" s="2">
        <v>115000</v>
      </c>
      <c r="BV177" t="s">
        <v>105</v>
      </c>
      <c r="BW177" s="2">
        <v>101067</v>
      </c>
      <c r="BX177" t="s">
        <v>105</v>
      </c>
      <c r="BZ177" t="s">
        <v>167</v>
      </c>
      <c r="CA177" t="str">
        <f t="shared" si="10"/>
        <v>7/1/2020 - 6/30/2021</v>
      </c>
      <c r="CF177">
        <v>1</v>
      </c>
      <c r="CG177" t="s">
        <v>98</v>
      </c>
      <c r="CH177" t="s">
        <v>98</v>
      </c>
      <c r="CI177" t="s">
        <v>206</v>
      </c>
      <c r="CJ177" t="s">
        <v>98</v>
      </c>
      <c r="CK177" t="s">
        <v>12323</v>
      </c>
      <c r="CL177" t="s">
        <v>108</v>
      </c>
      <c r="CM177" t="s">
        <v>109</v>
      </c>
      <c r="CN177" t="str">
        <f>"Yanez"</f>
        <v>Yanez</v>
      </c>
      <c r="CO177" t="str">
        <f>"Stacy"</f>
        <v>Stacy</v>
      </c>
      <c r="CP177" t="str">
        <f>"N/A"</f>
        <v>N/A</v>
      </c>
      <c r="CQ177" t="str">
        <f>"ProKarma, Inc. "</f>
        <v xml:space="preserve">ProKarma, Inc. </v>
      </c>
      <c r="CR177" t="s">
        <v>6204</v>
      </c>
    </row>
    <row r="178" spans="1:96" x14ac:dyDescent="0.2">
      <c r="A178" t="s">
        <v>10155</v>
      </c>
      <c r="B178" t="s">
        <v>96</v>
      </c>
      <c r="C178" s="1">
        <v>44098</v>
      </c>
      <c r="D178" s="1">
        <v>44105</v>
      </c>
      <c r="F178" t="s">
        <v>97</v>
      </c>
      <c r="G178" t="str">
        <f>"Sr. Specialist - Technology"</f>
        <v>Sr. Specialist - Technology</v>
      </c>
      <c r="H178" t="s">
        <v>12169</v>
      </c>
      <c r="I178" t="s">
        <v>124</v>
      </c>
      <c r="J178" t="s">
        <v>98</v>
      </c>
      <c r="K178" s="1">
        <v>44105</v>
      </c>
      <c r="L178" s="1">
        <v>45199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 t="s">
        <v>4896</v>
      </c>
      <c r="U178" t="str">
        <f>""</f>
        <v/>
      </c>
      <c r="V178" t="s">
        <v>4897</v>
      </c>
      <c r="W178" t="str">
        <f>"Suite 3301"</f>
        <v>Suite 3301</v>
      </c>
      <c r="X178" t="s">
        <v>277</v>
      </c>
      <c r="Y178" t="s">
        <v>190</v>
      </c>
      <c r="Z178" s="3">
        <v>10036</v>
      </c>
      <c r="AA178" t="s">
        <v>101</v>
      </c>
      <c r="AC178" s="4" t="str">
        <f>"+19802723983"</f>
        <v>+19802723983</v>
      </c>
      <c r="AE178" t="str">
        <f>"541511"</f>
        <v>541511</v>
      </c>
      <c r="AF178" t="s">
        <v>4898</v>
      </c>
      <c r="AG178" t="s">
        <v>4899</v>
      </c>
      <c r="AI178" t="s">
        <v>5406</v>
      </c>
      <c r="AJ178" t="s">
        <v>4897</v>
      </c>
      <c r="AK178" t="str">
        <f>"Suite 3301"</f>
        <v>Suite 3301</v>
      </c>
      <c r="AL178" t="s">
        <v>277</v>
      </c>
      <c r="AM178" t="s">
        <v>190</v>
      </c>
      <c r="AN178" s="3">
        <v>10036</v>
      </c>
      <c r="AO178" t="s">
        <v>101</v>
      </c>
      <c r="AQ178" t="str">
        <f>"+19802723983"</f>
        <v>+19802723983</v>
      </c>
      <c r="AS178" t="s">
        <v>4900</v>
      </c>
      <c r="AT178" t="s">
        <v>107</v>
      </c>
      <c r="AU178" t="str">
        <f>"Morin"</f>
        <v>Morin</v>
      </c>
      <c r="AV178" t="str">
        <f>"Ashley"</f>
        <v>Ashley</v>
      </c>
      <c r="AW178" t="str">
        <f>""</f>
        <v/>
      </c>
      <c r="AX178" t="str">
        <f>"5250 Corporate Drive"</f>
        <v>5250 Corporate Drive</v>
      </c>
      <c r="AY178" t="str">
        <f>"Suite 300"</f>
        <v>Suite 300</v>
      </c>
      <c r="AZ178" t="str">
        <f>"Troy"</f>
        <v>Troy</v>
      </c>
      <c r="BA178" t="str">
        <f>"MI"</f>
        <v>MI</v>
      </c>
      <c r="BB178" s="3">
        <v>48098</v>
      </c>
      <c r="BC178" t="str">
        <f>"UNITED STATES OF AMERICA"</f>
        <v>UNITED STATES OF AMERICA</v>
      </c>
      <c r="BD178" t="str">
        <f>""</f>
        <v/>
      </c>
      <c r="BE178" t="str">
        <f>"+12486434900"</f>
        <v>+12486434900</v>
      </c>
      <c r="BF178" t="str">
        <f>""</f>
        <v/>
      </c>
      <c r="BG178" t="str">
        <f>"alext@employmentimmigration.com"</f>
        <v>alext@employmentimmigration.com</v>
      </c>
      <c r="BH178" t="str">
        <f>"Fakhoury Global Immigration, USA PC"</f>
        <v>Fakhoury Global Immigration, USA PC</v>
      </c>
      <c r="BI178" t="str">
        <f>"IL"</f>
        <v>IL</v>
      </c>
      <c r="BJ178" t="str">
        <f>"Illinois Supreme Court"</f>
        <v>Illinois Supreme Court</v>
      </c>
      <c r="BK178">
        <v>1</v>
      </c>
      <c r="BL178" t="s">
        <v>107</v>
      </c>
      <c r="BM178" t="str">
        <f>"Morgan Stanley"</f>
        <v>Morgan Stanley</v>
      </c>
      <c r="BN178" t="s">
        <v>4205</v>
      </c>
      <c r="BO178" t="s">
        <v>10156</v>
      </c>
      <c r="BP178" t="s">
        <v>277</v>
      </c>
      <c r="BQ178" t="s">
        <v>189</v>
      </c>
      <c r="BR178" t="s">
        <v>190</v>
      </c>
      <c r="BS178" s="5">
        <v>10004</v>
      </c>
      <c r="BT178" s="2">
        <v>122221</v>
      </c>
      <c r="BV178" t="s">
        <v>105</v>
      </c>
      <c r="BW178" s="2">
        <v>122221</v>
      </c>
      <c r="BX178" t="s">
        <v>105</v>
      </c>
      <c r="BZ178" t="s">
        <v>123</v>
      </c>
      <c r="CA178" t="str">
        <f t="shared" si="10"/>
        <v>7/1/2020 - 6/30/2021</v>
      </c>
      <c r="CF178">
        <v>2</v>
      </c>
      <c r="CG178" t="s">
        <v>98</v>
      </c>
      <c r="CH178" t="s">
        <v>98</v>
      </c>
      <c r="CI178" t="s">
        <v>206</v>
      </c>
      <c r="CJ178" t="s">
        <v>98</v>
      </c>
      <c r="CK178" t="s">
        <v>12323</v>
      </c>
      <c r="CL178" t="s">
        <v>108</v>
      </c>
      <c r="CM178" t="s">
        <v>109</v>
      </c>
      <c r="CN178" t="str">
        <f>"Morin"</f>
        <v>Morin</v>
      </c>
      <c r="CO178" t="str">
        <f>"Ashley"</f>
        <v>Ashley</v>
      </c>
      <c r="CP178" t="str">
        <f>""</f>
        <v/>
      </c>
      <c r="CQ178" t="str">
        <f>"Fakhoury Global Immigration, USA PC"</f>
        <v>Fakhoury Global Immigration, USA PC</v>
      </c>
      <c r="CR178" t="s">
        <v>8294</v>
      </c>
    </row>
    <row r="179" spans="1:96" x14ac:dyDescent="0.2">
      <c r="A179" t="s">
        <v>10184</v>
      </c>
      <c r="B179" t="s">
        <v>96</v>
      </c>
      <c r="C179" s="1">
        <v>44098</v>
      </c>
      <c r="D179" s="1">
        <v>44105</v>
      </c>
      <c r="F179" t="s">
        <v>97</v>
      </c>
      <c r="G179" t="str">
        <f>"Sr. Associate - Programmer Analyst"</f>
        <v>Sr. Associate - Programmer Analyst</v>
      </c>
      <c r="H179" t="s">
        <v>12169</v>
      </c>
      <c r="I179" t="s">
        <v>124</v>
      </c>
      <c r="J179" t="s">
        <v>98</v>
      </c>
      <c r="K179" s="1">
        <v>44197</v>
      </c>
      <c r="L179" s="1">
        <v>45291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 t="s">
        <v>1047</v>
      </c>
      <c r="U179" t="str">
        <f>""</f>
        <v/>
      </c>
      <c r="V179" t="s">
        <v>1048</v>
      </c>
      <c r="W179" t="str">
        <f>"1ST FLOOR"</f>
        <v>1ST FLOOR</v>
      </c>
      <c r="X179" t="s">
        <v>103</v>
      </c>
      <c r="Y179" t="s">
        <v>100</v>
      </c>
      <c r="Z179" s="3">
        <v>8854</v>
      </c>
      <c r="AA179" t="s">
        <v>101</v>
      </c>
      <c r="AC179" s="4" t="str">
        <f>"+19087550226"</f>
        <v>+19087550226</v>
      </c>
      <c r="AE179" t="str">
        <f>"54151"</f>
        <v>54151</v>
      </c>
      <c r="AF179" t="s">
        <v>1049</v>
      </c>
      <c r="AG179" t="s">
        <v>1050</v>
      </c>
      <c r="AH179" t="s">
        <v>320</v>
      </c>
      <c r="AI179" t="s">
        <v>1051</v>
      </c>
      <c r="AJ179" t="s">
        <v>1052</v>
      </c>
      <c r="AK179" t="str">
        <f>"SUITE 100"</f>
        <v>SUITE 100</v>
      </c>
      <c r="AL179" t="s">
        <v>804</v>
      </c>
      <c r="AM179" t="s">
        <v>100</v>
      </c>
      <c r="AN179" s="3">
        <v>8854</v>
      </c>
      <c r="AO179" t="s">
        <v>101</v>
      </c>
      <c r="AQ179" t="str">
        <f>"+19087550105"</f>
        <v>+19087550105</v>
      </c>
      <c r="AS179" t="s">
        <v>1053</v>
      </c>
      <c r="AT179" t="s">
        <v>107</v>
      </c>
      <c r="AU179" t="str">
        <f>"MEHTA"</f>
        <v>MEHTA</v>
      </c>
      <c r="AV179" t="str">
        <f>"CYRUS"</f>
        <v>CYRUS</v>
      </c>
      <c r="AW179" t="str">
        <f>"D."</f>
        <v>D.</v>
      </c>
      <c r="AX179" t="str">
        <f>"ONE BATTERY PARK PLAZA"</f>
        <v>ONE BATTERY PARK PLAZA</v>
      </c>
      <c r="AY179" t="str">
        <f>"9TH FLOOR"</f>
        <v>9TH FLOOR</v>
      </c>
      <c r="AZ179" t="str">
        <f>"NEW YORK"</f>
        <v>NEW YORK</v>
      </c>
      <c r="BA179" t="str">
        <f>"NY"</f>
        <v>NY</v>
      </c>
      <c r="BB179" s="3">
        <v>10004</v>
      </c>
      <c r="BC179" t="str">
        <f>"UNITED STATES OF AMERICA"</f>
        <v>UNITED STATES OF AMERICA</v>
      </c>
      <c r="BD179" t="str">
        <f>""</f>
        <v/>
      </c>
      <c r="BE179" t="str">
        <f>"+12124250555"</f>
        <v>+12124250555</v>
      </c>
      <c r="BF179" t="str">
        <f>""</f>
        <v/>
      </c>
      <c r="BG179" t="str">
        <f>"CM@CYRUSMEHTA.COM"</f>
        <v>CM@CYRUSMEHTA.COM</v>
      </c>
      <c r="BH179" t="str">
        <f>"CYRUS D. MEHTA &amp; PARTNERS PLLC"</f>
        <v>CYRUS D. MEHTA &amp; PARTNERS PLLC</v>
      </c>
      <c r="BI179" t="str">
        <f>"NY"</f>
        <v>NY</v>
      </c>
      <c r="BJ179" t="str">
        <f>"NEW YORK COURT OF APPEALS"</f>
        <v>NEW YORK COURT OF APPEALS</v>
      </c>
      <c r="BK179">
        <v>1</v>
      </c>
      <c r="BL179" t="s">
        <v>107</v>
      </c>
      <c r="BM179" t="str">
        <f>"Government Employees Insurance Company"</f>
        <v>Government Employees Insurance Company</v>
      </c>
      <c r="BN179" t="s">
        <v>2525</v>
      </c>
      <c r="BP179" t="s">
        <v>2526</v>
      </c>
      <c r="BQ179" t="s">
        <v>529</v>
      </c>
      <c r="BR179" t="s">
        <v>195</v>
      </c>
      <c r="BS179" s="5">
        <v>20815</v>
      </c>
      <c r="BT179" s="2">
        <v>98000</v>
      </c>
      <c r="BV179" t="s">
        <v>105</v>
      </c>
      <c r="BW179" s="2">
        <v>97406</v>
      </c>
      <c r="BX179" t="s">
        <v>105</v>
      </c>
      <c r="BZ179" t="s">
        <v>167</v>
      </c>
      <c r="CA179" t="str">
        <f t="shared" si="10"/>
        <v>7/1/2020 - 6/30/2021</v>
      </c>
      <c r="CF179">
        <v>1</v>
      </c>
      <c r="CG179" t="s">
        <v>98</v>
      </c>
      <c r="CH179" t="s">
        <v>98</v>
      </c>
      <c r="CI179" t="s">
        <v>206</v>
      </c>
      <c r="CJ179" t="s">
        <v>98</v>
      </c>
      <c r="CK179" t="s">
        <v>12323</v>
      </c>
      <c r="CL179" t="s">
        <v>108</v>
      </c>
      <c r="CM179" t="s">
        <v>109</v>
      </c>
      <c r="CN179" t="str">
        <f>"Yelina"</f>
        <v>Yelina</v>
      </c>
      <c r="CO179" t="str">
        <f>"Natallia"</f>
        <v>Natallia</v>
      </c>
      <c r="CP179" t="str">
        <f>"V."</f>
        <v>V.</v>
      </c>
      <c r="CQ179" t="str">
        <f>"Cyrus D. Mehta &amp; Partners PLLC"</f>
        <v>Cyrus D. Mehta &amp; Partners PLLC</v>
      </c>
      <c r="CR179" t="s">
        <v>1055</v>
      </c>
    </row>
    <row r="180" spans="1:96" x14ac:dyDescent="0.2">
      <c r="A180" t="s">
        <v>10200</v>
      </c>
      <c r="B180" t="s">
        <v>96</v>
      </c>
      <c r="C180" s="1">
        <v>44098</v>
      </c>
      <c r="D180" s="1">
        <v>44105</v>
      </c>
      <c r="F180" t="s">
        <v>97</v>
      </c>
      <c r="G180" t="str">
        <f>"Senior Associate JC60 - Computer Systems Engineers"</f>
        <v>Senior Associate JC60 - Computer Systems Engineers</v>
      </c>
      <c r="H180" t="s">
        <v>12168</v>
      </c>
      <c r="I180" t="s">
        <v>160</v>
      </c>
      <c r="J180" t="s">
        <v>98</v>
      </c>
      <c r="K180" s="1">
        <v>44165</v>
      </c>
      <c r="L180" s="1">
        <v>45259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 t="s">
        <v>111</v>
      </c>
      <c r="U180" t="str">
        <f>"CTSUS"</f>
        <v>CTSUS</v>
      </c>
      <c r="V180" t="s">
        <v>112</v>
      </c>
      <c r="W180" t="str">
        <f>""</f>
        <v/>
      </c>
      <c r="X180" t="s">
        <v>113</v>
      </c>
      <c r="Y180" t="s">
        <v>114</v>
      </c>
      <c r="Z180" s="3">
        <v>77845</v>
      </c>
      <c r="AA180" t="s">
        <v>101</v>
      </c>
      <c r="AB180" t="s">
        <v>114</v>
      </c>
      <c r="AC180" s="4" t="str">
        <f>"+19793296682"</f>
        <v>+19793296682</v>
      </c>
      <c r="AE180" t="str">
        <f>"541512"</f>
        <v>541512</v>
      </c>
      <c r="AF180" t="s">
        <v>115</v>
      </c>
      <c r="AG180" t="s">
        <v>116</v>
      </c>
      <c r="AH180" t="s">
        <v>108</v>
      </c>
      <c r="AI180" t="s">
        <v>117</v>
      </c>
      <c r="AJ180" t="s">
        <v>118</v>
      </c>
      <c r="AK180" t="str">
        <f>""</f>
        <v/>
      </c>
      <c r="AL180" t="s">
        <v>119</v>
      </c>
      <c r="AM180" t="s">
        <v>114</v>
      </c>
      <c r="AN180" s="3">
        <v>77845</v>
      </c>
      <c r="AO180" t="s">
        <v>101</v>
      </c>
      <c r="AQ180" t="str">
        <f>"+19793296682"</f>
        <v>+19793296682</v>
      </c>
      <c r="AS180" t="s">
        <v>120</v>
      </c>
      <c r="AT180" t="s">
        <v>102</v>
      </c>
      <c r="AU180" t="str">
        <f>""</f>
        <v/>
      </c>
      <c r="AV180" t="str">
        <f>""</f>
        <v/>
      </c>
      <c r="AW180" t="str">
        <f>""</f>
        <v/>
      </c>
      <c r="AX180" t="str">
        <f>""</f>
        <v/>
      </c>
      <c r="AY180" t="str">
        <f>""</f>
        <v/>
      </c>
      <c r="AZ180" t="str">
        <f>""</f>
        <v/>
      </c>
      <c r="BA180" t="str">
        <f>""</f>
        <v/>
      </c>
      <c r="BC180" t="str">
        <f>""</f>
        <v/>
      </c>
      <c r="BD180" t="str">
        <f>""</f>
        <v/>
      </c>
      <c r="BE180" t="str">
        <f>""</f>
        <v/>
      </c>
      <c r="BF180" t="str">
        <f>""</f>
        <v/>
      </c>
      <c r="BG180" t="str">
        <f>""</f>
        <v/>
      </c>
      <c r="BH180" t="str">
        <f>""</f>
        <v/>
      </c>
      <c r="BI180" t="str">
        <f>""</f>
        <v/>
      </c>
      <c r="BJ180" t="str">
        <f>""</f>
        <v/>
      </c>
      <c r="BK180">
        <v>1</v>
      </c>
      <c r="BL180" t="s">
        <v>102</v>
      </c>
      <c r="BM180" t="str">
        <f>""</f>
        <v/>
      </c>
      <c r="BN180" t="s">
        <v>10201</v>
      </c>
      <c r="BP180" t="s">
        <v>3343</v>
      </c>
      <c r="BQ180" t="s">
        <v>529</v>
      </c>
      <c r="BR180" t="s">
        <v>127</v>
      </c>
      <c r="BS180" s="5">
        <v>19454</v>
      </c>
      <c r="BT180" s="2">
        <v>74090</v>
      </c>
      <c r="BV180" t="s">
        <v>105</v>
      </c>
      <c r="BW180" s="2">
        <v>74090</v>
      </c>
      <c r="BX180" t="s">
        <v>105</v>
      </c>
      <c r="BZ180" t="s">
        <v>167</v>
      </c>
      <c r="CA180" t="str">
        <f t="shared" si="10"/>
        <v>7/1/2020 - 6/30/2021</v>
      </c>
      <c r="CF180">
        <v>1</v>
      </c>
      <c r="CG180" t="s">
        <v>98</v>
      </c>
      <c r="CH180" t="s">
        <v>98</v>
      </c>
      <c r="CI180" t="s">
        <v>206</v>
      </c>
      <c r="CJ180" t="s">
        <v>98</v>
      </c>
      <c r="CK180" t="s">
        <v>12323</v>
      </c>
      <c r="CL180" t="s">
        <v>108</v>
      </c>
      <c r="CM180" t="s">
        <v>109</v>
      </c>
      <c r="CN180" t="str">
        <f>""</f>
        <v/>
      </c>
      <c r="CO180" t="str">
        <f>""</f>
        <v/>
      </c>
      <c r="CP180" t="str">
        <f>""</f>
        <v/>
      </c>
      <c r="CQ180" t="str">
        <f>""</f>
        <v/>
      </c>
    </row>
    <row r="181" spans="1:96" x14ac:dyDescent="0.2">
      <c r="A181" t="s">
        <v>10202</v>
      </c>
      <c r="B181" t="s">
        <v>96</v>
      </c>
      <c r="C181" s="1">
        <v>44098</v>
      </c>
      <c r="D181" s="1">
        <v>44105</v>
      </c>
      <c r="F181" t="s">
        <v>97</v>
      </c>
      <c r="G181" t="str">
        <f>"Associate Director JC40"</f>
        <v>Associate Director JC40</v>
      </c>
      <c r="H181" t="s">
        <v>12181</v>
      </c>
      <c r="I181" t="s">
        <v>110</v>
      </c>
      <c r="J181" t="s">
        <v>98</v>
      </c>
      <c r="K181" s="1">
        <v>44107</v>
      </c>
      <c r="L181" s="1">
        <v>45201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 t="s">
        <v>111</v>
      </c>
      <c r="U181" t="str">
        <f>"CTSUS"</f>
        <v>CTSUS</v>
      </c>
      <c r="V181" t="s">
        <v>112</v>
      </c>
      <c r="W181" t="str">
        <f>""</f>
        <v/>
      </c>
      <c r="X181" t="s">
        <v>113</v>
      </c>
      <c r="Y181" t="s">
        <v>114</v>
      </c>
      <c r="Z181" s="3">
        <v>77845</v>
      </c>
      <c r="AA181" t="s">
        <v>101</v>
      </c>
      <c r="AB181" t="s">
        <v>114</v>
      </c>
      <c r="AC181" s="4" t="str">
        <f>"+19793296682"</f>
        <v>+19793296682</v>
      </c>
      <c r="AE181" t="str">
        <f>"541512"</f>
        <v>541512</v>
      </c>
      <c r="AF181" t="s">
        <v>115</v>
      </c>
      <c r="AG181" t="s">
        <v>116</v>
      </c>
      <c r="AH181" t="s">
        <v>108</v>
      </c>
      <c r="AI181" t="s">
        <v>117</v>
      </c>
      <c r="AJ181" t="s">
        <v>118</v>
      </c>
      <c r="AK181" t="str">
        <f>""</f>
        <v/>
      </c>
      <c r="AL181" t="s">
        <v>119</v>
      </c>
      <c r="AM181" t="s">
        <v>114</v>
      </c>
      <c r="AN181" s="3">
        <v>77845</v>
      </c>
      <c r="AO181" t="s">
        <v>101</v>
      </c>
      <c r="AQ181" t="str">
        <f>"+19793296682"</f>
        <v>+19793296682</v>
      </c>
      <c r="AS181" t="s">
        <v>120</v>
      </c>
      <c r="AT181" t="s">
        <v>102</v>
      </c>
      <c r="AU181" t="str">
        <f>""</f>
        <v/>
      </c>
      <c r="AV181" t="str">
        <f>""</f>
        <v/>
      </c>
      <c r="AW181" t="str">
        <f>""</f>
        <v/>
      </c>
      <c r="AX181" t="str">
        <f>""</f>
        <v/>
      </c>
      <c r="AY181" t="str">
        <f>""</f>
        <v/>
      </c>
      <c r="AZ181" t="str">
        <f>""</f>
        <v/>
      </c>
      <c r="BA181" t="str">
        <f>""</f>
        <v/>
      </c>
      <c r="BC181" t="str">
        <f>""</f>
        <v/>
      </c>
      <c r="BD181" t="str">
        <f>""</f>
        <v/>
      </c>
      <c r="BE181" t="str">
        <f>""</f>
        <v/>
      </c>
      <c r="BF181" t="str">
        <f>""</f>
        <v/>
      </c>
      <c r="BG181" t="str">
        <f>""</f>
        <v/>
      </c>
      <c r="BH181" t="str">
        <f>""</f>
        <v/>
      </c>
      <c r="BI181" t="str">
        <f>""</f>
        <v/>
      </c>
      <c r="BJ181" t="str">
        <f>""</f>
        <v/>
      </c>
      <c r="BK181">
        <v>1</v>
      </c>
      <c r="BL181" t="s">
        <v>102</v>
      </c>
      <c r="BM181" t="str">
        <f>""</f>
        <v/>
      </c>
      <c r="BN181" t="s">
        <v>5374</v>
      </c>
      <c r="BP181" t="s">
        <v>297</v>
      </c>
      <c r="BQ181" t="s">
        <v>556</v>
      </c>
      <c r="BR181" t="s">
        <v>114</v>
      </c>
      <c r="BS181" s="5">
        <v>75024</v>
      </c>
      <c r="BT181" s="2">
        <v>114005</v>
      </c>
      <c r="BV181" t="s">
        <v>105</v>
      </c>
      <c r="BW181" s="2">
        <v>114005</v>
      </c>
      <c r="BX181" t="s">
        <v>105</v>
      </c>
      <c r="BZ181" t="s">
        <v>159</v>
      </c>
      <c r="CA181" t="str">
        <f t="shared" si="10"/>
        <v>7/1/2020 - 6/30/2021</v>
      </c>
      <c r="CF181">
        <v>1</v>
      </c>
      <c r="CG181" t="s">
        <v>98</v>
      </c>
      <c r="CH181" t="s">
        <v>98</v>
      </c>
      <c r="CI181" t="s">
        <v>206</v>
      </c>
      <c r="CJ181" t="s">
        <v>98</v>
      </c>
      <c r="CK181" t="s">
        <v>12323</v>
      </c>
      <c r="CL181" t="s">
        <v>108</v>
      </c>
      <c r="CM181" t="s">
        <v>109</v>
      </c>
      <c r="CN181" t="str">
        <f>""</f>
        <v/>
      </c>
      <c r="CO181" t="str">
        <f>""</f>
        <v/>
      </c>
      <c r="CP181" t="str">
        <f>""</f>
        <v/>
      </c>
      <c r="CQ181" t="str">
        <f>""</f>
        <v/>
      </c>
    </row>
    <row r="182" spans="1:96" x14ac:dyDescent="0.2">
      <c r="A182" t="s">
        <v>10203</v>
      </c>
      <c r="B182" t="s">
        <v>96</v>
      </c>
      <c r="C182" s="1">
        <v>44098</v>
      </c>
      <c r="D182" s="1">
        <v>44105</v>
      </c>
      <c r="F182" t="s">
        <v>97</v>
      </c>
      <c r="G182" t="str">
        <f>"Architect "</f>
        <v xml:space="preserve">Architect </v>
      </c>
      <c r="H182" t="s">
        <v>12168</v>
      </c>
      <c r="I182" t="s">
        <v>160</v>
      </c>
      <c r="J182" t="s">
        <v>98</v>
      </c>
      <c r="K182" s="1">
        <v>44098</v>
      </c>
      <c r="L182" s="1">
        <v>45192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864</v>
      </c>
      <c r="U182" t="str">
        <f>""</f>
        <v/>
      </c>
      <c r="V182" t="s">
        <v>865</v>
      </c>
      <c r="W182" t="str">
        <f>"SUITE 320"</f>
        <v>SUITE 320</v>
      </c>
      <c r="X182" t="s">
        <v>866</v>
      </c>
      <c r="Y182" t="s">
        <v>195</v>
      </c>
      <c r="Z182" s="3">
        <v>20850</v>
      </c>
      <c r="AA182" t="s">
        <v>101</v>
      </c>
      <c r="AC182" s="4" t="str">
        <f>"+13012319083"</f>
        <v>+13012319083</v>
      </c>
      <c r="AE182" t="str">
        <f>"541511"</f>
        <v>541511</v>
      </c>
      <c r="AF182" t="s">
        <v>867</v>
      </c>
      <c r="AG182" t="s">
        <v>868</v>
      </c>
      <c r="AI182" t="s">
        <v>869</v>
      </c>
      <c r="AJ182" t="s">
        <v>865</v>
      </c>
      <c r="AK182" t="str">
        <f>"SUITE 320"</f>
        <v>SUITE 320</v>
      </c>
      <c r="AL182" t="s">
        <v>866</v>
      </c>
      <c r="AM182" t="s">
        <v>195</v>
      </c>
      <c r="AN182" s="3">
        <v>20850</v>
      </c>
      <c r="AO182" t="s">
        <v>101</v>
      </c>
      <c r="AQ182" t="str">
        <f>"+13012319083"</f>
        <v>+13012319083</v>
      </c>
      <c r="AS182" t="s">
        <v>870</v>
      </c>
      <c r="AT182" t="s">
        <v>107</v>
      </c>
      <c r="AU182" t="str">
        <f>"CHOWDHURY"</f>
        <v>CHOWDHURY</v>
      </c>
      <c r="AV182" t="str">
        <f>"ANINDITA"</f>
        <v>ANINDITA</v>
      </c>
      <c r="AW182" t="str">
        <f>"A"</f>
        <v>A</v>
      </c>
      <c r="AX182" t="str">
        <f>"6720-B Rockledge Drive"</f>
        <v>6720-B Rockledge Drive</v>
      </c>
      <c r="AY182" t="str">
        <f>"Suite 430"</f>
        <v>Suite 430</v>
      </c>
      <c r="AZ182" t="str">
        <f>"Bethesda"</f>
        <v>Bethesda</v>
      </c>
      <c r="BA182" t="str">
        <f>"MD"</f>
        <v>MD</v>
      </c>
      <c r="BB182" s="3">
        <v>20817</v>
      </c>
      <c r="BC182" t="str">
        <f>"UNITED STATES OF AMERICA"</f>
        <v>UNITED STATES OF AMERICA</v>
      </c>
      <c r="BD182" t="str">
        <f>""</f>
        <v/>
      </c>
      <c r="BE182" t="str">
        <f>"+12026184540"</f>
        <v>+12026184540</v>
      </c>
      <c r="BF182" t="str">
        <f>""</f>
        <v/>
      </c>
      <c r="BG182" t="str">
        <f>"ANINDITA@USILAW.COM"</f>
        <v>ANINDITA@USILAW.COM</v>
      </c>
      <c r="BH182" t="str">
        <f>"USILAW, INC"</f>
        <v>USILAW, INC</v>
      </c>
      <c r="BI182" t="str">
        <f>"DC"</f>
        <v>DC</v>
      </c>
      <c r="BJ182" t="str">
        <f>"COURT OF APPEALS"</f>
        <v>COURT OF APPEALS</v>
      </c>
      <c r="BK182">
        <v>1</v>
      </c>
      <c r="BL182" t="s">
        <v>107</v>
      </c>
      <c r="BM182" t="str">
        <f>"Agrium Inc."</f>
        <v>Agrium Inc.</v>
      </c>
      <c r="BN182" t="s">
        <v>2591</v>
      </c>
      <c r="BO182" t="s">
        <v>754</v>
      </c>
      <c r="BP182" t="s">
        <v>5750</v>
      </c>
      <c r="BQ182" t="s">
        <v>2592</v>
      </c>
      <c r="BR182" t="s">
        <v>166</v>
      </c>
      <c r="BS182" s="5">
        <v>80538</v>
      </c>
      <c r="BT182" s="2">
        <v>75837</v>
      </c>
      <c r="BU182" s="2">
        <v>101000</v>
      </c>
      <c r="BV182" t="s">
        <v>105</v>
      </c>
      <c r="BW182" s="2">
        <v>75837</v>
      </c>
      <c r="BX182" t="s">
        <v>105</v>
      </c>
      <c r="BZ182" t="s">
        <v>167</v>
      </c>
      <c r="CA182" t="str">
        <f t="shared" si="10"/>
        <v>7/1/2020 - 6/30/2021</v>
      </c>
      <c r="CF182">
        <v>1</v>
      </c>
      <c r="CG182" t="s">
        <v>98</v>
      </c>
      <c r="CH182" t="s">
        <v>98</v>
      </c>
      <c r="CI182" t="s">
        <v>206</v>
      </c>
      <c r="CJ182" t="s">
        <v>98</v>
      </c>
      <c r="CK182" t="s">
        <v>12323</v>
      </c>
      <c r="CL182" t="s">
        <v>108</v>
      </c>
      <c r="CM182" t="s">
        <v>109</v>
      </c>
      <c r="CN182" t="str">
        <f>""</f>
        <v/>
      </c>
      <c r="CO182" t="str">
        <f>""</f>
        <v/>
      </c>
      <c r="CP182" t="str">
        <f>""</f>
        <v/>
      </c>
      <c r="CQ182" t="str">
        <f>""</f>
        <v/>
      </c>
    </row>
    <row r="183" spans="1:96" x14ac:dyDescent="0.2">
      <c r="A183" t="s">
        <v>10243</v>
      </c>
      <c r="B183" t="s">
        <v>96</v>
      </c>
      <c r="C183" s="1">
        <v>44098</v>
      </c>
      <c r="D183" s="1">
        <v>44105</v>
      </c>
      <c r="F183" t="s">
        <v>97</v>
      </c>
      <c r="G183" t="str">
        <f>"Java Developer (Apps Sys. Engineer 6) (Soft. Dev., Apps)"</f>
        <v>Java Developer (Apps Sys. Engineer 6) (Soft. Dev., Apps)</v>
      </c>
      <c r="H183" t="s">
        <v>12169</v>
      </c>
      <c r="I183" t="s">
        <v>124</v>
      </c>
      <c r="J183" t="s">
        <v>98</v>
      </c>
      <c r="K183" s="1">
        <v>44105</v>
      </c>
      <c r="L183" s="1">
        <v>45199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2232</v>
      </c>
      <c r="U183" t="str">
        <f>""</f>
        <v/>
      </c>
      <c r="V183" t="s">
        <v>2233</v>
      </c>
      <c r="W183" t="str">
        <f>"Building 3, 2nd Floor, Suite 350"</f>
        <v>Building 3, 2nd Floor, Suite 350</v>
      </c>
      <c r="X183" t="s">
        <v>2234</v>
      </c>
      <c r="Y183" t="s">
        <v>100</v>
      </c>
      <c r="Z183" s="3">
        <v>7701</v>
      </c>
      <c r="AA183" t="s">
        <v>101</v>
      </c>
      <c r="AC183" s="4" t="str">
        <f>"+17327596080"</f>
        <v>+17327596080</v>
      </c>
      <c r="AE183" t="str">
        <f>"5415"</f>
        <v>5415</v>
      </c>
      <c r="AF183" t="s">
        <v>2235</v>
      </c>
      <c r="AG183" t="s">
        <v>2236</v>
      </c>
      <c r="AI183" t="s">
        <v>2237</v>
      </c>
      <c r="AJ183" t="s">
        <v>2238</v>
      </c>
      <c r="AK183" t="str">
        <f>"Building 3, 2nd Floor, Suite 350 "</f>
        <v xml:space="preserve">Building 3, 2nd Floor, Suite 350 </v>
      </c>
      <c r="AL183" t="s">
        <v>2239</v>
      </c>
      <c r="AM183" t="s">
        <v>100</v>
      </c>
      <c r="AN183" s="3">
        <v>7701</v>
      </c>
      <c r="AO183" t="s">
        <v>101</v>
      </c>
      <c r="AQ183" t="str">
        <f>"+17327596080"</f>
        <v>+17327596080</v>
      </c>
      <c r="AS183" t="s">
        <v>2240</v>
      </c>
      <c r="AT183" t="s">
        <v>107</v>
      </c>
      <c r="AU183" t="str">
        <f>"Hammond"</f>
        <v>Hammond</v>
      </c>
      <c r="AV183" t="str">
        <f>"Michael "</f>
        <v xml:space="preserve">Michael </v>
      </c>
      <c r="AW183" t="str">
        <f>"F. "</f>
        <v xml:space="preserve">F. </v>
      </c>
      <c r="AX183" t="str">
        <f>"441 Vine Street "</f>
        <v xml:space="preserve">441 Vine Street </v>
      </c>
      <c r="AY183" t="str">
        <f>"Suite 3200 "</f>
        <v xml:space="preserve">Suite 3200 </v>
      </c>
      <c r="AZ183" t="str">
        <f>"Cincinnati"</f>
        <v>Cincinnati</v>
      </c>
      <c r="BA183" t="str">
        <f>"OH"</f>
        <v>OH</v>
      </c>
      <c r="BB183" s="3">
        <v>45202</v>
      </c>
      <c r="BC183" t="str">
        <f>"UNITED STATES OF AMERICA"</f>
        <v>UNITED STATES OF AMERICA</v>
      </c>
      <c r="BD183" t="str">
        <f>""</f>
        <v/>
      </c>
      <c r="BE183" t="str">
        <f>"+15133812011"</f>
        <v>+15133812011</v>
      </c>
      <c r="BF183" t="str">
        <f>""</f>
        <v/>
      </c>
      <c r="BG183" t="str">
        <f>"megan.belinsky@hammondlawgroup.com"</f>
        <v>megan.belinsky@hammondlawgroup.com</v>
      </c>
      <c r="BH183" t="str">
        <f>"Hammond Law Group LLC"</f>
        <v>Hammond Law Group LLC</v>
      </c>
      <c r="BI183" t="str">
        <f>"OH"</f>
        <v>OH</v>
      </c>
      <c r="BJ183" t="str">
        <f>"SUPREME COURT"</f>
        <v>SUPREME COURT</v>
      </c>
      <c r="BK183">
        <v>1</v>
      </c>
      <c r="BL183" t="s">
        <v>107</v>
      </c>
      <c r="BM183" t="str">
        <f>"Wells Fargo "</f>
        <v xml:space="preserve">Wells Fargo </v>
      </c>
      <c r="BN183" t="s">
        <v>10244</v>
      </c>
      <c r="BP183" t="s">
        <v>6992</v>
      </c>
      <c r="BQ183" t="s">
        <v>104</v>
      </c>
      <c r="BR183" t="s">
        <v>100</v>
      </c>
      <c r="BS183" s="5">
        <v>8902</v>
      </c>
      <c r="BT183" s="2">
        <v>58.76</v>
      </c>
      <c r="BU183" s="2">
        <v>78</v>
      </c>
      <c r="BV183" t="s">
        <v>210</v>
      </c>
      <c r="BW183" s="2">
        <v>58.76</v>
      </c>
      <c r="BX183" t="s">
        <v>210</v>
      </c>
      <c r="BZ183" t="s">
        <v>123</v>
      </c>
      <c r="CA183" t="str">
        <f t="shared" si="10"/>
        <v>7/1/2020 - 6/30/2021</v>
      </c>
      <c r="CF183">
        <v>2</v>
      </c>
      <c r="CG183" t="s">
        <v>98</v>
      </c>
      <c r="CH183" t="s">
        <v>98</v>
      </c>
      <c r="CI183" t="s">
        <v>206</v>
      </c>
      <c r="CJ183" t="s">
        <v>98</v>
      </c>
      <c r="CK183" t="s">
        <v>12323</v>
      </c>
      <c r="CL183" t="s">
        <v>108</v>
      </c>
      <c r="CM183" t="s">
        <v>109</v>
      </c>
      <c r="CN183" t="str">
        <f>""</f>
        <v/>
      </c>
      <c r="CO183" t="str">
        <f>""</f>
        <v/>
      </c>
      <c r="CP183" t="str">
        <f>""</f>
        <v/>
      </c>
      <c r="CQ183" t="str">
        <f>""</f>
        <v/>
      </c>
    </row>
    <row r="184" spans="1:96" x14ac:dyDescent="0.2">
      <c r="A184" t="s">
        <v>10245</v>
      </c>
      <c r="B184" t="s">
        <v>96</v>
      </c>
      <c r="C184" s="1">
        <v>44098</v>
      </c>
      <c r="D184" s="1">
        <v>44105</v>
      </c>
      <c r="F184" t="s">
        <v>97</v>
      </c>
      <c r="G184" t="str">
        <f>"Software Developer"</f>
        <v>Software Developer</v>
      </c>
      <c r="H184" t="s">
        <v>12169</v>
      </c>
      <c r="I184" t="s">
        <v>124</v>
      </c>
      <c r="J184" t="s">
        <v>98</v>
      </c>
      <c r="K184" s="1">
        <v>44105</v>
      </c>
      <c r="L184" s="1">
        <v>45199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9492</v>
      </c>
      <c r="U184" t="str">
        <f>""</f>
        <v/>
      </c>
      <c r="V184" t="s">
        <v>161</v>
      </c>
      <c r="W184" t="str">
        <f>"Suite #1281"</f>
        <v>Suite #1281</v>
      </c>
      <c r="X184" t="s">
        <v>789</v>
      </c>
      <c r="Y184" t="s">
        <v>100</v>
      </c>
      <c r="Z184" s="3">
        <v>8536</v>
      </c>
      <c r="AA184" t="s">
        <v>101</v>
      </c>
      <c r="AC184" s="4" t="str">
        <f>"+16098572030"</f>
        <v>+16098572030</v>
      </c>
      <c r="AE184" t="str">
        <f>"541511"</f>
        <v>541511</v>
      </c>
      <c r="AF184" t="s">
        <v>9493</v>
      </c>
      <c r="AG184" t="s">
        <v>9494</v>
      </c>
      <c r="AI184" t="s">
        <v>298</v>
      </c>
      <c r="AJ184" t="s">
        <v>161</v>
      </c>
      <c r="AK184" t="str">
        <f>"Suite #1281"</f>
        <v>Suite #1281</v>
      </c>
      <c r="AL184" t="s">
        <v>789</v>
      </c>
      <c r="AM184" t="s">
        <v>100</v>
      </c>
      <c r="AN184" s="3">
        <v>8536</v>
      </c>
      <c r="AO184" t="s">
        <v>101</v>
      </c>
      <c r="AQ184" t="str">
        <f>"+16098572030"</f>
        <v>+16098572030</v>
      </c>
      <c r="AS184" t="s">
        <v>9495</v>
      </c>
      <c r="AT184" t="s">
        <v>107</v>
      </c>
      <c r="AU184" t="str">
        <f>"Jayashankar"</f>
        <v>Jayashankar</v>
      </c>
      <c r="AV184" t="str">
        <f>"Srinivas"</f>
        <v>Srinivas</v>
      </c>
      <c r="AW184" t="str">
        <f>"None"</f>
        <v>None</v>
      </c>
      <c r="AX184" t="str">
        <f>"518 Plainview Road"</f>
        <v>518 Plainview Road</v>
      </c>
      <c r="AY184" t="str">
        <f>""</f>
        <v/>
      </c>
      <c r="AZ184" t="str">
        <f>"Plainview"</f>
        <v>Plainview</v>
      </c>
      <c r="BA184" t="str">
        <f>"NY"</f>
        <v>NY</v>
      </c>
      <c r="BB184" s="3">
        <v>11803</v>
      </c>
      <c r="BC184" t="str">
        <f>"UNITED STATES OF AMERICA"</f>
        <v>UNITED STATES OF AMERICA</v>
      </c>
      <c r="BD184" t="str">
        <f>""</f>
        <v/>
      </c>
      <c r="BE184" t="str">
        <f>"+12124611467"</f>
        <v>+12124611467</v>
      </c>
      <c r="BF184" t="str">
        <f>""</f>
        <v/>
      </c>
      <c r="BG184" t="str">
        <f>"shankar@shankarlaw.com"</f>
        <v>shankar@shankarlaw.com</v>
      </c>
      <c r="BH184" t="str">
        <f>"Shankar And Associates, PC"</f>
        <v>Shankar And Associates, PC</v>
      </c>
      <c r="BI184" t="str">
        <f>"NY"</f>
        <v>NY</v>
      </c>
      <c r="BJ184" t="str">
        <f>"NY Supreme Court"</f>
        <v>NY Supreme Court</v>
      </c>
      <c r="BK184">
        <v>1</v>
      </c>
      <c r="BL184" t="s">
        <v>107</v>
      </c>
      <c r="BM184" t="str">
        <f>"Paypal"</f>
        <v>Paypal</v>
      </c>
      <c r="BN184" t="s">
        <v>6961</v>
      </c>
      <c r="BP184" t="s">
        <v>6962</v>
      </c>
      <c r="BQ184" t="s">
        <v>6029</v>
      </c>
      <c r="BR184" t="s">
        <v>934</v>
      </c>
      <c r="BS184" s="5">
        <v>68128</v>
      </c>
      <c r="BT184" s="2">
        <v>79019</v>
      </c>
      <c r="BV184" t="s">
        <v>105</v>
      </c>
      <c r="BW184" s="2">
        <v>79019</v>
      </c>
      <c r="BX184" t="s">
        <v>105</v>
      </c>
      <c r="BZ184" t="s">
        <v>167</v>
      </c>
      <c r="CA184" t="str">
        <f t="shared" si="10"/>
        <v>7/1/2020 - 6/30/2021</v>
      </c>
      <c r="CF184">
        <v>1</v>
      </c>
      <c r="CG184" t="s">
        <v>98</v>
      </c>
      <c r="CH184" t="s">
        <v>98</v>
      </c>
      <c r="CI184" t="s">
        <v>206</v>
      </c>
      <c r="CJ184" t="s">
        <v>98</v>
      </c>
      <c r="CK184" t="s">
        <v>12323</v>
      </c>
      <c r="CL184" t="s">
        <v>108</v>
      </c>
      <c r="CM184" t="s">
        <v>718</v>
      </c>
      <c r="CN184" t="str">
        <f>"Diler"</f>
        <v>Diler</v>
      </c>
      <c r="CO184" t="str">
        <f>"Harsimran"</f>
        <v>Harsimran</v>
      </c>
      <c r="CP184" t="str">
        <f>"S"</f>
        <v>S</v>
      </c>
      <c r="CQ184" t="str">
        <f>"Shankar &amp; Associates, PC"</f>
        <v>Shankar &amp; Associates, PC</v>
      </c>
      <c r="CR184" t="s">
        <v>3984</v>
      </c>
    </row>
    <row r="185" spans="1:96" x14ac:dyDescent="0.2">
      <c r="A185" t="s">
        <v>10246</v>
      </c>
      <c r="B185" t="s">
        <v>96</v>
      </c>
      <c r="C185" s="1">
        <v>44098</v>
      </c>
      <c r="D185" s="1">
        <v>44105</v>
      </c>
      <c r="F185" t="s">
        <v>97</v>
      </c>
      <c r="G185" t="str">
        <f>"Software Engineer"</f>
        <v>Software Engineer</v>
      </c>
      <c r="H185" t="s">
        <v>12176</v>
      </c>
      <c r="I185" t="s">
        <v>246</v>
      </c>
      <c r="J185" t="s">
        <v>98</v>
      </c>
      <c r="K185" s="1">
        <v>44098</v>
      </c>
      <c r="L185" s="1">
        <v>45192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10247</v>
      </c>
      <c r="U185" t="str">
        <f>""</f>
        <v/>
      </c>
      <c r="V185" t="s">
        <v>10248</v>
      </c>
      <c r="W185" t="str">
        <f>"Suite 265"</f>
        <v>Suite 265</v>
      </c>
      <c r="X185" t="s">
        <v>229</v>
      </c>
      <c r="Y185" t="s">
        <v>141</v>
      </c>
      <c r="Z185" s="3">
        <v>94085</v>
      </c>
      <c r="AA185" t="s">
        <v>101</v>
      </c>
      <c r="AC185" s="4" t="str">
        <f>"+14087300100"</f>
        <v>+14087300100</v>
      </c>
      <c r="AE185" t="str">
        <f>"541511"</f>
        <v>541511</v>
      </c>
      <c r="AF185" t="s">
        <v>10249</v>
      </c>
      <c r="AG185" t="s">
        <v>10250</v>
      </c>
      <c r="AI185" t="s">
        <v>10251</v>
      </c>
      <c r="AJ185" t="s">
        <v>10248</v>
      </c>
      <c r="AK185" t="str">
        <f>"Suite 265"</f>
        <v>Suite 265</v>
      </c>
      <c r="AL185" t="s">
        <v>229</v>
      </c>
      <c r="AM185" t="s">
        <v>141</v>
      </c>
      <c r="AN185" s="3">
        <v>94085</v>
      </c>
      <c r="AO185" t="s">
        <v>101</v>
      </c>
      <c r="AQ185" t="str">
        <f>"+14087300100"</f>
        <v>+14087300100</v>
      </c>
      <c r="AS185" t="s">
        <v>10252</v>
      </c>
      <c r="AT185" t="s">
        <v>107</v>
      </c>
      <c r="AU185" t="str">
        <f>"Palagummi"</f>
        <v>Palagummi</v>
      </c>
      <c r="AV185" t="str">
        <f>"Krishna"</f>
        <v>Krishna</v>
      </c>
      <c r="AW185" t="str">
        <f>""</f>
        <v/>
      </c>
      <c r="AX185" t="str">
        <f>"101 College Road East"</f>
        <v>101 College Road East</v>
      </c>
      <c r="AY185" t="str">
        <f>"Floor 2"</f>
        <v>Floor 2</v>
      </c>
      <c r="AZ185" t="str">
        <f>"Princeton"</f>
        <v>Princeton</v>
      </c>
      <c r="BA185" t="str">
        <f>"NJ"</f>
        <v>NJ</v>
      </c>
      <c r="BB185" s="3">
        <v>8540</v>
      </c>
      <c r="BC185" t="str">
        <f>"UNITED STATES OF AMERICA"</f>
        <v>UNITED STATES OF AMERICA</v>
      </c>
      <c r="BD185" t="str">
        <f>""</f>
        <v/>
      </c>
      <c r="BE185" t="str">
        <f>"+16099451845"</f>
        <v>+16099451845</v>
      </c>
      <c r="BF185" t="str">
        <f>""</f>
        <v/>
      </c>
      <c r="BG185" t="str">
        <f>"krishna@palagummilaw.com"</f>
        <v>krishna@palagummilaw.com</v>
      </c>
      <c r="BH185" t="str">
        <f>"Rondon Law Group LLC"</f>
        <v>Rondon Law Group LLC</v>
      </c>
      <c r="BI185" t="str">
        <f>"CT"</f>
        <v>CT</v>
      </c>
      <c r="BJ185" t="str">
        <f>"Supreme Court"</f>
        <v>Supreme Court</v>
      </c>
      <c r="BK185">
        <v>1</v>
      </c>
      <c r="BL185" t="s">
        <v>107</v>
      </c>
      <c r="BM185" t="str">
        <f>"Denso International America Inc."</f>
        <v>Denso International America Inc.</v>
      </c>
      <c r="BN185" t="s">
        <v>10253</v>
      </c>
      <c r="BP185" t="s">
        <v>223</v>
      </c>
      <c r="BQ185" t="s">
        <v>224</v>
      </c>
      <c r="BR185" t="s">
        <v>225</v>
      </c>
      <c r="BS185" s="5">
        <v>43017</v>
      </c>
      <c r="BT185" s="2">
        <v>91894</v>
      </c>
      <c r="BV185" t="s">
        <v>105</v>
      </c>
      <c r="BW185" s="2">
        <v>83075</v>
      </c>
      <c r="BX185" t="s">
        <v>105</v>
      </c>
      <c r="BZ185" t="s">
        <v>167</v>
      </c>
      <c r="CA185" t="str">
        <f t="shared" si="10"/>
        <v>7/1/2020 - 6/30/2021</v>
      </c>
      <c r="CF185">
        <v>2</v>
      </c>
      <c r="CG185" t="s">
        <v>98</v>
      </c>
      <c r="CH185" t="s">
        <v>98</v>
      </c>
      <c r="CI185" t="s">
        <v>206</v>
      </c>
      <c r="CJ185" t="s">
        <v>98</v>
      </c>
      <c r="CK185" t="s">
        <v>12323</v>
      </c>
      <c r="CL185" t="s">
        <v>108</v>
      </c>
      <c r="CM185" t="s">
        <v>109</v>
      </c>
      <c r="CN185" t="str">
        <f>""</f>
        <v/>
      </c>
      <c r="CO185" t="str">
        <f>""</f>
        <v/>
      </c>
      <c r="CP185" t="str">
        <f>""</f>
        <v/>
      </c>
      <c r="CQ185" t="str">
        <f>""</f>
        <v/>
      </c>
    </row>
    <row r="186" spans="1:96" x14ac:dyDescent="0.2">
      <c r="A186" t="s">
        <v>10254</v>
      </c>
      <c r="B186" t="s">
        <v>96</v>
      </c>
      <c r="C186" s="1">
        <v>44098</v>
      </c>
      <c r="D186" s="1">
        <v>44105</v>
      </c>
      <c r="F186" t="s">
        <v>97</v>
      </c>
      <c r="G186" t="str">
        <f>"Developer User Interface "</f>
        <v xml:space="preserve">Developer User Interface </v>
      </c>
      <c r="H186" t="s">
        <v>12272</v>
      </c>
      <c r="I186" t="s">
        <v>1486</v>
      </c>
      <c r="J186" t="s">
        <v>98</v>
      </c>
      <c r="K186" s="1">
        <v>44098</v>
      </c>
      <c r="L186" s="1">
        <v>45192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864</v>
      </c>
      <c r="U186" t="str">
        <f>""</f>
        <v/>
      </c>
      <c r="V186" t="s">
        <v>865</v>
      </c>
      <c r="W186" t="str">
        <f>"SUITE 320"</f>
        <v>SUITE 320</v>
      </c>
      <c r="X186" t="s">
        <v>866</v>
      </c>
      <c r="Y186" t="s">
        <v>195</v>
      </c>
      <c r="Z186" s="3">
        <v>20850</v>
      </c>
      <c r="AA186" t="s">
        <v>101</v>
      </c>
      <c r="AC186" s="4" t="str">
        <f>"+13012319083"</f>
        <v>+13012319083</v>
      </c>
      <c r="AE186" t="str">
        <f>"541511"</f>
        <v>541511</v>
      </c>
      <c r="AF186" t="s">
        <v>867</v>
      </c>
      <c r="AG186" t="s">
        <v>868</v>
      </c>
      <c r="AI186" t="s">
        <v>869</v>
      </c>
      <c r="AJ186" t="s">
        <v>865</v>
      </c>
      <c r="AK186" t="str">
        <f>"SUITE 320"</f>
        <v>SUITE 320</v>
      </c>
      <c r="AL186" t="s">
        <v>866</v>
      </c>
      <c r="AM186" t="s">
        <v>195</v>
      </c>
      <c r="AN186" s="3">
        <v>20850</v>
      </c>
      <c r="AO186" t="s">
        <v>101</v>
      </c>
      <c r="AQ186" t="str">
        <f>"+13012319083"</f>
        <v>+13012319083</v>
      </c>
      <c r="AS186" t="s">
        <v>870</v>
      </c>
      <c r="AT186" t="s">
        <v>107</v>
      </c>
      <c r="AU186" t="str">
        <f>"CHOWDHURY"</f>
        <v>CHOWDHURY</v>
      </c>
      <c r="AV186" t="str">
        <f>"ANINDITA"</f>
        <v>ANINDITA</v>
      </c>
      <c r="AW186" t="str">
        <f>"A"</f>
        <v>A</v>
      </c>
      <c r="AX186" t="str">
        <f>"6720-B Rockledge Drive"</f>
        <v>6720-B Rockledge Drive</v>
      </c>
      <c r="AY186" t="str">
        <f>"Suite 430"</f>
        <v>Suite 430</v>
      </c>
      <c r="AZ186" t="str">
        <f>"Bethesda"</f>
        <v>Bethesda</v>
      </c>
      <c r="BA186" t="str">
        <f>"MD"</f>
        <v>MD</v>
      </c>
      <c r="BB186" s="3">
        <v>20817</v>
      </c>
      <c r="BC186" t="str">
        <f>"UNITED STATES OF AMERICA"</f>
        <v>UNITED STATES OF AMERICA</v>
      </c>
      <c r="BD186" t="str">
        <f>""</f>
        <v/>
      </c>
      <c r="BE186" t="str">
        <f>"+12026184540"</f>
        <v>+12026184540</v>
      </c>
      <c r="BF186" t="str">
        <f>""</f>
        <v/>
      </c>
      <c r="BG186" t="str">
        <f>"ANINDITA@USILAW.COM"</f>
        <v>ANINDITA@USILAW.COM</v>
      </c>
      <c r="BH186" t="str">
        <f>"USILAW, INC"</f>
        <v>USILAW, INC</v>
      </c>
      <c r="BI186" t="str">
        <f>"DC"</f>
        <v>DC</v>
      </c>
      <c r="BJ186" t="str">
        <f>"COURT OF APPEALS"</f>
        <v>COURT OF APPEALS</v>
      </c>
      <c r="BK186">
        <v>1</v>
      </c>
      <c r="BL186" t="s">
        <v>107</v>
      </c>
      <c r="BM186" t="str">
        <f>"SEI Global Services, Inc."</f>
        <v>SEI Global Services, Inc.</v>
      </c>
      <c r="BN186" t="s">
        <v>1738</v>
      </c>
      <c r="BP186" t="s">
        <v>1739</v>
      </c>
      <c r="BQ186" t="s">
        <v>529</v>
      </c>
      <c r="BR186" t="s">
        <v>127</v>
      </c>
      <c r="BS186" s="5">
        <v>19456</v>
      </c>
      <c r="BT186" s="2">
        <v>61339</v>
      </c>
      <c r="BU186" s="2">
        <v>100200</v>
      </c>
      <c r="BV186" t="s">
        <v>105</v>
      </c>
      <c r="BW186" s="2">
        <v>61339</v>
      </c>
      <c r="BX186" t="s">
        <v>105</v>
      </c>
      <c r="BZ186" t="s">
        <v>167</v>
      </c>
      <c r="CA186" t="str">
        <f t="shared" si="10"/>
        <v>7/1/2020 - 6/30/2021</v>
      </c>
      <c r="CF186">
        <v>1</v>
      </c>
      <c r="CG186" t="s">
        <v>98</v>
      </c>
      <c r="CH186" t="s">
        <v>98</v>
      </c>
      <c r="CI186" t="s">
        <v>206</v>
      </c>
      <c r="CJ186" t="s">
        <v>98</v>
      </c>
      <c r="CK186" t="s">
        <v>12323</v>
      </c>
      <c r="CL186" t="s">
        <v>108</v>
      </c>
      <c r="CM186" t="s">
        <v>109</v>
      </c>
      <c r="CN186" t="str">
        <f>""</f>
        <v/>
      </c>
      <c r="CO186" t="str">
        <f>""</f>
        <v/>
      </c>
      <c r="CP186" t="str">
        <f>""</f>
        <v/>
      </c>
      <c r="CQ186" t="str">
        <f>""</f>
        <v/>
      </c>
    </row>
    <row r="187" spans="1:96" x14ac:dyDescent="0.2">
      <c r="A187" t="s">
        <v>10261</v>
      </c>
      <c r="B187" t="s">
        <v>96</v>
      </c>
      <c r="C187" s="1">
        <v>44098</v>
      </c>
      <c r="D187" s="1">
        <v>44105</v>
      </c>
      <c r="F187" t="s">
        <v>97</v>
      </c>
      <c r="G187" t="str">
        <f>"Senior Systems Analyst JC60"</f>
        <v>Senior Systems Analyst JC60</v>
      </c>
      <c r="H187" t="s">
        <v>12181</v>
      </c>
      <c r="I187" t="s">
        <v>110</v>
      </c>
      <c r="J187" t="s">
        <v>98</v>
      </c>
      <c r="K187" s="1">
        <v>44227</v>
      </c>
      <c r="L187" s="1">
        <v>45321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 t="s">
        <v>111</v>
      </c>
      <c r="U187" t="str">
        <f>"CTSUS"</f>
        <v>CTSUS</v>
      </c>
      <c r="V187" t="s">
        <v>112</v>
      </c>
      <c r="W187" t="str">
        <f>""</f>
        <v/>
      </c>
      <c r="X187" t="s">
        <v>113</v>
      </c>
      <c r="Y187" t="s">
        <v>114</v>
      </c>
      <c r="Z187" s="3">
        <v>77845</v>
      </c>
      <c r="AA187" t="s">
        <v>101</v>
      </c>
      <c r="AB187" t="s">
        <v>114</v>
      </c>
      <c r="AC187" s="4" t="str">
        <f>"+19793296682"</f>
        <v>+19793296682</v>
      </c>
      <c r="AE187" t="str">
        <f>"541512"</f>
        <v>541512</v>
      </c>
      <c r="AF187" t="s">
        <v>115</v>
      </c>
      <c r="AG187" t="s">
        <v>116</v>
      </c>
      <c r="AH187" t="s">
        <v>108</v>
      </c>
      <c r="AI187" t="s">
        <v>117</v>
      </c>
      <c r="AJ187" t="s">
        <v>118</v>
      </c>
      <c r="AK187" t="str">
        <f>""</f>
        <v/>
      </c>
      <c r="AL187" t="s">
        <v>119</v>
      </c>
      <c r="AM187" t="s">
        <v>114</v>
      </c>
      <c r="AN187" s="3">
        <v>77845</v>
      </c>
      <c r="AO187" t="s">
        <v>101</v>
      </c>
      <c r="AQ187" t="str">
        <f>"+19793296682"</f>
        <v>+19793296682</v>
      </c>
      <c r="AS187" t="s">
        <v>120</v>
      </c>
      <c r="AT187" t="s">
        <v>102</v>
      </c>
      <c r="AU187" t="str">
        <f>""</f>
        <v/>
      </c>
      <c r="AV187" t="str">
        <f>""</f>
        <v/>
      </c>
      <c r="AW187" t="str">
        <f>""</f>
        <v/>
      </c>
      <c r="AX187" t="str">
        <f>""</f>
        <v/>
      </c>
      <c r="AY187" t="str">
        <f>""</f>
        <v/>
      </c>
      <c r="AZ187" t="str">
        <f>""</f>
        <v/>
      </c>
      <c r="BA187" t="str">
        <f>""</f>
        <v/>
      </c>
      <c r="BC187" t="str">
        <f>""</f>
        <v/>
      </c>
      <c r="BD187" t="str">
        <f>""</f>
        <v/>
      </c>
      <c r="BE187" t="str">
        <f>""</f>
        <v/>
      </c>
      <c r="BF187" t="str">
        <f>""</f>
        <v/>
      </c>
      <c r="BG187" t="str">
        <f>""</f>
        <v/>
      </c>
      <c r="BH187" t="str">
        <f>""</f>
        <v/>
      </c>
      <c r="BI187" t="str">
        <f>""</f>
        <v/>
      </c>
      <c r="BJ187" t="str">
        <f>""</f>
        <v/>
      </c>
      <c r="BK187">
        <v>1</v>
      </c>
      <c r="BL187" t="s">
        <v>107</v>
      </c>
      <c r="BM187" t="str">
        <f>"Home Box Office, Inc."</f>
        <v>Home Box Office, Inc.</v>
      </c>
      <c r="BN187" t="s">
        <v>10262</v>
      </c>
      <c r="BP187" t="s">
        <v>277</v>
      </c>
      <c r="BQ187" t="s">
        <v>189</v>
      </c>
      <c r="BR187" t="s">
        <v>190</v>
      </c>
      <c r="BS187" s="5">
        <v>10001</v>
      </c>
      <c r="BT187" s="2">
        <v>92269</v>
      </c>
      <c r="BV187" t="s">
        <v>105</v>
      </c>
      <c r="BW187" s="2">
        <v>92269</v>
      </c>
      <c r="BX187" t="s">
        <v>105</v>
      </c>
      <c r="BZ187" t="s">
        <v>167</v>
      </c>
      <c r="CA187" t="str">
        <f t="shared" si="10"/>
        <v>7/1/2020 - 6/30/2021</v>
      </c>
      <c r="CF187">
        <v>1</v>
      </c>
      <c r="CG187" t="s">
        <v>98</v>
      </c>
      <c r="CH187" t="s">
        <v>98</v>
      </c>
      <c r="CI187" t="s">
        <v>206</v>
      </c>
      <c r="CJ187" t="s">
        <v>98</v>
      </c>
      <c r="CK187" t="s">
        <v>12323</v>
      </c>
      <c r="CL187" t="s">
        <v>108</v>
      </c>
      <c r="CM187" t="s">
        <v>109</v>
      </c>
      <c r="CN187" t="str">
        <f>""</f>
        <v/>
      </c>
      <c r="CO187" t="str">
        <f>""</f>
        <v/>
      </c>
      <c r="CP187" t="str">
        <f>""</f>
        <v/>
      </c>
      <c r="CQ187" t="str">
        <f>""</f>
        <v/>
      </c>
    </row>
    <row r="188" spans="1:96" x14ac:dyDescent="0.2">
      <c r="A188" t="s">
        <v>10272</v>
      </c>
      <c r="B188" t="s">
        <v>96</v>
      </c>
      <c r="C188" s="1">
        <v>44098</v>
      </c>
      <c r="D188" s="1">
        <v>44105</v>
      </c>
      <c r="F188" t="s">
        <v>97</v>
      </c>
      <c r="G188" t="str">
        <f>"Project Engineer"</f>
        <v>Project Engineer</v>
      </c>
      <c r="H188" t="s">
        <v>12196</v>
      </c>
      <c r="I188" t="s">
        <v>322</v>
      </c>
      <c r="J188" t="s">
        <v>98</v>
      </c>
      <c r="K188" s="1">
        <v>44123</v>
      </c>
      <c r="L188" s="1">
        <v>45217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7622</v>
      </c>
      <c r="U188" t="str">
        <f>""</f>
        <v/>
      </c>
      <c r="V188" t="s">
        <v>7623</v>
      </c>
      <c r="W188" t="str">
        <f>""</f>
        <v/>
      </c>
      <c r="X188" t="s">
        <v>348</v>
      </c>
      <c r="Y188" t="s">
        <v>265</v>
      </c>
      <c r="Z188" s="3">
        <v>48085</v>
      </c>
      <c r="AA188" t="s">
        <v>101</v>
      </c>
      <c r="AC188" s="4" t="str">
        <f>"+12482697130"</f>
        <v>+12482697130</v>
      </c>
      <c r="AE188" t="str">
        <f>"541512"</f>
        <v>541512</v>
      </c>
      <c r="AF188" t="s">
        <v>7624</v>
      </c>
      <c r="AG188" t="s">
        <v>7625</v>
      </c>
      <c r="AI188" t="s">
        <v>807</v>
      </c>
      <c r="AJ188" t="s">
        <v>7623</v>
      </c>
      <c r="AK188" t="str">
        <f>""</f>
        <v/>
      </c>
      <c r="AL188" t="s">
        <v>348</v>
      </c>
      <c r="AM188" t="s">
        <v>265</v>
      </c>
      <c r="AN188" s="3">
        <v>48085</v>
      </c>
      <c r="AO188" t="s">
        <v>101</v>
      </c>
      <c r="AQ188" t="str">
        <f>"+12482697130"</f>
        <v>+12482697130</v>
      </c>
      <c r="AS188" t="s">
        <v>7626</v>
      </c>
      <c r="AT188" t="s">
        <v>107</v>
      </c>
      <c r="AU188" t="str">
        <f>"Greenwood"</f>
        <v>Greenwood</v>
      </c>
      <c r="AV188" t="str">
        <f>"Andrew"</f>
        <v>Andrew</v>
      </c>
      <c r="AW188" t="str">
        <f>"A"</f>
        <v>A</v>
      </c>
      <c r="AX188" t="str">
        <f>"30300 Agoura Road"</f>
        <v>30300 Agoura Road</v>
      </c>
      <c r="AY188" t="str">
        <f>"Ste. B100"</f>
        <v>Ste. B100</v>
      </c>
      <c r="AZ188" t="str">
        <f>"Agoura Hills"</f>
        <v>Agoura Hills</v>
      </c>
      <c r="BA188" t="str">
        <f>"CA"</f>
        <v>CA</v>
      </c>
      <c r="BB188" s="3">
        <v>91301</v>
      </c>
      <c r="BC188" t="str">
        <f>"UNITED STATES OF AMERICA"</f>
        <v>UNITED STATES OF AMERICA</v>
      </c>
      <c r="BD188" t="str">
        <f>""</f>
        <v/>
      </c>
      <c r="BE188" t="str">
        <f>"+18189146482"</f>
        <v>+18189146482</v>
      </c>
      <c r="BF188" t="str">
        <f>""</f>
        <v/>
      </c>
      <c r="BG188" t="str">
        <f>"Admin@gotcherlaw.com"</f>
        <v>Admin@gotcherlaw.com</v>
      </c>
      <c r="BH188" t="str">
        <f>"Global Immigration Partners, Inc"</f>
        <v>Global Immigration Partners, Inc</v>
      </c>
      <c r="BI188" t="str">
        <f>"CA"</f>
        <v>CA</v>
      </c>
      <c r="BJ188" t="str">
        <f>"Supreme Court"</f>
        <v>Supreme Court</v>
      </c>
      <c r="BK188">
        <v>1</v>
      </c>
      <c r="BL188" t="s">
        <v>107</v>
      </c>
      <c r="BM188" t="str">
        <f>"Lordstown Motor Company"</f>
        <v>Lordstown Motor Company</v>
      </c>
      <c r="BN188" t="s">
        <v>7627</v>
      </c>
      <c r="BP188" t="s">
        <v>1498</v>
      </c>
      <c r="BQ188" t="s">
        <v>719</v>
      </c>
      <c r="BR188" t="s">
        <v>265</v>
      </c>
      <c r="BS188" s="5">
        <v>48331</v>
      </c>
      <c r="BT188" s="2">
        <v>84960</v>
      </c>
      <c r="BV188" t="s">
        <v>105</v>
      </c>
      <c r="BW188" s="2">
        <v>82555</v>
      </c>
      <c r="BX188" t="s">
        <v>105</v>
      </c>
      <c r="BZ188" t="s">
        <v>167</v>
      </c>
      <c r="CA188" t="str">
        <f t="shared" si="10"/>
        <v>7/1/2020 - 6/30/2021</v>
      </c>
      <c r="CF188">
        <v>1</v>
      </c>
      <c r="CG188" t="s">
        <v>98</v>
      </c>
      <c r="CH188" t="s">
        <v>98</v>
      </c>
      <c r="CI188" t="s">
        <v>206</v>
      </c>
      <c r="CJ188" t="s">
        <v>98</v>
      </c>
      <c r="CK188" t="s">
        <v>12323</v>
      </c>
      <c r="CL188" t="s">
        <v>108</v>
      </c>
      <c r="CM188" t="s">
        <v>109</v>
      </c>
      <c r="CN188" t="str">
        <f>"Greenwood"</f>
        <v>Greenwood</v>
      </c>
      <c r="CO188" t="str">
        <f>"Andrew"</f>
        <v>Andrew</v>
      </c>
      <c r="CP188" t="str">
        <f>"A"</f>
        <v>A</v>
      </c>
      <c r="CQ188" t="str">
        <f>"Global Immigration Partners, Inc"</f>
        <v>Global Immigration Partners, Inc</v>
      </c>
      <c r="CR188" t="s">
        <v>1275</v>
      </c>
    </row>
    <row r="189" spans="1:96" x14ac:dyDescent="0.2">
      <c r="A189" t="s">
        <v>10287</v>
      </c>
      <c r="B189" t="s">
        <v>96</v>
      </c>
      <c r="C189" s="1">
        <v>44098</v>
      </c>
      <c r="D189" s="1">
        <v>44105</v>
      </c>
      <c r="F189" t="s">
        <v>97</v>
      </c>
      <c r="G189" t="str">
        <f>"Senior Software Engineer"</f>
        <v>Senior Software Engineer</v>
      </c>
      <c r="H189" t="s">
        <v>12169</v>
      </c>
      <c r="I189" t="s">
        <v>124</v>
      </c>
      <c r="J189" t="s">
        <v>98</v>
      </c>
      <c r="K189" s="1">
        <v>44109</v>
      </c>
      <c r="L189" s="1">
        <v>44911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 t="s">
        <v>5418</v>
      </c>
      <c r="U189" t="str">
        <f>""</f>
        <v/>
      </c>
      <c r="V189" t="s">
        <v>5419</v>
      </c>
      <c r="W189" t="str">
        <f>"SUITE 1405"</f>
        <v>SUITE 1405</v>
      </c>
      <c r="X189" t="s">
        <v>2770</v>
      </c>
      <c r="Y189" t="s">
        <v>215</v>
      </c>
      <c r="Z189" s="3">
        <v>30024</v>
      </c>
      <c r="AA189" t="s">
        <v>101</v>
      </c>
      <c r="AC189" s="4" t="str">
        <f>"+16783587213"</f>
        <v>+16783587213</v>
      </c>
      <c r="AE189" t="str">
        <f>"541511"</f>
        <v>541511</v>
      </c>
      <c r="AF189" t="s">
        <v>1146</v>
      </c>
      <c r="AG189" t="s">
        <v>5420</v>
      </c>
      <c r="AI189" t="s">
        <v>425</v>
      </c>
      <c r="AJ189" t="s">
        <v>5419</v>
      </c>
      <c r="AK189" t="str">
        <f>"SUITE 1405"</f>
        <v>SUITE 1405</v>
      </c>
      <c r="AL189" t="s">
        <v>2770</v>
      </c>
      <c r="AM189" t="s">
        <v>215</v>
      </c>
      <c r="AN189" s="3">
        <v>30024</v>
      </c>
      <c r="AO189" t="s">
        <v>101</v>
      </c>
      <c r="AQ189" t="str">
        <f>"+16783587213"</f>
        <v>+16783587213</v>
      </c>
      <c r="AS189" t="s">
        <v>5421</v>
      </c>
      <c r="AT189" t="s">
        <v>102</v>
      </c>
      <c r="AU189" t="str">
        <f>""</f>
        <v/>
      </c>
      <c r="AV189" t="str">
        <f>""</f>
        <v/>
      </c>
      <c r="AW189" t="str">
        <f>""</f>
        <v/>
      </c>
      <c r="AX189" t="str">
        <f>""</f>
        <v/>
      </c>
      <c r="AY189" t="str">
        <f>""</f>
        <v/>
      </c>
      <c r="AZ189" t="str">
        <f>""</f>
        <v/>
      </c>
      <c r="BA189" t="str">
        <f>""</f>
        <v/>
      </c>
      <c r="BC189" t="str">
        <f>""</f>
        <v/>
      </c>
      <c r="BD189" t="str">
        <f>""</f>
        <v/>
      </c>
      <c r="BE189" t="str">
        <f>""</f>
        <v/>
      </c>
      <c r="BF189" t="str">
        <f>""</f>
        <v/>
      </c>
      <c r="BG189" t="str">
        <f>""</f>
        <v/>
      </c>
      <c r="BH189" t="str">
        <f>""</f>
        <v/>
      </c>
      <c r="BI189" t="str">
        <f>""</f>
        <v/>
      </c>
      <c r="BJ189" t="str">
        <f>""</f>
        <v/>
      </c>
      <c r="BK189">
        <v>1</v>
      </c>
      <c r="BL189" t="s">
        <v>107</v>
      </c>
      <c r="BM189" t="str">
        <f>"Avera Health Plans"</f>
        <v>Avera Health Plans</v>
      </c>
      <c r="BN189" t="s">
        <v>10288</v>
      </c>
      <c r="BP189" t="s">
        <v>802</v>
      </c>
      <c r="BQ189" t="s">
        <v>5517</v>
      </c>
      <c r="BR189" t="s">
        <v>803</v>
      </c>
      <c r="BS189" s="5">
        <v>57108</v>
      </c>
      <c r="BT189" s="2">
        <v>116000</v>
      </c>
      <c r="BV189" t="s">
        <v>105</v>
      </c>
      <c r="BW189" s="2">
        <v>81869</v>
      </c>
      <c r="BX189" t="s">
        <v>105</v>
      </c>
      <c r="BZ189" t="s">
        <v>123</v>
      </c>
      <c r="CA189" t="str">
        <f t="shared" si="10"/>
        <v>7/1/2020 - 6/30/2021</v>
      </c>
      <c r="CF189">
        <v>2</v>
      </c>
      <c r="CG189" t="s">
        <v>98</v>
      </c>
      <c r="CH189" t="s">
        <v>98</v>
      </c>
      <c r="CI189" t="s">
        <v>206</v>
      </c>
      <c r="CJ189" t="s">
        <v>98</v>
      </c>
      <c r="CK189" t="s">
        <v>12323</v>
      </c>
      <c r="CL189" t="s">
        <v>108</v>
      </c>
      <c r="CM189" t="s">
        <v>109</v>
      </c>
      <c r="CN189" t="str">
        <f>"Vepure"</f>
        <v>Vepure</v>
      </c>
      <c r="CO189" t="str">
        <f>"Ramesh"</f>
        <v>Ramesh</v>
      </c>
      <c r="CP189" t="str">
        <f>"R"</f>
        <v>R</v>
      </c>
      <c r="CQ189" t="str">
        <f>"Byteware Inc"</f>
        <v>Byteware Inc</v>
      </c>
      <c r="CR189" t="s">
        <v>10289</v>
      </c>
    </row>
    <row r="190" spans="1:96" x14ac:dyDescent="0.2">
      <c r="A190" t="s">
        <v>10297</v>
      </c>
      <c r="B190" t="s">
        <v>96</v>
      </c>
      <c r="C190" s="1">
        <v>44098</v>
      </c>
      <c r="D190" s="1">
        <v>44105</v>
      </c>
      <c r="F190" t="s">
        <v>97</v>
      </c>
      <c r="G190" t="str">
        <f>"Software Developer"</f>
        <v>Software Developer</v>
      </c>
      <c r="H190" t="s">
        <v>12169</v>
      </c>
      <c r="I190" t="s">
        <v>124</v>
      </c>
      <c r="J190" t="s">
        <v>98</v>
      </c>
      <c r="K190" s="1">
        <v>44123</v>
      </c>
      <c r="L190" s="1">
        <v>45217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 t="s">
        <v>1505</v>
      </c>
      <c r="U190" t="str">
        <f>""</f>
        <v/>
      </c>
      <c r="V190" t="s">
        <v>1506</v>
      </c>
      <c r="W190" t="str">
        <f>"SUITE 350"</f>
        <v>SUITE 350</v>
      </c>
      <c r="X190" t="s">
        <v>1507</v>
      </c>
      <c r="Y190" t="s">
        <v>135</v>
      </c>
      <c r="Z190" s="3">
        <v>20171</v>
      </c>
      <c r="AA190" t="s">
        <v>101</v>
      </c>
      <c r="AC190" s="4" t="str">
        <f>"+17038707407"</f>
        <v>+17038707407</v>
      </c>
      <c r="AE190" t="str">
        <f>"541511"</f>
        <v>541511</v>
      </c>
      <c r="AF190" t="s">
        <v>1508</v>
      </c>
      <c r="AG190" t="s">
        <v>1509</v>
      </c>
      <c r="AI190" t="s">
        <v>1510</v>
      </c>
      <c r="AJ190" t="s">
        <v>1506</v>
      </c>
      <c r="AK190" t="str">
        <f>"SUITE 350"</f>
        <v>SUITE 350</v>
      </c>
      <c r="AL190" t="s">
        <v>1507</v>
      </c>
      <c r="AM190" t="s">
        <v>135</v>
      </c>
      <c r="AN190" s="3">
        <v>20171</v>
      </c>
      <c r="AO190" t="s">
        <v>101</v>
      </c>
      <c r="AQ190" t="str">
        <f>"+17038707407"</f>
        <v>+17038707407</v>
      </c>
      <c r="AS190" t="s">
        <v>1511</v>
      </c>
      <c r="AT190" t="s">
        <v>102</v>
      </c>
      <c r="AU190" t="str">
        <f>""</f>
        <v/>
      </c>
      <c r="AV190" t="str">
        <f>""</f>
        <v/>
      </c>
      <c r="AW190" t="str">
        <f>""</f>
        <v/>
      </c>
      <c r="AX190" t="str">
        <f>""</f>
        <v/>
      </c>
      <c r="AY190" t="str">
        <f>""</f>
        <v/>
      </c>
      <c r="AZ190" t="str">
        <f>""</f>
        <v/>
      </c>
      <c r="BA190" t="str">
        <f>""</f>
        <v/>
      </c>
      <c r="BC190" t="str">
        <f>""</f>
        <v/>
      </c>
      <c r="BD190" t="str">
        <f>""</f>
        <v/>
      </c>
      <c r="BE190" t="str">
        <f>""</f>
        <v/>
      </c>
      <c r="BF190" t="str">
        <f>""</f>
        <v/>
      </c>
      <c r="BG190" t="str">
        <f>""</f>
        <v/>
      </c>
      <c r="BH190" t="str">
        <f>""</f>
        <v/>
      </c>
      <c r="BI190" t="str">
        <f>""</f>
        <v/>
      </c>
      <c r="BJ190" t="str">
        <f>""</f>
        <v/>
      </c>
      <c r="BK190">
        <v>1</v>
      </c>
      <c r="BL190" t="s">
        <v>107</v>
      </c>
      <c r="BM190" t="str">
        <f>"Charter Communications"</f>
        <v>Charter Communications</v>
      </c>
      <c r="BN190" t="s">
        <v>8034</v>
      </c>
      <c r="BP190" t="s">
        <v>604</v>
      </c>
      <c r="BQ190" t="s">
        <v>121</v>
      </c>
      <c r="BR190" t="s">
        <v>122</v>
      </c>
      <c r="BS190" s="5">
        <v>28217</v>
      </c>
      <c r="BT190" s="2">
        <v>100000</v>
      </c>
      <c r="BU190" s="2">
        <v>125000</v>
      </c>
      <c r="BV190" t="s">
        <v>105</v>
      </c>
      <c r="BW190" s="2">
        <v>85488</v>
      </c>
      <c r="BX190" t="s">
        <v>105</v>
      </c>
      <c r="BZ190" t="s">
        <v>167</v>
      </c>
      <c r="CA190" t="str">
        <f t="shared" si="10"/>
        <v>7/1/2020 - 6/30/2021</v>
      </c>
      <c r="CF190">
        <v>2</v>
      </c>
      <c r="CG190" t="s">
        <v>98</v>
      </c>
      <c r="CH190" t="s">
        <v>98</v>
      </c>
      <c r="CI190" t="s">
        <v>206</v>
      </c>
      <c r="CJ190" t="s">
        <v>98</v>
      </c>
      <c r="CK190" t="s">
        <v>12323</v>
      </c>
      <c r="CL190" t="s">
        <v>108</v>
      </c>
      <c r="CM190" t="s">
        <v>109</v>
      </c>
      <c r="CN190" t="str">
        <f>""</f>
        <v/>
      </c>
      <c r="CO190" t="str">
        <f>""</f>
        <v/>
      </c>
      <c r="CP190" t="str">
        <f>""</f>
        <v/>
      </c>
      <c r="CQ190" t="str">
        <f>""</f>
        <v/>
      </c>
    </row>
    <row r="191" spans="1:96" x14ac:dyDescent="0.2">
      <c r="A191" t="s">
        <v>10299</v>
      </c>
      <c r="B191" t="s">
        <v>96</v>
      </c>
      <c r="C191" s="1">
        <v>44098</v>
      </c>
      <c r="D191" s="1">
        <v>44105</v>
      </c>
      <c r="F191" t="s">
        <v>97</v>
      </c>
      <c r="G191" t="str">
        <f>"Manager JC50"</f>
        <v>Manager JC50</v>
      </c>
      <c r="H191" t="s">
        <v>12181</v>
      </c>
      <c r="I191" t="s">
        <v>110</v>
      </c>
      <c r="J191" t="s">
        <v>98</v>
      </c>
      <c r="K191" s="1">
        <v>44107</v>
      </c>
      <c r="L191" s="1">
        <v>45201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 t="s">
        <v>111</v>
      </c>
      <c r="U191" t="str">
        <f>"CTSUS"</f>
        <v>CTSUS</v>
      </c>
      <c r="V191" t="s">
        <v>112</v>
      </c>
      <c r="W191" t="str">
        <f>""</f>
        <v/>
      </c>
      <c r="X191" t="s">
        <v>113</v>
      </c>
      <c r="Y191" t="s">
        <v>114</v>
      </c>
      <c r="Z191" s="3">
        <v>77845</v>
      </c>
      <c r="AA191" t="s">
        <v>101</v>
      </c>
      <c r="AB191" t="s">
        <v>114</v>
      </c>
      <c r="AC191" s="4" t="str">
        <f>"+19793296682"</f>
        <v>+19793296682</v>
      </c>
      <c r="AE191" t="str">
        <f>"541512"</f>
        <v>541512</v>
      </c>
      <c r="AF191" t="s">
        <v>115</v>
      </c>
      <c r="AG191" t="s">
        <v>116</v>
      </c>
      <c r="AH191" t="s">
        <v>108</v>
      </c>
      <c r="AI191" t="s">
        <v>117</v>
      </c>
      <c r="AJ191" t="s">
        <v>118</v>
      </c>
      <c r="AK191" t="str">
        <f>""</f>
        <v/>
      </c>
      <c r="AL191" t="s">
        <v>119</v>
      </c>
      <c r="AM191" t="s">
        <v>114</v>
      </c>
      <c r="AN191" s="3">
        <v>77845</v>
      </c>
      <c r="AO191" t="s">
        <v>101</v>
      </c>
      <c r="AQ191" t="str">
        <f>"+19793296682"</f>
        <v>+19793296682</v>
      </c>
      <c r="AS191" t="s">
        <v>120</v>
      </c>
      <c r="AT191" t="s">
        <v>102</v>
      </c>
      <c r="AU191" t="str">
        <f>""</f>
        <v/>
      </c>
      <c r="AV191" t="str">
        <f>""</f>
        <v/>
      </c>
      <c r="AW191" t="str">
        <f>""</f>
        <v/>
      </c>
      <c r="AX191" t="str">
        <f>""</f>
        <v/>
      </c>
      <c r="AY191" t="str">
        <f>""</f>
        <v/>
      </c>
      <c r="AZ191" t="str">
        <f>""</f>
        <v/>
      </c>
      <c r="BA191" t="str">
        <f>""</f>
        <v/>
      </c>
      <c r="BC191" t="str">
        <f>""</f>
        <v/>
      </c>
      <c r="BD191" t="str">
        <f>""</f>
        <v/>
      </c>
      <c r="BE191" t="str">
        <f>""</f>
        <v/>
      </c>
      <c r="BF191" t="str">
        <f>""</f>
        <v/>
      </c>
      <c r="BG191" t="str">
        <f>""</f>
        <v/>
      </c>
      <c r="BH191" t="str">
        <f>""</f>
        <v/>
      </c>
      <c r="BI191" t="str">
        <f>""</f>
        <v/>
      </c>
      <c r="BJ191" t="str">
        <f>""</f>
        <v/>
      </c>
      <c r="BK191">
        <v>1</v>
      </c>
      <c r="BL191" t="s">
        <v>102</v>
      </c>
      <c r="BM191" t="str">
        <f>""</f>
        <v/>
      </c>
      <c r="BN191" t="s">
        <v>10300</v>
      </c>
      <c r="BP191" t="s">
        <v>333</v>
      </c>
      <c r="BQ191" t="s">
        <v>861</v>
      </c>
      <c r="BR191" t="s">
        <v>127</v>
      </c>
      <c r="BS191" s="5">
        <v>15212</v>
      </c>
      <c r="BT191" s="2">
        <v>93496</v>
      </c>
      <c r="BV191" t="s">
        <v>105</v>
      </c>
      <c r="BW191" s="2">
        <v>93496</v>
      </c>
      <c r="BX191" t="s">
        <v>105</v>
      </c>
      <c r="BZ191" t="s">
        <v>123</v>
      </c>
      <c r="CA191" t="str">
        <f t="shared" si="10"/>
        <v>7/1/2020 - 6/30/2021</v>
      </c>
      <c r="CF191">
        <v>1</v>
      </c>
      <c r="CG191" t="s">
        <v>98</v>
      </c>
      <c r="CH191" t="s">
        <v>98</v>
      </c>
      <c r="CI191" t="s">
        <v>206</v>
      </c>
      <c r="CJ191" t="s">
        <v>98</v>
      </c>
      <c r="CK191" t="s">
        <v>12323</v>
      </c>
      <c r="CL191" t="s">
        <v>108</v>
      </c>
      <c r="CM191" t="s">
        <v>109</v>
      </c>
      <c r="CN191" t="str">
        <f>""</f>
        <v/>
      </c>
      <c r="CO191" t="str">
        <f>""</f>
        <v/>
      </c>
      <c r="CP191" t="str">
        <f>""</f>
        <v/>
      </c>
      <c r="CQ191" t="str">
        <f>""</f>
        <v/>
      </c>
    </row>
    <row r="192" spans="1:96" x14ac:dyDescent="0.2">
      <c r="A192" t="s">
        <v>10327</v>
      </c>
      <c r="B192" t="s">
        <v>96</v>
      </c>
      <c r="C192" s="1">
        <v>44098</v>
      </c>
      <c r="D192" s="1">
        <v>44105</v>
      </c>
      <c r="F192" t="s">
        <v>97</v>
      </c>
      <c r="G192" t="str">
        <f>"System Architect - II"</f>
        <v>System Architect - II</v>
      </c>
      <c r="H192" t="s">
        <v>12168</v>
      </c>
      <c r="I192" t="s">
        <v>160</v>
      </c>
      <c r="J192" t="s">
        <v>98</v>
      </c>
      <c r="K192" s="1">
        <v>44098</v>
      </c>
      <c r="L192" s="1">
        <v>45192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 t="s">
        <v>669</v>
      </c>
      <c r="U192" t="str">
        <f>""</f>
        <v/>
      </c>
      <c r="V192" t="s">
        <v>670</v>
      </c>
      <c r="W192" t="str">
        <f>""</f>
        <v/>
      </c>
      <c r="X192" t="s">
        <v>671</v>
      </c>
      <c r="Y192" t="s">
        <v>141</v>
      </c>
      <c r="Z192" s="3">
        <v>94085</v>
      </c>
      <c r="AA192" t="s">
        <v>101</v>
      </c>
      <c r="AC192" s="4" t="str">
        <f>"+14087330480"</f>
        <v>+14087330480</v>
      </c>
      <c r="AE192" t="str">
        <f>"541511"</f>
        <v>541511</v>
      </c>
      <c r="AF192" t="s">
        <v>672</v>
      </c>
      <c r="AG192" t="s">
        <v>673</v>
      </c>
      <c r="AI192" t="s">
        <v>674</v>
      </c>
      <c r="AJ192" t="s">
        <v>670</v>
      </c>
      <c r="AK192" t="str">
        <f>""</f>
        <v/>
      </c>
      <c r="AL192" t="s">
        <v>671</v>
      </c>
      <c r="AM192" t="s">
        <v>141</v>
      </c>
      <c r="AN192" s="3">
        <v>94085</v>
      </c>
      <c r="AO192" t="s">
        <v>101</v>
      </c>
      <c r="AQ192" t="str">
        <f>"+14087330480"</f>
        <v>+14087330480</v>
      </c>
      <c r="AS192" t="s">
        <v>675</v>
      </c>
      <c r="AT192" t="s">
        <v>102</v>
      </c>
      <c r="AU192" t="str">
        <f>""</f>
        <v/>
      </c>
      <c r="AV192" t="str">
        <f>""</f>
        <v/>
      </c>
      <c r="AW192" t="str">
        <f>""</f>
        <v/>
      </c>
      <c r="AX192" t="str">
        <f>""</f>
        <v/>
      </c>
      <c r="AY192" t="str">
        <f>""</f>
        <v/>
      </c>
      <c r="AZ192" t="str">
        <f>""</f>
        <v/>
      </c>
      <c r="BA192" t="str">
        <f>""</f>
        <v/>
      </c>
      <c r="BC192" t="str">
        <f>""</f>
        <v/>
      </c>
      <c r="BD192" t="str">
        <f>""</f>
        <v/>
      </c>
      <c r="BE192" t="str">
        <f>""</f>
        <v/>
      </c>
      <c r="BF192" t="str">
        <f>""</f>
        <v/>
      </c>
      <c r="BG192" t="str">
        <f>""</f>
        <v/>
      </c>
      <c r="BH192" t="str">
        <f>""</f>
        <v/>
      </c>
      <c r="BI192" t="str">
        <f>""</f>
        <v/>
      </c>
      <c r="BJ192" t="str">
        <f>""</f>
        <v/>
      </c>
      <c r="BK192">
        <v>1</v>
      </c>
      <c r="BL192" t="s">
        <v>107</v>
      </c>
      <c r="BM192" t="str">
        <f>"Cisco Systems Inc"</f>
        <v>Cisco Systems Inc</v>
      </c>
      <c r="BN192" t="s">
        <v>10328</v>
      </c>
      <c r="BP192" t="s">
        <v>762</v>
      </c>
      <c r="BQ192" t="s">
        <v>230</v>
      </c>
      <c r="BR192" t="s">
        <v>141</v>
      </c>
      <c r="BS192" s="5">
        <v>95035</v>
      </c>
      <c r="BT192" s="2">
        <v>117726</v>
      </c>
      <c r="BV192" t="s">
        <v>105</v>
      </c>
      <c r="BW192" s="2">
        <v>110926</v>
      </c>
      <c r="BX192" t="s">
        <v>105</v>
      </c>
      <c r="BZ192" t="s">
        <v>167</v>
      </c>
      <c r="CA192" t="str">
        <f t="shared" si="10"/>
        <v>7/1/2020 - 6/30/2021</v>
      </c>
      <c r="CF192">
        <v>1</v>
      </c>
      <c r="CG192" t="s">
        <v>98</v>
      </c>
      <c r="CH192" t="s">
        <v>98</v>
      </c>
      <c r="CI192" t="s">
        <v>206</v>
      </c>
      <c r="CJ192" t="s">
        <v>98</v>
      </c>
      <c r="CK192" t="s">
        <v>12323</v>
      </c>
      <c r="CL192" t="s">
        <v>108</v>
      </c>
      <c r="CM192" t="s">
        <v>109</v>
      </c>
      <c r="CN192" t="str">
        <f>""</f>
        <v/>
      </c>
      <c r="CO192" t="str">
        <f>""</f>
        <v/>
      </c>
      <c r="CP192" t="str">
        <f>""</f>
        <v/>
      </c>
      <c r="CQ192" t="str">
        <f>""</f>
        <v/>
      </c>
    </row>
    <row r="193" spans="1:96" x14ac:dyDescent="0.2">
      <c r="A193" t="s">
        <v>10336</v>
      </c>
      <c r="B193" t="s">
        <v>96</v>
      </c>
      <c r="C193" s="1">
        <v>44098</v>
      </c>
      <c r="D193" s="1">
        <v>44105</v>
      </c>
      <c r="F193" t="s">
        <v>97</v>
      </c>
      <c r="G193" t="str">
        <f>"Data Scientist, Analytics "</f>
        <v xml:space="preserve">Data Scientist, Analytics </v>
      </c>
      <c r="H193" t="s">
        <v>12182</v>
      </c>
      <c r="I193" t="s">
        <v>168</v>
      </c>
      <c r="J193" t="s">
        <v>98</v>
      </c>
      <c r="K193" s="1">
        <v>44116</v>
      </c>
      <c r="L193" s="1">
        <v>45210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 t="s">
        <v>466</v>
      </c>
      <c r="U193" t="str">
        <f>""</f>
        <v/>
      </c>
      <c r="V193" t="s">
        <v>467</v>
      </c>
      <c r="W193" t="str">
        <f>"AKA 1601 Willow Road"</f>
        <v>AKA 1601 Willow Road</v>
      </c>
      <c r="X193" t="s">
        <v>468</v>
      </c>
      <c r="Y193" t="s">
        <v>141</v>
      </c>
      <c r="Z193" s="3">
        <v>94025</v>
      </c>
      <c r="AA193" t="s">
        <v>101</v>
      </c>
      <c r="AC193" s="4" t="str">
        <f>"+16505434800"</f>
        <v>+16505434800</v>
      </c>
      <c r="AE193" t="str">
        <f>"518210"</f>
        <v>518210</v>
      </c>
      <c r="AF193" t="s">
        <v>469</v>
      </c>
      <c r="AG193" t="s">
        <v>470</v>
      </c>
      <c r="AI193" t="s">
        <v>471</v>
      </c>
      <c r="AJ193" t="s">
        <v>467</v>
      </c>
      <c r="AK193" t="str">
        <f>"AKA 1601 Willow Road "</f>
        <v xml:space="preserve">AKA 1601 Willow Road </v>
      </c>
      <c r="AL193" t="s">
        <v>472</v>
      </c>
      <c r="AM193" t="s">
        <v>141</v>
      </c>
      <c r="AN193" s="3">
        <v>94025</v>
      </c>
      <c r="AO193" t="s">
        <v>101</v>
      </c>
      <c r="AQ193" t="str">
        <f>"+14085335781"</f>
        <v>+14085335781</v>
      </c>
      <c r="AS193" t="s">
        <v>108</v>
      </c>
      <c r="AT193" t="s">
        <v>107</v>
      </c>
      <c r="AU193" t="str">
        <f>"McCarthy"</f>
        <v>McCarthy</v>
      </c>
      <c r="AV193" t="str">
        <f>"Susan"</f>
        <v>Susan</v>
      </c>
      <c r="AW193" t="str">
        <f>""</f>
        <v/>
      </c>
      <c r="AX193" t="str">
        <f>"P.O. Box 31608"</f>
        <v>P.O. Box 31608</v>
      </c>
      <c r="AY193" t="str">
        <f>""</f>
        <v/>
      </c>
      <c r="AZ193" t="str">
        <f>"Raleigh"</f>
        <v>Raleigh</v>
      </c>
      <c r="BA193" t="str">
        <f>"NC"</f>
        <v>NC</v>
      </c>
      <c r="BB193" s="3">
        <v>27622</v>
      </c>
      <c r="BC193" t="str">
        <f>"UNITED STATES OF AMERICA"</f>
        <v>UNITED STATES OF AMERICA</v>
      </c>
      <c r="BD193" t="str">
        <f>""</f>
        <v/>
      </c>
      <c r="BE193" t="str">
        <f>"+19193077002"</f>
        <v>+19193077002</v>
      </c>
      <c r="BF193" t="str">
        <f>""</f>
        <v/>
      </c>
      <c r="BG193" t="str">
        <f>"vicky.johnson@ogletreedeakins.com"</f>
        <v>vicky.johnson@ogletreedeakins.com</v>
      </c>
      <c r="BH193" t="str">
        <f>"Ogletree, Deakins, Nash, Smoak &amp; Stewart, P.C."</f>
        <v>Ogletree, Deakins, Nash, Smoak &amp; Stewart, P.C.</v>
      </c>
      <c r="BI193" t="str">
        <f>"NJ"</f>
        <v>NJ</v>
      </c>
      <c r="BJ193" t="str">
        <f>"Supreme Court of New Jersey"</f>
        <v>Supreme Court of New Jersey</v>
      </c>
      <c r="BK193">
        <v>1</v>
      </c>
      <c r="BL193" t="s">
        <v>102</v>
      </c>
      <c r="BM193" t="str">
        <f>""</f>
        <v/>
      </c>
      <c r="BN193" t="s">
        <v>4257</v>
      </c>
      <c r="BP193" t="s">
        <v>261</v>
      </c>
      <c r="BQ193" t="s">
        <v>183</v>
      </c>
      <c r="BR193" t="s">
        <v>176</v>
      </c>
      <c r="BS193" s="5">
        <v>98109</v>
      </c>
      <c r="BT193" s="2">
        <v>142000</v>
      </c>
      <c r="BV193" t="s">
        <v>105</v>
      </c>
      <c r="BW193" s="2">
        <v>118269</v>
      </c>
      <c r="BX193" t="s">
        <v>105</v>
      </c>
      <c r="BZ193" t="s">
        <v>159</v>
      </c>
      <c r="CA193" t="str">
        <f t="shared" si="10"/>
        <v>7/1/2020 - 6/30/2021</v>
      </c>
      <c r="CF193">
        <v>2</v>
      </c>
      <c r="CG193" t="s">
        <v>98</v>
      </c>
      <c r="CH193" t="s">
        <v>98</v>
      </c>
      <c r="CI193" t="s">
        <v>206</v>
      </c>
      <c r="CJ193" t="s">
        <v>98</v>
      </c>
      <c r="CK193" t="s">
        <v>12323</v>
      </c>
      <c r="CL193" t="s">
        <v>108</v>
      </c>
      <c r="CM193" t="s">
        <v>109</v>
      </c>
      <c r="CN193" t="str">
        <f>"McCarthy "</f>
        <v xml:space="preserve">McCarthy </v>
      </c>
      <c r="CO193" t="str">
        <f>"Susan"</f>
        <v>Susan</v>
      </c>
      <c r="CP193" t="str">
        <f>""</f>
        <v/>
      </c>
      <c r="CQ193" t="str">
        <f>"Ogletree, Deakins, Nash, Smoak &amp; Stewart, P.C. "</f>
        <v xml:space="preserve">Ogletree, Deakins, Nash, Smoak &amp; Stewart, P.C. </v>
      </c>
      <c r="CR193" t="s">
        <v>473</v>
      </c>
    </row>
    <row r="194" spans="1:96" x14ac:dyDescent="0.2">
      <c r="A194" t="s">
        <v>10381</v>
      </c>
      <c r="B194" t="s">
        <v>96</v>
      </c>
      <c r="C194" s="1">
        <v>44098</v>
      </c>
      <c r="D194" s="1">
        <v>44105</v>
      </c>
      <c r="F194" t="s">
        <v>97</v>
      </c>
      <c r="G194" t="str">
        <f>"Data Analyst 2"</f>
        <v>Data Analyst 2</v>
      </c>
      <c r="H194" t="s">
        <v>12168</v>
      </c>
      <c r="I194" t="s">
        <v>1844</v>
      </c>
      <c r="J194" t="s">
        <v>98</v>
      </c>
      <c r="K194" s="1">
        <v>44100</v>
      </c>
      <c r="L194" s="1">
        <v>45194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 t="s">
        <v>1421</v>
      </c>
      <c r="U194" t="str">
        <f>""</f>
        <v/>
      </c>
      <c r="V194" t="s">
        <v>1422</v>
      </c>
      <c r="W194" t="str">
        <f>"SUITE 300"</f>
        <v>SUITE 300</v>
      </c>
      <c r="X194" t="s">
        <v>843</v>
      </c>
      <c r="Y194" t="s">
        <v>345</v>
      </c>
      <c r="Z194" s="3">
        <v>60606</v>
      </c>
      <c r="AA194" t="s">
        <v>101</v>
      </c>
      <c r="AC194" s="4" t="str">
        <f>"+13123955000"</f>
        <v>+13123955000</v>
      </c>
      <c r="AE194" t="str">
        <f>"5416"</f>
        <v>5416</v>
      </c>
      <c r="AF194" t="s">
        <v>1423</v>
      </c>
      <c r="AG194" t="s">
        <v>1424</v>
      </c>
      <c r="AI194" t="s">
        <v>1425</v>
      </c>
      <c r="AJ194" t="s">
        <v>1422</v>
      </c>
      <c r="AK194" t="str">
        <f>"SUITE 300"</f>
        <v>SUITE 300</v>
      </c>
      <c r="AL194" t="s">
        <v>843</v>
      </c>
      <c r="AM194" t="s">
        <v>345</v>
      </c>
      <c r="AN194" s="3">
        <v>60606</v>
      </c>
      <c r="AO194" t="s">
        <v>101</v>
      </c>
      <c r="AQ194" t="str">
        <f>"+13123958209"</f>
        <v>+13123958209</v>
      </c>
      <c r="AS194" t="s">
        <v>1426</v>
      </c>
      <c r="AT194" t="s">
        <v>102</v>
      </c>
      <c r="AU194" t="str">
        <f>""</f>
        <v/>
      </c>
      <c r="AV194" t="str">
        <f>""</f>
        <v/>
      </c>
      <c r="AW194" t="str">
        <f>""</f>
        <v/>
      </c>
      <c r="AX194" t="str">
        <f>""</f>
        <v/>
      </c>
      <c r="AY194" t="str">
        <f>""</f>
        <v/>
      </c>
      <c r="AZ194" t="str">
        <f>""</f>
        <v/>
      </c>
      <c r="BA194" t="str">
        <f>""</f>
        <v/>
      </c>
      <c r="BC194" t="str">
        <f>""</f>
        <v/>
      </c>
      <c r="BD194" t="str">
        <f>""</f>
        <v/>
      </c>
      <c r="BE194" t="str">
        <f>""</f>
        <v/>
      </c>
      <c r="BF194" t="str">
        <f>""</f>
        <v/>
      </c>
      <c r="BG194" t="str">
        <f>""</f>
        <v/>
      </c>
      <c r="BH194" t="str">
        <f>""</f>
        <v/>
      </c>
      <c r="BI194" t="str">
        <f>""</f>
        <v/>
      </c>
      <c r="BJ194" t="str">
        <f>""</f>
        <v/>
      </c>
      <c r="BK194">
        <v>1</v>
      </c>
      <c r="BL194" t="s">
        <v>107</v>
      </c>
      <c r="BM194" t="str">
        <f>"CHARTER COMMUNICATIONS INC"</f>
        <v>CHARTER COMMUNICATIONS INC</v>
      </c>
      <c r="BN194" t="s">
        <v>3517</v>
      </c>
      <c r="BP194" t="s">
        <v>1964</v>
      </c>
      <c r="BQ194" t="s">
        <v>1964</v>
      </c>
      <c r="BR194" t="s">
        <v>374</v>
      </c>
      <c r="BS194" s="5">
        <v>63131</v>
      </c>
      <c r="BT194" s="2">
        <v>66602</v>
      </c>
      <c r="BU194" s="2">
        <v>141716</v>
      </c>
      <c r="BV194" t="s">
        <v>105</v>
      </c>
      <c r="BW194" s="2">
        <v>66602</v>
      </c>
      <c r="BX194" t="s">
        <v>105</v>
      </c>
      <c r="BZ194" t="s">
        <v>167</v>
      </c>
      <c r="CA194" t="str">
        <f t="shared" si="10"/>
        <v>7/1/2020 - 6/30/2021</v>
      </c>
      <c r="CF194">
        <v>1</v>
      </c>
      <c r="CG194" t="s">
        <v>98</v>
      </c>
      <c r="CH194" t="s">
        <v>98</v>
      </c>
      <c r="CI194" t="s">
        <v>206</v>
      </c>
      <c r="CJ194" t="s">
        <v>98</v>
      </c>
      <c r="CK194" t="s">
        <v>12323</v>
      </c>
      <c r="CL194" t="s">
        <v>108</v>
      </c>
      <c r="CM194" t="s">
        <v>109</v>
      </c>
      <c r="CN194" t="str">
        <f>""</f>
        <v/>
      </c>
      <c r="CO194" t="str">
        <f>""</f>
        <v/>
      </c>
      <c r="CP194" t="str">
        <f>""</f>
        <v/>
      </c>
      <c r="CQ194" t="str">
        <f>""</f>
        <v/>
      </c>
    </row>
    <row r="195" spans="1:96" x14ac:dyDescent="0.2">
      <c r="A195" t="s">
        <v>10382</v>
      </c>
      <c r="B195" t="s">
        <v>96</v>
      </c>
      <c r="C195" s="1">
        <v>44098</v>
      </c>
      <c r="D195" s="1">
        <v>44105</v>
      </c>
      <c r="F195" t="s">
        <v>97</v>
      </c>
      <c r="G195" t="str">
        <f>"Senior Technology Architect - US "</f>
        <v xml:space="preserve">Senior Technology Architect - US </v>
      </c>
      <c r="H195" t="s">
        <v>12168</v>
      </c>
      <c r="I195" t="s">
        <v>160</v>
      </c>
      <c r="J195" t="s">
        <v>98</v>
      </c>
      <c r="K195" s="1">
        <v>44109</v>
      </c>
      <c r="L195" s="1">
        <v>45201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 t="s">
        <v>723</v>
      </c>
      <c r="U195" t="str">
        <f>""</f>
        <v/>
      </c>
      <c r="V195" t="s">
        <v>724</v>
      </c>
      <c r="W195" t="str">
        <f>"STE C150"</f>
        <v>STE C150</v>
      </c>
      <c r="X195" t="s">
        <v>725</v>
      </c>
      <c r="Y195" t="s">
        <v>114</v>
      </c>
      <c r="Z195" s="3">
        <v>75082</v>
      </c>
      <c r="AA195" t="s">
        <v>101</v>
      </c>
      <c r="AC195" s="4" t="str">
        <f>"+12143062100"</f>
        <v>+12143062100</v>
      </c>
      <c r="AE195" t="str">
        <f>"541511"</f>
        <v>541511</v>
      </c>
      <c r="AF195" t="s">
        <v>726</v>
      </c>
      <c r="AG195" t="s">
        <v>727</v>
      </c>
      <c r="AI195" t="s">
        <v>728</v>
      </c>
      <c r="AJ195" t="s">
        <v>724</v>
      </c>
      <c r="AK195" t="str">
        <f>"STE C150"</f>
        <v>STE C150</v>
      </c>
      <c r="AL195" t="s">
        <v>725</v>
      </c>
      <c r="AM195" t="s">
        <v>114</v>
      </c>
      <c r="AN195" s="3">
        <v>75082</v>
      </c>
      <c r="AO195" t="s">
        <v>101</v>
      </c>
      <c r="AQ195" t="str">
        <f>"+12143062100"</f>
        <v>+12143062100</v>
      </c>
      <c r="AS195" t="s">
        <v>729</v>
      </c>
      <c r="AT195" t="s">
        <v>102</v>
      </c>
      <c r="AU195" t="str">
        <f>""</f>
        <v/>
      </c>
      <c r="AV195" t="str">
        <f>""</f>
        <v/>
      </c>
      <c r="AW195" t="str">
        <f>""</f>
        <v/>
      </c>
      <c r="AX195" t="str">
        <f>""</f>
        <v/>
      </c>
      <c r="AY195" t="str">
        <f>""</f>
        <v/>
      </c>
      <c r="AZ195" t="str">
        <f>""</f>
        <v/>
      </c>
      <c r="BA195" t="str">
        <f>""</f>
        <v/>
      </c>
      <c r="BC195" t="str">
        <f>""</f>
        <v/>
      </c>
      <c r="BD195" t="str">
        <f>""</f>
        <v/>
      </c>
      <c r="BE195" t="str">
        <f>""</f>
        <v/>
      </c>
      <c r="BF195" t="str">
        <f>""</f>
        <v/>
      </c>
      <c r="BG195" t="str">
        <f>""</f>
        <v/>
      </c>
      <c r="BH195" t="str">
        <f>""</f>
        <v/>
      </c>
      <c r="BI195" t="str">
        <f>""</f>
        <v/>
      </c>
      <c r="BJ195" t="str">
        <f>""</f>
        <v/>
      </c>
      <c r="BK195">
        <v>1</v>
      </c>
      <c r="BL195" t="s">
        <v>107</v>
      </c>
      <c r="BM195" t="str">
        <f>"Apple, Inc."</f>
        <v>Apple, Inc.</v>
      </c>
      <c r="BN195" t="s">
        <v>7886</v>
      </c>
      <c r="BP195" t="s">
        <v>1021</v>
      </c>
      <c r="BQ195" t="s">
        <v>230</v>
      </c>
      <c r="BR195" t="s">
        <v>141</v>
      </c>
      <c r="BS195" s="5">
        <v>94085</v>
      </c>
      <c r="BT195" s="2">
        <v>137363</v>
      </c>
      <c r="BV195" t="s">
        <v>105</v>
      </c>
      <c r="BW195" s="2">
        <v>137363</v>
      </c>
      <c r="BX195" t="s">
        <v>105</v>
      </c>
      <c r="BZ195" t="s">
        <v>123</v>
      </c>
      <c r="CA195" t="str">
        <f t="shared" si="10"/>
        <v>7/1/2020 - 6/30/2021</v>
      </c>
      <c r="CF195">
        <v>1</v>
      </c>
      <c r="CG195" t="s">
        <v>98</v>
      </c>
      <c r="CH195" t="s">
        <v>98</v>
      </c>
      <c r="CI195" t="s">
        <v>206</v>
      </c>
      <c r="CJ195" t="s">
        <v>98</v>
      </c>
      <c r="CK195" t="s">
        <v>12323</v>
      </c>
      <c r="CL195" t="s">
        <v>108</v>
      </c>
      <c r="CM195" t="s">
        <v>109</v>
      </c>
      <c r="CN195" t="str">
        <f>"Khanum"</f>
        <v>Khanum</v>
      </c>
      <c r="CO195" t="str">
        <f>"Hajeera"</f>
        <v>Hajeera</v>
      </c>
      <c r="CP195" t="str">
        <f>""</f>
        <v/>
      </c>
      <c r="CQ195" t="str">
        <f>"Infosys Limited"</f>
        <v>Infosys Limited</v>
      </c>
      <c r="CR195" t="s">
        <v>900</v>
      </c>
    </row>
    <row r="196" spans="1:96" x14ac:dyDescent="0.2">
      <c r="A196" t="s">
        <v>10414</v>
      </c>
      <c r="B196" t="s">
        <v>96</v>
      </c>
      <c r="C196" s="1">
        <v>44098</v>
      </c>
      <c r="D196" s="1">
        <v>44105</v>
      </c>
      <c r="F196" t="s">
        <v>97</v>
      </c>
      <c r="G196" t="str">
        <f>"Senior Manager JC45"</f>
        <v>Senior Manager JC45</v>
      </c>
      <c r="H196" t="s">
        <v>12181</v>
      </c>
      <c r="I196" t="s">
        <v>110</v>
      </c>
      <c r="J196" t="s">
        <v>98</v>
      </c>
      <c r="K196" s="1">
        <v>44141</v>
      </c>
      <c r="L196" s="1">
        <v>45235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111</v>
      </c>
      <c r="U196" t="str">
        <f>"CTSUS"</f>
        <v>CTSUS</v>
      </c>
      <c r="V196" t="s">
        <v>112</v>
      </c>
      <c r="W196" t="str">
        <f>""</f>
        <v/>
      </c>
      <c r="X196" t="s">
        <v>113</v>
      </c>
      <c r="Y196" t="s">
        <v>114</v>
      </c>
      <c r="Z196" s="3">
        <v>77845</v>
      </c>
      <c r="AA196" t="s">
        <v>101</v>
      </c>
      <c r="AB196" t="s">
        <v>114</v>
      </c>
      <c r="AC196" s="4" t="str">
        <f>"+19793296682"</f>
        <v>+19793296682</v>
      </c>
      <c r="AE196" t="str">
        <f>"541512"</f>
        <v>541512</v>
      </c>
      <c r="AF196" t="s">
        <v>115</v>
      </c>
      <c r="AG196" t="s">
        <v>116</v>
      </c>
      <c r="AH196" t="s">
        <v>108</v>
      </c>
      <c r="AI196" t="s">
        <v>117</v>
      </c>
      <c r="AJ196" t="s">
        <v>118</v>
      </c>
      <c r="AK196" t="str">
        <f>""</f>
        <v/>
      </c>
      <c r="AL196" t="s">
        <v>119</v>
      </c>
      <c r="AM196" t="s">
        <v>114</v>
      </c>
      <c r="AN196" s="3">
        <v>77845</v>
      </c>
      <c r="AO196" t="s">
        <v>101</v>
      </c>
      <c r="AQ196" t="str">
        <f>"+19793296682"</f>
        <v>+19793296682</v>
      </c>
      <c r="AS196" t="s">
        <v>120</v>
      </c>
      <c r="AT196" t="s">
        <v>102</v>
      </c>
      <c r="AU196" t="str">
        <f>""</f>
        <v/>
      </c>
      <c r="AV196" t="str">
        <f>""</f>
        <v/>
      </c>
      <c r="AW196" t="str">
        <f>""</f>
        <v/>
      </c>
      <c r="AX196" t="str">
        <f>""</f>
        <v/>
      </c>
      <c r="AY196" t="str">
        <f>""</f>
        <v/>
      </c>
      <c r="AZ196" t="str">
        <f>""</f>
        <v/>
      </c>
      <c r="BA196" t="str">
        <f>""</f>
        <v/>
      </c>
      <c r="BC196" t="str">
        <f>""</f>
        <v/>
      </c>
      <c r="BD196" t="str">
        <f>""</f>
        <v/>
      </c>
      <c r="BE196" t="str">
        <f>""</f>
        <v/>
      </c>
      <c r="BF196" t="str">
        <f>""</f>
        <v/>
      </c>
      <c r="BG196" t="str">
        <f>""</f>
        <v/>
      </c>
      <c r="BH196" t="str">
        <f>""</f>
        <v/>
      </c>
      <c r="BI196" t="str">
        <f>""</f>
        <v/>
      </c>
      <c r="BJ196" t="str">
        <f>""</f>
        <v/>
      </c>
      <c r="BK196">
        <v>1</v>
      </c>
      <c r="BL196" t="s">
        <v>107</v>
      </c>
      <c r="BM196" t="str">
        <f>"CSL Behring"</f>
        <v>CSL Behring</v>
      </c>
      <c r="BN196" t="s">
        <v>10415</v>
      </c>
      <c r="BP196" t="s">
        <v>3415</v>
      </c>
      <c r="BQ196" t="s">
        <v>529</v>
      </c>
      <c r="BR196" t="s">
        <v>127</v>
      </c>
      <c r="BS196" s="5">
        <v>19406</v>
      </c>
      <c r="BT196" s="2">
        <v>121098</v>
      </c>
      <c r="BV196" t="s">
        <v>105</v>
      </c>
      <c r="BW196" s="2">
        <v>121098</v>
      </c>
      <c r="BX196" t="s">
        <v>105</v>
      </c>
      <c r="BZ196" t="s">
        <v>159</v>
      </c>
      <c r="CA196" t="str">
        <f t="shared" si="10"/>
        <v>7/1/2020 - 6/30/2021</v>
      </c>
      <c r="CF196">
        <v>1</v>
      </c>
      <c r="CG196" t="s">
        <v>98</v>
      </c>
      <c r="CH196" t="s">
        <v>98</v>
      </c>
      <c r="CI196" t="s">
        <v>206</v>
      </c>
      <c r="CJ196" t="s">
        <v>98</v>
      </c>
      <c r="CK196" t="s">
        <v>12323</v>
      </c>
      <c r="CL196" t="s">
        <v>108</v>
      </c>
      <c r="CM196" t="s">
        <v>109</v>
      </c>
      <c r="CN196" t="str">
        <f>""</f>
        <v/>
      </c>
      <c r="CO196" t="str">
        <f>""</f>
        <v/>
      </c>
      <c r="CP196" t="str">
        <f>""</f>
        <v/>
      </c>
      <c r="CQ196" t="str">
        <f>""</f>
        <v/>
      </c>
    </row>
    <row r="197" spans="1:96" x14ac:dyDescent="0.2">
      <c r="A197" t="s">
        <v>10426</v>
      </c>
      <c r="B197" t="s">
        <v>96</v>
      </c>
      <c r="C197" s="1">
        <v>44098</v>
      </c>
      <c r="D197" s="1">
        <v>44105</v>
      </c>
      <c r="F197" t="s">
        <v>97</v>
      </c>
      <c r="G197" t="str">
        <f>"Senior Systems Analyst JC60"</f>
        <v>Senior Systems Analyst JC60</v>
      </c>
      <c r="H197" t="s">
        <v>12181</v>
      </c>
      <c r="I197" t="s">
        <v>110</v>
      </c>
      <c r="J197" t="s">
        <v>98</v>
      </c>
      <c r="K197" s="1">
        <v>44227</v>
      </c>
      <c r="L197" s="1">
        <v>45321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 t="s">
        <v>111</v>
      </c>
      <c r="U197" t="str">
        <f>"CTSUS"</f>
        <v>CTSUS</v>
      </c>
      <c r="V197" t="s">
        <v>112</v>
      </c>
      <c r="W197" t="str">
        <f>""</f>
        <v/>
      </c>
      <c r="X197" t="s">
        <v>113</v>
      </c>
      <c r="Y197" t="s">
        <v>114</v>
      </c>
      <c r="Z197" s="3">
        <v>77845</v>
      </c>
      <c r="AA197" t="s">
        <v>101</v>
      </c>
      <c r="AB197" t="s">
        <v>114</v>
      </c>
      <c r="AC197" s="4" t="str">
        <f>"+19793296682"</f>
        <v>+19793296682</v>
      </c>
      <c r="AE197" t="str">
        <f>"541512"</f>
        <v>541512</v>
      </c>
      <c r="AF197" t="s">
        <v>115</v>
      </c>
      <c r="AG197" t="s">
        <v>116</v>
      </c>
      <c r="AH197" t="s">
        <v>108</v>
      </c>
      <c r="AI197" t="s">
        <v>117</v>
      </c>
      <c r="AJ197" t="s">
        <v>118</v>
      </c>
      <c r="AK197" t="str">
        <f>""</f>
        <v/>
      </c>
      <c r="AL197" t="s">
        <v>119</v>
      </c>
      <c r="AM197" t="s">
        <v>114</v>
      </c>
      <c r="AN197" s="3">
        <v>77845</v>
      </c>
      <c r="AO197" t="s">
        <v>101</v>
      </c>
      <c r="AQ197" t="str">
        <f>"+19793296682"</f>
        <v>+19793296682</v>
      </c>
      <c r="AS197" t="s">
        <v>120</v>
      </c>
      <c r="AT197" t="s">
        <v>102</v>
      </c>
      <c r="AU197" t="str">
        <f>""</f>
        <v/>
      </c>
      <c r="AV197" t="str">
        <f>""</f>
        <v/>
      </c>
      <c r="AW197" t="str">
        <f>""</f>
        <v/>
      </c>
      <c r="AX197" t="str">
        <f>""</f>
        <v/>
      </c>
      <c r="AY197" t="str">
        <f>""</f>
        <v/>
      </c>
      <c r="AZ197" t="str">
        <f>""</f>
        <v/>
      </c>
      <c r="BA197" t="str">
        <f>""</f>
        <v/>
      </c>
      <c r="BC197" t="str">
        <f>""</f>
        <v/>
      </c>
      <c r="BD197" t="str">
        <f>""</f>
        <v/>
      </c>
      <c r="BE197" t="str">
        <f>""</f>
        <v/>
      </c>
      <c r="BF197" t="str">
        <f>""</f>
        <v/>
      </c>
      <c r="BG197" t="str">
        <f>""</f>
        <v/>
      </c>
      <c r="BH197" t="str">
        <f>""</f>
        <v/>
      </c>
      <c r="BI197" t="str">
        <f>""</f>
        <v/>
      </c>
      <c r="BJ197" t="str">
        <f>""</f>
        <v/>
      </c>
      <c r="BK197">
        <v>1</v>
      </c>
      <c r="BL197" t="s">
        <v>102</v>
      </c>
      <c r="BM197" t="str">
        <f>""</f>
        <v/>
      </c>
      <c r="BN197" t="s">
        <v>6955</v>
      </c>
      <c r="BP197" t="s">
        <v>1213</v>
      </c>
      <c r="BQ197" t="s">
        <v>1214</v>
      </c>
      <c r="BR197" t="s">
        <v>100</v>
      </c>
      <c r="BS197" s="5">
        <v>7307</v>
      </c>
      <c r="BT197" s="2">
        <v>92269</v>
      </c>
      <c r="BV197" t="s">
        <v>105</v>
      </c>
      <c r="BW197" s="2">
        <v>92269</v>
      </c>
      <c r="BX197" t="s">
        <v>105</v>
      </c>
      <c r="BZ197" t="s">
        <v>167</v>
      </c>
      <c r="CA197" t="str">
        <f t="shared" si="10"/>
        <v>7/1/2020 - 6/30/2021</v>
      </c>
      <c r="CF197">
        <v>1</v>
      </c>
      <c r="CG197" t="s">
        <v>98</v>
      </c>
      <c r="CH197" t="s">
        <v>98</v>
      </c>
      <c r="CI197" t="s">
        <v>206</v>
      </c>
      <c r="CJ197" t="s">
        <v>98</v>
      </c>
      <c r="CK197" t="s">
        <v>12323</v>
      </c>
      <c r="CL197" t="s">
        <v>108</v>
      </c>
      <c r="CM197" t="s">
        <v>109</v>
      </c>
      <c r="CN197" t="str">
        <f>""</f>
        <v/>
      </c>
      <c r="CO197" t="str">
        <f>""</f>
        <v/>
      </c>
      <c r="CP197" t="str">
        <f>""</f>
        <v/>
      </c>
      <c r="CQ197" t="str">
        <f>""</f>
        <v/>
      </c>
    </row>
    <row r="198" spans="1:96" x14ac:dyDescent="0.2">
      <c r="A198" t="s">
        <v>10442</v>
      </c>
      <c r="B198" t="s">
        <v>96</v>
      </c>
      <c r="C198" s="1">
        <v>44098</v>
      </c>
      <c r="D198" s="1">
        <v>44105</v>
      </c>
      <c r="F198" t="s">
        <v>97</v>
      </c>
      <c r="G198" t="str">
        <f>"Director - Management Information Systems "</f>
        <v xml:space="preserve">Director - Management Information Systems </v>
      </c>
      <c r="H198" t="s">
        <v>12178</v>
      </c>
      <c r="I198" t="s">
        <v>582</v>
      </c>
      <c r="J198" t="s">
        <v>98</v>
      </c>
      <c r="K198" s="1">
        <v>44105</v>
      </c>
      <c r="L198" s="1">
        <v>45199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 t="s">
        <v>1505</v>
      </c>
      <c r="U198" t="str">
        <f>""</f>
        <v/>
      </c>
      <c r="V198" t="s">
        <v>1506</v>
      </c>
      <c r="W198" t="str">
        <f>"SUITE 350"</f>
        <v>SUITE 350</v>
      </c>
      <c r="X198" t="s">
        <v>1507</v>
      </c>
      <c r="Y198" t="s">
        <v>135</v>
      </c>
      <c r="Z198" s="3">
        <v>20171</v>
      </c>
      <c r="AA198" t="s">
        <v>101</v>
      </c>
      <c r="AC198" s="4" t="str">
        <f>"+17038707407"</f>
        <v>+17038707407</v>
      </c>
      <c r="AE198" t="str">
        <f t="shared" ref="AE198:AE207" si="11">"541511"</f>
        <v>541511</v>
      </c>
      <c r="AF198" t="s">
        <v>1508</v>
      </c>
      <c r="AG198" t="s">
        <v>1509</v>
      </c>
      <c r="AI198" t="s">
        <v>1510</v>
      </c>
      <c r="AJ198" t="s">
        <v>1506</v>
      </c>
      <c r="AK198" t="str">
        <f>"SUITE 350"</f>
        <v>SUITE 350</v>
      </c>
      <c r="AL198" t="s">
        <v>1507</v>
      </c>
      <c r="AM198" t="s">
        <v>135</v>
      </c>
      <c r="AN198" s="3">
        <v>20171</v>
      </c>
      <c r="AO198" t="s">
        <v>101</v>
      </c>
      <c r="AQ198" t="str">
        <f>"+17038707407"</f>
        <v>+17038707407</v>
      </c>
      <c r="AS198" t="s">
        <v>1511</v>
      </c>
      <c r="AT198" t="s">
        <v>102</v>
      </c>
      <c r="AU198" t="str">
        <f>""</f>
        <v/>
      </c>
      <c r="AV198" t="str">
        <f>""</f>
        <v/>
      </c>
      <c r="AW198" t="str">
        <f>""</f>
        <v/>
      </c>
      <c r="AX198" t="str">
        <f>""</f>
        <v/>
      </c>
      <c r="AY198" t="str">
        <f>""</f>
        <v/>
      </c>
      <c r="AZ198" t="str">
        <f>""</f>
        <v/>
      </c>
      <c r="BA198" t="str">
        <f>""</f>
        <v/>
      </c>
      <c r="BC198" t="str">
        <f>""</f>
        <v/>
      </c>
      <c r="BD198" t="str">
        <f>""</f>
        <v/>
      </c>
      <c r="BE198" t="str">
        <f>""</f>
        <v/>
      </c>
      <c r="BF198" t="str">
        <f>""</f>
        <v/>
      </c>
      <c r="BG198" t="str">
        <f>""</f>
        <v/>
      </c>
      <c r="BH198" t="str">
        <f>""</f>
        <v/>
      </c>
      <c r="BI198" t="str">
        <f>""</f>
        <v/>
      </c>
      <c r="BJ198" t="str">
        <f>""</f>
        <v/>
      </c>
      <c r="BK198">
        <v>1</v>
      </c>
      <c r="BL198" t="s">
        <v>102</v>
      </c>
      <c r="BM198" t="str">
        <f>""</f>
        <v/>
      </c>
      <c r="BN198" t="s">
        <v>10443</v>
      </c>
      <c r="BP198" t="s">
        <v>1107</v>
      </c>
      <c r="BQ198" t="s">
        <v>1034</v>
      </c>
      <c r="BR198" t="s">
        <v>577</v>
      </c>
      <c r="BS198" s="5">
        <v>33607</v>
      </c>
      <c r="BT198" s="2">
        <v>117000</v>
      </c>
      <c r="BV198" t="s">
        <v>105</v>
      </c>
      <c r="BW198" s="2">
        <v>116917</v>
      </c>
      <c r="BX198" t="s">
        <v>105</v>
      </c>
      <c r="BZ198" t="s">
        <v>167</v>
      </c>
      <c r="CA198" t="str">
        <f t="shared" si="10"/>
        <v>7/1/2020 - 6/30/2021</v>
      </c>
      <c r="CF198">
        <v>1</v>
      </c>
      <c r="CG198" t="s">
        <v>98</v>
      </c>
      <c r="CH198" t="s">
        <v>98</v>
      </c>
      <c r="CI198" t="s">
        <v>206</v>
      </c>
      <c r="CJ198" t="s">
        <v>98</v>
      </c>
      <c r="CK198" t="s">
        <v>12323</v>
      </c>
      <c r="CL198" t="s">
        <v>108</v>
      </c>
      <c r="CM198" t="s">
        <v>109</v>
      </c>
      <c r="CN198" t="str">
        <f>""</f>
        <v/>
      </c>
      <c r="CO198" t="str">
        <f>""</f>
        <v/>
      </c>
      <c r="CP198" t="str">
        <f>""</f>
        <v/>
      </c>
      <c r="CQ198" t="str">
        <f>""</f>
        <v/>
      </c>
    </row>
    <row r="199" spans="1:96" x14ac:dyDescent="0.2">
      <c r="A199" t="s">
        <v>10446</v>
      </c>
      <c r="B199" t="s">
        <v>96</v>
      </c>
      <c r="C199" s="1">
        <v>44098</v>
      </c>
      <c r="D199" s="1">
        <v>44105</v>
      </c>
      <c r="F199" t="s">
        <v>97</v>
      </c>
      <c r="G199" t="str">
        <f>"Software Developer"</f>
        <v>Software Developer</v>
      </c>
      <c r="H199" t="s">
        <v>12169</v>
      </c>
      <c r="I199" t="s">
        <v>124</v>
      </c>
      <c r="J199" t="s">
        <v>98</v>
      </c>
      <c r="K199" s="1">
        <v>44225</v>
      </c>
      <c r="L199" s="1">
        <v>45319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t="s">
        <v>9449</v>
      </c>
      <c r="U199" t="str">
        <f>""</f>
        <v/>
      </c>
      <c r="V199" t="s">
        <v>9450</v>
      </c>
      <c r="W199" t="str">
        <f>"SUITE# 101"</f>
        <v>SUITE# 101</v>
      </c>
      <c r="X199" t="s">
        <v>1932</v>
      </c>
      <c r="Y199" t="s">
        <v>100</v>
      </c>
      <c r="Z199" s="3">
        <v>8852</v>
      </c>
      <c r="AA199" t="s">
        <v>101</v>
      </c>
      <c r="AC199" s="4" t="str">
        <f>"+17326883876"</f>
        <v>+17326883876</v>
      </c>
      <c r="AE199" t="str">
        <f t="shared" si="11"/>
        <v>541511</v>
      </c>
      <c r="AF199" t="s">
        <v>9451</v>
      </c>
      <c r="AG199" t="s">
        <v>2349</v>
      </c>
      <c r="AI199" t="s">
        <v>425</v>
      </c>
      <c r="AJ199" t="s">
        <v>9450</v>
      </c>
      <c r="AK199" t="str">
        <f>"SUITE# 101"</f>
        <v>SUITE# 101</v>
      </c>
      <c r="AL199" t="s">
        <v>1932</v>
      </c>
      <c r="AM199" t="s">
        <v>100</v>
      </c>
      <c r="AN199" s="3">
        <v>8852</v>
      </c>
      <c r="AO199" t="s">
        <v>101</v>
      </c>
      <c r="AQ199" t="str">
        <f>"+17326883876"</f>
        <v>+17326883876</v>
      </c>
      <c r="AS199" t="s">
        <v>9452</v>
      </c>
      <c r="AT199" t="s">
        <v>107</v>
      </c>
      <c r="AU199" t="str">
        <f>"VUJJINI"</f>
        <v>VUJJINI</v>
      </c>
      <c r="AV199" t="str">
        <f>"PRABHU PRAKASH RAO"</f>
        <v>PRABHU PRAKASH RAO</v>
      </c>
      <c r="AW199" t="str">
        <f>""</f>
        <v/>
      </c>
      <c r="AX199" t="str">
        <f>"4405 JEFFERSON COURT"</f>
        <v>4405 JEFFERSON COURT</v>
      </c>
      <c r="AY199" t="str">
        <f>""</f>
        <v/>
      </c>
      <c r="AZ199" t="str">
        <f>"ALPHARETTA"</f>
        <v>ALPHARETTA</v>
      </c>
      <c r="BA199" t="str">
        <f>"GA"</f>
        <v>GA</v>
      </c>
      <c r="BB199" s="3">
        <v>30005</v>
      </c>
      <c r="BC199" t="str">
        <f>"UNITED STATES OF AMERICA"</f>
        <v>UNITED STATES OF AMERICA</v>
      </c>
      <c r="BD199" t="str">
        <f>""</f>
        <v/>
      </c>
      <c r="BE199" t="str">
        <f>"+16789167144"</f>
        <v>+16789167144</v>
      </c>
      <c r="BF199" t="str">
        <f>""</f>
        <v/>
      </c>
      <c r="BG199" t="str">
        <f>"XPERTLAWYER@GMAIL.COM"</f>
        <v>XPERTLAWYER@GMAIL.COM</v>
      </c>
      <c r="BH199" t="str">
        <f>"VUJJINI &amp; ASSOCIATES, LLC"</f>
        <v>VUJJINI &amp; ASSOCIATES, LLC</v>
      </c>
      <c r="BI199" t="str">
        <f>"TN"</f>
        <v>TN</v>
      </c>
      <c r="BJ199" t="str">
        <f>"SUPREME"</f>
        <v>SUPREME</v>
      </c>
      <c r="BK199">
        <v>1</v>
      </c>
      <c r="BL199" t="s">
        <v>107</v>
      </c>
      <c r="BM199" t="str">
        <f>"  Toyota Motors North America, Inc"</f>
        <v xml:space="preserve">  Toyota Motors North America, Inc</v>
      </c>
      <c r="BN199" t="s">
        <v>10447</v>
      </c>
      <c r="BP199" t="s">
        <v>297</v>
      </c>
      <c r="BQ199" t="s">
        <v>556</v>
      </c>
      <c r="BR199" t="s">
        <v>114</v>
      </c>
      <c r="BS199" s="5">
        <v>75024</v>
      </c>
      <c r="BT199" s="2">
        <v>111000</v>
      </c>
      <c r="BV199" t="s">
        <v>105</v>
      </c>
      <c r="BW199" s="2">
        <v>110344</v>
      </c>
      <c r="BX199" t="s">
        <v>105</v>
      </c>
      <c r="BZ199" t="s">
        <v>123</v>
      </c>
      <c r="CA199" t="str">
        <f t="shared" si="10"/>
        <v>7/1/2020 - 6/30/2021</v>
      </c>
      <c r="CF199">
        <v>2</v>
      </c>
      <c r="CG199" t="s">
        <v>98</v>
      </c>
      <c r="CH199" t="s">
        <v>98</v>
      </c>
      <c r="CI199" t="s">
        <v>206</v>
      </c>
      <c r="CJ199" t="s">
        <v>98</v>
      </c>
      <c r="CK199" t="s">
        <v>12323</v>
      </c>
      <c r="CL199" t="s">
        <v>108</v>
      </c>
      <c r="CM199" t="s">
        <v>109</v>
      </c>
      <c r="CN199" t="str">
        <f>""</f>
        <v/>
      </c>
      <c r="CO199" t="str">
        <f>""</f>
        <v/>
      </c>
      <c r="CP199" t="str">
        <f>""</f>
        <v/>
      </c>
      <c r="CQ199" t="str">
        <f>""</f>
        <v/>
      </c>
    </row>
    <row r="200" spans="1:96" x14ac:dyDescent="0.2">
      <c r="A200" t="s">
        <v>10457</v>
      </c>
      <c r="B200" t="s">
        <v>96</v>
      </c>
      <c r="C200" s="1">
        <v>44098</v>
      </c>
      <c r="D200" s="1">
        <v>44105</v>
      </c>
      <c r="F200" t="s">
        <v>97</v>
      </c>
      <c r="G200" t="str">
        <f>"Software Developer"</f>
        <v>Software Developer</v>
      </c>
      <c r="H200" t="s">
        <v>12169</v>
      </c>
      <c r="I200" t="s">
        <v>124</v>
      </c>
      <c r="J200" t="s">
        <v>98</v>
      </c>
      <c r="K200" s="1">
        <v>44099</v>
      </c>
      <c r="L200" s="1">
        <v>45193</v>
      </c>
      <c r="M200">
        <v>6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 t="s">
        <v>2509</v>
      </c>
      <c r="U200" t="str">
        <f>"Mastech Digital InfoTech, Inc."</f>
        <v>Mastech Digital InfoTech, Inc.</v>
      </c>
      <c r="V200" t="s">
        <v>1081</v>
      </c>
      <c r="W200" t="str">
        <f>"Bldg. 210, Suite 400"</f>
        <v>Bldg. 210, Suite 400</v>
      </c>
      <c r="X200" t="s">
        <v>1082</v>
      </c>
      <c r="Y200" t="s">
        <v>127</v>
      </c>
      <c r="Z200" s="3">
        <v>15108</v>
      </c>
      <c r="AA200" t="s">
        <v>101</v>
      </c>
      <c r="AB200" t="s">
        <v>2510</v>
      </c>
      <c r="AC200" s="4" t="str">
        <f>"+14127879553"</f>
        <v>+14127879553</v>
      </c>
      <c r="AE200" t="str">
        <f t="shared" si="11"/>
        <v>541511</v>
      </c>
      <c r="AF200" t="s">
        <v>1083</v>
      </c>
      <c r="AG200" t="s">
        <v>1084</v>
      </c>
      <c r="AI200" t="s">
        <v>1085</v>
      </c>
      <c r="AJ200" t="s">
        <v>1081</v>
      </c>
      <c r="AK200" t="str">
        <f>"Bldg. 210, Ste 400"</f>
        <v>Bldg. 210, Ste 400</v>
      </c>
      <c r="AL200" t="s">
        <v>1082</v>
      </c>
      <c r="AM200" t="s">
        <v>127</v>
      </c>
      <c r="AN200" s="3">
        <v>15108</v>
      </c>
      <c r="AO200" t="s">
        <v>101</v>
      </c>
      <c r="AQ200" t="str">
        <f>"+14127879553"</f>
        <v>+14127879553</v>
      </c>
      <c r="AS200" t="s">
        <v>1086</v>
      </c>
      <c r="AT200" t="s">
        <v>102</v>
      </c>
      <c r="AU200" t="str">
        <f>""</f>
        <v/>
      </c>
      <c r="AV200" t="str">
        <f>""</f>
        <v/>
      </c>
      <c r="AW200" t="str">
        <f>""</f>
        <v/>
      </c>
      <c r="AX200" t="str">
        <f>""</f>
        <v/>
      </c>
      <c r="AY200" t="str">
        <f>""</f>
        <v/>
      </c>
      <c r="AZ200" t="str">
        <f>""</f>
        <v/>
      </c>
      <c r="BA200" t="str">
        <f>""</f>
        <v/>
      </c>
      <c r="BC200" t="str">
        <f>""</f>
        <v/>
      </c>
      <c r="BD200" t="str">
        <f>""</f>
        <v/>
      </c>
      <c r="BE200" t="str">
        <f>""</f>
        <v/>
      </c>
      <c r="BF200" t="str">
        <f>""</f>
        <v/>
      </c>
      <c r="BG200" t="str">
        <f>""</f>
        <v/>
      </c>
      <c r="BH200" t="str">
        <f>""</f>
        <v/>
      </c>
      <c r="BI200" t="str">
        <f>""</f>
        <v/>
      </c>
      <c r="BJ200" t="str">
        <f>""</f>
        <v/>
      </c>
      <c r="BK200">
        <v>6</v>
      </c>
      <c r="BL200" t="s">
        <v>107</v>
      </c>
      <c r="BM200" t="str">
        <f>"PNC Bank"</f>
        <v>PNC Bank</v>
      </c>
      <c r="BN200" t="s">
        <v>3761</v>
      </c>
      <c r="BP200" t="s">
        <v>333</v>
      </c>
      <c r="BQ200" t="s">
        <v>861</v>
      </c>
      <c r="BR200" t="s">
        <v>127</v>
      </c>
      <c r="BS200" s="5">
        <v>15222</v>
      </c>
      <c r="BT200" s="2">
        <v>80142</v>
      </c>
      <c r="BU200" s="2">
        <v>95142</v>
      </c>
      <c r="BV200" t="s">
        <v>105</v>
      </c>
      <c r="BW200" s="2">
        <v>80142</v>
      </c>
      <c r="BX200" t="s">
        <v>105</v>
      </c>
      <c r="BZ200" t="s">
        <v>167</v>
      </c>
      <c r="CA200" t="str">
        <f t="shared" si="10"/>
        <v>7/1/2020 - 6/30/2021</v>
      </c>
      <c r="CF200">
        <v>2</v>
      </c>
      <c r="CG200" t="s">
        <v>98</v>
      </c>
      <c r="CH200" t="s">
        <v>98</v>
      </c>
      <c r="CI200" t="s">
        <v>206</v>
      </c>
      <c r="CJ200" t="s">
        <v>98</v>
      </c>
      <c r="CK200" t="s">
        <v>12323</v>
      </c>
      <c r="CL200" t="s">
        <v>108</v>
      </c>
      <c r="CM200" t="s">
        <v>109</v>
      </c>
      <c r="CN200" t="str">
        <f>""</f>
        <v/>
      </c>
      <c r="CO200" t="str">
        <f>""</f>
        <v/>
      </c>
      <c r="CP200" t="str">
        <f>""</f>
        <v/>
      </c>
      <c r="CQ200" t="str">
        <f>""</f>
        <v/>
      </c>
    </row>
    <row r="201" spans="1:96" x14ac:dyDescent="0.2">
      <c r="A201" t="s">
        <v>10472</v>
      </c>
      <c r="B201" t="s">
        <v>96</v>
      </c>
      <c r="C201" s="1">
        <v>44098</v>
      </c>
      <c r="D201" s="1">
        <v>44105</v>
      </c>
      <c r="F201" t="s">
        <v>97</v>
      </c>
      <c r="G201" t="str">
        <f>"ETL Systems Designer"</f>
        <v>ETL Systems Designer</v>
      </c>
      <c r="H201" t="s">
        <v>12176</v>
      </c>
      <c r="I201" t="s">
        <v>246</v>
      </c>
      <c r="J201" t="s">
        <v>98</v>
      </c>
      <c r="K201" s="1">
        <v>44197</v>
      </c>
      <c r="L201" s="1">
        <v>45291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 t="s">
        <v>4462</v>
      </c>
      <c r="U201" t="str">
        <f>""</f>
        <v/>
      </c>
      <c r="V201" t="s">
        <v>4463</v>
      </c>
      <c r="W201" t="str">
        <f>""</f>
        <v/>
      </c>
      <c r="X201" t="s">
        <v>4464</v>
      </c>
      <c r="Y201" t="s">
        <v>171</v>
      </c>
      <c r="Z201" s="3">
        <v>1880</v>
      </c>
      <c r="AA201" t="s">
        <v>101</v>
      </c>
      <c r="AC201" s="4" t="str">
        <f>"+17812469500"</f>
        <v>+17812469500</v>
      </c>
      <c r="AE201" t="str">
        <f t="shared" si="11"/>
        <v>541511</v>
      </c>
      <c r="AF201" t="s">
        <v>4465</v>
      </c>
      <c r="AG201" t="s">
        <v>4466</v>
      </c>
      <c r="AI201" t="s">
        <v>898</v>
      </c>
      <c r="AJ201" t="s">
        <v>4463</v>
      </c>
      <c r="AK201" t="str">
        <f>""</f>
        <v/>
      </c>
      <c r="AL201" t="s">
        <v>4464</v>
      </c>
      <c r="AM201" t="s">
        <v>171</v>
      </c>
      <c r="AN201" s="3">
        <v>1880</v>
      </c>
      <c r="AO201" t="s">
        <v>101</v>
      </c>
      <c r="AQ201" t="str">
        <f>"+17812469500"</f>
        <v>+17812469500</v>
      </c>
      <c r="AS201" t="s">
        <v>4467</v>
      </c>
      <c r="AT201" t="s">
        <v>107</v>
      </c>
      <c r="AU201" t="str">
        <f>"WAXMAN, ESQ."</f>
        <v>WAXMAN, ESQ.</v>
      </c>
      <c r="AV201" t="str">
        <f>"NATHAN"</f>
        <v>NATHAN</v>
      </c>
      <c r="AW201" t="str">
        <f>"ALAN"</f>
        <v>ALAN</v>
      </c>
      <c r="AX201" t="str">
        <f>"291 BROADWAY"</f>
        <v>291 BROADWAY</v>
      </c>
      <c r="AY201" t="str">
        <f>"SUITE # 1005"</f>
        <v>SUITE # 1005</v>
      </c>
      <c r="AZ201" t="str">
        <f>"NEW YORK"</f>
        <v>NEW YORK</v>
      </c>
      <c r="BA201" t="str">
        <f>"NY"</f>
        <v>NY</v>
      </c>
      <c r="BB201" s="3">
        <v>10007</v>
      </c>
      <c r="BC201" t="str">
        <f>"UNITED STATES OF AMERICA"</f>
        <v>UNITED STATES OF AMERICA</v>
      </c>
      <c r="BD201" t="str">
        <f>""</f>
        <v/>
      </c>
      <c r="BE201" t="str">
        <f>"+12122132024"</f>
        <v>+12122132024</v>
      </c>
      <c r="BF201" t="str">
        <f>""</f>
        <v/>
      </c>
      <c r="BG201" t="str">
        <f>"bm@waxlaw.com"</f>
        <v>bm@waxlaw.com</v>
      </c>
      <c r="BH201" t="str">
        <f>"Nathan Waxman, PLLC"</f>
        <v>Nathan Waxman, PLLC</v>
      </c>
      <c r="BI201" t="str">
        <f>"NY"</f>
        <v>NY</v>
      </c>
      <c r="BJ201" t="str">
        <f>"New York"</f>
        <v>New York</v>
      </c>
      <c r="BK201">
        <v>1</v>
      </c>
      <c r="BL201" t="s">
        <v>107</v>
      </c>
      <c r="BM201" t="str">
        <f>"State Street Corp."</f>
        <v>State Street Corp.</v>
      </c>
      <c r="BN201" t="s">
        <v>3595</v>
      </c>
      <c r="BP201" t="s">
        <v>5039</v>
      </c>
      <c r="BQ201" t="s">
        <v>2224</v>
      </c>
      <c r="BR201" t="s">
        <v>171</v>
      </c>
      <c r="BS201" s="5">
        <v>2171</v>
      </c>
      <c r="BT201" s="2">
        <v>97200</v>
      </c>
      <c r="BV201" t="s">
        <v>105</v>
      </c>
      <c r="BW201" s="2">
        <v>96242</v>
      </c>
      <c r="BX201" t="s">
        <v>105</v>
      </c>
      <c r="BZ201" t="s">
        <v>167</v>
      </c>
      <c r="CA201" t="str">
        <f t="shared" si="10"/>
        <v>7/1/2020 - 6/30/2021</v>
      </c>
      <c r="CF201">
        <v>2</v>
      </c>
      <c r="CG201" t="s">
        <v>98</v>
      </c>
      <c r="CH201" t="s">
        <v>98</v>
      </c>
      <c r="CI201" t="s">
        <v>206</v>
      </c>
      <c r="CJ201" t="s">
        <v>98</v>
      </c>
      <c r="CK201" t="s">
        <v>12323</v>
      </c>
      <c r="CL201" t="s">
        <v>108</v>
      </c>
      <c r="CM201" t="s">
        <v>109</v>
      </c>
      <c r="CN201" t="str">
        <f>"Mukhopadhyay"</f>
        <v>Mukhopadhyay</v>
      </c>
      <c r="CO201" t="str">
        <f>"Bithi"</f>
        <v>Bithi</v>
      </c>
      <c r="CP201" t="str">
        <f>""</f>
        <v/>
      </c>
      <c r="CQ201" t="str">
        <f>"Nathan Waxman, PLLC."</f>
        <v>Nathan Waxman, PLLC.</v>
      </c>
      <c r="CR201" t="s">
        <v>4468</v>
      </c>
    </row>
    <row r="202" spans="1:96" x14ac:dyDescent="0.2">
      <c r="A202" t="s">
        <v>10473</v>
      </c>
      <c r="B202" t="s">
        <v>96</v>
      </c>
      <c r="C202" s="1">
        <v>44098</v>
      </c>
      <c r="D202" s="1">
        <v>44105</v>
      </c>
      <c r="F202" t="s">
        <v>97</v>
      </c>
      <c r="G202" t="str">
        <f>"Technology Lead - US "</f>
        <v xml:space="preserve">Technology Lead - US </v>
      </c>
      <c r="H202" t="s">
        <v>12168</v>
      </c>
      <c r="I202" t="s">
        <v>367</v>
      </c>
      <c r="J202" t="s">
        <v>98</v>
      </c>
      <c r="K202" s="1">
        <v>44109</v>
      </c>
      <c r="L202" s="1">
        <v>45202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 t="s">
        <v>723</v>
      </c>
      <c r="U202" t="str">
        <f>""</f>
        <v/>
      </c>
      <c r="V202" t="s">
        <v>724</v>
      </c>
      <c r="W202" t="str">
        <f>"STE C150"</f>
        <v>STE C150</v>
      </c>
      <c r="X202" t="s">
        <v>725</v>
      </c>
      <c r="Y202" t="s">
        <v>114</v>
      </c>
      <c r="Z202" s="3">
        <v>75082</v>
      </c>
      <c r="AA202" t="s">
        <v>101</v>
      </c>
      <c r="AC202" s="4" t="str">
        <f>"+12143062100"</f>
        <v>+12143062100</v>
      </c>
      <c r="AE202" t="str">
        <f t="shared" si="11"/>
        <v>541511</v>
      </c>
      <c r="AF202" t="s">
        <v>726</v>
      </c>
      <c r="AG202" t="s">
        <v>727</v>
      </c>
      <c r="AI202" t="s">
        <v>728</v>
      </c>
      <c r="AJ202" t="s">
        <v>724</v>
      </c>
      <c r="AK202" t="str">
        <f>"STE C150"</f>
        <v>STE C150</v>
      </c>
      <c r="AL202" t="s">
        <v>725</v>
      </c>
      <c r="AM202" t="s">
        <v>114</v>
      </c>
      <c r="AN202" s="3">
        <v>75082</v>
      </c>
      <c r="AO202" t="s">
        <v>101</v>
      </c>
      <c r="AQ202" t="str">
        <f>"+12143062100"</f>
        <v>+12143062100</v>
      </c>
      <c r="AS202" t="s">
        <v>729</v>
      </c>
      <c r="AT202" t="s">
        <v>102</v>
      </c>
      <c r="AU202" t="str">
        <f>""</f>
        <v/>
      </c>
      <c r="AV202" t="str">
        <f>""</f>
        <v/>
      </c>
      <c r="AW202" t="str">
        <f>""</f>
        <v/>
      </c>
      <c r="AX202" t="str">
        <f>""</f>
        <v/>
      </c>
      <c r="AY202" t="str">
        <f>""</f>
        <v/>
      </c>
      <c r="AZ202" t="str">
        <f>""</f>
        <v/>
      </c>
      <c r="BA202" t="str">
        <f>""</f>
        <v/>
      </c>
      <c r="BC202" t="str">
        <f>""</f>
        <v/>
      </c>
      <c r="BD202" t="str">
        <f>""</f>
        <v/>
      </c>
      <c r="BE202" t="str">
        <f>""</f>
        <v/>
      </c>
      <c r="BF202" t="str">
        <f>""</f>
        <v/>
      </c>
      <c r="BG202" t="str">
        <f>""</f>
        <v/>
      </c>
      <c r="BH202" t="str">
        <f>""</f>
        <v/>
      </c>
      <c r="BI202" t="str">
        <f>""</f>
        <v/>
      </c>
      <c r="BJ202" t="str">
        <f>""</f>
        <v/>
      </c>
      <c r="BK202">
        <v>1</v>
      </c>
      <c r="BL202" t="s">
        <v>107</v>
      </c>
      <c r="BM202" t="str">
        <f>"CVS PHARMACY, INC."</f>
        <v>CVS PHARMACY, INC.</v>
      </c>
      <c r="BN202" t="s">
        <v>5360</v>
      </c>
      <c r="BP202" t="s">
        <v>761</v>
      </c>
      <c r="BQ202" t="s">
        <v>484</v>
      </c>
      <c r="BR202" t="s">
        <v>114</v>
      </c>
      <c r="BS202" s="5">
        <v>75081</v>
      </c>
      <c r="BT202" s="2">
        <v>74027</v>
      </c>
      <c r="BV202" t="s">
        <v>105</v>
      </c>
      <c r="BW202" s="2">
        <v>74027</v>
      </c>
      <c r="BX202" t="s">
        <v>105</v>
      </c>
      <c r="BZ202" t="s">
        <v>167</v>
      </c>
      <c r="CA202" t="str">
        <f t="shared" si="10"/>
        <v>7/1/2020 - 6/30/2021</v>
      </c>
      <c r="CF202">
        <v>1</v>
      </c>
      <c r="CG202" t="s">
        <v>98</v>
      </c>
      <c r="CH202" t="s">
        <v>98</v>
      </c>
      <c r="CI202" t="s">
        <v>206</v>
      </c>
      <c r="CJ202" t="s">
        <v>98</v>
      </c>
      <c r="CK202" t="s">
        <v>12323</v>
      </c>
      <c r="CL202" t="s">
        <v>108</v>
      </c>
      <c r="CM202" t="s">
        <v>109</v>
      </c>
      <c r="CN202" t="str">
        <f>"JAYARAM"</f>
        <v>JAYARAM</v>
      </c>
      <c r="CO202" t="str">
        <f>"SUSHMA"</f>
        <v>SUSHMA</v>
      </c>
      <c r="CP202" t="str">
        <f>""</f>
        <v/>
      </c>
      <c r="CQ202" t="str">
        <f>"INFOSYS LIMITED"</f>
        <v>INFOSYS LIMITED</v>
      </c>
      <c r="CR202" t="s">
        <v>3699</v>
      </c>
    </row>
    <row r="203" spans="1:96" x14ac:dyDescent="0.2">
      <c r="A203" t="s">
        <v>10474</v>
      </c>
      <c r="B203" t="s">
        <v>96</v>
      </c>
      <c r="C203" s="1">
        <v>44098</v>
      </c>
      <c r="D203" s="1">
        <v>44105</v>
      </c>
      <c r="F203" t="s">
        <v>97</v>
      </c>
      <c r="G203" t="str">
        <f>"Software Developer"</f>
        <v>Software Developer</v>
      </c>
      <c r="H203" t="s">
        <v>12169</v>
      </c>
      <c r="I203" t="s">
        <v>124</v>
      </c>
      <c r="J203" t="s">
        <v>98</v>
      </c>
      <c r="K203" s="1">
        <v>44098</v>
      </c>
      <c r="L203" s="1">
        <v>45192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 t="s">
        <v>2807</v>
      </c>
      <c r="U203" t="str">
        <f>""</f>
        <v/>
      </c>
      <c r="V203" t="s">
        <v>2808</v>
      </c>
      <c r="W203" t="str">
        <f>"SUITE 1E"</f>
        <v>SUITE 1E</v>
      </c>
      <c r="X203" t="s">
        <v>2809</v>
      </c>
      <c r="Y203" t="s">
        <v>225</v>
      </c>
      <c r="Z203" s="3">
        <v>43085</v>
      </c>
      <c r="AA203" t="s">
        <v>101</v>
      </c>
      <c r="AC203" s="4" t="str">
        <f>"+13098070575"</f>
        <v>+13098070575</v>
      </c>
      <c r="AE203" t="str">
        <f t="shared" si="11"/>
        <v>541511</v>
      </c>
      <c r="AF203" t="s">
        <v>2810</v>
      </c>
      <c r="AG203" t="s">
        <v>2811</v>
      </c>
      <c r="AI203" t="s">
        <v>1789</v>
      </c>
      <c r="AJ203" t="s">
        <v>2808</v>
      </c>
      <c r="AK203" t="str">
        <f>"SUITE 1 E"</f>
        <v>SUITE 1 E</v>
      </c>
      <c r="AL203" t="s">
        <v>2809</v>
      </c>
      <c r="AM203" t="s">
        <v>225</v>
      </c>
      <c r="AN203" s="3">
        <v>43085</v>
      </c>
      <c r="AO203" t="s">
        <v>101</v>
      </c>
      <c r="AQ203" t="str">
        <f>"+13098070575"</f>
        <v>+13098070575</v>
      </c>
      <c r="AS203" t="s">
        <v>2812</v>
      </c>
      <c r="AT203" t="s">
        <v>102</v>
      </c>
      <c r="AU203" t="str">
        <f>""</f>
        <v/>
      </c>
      <c r="AV203" t="str">
        <f>""</f>
        <v/>
      </c>
      <c r="AW203" t="str">
        <f>""</f>
        <v/>
      </c>
      <c r="AX203" t="str">
        <f>""</f>
        <v/>
      </c>
      <c r="AY203" t="str">
        <f>""</f>
        <v/>
      </c>
      <c r="AZ203" t="str">
        <f>""</f>
        <v/>
      </c>
      <c r="BA203" t="str">
        <f>""</f>
        <v/>
      </c>
      <c r="BC203" t="str">
        <f>""</f>
        <v/>
      </c>
      <c r="BD203" t="str">
        <f>""</f>
        <v/>
      </c>
      <c r="BE203" t="str">
        <f>""</f>
        <v/>
      </c>
      <c r="BF203" t="str">
        <f>""</f>
        <v/>
      </c>
      <c r="BG203" t="str">
        <f>""</f>
        <v/>
      </c>
      <c r="BH203" t="str">
        <f>""</f>
        <v/>
      </c>
      <c r="BI203" t="str">
        <f>""</f>
        <v/>
      </c>
      <c r="BJ203" t="str">
        <f>""</f>
        <v/>
      </c>
      <c r="BK203">
        <v>1</v>
      </c>
      <c r="BL203" t="s">
        <v>107</v>
      </c>
      <c r="BM203" t="str">
        <f>"IBM Corporation"</f>
        <v>IBM Corporation</v>
      </c>
      <c r="BN203" t="s">
        <v>10475</v>
      </c>
      <c r="BP203" t="s">
        <v>202</v>
      </c>
      <c r="BQ203" t="s">
        <v>715</v>
      </c>
      <c r="BR203" t="s">
        <v>594</v>
      </c>
      <c r="BS203" s="5">
        <v>29201</v>
      </c>
      <c r="BT203" s="2">
        <v>104042</v>
      </c>
      <c r="BV203" t="s">
        <v>105</v>
      </c>
      <c r="BW203" s="2">
        <v>82098</v>
      </c>
      <c r="BX203" t="s">
        <v>105</v>
      </c>
      <c r="BZ203" t="s">
        <v>123</v>
      </c>
      <c r="CA203" t="str">
        <f t="shared" si="10"/>
        <v>7/1/2020 - 6/30/2021</v>
      </c>
      <c r="CF203">
        <v>3</v>
      </c>
      <c r="CG203" t="s">
        <v>98</v>
      </c>
      <c r="CH203" t="s">
        <v>98</v>
      </c>
      <c r="CI203" t="s">
        <v>206</v>
      </c>
      <c r="CJ203" t="s">
        <v>98</v>
      </c>
      <c r="CK203" t="s">
        <v>12323</v>
      </c>
      <c r="CL203" t="s">
        <v>108</v>
      </c>
      <c r="CM203" t="s">
        <v>109</v>
      </c>
      <c r="CN203" t="str">
        <f>""</f>
        <v/>
      </c>
      <c r="CO203" t="str">
        <f>""</f>
        <v/>
      </c>
      <c r="CP203" t="str">
        <f>""</f>
        <v/>
      </c>
      <c r="CQ203" t="str">
        <f>""</f>
        <v/>
      </c>
    </row>
    <row r="204" spans="1:96" x14ac:dyDescent="0.2">
      <c r="A204" t="s">
        <v>10491</v>
      </c>
      <c r="B204" t="s">
        <v>96</v>
      </c>
      <c r="C204" s="1">
        <v>44098</v>
      </c>
      <c r="D204" s="1">
        <v>44105</v>
      </c>
      <c r="F204" t="s">
        <v>97</v>
      </c>
      <c r="G204" t="str">
        <f>"Senior Software Developer"</f>
        <v>Senior Software Developer</v>
      </c>
      <c r="H204" t="s">
        <v>12169</v>
      </c>
      <c r="I204" t="s">
        <v>124</v>
      </c>
      <c r="J204" t="s">
        <v>98</v>
      </c>
      <c r="K204" s="1">
        <v>44099</v>
      </c>
      <c r="L204" s="1">
        <v>45193</v>
      </c>
      <c r="M204">
        <v>6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 t="s">
        <v>2509</v>
      </c>
      <c r="U204" t="str">
        <f>"Mastech Digital InfoTech, Inc."</f>
        <v>Mastech Digital InfoTech, Inc.</v>
      </c>
      <c r="V204" t="s">
        <v>1081</v>
      </c>
      <c r="W204" t="str">
        <f>"Bldg. 210, Suite 400"</f>
        <v>Bldg. 210, Suite 400</v>
      </c>
      <c r="X204" t="s">
        <v>1082</v>
      </c>
      <c r="Y204" t="s">
        <v>127</v>
      </c>
      <c r="Z204" s="3">
        <v>15108</v>
      </c>
      <c r="AA204" t="s">
        <v>101</v>
      </c>
      <c r="AB204" t="s">
        <v>2510</v>
      </c>
      <c r="AC204" s="4" t="str">
        <f>"+14127879553"</f>
        <v>+14127879553</v>
      </c>
      <c r="AE204" t="str">
        <f t="shared" si="11"/>
        <v>541511</v>
      </c>
      <c r="AF204" t="s">
        <v>1083</v>
      </c>
      <c r="AG204" t="s">
        <v>1084</v>
      </c>
      <c r="AI204" t="s">
        <v>1085</v>
      </c>
      <c r="AJ204" t="s">
        <v>1081</v>
      </c>
      <c r="AK204" t="str">
        <f>"Bldg. 210, Ste 400"</f>
        <v>Bldg. 210, Ste 400</v>
      </c>
      <c r="AL204" t="s">
        <v>1082</v>
      </c>
      <c r="AM204" t="s">
        <v>127</v>
      </c>
      <c r="AN204" s="3">
        <v>15108</v>
      </c>
      <c r="AO204" t="s">
        <v>101</v>
      </c>
      <c r="AQ204" t="str">
        <f>"+14127879553"</f>
        <v>+14127879553</v>
      </c>
      <c r="AS204" t="s">
        <v>1086</v>
      </c>
      <c r="AT204" t="s">
        <v>102</v>
      </c>
      <c r="AU204" t="str">
        <f>""</f>
        <v/>
      </c>
      <c r="AV204" t="str">
        <f>""</f>
        <v/>
      </c>
      <c r="AW204" t="str">
        <f>""</f>
        <v/>
      </c>
      <c r="AX204" t="str">
        <f>""</f>
        <v/>
      </c>
      <c r="AY204" t="str">
        <f>""</f>
        <v/>
      </c>
      <c r="AZ204" t="str">
        <f>""</f>
        <v/>
      </c>
      <c r="BA204" t="str">
        <f>""</f>
        <v/>
      </c>
      <c r="BC204" t="str">
        <f>""</f>
        <v/>
      </c>
      <c r="BD204" t="str">
        <f>""</f>
        <v/>
      </c>
      <c r="BE204" t="str">
        <f>""</f>
        <v/>
      </c>
      <c r="BF204" t="str">
        <f>""</f>
        <v/>
      </c>
      <c r="BG204" t="str">
        <f>""</f>
        <v/>
      </c>
      <c r="BH204" t="str">
        <f>""</f>
        <v/>
      </c>
      <c r="BI204" t="str">
        <f>""</f>
        <v/>
      </c>
      <c r="BJ204" t="str">
        <f>""</f>
        <v/>
      </c>
      <c r="BK204">
        <v>6</v>
      </c>
      <c r="BL204" t="s">
        <v>107</v>
      </c>
      <c r="BM204" t="str">
        <f>"PNC Bank"</f>
        <v>PNC Bank</v>
      </c>
      <c r="BN204" t="s">
        <v>3761</v>
      </c>
      <c r="BP204" t="s">
        <v>333</v>
      </c>
      <c r="BQ204" t="s">
        <v>861</v>
      </c>
      <c r="BR204" t="s">
        <v>127</v>
      </c>
      <c r="BS204" s="5">
        <v>15222</v>
      </c>
      <c r="BT204" s="2">
        <v>95264</v>
      </c>
      <c r="BU204" s="2">
        <v>110264</v>
      </c>
      <c r="BV204" t="s">
        <v>105</v>
      </c>
      <c r="BW204" s="2">
        <v>95264</v>
      </c>
      <c r="BX204" t="s">
        <v>105</v>
      </c>
      <c r="BZ204" t="s">
        <v>123</v>
      </c>
      <c r="CA204" t="str">
        <f t="shared" si="10"/>
        <v>7/1/2020 - 6/30/2021</v>
      </c>
      <c r="CF204">
        <v>2</v>
      </c>
      <c r="CG204" t="s">
        <v>98</v>
      </c>
      <c r="CH204" t="s">
        <v>98</v>
      </c>
      <c r="CI204" t="s">
        <v>206</v>
      </c>
      <c r="CJ204" t="s">
        <v>98</v>
      </c>
      <c r="CK204" t="s">
        <v>12323</v>
      </c>
      <c r="CL204" t="s">
        <v>108</v>
      </c>
      <c r="CM204" t="s">
        <v>109</v>
      </c>
      <c r="CN204" t="str">
        <f>""</f>
        <v/>
      </c>
      <c r="CO204" t="str">
        <f>""</f>
        <v/>
      </c>
      <c r="CP204" t="str">
        <f>""</f>
        <v/>
      </c>
      <c r="CQ204" t="str">
        <f>""</f>
        <v/>
      </c>
    </row>
    <row r="205" spans="1:96" x14ac:dyDescent="0.2">
      <c r="A205" t="s">
        <v>10521</v>
      </c>
      <c r="B205" t="s">
        <v>96</v>
      </c>
      <c r="C205" s="1">
        <v>44098</v>
      </c>
      <c r="D205" s="1">
        <v>44105</v>
      </c>
      <c r="F205" t="s">
        <v>97</v>
      </c>
      <c r="G205" t="str">
        <f>"Sales Engineer"</f>
        <v>Sales Engineer</v>
      </c>
      <c r="H205" t="s">
        <v>12227</v>
      </c>
      <c r="I205" t="s">
        <v>766</v>
      </c>
      <c r="J205" t="s">
        <v>98</v>
      </c>
      <c r="K205" s="1">
        <v>44102</v>
      </c>
      <c r="L205" s="1">
        <v>45196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 t="s">
        <v>9526</v>
      </c>
      <c r="U205" t="str">
        <f>""</f>
        <v/>
      </c>
      <c r="V205" t="s">
        <v>6178</v>
      </c>
      <c r="W205" t="str">
        <f>""</f>
        <v/>
      </c>
      <c r="X205" t="s">
        <v>348</v>
      </c>
      <c r="Y205" t="s">
        <v>265</v>
      </c>
      <c r="Z205" s="3">
        <v>48084</v>
      </c>
      <c r="AA205" t="s">
        <v>101</v>
      </c>
      <c r="AC205" s="4" t="str">
        <f>"+12486439010"</f>
        <v>+12486439010</v>
      </c>
      <c r="AE205" t="str">
        <f t="shared" si="11"/>
        <v>541511</v>
      </c>
      <c r="AF205" t="s">
        <v>4393</v>
      </c>
      <c r="AG205" t="s">
        <v>4163</v>
      </c>
      <c r="AI205" t="s">
        <v>2976</v>
      </c>
      <c r="AJ205" t="s">
        <v>6178</v>
      </c>
      <c r="AK205" t="str">
        <f>""</f>
        <v/>
      </c>
      <c r="AL205" t="s">
        <v>348</v>
      </c>
      <c r="AM205" t="s">
        <v>265</v>
      </c>
      <c r="AN205" s="3">
        <v>48084</v>
      </c>
      <c r="AO205" t="s">
        <v>101</v>
      </c>
      <c r="AQ205" t="str">
        <f>"+12486439010"</f>
        <v>+12486439010</v>
      </c>
      <c r="AS205" t="s">
        <v>6179</v>
      </c>
      <c r="AT205" t="s">
        <v>102</v>
      </c>
      <c r="AU205" t="str">
        <f>""</f>
        <v/>
      </c>
      <c r="AV205" t="str">
        <f>""</f>
        <v/>
      </c>
      <c r="AW205" t="str">
        <f>""</f>
        <v/>
      </c>
      <c r="AX205" t="str">
        <f>""</f>
        <v/>
      </c>
      <c r="AY205" t="str">
        <f>""</f>
        <v/>
      </c>
      <c r="AZ205" t="str">
        <f>""</f>
        <v/>
      </c>
      <c r="BA205" t="str">
        <f>""</f>
        <v/>
      </c>
      <c r="BC205" t="str">
        <f>""</f>
        <v/>
      </c>
      <c r="BD205" t="str">
        <f>""</f>
        <v/>
      </c>
      <c r="BE205" t="str">
        <f>""</f>
        <v/>
      </c>
      <c r="BF205" t="str">
        <f>""</f>
        <v/>
      </c>
      <c r="BG205" t="str">
        <f>""</f>
        <v/>
      </c>
      <c r="BH205" t="str">
        <f>""</f>
        <v/>
      </c>
      <c r="BI205" t="str">
        <f>""</f>
        <v/>
      </c>
      <c r="BJ205" t="str">
        <f>""</f>
        <v/>
      </c>
      <c r="BK205">
        <v>1</v>
      </c>
      <c r="BL205" t="s">
        <v>102</v>
      </c>
      <c r="BM205" t="str">
        <f>""</f>
        <v/>
      </c>
      <c r="BN205" t="s">
        <v>10522</v>
      </c>
      <c r="BP205" t="s">
        <v>2027</v>
      </c>
      <c r="BQ205" t="s">
        <v>1382</v>
      </c>
      <c r="BR205" t="s">
        <v>345</v>
      </c>
      <c r="BS205" s="5">
        <v>60564</v>
      </c>
      <c r="BT205" s="2">
        <v>56.37</v>
      </c>
      <c r="BU205" s="2">
        <v>80</v>
      </c>
      <c r="BV205" t="s">
        <v>210</v>
      </c>
      <c r="BW205" s="2">
        <v>56.37</v>
      </c>
      <c r="BX205" t="s">
        <v>210</v>
      </c>
      <c r="BZ205" t="s">
        <v>159</v>
      </c>
      <c r="CA205" t="str">
        <f t="shared" si="10"/>
        <v>7/1/2020 - 6/30/2021</v>
      </c>
      <c r="CF205">
        <v>2</v>
      </c>
      <c r="CG205" t="s">
        <v>98</v>
      </c>
      <c r="CH205" t="s">
        <v>98</v>
      </c>
      <c r="CI205" t="s">
        <v>206</v>
      </c>
      <c r="CJ205" t="s">
        <v>98</v>
      </c>
      <c r="CK205" t="s">
        <v>12323</v>
      </c>
      <c r="CL205" t="s">
        <v>108</v>
      </c>
      <c r="CM205" t="s">
        <v>109</v>
      </c>
      <c r="CN205" t="str">
        <f>""</f>
        <v/>
      </c>
      <c r="CO205" t="str">
        <f>""</f>
        <v/>
      </c>
      <c r="CP205" t="str">
        <f>""</f>
        <v/>
      </c>
      <c r="CQ205" t="str">
        <f>""</f>
        <v/>
      </c>
    </row>
    <row r="206" spans="1:96" x14ac:dyDescent="0.2">
      <c r="A206" t="s">
        <v>10542</v>
      </c>
      <c r="B206" t="s">
        <v>96</v>
      </c>
      <c r="C206" s="1">
        <v>44098</v>
      </c>
      <c r="D206" s="1">
        <v>44105</v>
      </c>
      <c r="F206" t="s">
        <v>97</v>
      </c>
      <c r="G206" t="str">
        <f>"Senior Software Developer"</f>
        <v>Senior Software Developer</v>
      </c>
      <c r="H206" t="s">
        <v>12169</v>
      </c>
      <c r="I206" t="s">
        <v>124</v>
      </c>
      <c r="J206" t="s">
        <v>98</v>
      </c>
      <c r="K206" s="1">
        <v>44099</v>
      </c>
      <c r="L206" s="1">
        <v>45193</v>
      </c>
      <c r="M206">
        <v>6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 t="s">
        <v>2509</v>
      </c>
      <c r="U206" t="str">
        <f>"Mastech Digital InfoTech, Inc."</f>
        <v>Mastech Digital InfoTech, Inc.</v>
      </c>
      <c r="V206" t="s">
        <v>1081</v>
      </c>
      <c r="W206" t="str">
        <f>"Bldg. 210, Suite 400"</f>
        <v>Bldg. 210, Suite 400</v>
      </c>
      <c r="X206" t="s">
        <v>1082</v>
      </c>
      <c r="Y206" t="s">
        <v>127</v>
      </c>
      <c r="Z206" s="3">
        <v>15108</v>
      </c>
      <c r="AA206" t="s">
        <v>101</v>
      </c>
      <c r="AB206" t="s">
        <v>2510</v>
      </c>
      <c r="AC206" s="4" t="str">
        <f>"+14127879553"</f>
        <v>+14127879553</v>
      </c>
      <c r="AE206" t="str">
        <f t="shared" si="11"/>
        <v>541511</v>
      </c>
      <c r="AF206" t="s">
        <v>1083</v>
      </c>
      <c r="AG206" t="s">
        <v>1084</v>
      </c>
      <c r="AI206" t="s">
        <v>1085</v>
      </c>
      <c r="AJ206" t="s">
        <v>1081</v>
      </c>
      <c r="AK206" t="str">
        <f>"Bldg. 210, Ste 400"</f>
        <v>Bldg. 210, Ste 400</v>
      </c>
      <c r="AL206" t="s">
        <v>1082</v>
      </c>
      <c r="AM206" t="s">
        <v>127</v>
      </c>
      <c r="AN206" s="3">
        <v>15108</v>
      </c>
      <c r="AO206" t="s">
        <v>101</v>
      </c>
      <c r="AQ206" t="str">
        <f>"+14127879553"</f>
        <v>+14127879553</v>
      </c>
      <c r="AS206" t="s">
        <v>1086</v>
      </c>
      <c r="AT206" t="s">
        <v>102</v>
      </c>
      <c r="AU206" t="str">
        <f>""</f>
        <v/>
      </c>
      <c r="AV206" t="str">
        <f>""</f>
        <v/>
      </c>
      <c r="AW206" t="str">
        <f>""</f>
        <v/>
      </c>
      <c r="AX206" t="str">
        <f>""</f>
        <v/>
      </c>
      <c r="AY206" t="str">
        <f>""</f>
        <v/>
      </c>
      <c r="AZ206" t="str">
        <f>""</f>
        <v/>
      </c>
      <c r="BA206" t="str">
        <f>""</f>
        <v/>
      </c>
      <c r="BC206" t="str">
        <f>""</f>
        <v/>
      </c>
      <c r="BD206" t="str">
        <f>""</f>
        <v/>
      </c>
      <c r="BE206" t="str">
        <f>""</f>
        <v/>
      </c>
      <c r="BF206" t="str">
        <f>""</f>
        <v/>
      </c>
      <c r="BG206" t="str">
        <f>""</f>
        <v/>
      </c>
      <c r="BH206" t="str">
        <f>""</f>
        <v/>
      </c>
      <c r="BI206" t="str">
        <f>""</f>
        <v/>
      </c>
      <c r="BJ206" t="str">
        <f>""</f>
        <v/>
      </c>
      <c r="BK206">
        <v>6</v>
      </c>
      <c r="BL206" t="s">
        <v>107</v>
      </c>
      <c r="BM206" t="str">
        <f>"PNC Bank"</f>
        <v>PNC Bank</v>
      </c>
      <c r="BN206" t="s">
        <v>2659</v>
      </c>
      <c r="BP206" t="s">
        <v>2660</v>
      </c>
      <c r="BQ206" t="s">
        <v>1087</v>
      </c>
      <c r="BR206" t="s">
        <v>225</v>
      </c>
      <c r="BS206" s="5">
        <v>44136</v>
      </c>
      <c r="BT206" s="2">
        <v>87006</v>
      </c>
      <c r="BU206" s="2">
        <v>102006</v>
      </c>
      <c r="BV206" t="s">
        <v>105</v>
      </c>
      <c r="BW206" s="2">
        <v>87006</v>
      </c>
      <c r="BX206" t="s">
        <v>105</v>
      </c>
      <c r="BZ206" t="s">
        <v>123</v>
      </c>
      <c r="CA206" t="str">
        <f t="shared" si="10"/>
        <v>7/1/2020 - 6/30/2021</v>
      </c>
      <c r="CF206">
        <v>2</v>
      </c>
      <c r="CG206" t="s">
        <v>98</v>
      </c>
      <c r="CH206" t="s">
        <v>98</v>
      </c>
      <c r="CI206" t="s">
        <v>206</v>
      </c>
      <c r="CJ206" t="s">
        <v>98</v>
      </c>
      <c r="CK206" t="s">
        <v>12323</v>
      </c>
      <c r="CL206" t="s">
        <v>108</v>
      </c>
      <c r="CM206" t="s">
        <v>109</v>
      </c>
      <c r="CN206" t="str">
        <f>""</f>
        <v/>
      </c>
      <c r="CO206" t="str">
        <f>""</f>
        <v/>
      </c>
      <c r="CP206" t="str">
        <f>""</f>
        <v/>
      </c>
      <c r="CQ206" t="str">
        <f>""</f>
        <v/>
      </c>
    </row>
    <row r="207" spans="1:96" x14ac:dyDescent="0.2">
      <c r="A207" t="s">
        <v>10560</v>
      </c>
      <c r="B207" t="s">
        <v>96</v>
      </c>
      <c r="C207" s="1">
        <v>44098</v>
      </c>
      <c r="D207" s="1">
        <v>44105</v>
      </c>
      <c r="F207" t="s">
        <v>97</v>
      </c>
      <c r="G207" t="str">
        <f>"Application Systems Engineer"</f>
        <v>Application Systems Engineer</v>
      </c>
      <c r="H207" t="s">
        <v>12169</v>
      </c>
      <c r="I207" t="s">
        <v>124</v>
      </c>
      <c r="J207" t="s">
        <v>98</v>
      </c>
      <c r="K207" s="1">
        <v>44145</v>
      </c>
      <c r="L207" s="1">
        <v>45047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7256</v>
      </c>
      <c r="U207" t="str">
        <f>""</f>
        <v/>
      </c>
      <c r="V207" t="s">
        <v>7257</v>
      </c>
      <c r="W207" t="str">
        <f>""</f>
        <v/>
      </c>
      <c r="X207" t="s">
        <v>1328</v>
      </c>
      <c r="Y207" t="s">
        <v>934</v>
      </c>
      <c r="Z207" s="3">
        <v>68137</v>
      </c>
      <c r="AA207" t="s">
        <v>101</v>
      </c>
      <c r="AC207" s="4" t="str">
        <f>"+14086377976"</f>
        <v>+14086377976</v>
      </c>
      <c r="AE207" t="str">
        <f t="shared" si="11"/>
        <v>541511</v>
      </c>
      <c r="AF207" t="s">
        <v>208</v>
      </c>
      <c r="AG207" t="s">
        <v>7258</v>
      </c>
      <c r="AI207" t="s">
        <v>7259</v>
      </c>
      <c r="AJ207" t="s">
        <v>7257</v>
      </c>
      <c r="AK207" t="str">
        <f>""</f>
        <v/>
      </c>
      <c r="AL207" t="s">
        <v>1328</v>
      </c>
      <c r="AM207" t="s">
        <v>934</v>
      </c>
      <c r="AN207" s="3">
        <v>68137</v>
      </c>
      <c r="AO207" t="s">
        <v>101</v>
      </c>
      <c r="AQ207" t="str">
        <f>"+14086377976"</f>
        <v>+14086377976</v>
      </c>
      <c r="AS207" t="s">
        <v>7260</v>
      </c>
      <c r="AT207" t="s">
        <v>102</v>
      </c>
      <c r="AU207" t="str">
        <f>""</f>
        <v/>
      </c>
      <c r="AV207" t="str">
        <f>""</f>
        <v/>
      </c>
      <c r="AW207" t="str">
        <f>""</f>
        <v/>
      </c>
      <c r="AX207" t="str">
        <f>""</f>
        <v/>
      </c>
      <c r="AY207" t="str">
        <f>""</f>
        <v/>
      </c>
      <c r="AZ207" t="str">
        <f>""</f>
        <v/>
      </c>
      <c r="BA207" t="str">
        <f>""</f>
        <v/>
      </c>
      <c r="BC207" t="str">
        <f>""</f>
        <v/>
      </c>
      <c r="BD207" t="str">
        <f>""</f>
        <v/>
      </c>
      <c r="BE207" t="str">
        <f>""</f>
        <v/>
      </c>
      <c r="BF207" t="str">
        <f>""</f>
        <v/>
      </c>
      <c r="BG207" t="str">
        <f>""</f>
        <v/>
      </c>
      <c r="BH207" t="str">
        <f>""</f>
        <v/>
      </c>
      <c r="BI207" t="str">
        <f>""</f>
        <v/>
      </c>
      <c r="BJ207" t="str">
        <f>""</f>
        <v/>
      </c>
      <c r="BK207">
        <v>1</v>
      </c>
      <c r="BL207" t="s">
        <v>107</v>
      </c>
      <c r="BM207" t="str">
        <f>"W &amp; S Financial Group"</f>
        <v>W &amp; S Financial Group</v>
      </c>
      <c r="BN207" t="s">
        <v>10561</v>
      </c>
      <c r="BP207" t="s">
        <v>1745</v>
      </c>
      <c r="BQ207" t="s">
        <v>1624</v>
      </c>
      <c r="BR207" t="s">
        <v>225</v>
      </c>
      <c r="BS207" s="5">
        <v>45202</v>
      </c>
      <c r="BT207" s="2">
        <v>90500</v>
      </c>
      <c r="BU207" s="2">
        <v>96200</v>
      </c>
      <c r="BV207" t="s">
        <v>105</v>
      </c>
      <c r="BW207" s="2">
        <v>87194</v>
      </c>
      <c r="BX207" t="s">
        <v>105</v>
      </c>
      <c r="BZ207" t="s">
        <v>167</v>
      </c>
      <c r="CA207" t="str">
        <f t="shared" si="10"/>
        <v>7/1/2020 - 6/30/2021</v>
      </c>
      <c r="CF207">
        <v>1</v>
      </c>
      <c r="CG207" t="s">
        <v>98</v>
      </c>
      <c r="CH207" t="s">
        <v>98</v>
      </c>
      <c r="CI207" t="s">
        <v>206</v>
      </c>
      <c r="CJ207" t="s">
        <v>98</v>
      </c>
      <c r="CK207" t="s">
        <v>12323</v>
      </c>
      <c r="CL207" t="s">
        <v>108</v>
      </c>
      <c r="CM207" t="s">
        <v>353</v>
      </c>
      <c r="CN207" t="str">
        <f>"Patel"</f>
        <v>Patel</v>
      </c>
      <c r="CO207" t="str">
        <f>"Mahendra "</f>
        <v xml:space="preserve">Mahendra </v>
      </c>
      <c r="CP207" t="str">
        <f>""</f>
        <v/>
      </c>
      <c r="CQ207" t="str">
        <f>"TECHNOCRATIC INC "</f>
        <v xml:space="preserve">TECHNOCRATIC INC </v>
      </c>
      <c r="CR207" t="s">
        <v>7260</v>
      </c>
    </row>
    <row r="208" spans="1:96" x14ac:dyDescent="0.2">
      <c r="A208" t="s">
        <v>10562</v>
      </c>
      <c r="B208" t="s">
        <v>96</v>
      </c>
      <c r="C208" s="1">
        <v>44098</v>
      </c>
      <c r="D208" s="1">
        <v>44105</v>
      </c>
      <c r="F208" t="s">
        <v>97</v>
      </c>
      <c r="G208" t="str">
        <f>"Software Engineer"</f>
        <v>Software Engineer</v>
      </c>
      <c r="H208" t="s">
        <v>12169</v>
      </c>
      <c r="I208" t="s">
        <v>124</v>
      </c>
      <c r="J208" t="s">
        <v>98</v>
      </c>
      <c r="K208" s="1">
        <v>44109</v>
      </c>
      <c r="L208" s="1">
        <v>45203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 t="s">
        <v>412</v>
      </c>
      <c r="U208" t="str">
        <f>""</f>
        <v/>
      </c>
      <c r="V208" t="s">
        <v>1415</v>
      </c>
      <c r="W208" t="str">
        <f>"(ALSO KNOWN AS *1601 WILLOW ROAD)"</f>
        <v>(ALSO KNOWN AS *1601 WILLOW ROAD)</v>
      </c>
      <c r="X208" t="s">
        <v>414</v>
      </c>
      <c r="Y208" t="s">
        <v>141</v>
      </c>
      <c r="Z208" s="3">
        <v>94025</v>
      </c>
      <c r="AA208" t="s">
        <v>101</v>
      </c>
      <c r="AC208" s="4" t="str">
        <f>"+14085335781"</f>
        <v>+14085335781</v>
      </c>
      <c r="AE208" t="str">
        <f>"51913"</f>
        <v>51913</v>
      </c>
      <c r="AF208" t="s">
        <v>415</v>
      </c>
      <c r="AG208" t="s">
        <v>416</v>
      </c>
      <c r="AI208" t="s">
        <v>417</v>
      </c>
      <c r="AJ208" t="s">
        <v>1415</v>
      </c>
      <c r="AK208" t="str">
        <f>"(ALSO KNOWN AS *1601 WILLOW ROAD)"</f>
        <v>(ALSO KNOWN AS *1601 WILLOW ROAD)</v>
      </c>
      <c r="AL208" t="s">
        <v>414</v>
      </c>
      <c r="AM208" t="s">
        <v>141</v>
      </c>
      <c r="AN208" s="3">
        <v>94025</v>
      </c>
      <c r="AO208" t="s">
        <v>101</v>
      </c>
      <c r="AQ208" t="str">
        <f>"+14085335781"</f>
        <v>+14085335781</v>
      </c>
      <c r="AS208" t="s">
        <v>1416</v>
      </c>
      <c r="AT208" t="s">
        <v>107</v>
      </c>
      <c r="AU208" t="str">
        <f>"PAULL"</f>
        <v>PAULL</v>
      </c>
      <c r="AV208" t="str">
        <f>"JUSTIN"</f>
        <v>JUSTIN</v>
      </c>
      <c r="AW208" t="str">
        <f>"MATTHEW"</f>
        <v>MATTHEW</v>
      </c>
      <c r="AX208" t="str">
        <f>"50 California Street"</f>
        <v>50 California Street</v>
      </c>
      <c r="AY208" t="str">
        <f>"2nd Floor"</f>
        <v>2nd Floor</v>
      </c>
      <c r="AZ208" t="str">
        <f>"San Francisco"</f>
        <v>San Francisco</v>
      </c>
      <c r="BA208" t="str">
        <f>"CA"</f>
        <v>CA</v>
      </c>
      <c r="BB208" s="3">
        <v>94111</v>
      </c>
      <c r="BC208" t="str">
        <f>"UNITED STATES OF AMERICA"</f>
        <v>UNITED STATES OF AMERICA</v>
      </c>
      <c r="BD208" t="str">
        <f>""</f>
        <v/>
      </c>
      <c r="BE208" t="str">
        <f>"+14692909690"</f>
        <v>+14692909690</v>
      </c>
      <c r="BF208" t="str">
        <f>""</f>
        <v/>
      </c>
      <c r="BG208" t="str">
        <f>"lchen@balglobal.com"</f>
        <v>lchen@balglobal.com</v>
      </c>
      <c r="BH208" t="str">
        <f>"Berry Appleman &amp; Leiden LLP"</f>
        <v>Berry Appleman &amp; Leiden LLP</v>
      </c>
      <c r="BI208" t="str">
        <f>"CA"</f>
        <v>CA</v>
      </c>
      <c r="BJ208" t="str">
        <f>"CALIFORNIA SUPREME COURT"</f>
        <v>CALIFORNIA SUPREME COURT</v>
      </c>
      <c r="BK208">
        <v>1</v>
      </c>
      <c r="BL208" t="s">
        <v>102</v>
      </c>
      <c r="BM208" t="str">
        <f>""</f>
        <v/>
      </c>
      <c r="BN208" t="s">
        <v>1322</v>
      </c>
      <c r="BO208" t="s">
        <v>3454</v>
      </c>
      <c r="BP208" t="s">
        <v>468</v>
      </c>
      <c r="BQ208" t="s">
        <v>994</v>
      </c>
      <c r="BR208" t="s">
        <v>141</v>
      </c>
      <c r="BS208" s="5">
        <v>94025</v>
      </c>
      <c r="BT208" s="2">
        <v>123000</v>
      </c>
      <c r="BV208" t="s">
        <v>105</v>
      </c>
      <c r="BW208" s="2">
        <v>120931</v>
      </c>
      <c r="BX208" t="s">
        <v>105</v>
      </c>
      <c r="BZ208" t="s">
        <v>167</v>
      </c>
      <c r="CA208" t="str">
        <f t="shared" si="10"/>
        <v>7/1/2020 - 6/30/2021</v>
      </c>
      <c r="CF208">
        <v>2</v>
      </c>
      <c r="CG208" t="s">
        <v>98</v>
      </c>
      <c r="CH208" t="s">
        <v>98</v>
      </c>
      <c r="CI208" t="s">
        <v>206</v>
      </c>
      <c r="CJ208" t="s">
        <v>98</v>
      </c>
      <c r="CK208" t="s">
        <v>12323</v>
      </c>
      <c r="CL208" t="s">
        <v>108</v>
      </c>
      <c r="CM208" t="s">
        <v>109</v>
      </c>
      <c r="CN208" t="str">
        <f>""</f>
        <v/>
      </c>
      <c r="CO208" t="str">
        <f>""</f>
        <v/>
      </c>
      <c r="CP208" t="str">
        <f>""</f>
        <v/>
      </c>
      <c r="CQ208" t="str">
        <f>""</f>
        <v/>
      </c>
    </row>
    <row r="209" spans="1:96" x14ac:dyDescent="0.2">
      <c r="A209" t="s">
        <v>10567</v>
      </c>
      <c r="B209" t="s">
        <v>96</v>
      </c>
      <c r="C209" s="1">
        <v>44098</v>
      </c>
      <c r="D209" s="1">
        <v>44105</v>
      </c>
      <c r="F209" t="s">
        <v>97</v>
      </c>
      <c r="G209" t="str">
        <f>"Database Administration Advisor"</f>
        <v>Database Administration Advisor</v>
      </c>
      <c r="H209" t="s">
        <v>12168</v>
      </c>
      <c r="I209" t="s">
        <v>354</v>
      </c>
      <c r="J209" t="s">
        <v>206</v>
      </c>
      <c r="K209" s="1">
        <v>44104</v>
      </c>
      <c r="L209" s="1">
        <v>45189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 t="s">
        <v>7532</v>
      </c>
      <c r="U209" t="str">
        <f>""</f>
        <v/>
      </c>
      <c r="V209" t="s">
        <v>7533</v>
      </c>
      <c r="W209" t="str">
        <f>"Suite # 710"</f>
        <v>Suite # 710</v>
      </c>
      <c r="X209" t="s">
        <v>980</v>
      </c>
      <c r="Y209" t="s">
        <v>114</v>
      </c>
      <c r="Z209" s="3">
        <v>75024</v>
      </c>
      <c r="AA209" t="s">
        <v>101</v>
      </c>
      <c r="AC209" s="4" t="str">
        <f>"+19729059701"</f>
        <v>+19729059701</v>
      </c>
      <c r="AE209" t="str">
        <f>"5415"</f>
        <v>5415</v>
      </c>
      <c r="AF209" t="s">
        <v>7534</v>
      </c>
      <c r="AG209" t="s">
        <v>2255</v>
      </c>
      <c r="AI209" t="s">
        <v>1153</v>
      </c>
      <c r="AJ209" t="s">
        <v>7533</v>
      </c>
      <c r="AK209" t="str">
        <f>"Suite # 710"</f>
        <v>Suite # 710</v>
      </c>
      <c r="AL209" t="s">
        <v>980</v>
      </c>
      <c r="AM209" t="s">
        <v>114</v>
      </c>
      <c r="AN209" s="3">
        <v>75024</v>
      </c>
      <c r="AO209" t="s">
        <v>101</v>
      </c>
      <c r="AQ209" t="str">
        <f>"+19729059701"</f>
        <v>+19729059701</v>
      </c>
      <c r="AS209" t="s">
        <v>7535</v>
      </c>
      <c r="AT209" t="s">
        <v>102</v>
      </c>
      <c r="AU209" t="str">
        <f>""</f>
        <v/>
      </c>
      <c r="AV209" t="str">
        <f>""</f>
        <v/>
      </c>
      <c r="AW209" t="str">
        <f>""</f>
        <v/>
      </c>
      <c r="AX209" t="str">
        <f>""</f>
        <v/>
      </c>
      <c r="AY209" t="str">
        <f>""</f>
        <v/>
      </c>
      <c r="AZ209" t="str">
        <f>""</f>
        <v/>
      </c>
      <c r="BA209" t="str">
        <f>""</f>
        <v/>
      </c>
      <c r="BC209" t="str">
        <f>""</f>
        <v/>
      </c>
      <c r="BD209" t="str">
        <f>""</f>
        <v/>
      </c>
      <c r="BE209" t="str">
        <f>""</f>
        <v/>
      </c>
      <c r="BF209" t="str">
        <f>""</f>
        <v/>
      </c>
      <c r="BG209" t="str">
        <f>""</f>
        <v/>
      </c>
      <c r="BH209" t="str">
        <f>""</f>
        <v/>
      </c>
      <c r="BI209" t="str">
        <f>""</f>
        <v/>
      </c>
      <c r="BJ209" t="str">
        <f>""</f>
        <v/>
      </c>
      <c r="BK209">
        <v>1</v>
      </c>
      <c r="BL209" t="s">
        <v>107</v>
      </c>
      <c r="BM209" t="str">
        <f>"Prompt Realty and Mortgage Inc."</f>
        <v>Prompt Realty and Mortgage Inc.</v>
      </c>
      <c r="BN209" t="s">
        <v>8644</v>
      </c>
      <c r="BO209" t="s">
        <v>8645</v>
      </c>
      <c r="BP209" t="s">
        <v>4924</v>
      </c>
      <c r="BQ209" t="s">
        <v>400</v>
      </c>
      <c r="BR209" t="s">
        <v>114</v>
      </c>
      <c r="BS209" s="5">
        <v>77477</v>
      </c>
      <c r="BT209" s="2">
        <v>36</v>
      </c>
      <c r="BU209" s="2">
        <v>37</v>
      </c>
      <c r="BV209" t="s">
        <v>210</v>
      </c>
      <c r="BW209" s="2">
        <v>32.29</v>
      </c>
      <c r="BX209" t="s">
        <v>210</v>
      </c>
      <c r="BZ209" t="s">
        <v>167</v>
      </c>
      <c r="CA209" t="str">
        <f t="shared" si="10"/>
        <v>7/1/2020 - 6/30/2021</v>
      </c>
      <c r="CF209">
        <v>2</v>
      </c>
      <c r="CG209" t="s">
        <v>98</v>
      </c>
      <c r="CH209" t="s">
        <v>98</v>
      </c>
      <c r="CI209" t="s">
        <v>206</v>
      </c>
      <c r="CJ209" t="s">
        <v>98</v>
      </c>
      <c r="CK209" t="s">
        <v>12323</v>
      </c>
      <c r="CL209" t="s">
        <v>108</v>
      </c>
      <c r="CM209" t="s">
        <v>109</v>
      </c>
      <c r="CN209" t="str">
        <f>""</f>
        <v/>
      </c>
      <c r="CO209" t="str">
        <f>""</f>
        <v/>
      </c>
      <c r="CP209" t="str">
        <f>""</f>
        <v/>
      </c>
      <c r="CQ209" t="str">
        <f>""</f>
        <v/>
      </c>
    </row>
    <row r="210" spans="1:96" x14ac:dyDescent="0.2">
      <c r="A210" t="s">
        <v>10579</v>
      </c>
      <c r="B210" t="s">
        <v>96</v>
      </c>
      <c r="C210" s="1">
        <v>44098</v>
      </c>
      <c r="D210" s="1">
        <v>44105</v>
      </c>
      <c r="F210" t="s">
        <v>97</v>
      </c>
      <c r="G210" t="str">
        <f>"Software Developer"</f>
        <v>Software Developer</v>
      </c>
      <c r="H210" t="s">
        <v>12169</v>
      </c>
      <c r="I210" t="s">
        <v>124</v>
      </c>
      <c r="J210" t="s">
        <v>98</v>
      </c>
      <c r="K210" s="1">
        <v>44240</v>
      </c>
      <c r="L210" s="1">
        <v>45334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 t="s">
        <v>445</v>
      </c>
      <c r="U210" t="str">
        <f>""</f>
        <v/>
      </c>
      <c r="V210" t="s">
        <v>446</v>
      </c>
      <c r="W210" t="str">
        <f>"Suite 600"</f>
        <v>Suite 600</v>
      </c>
      <c r="X210" t="s">
        <v>447</v>
      </c>
      <c r="Y210" t="s">
        <v>100</v>
      </c>
      <c r="Z210" s="3">
        <v>8830</v>
      </c>
      <c r="AA210" t="s">
        <v>101</v>
      </c>
      <c r="AC210" s="4" t="str">
        <f>"+16094096957"</f>
        <v>+16094096957</v>
      </c>
      <c r="AE210" t="str">
        <f>"541512"</f>
        <v>541512</v>
      </c>
      <c r="AF210" t="s">
        <v>448</v>
      </c>
      <c r="AG210" t="s">
        <v>449</v>
      </c>
      <c r="AI210" t="s">
        <v>450</v>
      </c>
      <c r="AJ210" t="s">
        <v>446</v>
      </c>
      <c r="AK210" t="str">
        <f>"Suite 600"</f>
        <v>Suite 600</v>
      </c>
      <c r="AL210" t="s">
        <v>447</v>
      </c>
      <c r="AM210" t="s">
        <v>100</v>
      </c>
      <c r="AN210" s="3">
        <v>8830</v>
      </c>
      <c r="AO210" t="s">
        <v>101</v>
      </c>
      <c r="AQ210" t="str">
        <f>"+16094092214"</f>
        <v>+16094092214</v>
      </c>
      <c r="AS210" t="s">
        <v>451</v>
      </c>
      <c r="AT210" t="s">
        <v>107</v>
      </c>
      <c r="AU210" t="str">
        <f>"Chothani"</f>
        <v>Chothani</v>
      </c>
      <c r="AV210" t="str">
        <f>"Poorvi"</f>
        <v>Poorvi</v>
      </c>
      <c r="AW210" t="str">
        <f>"Rohit"</f>
        <v>Rohit</v>
      </c>
      <c r="AX210" t="str">
        <f>"244 Madison Ave."</f>
        <v>244 Madison Ave.</v>
      </c>
      <c r="AY210" t="str">
        <f>"Ste. 2350"</f>
        <v>Ste. 2350</v>
      </c>
      <c r="AZ210" t="str">
        <f>"NEW YORK"</f>
        <v>NEW YORK</v>
      </c>
      <c r="BA210" t="str">
        <f>"NY"</f>
        <v>NY</v>
      </c>
      <c r="BB210" s="3">
        <v>10016</v>
      </c>
      <c r="BC210" t="str">
        <f>"UNITED STATES OF AMERICA"</f>
        <v>UNITED STATES OF AMERICA</v>
      </c>
      <c r="BD210" t="str">
        <f>"NEW YORK"</f>
        <v>NEW YORK</v>
      </c>
      <c r="BE210" t="str">
        <f>"+16464190933"</f>
        <v>+16464190933</v>
      </c>
      <c r="BF210" t="str">
        <f>""</f>
        <v/>
      </c>
      <c r="BG210" t="str">
        <f>"gov@poorvichothani.com"</f>
        <v>gov@poorvichothani.com</v>
      </c>
      <c r="BH210" t="str">
        <f>"The Law Office of Poorvi Chothani, PLLC"</f>
        <v>The Law Office of Poorvi Chothani, PLLC</v>
      </c>
      <c r="BI210" t="str">
        <f>"NY"</f>
        <v>NY</v>
      </c>
      <c r="BJ210" t="str">
        <f>"NEW YORK"</f>
        <v>NEW YORK</v>
      </c>
      <c r="BK210">
        <v>1</v>
      </c>
      <c r="BL210" t="s">
        <v>107</v>
      </c>
      <c r="BM210" t="str">
        <f>"Fannie Mae"</f>
        <v>Fannie Mae</v>
      </c>
      <c r="BN210" t="s">
        <v>2003</v>
      </c>
      <c r="BP210" t="s">
        <v>133</v>
      </c>
      <c r="BQ210" t="s">
        <v>454</v>
      </c>
      <c r="BR210" t="s">
        <v>135</v>
      </c>
      <c r="BS210" s="5">
        <v>20190</v>
      </c>
      <c r="BT210" s="2">
        <v>111000</v>
      </c>
      <c r="BU210" s="2">
        <v>118000</v>
      </c>
      <c r="BV210" t="s">
        <v>105</v>
      </c>
      <c r="BW210" s="2">
        <v>97406</v>
      </c>
      <c r="BX210" t="s">
        <v>105</v>
      </c>
      <c r="BZ210" t="s">
        <v>167</v>
      </c>
      <c r="CA210" t="str">
        <f t="shared" si="10"/>
        <v>7/1/2020 - 6/30/2021</v>
      </c>
      <c r="CF210">
        <v>2</v>
      </c>
      <c r="CG210" t="s">
        <v>98</v>
      </c>
      <c r="CH210" t="s">
        <v>98</v>
      </c>
      <c r="CI210" t="s">
        <v>206</v>
      </c>
      <c r="CJ210" t="s">
        <v>98</v>
      </c>
      <c r="CK210" t="s">
        <v>12323</v>
      </c>
      <c r="CL210" t="s">
        <v>108</v>
      </c>
      <c r="CM210" t="s">
        <v>109</v>
      </c>
      <c r="CN210" t="str">
        <f>"Chothani"</f>
        <v>Chothani</v>
      </c>
      <c r="CO210" t="str">
        <f>"Poorvi"</f>
        <v>Poorvi</v>
      </c>
      <c r="CP210" t="str">
        <f>"R"</f>
        <v>R</v>
      </c>
      <c r="CQ210" t="str">
        <f>"The Law Office of Poorvi Chothani, PLLC"</f>
        <v>The Law Office of Poorvi Chothani, PLLC</v>
      </c>
      <c r="CR210" t="s">
        <v>455</v>
      </c>
    </row>
    <row r="211" spans="1:96" x14ac:dyDescent="0.2">
      <c r="A211" t="s">
        <v>10598</v>
      </c>
      <c r="B211" t="s">
        <v>96</v>
      </c>
      <c r="C211" s="1">
        <v>44098</v>
      </c>
      <c r="D211" s="1">
        <v>44105</v>
      </c>
      <c r="F211" t="s">
        <v>97</v>
      </c>
      <c r="G211" t="str">
        <f>"Senior Systems Analyst JC60"</f>
        <v>Senior Systems Analyst JC60</v>
      </c>
      <c r="H211" t="s">
        <v>12181</v>
      </c>
      <c r="I211" t="s">
        <v>110</v>
      </c>
      <c r="J211" t="s">
        <v>98</v>
      </c>
      <c r="K211" s="1">
        <v>44106</v>
      </c>
      <c r="L211" s="1">
        <v>45200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 t="s">
        <v>111</v>
      </c>
      <c r="U211" t="str">
        <f>"CTSUS"</f>
        <v>CTSUS</v>
      </c>
      <c r="V211" t="s">
        <v>112</v>
      </c>
      <c r="W211" t="str">
        <f>""</f>
        <v/>
      </c>
      <c r="X211" t="s">
        <v>113</v>
      </c>
      <c r="Y211" t="s">
        <v>114</v>
      </c>
      <c r="Z211" s="3">
        <v>77845</v>
      </c>
      <c r="AA211" t="s">
        <v>101</v>
      </c>
      <c r="AB211" t="s">
        <v>114</v>
      </c>
      <c r="AC211" s="4" t="str">
        <f>"+19793296682"</f>
        <v>+19793296682</v>
      </c>
      <c r="AE211" t="str">
        <f>"541512"</f>
        <v>541512</v>
      </c>
      <c r="AF211" t="s">
        <v>115</v>
      </c>
      <c r="AG211" t="s">
        <v>116</v>
      </c>
      <c r="AH211" t="s">
        <v>108</v>
      </c>
      <c r="AI211" t="s">
        <v>117</v>
      </c>
      <c r="AJ211" t="s">
        <v>118</v>
      </c>
      <c r="AK211" t="str">
        <f>""</f>
        <v/>
      </c>
      <c r="AL211" t="s">
        <v>119</v>
      </c>
      <c r="AM211" t="s">
        <v>114</v>
      </c>
      <c r="AN211" s="3">
        <v>77845</v>
      </c>
      <c r="AO211" t="s">
        <v>101</v>
      </c>
      <c r="AQ211" t="str">
        <f>"+19793296682"</f>
        <v>+19793296682</v>
      </c>
      <c r="AS211" t="s">
        <v>120</v>
      </c>
      <c r="AT211" t="s">
        <v>102</v>
      </c>
      <c r="AU211" t="str">
        <f>""</f>
        <v/>
      </c>
      <c r="AV211" t="str">
        <f>""</f>
        <v/>
      </c>
      <c r="AW211" t="str">
        <f>""</f>
        <v/>
      </c>
      <c r="AX211" t="str">
        <f>""</f>
        <v/>
      </c>
      <c r="AY211" t="str">
        <f>""</f>
        <v/>
      </c>
      <c r="AZ211" t="str">
        <f>""</f>
        <v/>
      </c>
      <c r="BA211" t="str">
        <f>""</f>
        <v/>
      </c>
      <c r="BC211" t="str">
        <f>""</f>
        <v/>
      </c>
      <c r="BD211" t="str">
        <f>""</f>
        <v/>
      </c>
      <c r="BE211" t="str">
        <f>""</f>
        <v/>
      </c>
      <c r="BF211" t="str">
        <f>""</f>
        <v/>
      </c>
      <c r="BG211" t="str">
        <f>""</f>
        <v/>
      </c>
      <c r="BH211" t="str">
        <f>""</f>
        <v/>
      </c>
      <c r="BI211" t="str">
        <f>""</f>
        <v/>
      </c>
      <c r="BJ211" t="str">
        <f>""</f>
        <v/>
      </c>
      <c r="BK211">
        <v>1</v>
      </c>
      <c r="BL211" t="s">
        <v>102</v>
      </c>
      <c r="BM211" t="str">
        <f>""</f>
        <v/>
      </c>
      <c r="BN211" t="s">
        <v>10599</v>
      </c>
      <c r="BP211" t="s">
        <v>1107</v>
      </c>
      <c r="BQ211" t="s">
        <v>1034</v>
      </c>
      <c r="BR211" t="s">
        <v>577</v>
      </c>
      <c r="BS211" s="5">
        <v>33610</v>
      </c>
      <c r="BT211" s="2">
        <v>72218</v>
      </c>
      <c r="BV211" t="s">
        <v>105</v>
      </c>
      <c r="BW211" s="2">
        <v>72218</v>
      </c>
      <c r="BX211" t="s">
        <v>105</v>
      </c>
      <c r="BZ211" t="s">
        <v>167</v>
      </c>
      <c r="CA211" t="str">
        <f t="shared" si="10"/>
        <v>7/1/2020 - 6/30/2021</v>
      </c>
      <c r="CF211">
        <v>1</v>
      </c>
      <c r="CG211" t="s">
        <v>98</v>
      </c>
      <c r="CH211" t="s">
        <v>98</v>
      </c>
      <c r="CI211" t="s">
        <v>206</v>
      </c>
      <c r="CJ211" t="s">
        <v>98</v>
      </c>
      <c r="CK211" t="s">
        <v>12323</v>
      </c>
      <c r="CL211" t="s">
        <v>108</v>
      </c>
      <c r="CM211" t="s">
        <v>109</v>
      </c>
      <c r="CN211" t="str">
        <f>""</f>
        <v/>
      </c>
      <c r="CO211" t="str">
        <f>""</f>
        <v/>
      </c>
      <c r="CP211" t="str">
        <f>""</f>
        <v/>
      </c>
      <c r="CQ211" t="str">
        <f>""</f>
        <v/>
      </c>
    </row>
    <row r="212" spans="1:96" x14ac:dyDescent="0.2">
      <c r="A212" t="s">
        <v>10603</v>
      </c>
      <c r="B212" t="s">
        <v>96</v>
      </c>
      <c r="C212" s="1">
        <v>44098</v>
      </c>
      <c r="D212" s="1">
        <v>44105</v>
      </c>
      <c r="F212" t="s">
        <v>97</v>
      </c>
      <c r="G212" t="str">
        <f>"Technical Test Lead - US"</f>
        <v>Technical Test Lead - US</v>
      </c>
      <c r="H212" t="s">
        <v>12168</v>
      </c>
      <c r="I212" t="s">
        <v>319</v>
      </c>
      <c r="J212" t="s">
        <v>98</v>
      </c>
      <c r="K212" s="1">
        <v>44109</v>
      </c>
      <c r="L212" s="1">
        <v>45201</v>
      </c>
      <c r="M212">
        <v>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</v>
      </c>
      <c r="T212" t="s">
        <v>723</v>
      </c>
      <c r="U212" t="str">
        <f>""</f>
        <v/>
      </c>
      <c r="V212" t="s">
        <v>724</v>
      </c>
      <c r="W212" t="str">
        <f>"STE C150"</f>
        <v>STE C150</v>
      </c>
      <c r="X212" t="s">
        <v>725</v>
      </c>
      <c r="Y212" t="s">
        <v>114</v>
      </c>
      <c r="Z212" s="3">
        <v>75082</v>
      </c>
      <c r="AA212" t="s">
        <v>101</v>
      </c>
      <c r="AC212" s="4" t="str">
        <f>"+12143062100"</f>
        <v>+12143062100</v>
      </c>
      <c r="AE212" t="str">
        <f>"541511"</f>
        <v>541511</v>
      </c>
      <c r="AF212" t="s">
        <v>726</v>
      </c>
      <c r="AG212" t="s">
        <v>727</v>
      </c>
      <c r="AI212" t="s">
        <v>728</v>
      </c>
      <c r="AJ212" t="s">
        <v>724</v>
      </c>
      <c r="AK212" t="str">
        <f>"STE C150"</f>
        <v>STE C150</v>
      </c>
      <c r="AL212" t="s">
        <v>725</v>
      </c>
      <c r="AM212" t="s">
        <v>114</v>
      </c>
      <c r="AN212" s="3">
        <v>75082</v>
      </c>
      <c r="AO212" t="s">
        <v>101</v>
      </c>
      <c r="AQ212" t="str">
        <f>"+12143062100"</f>
        <v>+12143062100</v>
      </c>
      <c r="AS212" t="s">
        <v>729</v>
      </c>
      <c r="AT212" t="s">
        <v>102</v>
      </c>
      <c r="AU212" t="str">
        <f>""</f>
        <v/>
      </c>
      <c r="AV212" t="str">
        <f>""</f>
        <v/>
      </c>
      <c r="AW212" t="str">
        <f>""</f>
        <v/>
      </c>
      <c r="AX212" t="str">
        <f>""</f>
        <v/>
      </c>
      <c r="AY212" t="str">
        <f>""</f>
        <v/>
      </c>
      <c r="AZ212" t="str">
        <f>""</f>
        <v/>
      </c>
      <c r="BA212" t="str">
        <f>""</f>
        <v/>
      </c>
      <c r="BC212" t="str">
        <f>""</f>
        <v/>
      </c>
      <c r="BD212" t="str">
        <f>""</f>
        <v/>
      </c>
      <c r="BE212" t="str">
        <f>""</f>
        <v/>
      </c>
      <c r="BF212" t="str">
        <f>""</f>
        <v/>
      </c>
      <c r="BG212" t="str">
        <f>""</f>
        <v/>
      </c>
      <c r="BH212" t="str">
        <f>""</f>
        <v/>
      </c>
      <c r="BI212" t="str">
        <f>""</f>
        <v/>
      </c>
      <c r="BJ212" t="str">
        <f>""</f>
        <v/>
      </c>
      <c r="BK212">
        <v>5</v>
      </c>
      <c r="BL212" t="s">
        <v>107</v>
      </c>
      <c r="BM212" t="str">
        <f>"The Travelers Indemnity Company"</f>
        <v>The Travelers Indemnity Company</v>
      </c>
      <c r="BN212" t="s">
        <v>2327</v>
      </c>
      <c r="BP212" t="s">
        <v>1142</v>
      </c>
      <c r="BQ212" t="s">
        <v>547</v>
      </c>
      <c r="BR212" t="s">
        <v>280</v>
      </c>
      <c r="BS212" s="5">
        <v>6183</v>
      </c>
      <c r="BT212" s="2">
        <v>72384</v>
      </c>
      <c r="BU212" s="2">
        <v>86494</v>
      </c>
      <c r="BV212" t="s">
        <v>105</v>
      </c>
      <c r="BW212" s="2">
        <v>72384</v>
      </c>
      <c r="BX212" t="s">
        <v>105</v>
      </c>
      <c r="BZ212" t="s">
        <v>167</v>
      </c>
      <c r="CA212" t="str">
        <f t="shared" si="10"/>
        <v>7/1/2020 - 6/30/2021</v>
      </c>
      <c r="CF212">
        <v>1</v>
      </c>
      <c r="CG212" t="s">
        <v>98</v>
      </c>
      <c r="CH212" t="s">
        <v>98</v>
      </c>
      <c r="CI212" t="s">
        <v>206</v>
      </c>
      <c r="CJ212" t="s">
        <v>98</v>
      </c>
      <c r="CK212" t="s">
        <v>12323</v>
      </c>
      <c r="CL212" t="s">
        <v>108</v>
      </c>
      <c r="CM212" t="s">
        <v>109</v>
      </c>
      <c r="CN212" t="str">
        <f>"ALI"</f>
        <v>ALI</v>
      </c>
      <c r="CO212" t="str">
        <f>"ASIF"</f>
        <v>ASIF</v>
      </c>
      <c r="CP212" t="str">
        <f>""</f>
        <v/>
      </c>
      <c r="CQ212" t="str">
        <f>"INFOSYS LIMITED"</f>
        <v>INFOSYS LIMITED</v>
      </c>
      <c r="CR212" t="s">
        <v>796</v>
      </c>
    </row>
    <row r="213" spans="1:96" x14ac:dyDescent="0.2">
      <c r="A213" t="s">
        <v>10604</v>
      </c>
      <c r="B213" t="s">
        <v>96</v>
      </c>
      <c r="C213" s="1">
        <v>44098</v>
      </c>
      <c r="D213" s="1">
        <v>44105</v>
      </c>
      <c r="F213" t="s">
        <v>97</v>
      </c>
      <c r="G213" t="str">
        <f>"Test Consultant 3"</f>
        <v>Test Consultant 3</v>
      </c>
      <c r="H213" t="s">
        <v>12168</v>
      </c>
      <c r="I213" t="s">
        <v>319</v>
      </c>
      <c r="J213" t="s">
        <v>98</v>
      </c>
      <c r="K213" s="1">
        <v>44098</v>
      </c>
      <c r="L213" s="1">
        <v>45178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 t="s">
        <v>1421</v>
      </c>
      <c r="U213" t="str">
        <f>""</f>
        <v/>
      </c>
      <c r="V213" t="s">
        <v>1422</v>
      </c>
      <c r="W213" t="str">
        <f>"SUITE 300"</f>
        <v>SUITE 300</v>
      </c>
      <c r="X213" t="s">
        <v>843</v>
      </c>
      <c r="Y213" t="s">
        <v>345</v>
      </c>
      <c r="Z213" s="3">
        <v>60606</v>
      </c>
      <c r="AA213" t="s">
        <v>101</v>
      </c>
      <c r="AC213" s="4" t="str">
        <f>"+13123955000"</f>
        <v>+13123955000</v>
      </c>
      <c r="AE213" t="str">
        <f>"5416"</f>
        <v>5416</v>
      </c>
      <c r="AF213" t="s">
        <v>1423</v>
      </c>
      <c r="AG213" t="s">
        <v>1424</v>
      </c>
      <c r="AI213" t="s">
        <v>1425</v>
      </c>
      <c r="AJ213" t="s">
        <v>1422</v>
      </c>
      <c r="AK213" t="str">
        <f>"SUITE 300"</f>
        <v>SUITE 300</v>
      </c>
      <c r="AL213" t="s">
        <v>843</v>
      </c>
      <c r="AM213" t="s">
        <v>345</v>
      </c>
      <c r="AN213" s="3">
        <v>60606</v>
      </c>
      <c r="AO213" t="s">
        <v>101</v>
      </c>
      <c r="AQ213" t="str">
        <f>"+13123958209"</f>
        <v>+13123958209</v>
      </c>
      <c r="AS213" t="s">
        <v>1426</v>
      </c>
      <c r="AT213" t="s">
        <v>102</v>
      </c>
      <c r="AU213" t="str">
        <f>""</f>
        <v/>
      </c>
      <c r="AV213" t="str">
        <f>""</f>
        <v/>
      </c>
      <c r="AW213" t="str">
        <f>""</f>
        <v/>
      </c>
      <c r="AX213" t="str">
        <f>""</f>
        <v/>
      </c>
      <c r="AY213" t="str">
        <f>""</f>
        <v/>
      </c>
      <c r="AZ213" t="str">
        <f>""</f>
        <v/>
      </c>
      <c r="BA213" t="str">
        <f>""</f>
        <v/>
      </c>
      <c r="BC213" t="str">
        <f>""</f>
        <v/>
      </c>
      <c r="BD213" t="str">
        <f>""</f>
        <v/>
      </c>
      <c r="BE213" t="str">
        <f>""</f>
        <v/>
      </c>
      <c r="BF213" t="str">
        <f>""</f>
        <v/>
      </c>
      <c r="BG213" t="str">
        <f>""</f>
        <v/>
      </c>
      <c r="BH213" t="str">
        <f>""</f>
        <v/>
      </c>
      <c r="BI213" t="str">
        <f>""</f>
        <v/>
      </c>
      <c r="BJ213" t="str">
        <f>""</f>
        <v/>
      </c>
      <c r="BK213">
        <v>1</v>
      </c>
      <c r="BL213" t="s">
        <v>102</v>
      </c>
      <c r="BM213" t="str">
        <f>""</f>
        <v/>
      </c>
      <c r="BN213" t="s">
        <v>10605</v>
      </c>
      <c r="BP213" t="s">
        <v>4091</v>
      </c>
      <c r="BQ213" t="s">
        <v>2685</v>
      </c>
      <c r="BR213" t="s">
        <v>594</v>
      </c>
      <c r="BS213" s="5">
        <v>29708</v>
      </c>
      <c r="BT213" s="2">
        <v>93413</v>
      </c>
      <c r="BU213" s="2">
        <v>110000</v>
      </c>
      <c r="BV213" t="s">
        <v>105</v>
      </c>
      <c r="BW213" s="2">
        <v>93413</v>
      </c>
      <c r="BX213" t="s">
        <v>105</v>
      </c>
      <c r="BZ213" t="s">
        <v>123</v>
      </c>
      <c r="CA213" t="str">
        <f t="shared" si="10"/>
        <v>7/1/2020 - 6/30/2021</v>
      </c>
      <c r="CF213">
        <v>1</v>
      </c>
      <c r="CG213" t="s">
        <v>98</v>
      </c>
      <c r="CH213" t="s">
        <v>98</v>
      </c>
      <c r="CI213" t="s">
        <v>206</v>
      </c>
      <c r="CJ213" t="s">
        <v>98</v>
      </c>
      <c r="CK213" t="s">
        <v>12323</v>
      </c>
      <c r="CL213" t="s">
        <v>108</v>
      </c>
      <c r="CM213" t="s">
        <v>109</v>
      </c>
      <c r="CN213" t="str">
        <f>""</f>
        <v/>
      </c>
      <c r="CO213" t="str">
        <f>""</f>
        <v/>
      </c>
      <c r="CP213" t="str">
        <f>""</f>
        <v/>
      </c>
      <c r="CQ213" t="str">
        <f>""</f>
        <v/>
      </c>
    </row>
    <row r="214" spans="1:96" x14ac:dyDescent="0.2">
      <c r="A214" t="s">
        <v>10630</v>
      </c>
      <c r="B214" t="s">
        <v>96</v>
      </c>
      <c r="C214" s="1">
        <v>44098</v>
      </c>
      <c r="D214" s="1">
        <v>44105</v>
      </c>
      <c r="F214" t="s">
        <v>97</v>
      </c>
      <c r="G214" t="str">
        <f>"Software Engineer"</f>
        <v>Software Engineer</v>
      </c>
      <c r="H214" t="s">
        <v>12169</v>
      </c>
      <c r="I214" t="s">
        <v>124</v>
      </c>
      <c r="J214" t="s">
        <v>98</v>
      </c>
      <c r="K214" s="1">
        <v>44102</v>
      </c>
      <c r="L214" s="1">
        <v>45196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 t="s">
        <v>412</v>
      </c>
      <c r="U214" t="str">
        <f>""</f>
        <v/>
      </c>
      <c r="V214" t="s">
        <v>413</v>
      </c>
      <c r="W214" t="str">
        <f>"(*ALSO KNOWN AS 1601 WILLOW ROAD)"</f>
        <v>(*ALSO KNOWN AS 1601 WILLOW ROAD)</v>
      </c>
      <c r="X214" t="s">
        <v>414</v>
      </c>
      <c r="Y214" t="s">
        <v>141</v>
      </c>
      <c r="Z214" s="3">
        <v>94025</v>
      </c>
      <c r="AA214" t="s">
        <v>101</v>
      </c>
      <c r="AB214" t="s">
        <v>141</v>
      </c>
      <c r="AC214" s="4" t="str">
        <f>"+14085335781"</f>
        <v>+14085335781</v>
      </c>
      <c r="AE214" t="str">
        <f>"51913"</f>
        <v>51913</v>
      </c>
      <c r="AF214" t="s">
        <v>415</v>
      </c>
      <c r="AG214" t="s">
        <v>416</v>
      </c>
      <c r="AI214" t="s">
        <v>417</v>
      </c>
      <c r="AJ214" t="s">
        <v>413</v>
      </c>
      <c r="AK214" t="str">
        <f>"(*ALSO KNOWN AS 1601 WILLOW RD.*)"</f>
        <v>(*ALSO KNOWN AS 1601 WILLOW RD.*)</v>
      </c>
      <c r="AL214" t="s">
        <v>414</v>
      </c>
      <c r="AM214" t="s">
        <v>141</v>
      </c>
      <c r="AN214" s="3">
        <v>94025</v>
      </c>
      <c r="AO214" t="s">
        <v>101</v>
      </c>
      <c r="AQ214" t="str">
        <f>"+14085335781"</f>
        <v>+14085335781</v>
      </c>
      <c r="AS214" t="s">
        <v>418</v>
      </c>
      <c r="AT214" t="s">
        <v>107</v>
      </c>
      <c r="AU214" t="str">
        <f>"Nesch"</f>
        <v>Nesch</v>
      </c>
      <c r="AV214" t="str">
        <f>"Elena"</f>
        <v>Elena</v>
      </c>
      <c r="AW214" t="str">
        <f>"N/A"</f>
        <v>N/A</v>
      </c>
      <c r="AX214" t="str">
        <f>"2400 N. GLENVILLE DRIVE"</f>
        <v>2400 N. GLENVILLE DRIVE</v>
      </c>
      <c r="AY214" t="str">
        <f>"BUILDING A, SUITE 100"</f>
        <v>BUILDING A, SUITE 100</v>
      </c>
      <c r="AZ214" t="str">
        <f>"RICHARDSON"</f>
        <v>RICHARDSON</v>
      </c>
      <c r="BA214" t="str">
        <f>"TX"</f>
        <v>TX</v>
      </c>
      <c r="BB214" s="3">
        <v>75082</v>
      </c>
      <c r="BC214" t="str">
        <f>"UNITED STATES OF AMERICA"</f>
        <v>UNITED STATES OF AMERICA</v>
      </c>
      <c r="BD214" t="str">
        <f>""</f>
        <v/>
      </c>
      <c r="BE214" t="str">
        <f>"+14692909204"</f>
        <v>+14692909204</v>
      </c>
      <c r="BF214" t="str">
        <f>""</f>
        <v/>
      </c>
      <c r="BG214" t="str">
        <f>"anapier@balglobal.com"</f>
        <v>anapier@balglobal.com</v>
      </c>
      <c r="BH214" t="str">
        <f>"BERRY APPLEMAN &amp; LEIDEN LLP"</f>
        <v>BERRY APPLEMAN &amp; LEIDEN LLP</v>
      </c>
      <c r="BI214" t="str">
        <f>"NC"</f>
        <v>NC</v>
      </c>
      <c r="BJ214" t="str">
        <f>"The Supreme Court of North Carolina"</f>
        <v>The Supreme Court of North Carolina</v>
      </c>
      <c r="BK214">
        <v>1</v>
      </c>
      <c r="BL214" t="s">
        <v>102</v>
      </c>
      <c r="BM214" t="str">
        <f>""</f>
        <v/>
      </c>
      <c r="BN214" t="s">
        <v>1323</v>
      </c>
      <c r="BP214" t="s">
        <v>277</v>
      </c>
      <c r="BQ214" t="s">
        <v>189</v>
      </c>
      <c r="BR214" t="s">
        <v>190</v>
      </c>
      <c r="BS214" s="5">
        <v>10003</v>
      </c>
      <c r="BT214" s="2">
        <v>195000</v>
      </c>
      <c r="BV214" t="s">
        <v>105</v>
      </c>
      <c r="BW214" s="2">
        <v>143936</v>
      </c>
      <c r="BX214" t="s">
        <v>105</v>
      </c>
      <c r="BZ214" t="s">
        <v>159</v>
      </c>
      <c r="CA214" t="str">
        <f t="shared" si="10"/>
        <v>7/1/2020 - 6/30/2021</v>
      </c>
      <c r="CF214">
        <v>2</v>
      </c>
      <c r="CG214" t="s">
        <v>98</v>
      </c>
      <c r="CH214" t="s">
        <v>98</v>
      </c>
      <c r="CI214" t="s">
        <v>206</v>
      </c>
      <c r="CJ214" t="s">
        <v>98</v>
      </c>
      <c r="CK214" t="s">
        <v>12323</v>
      </c>
      <c r="CL214" t="s">
        <v>108</v>
      </c>
      <c r="CM214" t="s">
        <v>109</v>
      </c>
      <c r="CN214" t="str">
        <f>""</f>
        <v/>
      </c>
      <c r="CO214" t="str">
        <f>""</f>
        <v/>
      </c>
      <c r="CP214" t="str">
        <f>""</f>
        <v/>
      </c>
      <c r="CQ214" t="str">
        <f>""</f>
        <v/>
      </c>
    </row>
    <row r="215" spans="1:96" x14ac:dyDescent="0.2">
      <c r="A215" t="s">
        <v>10631</v>
      </c>
      <c r="B215" t="s">
        <v>96</v>
      </c>
      <c r="C215" s="1">
        <v>44098</v>
      </c>
      <c r="D215" s="1">
        <v>44105</v>
      </c>
      <c r="F215" t="s">
        <v>97</v>
      </c>
      <c r="G215" t="str">
        <f>"Senior Technical Architect"</f>
        <v>Senior Technical Architect</v>
      </c>
      <c r="H215" t="s">
        <v>12169</v>
      </c>
      <c r="I215" t="s">
        <v>124</v>
      </c>
      <c r="J215" t="s">
        <v>98</v>
      </c>
      <c r="K215" s="1">
        <v>44250</v>
      </c>
      <c r="L215" s="1">
        <v>45344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 t="s">
        <v>2838</v>
      </c>
      <c r="U215" t="str">
        <f>""</f>
        <v/>
      </c>
      <c r="V215" t="s">
        <v>446</v>
      </c>
      <c r="W215" t="str">
        <f>"Suite 600"</f>
        <v>Suite 600</v>
      </c>
      <c r="X215" t="s">
        <v>447</v>
      </c>
      <c r="Y215" t="s">
        <v>100</v>
      </c>
      <c r="Z215" s="3">
        <v>8830</v>
      </c>
      <c r="AA215" t="s">
        <v>101</v>
      </c>
      <c r="AC215" s="4" t="str">
        <f>"+16094096957"</f>
        <v>+16094096957</v>
      </c>
      <c r="AE215" t="str">
        <f>"541512"</f>
        <v>541512</v>
      </c>
      <c r="AF215" t="s">
        <v>448</v>
      </c>
      <c r="AG215" t="s">
        <v>449</v>
      </c>
      <c r="AI215" t="s">
        <v>450</v>
      </c>
      <c r="AJ215" t="s">
        <v>446</v>
      </c>
      <c r="AK215" t="str">
        <f>"Suite 600"</f>
        <v>Suite 600</v>
      </c>
      <c r="AL215" t="s">
        <v>447</v>
      </c>
      <c r="AM215" t="s">
        <v>100</v>
      </c>
      <c r="AN215" s="3">
        <v>8830</v>
      </c>
      <c r="AO215" t="s">
        <v>101</v>
      </c>
      <c r="AQ215" t="str">
        <f>"+16094096957"</f>
        <v>+16094096957</v>
      </c>
      <c r="AS215" t="s">
        <v>2839</v>
      </c>
      <c r="AT215" t="s">
        <v>107</v>
      </c>
      <c r="AU215" t="str">
        <f>"Phophalia"</f>
        <v>Phophalia</v>
      </c>
      <c r="AV215" t="str">
        <f>"Zeenat"</f>
        <v>Zeenat</v>
      </c>
      <c r="AW215" t="str">
        <f>"Dhruv"</f>
        <v>Dhruv</v>
      </c>
      <c r="AX215" t="str">
        <f>"244 Madison Ave."</f>
        <v>244 Madison Ave.</v>
      </c>
      <c r="AY215" t="str">
        <f>"Suite 2350"</f>
        <v>Suite 2350</v>
      </c>
      <c r="AZ215" t="str">
        <f>"New York"</f>
        <v>New York</v>
      </c>
      <c r="BA215" t="str">
        <f>"NY"</f>
        <v>NY</v>
      </c>
      <c r="BB215" s="3">
        <v>10016</v>
      </c>
      <c r="BC215" t="str">
        <f>"UNITED STATES OF AMERICA"</f>
        <v>UNITED STATES OF AMERICA</v>
      </c>
      <c r="BD215" t="str">
        <f>""</f>
        <v/>
      </c>
      <c r="BE215" t="str">
        <f>"+16464190933"</f>
        <v>+16464190933</v>
      </c>
      <c r="BF215" t="str">
        <f>""</f>
        <v/>
      </c>
      <c r="BG215" t="str">
        <f>"gov@poorvichothani.com"</f>
        <v>gov@poorvichothani.com</v>
      </c>
      <c r="BH215" t="str">
        <f>"The Law Office of Poorvi Chothani, PLLC"</f>
        <v>The Law Office of Poorvi Chothani, PLLC</v>
      </c>
      <c r="BI215" t="str">
        <f>"NY"</f>
        <v>NY</v>
      </c>
      <c r="BJ215" t="str">
        <f>"NY Court of Appeals"</f>
        <v>NY Court of Appeals</v>
      </c>
      <c r="BK215">
        <v>1</v>
      </c>
      <c r="BL215" t="s">
        <v>107</v>
      </c>
      <c r="BM215" t="str">
        <f>"Freddie Mac"</f>
        <v>Freddie Mac</v>
      </c>
      <c r="BN215" t="s">
        <v>5264</v>
      </c>
      <c r="BP215" t="s">
        <v>3767</v>
      </c>
      <c r="BQ215" t="s">
        <v>454</v>
      </c>
      <c r="BR215" t="s">
        <v>135</v>
      </c>
      <c r="BS215" s="5">
        <v>22102</v>
      </c>
      <c r="BT215" s="2">
        <v>118536</v>
      </c>
      <c r="BU215" s="2">
        <v>125536</v>
      </c>
      <c r="BV215" t="s">
        <v>105</v>
      </c>
      <c r="BW215" s="2">
        <v>118102</v>
      </c>
      <c r="BX215" t="s">
        <v>105</v>
      </c>
      <c r="BZ215" t="s">
        <v>123</v>
      </c>
      <c r="CA215" t="str">
        <f t="shared" si="10"/>
        <v>7/1/2020 - 6/30/2021</v>
      </c>
      <c r="CF215">
        <v>2</v>
      </c>
      <c r="CG215" t="s">
        <v>98</v>
      </c>
      <c r="CH215" t="s">
        <v>98</v>
      </c>
      <c r="CI215" t="s">
        <v>206</v>
      </c>
      <c r="CJ215" t="s">
        <v>98</v>
      </c>
      <c r="CK215" t="s">
        <v>12323</v>
      </c>
      <c r="CL215" t="s">
        <v>108</v>
      </c>
      <c r="CM215" t="s">
        <v>718</v>
      </c>
      <c r="CN215" t="str">
        <f>"Phophalia"</f>
        <v>Phophalia</v>
      </c>
      <c r="CO215" t="str">
        <f>"Zeenat"</f>
        <v>Zeenat</v>
      </c>
      <c r="CP215" t="str">
        <f>"D"</f>
        <v>D</v>
      </c>
      <c r="CQ215" t="str">
        <f>"The Law Office of Poorvi Chothani, PLLC"</f>
        <v>The Law Office of Poorvi Chothani, PLLC</v>
      </c>
      <c r="CR215" t="s">
        <v>455</v>
      </c>
    </row>
    <row r="216" spans="1:96" x14ac:dyDescent="0.2">
      <c r="A216" t="s">
        <v>10647</v>
      </c>
      <c r="B216" t="s">
        <v>96</v>
      </c>
      <c r="C216" s="1">
        <v>44098</v>
      </c>
      <c r="D216" s="1">
        <v>44105</v>
      </c>
      <c r="F216" t="s">
        <v>97</v>
      </c>
      <c r="G216" t="str">
        <f>"Senior Technical Architect "</f>
        <v xml:space="preserve">Senior Technical Architect </v>
      </c>
      <c r="H216" t="s">
        <v>12169</v>
      </c>
      <c r="I216" t="s">
        <v>124</v>
      </c>
      <c r="J216" t="s">
        <v>98</v>
      </c>
      <c r="K216" s="1">
        <v>44210</v>
      </c>
      <c r="L216" s="1">
        <v>45304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 t="s">
        <v>2838</v>
      </c>
      <c r="U216" t="str">
        <f>""</f>
        <v/>
      </c>
      <c r="V216" t="s">
        <v>446</v>
      </c>
      <c r="W216" t="str">
        <f>"Suite 600"</f>
        <v>Suite 600</v>
      </c>
      <c r="X216" t="s">
        <v>447</v>
      </c>
      <c r="Y216" t="s">
        <v>100</v>
      </c>
      <c r="Z216" s="3">
        <v>8830</v>
      </c>
      <c r="AA216" t="s">
        <v>101</v>
      </c>
      <c r="AC216" s="4" t="str">
        <f>"+16094096957"</f>
        <v>+16094096957</v>
      </c>
      <c r="AE216" t="str">
        <f>"541512"</f>
        <v>541512</v>
      </c>
      <c r="AF216" t="s">
        <v>448</v>
      </c>
      <c r="AG216" t="s">
        <v>449</v>
      </c>
      <c r="AI216" t="s">
        <v>3983</v>
      </c>
      <c r="AJ216" t="s">
        <v>446</v>
      </c>
      <c r="AK216" t="str">
        <f>"Ste. 600"</f>
        <v>Ste. 600</v>
      </c>
      <c r="AL216" t="s">
        <v>447</v>
      </c>
      <c r="AM216" t="s">
        <v>100</v>
      </c>
      <c r="AN216" s="3">
        <v>8830</v>
      </c>
      <c r="AO216" t="s">
        <v>101</v>
      </c>
      <c r="AQ216" t="str">
        <f>"+16094092214"</f>
        <v>+16094092214</v>
      </c>
      <c r="AS216" t="s">
        <v>2839</v>
      </c>
      <c r="AT216" t="s">
        <v>107</v>
      </c>
      <c r="AU216" t="str">
        <f>"Chothani"</f>
        <v>Chothani</v>
      </c>
      <c r="AV216" t="str">
        <f>"Poorvi"</f>
        <v>Poorvi</v>
      </c>
      <c r="AW216" t="str">
        <f>"Rohit"</f>
        <v>Rohit</v>
      </c>
      <c r="AX216" t="str">
        <f>"244 Madison Ave."</f>
        <v>244 Madison Ave.</v>
      </c>
      <c r="AY216" t="str">
        <f>"Suite 2350"</f>
        <v>Suite 2350</v>
      </c>
      <c r="AZ216" t="str">
        <f>"New York"</f>
        <v>New York</v>
      </c>
      <c r="BA216" t="str">
        <f>"NY"</f>
        <v>NY</v>
      </c>
      <c r="BB216" s="3">
        <v>10016</v>
      </c>
      <c r="BC216" t="str">
        <f>"UNITED STATES OF AMERICA"</f>
        <v>UNITED STATES OF AMERICA</v>
      </c>
      <c r="BD216" t="str">
        <f>""</f>
        <v/>
      </c>
      <c r="BE216" t="str">
        <f>"+16464190933"</f>
        <v>+16464190933</v>
      </c>
      <c r="BF216" t="str">
        <f>""</f>
        <v/>
      </c>
      <c r="BG216" t="str">
        <f>"gov@poorvichothani.com"</f>
        <v>gov@poorvichothani.com</v>
      </c>
      <c r="BH216" t="str">
        <f>"The Law Office of Poorvi Chothani, PLLC"</f>
        <v>The Law Office of Poorvi Chothani, PLLC</v>
      </c>
      <c r="BI216" t="str">
        <f>"NY"</f>
        <v>NY</v>
      </c>
      <c r="BJ216" t="str">
        <f>"Court of Appeals"</f>
        <v>Court of Appeals</v>
      </c>
      <c r="BK216">
        <v>1</v>
      </c>
      <c r="BL216" t="s">
        <v>107</v>
      </c>
      <c r="BM216" t="str">
        <f>"Fannie Mae"</f>
        <v>Fannie Mae</v>
      </c>
      <c r="BN216" t="s">
        <v>10648</v>
      </c>
      <c r="BP216" t="s">
        <v>133</v>
      </c>
      <c r="BQ216" t="s">
        <v>454</v>
      </c>
      <c r="BR216" t="s">
        <v>135</v>
      </c>
      <c r="BS216" s="5">
        <v>20191</v>
      </c>
      <c r="BT216" s="2">
        <v>120770</v>
      </c>
      <c r="BU216" s="2">
        <v>127770</v>
      </c>
      <c r="BV216" t="s">
        <v>105</v>
      </c>
      <c r="BW216" s="2">
        <v>118102</v>
      </c>
      <c r="BX216" t="s">
        <v>105</v>
      </c>
      <c r="BZ216" t="s">
        <v>123</v>
      </c>
      <c r="CA216" t="str">
        <f t="shared" si="10"/>
        <v>7/1/2020 - 6/30/2021</v>
      </c>
      <c r="CF216">
        <v>2</v>
      </c>
      <c r="CG216" t="s">
        <v>98</v>
      </c>
      <c r="CH216" t="s">
        <v>98</v>
      </c>
      <c r="CI216" t="s">
        <v>206</v>
      </c>
      <c r="CJ216" t="s">
        <v>98</v>
      </c>
      <c r="CK216" t="s">
        <v>12323</v>
      </c>
      <c r="CL216" t="s">
        <v>108</v>
      </c>
      <c r="CM216" t="s">
        <v>718</v>
      </c>
      <c r="CN216" t="str">
        <f>"Chothani"</f>
        <v>Chothani</v>
      </c>
      <c r="CO216" t="str">
        <f>"Poorvi"</f>
        <v>Poorvi</v>
      </c>
      <c r="CP216" t="str">
        <f>"R"</f>
        <v>R</v>
      </c>
      <c r="CQ216" t="str">
        <f>"The Law Office of Poorvi Chothani, PLLC"</f>
        <v>The Law Office of Poorvi Chothani, PLLC</v>
      </c>
      <c r="CR216" t="s">
        <v>455</v>
      </c>
    </row>
    <row r="217" spans="1:96" x14ac:dyDescent="0.2">
      <c r="A217" t="s">
        <v>10673</v>
      </c>
      <c r="B217" t="s">
        <v>96</v>
      </c>
      <c r="C217" s="1">
        <v>44098</v>
      </c>
      <c r="D217" s="1">
        <v>44105</v>
      </c>
      <c r="F217" t="s">
        <v>97</v>
      </c>
      <c r="G217" t="str">
        <f>"Software Build and Release Engineer"</f>
        <v>Software Build and Release Engineer</v>
      </c>
      <c r="H217" t="s">
        <v>12169</v>
      </c>
      <c r="I217" t="s">
        <v>124</v>
      </c>
      <c r="J217" t="s">
        <v>98</v>
      </c>
      <c r="K217" s="1">
        <v>44105</v>
      </c>
      <c r="L217" s="1">
        <v>45199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6358</v>
      </c>
      <c r="U217" t="str">
        <f>""</f>
        <v/>
      </c>
      <c r="V217" t="s">
        <v>6359</v>
      </c>
      <c r="W217" t="str">
        <f>"Suite 203B"</f>
        <v>Suite 203B</v>
      </c>
      <c r="X217" t="s">
        <v>789</v>
      </c>
      <c r="Y217" t="s">
        <v>100</v>
      </c>
      <c r="Z217" s="3">
        <v>8536</v>
      </c>
      <c r="AA217" t="s">
        <v>101</v>
      </c>
      <c r="AC217" s="4" t="str">
        <f>"+16092754500"</f>
        <v>+16092754500</v>
      </c>
      <c r="AE217" t="str">
        <f>"541511"</f>
        <v>541511</v>
      </c>
      <c r="AF217" t="s">
        <v>6360</v>
      </c>
      <c r="AG217" t="s">
        <v>1869</v>
      </c>
      <c r="AI217" t="s">
        <v>5683</v>
      </c>
      <c r="AJ217" t="s">
        <v>6359</v>
      </c>
      <c r="AK217" t="str">
        <f>"Suite 203B"</f>
        <v>Suite 203B</v>
      </c>
      <c r="AL217" t="s">
        <v>789</v>
      </c>
      <c r="AM217" t="s">
        <v>100</v>
      </c>
      <c r="AN217" s="3">
        <v>8536</v>
      </c>
      <c r="AO217" t="s">
        <v>101</v>
      </c>
      <c r="AQ217" t="str">
        <f>"+16092754500"</f>
        <v>+16092754500</v>
      </c>
      <c r="AS217" t="s">
        <v>6361</v>
      </c>
      <c r="AT217" t="s">
        <v>102</v>
      </c>
      <c r="AU217" t="str">
        <f>""</f>
        <v/>
      </c>
      <c r="AV217" t="str">
        <f>""</f>
        <v/>
      </c>
      <c r="AW217" t="str">
        <f>""</f>
        <v/>
      </c>
      <c r="AX217" t="str">
        <f>""</f>
        <v/>
      </c>
      <c r="AY217" t="str">
        <f>""</f>
        <v/>
      </c>
      <c r="AZ217" t="str">
        <f>""</f>
        <v/>
      </c>
      <c r="BA217" t="str">
        <f>""</f>
        <v/>
      </c>
      <c r="BC217" t="str">
        <f>""</f>
        <v/>
      </c>
      <c r="BD217" t="str">
        <f>""</f>
        <v/>
      </c>
      <c r="BE217" t="str">
        <f>""</f>
        <v/>
      </c>
      <c r="BF217" t="str">
        <f>""</f>
        <v/>
      </c>
      <c r="BG217" t="str">
        <f>""</f>
        <v/>
      </c>
      <c r="BH217" t="str">
        <f>""</f>
        <v/>
      </c>
      <c r="BI217" t="str">
        <f>""</f>
        <v/>
      </c>
      <c r="BJ217" t="str">
        <f>""</f>
        <v/>
      </c>
      <c r="BK217">
        <v>1</v>
      </c>
      <c r="BL217" t="s">
        <v>107</v>
      </c>
      <c r="BM217" t="str">
        <f>"Compass Group"</f>
        <v>Compass Group</v>
      </c>
      <c r="BN217" t="s">
        <v>10674</v>
      </c>
      <c r="BP217" t="s">
        <v>604</v>
      </c>
      <c r="BQ217" t="s">
        <v>121</v>
      </c>
      <c r="BR217" t="s">
        <v>122</v>
      </c>
      <c r="BS217" s="5">
        <v>28217</v>
      </c>
      <c r="BT217" s="2">
        <v>90000</v>
      </c>
      <c r="BU217" s="2">
        <v>95000</v>
      </c>
      <c r="BV217" t="s">
        <v>105</v>
      </c>
      <c r="BW217" s="2">
        <v>85488</v>
      </c>
      <c r="BX217" t="s">
        <v>105</v>
      </c>
      <c r="BZ217" t="s">
        <v>167</v>
      </c>
      <c r="CA217" t="str">
        <f t="shared" si="10"/>
        <v>7/1/2020 - 6/30/2021</v>
      </c>
      <c r="CF217">
        <v>1</v>
      </c>
      <c r="CG217" t="s">
        <v>98</v>
      </c>
      <c r="CH217" t="s">
        <v>98</v>
      </c>
      <c r="CI217" t="s">
        <v>206</v>
      </c>
      <c r="CJ217" t="s">
        <v>98</v>
      </c>
      <c r="CK217" t="s">
        <v>12323</v>
      </c>
      <c r="CL217" t="s">
        <v>108</v>
      </c>
      <c r="CM217" t="s">
        <v>109</v>
      </c>
      <c r="CN217" t="str">
        <f>""</f>
        <v/>
      </c>
      <c r="CO217" t="str">
        <f>""</f>
        <v/>
      </c>
      <c r="CP217" t="str">
        <f>""</f>
        <v/>
      </c>
      <c r="CQ217" t="str">
        <f>""</f>
        <v/>
      </c>
    </row>
    <row r="218" spans="1:96" x14ac:dyDescent="0.2">
      <c r="A218" t="s">
        <v>10695</v>
      </c>
      <c r="B218" t="s">
        <v>96</v>
      </c>
      <c r="C218" s="1">
        <v>44098</v>
      </c>
      <c r="D218" s="1">
        <v>44105</v>
      </c>
      <c r="F218" t="s">
        <v>97</v>
      </c>
      <c r="G218" t="str">
        <f>"Senior Systems Analyst JC60"</f>
        <v>Senior Systems Analyst JC60</v>
      </c>
      <c r="H218" t="s">
        <v>12181</v>
      </c>
      <c r="I218" t="s">
        <v>110</v>
      </c>
      <c r="J218" t="s">
        <v>98</v>
      </c>
      <c r="K218" s="1">
        <v>44206</v>
      </c>
      <c r="L218" s="1">
        <v>45300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 t="s">
        <v>111</v>
      </c>
      <c r="U218" t="str">
        <f>"CTSUS"</f>
        <v>CTSUS</v>
      </c>
      <c r="V218" t="s">
        <v>112</v>
      </c>
      <c r="W218" t="str">
        <f>""</f>
        <v/>
      </c>
      <c r="X218" t="s">
        <v>113</v>
      </c>
      <c r="Y218" t="s">
        <v>114</v>
      </c>
      <c r="Z218" s="3">
        <v>77845</v>
      </c>
      <c r="AA218" t="s">
        <v>101</v>
      </c>
      <c r="AB218" t="s">
        <v>114</v>
      </c>
      <c r="AC218" s="4" t="str">
        <f>"+19793296682"</f>
        <v>+19793296682</v>
      </c>
      <c r="AE218" t="str">
        <f>"541512"</f>
        <v>541512</v>
      </c>
      <c r="AF218" t="s">
        <v>115</v>
      </c>
      <c r="AG218" t="s">
        <v>116</v>
      </c>
      <c r="AH218" t="s">
        <v>108</v>
      </c>
      <c r="AI218" t="s">
        <v>117</v>
      </c>
      <c r="AJ218" t="s">
        <v>118</v>
      </c>
      <c r="AK218" t="str">
        <f>""</f>
        <v/>
      </c>
      <c r="AL218" t="s">
        <v>119</v>
      </c>
      <c r="AM218" t="s">
        <v>114</v>
      </c>
      <c r="AN218" s="3">
        <v>77845</v>
      </c>
      <c r="AO218" t="s">
        <v>101</v>
      </c>
      <c r="AQ218" t="str">
        <f>"+19793296682"</f>
        <v>+19793296682</v>
      </c>
      <c r="AS218" t="s">
        <v>120</v>
      </c>
      <c r="AT218" t="s">
        <v>102</v>
      </c>
      <c r="AU218" t="str">
        <f>""</f>
        <v/>
      </c>
      <c r="AV218" t="str">
        <f>""</f>
        <v/>
      </c>
      <c r="AW218" t="str">
        <f>""</f>
        <v/>
      </c>
      <c r="AX218" t="str">
        <f>""</f>
        <v/>
      </c>
      <c r="AY218" t="str">
        <f>""</f>
        <v/>
      </c>
      <c r="AZ218" t="str">
        <f>""</f>
        <v/>
      </c>
      <c r="BA218" t="str">
        <f>""</f>
        <v/>
      </c>
      <c r="BC218" t="str">
        <f>""</f>
        <v/>
      </c>
      <c r="BD218" t="str">
        <f>""</f>
        <v/>
      </c>
      <c r="BE218" t="str">
        <f>""</f>
        <v/>
      </c>
      <c r="BF218" t="str">
        <f>""</f>
        <v/>
      </c>
      <c r="BG218" t="str">
        <f>""</f>
        <v/>
      </c>
      <c r="BH218" t="str">
        <f>""</f>
        <v/>
      </c>
      <c r="BI218" t="str">
        <f>""</f>
        <v/>
      </c>
      <c r="BJ218" t="str">
        <f>""</f>
        <v/>
      </c>
      <c r="BK218">
        <v>1</v>
      </c>
      <c r="BL218" t="s">
        <v>107</v>
      </c>
      <c r="BM218" t="str">
        <f>"One America"</f>
        <v>One America</v>
      </c>
      <c r="BN218" t="s">
        <v>10696</v>
      </c>
      <c r="BP218" t="s">
        <v>794</v>
      </c>
      <c r="BQ218" t="s">
        <v>795</v>
      </c>
      <c r="BR218" t="s">
        <v>352</v>
      </c>
      <c r="BS218" s="5">
        <v>46282</v>
      </c>
      <c r="BT218" s="2">
        <v>70907</v>
      </c>
      <c r="BV218" t="s">
        <v>105</v>
      </c>
      <c r="BW218" s="2">
        <v>70907</v>
      </c>
      <c r="BX218" t="s">
        <v>105</v>
      </c>
      <c r="BZ218" t="s">
        <v>167</v>
      </c>
      <c r="CA218" t="str">
        <f t="shared" si="10"/>
        <v>7/1/2020 - 6/30/2021</v>
      </c>
      <c r="CF218">
        <v>1</v>
      </c>
      <c r="CG218" t="s">
        <v>98</v>
      </c>
      <c r="CH218" t="s">
        <v>98</v>
      </c>
      <c r="CI218" t="s">
        <v>206</v>
      </c>
      <c r="CJ218" t="s">
        <v>98</v>
      </c>
      <c r="CK218" t="s">
        <v>12323</v>
      </c>
      <c r="CL218" t="s">
        <v>108</v>
      </c>
      <c r="CM218" t="s">
        <v>109</v>
      </c>
      <c r="CN218" t="str">
        <f>""</f>
        <v/>
      </c>
      <c r="CO218" t="str">
        <f>""</f>
        <v/>
      </c>
      <c r="CP218" t="str">
        <f>""</f>
        <v/>
      </c>
      <c r="CQ218" t="str">
        <f>""</f>
        <v/>
      </c>
    </row>
    <row r="219" spans="1:96" x14ac:dyDescent="0.2">
      <c r="A219" t="s">
        <v>10697</v>
      </c>
      <c r="B219" t="s">
        <v>96</v>
      </c>
      <c r="C219" s="1">
        <v>44098</v>
      </c>
      <c r="D219" s="1">
        <v>44105</v>
      </c>
      <c r="F219" t="s">
        <v>97</v>
      </c>
      <c r="G219" t="str">
        <f>"Senior Manager - Management Information Systems "</f>
        <v xml:space="preserve">Senior Manager - Management Information Systems </v>
      </c>
      <c r="H219" t="s">
        <v>12178</v>
      </c>
      <c r="I219" t="s">
        <v>582</v>
      </c>
      <c r="J219" t="s">
        <v>98</v>
      </c>
      <c r="K219" s="1">
        <v>44105</v>
      </c>
      <c r="L219" s="1">
        <v>45199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1505</v>
      </c>
      <c r="U219" t="str">
        <f>""</f>
        <v/>
      </c>
      <c r="V219" t="s">
        <v>1506</v>
      </c>
      <c r="W219" t="str">
        <f>"SUITE 350"</f>
        <v>SUITE 350</v>
      </c>
      <c r="X219" t="s">
        <v>1507</v>
      </c>
      <c r="Y219" t="s">
        <v>135</v>
      </c>
      <c r="Z219" s="3">
        <v>20171</v>
      </c>
      <c r="AA219" t="s">
        <v>101</v>
      </c>
      <c r="AC219" s="4" t="str">
        <f>"+17038707407"</f>
        <v>+17038707407</v>
      </c>
      <c r="AE219" t="str">
        <f t="shared" ref="AE219:AE226" si="12">"541511"</f>
        <v>541511</v>
      </c>
      <c r="AF219" t="s">
        <v>1508</v>
      </c>
      <c r="AG219" t="s">
        <v>1509</v>
      </c>
      <c r="AI219" t="s">
        <v>1510</v>
      </c>
      <c r="AJ219" t="s">
        <v>1506</v>
      </c>
      <c r="AK219" t="str">
        <f>"SUITE 350"</f>
        <v>SUITE 350</v>
      </c>
      <c r="AL219" t="s">
        <v>1507</v>
      </c>
      <c r="AM219" t="s">
        <v>135</v>
      </c>
      <c r="AN219" s="3">
        <v>20171</v>
      </c>
      <c r="AO219" t="s">
        <v>101</v>
      </c>
      <c r="AQ219" t="str">
        <f>"+17038707407"</f>
        <v>+17038707407</v>
      </c>
      <c r="AS219" t="s">
        <v>1511</v>
      </c>
      <c r="AT219" t="s">
        <v>102</v>
      </c>
      <c r="AU219" t="str">
        <f>""</f>
        <v/>
      </c>
      <c r="AV219" t="str">
        <f>""</f>
        <v/>
      </c>
      <c r="AW219" t="str">
        <f>""</f>
        <v/>
      </c>
      <c r="AX219" t="str">
        <f>""</f>
        <v/>
      </c>
      <c r="AY219" t="str">
        <f>""</f>
        <v/>
      </c>
      <c r="AZ219" t="str">
        <f>""</f>
        <v/>
      </c>
      <c r="BA219" t="str">
        <f>""</f>
        <v/>
      </c>
      <c r="BC219" t="str">
        <f>""</f>
        <v/>
      </c>
      <c r="BD219" t="str">
        <f>""</f>
        <v/>
      </c>
      <c r="BE219" t="str">
        <f>""</f>
        <v/>
      </c>
      <c r="BF219" t="str">
        <f>""</f>
        <v/>
      </c>
      <c r="BG219" t="str">
        <f>""</f>
        <v/>
      </c>
      <c r="BH219" t="str">
        <f>""</f>
        <v/>
      </c>
      <c r="BI219" t="str">
        <f>""</f>
        <v/>
      </c>
      <c r="BJ219" t="str">
        <f>""</f>
        <v/>
      </c>
      <c r="BK219">
        <v>1</v>
      </c>
      <c r="BL219" t="s">
        <v>102</v>
      </c>
      <c r="BM219" t="str">
        <f>""</f>
        <v/>
      </c>
      <c r="BN219" t="s">
        <v>5166</v>
      </c>
      <c r="BO219" t="s">
        <v>4260</v>
      </c>
      <c r="BP219" t="s">
        <v>1107</v>
      </c>
      <c r="BQ219" t="s">
        <v>1034</v>
      </c>
      <c r="BR219" t="s">
        <v>577</v>
      </c>
      <c r="BS219" s="5">
        <v>33607</v>
      </c>
      <c r="BT219" s="2">
        <v>117000</v>
      </c>
      <c r="BV219" t="s">
        <v>105</v>
      </c>
      <c r="BW219" s="2">
        <v>116917</v>
      </c>
      <c r="BX219" t="s">
        <v>105</v>
      </c>
      <c r="BZ219" t="s">
        <v>167</v>
      </c>
      <c r="CA219" t="str">
        <f t="shared" si="10"/>
        <v>7/1/2020 - 6/30/2021</v>
      </c>
      <c r="CF219">
        <v>1</v>
      </c>
      <c r="CG219" t="s">
        <v>98</v>
      </c>
      <c r="CH219" t="s">
        <v>98</v>
      </c>
      <c r="CI219" t="s">
        <v>206</v>
      </c>
      <c r="CJ219" t="s">
        <v>98</v>
      </c>
      <c r="CK219" t="s">
        <v>12323</v>
      </c>
      <c r="CL219" t="s">
        <v>108</v>
      </c>
      <c r="CM219" t="s">
        <v>109</v>
      </c>
      <c r="CN219" t="str">
        <f>""</f>
        <v/>
      </c>
      <c r="CO219" t="str">
        <f>""</f>
        <v/>
      </c>
      <c r="CP219" t="str">
        <f>""</f>
        <v/>
      </c>
      <c r="CQ219" t="str">
        <f>""</f>
        <v/>
      </c>
    </row>
    <row r="220" spans="1:96" x14ac:dyDescent="0.2">
      <c r="A220" t="s">
        <v>10702</v>
      </c>
      <c r="B220" t="s">
        <v>96</v>
      </c>
      <c r="C220" s="1">
        <v>44098</v>
      </c>
      <c r="D220" s="1">
        <v>44105</v>
      </c>
      <c r="F220" t="s">
        <v>97</v>
      </c>
      <c r="G220" t="str">
        <f>"Human Resource Manager"</f>
        <v>Human Resource Manager</v>
      </c>
      <c r="H220" t="s">
        <v>12255</v>
      </c>
      <c r="I220" t="s">
        <v>3173</v>
      </c>
      <c r="J220" t="s">
        <v>98</v>
      </c>
      <c r="K220" s="1">
        <v>44238</v>
      </c>
      <c r="L220" s="1">
        <v>45331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845</v>
      </c>
      <c r="U220" t="str">
        <f>""</f>
        <v/>
      </c>
      <c r="V220" t="s">
        <v>846</v>
      </c>
      <c r="W220" t="str">
        <f>"Suite 202"</f>
        <v>Suite 202</v>
      </c>
      <c r="X220" t="s">
        <v>847</v>
      </c>
      <c r="Y220" t="s">
        <v>215</v>
      </c>
      <c r="Z220" s="3">
        <v>30005</v>
      </c>
      <c r="AA220" t="s">
        <v>101</v>
      </c>
      <c r="AC220" s="4" t="str">
        <f>"+16783356423"</f>
        <v>+16783356423</v>
      </c>
      <c r="AE220" t="str">
        <f t="shared" si="12"/>
        <v>541511</v>
      </c>
      <c r="AF220" t="s">
        <v>10703</v>
      </c>
      <c r="AG220" t="s">
        <v>849</v>
      </c>
      <c r="AI220" t="s">
        <v>508</v>
      </c>
      <c r="AJ220" t="s">
        <v>846</v>
      </c>
      <c r="AK220" t="str">
        <f>"Suite 202"</f>
        <v>Suite 202</v>
      </c>
      <c r="AL220" t="s">
        <v>847</v>
      </c>
      <c r="AM220" t="s">
        <v>215</v>
      </c>
      <c r="AN220" s="3">
        <v>30005</v>
      </c>
      <c r="AO220" t="s">
        <v>101</v>
      </c>
      <c r="AQ220" t="str">
        <f>"+16783356423"</f>
        <v>+16783356423</v>
      </c>
      <c r="AS220" t="s">
        <v>850</v>
      </c>
      <c r="AT220" t="s">
        <v>102</v>
      </c>
      <c r="AU220" t="str">
        <f>""</f>
        <v/>
      </c>
      <c r="AV220" t="str">
        <f>""</f>
        <v/>
      </c>
      <c r="AW220" t="str">
        <f>""</f>
        <v/>
      </c>
      <c r="AX220" t="str">
        <f>""</f>
        <v/>
      </c>
      <c r="AY220" t="str">
        <f>""</f>
        <v/>
      </c>
      <c r="AZ220" t="str">
        <f>""</f>
        <v/>
      </c>
      <c r="BA220" t="str">
        <f>""</f>
        <v/>
      </c>
      <c r="BC220" t="str">
        <f>""</f>
        <v/>
      </c>
      <c r="BD220" t="str">
        <f>""</f>
        <v/>
      </c>
      <c r="BE220" t="str">
        <f>""</f>
        <v/>
      </c>
      <c r="BF220" t="str">
        <f>""</f>
        <v/>
      </c>
      <c r="BG220" t="str">
        <f>""</f>
        <v/>
      </c>
      <c r="BH220" t="str">
        <f>""</f>
        <v/>
      </c>
      <c r="BI220" t="str">
        <f>""</f>
        <v/>
      </c>
      <c r="BJ220" t="str">
        <f>""</f>
        <v/>
      </c>
      <c r="BK220">
        <v>1</v>
      </c>
      <c r="BL220" t="s">
        <v>102</v>
      </c>
      <c r="BM220" t="str">
        <f>""</f>
        <v/>
      </c>
      <c r="BN220" t="s">
        <v>846</v>
      </c>
      <c r="BO220" t="s">
        <v>851</v>
      </c>
      <c r="BP220" t="s">
        <v>847</v>
      </c>
      <c r="BQ220" t="s">
        <v>852</v>
      </c>
      <c r="BR220" t="s">
        <v>215</v>
      </c>
      <c r="BS220" s="5">
        <v>30005</v>
      </c>
      <c r="BT220" s="2">
        <v>106995</v>
      </c>
      <c r="BV220" t="s">
        <v>105</v>
      </c>
      <c r="BW220" s="2">
        <v>106995</v>
      </c>
      <c r="BX220" t="s">
        <v>105</v>
      </c>
      <c r="BZ220" t="s">
        <v>167</v>
      </c>
      <c r="CA220" t="str">
        <f t="shared" si="10"/>
        <v>7/1/2020 - 6/30/2021</v>
      </c>
      <c r="CF220">
        <v>1</v>
      </c>
      <c r="CG220" t="s">
        <v>98</v>
      </c>
      <c r="CH220" t="s">
        <v>98</v>
      </c>
      <c r="CI220" t="s">
        <v>206</v>
      </c>
      <c r="CJ220" t="s">
        <v>98</v>
      </c>
      <c r="CK220" t="s">
        <v>12323</v>
      </c>
      <c r="CL220" t="s">
        <v>108</v>
      </c>
      <c r="CM220" t="s">
        <v>109</v>
      </c>
      <c r="CN220" t="str">
        <f>""</f>
        <v/>
      </c>
      <c r="CO220" t="str">
        <f>""</f>
        <v/>
      </c>
      <c r="CP220" t="str">
        <f>""</f>
        <v/>
      </c>
      <c r="CQ220" t="str">
        <f>""</f>
        <v/>
      </c>
    </row>
    <row r="221" spans="1:96" x14ac:dyDescent="0.2">
      <c r="A221" t="s">
        <v>10704</v>
      </c>
      <c r="B221" t="s">
        <v>96</v>
      </c>
      <c r="C221" s="1">
        <v>44098</v>
      </c>
      <c r="D221" s="1">
        <v>44105</v>
      </c>
      <c r="F221" t="s">
        <v>97</v>
      </c>
      <c r="G221" t="str">
        <f>"SR. QUALITY ENGINEER"</f>
        <v>SR. QUALITY ENGINEER</v>
      </c>
      <c r="H221" t="s">
        <v>12168</v>
      </c>
      <c r="I221" t="s">
        <v>319</v>
      </c>
      <c r="J221" t="s">
        <v>98</v>
      </c>
      <c r="K221" s="1">
        <v>44105</v>
      </c>
      <c r="L221" s="1">
        <v>45199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7112</v>
      </c>
      <c r="U221" t="str">
        <f>""</f>
        <v/>
      </c>
      <c r="V221" t="s">
        <v>7113</v>
      </c>
      <c r="W221" t="str">
        <f>"SUITE 102"</f>
        <v>SUITE 102</v>
      </c>
      <c r="X221" t="s">
        <v>5403</v>
      </c>
      <c r="Y221" t="s">
        <v>545</v>
      </c>
      <c r="Z221" s="3">
        <v>38017</v>
      </c>
      <c r="AA221" t="s">
        <v>101</v>
      </c>
      <c r="AC221" s="4" t="str">
        <f>"+19014577548"</f>
        <v>+19014577548</v>
      </c>
      <c r="AD221">
        <v>303</v>
      </c>
      <c r="AE221" t="str">
        <f t="shared" si="12"/>
        <v>541511</v>
      </c>
      <c r="AF221" t="s">
        <v>7114</v>
      </c>
      <c r="AG221" t="s">
        <v>6092</v>
      </c>
      <c r="AH221" t="s">
        <v>108</v>
      </c>
      <c r="AI221" t="s">
        <v>425</v>
      </c>
      <c r="AJ221" t="s">
        <v>7113</v>
      </c>
      <c r="AK221" t="str">
        <f>"SUITE 102"</f>
        <v>SUITE 102</v>
      </c>
      <c r="AL221" t="s">
        <v>5403</v>
      </c>
      <c r="AM221" t="s">
        <v>545</v>
      </c>
      <c r="AN221" s="3">
        <v>38017</v>
      </c>
      <c r="AO221" t="s">
        <v>101</v>
      </c>
      <c r="AQ221" t="str">
        <f>"+19014577548"</f>
        <v>+19014577548</v>
      </c>
      <c r="AR221">
        <v>303</v>
      </c>
      <c r="AS221" t="s">
        <v>7115</v>
      </c>
      <c r="AT221" t="s">
        <v>102</v>
      </c>
      <c r="AU221" t="str">
        <f>""</f>
        <v/>
      </c>
      <c r="AV221" t="str">
        <f>""</f>
        <v/>
      </c>
      <c r="AW221" t="str">
        <f>""</f>
        <v/>
      </c>
      <c r="AX221" t="str">
        <f>""</f>
        <v/>
      </c>
      <c r="AY221" t="str">
        <f>""</f>
        <v/>
      </c>
      <c r="AZ221" t="str">
        <f>""</f>
        <v/>
      </c>
      <c r="BA221" t="str">
        <f>""</f>
        <v/>
      </c>
      <c r="BC221" t="str">
        <f>""</f>
        <v/>
      </c>
      <c r="BD221" t="str">
        <f>""</f>
        <v/>
      </c>
      <c r="BE221" t="str">
        <f>""</f>
        <v/>
      </c>
      <c r="BF221" t="str">
        <f>""</f>
        <v/>
      </c>
      <c r="BG221" t="str">
        <f>""</f>
        <v/>
      </c>
      <c r="BH221" t="str">
        <f>""</f>
        <v/>
      </c>
      <c r="BI221" t="str">
        <f>""</f>
        <v/>
      </c>
      <c r="BJ221" t="str">
        <f>""</f>
        <v/>
      </c>
      <c r="BK221">
        <v>1</v>
      </c>
      <c r="BL221" t="s">
        <v>107</v>
      </c>
      <c r="BM221" t="str">
        <f>"SERVICE NOW"</f>
        <v>SERVICE NOW</v>
      </c>
      <c r="BN221" t="s">
        <v>10705</v>
      </c>
      <c r="BP221" t="s">
        <v>158</v>
      </c>
      <c r="BQ221" t="s">
        <v>158</v>
      </c>
      <c r="BR221" t="s">
        <v>141</v>
      </c>
      <c r="BS221" s="5">
        <v>92121</v>
      </c>
      <c r="BT221" s="2">
        <v>100000</v>
      </c>
      <c r="BV221" t="s">
        <v>105</v>
      </c>
      <c r="BW221" s="2">
        <v>93912</v>
      </c>
      <c r="BX221" t="s">
        <v>105</v>
      </c>
      <c r="BZ221" t="s">
        <v>123</v>
      </c>
      <c r="CA221" t="str">
        <f t="shared" si="10"/>
        <v>7/1/2020 - 6/30/2021</v>
      </c>
      <c r="CF221">
        <v>2</v>
      </c>
      <c r="CG221" t="s">
        <v>98</v>
      </c>
      <c r="CH221" t="s">
        <v>98</v>
      </c>
      <c r="CI221" t="s">
        <v>206</v>
      </c>
      <c r="CJ221" t="s">
        <v>98</v>
      </c>
      <c r="CK221" t="s">
        <v>12323</v>
      </c>
      <c r="CL221" t="s">
        <v>108</v>
      </c>
      <c r="CM221" t="s">
        <v>109</v>
      </c>
      <c r="CN221" t="str">
        <f>"N/A"</f>
        <v>N/A</v>
      </c>
      <c r="CO221" t="str">
        <f>"N/A"</f>
        <v>N/A</v>
      </c>
      <c r="CP221" t="str">
        <f>"N/A"</f>
        <v>N/A</v>
      </c>
      <c r="CQ221" t="str">
        <f>"UNIQUE KEY RESOURCES INC"</f>
        <v>UNIQUE KEY RESOURCES INC</v>
      </c>
      <c r="CR221" t="s">
        <v>7115</v>
      </c>
    </row>
    <row r="222" spans="1:96" x14ac:dyDescent="0.2">
      <c r="A222" t="s">
        <v>10711</v>
      </c>
      <c r="B222" t="s">
        <v>96</v>
      </c>
      <c r="C222" s="1">
        <v>44098</v>
      </c>
      <c r="D222" s="1">
        <v>44105</v>
      </c>
      <c r="F222" t="s">
        <v>97</v>
      </c>
      <c r="G222" t="str">
        <f>"Technical Test Lead - US"</f>
        <v>Technical Test Lead - US</v>
      </c>
      <c r="H222" t="s">
        <v>12168</v>
      </c>
      <c r="I222" t="s">
        <v>319</v>
      </c>
      <c r="J222" t="s">
        <v>98</v>
      </c>
      <c r="K222" s="1">
        <v>44109</v>
      </c>
      <c r="L222" s="1">
        <v>45201</v>
      </c>
      <c r="M222">
        <v>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5</v>
      </c>
      <c r="T222" t="s">
        <v>723</v>
      </c>
      <c r="U222" t="str">
        <f>""</f>
        <v/>
      </c>
      <c r="V222" t="s">
        <v>724</v>
      </c>
      <c r="W222" t="str">
        <f>"STE C150"</f>
        <v>STE C150</v>
      </c>
      <c r="X222" t="s">
        <v>725</v>
      </c>
      <c r="Y222" t="s">
        <v>114</v>
      </c>
      <c r="Z222" s="3">
        <v>75082</v>
      </c>
      <c r="AA222" t="s">
        <v>101</v>
      </c>
      <c r="AC222" s="4" t="str">
        <f>"+12143062100"</f>
        <v>+12143062100</v>
      </c>
      <c r="AE222" t="str">
        <f t="shared" si="12"/>
        <v>541511</v>
      </c>
      <c r="AF222" t="s">
        <v>726</v>
      </c>
      <c r="AG222" t="s">
        <v>727</v>
      </c>
      <c r="AI222" t="s">
        <v>728</v>
      </c>
      <c r="AJ222" t="s">
        <v>724</v>
      </c>
      <c r="AK222" t="str">
        <f>"STE C150"</f>
        <v>STE C150</v>
      </c>
      <c r="AL222" t="s">
        <v>725</v>
      </c>
      <c r="AM222" t="s">
        <v>114</v>
      </c>
      <c r="AN222" s="3">
        <v>75082</v>
      </c>
      <c r="AO222" t="s">
        <v>101</v>
      </c>
      <c r="AQ222" t="str">
        <f>"+12143062100"</f>
        <v>+12143062100</v>
      </c>
      <c r="AS222" t="s">
        <v>729</v>
      </c>
      <c r="AT222" t="s">
        <v>102</v>
      </c>
      <c r="AU222" t="str">
        <f>""</f>
        <v/>
      </c>
      <c r="AV222" t="str">
        <f>""</f>
        <v/>
      </c>
      <c r="AW222" t="str">
        <f>""</f>
        <v/>
      </c>
      <c r="AX222" t="str">
        <f>""</f>
        <v/>
      </c>
      <c r="AY222" t="str">
        <f>""</f>
        <v/>
      </c>
      <c r="AZ222" t="str">
        <f>""</f>
        <v/>
      </c>
      <c r="BA222" t="str">
        <f>""</f>
        <v/>
      </c>
      <c r="BC222" t="str">
        <f>""</f>
        <v/>
      </c>
      <c r="BD222" t="str">
        <f>""</f>
        <v/>
      </c>
      <c r="BE222" t="str">
        <f>""</f>
        <v/>
      </c>
      <c r="BF222" t="str">
        <f>""</f>
        <v/>
      </c>
      <c r="BG222" t="str">
        <f>""</f>
        <v/>
      </c>
      <c r="BH222" t="str">
        <f>""</f>
        <v/>
      </c>
      <c r="BI222" t="str">
        <f>""</f>
        <v/>
      </c>
      <c r="BJ222" t="str">
        <f>""</f>
        <v/>
      </c>
      <c r="BK222">
        <v>5</v>
      </c>
      <c r="BL222" t="s">
        <v>102</v>
      </c>
      <c r="BM222" t="str">
        <f>""</f>
        <v/>
      </c>
      <c r="BN222" t="s">
        <v>3337</v>
      </c>
      <c r="BO222" t="s">
        <v>1336</v>
      </c>
      <c r="BP222" t="s">
        <v>1927</v>
      </c>
      <c r="BQ222" t="s">
        <v>257</v>
      </c>
      <c r="BR222" t="s">
        <v>258</v>
      </c>
      <c r="BS222" s="5">
        <v>85281</v>
      </c>
      <c r="BT222" s="2">
        <v>66768</v>
      </c>
      <c r="BU222" s="2">
        <v>84813</v>
      </c>
      <c r="BV222" t="s">
        <v>105</v>
      </c>
      <c r="BW222" s="2">
        <v>66768</v>
      </c>
      <c r="BX222" t="s">
        <v>105</v>
      </c>
      <c r="BZ222" t="s">
        <v>167</v>
      </c>
      <c r="CA222" t="str">
        <f t="shared" si="10"/>
        <v>7/1/2020 - 6/30/2021</v>
      </c>
      <c r="CF222">
        <v>1</v>
      </c>
      <c r="CG222" t="s">
        <v>98</v>
      </c>
      <c r="CH222" t="s">
        <v>98</v>
      </c>
      <c r="CI222" t="s">
        <v>206</v>
      </c>
      <c r="CJ222" t="s">
        <v>98</v>
      </c>
      <c r="CK222" t="s">
        <v>12323</v>
      </c>
      <c r="CL222" t="s">
        <v>108</v>
      </c>
      <c r="CM222" t="s">
        <v>109</v>
      </c>
      <c r="CN222" t="str">
        <f>"ALI"</f>
        <v>ALI</v>
      </c>
      <c r="CO222" t="str">
        <f>"ASIF"</f>
        <v>ASIF</v>
      </c>
      <c r="CP222" t="str">
        <f>""</f>
        <v/>
      </c>
      <c r="CQ222" t="str">
        <f>"INFOSYS LIMITED"</f>
        <v>INFOSYS LIMITED</v>
      </c>
      <c r="CR222" t="s">
        <v>796</v>
      </c>
    </row>
    <row r="223" spans="1:96" x14ac:dyDescent="0.2">
      <c r="A223" t="s">
        <v>10751</v>
      </c>
      <c r="B223" t="s">
        <v>96</v>
      </c>
      <c r="C223" s="1">
        <v>44098</v>
      </c>
      <c r="D223" s="1">
        <v>44105</v>
      </c>
      <c r="F223" t="s">
        <v>97</v>
      </c>
      <c r="G223" t="str">
        <f>"Technology Lead - US "</f>
        <v xml:space="preserve">Technology Lead - US </v>
      </c>
      <c r="H223" t="s">
        <v>12168</v>
      </c>
      <c r="I223" t="s">
        <v>367</v>
      </c>
      <c r="J223" t="s">
        <v>98</v>
      </c>
      <c r="K223" s="1">
        <v>44109</v>
      </c>
      <c r="L223" s="1">
        <v>45202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723</v>
      </c>
      <c r="U223" t="str">
        <f>""</f>
        <v/>
      </c>
      <c r="V223" t="s">
        <v>724</v>
      </c>
      <c r="W223" t="str">
        <f>"STE C150"</f>
        <v>STE C150</v>
      </c>
      <c r="X223" t="s">
        <v>725</v>
      </c>
      <c r="Y223" t="s">
        <v>114</v>
      </c>
      <c r="Z223" s="3">
        <v>75082</v>
      </c>
      <c r="AA223" t="s">
        <v>101</v>
      </c>
      <c r="AC223" s="4" t="str">
        <f>"+12143062100"</f>
        <v>+12143062100</v>
      </c>
      <c r="AE223" t="str">
        <f t="shared" si="12"/>
        <v>541511</v>
      </c>
      <c r="AF223" t="s">
        <v>726</v>
      </c>
      <c r="AG223" t="s">
        <v>727</v>
      </c>
      <c r="AI223" t="s">
        <v>728</v>
      </c>
      <c r="AJ223" t="s">
        <v>724</v>
      </c>
      <c r="AK223" t="str">
        <f>"STE C150"</f>
        <v>STE C150</v>
      </c>
      <c r="AL223" t="s">
        <v>725</v>
      </c>
      <c r="AM223" t="s">
        <v>114</v>
      </c>
      <c r="AN223" s="3">
        <v>75082</v>
      </c>
      <c r="AO223" t="s">
        <v>101</v>
      </c>
      <c r="AQ223" t="str">
        <f>"+12143062100"</f>
        <v>+12143062100</v>
      </c>
      <c r="AS223" t="s">
        <v>729</v>
      </c>
      <c r="AT223" t="s">
        <v>102</v>
      </c>
      <c r="AU223" t="str">
        <f>""</f>
        <v/>
      </c>
      <c r="AV223" t="str">
        <f>""</f>
        <v/>
      </c>
      <c r="AW223" t="str">
        <f>""</f>
        <v/>
      </c>
      <c r="AX223" t="str">
        <f>""</f>
        <v/>
      </c>
      <c r="AY223" t="str">
        <f>""</f>
        <v/>
      </c>
      <c r="AZ223" t="str">
        <f>""</f>
        <v/>
      </c>
      <c r="BA223" t="str">
        <f>""</f>
        <v/>
      </c>
      <c r="BC223" t="str">
        <f>""</f>
        <v/>
      </c>
      <c r="BD223" t="str">
        <f>""</f>
        <v/>
      </c>
      <c r="BE223" t="str">
        <f>""</f>
        <v/>
      </c>
      <c r="BF223" t="str">
        <f>""</f>
        <v/>
      </c>
      <c r="BG223" t="str">
        <f>""</f>
        <v/>
      </c>
      <c r="BH223" t="str">
        <f>""</f>
        <v/>
      </c>
      <c r="BI223" t="str">
        <f>""</f>
        <v/>
      </c>
      <c r="BJ223" t="str">
        <f>""</f>
        <v/>
      </c>
      <c r="BK223">
        <v>1</v>
      </c>
      <c r="BL223" t="s">
        <v>107</v>
      </c>
      <c r="BM223" t="str">
        <f>"United Airlines, Inc"</f>
        <v>United Airlines, Inc</v>
      </c>
      <c r="BN223" t="s">
        <v>10752</v>
      </c>
      <c r="BP223" t="s">
        <v>394</v>
      </c>
      <c r="BQ223" t="s">
        <v>395</v>
      </c>
      <c r="BR223" t="s">
        <v>114</v>
      </c>
      <c r="BS223" s="5">
        <v>77002</v>
      </c>
      <c r="BT223" s="2">
        <v>67163</v>
      </c>
      <c r="BV223" t="s">
        <v>105</v>
      </c>
      <c r="BW223" s="2">
        <v>67163</v>
      </c>
      <c r="BX223" t="s">
        <v>105</v>
      </c>
      <c r="BZ223" t="s">
        <v>167</v>
      </c>
      <c r="CA223" t="str">
        <f t="shared" ref="CA223:CA286" si="13">"7/1/2020 - 6/30/2021"</f>
        <v>7/1/2020 - 6/30/2021</v>
      </c>
      <c r="CF223">
        <v>1</v>
      </c>
      <c r="CG223" t="s">
        <v>98</v>
      </c>
      <c r="CH223" t="s">
        <v>98</v>
      </c>
      <c r="CI223" t="s">
        <v>206</v>
      </c>
      <c r="CJ223" t="s">
        <v>98</v>
      </c>
      <c r="CK223" t="s">
        <v>12323</v>
      </c>
      <c r="CL223" t="s">
        <v>108</v>
      </c>
      <c r="CM223" t="s">
        <v>109</v>
      </c>
      <c r="CN223" t="str">
        <f>"JAYARAM"</f>
        <v>JAYARAM</v>
      </c>
      <c r="CO223" t="str">
        <f>"SUSHMA"</f>
        <v>SUSHMA</v>
      </c>
      <c r="CP223" t="str">
        <f>""</f>
        <v/>
      </c>
      <c r="CQ223" t="str">
        <f>"INFOSYS LIMITED"</f>
        <v>INFOSYS LIMITED</v>
      </c>
      <c r="CR223" t="s">
        <v>3699</v>
      </c>
    </row>
    <row r="224" spans="1:96" x14ac:dyDescent="0.2">
      <c r="A224" t="s">
        <v>10755</v>
      </c>
      <c r="B224" t="s">
        <v>96</v>
      </c>
      <c r="C224" s="1">
        <v>44098</v>
      </c>
      <c r="D224" s="1">
        <v>44105</v>
      </c>
      <c r="F224" t="s">
        <v>97</v>
      </c>
      <c r="G224" t="str">
        <f>"Technology Lead - US "</f>
        <v xml:space="preserve">Technology Lead - US </v>
      </c>
      <c r="H224" t="s">
        <v>12168</v>
      </c>
      <c r="I224" t="s">
        <v>367</v>
      </c>
      <c r="J224" t="s">
        <v>98</v>
      </c>
      <c r="K224" s="1">
        <v>44151</v>
      </c>
      <c r="L224" s="1">
        <v>45243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 t="s">
        <v>723</v>
      </c>
      <c r="U224" t="str">
        <f>""</f>
        <v/>
      </c>
      <c r="V224" t="s">
        <v>724</v>
      </c>
      <c r="W224" t="str">
        <f>"STE C150"</f>
        <v>STE C150</v>
      </c>
      <c r="X224" t="s">
        <v>725</v>
      </c>
      <c r="Y224" t="s">
        <v>114</v>
      </c>
      <c r="Z224" s="3">
        <v>75082</v>
      </c>
      <c r="AA224" t="s">
        <v>101</v>
      </c>
      <c r="AC224" s="4" t="str">
        <f>"+12143062100"</f>
        <v>+12143062100</v>
      </c>
      <c r="AE224" t="str">
        <f t="shared" si="12"/>
        <v>541511</v>
      </c>
      <c r="AF224" t="s">
        <v>726</v>
      </c>
      <c r="AG224" t="s">
        <v>727</v>
      </c>
      <c r="AI224" t="s">
        <v>728</v>
      </c>
      <c r="AJ224" t="s">
        <v>724</v>
      </c>
      <c r="AK224" t="str">
        <f>"STE C150"</f>
        <v>STE C150</v>
      </c>
      <c r="AL224" t="s">
        <v>725</v>
      </c>
      <c r="AM224" t="s">
        <v>114</v>
      </c>
      <c r="AN224" s="3">
        <v>75082</v>
      </c>
      <c r="AO224" t="s">
        <v>101</v>
      </c>
      <c r="AQ224" t="str">
        <f>"+12143062100"</f>
        <v>+12143062100</v>
      </c>
      <c r="AS224" t="s">
        <v>729</v>
      </c>
      <c r="AT224" t="s">
        <v>102</v>
      </c>
      <c r="AU224" t="str">
        <f>""</f>
        <v/>
      </c>
      <c r="AV224" t="str">
        <f>""</f>
        <v/>
      </c>
      <c r="AW224" t="str">
        <f>""</f>
        <v/>
      </c>
      <c r="AX224" t="str">
        <f>""</f>
        <v/>
      </c>
      <c r="AY224" t="str">
        <f>""</f>
        <v/>
      </c>
      <c r="AZ224" t="str">
        <f>""</f>
        <v/>
      </c>
      <c r="BA224" t="str">
        <f>""</f>
        <v/>
      </c>
      <c r="BC224" t="str">
        <f>""</f>
        <v/>
      </c>
      <c r="BD224" t="str">
        <f>""</f>
        <v/>
      </c>
      <c r="BE224" t="str">
        <f>""</f>
        <v/>
      </c>
      <c r="BF224" t="str">
        <f>""</f>
        <v/>
      </c>
      <c r="BG224" t="str">
        <f>""</f>
        <v/>
      </c>
      <c r="BH224" t="str">
        <f>""</f>
        <v/>
      </c>
      <c r="BI224" t="str">
        <f>""</f>
        <v/>
      </c>
      <c r="BJ224" t="str">
        <f>""</f>
        <v/>
      </c>
      <c r="BK224">
        <v>1</v>
      </c>
      <c r="BL224" t="s">
        <v>107</v>
      </c>
      <c r="BM224" t="str">
        <f>"Starbucks Corporation "</f>
        <v xml:space="preserve">Starbucks Corporation </v>
      </c>
      <c r="BN224" t="s">
        <v>10756</v>
      </c>
      <c r="BP224" t="s">
        <v>435</v>
      </c>
      <c r="BQ224" t="s">
        <v>183</v>
      </c>
      <c r="BR224" t="s">
        <v>176</v>
      </c>
      <c r="BS224" s="5">
        <v>98134</v>
      </c>
      <c r="BT224" s="2">
        <v>79250</v>
      </c>
      <c r="BV224" t="s">
        <v>105</v>
      </c>
      <c r="BW224" s="2">
        <v>77875</v>
      </c>
      <c r="BX224" t="s">
        <v>105</v>
      </c>
      <c r="BZ224" t="s">
        <v>167</v>
      </c>
      <c r="CA224" t="str">
        <f t="shared" si="13"/>
        <v>7/1/2020 - 6/30/2021</v>
      </c>
      <c r="CF224">
        <v>1</v>
      </c>
      <c r="CG224" t="s">
        <v>98</v>
      </c>
      <c r="CH224" t="s">
        <v>98</v>
      </c>
      <c r="CI224" t="s">
        <v>206</v>
      </c>
      <c r="CJ224" t="s">
        <v>98</v>
      </c>
      <c r="CK224" t="s">
        <v>12323</v>
      </c>
      <c r="CL224" t="s">
        <v>108</v>
      </c>
      <c r="CM224" t="s">
        <v>109</v>
      </c>
      <c r="CN224" t="str">
        <f>"JAYARAM"</f>
        <v>JAYARAM</v>
      </c>
      <c r="CO224" t="str">
        <f>"SUSHMA"</f>
        <v>SUSHMA</v>
      </c>
      <c r="CP224" t="str">
        <f>""</f>
        <v/>
      </c>
      <c r="CQ224" t="str">
        <f>"INFOSYS LIMITED"</f>
        <v>INFOSYS LIMITED</v>
      </c>
      <c r="CR224" t="s">
        <v>3699</v>
      </c>
    </row>
    <row r="225" spans="1:96" x14ac:dyDescent="0.2">
      <c r="A225" t="s">
        <v>10759</v>
      </c>
      <c r="B225" t="s">
        <v>96</v>
      </c>
      <c r="C225" s="1">
        <v>44098</v>
      </c>
      <c r="D225" s="1">
        <v>44105</v>
      </c>
      <c r="F225" t="s">
        <v>97</v>
      </c>
      <c r="G225" t="str">
        <f>"Project Manager	"</f>
        <v xml:space="preserve">Project Manager	</v>
      </c>
      <c r="H225" t="s">
        <v>12168</v>
      </c>
      <c r="I225" t="s">
        <v>367</v>
      </c>
      <c r="J225" t="s">
        <v>98</v>
      </c>
      <c r="K225" s="1">
        <v>44098</v>
      </c>
      <c r="L225" s="1">
        <v>45192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 t="s">
        <v>902</v>
      </c>
      <c r="U225" t="str">
        <f>""</f>
        <v/>
      </c>
      <c r="V225" t="s">
        <v>903</v>
      </c>
      <c r="W225" t="str">
        <f>"SUITE 2200"</f>
        <v>SUITE 2200</v>
      </c>
      <c r="X225" t="s">
        <v>904</v>
      </c>
      <c r="Y225" t="s">
        <v>100</v>
      </c>
      <c r="Z225" s="3">
        <v>8816</v>
      </c>
      <c r="AA225" t="s">
        <v>101</v>
      </c>
      <c r="AB225" t="s">
        <v>108</v>
      </c>
      <c r="AC225" s="4" t="str">
        <f>"+17325091586"</f>
        <v>+17325091586</v>
      </c>
      <c r="AE225" t="str">
        <f t="shared" si="12"/>
        <v>541511</v>
      </c>
      <c r="AF225" t="s">
        <v>905</v>
      </c>
      <c r="AG225" t="s">
        <v>906</v>
      </c>
      <c r="AH225" t="s">
        <v>108</v>
      </c>
      <c r="AI225" t="s">
        <v>818</v>
      </c>
      <c r="AJ225" t="s">
        <v>903</v>
      </c>
      <c r="AK225" t="str">
        <f>"SUITE 2200"</f>
        <v>SUITE 2200</v>
      </c>
      <c r="AL225" t="s">
        <v>904</v>
      </c>
      <c r="AM225" t="s">
        <v>100</v>
      </c>
      <c r="AN225" s="3">
        <v>8816</v>
      </c>
      <c r="AO225" t="s">
        <v>101</v>
      </c>
      <c r="AQ225" t="str">
        <f>"+17325091586"</f>
        <v>+17325091586</v>
      </c>
      <c r="AS225" t="s">
        <v>907</v>
      </c>
      <c r="AT225" t="s">
        <v>102</v>
      </c>
      <c r="AU225" t="str">
        <f>""</f>
        <v/>
      </c>
      <c r="AV225" t="str">
        <f>""</f>
        <v/>
      </c>
      <c r="AW225" t="str">
        <f>""</f>
        <v/>
      </c>
      <c r="AX225" t="str">
        <f>""</f>
        <v/>
      </c>
      <c r="AY225" t="str">
        <f>""</f>
        <v/>
      </c>
      <c r="AZ225" t="str">
        <f>""</f>
        <v/>
      </c>
      <c r="BA225" t="str">
        <f>""</f>
        <v/>
      </c>
      <c r="BC225" t="str">
        <f>""</f>
        <v/>
      </c>
      <c r="BD225" t="str">
        <f>""</f>
        <v/>
      </c>
      <c r="BE225" t="str">
        <f>""</f>
        <v/>
      </c>
      <c r="BF225" t="str">
        <f>""</f>
        <v/>
      </c>
      <c r="BG225" t="str">
        <f>""</f>
        <v/>
      </c>
      <c r="BH225" t="str">
        <f>""</f>
        <v/>
      </c>
      <c r="BI225" t="str">
        <f>""</f>
        <v/>
      </c>
      <c r="BJ225" t="str">
        <f>""</f>
        <v/>
      </c>
      <c r="BK225">
        <v>1</v>
      </c>
      <c r="BL225" t="s">
        <v>102</v>
      </c>
      <c r="BM225" t="str">
        <f>""</f>
        <v/>
      </c>
      <c r="BN225" t="s">
        <v>10760</v>
      </c>
      <c r="BO225" t="s">
        <v>1468</v>
      </c>
      <c r="BP225" t="s">
        <v>1319</v>
      </c>
      <c r="BQ225" t="s">
        <v>1319</v>
      </c>
      <c r="BR225" t="s">
        <v>135</v>
      </c>
      <c r="BS225" s="5">
        <v>23233</v>
      </c>
      <c r="BT225" s="2">
        <v>73528</v>
      </c>
      <c r="BV225" t="s">
        <v>105</v>
      </c>
      <c r="BW225" s="2">
        <v>73528</v>
      </c>
      <c r="BX225" t="s">
        <v>105</v>
      </c>
      <c r="BZ225" t="s">
        <v>167</v>
      </c>
      <c r="CA225" t="str">
        <f t="shared" si="13"/>
        <v>7/1/2020 - 6/30/2021</v>
      </c>
      <c r="CF225">
        <v>1</v>
      </c>
      <c r="CG225" t="s">
        <v>98</v>
      </c>
      <c r="CH225" t="s">
        <v>98</v>
      </c>
      <c r="CI225" t="s">
        <v>206</v>
      </c>
      <c r="CJ225" t="s">
        <v>98</v>
      </c>
      <c r="CK225" t="s">
        <v>12323</v>
      </c>
      <c r="CL225" t="s">
        <v>108</v>
      </c>
      <c r="CM225" t="s">
        <v>109</v>
      </c>
      <c r="CN225" t="str">
        <f>""</f>
        <v/>
      </c>
      <c r="CO225" t="str">
        <f>""</f>
        <v/>
      </c>
      <c r="CP225" t="str">
        <f>""</f>
        <v/>
      </c>
      <c r="CQ225" t="str">
        <f>""</f>
        <v/>
      </c>
    </row>
    <row r="226" spans="1:96" x14ac:dyDescent="0.2">
      <c r="A226" t="s">
        <v>10787</v>
      </c>
      <c r="B226" t="s">
        <v>96</v>
      </c>
      <c r="C226" s="1">
        <v>44098</v>
      </c>
      <c r="D226" s="1">
        <v>44105</v>
      </c>
      <c r="F226" t="s">
        <v>97</v>
      </c>
      <c r="G226" t="str">
        <f>"IT Project Managers - II"</f>
        <v>IT Project Managers - II</v>
      </c>
      <c r="H226" t="s">
        <v>12168</v>
      </c>
      <c r="I226" t="s">
        <v>367</v>
      </c>
      <c r="J226" t="s">
        <v>98</v>
      </c>
      <c r="K226" s="1">
        <v>44098</v>
      </c>
      <c r="L226" s="1">
        <v>45192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 t="s">
        <v>669</v>
      </c>
      <c r="U226" t="str">
        <f>""</f>
        <v/>
      </c>
      <c r="V226" t="s">
        <v>670</v>
      </c>
      <c r="W226" t="str">
        <f>""</f>
        <v/>
      </c>
      <c r="X226" t="s">
        <v>671</v>
      </c>
      <c r="Y226" t="s">
        <v>141</v>
      </c>
      <c r="Z226" s="3">
        <v>94085</v>
      </c>
      <c r="AA226" t="s">
        <v>101</v>
      </c>
      <c r="AC226" s="4" t="str">
        <f>"+14087330480"</f>
        <v>+14087330480</v>
      </c>
      <c r="AE226" t="str">
        <f t="shared" si="12"/>
        <v>541511</v>
      </c>
      <c r="AF226" t="s">
        <v>672</v>
      </c>
      <c r="AG226" t="s">
        <v>673</v>
      </c>
      <c r="AI226" t="s">
        <v>674</v>
      </c>
      <c r="AJ226" t="s">
        <v>670</v>
      </c>
      <c r="AK226" t="str">
        <f>""</f>
        <v/>
      </c>
      <c r="AL226" t="s">
        <v>671</v>
      </c>
      <c r="AM226" t="s">
        <v>141</v>
      </c>
      <c r="AN226" s="3">
        <v>94085</v>
      </c>
      <c r="AO226" t="s">
        <v>101</v>
      </c>
      <c r="AQ226" t="str">
        <f>"+14087330480"</f>
        <v>+14087330480</v>
      </c>
      <c r="AS226" t="s">
        <v>675</v>
      </c>
      <c r="AT226" t="s">
        <v>102</v>
      </c>
      <c r="AU226" t="str">
        <f>""</f>
        <v/>
      </c>
      <c r="AV226" t="str">
        <f>""</f>
        <v/>
      </c>
      <c r="AW226" t="str">
        <f>""</f>
        <v/>
      </c>
      <c r="AX226" t="str">
        <f>""</f>
        <v/>
      </c>
      <c r="AY226" t="str">
        <f>""</f>
        <v/>
      </c>
      <c r="AZ226" t="str">
        <f>""</f>
        <v/>
      </c>
      <c r="BA226" t="str">
        <f>""</f>
        <v/>
      </c>
      <c r="BC226" t="str">
        <f>""</f>
        <v/>
      </c>
      <c r="BD226" t="str">
        <f>""</f>
        <v/>
      </c>
      <c r="BE226" t="str">
        <f>""</f>
        <v/>
      </c>
      <c r="BF226" t="str">
        <f>""</f>
        <v/>
      </c>
      <c r="BG226" t="str">
        <f>""</f>
        <v/>
      </c>
      <c r="BH226" t="str">
        <f>""</f>
        <v/>
      </c>
      <c r="BI226" t="str">
        <f>""</f>
        <v/>
      </c>
      <c r="BJ226" t="str">
        <f>""</f>
        <v/>
      </c>
      <c r="BK226">
        <v>1</v>
      </c>
      <c r="BL226" t="s">
        <v>102</v>
      </c>
      <c r="BM226" t="str">
        <f>""</f>
        <v/>
      </c>
      <c r="BN226" t="s">
        <v>9512</v>
      </c>
      <c r="BP226" t="s">
        <v>175</v>
      </c>
      <c r="BQ226" t="s">
        <v>183</v>
      </c>
      <c r="BR226" t="s">
        <v>176</v>
      </c>
      <c r="BS226" s="5">
        <v>98052</v>
      </c>
      <c r="BT226" s="2">
        <v>83375</v>
      </c>
      <c r="BV226" t="s">
        <v>105</v>
      </c>
      <c r="BW226" s="2">
        <v>77875</v>
      </c>
      <c r="BX226" t="s">
        <v>105</v>
      </c>
      <c r="BZ226" t="s">
        <v>167</v>
      </c>
      <c r="CA226" t="str">
        <f t="shared" si="13"/>
        <v>7/1/2020 - 6/30/2021</v>
      </c>
      <c r="CF226">
        <v>1</v>
      </c>
      <c r="CG226" t="s">
        <v>98</v>
      </c>
      <c r="CH226" t="s">
        <v>98</v>
      </c>
      <c r="CI226" t="s">
        <v>206</v>
      </c>
      <c r="CJ226" t="s">
        <v>98</v>
      </c>
      <c r="CK226" t="s">
        <v>12323</v>
      </c>
      <c r="CL226" t="s">
        <v>108</v>
      </c>
      <c r="CM226" t="s">
        <v>109</v>
      </c>
      <c r="CN226" t="str">
        <f>""</f>
        <v/>
      </c>
      <c r="CO226" t="str">
        <f>""</f>
        <v/>
      </c>
      <c r="CP226" t="str">
        <f>""</f>
        <v/>
      </c>
      <c r="CQ226" t="str">
        <f>""</f>
        <v/>
      </c>
    </row>
    <row r="227" spans="1:96" x14ac:dyDescent="0.2">
      <c r="A227" t="s">
        <v>10810</v>
      </c>
      <c r="B227" t="s">
        <v>96</v>
      </c>
      <c r="C227" s="1">
        <v>44098</v>
      </c>
      <c r="D227" s="1">
        <v>44105</v>
      </c>
      <c r="F227" t="s">
        <v>97</v>
      </c>
      <c r="G227" t="str">
        <f>"Design Engineer"</f>
        <v>Design Engineer</v>
      </c>
      <c r="H227" t="s">
        <v>12196</v>
      </c>
      <c r="I227" t="s">
        <v>322</v>
      </c>
      <c r="J227" t="s">
        <v>98</v>
      </c>
      <c r="K227" s="1">
        <v>44109</v>
      </c>
      <c r="L227" s="1">
        <v>45203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 t="s">
        <v>4681</v>
      </c>
      <c r="U227" t="str">
        <f>"(FORMERLY KNOWN AS CSM SOFTWARE USA, LLC)"</f>
        <v>(FORMERLY KNOWN AS CSM SOFTWARE USA, LLC)</v>
      </c>
      <c r="V227" t="s">
        <v>4682</v>
      </c>
      <c r="W227" t="str">
        <f>"SUITE 434"</f>
        <v>SUITE 434</v>
      </c>
      <c r="X227" t="s">
        <v>4683</v>
      </c>
      <c r="Y227" t="s">
        <v>265</v>
      </c>
      <c r="Z227" s="3">
        <v>48152</v>
      </c>
      <c r="AA227" t="s">
        <v>101</v>
      </c>
      <c r="AC227" s="4" t="str">
        <f>"+17345429165"</f>
        <v>+17345429165</v>
      </c>
      <c r="AE227" t="str">
        <f>"541330"</f>
        <v>541330</v>
      </c>
      <c r="AF227" t="s">
        <v>4684</v>
      </c>
      <c r="AG227" t="s">
        <v>4685</v>
      </c>
      <c r="AH227" t="s">
        <v>4686</v>
      </c>
      <c r="AI227" t="s">
        <v>4687</v>
      </c>
      <c r="AJ227" t="s">
        <v>4682</v>
      </c>
      <c r="AK227" t="str">
        <f>"SUITE 434"</f>
        <v>SUITE 434</v>
      </c>
      <c r="AL227" t="s">
        <v>4683</v>
      </c>
      <c r="AM227" t="s">
        <v>265</v>
      </c>
      <c r="AN227" s="3">
        <v>48152</v>
      </c>
      <c r="AO227" t="s">
        <v>101</v>
      </c>
      <c r="AQ227" t="str">
        <f>"+17345429165"</f>
        <v>+17345429165</v>
      </c>
      <c r="AS227" t="s">
        <v>4688</v>
      </c>
      <c r="AT227" t="s">
        <v>107</v>
      </c>
      <c r="AU227" t="str">
        <f>"PARK"</f>
        <v>PARK</v>
      </c>
      <c r="AV227" t="str">
        <f>"SOONHYUN"</f>
        <v>SOONHYUN</v>
      </c>
      <c r="AW227" t="str">
        <f>""</f>
        <v/>
      </c>
      <c r="AX227" t="str">
        <f>"3055 PLYMOUTH ROAD "</f>
        <v xml:space="preserve">3055 PLYMOUTH ROAD </v>
      </c>
      <c r="AY227" t="str">
        <f>"SUITE 104"</f>
        <v>SUITE 104</v>
      </c>
      <c r="AZ227" t="str">
        <f>"Ann Arbor"</f>
        <v>Ann Arbor</v>
      </c>
      <c r="BA227" t="str">
        <f>"MI"</f>
        <v>MI</v>
      </c>
      <c r="BB227" s="3">
        <v>48105</v>
      </c>
      <c r="BC227" t="str">
        <f>"UNITED STATES OF AMERICA"</f>
        <v>UNITED STATES OF AMERICA</v>
      </c>
      <c r="BD227" t="str">
        <f>""</f>
        <v/>
      </c>
      <c r="BE227" t="str">
        <f>"+17349667777"</f>
        <v>+17349667777</v>
      </c>
      <c r="BF227" t="str">
        <f>""</f>
        <v/>
      </c>
      <c r="BG227" t="str">
        <f>"paralegal@immigrationpark.com"</f>
        <v>paralegal@immigrationpark.com</v>
      </c>
      <c r="BH227" t="str">
        <f>"LAW OFFICE OF SOO PARK, PLC"</f>
        <v>LAW OFFICE OF SOO PARK, PLC</v>
      </c>
      <c r="BI227" t="str">
        <f>"MI"</f>
        <v>MI</v>
      </c>
      <c r="BJ227" t="str">
        <f>"SUPREME"</f>
        <v>SUPREME</v>
      </c>
      <c r="BK227">
        <v>1</v>
      </c>
      <c r="BL227" t="s">
        <v>107</v>
      </c>
      <c r="BM227" t="str">
        <f>"General Motors"</f>
        <v>General Motors</v>
      </c>
      <c r="BN227" t="s">
        <v>5757</v>
      </c>
      <c r="BP227" t="s">
        <v>1058</v>
      </c>
      <c r="BQ227" t="s">
        <v>543</v>
      </c>
      <c r="BR227" t="s">
        <v>265</v>
      </c>
      <c r="BS227" s="5">
        <v>48093</v>
      </c>
      <c r="BT227" s="2">
        <v>43</v>
      </c>
      <c r="BV227" t="s">
        <v>210</v>
      </c>
      <c r="BW227" s="2">
        <v>39.69</v>
      </c>
      <c r="BX227" t="s">
        <v>210</v>
      </c>
      <c r="BZ227" t="s">
        <v>167</v>
      </c>
      <c r="CA227" t="str">
        <f t="shared" si="13"/>
        <v>7/1/2020 - 6/30/2021</v>
      </c>
      <c r="CF227">
        <v>1</v>
      </c>
      <c r="CG227" t="s">
        <v>98</v>
      </c>
      <c r="CH227" t="s">
        <v>98</v>
      </c>
      <c r="CI227" t="s">
        <v>206</v>
      </c>
      <c r="CJ227" t="s">
        <v>98</v>
      </c>
      <c r="CK227" t="s">
        <v>12323</v>
      </c>
      <c r="CL227" t="s">
        <v>108</v>
      </c>
      <c r="CM227" t="s">
        <v>109</v>
      </c>
      <c r="CN227" t="str">
        <f>"Park"</f>
        <v>Park</v>
      </c>
      <c r="CO227" t="str">
        <f>"Soonhyun"</f>
        <v>Soonhyun</v>
      </c>
      <c r="CP227" t="str">
        <f>""</f>
        <v/>
      </c>
      <c r="CQ227" t="str">
        <f>"Law Office of Soo Park, PLC"</f>
        <v>Law Office of Soo Park, PLC</v>
      </c>
      <c r="CR227" t="s">
        <v>4689</v>
      </c>
    </row>
    <row r="228" spans="1:96" x14ac:dyDescent="0.2">
      <c r="A228" t="s">
        <v>10813</v>
      </c>
      <c r="B228" t="s">
        <v>96</v>
      </c>
      <c r="C228" s="1">
        <v>44098</v>
      </c>
      <c r="D228" s="1">
        <v>44105</v>
      </c>
      <c r="F228" t="s">
        <v>97</v>
      </c>
      <c r="G228" t="str">
        <f>"JAVA ENGINEER 2"</f>
        <v>JAVA ENGINEER 2</v>
      </c>
      <c r="H228" t="s">
        <v>12168</v>
      </c>
      <c r="I228" t="s">
        <v>160</v>
      </c>
      <c r="J228" t="s">
        <v>98</v>
      </c>
      <c r="K228" s="1">
        <v>44109</v>
      </c>
      <c r="L228" s="1">
        <v>45203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 t="s">
        <v>511</v>
      </c>
      <c r="U228" t="str">
        <f>""</f>
        <v/>
      </c>
      <c r="V228" t="s">
        <v>512</v>
      </c>
      <c r="W228" t="str">
        <f>"SUITE 300"</f>
        <v>SUITE 300</v>
      </c>
      <c r="X228" t="s">
        <v>513</v>
      </c>
      <c r="Y228" t="s">
        <v>171</v>
      </c>
      <c r="Z228" s="3">
        <v>1772</v>
      </c>
      <c r="AA228" t="s">
        <v>101</v>
      </c>
      <c r="AB228" t="s">
        <v>514</v>
      </c>
      <c r="AC228" s="4" t="str">
        <f>"+15083897451"</f>
        <v>+15083897451</v>
      </c>
      <c r="AE228" t="str">
        <f t="shared" ref="AE228:AE233" si="14">"541511"</f>
        <v>541511</v>
      </c>
      <c r="AF228" t="s">
        <v>515</v>
      </c>
      <c r="AG228" t="s">
        <v>516</v>
      </c>
      <c r="AI228" t="s">
        <v>517</v>
      </c>
      <c r="AJ228" t="s">
        <v>518</v>
      </c>
      <c r="AK228" t="str">
        <f>"SUITE 300"</f>
        <v>SUITE 300</v>
      </c>
      <c r="AL228" t="s">
        <v>519</v>
      </c>
      <c r="AM228" t="s">
        <v>171</v>
      </c>
      <c r="AN228" s="3">
        <v>1772</v>
      </c>
      <c r="AO228" t="s">
        <v>101</v>
      </c>
      <c r="AQ228" t="str">
        <f>"+15083897451"</f>
        <v>+15083897451</v>
      </c>
      <c r="AS228" t="s">
        <v>2783</v>
      </c>
      <c r="AT228" t="s">
        <v>102</v>
      </c>
      <c r="AU228" t="str">
        <f>""</f>
        <v/>
      </c>
      <c r="AV228" t="str">
        <f>""</f>
        <v/>
      </c>
      <c r="AW228" t="str">
        <f>""</f>
        <v/>
      </c>
      <c r="AX228" t="str">
        <f>""</f>
        <v/>
      </c>
      <c r="AY228" t="str">
        <f>""</f>
        <v/>
      </c>
      <c r="AZ228" t="str">
        <f>""</f>
        <v/>
      </c>
      <c r="BA228" t="str">
        <f>""</f>
        <v/>
      </c>
      <c r="BC228" t="str">
        <f>""</f>
        <v/>
      </c>
      <c r="BD228" t="str">
        <f>""</f>
        <v/>
      </c>
      <c r="BE228" t="str">
        <f>""</f>
        <v/>
      </c>
      <c r="BF228" t="str">
        <f>""</f>
        <v/>
      </c>
      <c r="BG228" t="str">
        <f>""</f>
        <v/>
      </c>
      <c r="BH228" t="str">
        <f>""</f>
        <v/>
      </c>
      <c r="BI228" t="str">
        <f>""</f>
        <v/>
      </c>
      <c r="BJ228" t="str">
        <f>""</f>
        <v/>
      </c>
      <c r="BK228">
        <v>1</v>
      </c>
      <c r="BL228" t="s">
        <v>107</v>
      </c>
      <c r="BM228" t="str">
        <f>"First Data Corporation"</f>
        <v>First Data Corporation</v>
      </c>
      <c r="BN228" t="s">
        <v>10814</v>
      </c>
      <c r="BP228" t="s">
        <v>4048</v>
      </c>
      <c r="BQ228" t="s">
        <v>214</v>
      </c>
      <c r="BR228" t="s">
        <v>215</v>
      </c>
      <c r="BS228" s="5">
        <v>30342</v>
      </c>
      <c r="BT228" s="2">
        <v>106600</v>
      </c>
      <c r="BV228" t="s">
        <v>105</v>
      </c>
      <c r="BW228" s="2">
        <v>74006</v>
      </c>
      <c r="BX228" t="s">
        <v>105</v>
      </c>
      <c r="BZ228" t="s">
        <v>167</v>
      </c>
      <c r="CA228" t="str">
        <f t="shared" si="13"/>
        <v>7/1/2020 - 6/30/2021</v>
      </c>
      <c r="CF228">
        <v>1</v>
      </c>
      <c r="CG228" t="s">
        <v>98</v>
      </c>
      <c r="CH228" t="s">
        <v>98</v>
      </c>
      <c r="CI228" t="s">
        <v>206</v>
      </c>
      <c r="CJ228" t="s">
        <v>98</v>
      </c>
      <c r="CK228" t="s">
        <v>12323</v>
      </c>
      <c r="CL228" t="s">
        <v>108</v>
      </c>
      <c r="CM228" t="s">
        <v>109</v>
      </c>
      <c r="CN228" t="str">
        <f>""</f>
        <v/>
      </c>
      <c r="CO228" t="str">
        <f>""</f>
        <v/>
      </c>
      <c r="CP228" t="str">
        <f>""</f>
        <v/>
      </c>
      <c r="CQ228" t="str">
        <f>""</f>
        <v/>
      </c>
    </row>
    <row r="229" spans="1:96" x14ac:dyDescent="0.2">
      <c r="A229" t="s">
        <v>10847</v>
      </c>
      <c r="B229" t="s">
        <v>96</v>
      </c>
      <c r="C229" s="1">
        <v>44098</v>
      </c>
      <c r="D229" s="1">
        <v>44105</v>
      </c>
      <c r="F229" t="s">
        <v>97</v>
      </c>
      <c r="G229" t="str">
        <f>"Sr. Data Engineer  "</f>
        <v xml:space="preserve">Sr. Data Engineer  </v>
      </c>
      <c r="H229" t="s">
        <v>12169</v>
      </c>
      <c r="I229" t="s">
        <v>124</v>
      </c>
      <c r="J229" t="s">
        <v>98</v>
      </c>
      <c r="K229" s="1">
        <v>44109</v>
      </c>
      <c r="L229" s="1">
        <v>45203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 t="s">
        <v>5847</v>
      </c>
      <c r="U229" t="str">
        <f>""</f>
        <v/>
      </c>
      <c r="V229" t="s">
        <v>5848</v>
      </c>
      <c r="W229" t="str">
        <f>"Bldg 200, Suite 201"</f>
        <v>Bldg 200, Suite 201</v>
      </c>
      <c r="X229" t="s">
        <v>3974</v>
      </c>
      <c r="Y229" t="s">
        <v>215</v>
      </c>
      <c r="Z229" s="3">
        <v>30024</v>
      </c>
      <c r="AA229" t="s">
        <v>101</v>
      </c>
      <c r="AC229" s="4" t="str">
        <f>"+17709355165"</f>
        <v>+17709355165</v>
      </c>
      <c r="AD229">
        <v>800</v>
      </c>
      <c r="AE229" t="str">
        <f t="shared" si="14"/>
        <v>541511</v>
      </c>
      <c r="AF229" t="s">
        <v>5849</v>
      </c>
      <c r="AG229" t="s">
        <v>5850</v>
      </c>
      <c r="AI229" t="s">
        <v>2765</v>
      </c>
      <c r="AJ229" t="s">
        <v>5848</v>
      </c>
      <c r="AK229" t="str">
        <f>"Bldg 200, Suite 201"</f>
        <v>Bldg 200, Suite 201</v>
      </c>
      <c r="AL229" t="s">
        <v>3974</v>
      </c>
      <c r="AM229" t="s">
        <v>215</v>
      </c>
      <c r="AN229" s="3">
        <v>30024</v>
      </c>
      <c r="AO229" t="s">
        <v>101</v>
      </c>
      <c r="AQ229" t="str">
        <f>"+17709355165"</f>
        <v>+17709355165</v>
      </c>
      <c r="AR229">
        <v>800</v>
      </c>
      <c r="AS229" t="s">
        <v>5851</v>
      </c>
      <c r="AT229" t="s">
        <v>107</v>
      </c>
      <c r="AU229" t="str">
        <f>"Lu"</f>
        <v>Lu</v>
      </c>
      <c r="AV229" t="str">
        <f>"Lucy"</f>
        <v>Lucy</v>
      </c>
      <c r="AW229" t="str">
        <f>""</f>
        <v/>
      </c>
      <c r="AX229" t="str">
        <f>"3475 Lenox Road NE "</f>
        <v xml:space="preserve">3475 Lenox Road NE </v>
      </c>
      <c r="AY229" t="str">
        <f>"Suite 730"</f>
        <v>Suite 730</v>
      </c>
      <c r="AZ229" t="str">
        <f>"Atlanta"</f>
        <v>Atlanta</v>
      </c>
      <c r="BA229" t="str">
        <f>"GA"</f>
        <v>GA</v>
      </c>
      <c r="BB229" s="3">
        <v>30326</v>
      </c>
      <c r="BC229" t="str">
        <f>"UNITED STATES OF AMERICA"</f>
        <v>UNITED STATES OF AMERICA</v>
      </c>
      <c r="BD229" t="str">
        <f>""</f>
        <v/>
      </c>
      <c r="BE229" t="str">
        <f>"+14043437166"</f>
        <v>+14043437166</v>
      </c>
      <c r="BF229" t="str">
        <f>""</f>
        <v/>
      </c>
      <c r="BG229" t="str">
        <f>"info@lucylulaw.com"</f>
        <v>info@lucylulaw.com</v>
      </c>
      <c r="BH229" t="str">
        <f>"Lucy Lu &amp; Associates"</f>
        <v>Lucy Lu &amp; Associates</v>
      </c>
      <c r="BI229" t="str">
        <f>"TN"</f>
        <v>TN</v>
      </c>
      <c r="BJ229" t="str">
        <f>"Supreme Court"</f>
        <v>Supreme Court</v>
      </c>
      <c r="BK229">
        <v>1</v>
      </c>
      <c r="BL229" t="s">
        <v>107</v>
      </c>
      <c r="BM229" t="str">
        <f>"Fox Corporation"</f>
        <v>Fox Corporation</v>
      </c>
      <c r="BN229" t="s">
        <v>4664</v>
      </c>
      <c r="BP229" t="s">
        <v>853</v>
      </c>
      <c r="BQ229" t="s">
        <v>365</v>
      </c>
      <c r="BR229" t="s">
        <v>141</v>
      </c>
      <c r="BS229" s="5">
        <v>90067</v>
      </c>
      <c r="BT229" s="2">
        <v>121000</v>
      </c>
      <c r="BV229" t="s">
        <v>105</v>
      </c>
      <c r="BW229" s="2">
        <v>99632</v>
      </c>
      <c r="BX229" t="s">
        <v>105</v>
      </c>
      <c r="BZ229" t="s">
        <v>167</v>
      </c>
      <c r="CA229" t="str">
        <f t="shared" si="13"/>
        <v>7/1/2020 - 6/30/2021</v>
      </c>
      <c r="CF229">
        <v>2</v>
      </c>
      <c r="CG229" t="s">
        <v>98</v>
      </c>
      <c r="CH229" t="s">
        <v>98</v>
      </c>
      <c r="CI229" t="s">
        <v>206</v>
      </c>
      <c r="CJ229" t="s">
        <v>98</v>
      </c>
      <c r="CK229" t="s">
        <v>12323</v>
      </c>
      <c r="CL229" t="s">
        <v>108</v>
      </c>
      <c r="CM229" t="s">
        <v>109</v>
      </c>
      <c r="CN229" t="str">
        <f>"Hameed"</f>
        <v>Hameed</v>
      </c>
      <c r="CO229" t="str">
        <f>"Sarah"</f>
        <v>Sarah</v>
      </c>
      <c r="CP229" t="str">
        <f>""</f>
        <v/>
      </c>
      <c r="CQ229" t="str">
        <f>"Lucy Lu &amp; Associates "</f>
        <v xml:space="preserve">Lucy Lu &amp; Associates </v>
      </c>
      <c r="CR229" t="s">
        <v>5852</v>
      </c>
    </row>
    <row r="230" spans="1:96" x14ac:dyDescent="0.2">
      <c r="A230" t="s">
        <v>10848</v>
      </c>
      <c r="B230" t="s">
        <v>96</v>
      </c>
      <c r="C230" s="1">
        <v>44098</v>
      </c>
      <c r="D230" s="1">
        <v>44105</v>
      </c>
      <c r="F230" t="s">
        <v>97</v>
      </c>
      <c r="G230" t="str">
        <f>"Programmer Analyst - II"</f>
        <v>Programmer Analyst - II</v>
      </c>
      <c r="H230" t="s">
        <v>12239</v>
      </c>
      <c r="I230" t="s">
        <v>378</v>
      </c>
      <c r="J230" t="s">
        <v>98</v>
      </c>
      <c r="K230" s="1">
        <v>44098</v>
      </c>
      <c r="L230" s="1">
        <v>45192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 t="s">
        <v>669</v>
      </c>
      <c r="U230" t="str">
        <f>""</f>
        <v/>
      </c>
      <c r="V230" t="s">
        <v>670</v>
      </c>
      <c r="W230" t="str">
        <f>""</f>
        <v/>
      </c>
      <c r="X230" t="s">
        <v>671</v>
      </c>
      <c r="Y230" t="s">
        <v>141</v>
      </c>
      <c r="Z230" s="3">
        <v>94085</v>
      </c>
      <c r="AA230" t="s">
        <v>101</v>
      </c>
      <c r="AC230" s="4" t="str">
        <f>"+14087330480"</f>
        <v>+14087330480</v>
      </c>
      <c r="AE230" t="str">
        <f t="shared" si="14"/>
        <v>541511</v>
      </c>
      <c r="AF230" t="s">
        <v>672</v>
      </c>
      <c r="AG230" t="s">
        <v>673</v>
      </c>
      <c r="AI230" t="s">
        <v>674</v>
      </c>
      <c r="AJ230" t="s">
        <v>670</v>
      </c>
      <c r="AK230" t="str">
        <f>""</f>
        <v/>
      </c>
      <c r="AL230" t="s">
        <v>671</v>
      </c>
      <c r="AM230" t="s">
        <v>141</v>
      </c>
      <c r="AN230" s="3">
        <v>94085</v>
      </c>
      <c r="AO230" t="s">
        <v>101</v>
      </c>
      <c r="AQ230" t="str">
        <f>"+14087330480"</f>
        <v>+14087330480</v>
      </c>
      <c r="AS230" t="s">
        <v>675</v>
      </c>
      <c r="AT230" t="s">
        <v>102</v>
      </c>
      <c r="AU230" t="str">
        <f>""</f>
        <v/>
      </c>
      <c r="AV230" t="str">
        <f>""</f>
        <v/>
      </c>
      <c r="AW230" t="str">
        <f>""</f>
        <v/>
      </c>
      <c r="AX230" t="str">
        <f>""</f>
        <v/>
      </c>
      <c r="AY230" t="str">
        <f>""</f>
        <v/>
      </c>
      <c r="AZ230" t="str">
        <f>""</f>
        <v/>
      </c>
      <c r="BA230" t="str">
        <f>""</f>
        <v/>
      </c>
      <c r="BC230" t="str">
        <f>""</f>
        <v/>
      </c>
      <c r="BD230" t="str">
        <f>""</f>
        <v/>
      </c>
      <c r="BE230" t="str">
        <f>""</f>
        <v/>
      </c>
      <c r="BF230" t="str">
        <f>""</f>
        <v/>
      </c>
      <c r="BG230" t="str">
        <f>""</f>
        <v/>
      </c>
      <c r="BH230" t="str">
        <f>""</f>
        <v/>
      </c>
      <c r="BI230" t="str">
        <f>""</f>
        <v/>
      </c>
      <c r="BJ230" t="str">
        <f>""</f>
        <v/>
      </c>
      <c r="BK230">
        <v>1</v>
      </c>
      <c r="BL230" t="s">
        <v>107</v>
      </c>
      <c r="BM230" t="str">
        <f>"United Services Automobile Association"</f>
        <v>United Services Automobile Association</v>
      </c>
      <c r="BN230" t="s">
        <v>5822</v>
      </c>
      <c r="BP230" t="s">
        <v>1512</v>
      </c>
      <c r="BQ230" t="s">
        <v>1513</v>
      </c>
      <c r="BR230" t="s">
        <v>114</v>
      </c>
      <c r="BS230" s="5">
        <v>78288</v>
      </c>
      <c r="BT230" s="2">
        <v>82772</v>
      </c>
      <c r="BV230" t="s">
        <v>105</v>
      </c>
      <c r="BW230" s="2">
        <v>77272</v>
      </c>
      <c r="BX230" t="s">
        <v>105</v>
      </c>
      <c r="BZ230" t="s">
        <v>167</v>
      </c>
      <c r="CA230" t="str">
        <f t="shared" si="13"/>
        <v>7/1/2020 - 6/30/2021</v>
      </c>
      <c r="CF230">
        <v>1</v>
      </c>
      <c r="CG230" t="s">
        <v>98</v>
      </c>
      <c r="CH230" t="s">
        <v>98</v>
      </c>
      <c r="CI230" t="s">
        <v>206</v>
      </c>
      <c r="CJ230" t="s">
        <v>98</v>
      </c>
      <c r="CK230" t="s">
        <v>12323</v>
      </c>
      <c r="CL230" t="s">
        <v>108</v>
      </c>
      <c r="CM230" t="s">
        <v>109</v>
      </c>
      <c r="CN230" t="str">
        <f>""</f>
        <v/>
      </c>
      <c r="CO230" t="str">
        <f>""</f>
        <v/>
      </c>
      <c r="CP230" t="str">
        <f>""</f>
        <v/>
      </c>
      <c r="CQ230" t="str">
        <f>""</f>
        <v/>
      </c>
    </row>
    <row r="231" spans="1:96" x14ac:dyDescent="0.2">
      <c r="A231" t="s">
        <v>10862</v>
      </c>
      <c r="B231" t="s">
        <v>96</v>
      </c>
      <c r="C231" s="1">
        <v>44098</v>
      </c>
      <c r="D231" s="1">
        <v>44105</v>
      </c>
      <c r="F231" t="s">
        <v>97</v>
      </c>
      <c r="G231" t="str">
        <f>"Engagement Manager"</f>
        <v>Engagement Manager</v>
      </c>
      <c r="H231" t="s">
        <v>12227</v>
      </c>
      <c r="I231" t="s">
        <v>766</v>
      </c>
      <c r="J231" t="s">
        <v>98</v>
      </c>
      <c r="K231" s="1">
        <v>44109</v>
      </c>
      <c r="L231" s="1">
        <v>45201</v>
      </c>
      <c r="M231">
        <v>5</v>
      </c>
      <c r="N231">
        <v>0</v>
      </c>
      <c r="O231">
        <v>0</v>
      </c>
      <c r="P231">
        <v>5</v>
      </c>
      <c r="Q231">
        <v>0</v>
      </c>
      <c r="R231">
        <v>0</v>
      </c>
      <c r="S231">
        <v>0</v>
      </c>
      <c r="T231" t="s">
        <v>723</v>
      </c>
      <c r="U231" t="str">
        <f>""</f>
        <v/>
      </c>
      <c r="V231" t="s">
        <v>724</v>
      </c>
      <c r="W231" t="str">
        <f>"STE C150"</f>
        <v>STE C150</v>
      </c>
      <c r="X231" t="s">
        <v>725</v>
      </c>
      <c r="Y231" t="s">
        <v>114</v>
      </c>
      <c r="Z231" s="3">
        <v>75082</v>
      </c>
      <c r="AA231" t="s">
        <v>101</v>
      </c>
      <c r="AC231" s="4" t="str">
        <f>"+12143062100"</f>
        <v>+12143062100</v>
      </c>
      <c r="AE231" t="str">
        <f t="shared" si="14"/>
        <v>541511</v>
      </c>
      <c r="AF231" t="s">
        <v>726</v>
      </c>
      <c r="AG231" t="s">
        <v>727</v>
      </c>
      <c r="AI231" t="s">
        <v>728</v>
      </c>
      <c r="AJ231" t="s">
        <v>724</v>
      </c>
      <c r="AK231" t="str">
        <f>"STE C150"</f>
        <v>STE C150</v>
      </c>
      <c r="AL231" t="s">
        <v>725</v>
      </c>
      <c r="AM231" t="s">
        <v>114</v>
      </c>
      <c r="AN231" s="3">
        <v>75082</v>
      </c>
      <c r="AO231" t="s">
        <v>101</v>
      </c>
      <c r="AQ231" t="str">
        <f>"+12143062100"</f>
        <v>+12143062100</v>
      </c>
      <c r="AS231" t="s">
        <v>729</v>
      </c>
      <c r="AT231" t="s">
        <v>102</v>
      </c>
      <c r="AU231" t="str">
        <f>""</f>
        <v/>
      </c>
      <c r="AV231" t="str">
        <f>""</f>
        <v/>
      </c>
      <c r="AW231" t="str">
        <f>""</f>
        <v/>
      </c>
      <c r="AX231" t="str">
        <f>""</f>
        <v/>
      </c>
      <c r="AY231" t="str">
        <f>""</f>
        <v/>
      </c>
      <c r="AZ231" t="str">
        <f>""</f>
        <v/>
      </c>
      <c r="BA231" t="str">
        <f>""</f>
        <v/>
      </c>
      <c r="BC231" t="str">
        <f>""</f>
        <v/>
      </c>
      <c r="BD231" t="str">
        <f>""</f>
        <v/>
      </c>
      <c r="BE231" t="str">
        <f>""</f>
        <v/>
      </c>
      <c r="BF231" t="str">
        <f>""</f>
        <v/>
      </c>
      <c r="BG231" t="str">
        <f>""</f>
        <v/>
      </c>
      <c r="BH231" t="str">
        <f>""</f>
        <v/>
      </c>
      <c r="BI231" t="str">
        <f>""</f>
        <v/>
      </c>
      <c r="BJ231" t="str">
        <f>""</f>
        <v/>
      </c>
      <c r="BK231">
        <v>5</v>
      </c>
      <c r="BL231" t="s">
        <v>102</v>
      </c>
      <c r="BM231" t="str">
        <f>""</f>
        <v/>
      </c>
      <c r="BN231" t="s">
        <v>10863</v>
      </c>
      <c r="BO231" t="s">
        <v>754</v>
      </c>
      <c r="BP231" t="s">
        <v>299</v>
      </c>
      <c r="BQ231" t="s">
        <v>257</v>
      </c>
      <c r="BR231" t="s">
        <v>258</v>
      </c>
      <c r="BS231" s="5">
        <v>85029</v>
      </c>
      <c r="BT231" s="2">
        <v>153754</v>
      </c>
      <c r="BU231" s="2">
        <v>264075</v>
      </c>
      <c r="BV231" t="s">
        <v>105</v>
      </c>
      <c r="BW231" s="2">
        <v>153754</v>
      </c>
      <c r="BX231" t="s">
        <v>105</v>
      </c>
      <c r="BZ231" t="s">
        <v>159</v>
      </c>
      <c r="CA231" t="str">
        <f t="shared" si="13"/>
        <v>7/1/2020 - 6/30/2021</v>
      </c>
      <c r="CF231">
        <v>1</v>
      </c>
      <c r="CG231" t="s">
        <v>98</v>
      </c>
      <c r="CH231" t="s">
        <v>98</v>
      </c>
      <c r="CI231" t="s">
        <v>206</v>
      </c>
      <c r="CJ231" t="s">
        <v>98</v>
      </c>
      <c r="CK231" t="s">
        <v>12323</v>
      </c>
      <c r="CL231" t="s">
        <v>108</v>
      </c>
      <c r="CM231" t="s">
        <v>109</v>
      </c>
      <c r="CN231" t="str">
        <f>"ALI"</f>
        <v>ALI</v>
      </c>
      <c r="CO231" t="str">
        <f>"ASIF"</f>
        <v>ASIF</v>
      </c>
      <c r="CP231" t="str">
        <f>""</f>
        <v/>
      </c>
      <c r="CQ231" t="str">
        <f>"INFOSYS LIMITED"</f>
        <v>INFOSYS LIMITED</v>
      </c>
      <c r="CR231" t="s">
        <v>796</v>
      </c>
    </row>
    <row r="232" spans="1:96" x14ac:dyDescent="0.2">
      <c r="A232" t="s">
        <v>10865</v>
      </c>
      <c r="B232" t="s">
        <v>96</v>
      </c>
      <c r="C232" s="1">
        <v>44098</v>
      </c>
      <c r="D232" s="1">
        <v>44105</v>
      </c>
      <c r="F232" t="s">
        <v>97</v>
      </c>
      <c r="G232" t="str">
        <f>"Software Developer"</f>
        <v>Software Developer</v>
      </c>
      <c r="H232" t="s">
        <v>12169</v>
      </c>
      <c r="I232" t="s">
        <v>124</v>
      </c>
      <c r="J232" t="s">
        <v>98</v>
      </c>
      <c r="K232" s="1">
        <v>44245</v>
      </c>
      <c r="L232" s="1">
        <v>45338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 t="s">
        <v>5107</v>
      </c>
      <c r="U232" t="str">
        <f>""</f>
        <v/>
      </c>
      <c r="V232" t="s">
        <v>5948</v>
      </c>
      <c r="W232" t="str">
        <f>"ste 400"</f>
        <v>ste 400</v>
      </c>
      <c r="X232" t="s">
        <v>1400</v>
      </c>
      <c r="Y232" t="s">
        <v>608</v>
      </c>
      <c r="Z232" s="3">
        <v>50309</v>
      </c>
      <c r="AA232" t="s">
        <v>101</v>
      </c>
      <c r="AC232" s="4" t="str">
        <f>"+15157087427"</f>
        <v>+15157087427</v>
      </c>
      <c r="AE232" t="str">
        <f t="shared" si="14"/>
        <v>541511</v>
      </c>
      <c r="AF232" t="s">
        <v>5108</v>
      </c>
      <c r="AG232" t="s">
        <v>5109</v>
      </c>
      <c r="AI232" t="s">
        <v>646</v>
      </c>
      <c r="AJ232" t="s">
        <v>5948</v>
      </c>
      <c r="AK232" t="str">
        <f>"ste 400"</f>
        <v>ste 400</v>
      </c>
      <c r="AL232" t="s">
        <v>1400</v>
      </c>
      <c r="AM232" t="s">
        <v>608</v>
      </c>
      <c r="AN232" s="3">
        <v>50309</v>
      </c>
      <c r="AO232" t="s">
        <v>101</v>
      </c>
      <c r="AQ232" t="str">
        <f>"+15157087427"</f>
        <v>+15157087427</v>
      </c>
      <c r="AS232" t="s">
        <v>5110</v>
      </c>
      <c r="AT232" t="s">
        <v>102</v>
      </c>
      <c r="AU232" t="str">
        <f>""</f>
        <v/>
      </c>
      <c r="AV232" t="str">
        <f>""</f>
        <v/>
      </c>
      <c r="AW232" t="str">
        <f>""</f>
        <v/>
      </c>
      <c r="AX232" t="str">
        <f>""</f>
        <v/>
      </c>
      <c r="AY232" t="str">
        <f>""</f>
        <v/>
      </c>
      <c r="AZ232" t="str">
        <f>""</f>
        <v/>
      </c>
      <c r="BA232" t="str">
        <f>""</f>
        <v/>
      </c>
      <c r="BC232" t="str">
        <f>""</f>
        <v/>
      </c>
      <c r="BD232" t="str">
        <f>""</f>
        <v/>
      </c>
      <c r="BE232" t="str">
        <f>""</f>
        <v/>
      </c>
      <c r="BF232" t="str">
        <f>""</f>
        <v/>
      </c>
      <c r="BG232" t="str">
        <f>""</f>
        <v/>
      </c>
      <c r="BH232" t="str">
        <f>""</f>
        <v/>
      </c>
      <c r="BI232" t="str">
        <f>""</f>
        <v/>
      </c>
      <c r="BJ232" t="str">
        <f>""</f>
        <v/>
      </c>
      <c r="BK232">
        <v>1</v>
      </c>
      <c r="BL232" t="s">
        <v>107</v>
      </c>
      <c r="BM232" t="str">
        <f>"Principal Financial Group"</f>
        <v>Principal Financial Group</v>
      </c>
      <c r="BN232" t="s">
        <v>10866</v>
      </c>
      <c r="BP232" t="s">
        <v>1400</v>
      </c>
      <c r="BQ232" t="s">
        <v>1014</v>
      </c>
      <c r="BR232" t="s">
        <v>608</v>
      </c>
      <c r="BS232" s="5">
        <v>50309</v>
      </c>
      <c r="BT232" s="2">
        <v>88000</v>
      </c>
      <c r="BV232" t="s">
        <v>105</v>
      </c>
      <c r="BW232" s="2">
        <v>84760</v>
      </c>
      <c r="BX232" t="s">
        <v>105</v>
      </c>
      <c r="BZ232" t="s">
        <v>167</v>
      </c>
      <c r="CA232" t="str">
        <f t="shared" si="13"/>
        <v>7/1/2020 - 6/30/2021</v>
      </c>
      <c r="CF232">
        <v>1</v>
      </c>
      <c r="CG232" t="s">
        <v>98</v>
      </c>
      <c r="CH232" t="s">
        <v>98</v>
      </c>
      <c r="CI232" t="s">
        <v>206</v>
      </c>
      <c r="CJ232" t="s">
        <v>98</v>
      </c>
      <c r="CK232" t="s">
        <v>12323</v>
      </c>
      <c r="CL232" t="s">
        <v>108</v>
      </c>
      <c r="CM232" t="s">
        <v>109</v>
      </c>
      <c r="CN232" t="str">
        <f>""</f>
        <v/>
      </c>
      <c r="CO232" t="str">
        <f>""</f>
        <v/>
      </c>
      <c r="CP232" t="str">
        <f>""</f>
        <v/>
      </c>
      <c r="CQ232" t="str">
        <f>""</f>
        <v/>
      </c>
    </row>
    <row r="233" spans="1:96" x14ac:dyDescent="0.2">
      <c r="A233" t="s">
        <v>10868</v>
      </c>
      <c r="B233" t="s">
        <v>96</v>
      </c>
      <c r="C233" s="1">
        <v>44098</v>
      </c>
      <c r="D233" s="1">
        <v>44105</v>
      </c>
      <c r="F233" t="s">
        <v>97</v>
      </c>
      <c r="G233" t="str">
        <f>"Software Developer"</f>
        <v>Software Developer</v>
      </c>
      <c r="H233" t="s">
        <v>12169</v>
      </c>
      <c r="I233" t="s">
        <v>124</v>
      </c>
      <c r="J233" t="s">
        <v>98</v>
      </c>
      <c r="K233" s="1">
        <v>44099</v>
      </c>
      <c r="L233" s="1">
        <v>45193</v>
      </c>
      <c r="M233">
        <v>6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 t="s">
        <v>2509</v>
      </c>
      <c r="U233" t="str">
        <f>"Mastech Digital InfoTech, Inc."</f>
        <v>Mastech Digital InfoTech, Inc.</v>
      </c>
      <c r="V233" t="s">
        <v>1081</v>
      </c>
      <c r="W233" t="str">
        <f>"Bldg. 210, Suite 400"</f>
        <v>Bldg. 210, Suite 400</v>
      </c>
      <c r="X233" t="s">
        <v>1082</v>
      </c>
      <c r="Y233" t="s">
        <v>127</v>
      </c>
      <c r="Z233" s="3">
        <v>15108</v>
      </c>
      <c r="AA233" t="s">
        <v>101</v>
      </c>
      <c r="AB233" t="s">
        <v>2510</v>
      </c>
      <c r="AC233" s="4" t="str">
        <f>"+14127879553"</f>
        <v>+14127879553</v>
      </c>
      <c r="AE233" t="str">
        <f t="shared" si="14"/>
        <v>541511</v>
      </c>
      <c r="AF233" t="s">
        <v>1083</v>
      </c>
      <c r="AG233" t="s">
        <v>1084</v>
      </c>
      <c r="AI233" t="s">
        <v>1085</v>
      </c>
      <c r="AJ233" t="s">
        <v>1081</v>
      </c>
      <c r="AK233" t="str">
        <f>"Bldg. 210, Ste 400"</f>
        <v>Bldg. 210, Ste 400</v>
      </c>
      <c r="AL233" t="s">
        <v>1082</v>
      </c>
      <c r="AM233" t="s">
        <v>127</v>
      </c>
      <c r="AN233" s="3">
        <v>15108</v>
      </c>
      <c r="AO233" t="s">
        <v>101</v>
      </c>
      <c r="AQ233" t="str">
        <f>"+14127879553"</f>
        <v>+14127879553</v>
      </c>
      <c r="AS233" t="s">
        <v>1086</v>
      </c>
      <c r="AT233" t="s">
        <v>102</v>
      </c>
      <c r="AU233" t="str">
        <f>""</f>
        <v/>
      </c>
      <c r="AV233" t="str">
        <f>""</f>
        <v/>
      </c>
      <c r="AW233" t="str">
        <f>""</f>
        <v/>
      </c>
      <c r="AX233" t="str">
        <f>""</f>
        <v/>
      </c>
      <c r="AY233" t="str">
        <f>""</f>
        <v/>
      </c>
      <c r="AZ233" t="str">
        <f>""</f>
        <v/>
      </c>
      <c r="BA233" t="str">
        <f>""</f>
        <v/>
      </c>
      <c r="BC233" t="str">
        <f>""</f>
        <v/>
      </c>
      <c r="BD233" t="str">
        <f>""</f>
        <v/>
      </c>
      <c r="BE233" t="str">
        <f>""</f>
        <v/>
      </c>
      <c r="BF233" t="str">
        <f>""</f>
        <v/>
      </c>
      <c r="BG233" t="str">
        <f>""</f>
        <v/>
      </c>
      <c r="BH233" t="str">
        <f>""</f>
        <v/>
      </c>
      <c r="BI233" t="str">
        <f>""</f>
        <v/>
      </c>
      <c r="BJ233" t="str">
        <f>""</f>
        <v/>
      </c>
      <c r="BK233">
        <v>6</v>
      </c>
      <c r="BL233" t="s">
        <v>107</v>
      </c>
      <c r="BM233" t="str">
        <f>"PNC Bank"</f>
        <v>PNC Bank</v>
      </c>
      <c r="BN233" t="s">
        <v>3761</v>
      </c>
      <c r="BP233" t="s">
        <v>333</v>
      </c>
      <c r="BQ233" t="s">
        <v>861</v>
      </c>
      <c r="BR233" t="s">
        <v>127</v>
      </c>
      <c r="BS233" s="5">
        <v>15222</v>
      </c>
      <c r="BT233" s="2">
        <v>80142</v>
      </c>
      <c r="BU233" s="2">
        <v>95142</v>
      </c>
      <c r="BV233" t="s">
        <v>105</v>
      </c>
      <c r="BW233" s="2">
        <v>80142</v>
      </c>
      <c r="BX233" t="s">
        <v>105</v>
      </c>
      <c r="BZ233" t="s">
        <v>167</v>
      </c>
      <c r="CA233" t="str">
        <f t="shared" si="13"/>
        <v>7/1/2020 - 6/30/2021</v>
      </c>
      <c r="CF233">
        <v>2</v>
      </c>
      <c r="CG233" t="s">
        <v>98</v>
      </c>
      <c r="CH233" t="s">
        <v>98</v>
      </c>
      <c r="CI233" t="s">
        <v>206</v>
      </c>
      <c r="CJ233" t="s">
        <v>98</v>
      </c>
      <c r="CK233" t="s">
        <v>12323</v>
      </c>
      <c r="CL233" t="s">
        <v>108</v>
      </c>
      <c r="CM233" t="s">
        <v>109</v>
      </c>
      <c r="CN233" t="str">
        <f>""</f>
        <v/>
      </c>
      <c r="CO233" t="str">
        <f>""</f>
        <v/>
      </c>
      <c r="CP233" t="str">
        <f>""</f>
        <v/>
      </c>
      <c r="CQ233" t="str">
        <f>""</f>
        <v/>
      </c>
    </row>
    <row r="234" spans="1:96" x14ac:dyDescent="0.2">
      <c r="A234" t="s">
        <v>10880</v>
      </c>
      <c r="B234" t="s">
        <v>96</v>
      </c>
      <c r="C234" s="1">
        <v>44098</v>
      </c>
      <c r="D234" s="1">
        <v>44105</v>
      </c>
      <c r="F234" t="s">
        <v>97</v>
      </c>
      <c r="G234" t="str">
        <f>"ETL Developer (Software Developer, Applications)"</f>
        <v>ETL Developer (Software Developer, Applications)</v>
      </c>
      <c r="H234" t="s">
        <v>12169</v>
      </c>
      <c r="I234" t="s">
        <v>124</v>
      </c>
      <c r="J234" t="s">
        <v>98</v>
      </c>
      <c r="K234" s="1">
        <v>44105</v>
      </c>
      <c r="L234" s="1">
        <v>45199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 t="s">
        <v>2232</v>
      </c>
      <c r="U234" t="str">
        <f>""</f>
        <v/>
      </c>
      <c r="V234" t="s">
        <v>2233</v>
      </c>
      <c r="W234" t="str">
        <f>"Building 3, 2nd Floor, Suite 350"</f>
        <v>Building 3, 2nd Floor, Suite 350</v>
      </c>
      <c r="X234" t="s">
        <v>2234</v>
      </c>
      <c r="Y234" t="s">
        <v>100</v>
      </c>
      <c r="Z234" s="3">
        <v>7701</v>
      </c>
      <c r="AA234" t="s">
        <v>101</v>
      </c>
      <c r="AC234" s="4" t="str">
        <f>"+17327596080"</f>
        <v>+17327596080</v>
      </c>
      <c r="AE234" t="str">
        <f>"5415"</f>
        <v>5415</v>
      </c>
      <c r="AF234" t="s">
        <v>2235</v>
      </c>
      <c r="AG234" t="s">
        <v>2236</v>
      </c>
      <c r="AI234" t="s">
        <v>2237</v>
      </c>
      <c r="AJ234" t="s">
        <v>2238</v>
      </c>
      <c r="AK234" t="str">
        <f>"Building 3, 2nd Floor, Suite 350 "</f>
        <v xml:space="preserve">Building 3, 2nd Floor, Suite 350 </v>
      </c>
      <c r="AL234" t="s">
        <v>2239</v>
      </c>
      <c r="AM234" t="s">
        <v>100</v>
      </c>
      <c r="AN234" s="3">
        <v>7701</v>
      </c>
      <c r="AO234" t="s">
        <v>101</v>
      </c>
      <c r="AQ234" t="str">
        <f>"+17327596080"</f>
        <v>+17327596080</v>
      </c>
      <c r="AS234" t="s">
        <v>2240</v>
      </c>
      <c r="AT234" t="s">
        <v>107</v>
      </c>
      <c r="AU234" t="str">
        <f>"Hammond"</f>
        <v>Hammond</v>
      </c>
      <c r="AV234" t="str">
        <f>"Michael "</f>
        <v xml:space="preserve">Michael </v>
      </c>
      <c r="AW234" t="str">
        <f>"F. "</f>
        <v xml:space="preserve">F. </v>
      </c>
      <c r="AX234" t="str">
        <f>"441 Vine Street "</f>
        <v xml:space="preserve">441 Vine Street </v>
      </c>
      <c r="AY234" t="str">
        <f>"Suite 3200 "</f>
        <v xml:space="preserve">Suite 3200 </v>
      </c>
      <c r="AZ234" t="str">
        <f>"Cincinnati"</f>
        <v>Cincinnati</v>
      </c>
      <c r="BA234" t="str">
        <f>"OH"</f>
        <v>OH</v>
      </c>
      <c r="BB234" s="3">
        <v>45202</v>
      </c>
      <c r="BC234" t="str">
        <f>"UNITED STATES OF AMERICA"</f>
        <v>UNITED STATES OF AMERICA</v>
      </c>
      <c r="BD234" t="str">
        <f>""</f>
        <v/>
      </c>
      <c r="BE234" t="str">
        <f>"+15133812011"</f>
        <v>+15133812011</v>
      </c>
      <c r="BF234" t="str">
        <f>""</f>
        <v/>
      </c>
      <c r="BG234" t="str">
        <f>"megan.belinsky@hammondlawgroup.com"</f>
        <v>megan.belinsky@hammondlawgroup.com</v>
      </c>
      <c r="BH234" t="str">
        <f>"Hammond Law Group LLC"</f>
        <v>Hammond Law Group LLC</v>
      </c>
      <c r="BI234" t="str">
        <f>"OH"</f>
        <v>OH</v>
      </c>
      <c r="BJ234" t="str">
        <f>"SUPREME COURT"</f>
        <v>SUPREME COURT</v>
      </c>
      <c r="BK234">
        <v>1</v>
      </c>
      <c r="BL234" t="s">
        <v>107</v>
      </c>
      <c r="BM234" t="str">
        <f>"Wells Fargo "</f>
        <v xml:space="preserve">Wells Fargo </v>
      </c>
      <c r="BN234" t="s">
        <v>10881</v>
      </c>
      <c r="BP234" t="s">
        <v>604</v>
      </c>
      <c r="BQ234" t="s">
        <v>121</v>
      </c>
      <c r="BR234" t="s">
        <v>122</v>
      </c>
      <c r="BS234" s="5">
        <v>28262</v>
      </c>
      <c r="BT234" s="2">
        <v>41.1</v>
      </c>
      <c r="BU234" s="2">
        <v>68.5</v>
      </c>
      <c r="BV234" t="s">
        <v>210</v>
      </c>
      <c r="BW234" s="2">
        <v>41.1</v>
      </c>
      <c r="BX234" t="s">
        <v>210</v>
      </c>
      <c r="BZ234" t="s">
        <v>167</v>
      </c>
      <c r="CA234" t="str">
        <f t="shared" si="13"/>
        <v>7/1/2020 - 6/30/2021</v>
      </c>
      <c r="CF234">
        <v>2</v>
      </c>
      <c r="CG234" t="s">
        <v>98</v>
      </c>
      <c r="CH234" t="s">
        <v>98</v>
      </c>
      <c r="CI234" t="s">
        <v>206</v>
      </c>
      <c r="CJ234" t="s">
        <v>98</v>
      </c>
      <c r="CK234" t="s">
        <v>12323</v>
      </c>
      <c r="CL234" t="s">
        <v>108</v>
      </c>
      <c r="CM234" t="s">
        <v>109</v>
      </c>
      <c r="CN234" t="str">
        <f>""</f>
        <v/>
      </c>
      <c r="CO234" t="str">
        <f>""</f>
        <v/>
      </c>
      <c r="CP234" t="str">
        <f>""</f>
        <v/>
      </c>
      <c r="CQ234" t="str">
        <f>""</f>
        <v/>
      </c>
    </row>
    <row r="235" spans="1:96" x14ac:dyDescent="0.2">
      <c r="A235" t="s">
        <v>10882</v>
      </c>
      <c r="B235" t="s">
        <v>96</v>
      </c>
      <c r="C235" s="1">
        <v>44098</v>
      </c>
      <c r="D235" s="1">
        <v>44105</v>
      </c>
      <c r="F235" t="s">
        <v>97</v>
      </c>
      <c r="G235" t="str">
        <f>"Manager JC50"</f>
        <v>Manager JC50</v>
      </c>
      <c r="H235" t="s">
        <v>12181</v>
      </c>
      <c r="I235" t="s">
        <v>110</v>
      </c>
      <c r="J235" t="s">
        <v>98</v>
      </c>
      <c r="K235" s="1">
        <v>44227</v>
      </c>
      <c r="L235" s="1">
        <v>45321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 t="s">
        <v>111</v>
      </c>
      <c r="U235" t="str">
        <f>"CTSUS"</f>
        <v>CTSUS</v>
      </c>
      <c r="V235" t="s">
        <v>112</v>
      </c>
      <c r="W235" t="str">
        <f>""</f>
        <v/>
      </c>
      <c r="X235" t="s">
        <v>113</v>
      </c>
      <c r="Y235" t="s">
        <v>114</v>
      </c>
      <c r="Z235" s="3">
        <v>77845</v>
      </c>
      <c r="AA235" t="s">
        <v>101</v>
      </c>
      <c r="AB235" t="s">
        <v>114</v>
      </c>
      <c r="AC235" s="4" t="str">
        <f>"+19793296682"</f>
        <v>+19793296682</v>
      </c>
      <c r="AE235" t="str">
        <f>"541512"</f>
        <v>541512</v>
      </c>
      <c r="AF235" t="s">
        <v>115</v>
      </c>
      <c r="AG235" t="s">
        <v>116</v>
      </c>
      <c r="AH235" t="s">
        <v>108</v>
      </c>
      <c r="AI235" t="s">
        <v>117</v>
      </c>
      <c r="AJ235" t="s">
        <v>118</v>
      </c>
      <c r="AK235" t="str">
        <f>""</f>
        <v/>
      </c>
      <c r="AL235" t="s">
        <v>119</v>
      </c>
      <c r="AM235" t="s">
        <v>114</v>
      </c>
      <c r="AN235" s="3">
        <v>77845</v>
      </c>
      <c r="AO235" t="s">
        <v>101</v>
      </c>
      <c r="AQ235" t="str">
        <f>"+19793296682"</f>
        <v>+19793296682</v>
      </c>
      <c r="AS235" t="s">
        <v>120</v>
      </c>
      <c r="AT235" t="s">
        <v>102</v>
      </c>
      <c r="AU235" t="str">
        <f>""</f>
        <v/>
      </c>
      <c r="AV235" t="str">
        <f>""</f>
        <v/>
      </c>
      <c r="AW235" t="str">
        <f>""</f>
        <v/>
      </c>
      <c r="AX235" t="str">
        <f>""</f>
        <v/>
      </c>
      <c r="AY235" t="str">
        <f>""</f>
        <v/>
      </c>
      <c r="AZ235" t="str">
        <f>""</f>
        <v/>
      </c>
      <c r="BA235" t="str">
        <f>""</f>
        <v/>
      </c>
      <c r="BC235" t="str">
        <f>""</f>
        <v/>
      </c>
      <c r="BD235" t="str">
        <f>""</f>
        <v/>
      </c>
      <c r="BE235" t="str">
        <f>""</f>
        <v/>
      </c>
      <c r="BF235" t="str">
        <f>""</f>
        <v/>
      </c>
      <c r="BG235" t="str">
        <f>""</f>
        <v/>
      </c>
      <c r="BH235" t="str">
        <f>""</f>
        <v/>
      </c>
      <c r="BI235" t="str">
        <f>""</f>
        <v/>
      </c>
      <c r="BJ235" t="str">
        <f>""</f>
        <v/>
      </c>
      <c r="BK235">
        <v>1</v>
      </c>
      <c r="BL235" t="s">
        <v>107</v>
      </c>
      <c r="BM235" t="str">
        <f>"Dun &amp; Bradstreet"</f>
        <v>Dun &amp; Bradstreet</v>
      </c>
      <c r="BN235" t="s">
        <v>9195</v>
      </c>
      <c r="BP235" t="s">
        <v>1567</v>
      </c>
      <c r="BQ235" t="s">
        <v>309</v>
      </c>
      <c r="BR235" t="s">
        <v>100</v>
      </c>
      <c r="BS235" s="5">
        <v>7078</v>
      </c>
      <c r="BT235" s="2">
        <v>114067</v>
      </c>
      <c r="BV235" t="s">
        <v>105</v>
      </c>
      <c r="BW235" s="2">
        <v>114067</v>
      </c>
      <c r="BX235" t="s">
        <v>105</v>
      </c>
      <c r="BZ235" t="s">
        <v>123</v>
      </c>
      <c r="CA235" t="str">
        <f t="shared" si="13"/>
        <v>7/1/2020 - 6/30/2021</v>
      </c>
      <c r="CF235">
        <v>1</v>
      </c>
      <c r="CG235" t="s">
        <v>98</v>
      </c>
      <c r="CH235" t="s">
        <v>98</v>
      </c>
      <c r="CI235" t="s">
        <v>206</v>
      </c>
      <c r="CJ235" t="s">
        <v>98</v>
      </c>
      <c r="CK235" t="s">
        <v>12323</v>
      </c>
      <c r="CL235" t="s">
        <v>108</v>
      </c>
      <c r="CM235" t="s">
        <v>109</v>
      </c>
      <c r="CN235" t="str">
        <f>""</f>
        <v/>
      </c>
      <c r="CO235" t="str">
        <f>""</f>
        <v/>
      </c>
      <c r="CP235" t="str">
        <f>""</f>
        <v/>
      </c>
      <c r="CQ235" t="str">
        <f>""</f>
        <v/>
      </c>
    </row>
    <row r="236" spans="1:96" x14ac:dyDescent="0.2">
      <c r="A236" t="s">
        <v>10886</v>
      </c>
      <c r="B236" t="s">
        <v>96</v>
      </c>
      <c r="C236" s="1">
        <v>44098</v>
      </c>
      <c r="D236" s="1">
        <v>44105</v>
      </c>
      <c r="F236" t="s">
        <v>97</v>
      </c>
      <c r="G236" t="str">
        <f>"Software Engineer"</f>
        <v>Software Engineer</v>
      </c>
      <c r="H236" t="s">
        <v>12169</v>
      </c>
      <c r="I236" t="s">
        <v>124</v>
      </c>
      <c r="J236" t="s">
        <v>98</v>
      </c>
      <c r="K236" s="1">
        <v>44109</v>
      </c>
      <c r="L236" s="1">
        <v>45203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 t="s">
        <v>3197</v>
      </c>
      <c r="U236" t="str">
        <f>""</f>
        <v/>
      </c>
      <c r="V236" t="s">
        <v>3198</v>
      </c>
      <c r="W236" t="str">
        <f>"Suite 411"</f>
        <v>Suite 411</v>
      </c>
      <c r="X236" t="s">
        <v>394</v>
      </c>
      <c r="Y236" t="s">
        <v>114</v>
      </c>
      <c r="Z236" s="3">
        <v>77036</v>
      </c>
      <c r="AA236" t="s">
        <v>101</v>
      </c>
      <c r="AC236" s="4" t="str">
        <f>"+18327064273"</f>
        <v>+18327064273</v>
      </c>
      <c r="AE236" t="str">
        <f>"541511"</f>
        <v>541511</v>
      </c>
      <c r="AF236" t="s">
        <v>3199</v>
      </c>
      <c r="AG236" t="s">
        <v>3200</v>
      </c>
      <c r="AI236" t="s">
        <v>298</v>
      </c>
      <c r="AJ236" t="s">
        <v>3198</v>
      </c>
      <c r="AK236" t="str">
        <f>"Suite 411"</f>
        <v>Suite 411</v>
      </c>
      <c r="AL236" t="s">
        <v>394</v>
      </c>
      <c r="AM236" t="s">
        <v>114</v>
      </c>
      <c r="AN236" s="3">
        <v>77036</v>
      </c>
      <c r="AO236" t="s">
        <v>101</v>
      </c>
      <c r="AQ236" t="str">
        <f>"+18327064273"</f>
        <v>+18327064273</v>
      </c>
      <c r="AS236" t="s">
        <v>10887</v>
      </c>
      <c r="AT236" t="s">
        <v>102</v>
      </c>
      <c r="AU236" t="str">
        <f>""</f>
        <v/>
      </c>
      <c r="AV236" t="str">
        <f>""</f>
        <v/>
      </c>
      <c r="AW236" t="str">
        <f>""</f>
        <v/>
      </c>
      <c r="AX236" t="str">
        <f>""</f>
        <v/>
      </c>
      <c r="AY236" t="str">
        <f>""</f>
        <v/>
      </c>
      <c r="AZ236" t="str">
        <f>""</f>
        <v/>
      </c>
      <c r="BA236" t="str">
        <f>""</f>
        <v/>
      </c>
      <c r="BC236" t="str">
        <f>""</f>
        <v/>
      </c>
      <c r="BD236" t="str">
        <f>""</f>
        <v/>
      </c>
      <c r="BE236" t="str">
        <f>""</f>
        <v/>
      </c>
      <c r="BF236" t="str">
        <f>""</f>
        <v/>
      </c>
      <c r="BG236" t="str">
        <f>""</f>
        <v/>
      </c>
      <c r="BH236" t="str">
        <f>""</f>
        <v/>
      </c>
      <c r="BI236" t="str">
        <f>""</f>
        <v/>
      </c>
      <c r="BJ236" t="str">
        <f>""</f>
        <v/>
      </c>
      <c r="BK236">
        <v>1</v>
      </c>
      <c r="BL236" t="s">
        <v>107</v>
      </c>
      <c r="BM236" t="str">
        <f>"Prudential Financial"</f>
        <v>Prudential Financial</v>
      </c>
      <c r="BN236" t="s">
        <v>3916</v>
      </c>
      <c r="BP236" t="s">
        <v>2451</v>
      </c>
      <c r="BQ236" t="s">
        <v>309</v>
      </c>
      <c r="BR236" t="s">
        <v>100</v>
      </c>
      <c r="BS236" s="5">
        <v>7068</v>
      </c>
      <c r="BT236" s="2">
        <v>101000</v>
      </c>
      <c r="BV236" t="s">
        <v>105</v>
      </c>
      <c r="BW236" s="2">
        <v>100526</v>
      </c>
      <c r="BX236" t="s">
        <v>105</v>
      </c>
      <c r="BZ236" t="s">
        <v>167</v>
      </c>
      <c r="CA236" t="str">
        <f t="shared" si="13"/>
        <v>7/1/2020 - 6/30/2021</v>
      </c>
      <c r="CF236">
        <v>1</v>
      </c>
      <c r="CG236" t="s">
        <v>98</v>
      </c>
      <c r="CH236" t="s">
        <v>98</v>
      </c>
      <c r="CI236" t="s">
        <v>206</v>
      </c>
      <c r="CJ236" t="s">
        <v>98</v>
      </c>
      <c r="CK236" t="s">
        <v>12323</v>
      </c>
      <c r="CL236" t="s">
        <v>108</v>
      </c>
      <c r="CM236" t="s">
        <v>109</v>
      </c>
      <c r="CN236" t="str">
        <f>""</f>
        <v/>
      </c>
      <c r="CO236" t="str">
        <f>""</f>
        <v/>
      </c>
      <c r="CP236" t="str">
        <f>""</f>
        <v/>
      </c>
      <c r="CQ236" t="str">
        <f>""</f>
        <v/>
      </c>
    </row>
    <row r="237" spans="1:96" x14ac:dyDescent="0.2">
      <c r="A237" t="s">
        <v>10889</v>
      </c>
      <c r="B237" t="s">
        <v>96</v>
      </c>
      <c r="C237" s="1">
        <v>44098</v>
      </c>
      <c r="D237" s="1">
        <v>44105</v>
      </c>
      <c r="F237" t="s">
        <v>97</v>
      </c>
      <c r="G237" t="str">
        <f>"Software Solutions Architect"</f>
        <v>Software Solutions Architect</v>
      </c>
      <c r="H237" t="s">
        <v>12168</v>
      </c>
      <c r="I237" t="s">
        <v>722</v>
      </c>
      <c r="J237" t="s">
        <v>98</v>
      </c>
      <c r="K237" s="1">
        <v>44098</v>
      </c>
      <c r="L237" s="1">
        <v>45192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 t="s">
        <v>7131</v>
      </c>
      <c r="U237" t="str">
        <f>""</f>
        <v/>
      </c>
      <c r="V237" t="s">
        <v>7132</v>
      </c>
      <c r="W237" t="str">
        <f>"Suite 390"</f>
        <v>Suite 390</v>
      </c>
      <c r="X237" t="s">
        <v>381</v>
      </c>
      <c r="Y237" t="s">
        <v>195</v>
      </c>
      <c r="Z237" s="3">
        <v>20850</v>
      </c>
      <c r="AA237" t="s">
        <v>101</v>
      </c>
      <c r="AC237" s="4" t="str">
        <f>"+12404181086"</f>
        <v>+12404181086</v>
      </c>
      <c r="AE237" t="str">
        <f>"541511"</f>
        <v>541511</v>
      </c>
      <c r="AF237" t="s">
        <v>825</v>
      </c>
      <c r="AG237" t="s">
        <v>826</v>
      </c>
      <c r="AI237" t="s">
        <v>646</v>
      </c>
      <c r="AJ237" t="s">
        <v>7132</v>
      </c>
      <c r="AK237" t="str">
        <f>"Suite 390"</f>
        <v>Suite 390</v>
      </c>
      <c r="AL237" t="s">
        <v>381</v>
      </c>
      <c r="AM237" t="s">
        <v>195</v>
      </c>
      <c r="AN237" s="3">
        <v>20850</v>
      </c>
      <c r="AO237" t="s">
        <v>101</v>
      </c>
      <c r="AQ237" t="str">
        <f>"+12407740003"</f>
        <v>+12407740003</v>
      </c>
      <c r="AS237" t="s">
        <v>7133</v>
      </c>
      <c r="AT237" t="s">
        <v>107</v>
      </c>
      <c r="AU237" t="str">
        <f>"Shah"</f>
        <v>Shah</v>
      </c>
      <c r="AV237" t="str">
        <f>"Devang"</f>
        <v>Devang</v>
      </c>
      <c r="AW237" t="str">
        <f>"M."</f>
        <v>M.</v>
      </c>
      <c r="AX237" t="str">
        <f>"9201 Corporate Blvd."</f>
        <v>9201 Corporate Blvd.</v>
      </c>
      <c r="AY237" t="str">
        <f>"Suite 330"</f>
        <v>Suite 330</v>
      </c>
      <c r="AZ237" t="str">
        <f>"Rockville"</f>
        <v>Rockville</v>
      </c>
      <c r="BA237" t="str">
        <f>"MD"</f>
        <v>MD</v>
      </c>
      <c r="BB237" s="3">
        <v>20850</v>
      </c>
      <c r="BC237" t="str">
        <f>"UNITED STATES OF AMERICA"</f>
        <v>UNITED STATES OF AMERICA</v>
      </c>
      <c r="BD237" t="str">
        <f>""</f>
        <v/>
      </c>
      <c r="BE237" t="str">
        <f>"+13013150001"</f>
        <v>+13013150001</v>
      </c>
      <c r="BF237" t="str">
        <f>""</f>
        <v/>
      </c>
      <c r="BG237" t="str">
        <f>"Shah@shahandkishore.com"</f>
        <v>Shah@shahandkishore.com</v>
      </c>
      <c r="BH237" t="str">
        <f>"Shah and Kishore"</f>
        <v>Shah and Kishore</v>
      </c>
      <c r="BI237" t="str">
        <f>"MD"</f>
        <v>MD</v>
      </c>
      <c r="BJ237" t="str">
        <f>"Court of Appeals"</f>
        <v>Court of Appeals</v>
      </c>
      <c r="BK237">
        <v>1</v>
      </c>
      <c r="BL237" t="s">
        <v>102</v>
      </c>
      <c r="BM237" t="str">
        <f>""</f>
        <v/>
      </c>
      <c r="BN237" t="s">
        <v>10890</v>
      </c>
      <c r="BP237" t="s">
        <v>5153</v>
      </c>
      <c r="BQ237" t="s">
        <v>788</v>
      </c>
      <c r="BR237" t="s">
        <v>345</v>
      </c>
      <c r="BS237" s="5">
        <v>60067</v>
      </c>
      <c r="BT237" s="2">
        <v>100000</v>
      </c>
      <c r="BV237" t="s">
        <v>105</v>
      </c>
      <c r="BW237" s="2">
        <v>95555</v>
      </c>
      <c r="BX237" t="s">
        <v>105</v>
      </c>
      <c r="BZ237" t="s">
        <v>123</v>
      </c>
      <c r="CA237" t="str">
        <f t="shared" si="13"/>
        <v>7/1/2020 - 6/30/2021</v>
      </c>
      <c r="CF237">
        <v>2</v>
      </c>
      <c r="CG237" t="s">
        <v>98</v>
      </c>
      <c r="CH237" t="s">
        <v>98</v>
      </c>
      <c r="CI237" t="s">
        <v>206</v>
      </c>
      <c r="CJ237" t="s">
        <v>98</v>
      </c>
      <c r="CK237" t="s">
        <v>12323</v>
      </c>
      <c r="CL237" t="s">
        <v>108</v>
      </c>
      <c r="CM237" t="s">
        <v>109</v>
      </c>
      <c r="CN237" t="str">
        <f>"Shah"</f>
        <v>Shah</v>
      </c>
      <c r="CO237" t="str">
        <f>"Devang"</f>
        <v>Devang</v>
      </c>
      <c r="CP237" t="str">
        <f>"M."</f>
        <v>M.</v>
      </c>
      <c r="CQ237" t="str">
        <f>"Shah and Kishore"</f>
        <v>Shah and Kishore</v>
      </c>
      <c r="CR237" t="s">
        <v>828</v>
      </c>
    </row>
    <row r="238" spans="1:96" x14ac:dyDescent="0.2">
      <c r="A238" t="s">
        <v>10903</v>
      </c>
      <c r="B238" t="s">
        <v>96</v>
      </c>
      <c r="C238" s="1">
        <v>44098</v>
      </c>
      <c r="D238" s="1">
        <v>44105</v>
      </c>
      <c r="F238" t="s">
        <v>97</v>
      </c>
      <c r="G238" t="str">
        <f>"HCM Cloud Technical Lead"</f>
        <v>HCM Cloud Technical Lead</v>
      </c>
      <c r="H238" t="s">
        <v>12169</v>
      </c>
      <c r="I238" t="s">
        <v>124</v>
      </c>
      <c r="J238" t="s">
        <v>98</v>
      </c>
      <c r="K238" s="1">
        <v>44098</v>
      </c>
      <c r="L238" s="1">
        <v>45060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 t="s">
        <v>2847</v>
      </c>
      <c r="U238" t="str">
        <f>""</f>
        <v/>
      </c>
      <c r="V238" t="s">
        <v>2848</v>
      </c>
      <c r="W238" t="str">
        <f>"SUITE 235C"</f>
        <v>SUITE 235C</v>
      </c>
      <c r="X238" t="s">
        <v>230</v>
      </c>
      <c r="Y238" t="s">
        <v>141</v>
      </c>
      <c r="Z238" s="3">
        <v>95054</v>
      </c>
      <c r="AA238" t="s">
        <v>101</v>
      </c>
      <c r="AB238" t="s">
        <v>108</v>
      </c>
      <c r="AC238" s="4" t="str">
        <f>"+14083434074"</f>
        <v>+14083434074</v>
      </c>
      <c r="AE238" t="str">
        <f>"541511"</f>
        <v>541511</v>
      </c>
      <c r="AF238" t="s">
        <v>2849</v>
      </c>
      <c r="AG238" t="s">
        <v>278</v>
      </c>
      <c r="AH238" t="s">
        <v>2850</v>
      </c>
      <c r="AI238" t="s">
        <v>2851</v>
      </c>
      <c r="AJ238" t="s">
        <v>2852</v>
      </c>
      <c r="AK238" t="str">
        <f>"Suite 235C"</f>
        <v>Suite 235C</v>
      </c>
      <c r="AL238" t="s">
        <v>247</v>
      </c>
      <c r="AM238" t="s">
        <v>141</v>
      </c>
      <c r="AN238" s="3">
        <v>95054</v>
      </c>
      <c r="AO238" t="s">
        <v>101</v>
      </c>
      <c r="AQ238" t="str">
        <f>"+14083434074"</f>
        <v>+14083434074</v>
      </c>
      <c r="AS238" t="s">
        <v>2853</v>
      </c>
      <c r="AT238" t="s">
        <v>102</v>
      </c>
      <c r="AU238" t="str">
        <f>""</f>
        <v/>
      </c>
      <c r="AV238" t="str">
        <f>""</f>
        <v/>
      </c>
      <c r="AW238" t="str">
        <f>""</f>
        <v/>
      </c>
      <c r="AX238" t="str">
        <f>""</f>
        <v/>
      </c>
      <c r="AY238" t="str">
        <f>""</f>
        <v/>
      </c>
      <c r="AZ238" t="str">
        <f>""</f>
        <v/>
      </c>
      <c r="BA238" t="str">
        <f>""</f>
        <v/>
      </c>
      <c r="BC238" t="str">
        <f>""</f>
        <v/>
      </c>
      <c r="BD238" t="str">
        <f>""</f>
        <v/>
      </c>
      <c r="BE238" t="str">
        <f>""</f>
        <v/>
      </c>
      <c r="BF238" t="str">
        <f>""</f>
        <v/>
      </c>
      <c r="BG238" t="str">
        <f>""</f>
        <v/>
      </c>
      <c r="BH238" t="str">
        <f>""</f>
        <v/>
      </c>
      <c r="BI238" t="str">
        <f>""</f>
        <v/>
      </c>
      <c r="BJ238" t="str">
        <f>""</f>
        <v/>
      </c>
      <c r="BK238">
        <v>1</v>
      </c>
      <c r="BL238" t="s">
        <v>107</v>
      </c>
      <c r="BM238" t="str">
        <f>"Northwell Health"</f>
        <v>Northwell Health</v>
      </c>
      <c r="BN238" t="s">
        <v>10904</v>
      </c>
      <c r="BO238" t="s">
        <v>10905</v>
      </c>
      <c r="BP238" t="s">
        <v>5363</v>
      </c>
      <c r="BQ238" t="s">
        <v>1167</v>
      </c>
      <c r="BR238" t="s">
        <v>190</v>
      </c>
      <c r="BS238" s="5">
        <v>11042</v>
      </c>
      <c r="BT238" s="2">
        <v>101000</v>
      </c>
      <c r="BV238" t="s">
        <v>105</v>
      </c>
      <c r="BW238" s="2">
        <v>100526</v>
      </c>
      <c r="BX238" t="s">
        <v>105</v>
      </c>
      <c r="BZ238" t="s">
        <v>167</v>
      </c>
      <c r="CA238" t="str">
        <f t="shared" si="13"/>
        <v>7/1/2020 - 6/30/2021</v>
      </c>
      <c r="CF238">
        <v>2</v>
      </c>
      <c r="CG238" t="s">
        <v>98</v>
      </c>
      <c r="CH238" t="s">
        <v>98</v>
      </c>
      <c r="CI238" t="s">
        <v>206</v>
      </c>
      <c r="CJ238" t="s">
        <v>98</v>
      </c>
      <c r="CK238" t="s">
        <v>12323</v>
      </c>
      <c r="CL238" t="s">
        <v>108</v>
      </c>
      <c r="CM238" t="s">
        <v>109</v>
      </c>
      <c r="CN238" t="str">
        <f>""</f>
        <v/>
      </c>
      <c r="CO238" t="str">
        <f>""</f>
        <v/>
      </c>
      <c r="CP238" t="str">
        <f>""</f>
        <v/>
      </c>
      <c r="CQ238" t="str">
        <f>""</f>
        <v/>
      </c>
    </row>
    <row r="239" spans="1:96" x14ac:dyDescent="0.2">
      <c r="A239" t="s">
        <v>10911</v>
      </c>
      <c r="B239" t="s">
        <v>96</v>
      </c>
      <c r="C239" s="1">
        <v>44098</v>
      </c>
      <c r="D239" s="1">
        <v>44105</v>
      </c>
      <c r="F239" t="s">
        <v>97</v>
      </c>
      <c r="G239" t="str">
        <f>"Software Developer"</f>
        <v>Software Developer</v>
      </c>
      <c r="H239" t="s">
        <v>12169</v>
      </c>
      <c r="I239" t="s">
        <v>124</v>
      </c>
      <c r="J239" t="s">
        <v>98</v>
      </c>
      <c r="K239" s="1">
        <v>44119</v>
      </c>
      <c r="L239" s="1">
        <v>45198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5107</v>
      </c>
      <c r="U239" t="str">
        <f>""</f>
        <v/>
      </c>
      <c r="V239" t="s">
        <v>5948</v>
      </c>
      <c r="W239" t="str">
        <f>"ste 400"</f>
        <v>ste 400</v>
      </c>
      <c r="X239" t="s">
        <v>1400</v>
      </c>
      <c r="Y239" t="s">
        <v>608</v>
      </c>
      <c r="Z239" s="3">
        <v>50309</v>
      </c>
      <c r="AA239" t="s">
        <v>101</v>
      </c>
      <c r="AC239" s="4" t="str">
        <f>"+15157087427"</f>
        <v>+15157087427</v>
      </c>
      <c r="AE239" t="str">
        <f>"541511"</f>
        <v>541511</v>
      </c>
      <c r="AF239" t="s">
        <v>5108</v>
      </c>
      <c r="AG239" t="s">
        <v>5109</v>
      </c>
      <c r="AI239" t="s">
        <v>646</v>
      </c>
      <c r="AJ239" t="s">
        <v>5948</v>
      </c>
      <c r="AK239" t="str">
        <f>"ste 400"</f>
        <v>ste 400</v>
      </c>
      <c r="AL239" t="s">
        <v>1400</v>
      </c>
      <c r="AM239" t="s">
        <v>608</v>
      </c>
      <c r="AN239" s="3">
        <v>50309</v>
      </c>
      <c r="AO239" t="s">
        <v>101</v>
      </c>
      <c r="AQ239" t="str">
        <f>"+15157087427"</f>
        <v>+15157087427</v>
      </c>
      <c r="AS239" t="s">
        <v>5110</v>
      </c>
      <c r="AT239" t="s">
        <v>102</v>
      </c>
      <c r="AU239" t="str">
        <f>""</f>
        <v/>
      </c>
      <c r="AV239" t="str">
        <f>""</f>
        <v/>
      </c>
      <c r="AW239" t="str">
        <f>""</f>
        <v/>
      </c>
      <c r="AX239" t="str">
        <f>""</f>
        <v/>
      </c>
      <c r="AY239" t="str">
        <f>""</f>
        <v/>
      </c>
      <c r="AZ239" t="str">
        <f>""</f>
        <v/>
      </c>
      <c r="BA239" t="str">
        <f>""</f>
        <v/>
      </c>
      <c r="BC239" t="str">
        <f>""</f>
        <v/>
      </c>
      <c r="BD239" t="str">
        <f>""</f>
        <v/>
      </c>
      <c r="BE239" t="str">
        <f>""</f>
        <v/>
      </c>
      <c r="BF239" t="str">
        <f>""</f>
        <v/>
      </c>
      <c r="BG239" t="str">
        <f>""</f>
        <v/>
      </c>
      <c r="BH239" t="str">
        <f>""</f>
        <v/>
      </c>
      <c r="BI239" t="str">
        <f>""</f>
        <v/>
      </c>
      <c r="BJ239" t="str">
        <f>""</f>
        <v/>
      </c>
      <c r="BK239">
        <v>1</v>
      </c>
      <c r="BL239" t="s">
        <v>107</v>
      </c>
      <c r="BM239" t="str">
        <f>"American Express"</f>
        <v>American Express</v>
      </c>
      <c r="BN239" t="s">
        <v>317</v>
      </c>
      <c r="BP239" t="s">
        <v>299</v>
      </c>
      <c r="BQ239" t="s">
        <v>257</v>
      </c>
      <c r="BR239" t="s">
        <v>258</v>
      </c>
      <c r="BS239" s="5">
        <v>85054</v>
      </c>
      <c r="BT239" s="2">
        <v>84000</v>
      </c>
      <c r="BV239" t="s">
        <v>105</v>
      </c>
      <c r="BW239" s="2">
        <v>83637</v>
      </c>
      <c r="BX239" t="s">
        <v>105</v>
      </c>
      <c r="BZ239" t="s">
        <v>167</v>
      </c>
      <c r="CA239" t="str">
        <f t="shared" si="13"/>
        <v>7/1/2020 - 6/30/2021</v>
      </c>
      <c r="CF239">
        <v>1</v>
      </c>
      <c r="CG239" t="s">
        <v>98</v>
      </c>
      <c r="CH239" t="s">
        <v>98</v>
      </c>
      <c r="CI239" t="s">
        <v>206</v>
      </c>
      <c r="CJ239" t="s">
        <v>98</v>
      </c>
      <c r="CK239" t="s">
        <v>12323</v>
      </c>
      <c r="CL239" t="s">
        <v>108</v>
      </c>
      <c r="CM239" t="s">
        <v>109</v>
      </c>
      <c r="CN239" t="str">
        <f>""</f>
        <v/>
      </c>
      <c r="CO239" t="str">
        <f>""</f>
        <v/>
      </c>
      <c r="CP239" t="str">
        <f>""</f>
        <v/>
      </c>
      <c r="CQ239" t="str">
        <f>""</f>
        <v/>
      </c>
    </row>
    <row r="240" spans="1:96" x14ac:dyDescent="0.2">
      <c r="A240" t="s">
        <v>10918</v>
      </c>
      <c r="B240" t="s">
        <v>96</v>
      </c>
      <c r="C240" s="1">
        <v>44098</v>
      </c>
      <c r="D240" s="1">
        <v>44105</v>
      </c>
      <c r="F240" t="s">
        <v>97</v>
      </c>
      <c r="G240" t="str">
        <f>"System Analyst JC65"</f>
        <v>System Analyst JC65</v>
      </c>
      <c r="H240" t="s">
        <v>12181</v>
      </c>
      <c r="I240" t="s">
        <v>110</v>
      </c>
      <c r="J240" t="s">
        <v>98</v>
      </c>
      <c r="K240" s="1">
        <v>44106</v>
      </c>
      <c r="L240" s="1">
        <v>45200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 t="s">
        <v>111</v>
      </c>
      <c r="U240" t="str">
        <f>"CTSUS"</f>
        <v>CTSUS</v>
      </c>
      <c r="V240" t="s">
        <v>112</v>
      </c>
      <c r="W240" t="str">
        <f>""</f>
        <v/>
      </c>
      <c r="X240" t="s">
        <v>113</v>
      </c>
      <c r="Y240" t="s">
        <v>114</v>
      </c>
      <c r="Z240" s="3">
        <v>77845</v>
      </c>
      <c r="AA240" t="s">
        <v>101</v>
      </c>
      <c r="AB240" t="s">
        <v>114</v>
      </c>
      <c r="AC240" s="4" t="str">
        <f>"+19793296682"</f>
        <v>+19793296682</v>
      </c>
      <c r="AE240" t="str">
        <f>"541512"</f>
        <v>541512</v>
      </c>
      <c r="AF240" t="s">
        <v>115</v>
      </c>
      <c r="AG240" t="s">
        <v>116</v>
      </c>
      <c r="AH240" t="s">
        <v>108</v>
      </c>
      <c r="AI240" t="s">
        <v>117</v>
      </c>
      <c r="AJ240" t="s">
        <v>118</v>
      </c>
      <c r="AK240" t="str">
        <f>""</f>
        <v/>
      </c>
      <c r="AL240" t="s">
        <v>119</v>
      </c>
      <c r="AM240" t="s">
        <v>114</v>
      </c>
      <c r="AN240" s="3">
        <v>77845</v>
      </c>
      <c r="AO240" t="s">
        <v>101</v>
      </c>
      <c r="AQ240" t="str">
        <f>"+19793296682"</f>
        <v>+19793296682</v>
      </c>
      <c r="AS240" t="s">
        <v>120</v>
      </c>
      <c r="AT240" t="s">
        <v>102</v>
      </c>
      <c r="AU240" t="str">
        <f>""</f>
        <v/>
      </c>
      <c r="AV240" t="str">
        <f>""</f>
        <v/>
      </c>
      <c r="AW240" t="str">
        <f>""</f>
        <v/>
      </c>
      <c r="AX240" t="str">
        <f>""</f>
        <v/>
      </c>
      <c r="AY240" t="str">
        <f>""</f>
        <v/>
      </c>
      <c r="AZ240" t="str">
        <f>""</f>
        <v/>
      </c>
      <c r="BA240" t="str">
        <f>""</f>
        <v/>
      </c>
      <c r="BC240" t="str">
        <f>""</f>
        <v/>
      </c>
      <c r="BD240" t="str">
        <f>""</f>
        <v/>
      </c>
      <c r="BE240" t="str">
        <f>""</f>
        <v/>
      </c>
      <c r="BF240" t="str">
        <f>""</f>
        <v/>
      </c>
      <c r="BG240" t="str">
        <f>""</f>
        <v/>
      </c>
      <c r="BH240" t="str">
        <f>""</f>
        <v/>
      </c>
      <c r="BI240" t="str">
        <f>""</f>
        <v/>
      </c>
      <c r="BJ240" t="str">
        <f>""</f>
        <v/>
      </c>
      <c r="BK240">
        <v>1</v>
      </c>
      <c r="BL240" t="s">
        <v>107</v>
      </c>
      <c r="BM240" t="str">
        <f>"CC Services Inc"</f>
        <v>CC Services Inc</v>
      </c>
      <c r="BN240" t="s">
        <v>4839</v>
      </c>
      <c r="BP240" t="s">
        <v>343</v>
      </c>
      <c r="BQ240" t="s">
        <v>344</v>
      </c>
      <c r="BR240" t="s">
        <v>345</v>
      </c>
      <c r="BS240" s="5">
        <v>61704</v>
      </c>
      <c r="BT240" s="2">
        <v>86986</v>
      </c>
      <c r="BV240" t="s">
        <v>105</v>
      </c>
      <c r="BW240" s="2">
        <v>86986</v>
      </c>
      <c r="BX240" t="s">
        <v>105</v>
      </c>
      <c r="BZ240" t="s">
        <v>167</v>
      </c>
      <c r="CA240" t="str">
        <f t="shared" si="13"/>
        <v>7/1/2020 - 6/30/2021</v>
      </c>
      <c r="CF240">
        <v>1</v>
      </c>
      <c r="CG240" t="s">
        <v>98</v>
      </c>
      <c r="CH240" t="s">
        <v>98</v>
      </c>
      <c r="CI240" t="s">
        <v>206</v>
      </c>
      <c r="CJ240" t="s">
        <v>98</v>
      </c>
      <c r="CK240" t="s">
        <v>12323</v>
      </c>
      <c r="CL240" t="s">
        <v>108</v>
      </c>
      <c r="CM240" t="s">
        <v>109</v>
      </c>
      <c r="CN240" t="str">
        <f>""</f>
        <v/>
      </c>
      <c r="CO240" t="str">
        <f>""</f>
        <v/>
      </c>
      <c r="CP240" t="str">
        <f>""</f>
        <v/>
      </c>
      <c r="CQ240" t="str">
        <f>""</f>
        <v/>
      </c>
    </row>
    <row r="241" spans="1:96" x14ac:dyDescent="0.2">
      <c r="A241" t="s">
        <v>10920</v>
      </c>
      <c r="B241" t="s">
        <v>96</v>
      </c>
      <c r="C241" s="1">
        <v>44098</v>
      </c>
      <c r="D241" s="1">
        <v>44105</v>
      </c>
      <c r="F241" t="s">
        <v>97</v>
      </c>
      <c r="G241" t="str">
        <f>"TECHNICAL ARCHITECT"</f>
        <v>TECHNICAL ARCHITECT</v>
      </c>
      <c r="H241" t="s">
        <v>12168</v>
      </c>
      <c r="I241" t="s">
        <v>367</v>
      </c>
      <c r="J241" t="s">
        <v>98</v>
      </c>
      <c r="K241" s="1">
        <v>44106</v>
      </c>
      <c r="L241" s="1">
        <v>45197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1143</v>
      </c>
      <c r="U241" t="str">
        <f>""</f>
        <v/>
      </c>
      <c r="V241" t="s">
        <v>1144</v>
      </c>
      <c r="W241" t="str">
        <f>"N/A"</f>
        <v>N/A</v>
      </c>
      <c r="X241" t="s">
        <v>1145</v>
      </c>
      <c r="Y241" t="s">
        <v>100</v>
      </c>
      <c r="Z241" s="3">
        <v>7059</v>
      </c>
      <c r="AA241" t="s">
        <v>101</v>
      </c>
      <c r="AC241" s="4" t="str">
        <f>"+14254959011"</f>
        <v>+14254959011</v>
      </c>
      <c r="AE241" t="str">
        <f>"541511"</f>
        <v>541511</v>
      </c>
      <c r="AF241" t="s">
        <v>1146</v>
      </c>
      <c r="AG241" t="s">
        <v>359</v>
      </c>
      <c r="AH241" t="s">
        <v>108</v>
      </c>
      <c r="AI241" t="s">
        <v>1147</v>
      </c>
      <c r="AJ241" t="s">
        <v>1148</v>
      </c>
      <c r="AK241" t="str">
        <f>"N/A"</f>
        <v>N/A</v>
      </c>
      <c r="AL241" t="s">
        <v>498</v>
      </c>
      <c r="AM241" t="s">
        <v>176</v>
      </c>
      <c r="AN241" s="3">
        <v>98052</v>
      </c>
      <c r="AO241" t="s">
        <v>101</v>
      </c>
      <c r="AQ241" t="str">
        <f>"+14254959011"</f>
        <v>+14254959011</v>
      </c>
      <c r="AS241" t="s">
        <v>1149</v>
      </c>
      <c r="AT241" t="s">
        <v>107</v>
      </c>
      <c r="AU241" t="str">
        <f>"PATEL"</f>
        <v>PATEL</v>
      </c>
      <c r="AV241" t="str">
        <f>"TEJAL"</f>
        <v>TEJAL</v>
      </c>
      <c r="AW241" t="str">
        <f>""</f>
        <v/>
      </c>
      <c r="AX241" t="str">
        <f>"100 HIGH STREET"</f>
        <v>100 HIGH STREET</v>
      </c>
      <c r="AY241" t="str">
        <f>"FLOOR 3"</f>
        <v>FLOOR 3</v>
      </c>
      <c r="AZ241" t="str">
        <f>"BOSTON"</f>
        <v>BOSTON</v>
      </c>
      <c r="BA241" t="str">
        <f>"MA"</f>
        <v>MA</v>
      </c>
      <c r="BB241" s="3">
        <v>2110</v>
      </c>
      <c r="BC241" t="str">
        <f>"UNITED STATES OF AMERICA"</f>
        <v>UNITED STATES OF AMERICA</v>
      </c>
      <c r="BD241" t="str">
        <f>""</f>
        <v/>
      </c>
      <c r="BE241" t="str">
        <f>"+16175740400"</f>
        <v>+16175740400</v>
      </c>
      <c r="BF241" t="str">
        <f>""</f>
        <v/>
      </c>
      <c r="BG241" t="str">
        <f>"MINDTREEUSA@FRAGOMEN.COM"</f>
        <v>MINDTREEUSA@FRAGOMEN.COM</v>
      </c>
      <c r="BH241" t="str">
        <f>"FRAGOMEN, DEL REY, BERNSEN &amp; LOEWY, LLP"</f>
        <v>FRAGOMEN, DEL REY, BERNSEN &amp; LOEWY, LLP</v>
      </c>
      <c r="BI241" t="str">
        <f>"MA"</f>
        <v>MA</v>
      </c>
      <c r="BJ241" t="str">
        <f>"SUPREME JUDICIAL COURT"</f>
        <v>SUPREME JUDICIAL COURT</v>
      </c>
      <c r="BK241">
        <v>1</v>
      </c>
      <c r="BL241" t="s">
        <v>102</v>
      </c>
      <c r="BM241" t="str">
        <f>""</f>
        <v/>
      </c>
      <c r="BN241" t="s">
        <v>10921</v>
      </c>
      <c r="BP241" t="s">
        <v>2108</v>
      </c>
      <c r="BQ241" t="s">
        <v>1029</v>
      </c>
      <c r="BR241" t="s">
        <v>100</v>
      </c>
      <c r="BS241" s="5">
        <v>7054</v>
      </c>
      <c r="BT241" s="2">
        <v>155595</v>
      </c>
      <c r="BV241" t="s">
        <v>105</v>
      </c>
      <c r="BW241" s="2">
        <v>91374</v>
      </c>
      <c r="BX241" t="s">
        <v>105</v>
      </c>
      <c r="BZ241" t="s">
        <v>123</v>
      </c>
      <c r="CA241" t="str">
        <f t="shared" si="13"/>
        <v>7/1/2020 - 6/30/2021</v>
      </c>
      <c r="CF241">
        <v>1</v>
      </c>
      <c r="CG241" t="s">
        <v>98</v>
      </c>
      <c r="CH241" t="s">
        <v>98</v>
      </c>
      <c r="CI241" t="s">
        <v>206</v>
      </c>
      <c r="CJ241" t="s">
        <v>98</v>
      </c>
      <c r="CK241" t="s">
        <v>12323</v>
      </c>
      <c r="CL241" t="s">
        <v>108</v>
      </c>
      <c r="CM241" t="s">
        <v>109</v>
      </c>
      <c r="CN241" t="str">
        <f>"SHAJI"</f>
        <v>SHAJI</v>
      </c>
      <c r="CO241" t="str">
        <f>"SHRUTHI"</f>
        <v>SHRUTHI</v>
      </c>
      <c r="CP241" t="str">
        <f>"N/A"</f>
        <v>N/A</v>
      </c>
      <c r="CQ241" t="str">
        <f>"FRAGOMEN, DEL REY, BERNSEN &amp; LOEWY, LLP"</f>
        <v>FRAGOMEN, DEL REY, BERNSEN &amp; LOEWY, LLP</v>
      </c>
      <c r="CR241" t="s">
        <v>1150</v>
      </c>
    </row>
    <row r="242" spans="1:96" x14ac:dyDescent="0.2">
      <c r="A242" t="s">
        <v>10943</v>
      </c>
      <c r="B242" t="s">
        <v>96</v>
      </c>
      <c r="C242" s="1">
        <v>44098</v>
      </c>
      <c r="D242" s="1">
        <v>44105</v>
      </c>
      <c r="F242" t="s">
        <v>97</v>
      </c>
      <c r="G242" t="str">
        <f>"Database Administrator"</f>
        <v>Database Administrator</v>
      </c>
      <c r="H242" t="s">
        <v>12225</v>
      </c>
      <c r="I242" t="s">
        <v>628</v>
      </c>
      <c r="J242" t="s">
        <v>206</v>
      </c>
      <c r="K242" s="1">
        <v>44104</v>
      </c>
      <c r="L242" s="1">
        <v>45189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 t="s">
        <v>7532</v>
      </c>
      <c r="U242" t="str">
        <f>""</f>
        <v/>
      </c>
      <c r="V242" t="s">
        <v>7533</v>
      </c>
      <c r="W242" t="str">
        <f>"Suite # 710"</f>
        <v>Suite # 710</v>
      </c>
      <c r="X242" t="s">
        <v>980</v>
      </c>
      <c r="Y242" t="s">
        <v>114</v>
      </c>
      <c r="Z242" s="3">
        <v>75024</v>
      </c>
      <c r="AA242" t="s">
        <v>101</v>
      </c>
      <c r="AC242" s="4" t="str">
        <f>"+19729059701"</f>
        <v>+19729059701</v>
      </c>
      <c r="AE242" t="str">
        <f>"541511"</f>
        <v>541511</v>
      </c>
      <c r="AF242" t="s">
        <v>7534</v>
      </c>
      <c r="AG242" t="s">
        <v>2255</v>
      </c>
      <c r="AI242" t="s">
        <v>1153</v>
      </c>
      <c r="AJ242" t="s">
        <v>7533</v>
      </c>
      <c r="AK242" t="str">
        <f>"Suite # 710"</f>
        <v>Suite # 710</v>
      </c>
      <c r="AL242" t="s">
        <v>980</v>
      </c>
      <c r="AM242" t="s">
        <v>114</v>
      </c>
      <c r="AN242" s="3">
        <v>75024</v>
      </c>
      <c r="AO242" t="s">
        <v>101</v>
      </c>
      <c r="AQ242" t="str">
        <f>"+19729059701"</f>
        <v>+19729059701</v>
      </c>
      <c r="AS242" t="s">
        <v>7535</v>
      </c>
      <c r="AT242" t="s">
        <v>102</v>
      </c>
      <c r="AU242" t="str">
        <f>""</f>
        <v/>
      </c>
      <c r="AV242" t="str">
        <f>""</f>
        <v/>
      </c>
      <c r="AW242" t="str">
        <f>""</f>
        <v/>
      </c>
      <c r="AX242" t="str">
        <f>""</f>
        <v/>
      </c>
      <c r="AY242" t="str">
        <f>""</f>
        <v/>
      </c>
      <c r="AZ242" t="str">
        <f>""</f>
        <v/>
      </c>
      <c r="BA242" t="str">
        <f>""</f>
        <v/>
      </c>
      <c r="BC242" t="str">
        <f>""</f>
        <v/>
      </c>
      <c r="BD242" t="str">
        <f>""</f>
        <v/>
      </c>
      <c r="BE242" t="str">
        <f>""</f>
        <v/>
      </c>
      <c r="BF242" t="str">
        <f>""</f>
        <v/>
      </c>
      <c r="BG242" t="str">
        <f>""</f>
        <v/>
      </c>
      <c r="BH242" t="str">
        <f>""</f>
        <v/>
      </c>
      <c r="BI242" t="str">
        <f>""</f>
        <v/>
      </c>
      <c r="BJ242" t="str">
        <f>""</f>
        <v/>
      </c>
      <c r="BK242">
        <v>1</v>
      </c>
      <c r="BL242" t="s">
        <v>107</v>
      </c>
      <c r="BM242" t="str">
        <f>"Prompt Realty and Mortgage Inc"</f>
        <v>Prompt Realty and Mortgage Inc</v>
      </c>
      <c r="BN242" t="s">
        <v>8644</v>
      </c>
      <c r="BO242" t="s">
        <v>8645</v>
      </c>
      <c r="BP242" t="s">
        <v>4924</v>
      </c>
      <c r="BQ242" t="s">
        <v>400</v>
      </c>
      <c r="BR242" t="s">
        <v>114</v>
      </c>
      <c r="BS242" s="5">
        <v>77477</v>
      </c>
      <c r="BT242" s="2">
        <v>42</v>
      </c>
      <c r="BU242" s="2">
        <v>43</v>
      </c>
      <c r="BV242" t="s">
        <v>210</v>
      </c>
      <c r="BW242" s="2">
        <v>39.22</v>
      </c>
      <c r="BX242" t="s">
        <v>210</v>
      </c>
      <c r="BZ242" t="s">
        <v>167</v>
      </c>
      <c r="CA242" t="str">
        <f t="shared" si="13"/>
        <v>7/1/2020 - 6/30/2021</v>
      </c>
      <c r="CF242">
        <v>2</v>
      </c>
      <c r="CG242" t="s">
        <v>98</v>
      </c>
      <c r="CH242" t="s">
        <v>98</v>
      </c>
      <c r="CI242" t="s">
        <v>206</v>
      </c>
      <c r="CJ242" t="s">
        <v>98</v>
      </c>
      <c r="CK242" t="s">
        <v>12323</v>
      </c>
      <c r="CL242" t="s">
        <v>108</v>
      </c>
      <c r="CM242" t="s">
        <v>109</v>
      </c>
      <c r="CN242" t="str">
        <f>""</f>
        <v/>
      </c>
      <c r="CO242" t="str">
        <f>""</f>
        <v/>
      </c>
      <c r="CP242" t="str">
        <f>""</f>
        <v/>
      </c>
      <c r="CQ242" t="str">
        <f>""</f>
        <v/>
      </c>
    </row>
    <row r="243" spans="1:96" x14ac:dyDescent="0.2">
      <c r="A243" t="s">
        <v>10944</v>
      </c>
      <c r="B243" t="s">
        <v>96</v>
      </c>
      <c r="C243" s="1">
        <v>44098</v>
      </c>
      <c r="D243" s="1">
        <v>44105</v>
      </c>
      <c r="F243" t="s">
        <v>97</v>
      </c>
      <c r="G243" t="str">
        <f>"Software Engineer"</f>
        <v>Software Engineer</v>
      </c>
      <c r="H243" t="s">
        <v>12169</v>
      </c>
      <c r="I243" t="s">
        <v>124</v>
      </c>
      <c r="J243" t="s">
        <v>98</v>
      </c>
      <c r="K243" s="1">
        <v>44172</v>
      </c>
      <c r="L243" s="1">
        <v>45266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466</v>
      </c>
      <c r="U243" t="str">
        <f>""</f>
        <v/>
      </c>
      <c r="V243" t="s">
        <v>467</v>
      </c>
      <c r="W243" t="str">
        <f>"AKA 1601 Willow Road"</f>
        <v>AKA 1601 Willow Road</v>
      </c>
      <c r="X243" t="s">
        <v>468</v>
      </c>
      <c r="Y243" t="s">
        <v>141</v>
      </c>
      <c r="Z243" s="3">
        <v>94025</v>
      </c>
      <c r="AA243" t="s">
        <v>101</v>
      </c>
      <c r="AC243" s="4" t="str">
        <f>"+16505434800"</f>
        <v>+16505434800</v>
      </c>
      <c r="AE243" t="str">
        <f>"518210"</f>
        <v>518210</v>
      </c>
      <c r="AF243" t="s">
        <v>469</v>
      </c>
      <c r="AG243" t="s">
        <v>470</v>
      </c>
      <c r="AI243" t="s">
        <v>471</v>
      </c>
      <c r="AJ243" t="s">
        <v>467</v>
      </c>
      <c r="AK243" t="str">
        <f>"AKA 1601 Willow Road "</f>
        <v xml:space="preserve">AKA 1601 Willow Road </v>
      </c>
      <c r="AL243" t="s">
        <v>472</v>
      </c>
      <c r="AM243" t="s">
        <v>141</v>
      </c>
      <c r="AN243" s="3">
        <v>94025</v>
      </c>
      <c r="AO243" t="s">
        <v>101</v>
      </c>
      <c r="AQ243" t="str">
        <f>"+14085335781"</f>
        <v>+14085335781</v>
      </c>
      <c r="AS243" t="s">
        <v>108</v>
      </c>
      <c r="AT243" t="s">
        <v>107</v>
      </c>
      <c r="AU243" t="str">
        <f>"McCarthy"</f>
        <v>McCarthy</v>
      </c>
      <c r="AV243" t="str">
        <f>"Susan"</f>
        <v>Susan</v>
      </c>
      <c r="AW243" t="str">
        <f>""</f>
        <v/>
      </c>
      <c r="AX243" t="str">
        <f>"P.O. Box 31608"</f>
        <v>P.O. Box 31608</v>
      </c>
      <c r="AY243" t="str">
        <f>""</f>
        <v/>
      </c>
      <c r="AZ243" t="str">
        <f>"Raleigh"</f>
        <v>Raleigh</v>
      </c>
      <c r="BA243" t="str">
        <f>"NC"</f>
        <v>NC</v>
      </c>
      <c r="BB243" s="3">
        <v>27622</v>
      </c>
      <c r="BC243" t="str">
        <f>"UNITED STATES OF AMERICA"</f>
        <v>UNITED STATES OF AMERICA</v>
      </c>
      <c r="BD243" t="str">
        <f>""</f>
        <v/>
      </c>
      <c r="BE243" t="str">
        <f>"+19193077002"</f>
        <v>+19193077002</v>
      </c>
      <c r="BF243" t="str">
        <f>""</f>
        <v/>
      </c>
      <c r="BG243" t="str">
        <f>"vicky.johnson@ogletreedeakins.com"</f>
        <v>vicky.johnson@ogletreedeakins.com</v>
      </c>
      <c r="BH243" t="str">
        <f>"Ogletree, Deakins, Nash, Smoak &amp; Stewart, P.C."</f>
        <v>Ogletree, Deakins, Nash, Smoak &amp; Stewart, P.C.</v>
      </c>
      <c r="BI243" t="str">
        <f>"NJ"</f>
        <v>NJ</v>
      </c>
      <c r="BJ243" t="str">
        <f>"Supreme Court of New Jersey"</f>
        <v>Supreme Court of New Jersey</v>
      </c>
      <c r="BK243">
        <v>1</v>
      </c>
      <c r="BL243" t="s">
        <v>102</v>
      </c>
      <c r="BM243" t="str">
        <f>""</f>
        <v/>
      </c>
      <c r="BN243" t="s">
        <v>467</v>
      </c>
      <c r="BO243" t="s">
        <v>5006</v>
      </c>
      <c r="BP243" t="s">
        <v>472</v>
      </c>
      <c r="BQ243" t="s">
        <v>994</v>
      </c>
      <c r="BR243" t="s">
        <v>141</v>
      </c>
      <c r="BS243" s="5">
        <v>94025</v>
      </c>
      <c r="BT243" s="2">
        <v>205000</v>
      </c>
      <c r="BV243" t="s">
        <v>105</v>
      </c>
      <c r="BW243" s="2">
        <v>169562</v>
      </c>
      <c r="BX243" t="s">
        <v>105</v>
      </c>
      <c r="BZ243" t="s">
        <v>159</v>
      </c>
      <c r="CA243" t="str">
        <f t="shared" si="13"/>
        <v>7/1/2020 - 6/30/2021</v>
      </c>
      <c r="CF243">
        <v>2</v>
      </c>
      <c r="CG243" t="s">
        <v>98</v>
      </c>
      <c r="CH243" t="s">
        <v>98</v>
      </c>
      <c r="CI243" t="s">
        <v>206</v>
      </c>
      <c r="CJ243" t="s">
        <v>98</v>
      </c>
      <c r="CK243" t="s">
        <v>12323</v>
      </c>
      <c r="CL243" t="s">
        <v>108</v>
      </c>
      <c r="CM243" t="s">
        <v>109</v>
      </c>
      <c r="CN243" t="str">
        <f>"McCarthy "</f>
        <v xml:space="preserve">McCarthy </v>
      </c>
      <c r="CO243" t="str">
        <f>"Susan"</f>
        <v>Susan</v>
      </c>
      <c r="CP243" t="str">
        <f>""</f>
        <v/>
      </c>
      <c r="CQ243" t="str">
        <f>"Ogletree, Deakins, Nash, Smoak &amp; Stewart, P.C. "</f>
        <v xml:space="preserve">Ogletree, Deakins, Nash, Smoak &amp; Stewart, P.C. </v>
      </c>
      <c r="CR243" t="s">
        <v>473</v>
      </c>
    </row>
    <row r="244" spans="1:96" x14ac:dyDescent="0.2">
      <c r="A244" t="s">
        <v>10950</v>
      </c>
      <c r="B244" t="s">
        <v>96</v>
      </c>
      <c r="C244" s="1">
        <v>44098</v>
      </c>
      <c r="D244" s="1">
        <v>44105</v>
      </c>
      <c r="F244" t="s">
        <v>97</v>
      </c>
      <c r="G244" t="str">
        <f>"COMPUTER PROGRAMMER 2"</f>
        <v>COMPUTER PROGRAMMER 2</v>
      </c>
      <c r="H244" t="s">
        <v>12239</v>
      </c>
      <c r="I244" t="s">
        <v>378</v>
      </c>
      <c r="J244" t="s">
        <v>98</v>
      </c>
      <c r="K244" s="1">
        <v>44105</v>
      </c>
      <c r="L244" s="1">
        <v>45199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 t="s">
        <v>8708</v>
      </c>
      <c r="U244" t="str">
        <f>""</f>
        <v/>
      </c>
      <c r="V244" t="s">
        <v>8709</v>
      </c>
      <c r="W244" t="str">
        <f>""</f>
        <v/>
      </c>
      <c r="X244" t="s">
        <v>804</v>
      </c>
      <c r="Y244" t="s">
        <v>100</v>
      </c>
      <c r="Z244" s="3">
        <v>8854</v>
      </c>
      <c r="AA244" t="s">
        <v>101</v>
      </c>
      <c r="AC244" s="4" t="str">
        <f>"+17525908109"</f>
        <v>+17525908109</v>
      </c>
      <c r="AE244" t="str">
        <f>"541512"</f>
        <v>541512</v>
      </c>
      <c r="AF244" t="s">
        <v>1891</v>
      </c>
      <c r="AG244" t="s">
        <v>1892</v>
      </c>
      <c r="AI244" t="s">
        <v>8710</v>
      </c>
      <c r="AJ244" t="s">
        <v>1894</v>
      </c>
      <c r="AK244" t="str">
        <f>""</f>
        <v/>
      </c>
      <c r="AL244" t="s">
        <v>804</v>
      </c>
      <c r="AM244" t="s">
        <v>100</v>
      </c>
      <c r="AN244" s="3">
        <v>8854</v>
      </c>
      <c r="AO244" t="s">
        <v>101</v>
      </c>
      <c r="AQ244" t="str">
        <f>"+17525908109"</f>
        <v>+17525908109</v>
      </c>
      <c r="AS244" t="s">
        <v>1895</v>
      </c>
      <c r="AT244" t="s">
        <v>107</v>
      </c>
      <c r="AU244" t="str">
        <f>"CARTER"</f>
        <v>CARTER</v>
      </c>
      <c r="AV244" t="str">
        <f>"KIRK"</f>
        <v>KIRK</v>
      </c>
      <c r="AW244" t="str">
        <f>""</f>
        <v/>
      </c>
      <c r="AX244" t="str">
        <f>"161 WORCESTER RD."</f>
        <v>161 WORCESTER RD.</v>
      </c>
      <c r="AY244" t="str">
        <f>"STE. 501"</f>
        <v>STE. 501</v>
      </c>
      <c r="AZ244" t="str">
        <f>"FRAMINGHAM"</f>
        <v>FRAMINGHAM</v>
      </c>
      <c r="BA244" t="str">
        <f>"MA"</f>
        <v>MA</v>
      </c>
      <c r="BB244" s="3">
        <v>1701</v>
      </c>
      <c r="BC244" t="str">
        <f>"UNITED STATES OF AMERICA"</f>
        <v>UNITED STATES OF AMERICA</v>
      </c>
      <c r="BD244" t="str">
        <f>""</f>
        <v/>
      </c>
      <c r="BE244" t="str">
        <f>"+15085323514"</f>
        <v>+15085323514</v>
      </c>
      <c r="BF244" t="str">
        <f>""</f>
        <v/>
      </c>
      <c r="BG244" t="str">
        <f>"CRUSSO@FLETCHERTILTON.COM"</f>
        <v>CRUSSO@FLETCHERTILTON.COM</v>
      </c>
      <c r="BH244" t="str">
        <f>"FLETCHER TILTON, PC"</f>
        <v>FLETCHER TILTON, PC</v>
      </c>
      <c r="BI244" t="str">
        <f>"MA"</f>
        <v>MA</v>
      </c>
      <c r="BJ244" t="str">
        <f>"SUPREME JUDICIAL COURT"</f>
        <v>SUPREME JUDICIAL COURT</v>
      </c>
      <c r="BK244">
        <v>1</v>
      </c>
      <c r="BL244" t="s">
        <v>107</v>
      </c>
      <c r="BM244" t="str">
        <f>"Citigroup Technology, Inc. "</f>
        <v xml:space="preserve">Citigroup Technology, Inc. </v>
      </c>
      <c r="BN244" t="s">
        <v>10951</v>
      </c>
      <c r="BP244" t="s">
        <v>1107</v>
      </c>
      <c r="BQ244" t="s">
        <v>1034</v>
      </c>
      <c r="BR244" t="s">
        <v>577</v>
      </c>
      <c r="BS244" s="5">
        <v>33610</v>
      </c>
      <c r="BT244" s="2">
        <v>96000</v>
      </c>
      <c r="BV244" t="s">
        <v>105</v>
      </c>
      <c r="BW244" s="2">
        <v>67954</v>
      </c>
      <c r="BX244" t="s">
        <v>105</v>
      </c>
      <c r="BZ244" t="s">
        <v>167</v>
      </c>
      <c r="CA244" t="str">
        <f t="shared" si="13"/>
        <v>7/1/2020 - 6/30/2021</v>
      </c>
      <c r="CF244">
        <v>2</v>
      </c>
      <c r="CG244" t="s">
        <v>98</v>
      </c>
      <c r="CH244" t="s">
        <v>98</v>
      </c>
      <c r="CI244" t="s">
        <v>206</v>
      </c>
      <c r="CJ244" t="s">
        <v>98</v>
      </c>
      <c r="CK244" t="s">
        <v>12323</v>
      </c>
      <c r="CL244" t="s">
        <v>108</v>
      </c>
      <c r="CM244" t="s">
        <v>109</v>
      </c>
      <c r="CN244" t="str">
        <f>""</f>
        <v/>
      </c>
      <c r="CO244" t="str">
        <f>""</f>
        <v/>
      </c>
      <c r="CP244" t="str">
        <f>""</f>
        <v/>
      </c>
      <c r="CQ244" t="str">
        <f>""</f>
        <v/>
      </c>
    </row>
    <row r="245" spans="1:96" x14ac:dyDescent="0.2">
      <c r="A245" t="s">
        <v>10954</v>
      </c>
      <c r="B245" t="s">
        <v>96</v>
      </c>
      <c r="C245" s="1">
        <v>44098</v>
      </c>
      <c r="D245" s="1">
        <v>44105</v>
      </c>
      <c r="F245" t="s">
        <v>97</v>
      </c>
      <c r="G245" t="str">
        <f>"Software Developer"</f>
        <v>Software Developer</v>
      </c>
      <c r="H245" t="s">
        <v>12169</v>
      </c>
      <c r="I245" t="s">
        <v>124</v>
      </c>
      <c r="J245" t="s">
        <v>98</v>
      </c>
      <c r="K245" s="1">
        <v>44191</v>
      </c>
      <c r="L245" s="1">
        <v>45282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 t="s">
        <v>5107</v>
      </c>
      <c r="U245" t="str">
        <f>""</f>
        <v/>
      </c>
      <c r="V245" t="s">
        <v>5948</v>
      </c>
      <c r="W245" t="str">
        <f>"ste 400"</f>
        <v>ste 400</v>
      </c>
      <c r="X245" t="s">
        <v>1400</v>
      </c>
      <c r="Y245" t="s">
        <v>608</v>
      </c>
      <c r="Z245" s="3">
        <v>50309</v>
      </c>
      <c r="AA245" t="s">
        <v>101</v>
      </c>
      <c r="AC245" s="4" t="str">
        <f>"+15157087427"</f>
        <v>+15157087427</v>
      </c>
      <c r="AE245" t="str">
        <f>"541511"</f>
        <v>541511</v>
      </c>
      <c r="AF245" t="s">
        <v>5108</v>
      </c>
      <c r="AG245" t="s">
        <v>5109</v>
      </c>
      <c r="AI245" t="s">
        <v>646</v>
      </c>
      <c r="AJ245" t="s">
        <v>5948</v>
      </c>
      <c r="AK245" t="str">
        <f>"ste 400"</f>
        <v>ste 400</v>
      </c>
      <c r="AL245" t="s">
        <v>1400</v>
      </c>
      <c r="AM245" t="s">
        <v>608</v>
      </c>
      <c r="AN245" s="3">
        <v>50309</v>
      </c>
      <c r="AO245" t="s">
        <v>101</v>
      </c>
      <c r="AQ245" t="str">
        <f>"+15157087427"</f>
        <v>+15157087427</v>
      </c>
      <c r="AS245" t="s">
        <v>5110</v>
      </c>
      <c r="AT245" t="s">
        <v>102</v>
      </c>
      <c r="AU245" t="str">
        <f>""</f>
        <v/>
      </c>
      <c r="AV245" t="str">
        <f>""</f>
        <v/>
      </c>
      <c r="AW245" t="str">
        <f>""</f>
        <v/>
      </c>
      <c r="AX245" t="str">
        <f>""</f>
        <v/>
      </c>
      <c r="AY245" t="str">
        <f>""</f>
        <v/>
      </c>
      <c r="AZ245" t="str">
        <f>""</f>
        <v/>
      </c>
      <c r="BA245" t="str">
        <f>""</f>
        <v/>
      </c>
      <c r="BC245" t="str">
        <f>""</f>
        <v/>
      </c>
      <c r="BD245" t="str">
        <f>""</f>
        <v/>
      </c>
      <c r="BE245" t="str">
        <f>""</f>
        <v/>
      </c>
      <c r="BF245" t="str">
        <f>""</f>
        <v/>
      </c>
      <c r="BG245" t="str">
        <f>""</f>
        <v/>
      </c>
      <c r="BH245" t="str">
        <f>""</f>
        <v/>
      </c>
      <c r="BI245" t="str">
        <f>""</f>
        <v/>
      </c>
      <c r="BJ245" t="str">
        <f>""</f>
        <v/>
      </c>
      <c r="BK245">
        <v>1</v>
      </c>
      <c r="BL245" t="s">
        <v>107</v>
      </c>
      <c r="BM245" t="str">
        <f>"American Express"</f>
        <v>American Express</v>
      </c>
      <c r="BN245" t="s">
        <v>10955</v>
      </c>
      <c r="BP245" t="s">
        <v>277</v>
      </c>
      <c r="BQ245" t="s">
        <v>189</v>
      </c>
      <c r="BR245" t="s">
        <v>190</v>
      </c>
      <c r="BS245" s="5">
        <v>10285</v>
      </c>
      <c r="BT245" s="2">
        <v>101000</v>
      </c>
      <c r="BV245" t="s">
        <v>105</v>
      </c>
      <c r="BW245" s="2">
        <v>100526</v>
      </c>
      <c r="BX245" t="s">
        <v>105</v>
      </c>
      <c r="BZ245" t="s">
        <v>167</v>
      </c>
      <c r="CA245" t="str">
        <f t="shared" si="13"/>
        <v>7/1/2020 - 6/30/2021</v>
      </c>
      <c r="CF245">
        <v>1</v>
      </c>
      <c r="CG245" t="s">
        <v>98</v>
      </c>
      <c r="CH245" t="s">
        <v>98</v>
      </c>
      <c r="CI245" t="s">
        <v>206</v>
      </c>
      <c r="CJ245" t="s">
        <v>98</v>
      </c>
      <c r="CK245" t="s">
        <v>12323</v>
      </c>
      <c r="CL245" t="s">
        <v>108</v>
      </c>
      <c r="CM245" t="s">
        <v>109</v>
      </c>
      <c r="CN245" t="str">
        <f>""</f>
        <v/>
      </c>
      <c r="CO245" t="str">
        <f>""</f>
        <v/>
      </c>
      <c r="CP245" t="str">
        <f>""</f>
        <v/>
      </c>
      <c r="CQ245" t="str">
        <f>""</f>
        <v/>
      </c>
    </row>
    <row r="246" spans="1:96" x14ac:dyDescent="0.2">
      <c r="A246" t="s">
        <v>10957</v>
      </c>
      <c r="B246" t="s">
        <v>96</v>
      </c>
      <c r="C246" s="1">
        <v>44098</v>
      </c>
      <c r="D246" s="1">
        <v>44105</v>
      </c>
      <c r="F246" t="s">
        <v>97</v>
      </c>
      <c r="G246" t="str">
        <f>"SR. CRM DEVELOPER"</f>
        <v>SR. CRM DEVELOPER</v>
      </c>
      <c r="H246" t="s">
        <v>12169</v>
      </c>
      <c r="I246" t="s">
        <v>124</v>
      </c>
      <c r="J246" t="s">
        <v>98</v>
      </c>
      <c r="K246" s="1">
        <v>44098</v>
      </c>
      <c r="L246" s="1">
        <v>45192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 t="s">
        <v>2632</v>
      </c>
      <c r="U246" t="str">
        <f>""</f>
        <v/>
      </c>
      <c r="V246" t="s">
        <v>2633</v>
      </c>
      <c r="W246" t="str">
        <f>"SUITE 220 "</f>
        <v xml:space="preserve">SUITE 220 </v>
      </c>
      <c r="X246" t="s">
        <v>2146</v>
      </c>
      <c r="Y246" t="s">
        <v>265</v>
      </c>
      <c r="Z246" s="3">
        <v>48335</v>
      </c>
      <c r="AA246" t="s">
        <v>101</v>
      </c>
      <c r="AC246" s="4" t="str">
        <f>"+12484730720"</f>
        <v>+12484730720</v>
      </c>
      <c r="AD246">
        <v>200</v>
      </c>
      <c r="AE246" t="str">
        <f>"54151"</f>
        <v>54151</v>
      </c>
      <c r="AF246" t="s">
        <v>4357</v>
      </c>
      <c r="AG246" t="s">
        <v>2634</v>
      </c>
      <c r="AI246" t="s">
        <v>425</v>
      </c>
      <c r="AJ246" t="s">
        <v>2143</v>
      </c>
      <c r="AK246" t="str">
        <f>"SUITE 220"</f>
        <v>SUITE 220</v>
      </c>
      <c r="AL246" t="s">
        <v>2146</v>
      </c>
      <c r="AM246" t="s">
        <v>265</v>
      </c>
      <c r="AN246" s="3">
        <v>48335</v>
      </c>
      <c r="AO246" t="s">
        <v>101</v>
      </c>
      <c r="AQ246" t="str">
        <f>"+12484730720"</f>
        <v>+12484730720</v>
      </c>
      <c r="AR246">
        <v>200</v>
      </c>
      <c r="AS246" t="s">
        <v>2147</v>
      </c>
      <c r="AT246" t="s">
        <v>102</v>
      </c>
      <c r="AU246" t="str">
        <f>""</f>
        <v/>
      </c>
      <c r="AV246" t="str">
        <f>""</f>
        <v/>
      </c>
      <c r="AW246" t="str">
        <f>""</f>
        <v/>
      </c>
      <c r="AX246" t="str">
        <f>""</f>
        <v/>
      </c>
      <c r="AY246" t="str">
        <f>""</f>
        <v/>
      </c>
      <c r="AZ246" t="str">
        <f>""</f>
        <v/>
      </c>
      <c r="BA246" t="str">
        <f>""</f>
        <v/>
      </c>
      <c r="BC246" t="str">
        <f>""</f>
        <v/>
      </c>
      <c r="BD246" t="str">
        <f>""</f>
        <v/>
      </c>
      <c r="BE246" t="str">
        <f>""</f>
        <v/>
      </c>
      <c r="BF246" t="str">
        <f>""</f>
        <v/>
      </c>
      <c r="BG246" t="str">
        <f>""</f>
        <v/>
      </c>
      <c r="BH246" t="str">
        <f>""</f>
        <v/>
      </c>
      <c r="BI246" t="str">
        <f>""</f>
        <v/>
      </c>
      <c r="BJ246" t="str">
        <f>""</f>
        <v/>
      </c>
      <c r="BK246">
        <v>1</v>
      </c>
      <c r="BL246" t="s">
        <v>107</v>
      </c>
      <c r="BM246" t="str">
        <f>"LOWE'S (REMOTE)"</f>
        <v>LOWE'S (REMOTE)</v>
      </c>
      <c r="BN246" t="s">
        <v>10958</v>
      </c>
      <c r="BP246" t="s">
        <v>6101</v>
      </c>
      <c r="BQ246" t="s">
        <v>2026</v>
      </c>
      <c r="BR246" t="s">
        <v>127</v>
      </c>
      <c r="BS246" s="5">
        <v>17050</v>
      </c>
      <c r="BT246" s="2">
        <v>41.51</v>
      </c>
      <c r="BV246" t="s">
        <v>210</v>
      </c>
      <c r="BW246" s="2">
        <v>41.51</v>
      </c>
      <c r="BX246" t="s">
        <v>210</v>
      </c>
      <c r="BZ246" t="s">
        <v>123</v>
      </c>
      <c r="CA246" t="str">
        <f t="shared" si="13"/>
        <v>7/1/2020 - 6/30/2021</v>
      </c>
      <c r="CF246">
        <v>1</v>
      </c>
      <c r="CG246" t="s">
        <v>98</v>
      </c>
      <c r="CH246" t="s">
        <v>98</v>
      </c>
      <c r="CI246" t="s">
        <v>206</v>
      </c>
      <c r="CJ246" t="s">
        <v>98</v>
      </c>
      <c r="CK246" t="s">
        <v>12323</v>
      </c>
      <c r="CL246" t="s">
        <v>108</v>
      </c>
      <c r="CM246" t="s">
        <v>109</v>
      </c>
      <c r="CN246" t="str">
        <f>""</f>
        <v/>
      </c>
      <c r="CO246" t="str">
        <f>""</f>
        <v/>
      </c>
      <c r="CP246" t="str">
        <f>""</f>
        <v/>
      </c>
      <c r="CQ246" t="str">
        <f>""</f>
        <v/>
      </c>
    </row>
    <row r="247" spans="1:96" x14ac:dyDescent="0.2">
      <c r="A247" t="s">
        <v>10960</v>
      </c>
      <c r="B247" t="s">
        <v>96</v>
      </c>
      <c r="C247" s="1">
        <v>44098</v>
      </c>
      <c r="D247" s="1">
        <v>44105</v>
      </c>
      <c r="F247" t="s">
        <v>97</v>
      </c>
      <c r="G247" t="str">
        <f>"Test Engineer"</f>
        <v>Test Engineer</v>
      </c>
      <c r="H247" t="s">
        <v>12168</v>
      </c>
      <c r="I247" t="s">
        <v>319</v>
      </c>
      <c r="J247" t="s">
        <v>98</v>
      </c>
      <c r="K247" s="1">
        <v>44098</v>
      </c>
      <c r="L247" s="1">
        <v>45192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3921</v>
      </c>
      <c r="U247" t="str">
        <f>""</f>
        <v/>
      </c>
      <c r="V247" t="s">
        <v>3922</v>
      </c>
      <c r="W247" t="str">
        <f>""</f>
        <v/>
      </c>
      <c r="X247" t="s">
        <v>1317</v>
      </c>
      <c r="Y247" t="s">
        <v>135</v>
      </c>
      <c r="Z247" s="3">
        <v>20166</v>
      </c>
      <c r="AA247" t="s">
        <v>101</v>
      </c>
      <c r="AC247" s="4" t="str">
        <f>"+17034809100"</f>
        <v>+17034809100</v>
      </c>
      <c r="AE247" t="str">
        <f>"541511"</f>
        <v>541511</v>
      </c>
      <c r="AF247" t="s">
        <v>3923</v>
      </c>
      <c r="AG247" t="s">
        <v>1182</v>
      </c>
      <c r="AH247" t="s">
        <v>592</v>
      </c>
      <c r="AI247" t="s">
        <v>3924</v>
      </c>
      <c r="AJ247" t="s">
        <v>3922</v>
      </c>
      <c r="AK247" t="str">
        <f>""</f>
        <v/>
      </c>
      <c r="AL247" t="s">
        <v>1317</v>
      </c>
      <c r="AM247" t="s">
        <v>135</v>
      </c>
      <c r="AN247" s="3">
        <v>20166</v>
      </c>
      <c r="AO247" t="s">
        <v>101</v>
      </c>
      <c r="AQ247" t="str">
        <f>"+17034809100"</f>
        <v>+17034809100</v>
      </c>
      <c r="AS247" t="s">
        <v>3925</v>
      </c>
      <c r="AT247" t="s">
        <v>107</v>
      </c>
      <c r="AU247" t="str">
        <f>"Shah"</f>
        <v>Shah</v>
      </c>
      <c r="AV247" t="str">
        <f>"Devang"</f>
        <v>Devang</v>
      </c>
      <c r="AW247" t="str">
        <f>"M."</f>
        <v>M.</v>
      </c>
      <c r="AX247" t="str">
        <f>"9201 Corporate Blvd."</f>
        <v>9201 Corporate Blvd.</v>
      </c>
      <c r="AY247" t="str">
        <f>"Suite 330"</f>
        <v>Suite 330</v>
      </c>
      <c r="AZ247" t="str">
        <f>"Rockville"</f>
        <v>Rockville</v>
      </c>
      <c r="BA247" t="str">
        <f>"MD"</f>
        <v>MD</v>
      </c>
      <c r="BB247" s="3">
        <v>20850</v>
      </c>
      <c r="BC247" t="str">
        <f>"UNITED STATES OF AMERICA"</f>
        <v>UNITED STATES OF AMERICA</v>
      </c>
      <c r="BD247" t="str">
        <f>""</f>
        <v/>
      </c>
      <c r="BE247" t="str">
        <f>"+13013150001"</f>
        <v>+13013150001</v>
      </c>
      <c r="BF247" t="str">
        <f>""</f>
        <v/>
      </c>
      <c r="BG247" t="str">
        <f>"Shah@shahandkishore.com"</f>
        <v>Shah@shahandkishore.com</v>
      </c>
      <c r="BH247" t="str">
        <f>"Shah and Kishore"</f>
        <v>Shah and Kishore</v>
      </c>
      <c r="BI247" t="str">
        <f>"MD"</f>
        <v>MD</v>
      </c>
      <c r="BJ247" t="str">
        <f>"Court of Appeals"</f>
        <v>Court of Appeals</v>
      </c>
      <c r="BK247">
        <v>1</v>
      </c>
      <c r="BL247" t="s">
        <v>102</v>
      </c>
      <c r="BM247" t="str">
        <f>""</f>
        <v/>
      </c>
      <c r="BN247" t="s">
        <v>10961</v>
      </c>
      <c r="BP247" t="s">
        <v>1317</v>
      </c>
      <c r="BQ247" t="s">
        <v>3047</v>
      </c>
      <c r="BR247" t="s">
        <v>135</v>
      </c>
      <c r="BS247" s="5">
        <v>20166</v>
      </c>
      <c r="BT247" s="2">
        <v>80000</v>
      </c>
      <c r="BV247" t="s">
        <v>105</v>
      </c>
      <c r="BW247" s="2">
        <v>79019</v>
      </c>
      <c r="BX247" t="s">
        <v>105</v>
      </c>
      <c r="BZ247" t="s">
        <v>191</v>
      </c>
      <c r="CA247" t="str">
        <f t="shared" si="13"/>
        <v>7/1/2020 - 6/30/2021</v>
      </c>
      <c r="CF247">
        <v>1</v>
      </c>
      <c r="CG247" t="s">
        <v>98</v>
      </c>
      <c r="CH247" t="s">
        <v>98</v>
      </c>
      <c r="CI247" t="s">
        <v>206</v>
      </c>
      <c r="CJ247" t="s">
        <v>98</v>
      </c>
      <c r="CK247" t="s">
        <v>12323</v>
      </c>
      <c r="CL247" t="s">
        <v>108</v>
      </c>
      <c r="CM247" t="s">
        <v>109</v>
      </c>
      <c r="CN247" t="str">
        <f>"Shah"</f>
        <v>Shah</v>
      </c>
      <c r="CO247" t="str">
        <f>"Devang"</f>
        <v>Devang</v>
      </c>
      <c r="CP247" t="str">
        <f>"M."</f>
        <v>M.</v>
      </c>
      <c r="CQ247" t="str">
        <f>"Shah and Kishore"</f>
        <v>Shah and Kishore</v>
      </c>
      <c r="CR247" t="s">
        <v>828</v>
      </c>
    </row>
    <row r="248" spans="1:96" x14ac:dyDescent="0.2">
      <c r="A248" t="s">
        <v>10994</v>
      </c>
      <c r="B248" t="s">
        <v>96</v>
      </c>
      <c r="C248" s="1">
        <v>44098</v>
      </c>
      <c r="D248" s="1">
        <v>44105</v>
      </c>
      <c r="F248" t="s">
        <v>97</v>
      </c>
      <c r="G248" t="str">
        <f>"RPAS Lead"</f>
        <v>RPAS Lead</v>
      </c>
      <c r="H248" t="s">
        <v>12168</v>
      </c>
      <c r="I248" t="s">
        <v>319</v>
      </c>
      <c r="J248" t="s">
        <v>98</v>
      </c>
      <c r="K248" s="1">
        <v>44197</v>
      </c>
      <c r="L248" s="1">
        <v>45291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 t="s">
        <v>9194</v>
      </c>
      <c r="U248" t="str">
        <f>""</f>
        <v/>
      </c>
      <c r="V248" t="s">
        <v>6509</v>
      </c>
      <c r="W248" t="str">
        <f>"Suite 102"</f>
        <v>Suite 102</v>
      </c>
      <c r="X248" t="s">
        <v>2429</v>
      </c>
      <c r="Y248" t="s">
        <v>265</v>
      </c>
      <c r="Z248" s="3">
        <v>48864</v>
      </c>
      <c r="AA248" t="s">
        <v>101</v>
      </c>
      <c r="AC248" s="4" t="str">
        <f>"+15862325001"</f>
        <v>+15862325001</v>
      </c>
      <c r="AE248" t="str">
        <f>"541511"</f>
        <v>541511</v>
      </c>
      <c r="AF248" t="s">
        <v>2430</v>
      </c>
      <c r="AG248" t="s">
        <v>954</v>
      </c>
      <c r="AI248" t="s">
        <v>629</v>
      </c>
      <c r="AJ248" t="s">
        <v>6509</v>
      </c>
      <c r="AK248" t="str">
        <f>"Suite 102"</f>
        <v>Suite 102</v>
      </c>
      <c r="AL248" t="s">
        <v>2429</v>
      </c>
      <c r="AM248" t="s">
        <v>265</v>
      </c>
      <c r="AN248" s="3">
        <v>48864</v>
      </c>
      <c r="AO248" t="s">
        <v>101</v>
      </c>
      <c r="AQ248" t="str">
        <f>"+15862325001"</f>
        <v>+15862325001</v>
      </c>
      <c r="AS248" t="s">
        <v>2431</v>
      </c>
      <c r="AT248" t="s">
        <v>102</v>
      </c>
      <c r="AU248" t="str">
        <f>""</f>
        <v/>
      </c>
      <c r="AV248" t="str">
        <f>""</f>
        <v/>
      </c>
      <c r="AW248" t="str">
        <f>""</f>
        <v/>
      </c>
      <c r="AX248" t="str">
        <f>""</f>
        <v/>
      </c>
      <c r="AY248" t="str">
        <f>""</f>
        <v/>
      </c>
      <c r="AZ248" t="str">
        <f>""</f>
        <v/>
      </c>
      <c r="BA248" t="str">
        <f>""</f>
        <v/>
      </c>
      <c r="BC248" t="str">
        <f>""</f>
        <v/>
      </c>
      <c r="BD248" t="str">
        <f>""</f>
        <v/>
      </c>
      <c r="BE248" t="str">
        <f>""</f>
        <v/>
      </c>
      <c r="BF248" t="str">
        <f>""</f>
        <v/>
      </c>
      <c r="BG248" t="str">
        <f>""</f>
        <v/>
      </c>
      <c r="BH248" t="str">
        <f>""</f>
        <v/>
      </c>
      <c r="BI248" t="str">
        <f>""</f>
        <v/>
      </c>
      <c r="BJ248" t="str">
        <f>""</f>
        <v/>
      </c>
      <c r="BK248">
        <v>1</v>
      </c>
      <c r="BL248" t="s">
        <v>107</v>
      </c>
      <c r="BM248" t="str">
        <f>"TJX Companies"</f>
        <v>TJX Companies</v>
      </c>
      <c r="BN248" t="s">
        <v>9363</v>
      </c>
      <c r="BP248" t="s">
        <v>940</v>
      </c>
      <c r="BQ248" t="s">
        <v>941</v>
      </c>
      <c r="BR248" t="s">
        <v>171</v>
      </c>
      <c r="BS248" s="5">
        <v>1752</v>
      </c>
      <c r="BT248" s="2">
        <v>57.6</v>
      </c>
      <c r="BV248" t="s">
        <v>210</v>
      </c>
      <c r="BW248" s="2">
        <v>52.21</v>
      </c>
      <c r="BX248" t="s">
        <v>210</v>
      </c>
      <c r="BZ248" t="s">
        <v>159</v>
      </c>
      <c r="CA248" t="str">
        <f t="shared" si="13"/>
        <v>7/1/2020 - 6/30/2021</v>
      </c>
      <c r="CF248">
        <v>2</v>
      </c>
      <c r="CG248" t="s">
        <v>98</v>
      </c>
      <c r="CH248" t="s">
        <v>98</v>
      </c>
      <c r="CI248" t="s">
        <v>206</v>
      </c>
      <c r="CJ248" t="s">
        <v>98</v>
      </c>
      <c r="CK248" t="s">
        <v>12323</v>
      </c>
      <c r="CL248" t="s">
        <v>108</v>
      </c>
      <c r="CM248" t="s">
        <v>109</v>
      </c>
      <c r="CN248" t="str">
        <f>""</f>
        <v/>
      </c>
      <c r="CO248" t="str">
        <f>""</f>
        <v/>
      </c>
      <c r="CP248" t="str">
        <f>""</f>
        <v/>
      </c>
      <c r="CQ248" t="str">
        <f>""</f>
        <v/>
      </c>
    </row>
    <row r="249" spans="1:96" x14ac:dyDescent="0.2">
      <c r="A249" t="s">
        <v>11001</v>
      </c>
      <c r="B249" t="s">
        <v>96</v>
      </c>
      <c r="C249" s="1">
        <v>44098</v>
      </c>
      <c r="D249" s="1">
        <v>44105</v>
      </c>
      <c r="F249" t="s">
        <v>97</v>
      </c>
      <c r="G249" t="str">
        <f>"Project Manager 3"</f>
        <v>Project Manager 3</v>
      </c>
      <c r="H249" t="s">
        <v>12168</v>
      </c>
      <c r="I249" t="s">
        <v>367</v>
      </c>
      <c r="J249" t="s">
        <v>98</v>
      </c>
      <c r="K249" s="1">
        <v>44101</v>
      </c>
      <c r="L249" s="1">
        <v>45195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 t="s">
        <v>1421</v>
      </c>
      <c r="U249" t="str">
        <f>""</f>
        <v/>
      </c>
      <c r="V249" t="s">
        <v>1422</v>
      </c>
      <c r="W249" t="str">
        <f>"SUITE 300"</f>
        <v>SUITE 300</v>
      </c>
      <c r="X249" t="s">
        <v>843</v>
      </c>
      <c r="Y249" t="s">
        <v>345</v>
      </c>
      <c r="Z249" s="3">
        <v>60606</v>
      </c>
      <c r="AA249" t="s">
        <v>101</v>
      </c>
      <c r="AC249" s="4" t="str">
        <f>"+13123955000"</f>
        <v>+13123955000</v>
      </c>
      <c r="AE249" t="str">
        <f>"5416"</f>
        <v>5416</v>
      </c>
      <c r="AF249" t="s">
        <v>1423</v>
      </c>
      <c r="AG249" t="s">
        <v>1424</v>
      </c>
      <c r="AI249" t="s">
        <v>1425</v>
      </c>
      <c r="AJ249" t="s">
        <v>1422</v>
      </c>
      <c r="AK249" t="str">
        <f>"SUITE 300"</f>
        <v>SUITE 300</v>
      </c>
      <c r="AL249" t="s">
        <v>843</v>
      </c>
      <c r="AM249" t="s">
        <v>345</v>
      </c>
      <c r="AN249" s="3">
        <v>60606</v>
      </c>
      <c r="AO249" t="s">
        <v>101</v>
      </c>
      <c r="AQ249" t="str">
        <f>"+13123958209"</f>
        <v>+13123958209</v>
      </c>
      <c r="AS249" t="s">
        <v>1426</v>
      </c>
      <c r="AT249" t="s">
        <v>102</v>
      </c>
      <c r="AU249" t="str">
        <f>""</f>
        <v/>
      </c>
      <c r="AV249" t="str">
        <f>""</f>
        <v/>
      </c>
      <c r="AW249" t="str">
        <f>""</f>
        <v/>
      </c>
      <c r="AX249" t="str">
        <f>""</f>
        <v/>
      </c>
      <c r="AY249" t="str">
        <f>""</f>
        <v/>
      </c>
      <c r="AZ249" t="str">
        <f>""</f>
        <v/>
      </c>
      <c r="BA249" t="str">
        <f>""</f>
        <v/>
      </c>
      <c r="BC249" t="str">
        <f>""</f>
        <v/>
      </c>
      <c r="BD249" t="str">
        <f>""</f>
        <v/>
      </c>
      <c r="BE249" t="str">
        <f>""</f>
        <v/>
      </c>
      <c r="BF249" t="str">
        <f>""</f>
        <v/>
      </c>
      <c r="BG249" t="str">
        <f>""</f>
        <v/>
      </c>
      <c r="BH249" t="str">
        <f>""</f>
        <v/>
      </c>
      <c r="BI249" t="str">
        <f>""</f>
        <v/>
      </c>
      <c r="BJ249" t="str">
        <f>""</f>
        <v/>
      </c>
      <c r="BK249">
        <v>1</v>
      </c>
      <c r="BL249" t="s">
        <v>102</v>
      </c>
      <c r="BM249" t="str">
        <f>""</f>
        <v/>
      </c>
      <c r="BN249" t="s">
        <v>11002</v>
      </c>
      <c r="BP249" t="s">
        <v>6541</v>
      </c>
      <c r="BQ249" t="s">
        <v>688</v>
      </c>
      <c r="BR249" t="s">
        <v>215</v>
      </c>
      <c r="BS249" s="5">
        <v>30269</v>
      </c>
      <c r="BT249" s="2">
        <v>94453</v>
      </c>
      <c r="BU249" s="2">
        <v>97856</v>
      </c>
      <c r="BV249" t="s">
        <v>105</v>
      </c>
      <c r="BW249" s="2">
        <v>94453</v>
      </c>
      <c r="BX249" t="s">
        <v>105</v>
      </c>
      <c r="BZ249" t="s">
        <v>123</v>
      </c>
      <c r="CA249" t="str">
        <f t="shared" si="13"/>
        <v>7/1/2020 - 6/30/2021</v>
      </c>
      <c r="CF249">
        <v>1</v>
      </c>
      <c r="CG249" t="s">
        <v>98</v>
      </c>
      <c r="CH249" t="s">
        <v>98</v>
      </c>
      <c r="CI249" t="s">
        <v>206</v>
      </c>
      <c r="CJ249" t="s">
        <v>98</v>
      </c>
      <c r="CK249" t="s">
        <v>12323</v>
      </c>
      <c r="CL249" t="s">
        <v>108</v>
      </c>
      <c r="CM249" t="s">
        <v>109</v>
      </c>
      <c r="CN249" t="str">
        <f>""</f>
        <v/>
      </c>
      <c r="CO249" t="str">
        <f>""</f>
        <v/>
      </c>
      <c r="CP249" t="str">
        <f>""</f>
        <v/>
      </c>
      <c r="CQ249" t="str">
        <f>""</f>
        <v/>
      </c>
    </row>
    <row r="250" spans="1:96" x14ac:dyDescent="0.2">
      <c r="A250" t="s">
        <v>11039</v>
      </c>
      <c r="B250" t="s">
        <v>96</v>
      </c>
      <c r="C250" s="1">
        <v>44098</v>
      </c>
      <c r="D250" s="1">
        <v>44105</v>
      </c>
      <c r="F250" t="s">
        <v>97</v>
      </c>
      <c r="G250" t="str">
        <f>"Technical Lead "</f>
        <v xml:space="preserve">Technical Lead </v>
      </c>
      <c r="H250" t="s">
        <v>12169</v>
      </c>
      <c r="I250" t="s">
        <v>124</v>
      </c>
      <c r="J250" t="s">
        <v>98</v>
      </c>
      <c r="K250" s="1">
        <v>44103</v>
      </c>
      <c r="L250" s="1">
        <v>45197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11040</v>
      </c>
      <c r="U250" t="str">
        <f>""</f>
        <v/>
      </c>
      <c r="V250" t="s">
        <v>11041</v>
      </c>
      <c r="W250" t="str">
        <f>"SUITE#310"</f>
        <v>SUITE#310</v>
      </c>
      <c r="X250" t="s">
        <v>10927</v>
      </c>
      <c r="Y250" t="s">
        <v>374</v>
      </c>
      <c r="Z250" s="3">
        <v>63011</v>
      </c>
      <c r="AA250" t="s">
        <v>101</v>
      </c>
      <c r="AC250" s="4" t="str">
        <f>"+19739793225"</f>
        <v>+19739793225</v>
      </c>
      <c r="AE250" t="str">
        <f>"541511"</f>
        <v>541511</v>
      </c>
      <c r="AF250" t="s">
        <v>5530</v>
      </c>
      <c r="AG250" t="s">
        <v>1071</v>
      </c>
      <c r="AI250" t="s">
        <v>1586</v>
      </c>
      <c r="AJ250" t="s">
        <v>11042</v>
      </c>
      <c r="AK250" t="str">
        <f>"SUITE#310"</f>
        <v>SUITE#310</v>
      </c>
      <c r="AL250" t="s">
        <v>10927</v>
      </c>
      <c r="AM250" t="s">
        <v>374</v>
      </c>
      <c r="AN250" s="3">
        <v>63011</v>
      </c>
      <c r="AO250" t="s">
        <v>101</v>
      </c>
      <c r="AQ250" t="str">
        <f>"+19739793225"</f>
        <v>+19739793225</v>
      </c>
      <c r="AS250" t="s">
        <v>11043</v>
      </c>
      <c r="AT250" t="s">
        <v>107</v>
      </c>
      <c r="AU250" t="str">
        <f>"PARVATHANENI"</f>
        <v>PARVATHANENI</v>
      </c>
      <c r="AV250" t="str">
        <f>"D. CHAND"</f>
        <v>D. CHAND</v>
      </c>
      <c r="AW250" t="str">
        <f>""</f>
        <v/>
      </c>
      <c r="AX250" t="str">
        <f>"3010 LBJ Freeway"</f>
        <v>3010 LBJ Freeway</v>
      </c>
      <c r="AY250" t="str">
        <f>"Suite#130"</f>
        <v>Suite#130</v>
      </c>
      <c r="AZ250" t="str">
        <f>"Dallas"</f>
        <v>Dallas</v>
      </c>
      <c r="BA250" t="str">
        <f>"TX"</f>
        <v>TX</v>
      </c>
      <c r="BB250" s="3">
        <v>75234</v>
      </c>
      <c r="BC250" t="str">
        <f>"UNITED STATES OF AMERICA"</f>
        <v>UNITED STATES OF AMERICA</v>
      </c>
      <c r="BD250" t="str">
        <f>""</f>
        <v/>
      </c>
      <c r="BE250" t="str">
        <f>"+19723751000"</f>
        <v>+19723751000</v>
      </c>
      <c r="BF250" t="str">
        <f>""</f>
        <v/>
      </c>
      <c r="BG250" t="str">
        <f>"chand@spblawfirm.com"</f>
        <v>chand@spblawfirm.com</v>
      </c>
      <c r="BH250" t="str">
        <f>"THE LAW FIRM OF SIM, PARVATHANENI AND BROWN PLLC"</f>
        <v>THE LAW FIRM OF SIM, PARVATHANENI AND BROWN PLLC</v>
      </c>
      <c r="BI250" t="str">
        <f>"TX"</f>
        <v>TX</v>
      </c>
      <c r="BJ250" t="str">
        <f>"SUPREME COURT OF TEXAS"</f>
        <v>SUPREME COURT OF TEXAS</v>
      </c>
      <c r="BK250">
        <v>1</v>
      </c>
      <c r="BL250" t="s">
        <v>107</v>
      </c>
      <c r="BM250" t="str">
        <f>"AbbVie Pharmaceutical Research and Development"</f>
        <v>AbbVie Pharmaceutical Research and Development</v>
      </c>
      <c r="BN250" t="s">
        <v>11044</v>
      </c>
      <c r="BP250" t="s">
        <v>11045</v>
      </c>
      <c r="BQ250" t="s">
        <v>556</v>
      </c>
      <c r="BR250" t="s">
        <v>114</v>
      </c>
      <c r="BS250" s="5">
        <v>75009</v>
      </c>
      <c r="BT250" s="2">
        <v>93558</v>
      </c>
      <c r="BV250" t="s">
        <v>105</v>
      </c>
      <c r="BW250" s="2">
        <v>93558</v>
      </c>
      <c r="BX250" t="s">
        <v>105</v>
      </c>
      <c r="BZ250" t="s">
        <v>167</v>
      </c>
      <c r="CA250" t="str">
        <f t="shared" si="13"/>
        <v>7/1/2020 - 6/30/2021</v>
      </c>
      <c r="CF250">
        <v>1</v>
      </c>
      <c r="CG250" t="s">
        <v>98</v>
      </c>
      <c r="CH250" t="s">
        <v>98</v>
      </c>
      <c r="CI250" t="s">
        <v>206</v>
      </c>
      <c r="CJ250" t="s">
        <v>98</v>
      </c>
      <c r="CK250" t="s">
        <v>12323</v>
      </c>
      <c r="CL250" t="s">
        <v>108</v>
      </c>
      <c r="CM250" t="s">
        <v>109</v>
      </c>
      <c r="CN250" t="str">
        <f>""</f>
        <v/>
      </c>
      <c r="CO250" t="str">
        <f>""</f>
        <v/>
      </c>
      <c r="CP250" t="str">
        <f>""</f>
        <v/>
      </c>
      <c r="CQ250" t="str">
        <f>""</f>
        <v/>
      </c>
    </row>
    <row r="251" spans="1:96" x14ac:dyDescent="0.2">
      <c r="A251" t="s">
        <v>11046</v>
      </c>
      <c r="B251" t="s">
        <v>96</v>
      </c>
      <c r="C251" s="1">
        <v>44098</v>
      </c>
      <c r="D251" s="1">
        <v>44105</v>
      </c>
      <c r="F251" t="s">
        <v>97</v>
      </c>
      <c r="G251" t="str">
        <f>"Technical Test Lead - US "</f>
        <v xml:space="preserve">Technical Test Lead - US </v>
      </c>
      <c r="H251" t="s">
        <v>12168</v>
      </c>
      <c r="I251" t="s">
        <v>319</v>
      </c>
      <c r="J251" t="s">
        <v>98</v>
      </c>
      <c r="K251" s="1">
        <v>44109</v>
      </c>
      <c r="L251" s="1">
        <v>45202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 t="s">
        <v>723</v>
      </c>
      <c r="U251" t="str">
        <f>""</f>
        <v/>
      </c>
      <c r="V251" t="s">
        <v>724</v>
      </c>
      <c r="W251" t="str">
        <f>"STE C150"</f>
        <v>STE C150</v>
      </c>
      <c r="X251" t="s">
        <v>725</v>
      </c>
      <c r="Y251" t="s">
        <v>114</v>
      </c>
      <c r="Z251" s="3">
        <v>75082</v>
      </c>
      <c r="AA251" t="s">
        <v>101</v>
      </c>
      <c r="AC251" s="4" t="str">
        <f>"+12143062100"</f>
        <v>+12143062100</v>
      </c>
      <c r="AE251" t="str">
        <f>"541511"</f>
        <v>541511</v>
      </c>
      <c r="AF251" t="s">
        <v>726</v>
      </c>
      <c r="AG251" t="s">
        <v>727</v>
      </c>
      <c r="AI251" t="s">
        <v>728</v>
      </c>
      <c r="AJ251" t="s">
        <v>724</v>
      </c>
      <c r="AK251" t="str">
        <f>"STE C150"</f>
        <v>STE C150</v>
      </c>
      <c r="AL251" t="s">
        <v>725</v>
      </c>
      <c r="AM251" t="s">
        <v>114</v>
      </c>
      <c r="AN251" s="3">
        <v>75082</v>
      </c>
      <c r="AO251" t="s">
        <v>101</v>
      </c>
      <c r="AQ251" t="str">
        <f>"+12143062100"</f>
        <v>+12143062100</v>
      </c>
      <c r="AS251" t="s">
        <v>729</v>
      </c>
      <c r="AT251" t="s">
        <v>102</v>
      </c>
      <c r="AU251" t="str">
        <f>""</f>
        <v/>
      </c>
      <c r="AV251" t="str">
        <f>""</f>
        <v/>
      </c>
      <c r="AW251" t="str">
        <f>""</f>
        <v/>
      </c>
      <c r="AX251" t="str">
        <f>""</f>
        <v/>
      </c>
      <c r="AY251" t="str">
        <f>""</f>
        <v/>
      </c>
      <c r="AZ251" t="str">
        <f>""</f>
        <v/>
      </c>
      <c r="BA251" t="str">
        <f>""</f>
        <v/>
      </c>
      <c r="BC251" t="str">
        <f>""</f>
        <v/>
      </c>
      <c r="BD251" t="str">
        <f>""</f>
        <v/>
      </c>
      <c r="BE251" t="str">
        <f>""</f>
        <v/>
      </c>
      <c r="BF251" t="str">
        <f>""</f>
        <v/>
      </c>
      <c r="BG251" t="str">
        <f>""</f>
        <v/>
      </c>
      <c r="BH251" t="str">
        <f>""</f>
        <v/>
      </c>
      <c r="BI251" t="str">
        <f>""</f>
        <v/>
      </c>
      <c r="BJ251" t="str">
        <f>""</f>
        <v/>
      </c>
      <c r="BK251">
        <v>1</v>
      </c>
      <c r="BL251" t="s">
        <v>107</v>
      </c>
      <c r="BM251" t="str">
        <f>"Conduent Business Services LLC"</f>
        <v>Conduent Business Services LLC</v>
      </c>
      <c r="BN251" t="s">
        <v>11047</v>
      </c>
      <c r="BO251" t="s">
        <v>11048</v>
      </c>
      <c r="BP251" t="s">
        <v>765</v>
      </c>
      <c r="BQ251" t="s">
        <v>721</v>
      </c>
      <c r="BR251" t="s">
        <v>114</v>
      </c>
      <c r="BS251" s="5">
        <v>78727</v>
      </c>
      <c r="BT251" s="2">
        <v>65550</v>
      </c>
      <c r="BV251" t="s">
        <v>105</v>
      </c>
      <c r="BW251" s="2">
        <v>63690</v>
      </c>
      <c r="BX251" t="s">
        <v>105</v>
      </c>
      <c r="BZ251" t="s">
        <v>167</v>
      </c>
      <c r="CA251" t="str">
        <f t="shared" si="13"/>
        <v>7/1/2020 - 6/30/2021</v>
      </c>
      <c r="CF251">
        <v>1</v>
      </c>
      <c r="CG251" t="s">
        <v>98</v>
      </c>
      <c r="CH251" t="s">
        <v>98</v>
      </c>
      <c r="CI251" t="s">
        <v>206</v>
      </c>
      <c r="CJ251" t="s">
        <v>98</v>
      </c>
      <c r="CK251" t="s">
        <v>12323</v>
      </c>
      <c r="CL251" t="s">
        <v>108</v>
      </c>
      <c r="CM251" t="s">
        <v>109</v>
      </c>
      <c r="CN251" t="str">
        <f>"JAYARAM"</f>
        <v>JAYARAM</v>
      </c>
      <c r="CO251" t="str">
        <f>"SUSHMA"</f>
        <v>SUSHMA</v>
      </c>
      <c r="CP251" t="str">
        <f>""</f>
        <v/>
      </c>
      <c r="CQ251" t="str">
        <f>"INFOSYS LIMITED"</f>
        <v>INFOSYS LIMITED</v>
      </c>
      <c r="CR251" t="s">
        <v>3699</v>
      </c>
    </row>
    <row r="252" spans="1:96" x14ac:dyDescent="0.2">
      <c r="A252" t="s">
        <v>11073</v>
      </c>
      <c r="B252" t="s">
        <v>96</v>
      </c>
      <c r="C252" s="1">
        <v>44098</v>
      </c>
      <c r="D252" s="1">
        <v>44105</v>
      </c>
      <c r="F252" t="s">
        <v>97</v>
      </c>
      <c r="G252" t="str">
        <f>"Software Engineer"</f>
        <v>Software Engineer</v>
      </c>
      <c r="H252" t="s">
        <v>12176</v>
      </c>
      <c r="I252" t="s">
        <v>246</v>
      </c>
      <c r="J252" t="s">
        <v>98</v>
      </c>
      <c r="K252" s="1">
        <v>44105</v>
      </c>
      <c r="L252" s="1">
        <v>45199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8037</v>
      </c>
      <c r="U252" t="str">
        <f>""</f>
        <v/>
      </c>
      <c r="V252" t="s">
        <v>8038</v>
      </c>
      <c r="W252" t="str">
        <f>"SUITE 121"</f>
        <v>SUITE 121</v>
      </c>
      <c r="X252" t="s">
        <v>1487</v>
      </c>
      <c r="Y252" t="s">
        <v>114</v>
      </c>
      <c r="Z252" s="3">
        <v>75038</v>
      </c>
      <c r="AA252" t="s">
        <v>101</v>
      </c>
      <c r="AC252" s="4" t="str">
        <f>"+19794460022"</f>
        <v>+19794460022</v>
      </c>
      <c r="AE252" t="str">
        <f>"541511"</f>
        <v>541511</v>
      </c>
      <c r="AF252" t="s">
        <v>8039</v>
      </c>
      <c r="AG252" t="s">
        <v>1638</v>
      </c>
      <c r="AI252" t="s">
        <v>629</v>
      </c>
      <c r="AJ252" t="s">
        <v>8038</v>
      </c>
      <c r="AK252" t="str">
        <f>"SUITE 121"</f>
        <v>SUITE 121</v>
      </c>
      <c r="AL252" t="s">
        <v>1487</v>
      </c>
      <c r="AM252" t="s">
        <v>114</v>
      </c>
      <c r="AN252" s="3">
        <v>75038</v>
      </c>
      <c r="AO252" t="s">
        <v>101</v>
      </c>
      <c r="AQ252" t="str">
        <f>"+19794460022"</f>
        <v>+19794460022</v>
      </c>
      <c r="AS252" t="s">
        <v>8040</v>
      </c>
      <c r="AT252" t="s">
        <v>107</v>
      </c>
      <c r="AU252" t="str">
        <f>"Akula"</f>
        <v>Akula</v>
      </c>
      <c r="AV252" t="str">
        <f>"Kavitha"</f>
        <v>Kavitha</v>
      </c>
      <c r="AW252" t="str">
        <f>""</f>
        <v/>
      </c>
      <c r="AX252" t="str">
        <f>"17400 DALLAS PKWY"</f>
        <v>17400 DALLAS PKWY</v>
      </c>
      <c r="AY252" t="str">
        <f>"SUITE 216"</f>
        <v>SUITE 216</v>
      </c>
      <c r="AZ252" t="str">
        <f>"DALLAS"</f>
        <v>DALLAS</v>
      </c>
      <c r="BA252" t="str">
        <f>"TX"</f>
        <v>TX</v>
      </c>
      <c r="BB252" s="3">
        <v>75287</v>
      </c>
      <c r="BC252" t="str">
        <f>"UNITED STATES OF AMERICA"</f>
        <v>UNITED STATES OF AMERICA</v>
      </c>
      <c r="BD252" t="str">
        <f>""</f>
        <v/>
      </c>
      <c r="BE252" t="str">
        <f>"+19722414698"</f>
        <v>+19722414698</v>
      </c>
      <c r="BF252" t="str">
        <f>""</f>
        <v/>
      </c>
      <c r="BG252" t="str">
        <f>"ali.elhorr@akulalaw.com"</f>
        <v>ali.elhorr@akulalaw.com</v>
      </c>
      <c r="BH252" t="str">
        <f>"Akula &amp; Associates, P.C."</f>
        <v>Akula &amp; Associates, P.C.</v>
      </c>
      <c r="BI252" t="str">
        <f>"TX"</f>
        <v>TX</v>
      </c>
      <c r="BJ252" t="str">
        <f>"SUPREME COURT"</f>
        <v>SUPREME COURT</v>
      </c>
      <c r="BK252">
        <v>1</v>
      </c>
      <c r="BL252" t="s">
        <v>102</v>
      </c>
      <c r="BM252" t="str">
        <f>""</f>
        <v/>
      </c>
      <c r="BN252" t="s">
        <v>11074</v>
      </c>
      <c r="BP252" t="s">
        <v>483</v>
      </c>
      <c r="BQ252" t="s">
        <v>484</v>
      </c>
      <c r="BR252" t="s">
        <v>114</v>
      </c>
      <c r="BS252" s="5">
        <v>75038</v>
      </c>
      <c r="BT252" s="2">
        <v>93558</v>
      </c>
      <c r="BU252" s="2">
        <v>93560</v>
      </c>
      <c r="BV252" t="s">
        <v>105</v>
      </c>
      <c r="BW252" s="2">
        <v>93558</v>
      </c>
      <c r="BX252" t="s">
        <v>105</v>
      </c>
      <c r="BZ252" t="s">
        <v>167</v>
      </c>
      <c r="CA252" t="str">
        <f t="shared" si="13"/>
        <v>7/1/2020 - 6/30/2021</v>
      </c>
      <c r="CF252">
        <v>1</v>
      </c>
      <c r="CG252" t="s">
        <v>98</v>
      </c>
      <c r="CH252" t="s">
        <v>98</v>
      </c>
      <c r="CI252" t="s">
        <v>206</v>
      </c>
      <c r="CJ252" t="s">
        <v>98</v>
      </c>
      <c r="CK252" t="s">
        <v>12323</v>
      </c>
      <c r="CL252" t="s">
        <v>108</v>
      </c>
      <c r="CM252" t="s">
        <v>109</v>
      </c>
      <c r="CN252" t="str">
        <f>""</f>
        <v/>
      </c>
      <c r="CO252" t="str">
        <f>""</f>
        <v/>
      </c>
      <c r="CP252" t="str">
        <f>""</f>
        <v/>
      </c>
      <c r="CQ252" t="str">
        <f>""</f>
        <v/>
      </c>
    </row>
    <row r="253" spans="1:96" x14ac:dyDescent="0.2">
      <c r="A253" t="s">
        <v>11086</v>
      </c>
      <c r="B253" t="s">
        <v>96</v>
      </c>
      <c r="C253" s="1">
        <v>44098</v>
      </c>
      <c r="D253" s="1">
        <v>44105</v>
      </c>
      <c r="F253" t="s">
        <v>97</v>
      </c>
      <c r="G253" t="str">
        <f>"Data Warehouse Specialist "</f>
        <v xml:space="preserve">Data Warehouse Specialist </v>
      </c>
      <c r="H253" t="s">
        <v>12168</v>
      </c>
      <c r="I253" t="s">
        <v>1844</v>
      </c>
      <c r="J253" t="s">
        <v>98</v>
      </c>
      <c r="K253" s="1">
        <v>44098</v>
      </c>
      <c r="L253" s="1">
        <v>44758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 t="s">
        <v>864</v>
      </c>
      <c r="U253" t="str">
        <f>""</f>
        <v/>
      </c>
      <c r="V253" t="s">
        <v>865</v>
      </c>
      <c r="W253" t="str">
        <f>"SUITE 320"</f>
        <v>SUITE 320</v>
      </c>
      <c r="X253" t="s">
        <v>866</v>
      </c>
      <c r="Y253" t="s">
        <v>195</v>
      </c>
      <c r="Z253" s="3">
        <v>20850</v>
      </c>
      <c r="AA253" t="s">
        <v>101</v>
      </c>
      <c r="AC253" s="4" t="str">
        <f>"+13012319083"</f>
        <v>+13012319083</v>
      </c>
      <c r="AE253" t="str">
        <f>"541511"</f>
        <v>541511</v>
      </c>
      <c r="AF253" t="s">
        <v>867</v>
      </c>
      <c r="AG253" t="s">
        <v>868</v>
      </c>
      <c r="AI253" t="s">
        <v>869</v>
      </c>
      <c r="AJ253" t="s">
        <v>865</v>
      </c>
      <c r="AK253" t="str">
        <f>"SUITE 320"</f>
        <v>SUITE 320</v>
      </c>
      <c r="AL253" t="s">
        <v>866</v>
      </c>
      <c r="AM253" t="s">
        <v>195</v>
      </c>
      <c r="AN253" s="3">
        <v>20850</v>
      </c>
      <c r="AO253" t="s">
        <v>101</v>
      </c>
      <c r="AQ253" t="str">
        <f>"+13012319083"</f>
        <v>+13012319083</v>
      </c>
      <c r="AS253" t="s">
        <v>870</v>
      </c>
      <c r="AT253" t="s">
        <v>107</v>
      </c>
      <c r="AU253" t="str">
        <f>"CHOWDHURY"</f>
        <v>CHOWDHURY</v>
      </c>
      <c r="AV253" t="str">
        <f>"ANINDITA"</f>
        <v>ANINDITA</v>
      </c>
      <c r="AW253" t="str">
        <f>"A"</f>
        <v>A</v>
      </c>
      <c r="AX253" t="str">
        <f>"6720-B Rockledge Drive"</f>
        <v>6720-B Rockledge Drive</v>
      </c>
      <c r="AY253" t="str">
        <f>"Suite 430"</f>
        <v>Suite 430</v>
      </c>
      <c r="AZ253" t="str">
        <f>"Bethesda"</f>
        <v>Bethesda</v>
      </c>
      <c r="BA253" t="str">
        <f>"MD"</f>
        <v>MD</v>
      </c>
      <c r="BB253" s="3">
        <v>20817</v>
      </c>
      <c r="BC253" t="str">
        <f>"UNITED STATES OF AMERICA"</f>
        <v>UNITED STATES OF AMERICA</v>
      </c>
      <c r="BD253" t="str">
        <f>""</f>
        <v/>
      </c>
      <c r="BE253" t="str">
        <f>"+12026184540"</f>
        <v>+12026184540</v>
      </c>
      <c r="BF253" t="str">
        <f>""</f>
        <v/>
      </c>
      <c r="BG253" t="str">
        <f>"ANINDITA@USILAW.COM"</f>
        <v>ANINDITA@USILAW.COM</v>
      </c>
      <c r="BH253" t="str">
        <f>"USILAW, INC"</f>
        <v>USILAW, INC</v>
      </c>
      <c r="BI253" t="str">
        <f>"DC"</f>
        <v>DC</v>
      </c>
      <c r="BJ253" t="str">
        <f>"COURT OF APPEALS"</f>
        <v>COURT OF APPEALS</v>
      </c>
      <c r="BK253">
        <v>1</v>
      </c>
      <c r="BL253" t="s">
        <v>107</v>
      </c>
      <c r="BM253" t="str">
        <f>"American Express"</f>
        <v>American Express</v>
      </c>
      <c r="BN253" t="s">
        <v>6068</v>
      </c>
      <c r="BP253" t="s">
        <v>299</v>
      </c>
      <c r="BQ253" t="s">
        <v>257</v>
      </c>
      <c r="BR253" t="s">
        <v>258</v>
      </c>
      <c r="BS253" s="5">
        <v>85054</v>
      </c>
      <c r="BT253" s="2">
        <v>66768</v>
      </c>
      <c r="BU253" s="2">
        <v>100200</v>
      </c>
      <c r="BV253" t="s">
        <v>105</v>
      </c>
      <c r="BW253" s="2">
        <v>66768</v>
      </c>
      <c r="BX253" t="s">
        <v>105</v>
      </c>
      <c r="BZ253" t="s">
        <v>167</v>
      </c>
      <c r="CA253" t="str">
        <f t="shared" si="13"/>
        <v>7/1/2020 - 6/30/2021</v>
      </c>
      <c r="CF253">
        <v>1</v>
      </c>
      <c r="CG253" t="s">
        <v>98</v>
      </c>
      <c r="CH253" t="s">
        <v>98</v>
      </c>
      <c r="CI253" t="s">
        <v>206</v>
      </c>
      <c r="CJ253" t="s">
        <v>98</v>
      </c>
      <c r="CK253" t="s">
        <v>12323</v>
      </c>
      <c r="CL253" t="s">
        <v>108</v>
      </c>
      <c r="CM253" t="s">
        <v>109</v>
      </c>
      <c r="CN253" t="str">
        <f>""</f>
        <v/>
      </c>
      <c r="CO253" t="str">
        <f>""</f>
        <v/>
      </c>
      <c r="CP253" t="str">
        <f>""</f>
        <v/>
      </c>
      <c r="CQ253" t="str">
        <f>""</f>
        <v/>
      </c>
    </row>
    <row r="254" spans="1:96" x14ac:dyDescent="0.2">
      <c r="A254" t="s">
        <v>11096</v>
      </c>
      <c r="B254" t="s">
        <v>96</v>
      </c>
      <c r="C254" s="1">
        <v>44098</v>
      </c>
      <c r="D254" s="1">
        <v>44105</v>
      </c>
      <c r="F254" t="s">
        <v>97</v>
      </c>
      <c r="G254" t="str">
        <f>"Software Developer,  Applications "</f>
        <v xml:space="preserve">Software Developer,  Applications </v>
      </c>
      <c r="H254" t="s">
        <v>12169</v>
      </c>
      <c r="I254" t="s">
        <v>124</v>
      </c>
      <c r="J254" t="s">
        <v>98</v>
      </c>
      <c r="K254" s="1">
        <v>44116</v>
      </c>
      <c r="L254" s="1">
        <v>45210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 t="s">
        <v>1976</v>
      </c>
      <c r="U254" t="str">
        <f>""</f>
        <v/>
      </c>
      <c r="V254" t="s">
        <v>1977</v>
      </c>
      <c r="W254" t="str">
        <f>"Ste. 150"</f>
        <v>Ste. 150</v>
      </c>
      <c r="X254" t="s">
        <v>325</v>
      </c>
      <c r="Y254" t="s">
        <v>265</v>
      </c>
      <c r="Z254" s="3">
        <v>48033</v>
      </c>
      <c r="AA254" t="s">
        <v>101</v>
      </c>
      <c r="AC254" s="4" t="str">
        <f>"+12483536800"</f>
        <v>+12483536800</v>
      </c>
      <c r="AE254" t="str">
        <f>"541511"</f>
        <v>541511</v>
      </c>
      <c r="AF254" t="s">
        <v>1978</v>
      </c>
      <c r="AG254" t="s">
        <v>1385</v>
      </c>
      <c r="AI254" t="s">
        <v>1979</v>
      </c>
      <c r="AJ254" t="s">
        <v>1980</v>
      </c>
      <c r="AK254" t="str">
        <f>"Ste. 150"</f>
        <v>Ste. 150</v>
      </c>
      <c r="AL254" t="s">
        <v>325</v>
      </c>
      <c r="AM254" t="s">
        <v>265</v>
      </c>
      <c r="AN254" s="3">
        <v>48033</v>
      </c>
      <c r="AO254" t="s">
        <v>101</v>
      </c>
      <c r="AQ254" t="str">
        <f>"+12483536800"</f>
        <v>+12483536800</v>
      </c>
      <c r="AS254" t="s">
        <v>1981</v>
      </c>
      <c r="AT254" t="s">
        <v>107</v>
      </c>
      <c r="AU254" t="str">
        <f>"Sarraf"</f>
        <v>Sarraf</v>
      </c>
      <c r="AV254" t="str">
        <f>"Natalia"</f>
        <v>Natalia</v>
      </c>
      <c r="AW254" t="str">
        <f>"Madlen"</f>
        <v>Madlen</v>
      </c>
      <c r="AX254" t="str">
        <f>"755 W. Big Beaver Road"</f>
        <v>755 W. Big Beaver Road</v>
      </c>
      <c r="AY254" t="str">
        <f>"Suite 1100"</f>
        <v>Suite 1100</v>
      </c>
      <c r="AZ254" t="str">
        <f>"Troy"</f>
        <v>Troy</v>
      </c>
      <c r="BA254" t="str">
        <f>"MI"</f>
        <v>MI</v>
      </c>
      <c r="BB254" s="3">
        <v>48084</v>
      </c>
      <c r="BC254" t="str">
        <f>"UNITED STATES OF AMERICA"</f>
        <v>UNITED STATES OF AMERICA</v>
      </c>
      <c r="BD254" t="str">
        <f>""</f>
        <v/>
      </c>
      <c r="BE254" t="str">
        <f>"+12485199900"</f>
        <v>+12485199900</v>
      </c>
      <c r="BF254" t="str">
        <f>""</f>
        <v/>
      </c>
      <c r="BG254" t="str">
        <f>"natalia.sarraf@ellisporter.com"</f>
        <v>natalia.sarraf@ellisporter.com</v>
      </c>
      <c r="BH254" t="str">
        <f>"Ellis Porter PLC"</f>
        <v>Ellis Porter PLC</v>
      </c>
      <c r="BI254" t="str">
        <f>"MI"</f>
        <v>MI</v>
      </c>
      <c r="BJ254" t="str">
        <f>"Supreme Court"</f>
        <v>Supreme Court</v>
      </c>
      <c r="BK254">
        <v>1</v>
      </c>
      <c r="BL254" t="s">
        <v>107</v>
      </c>
      <c r="BM254" t="str">
        <f>"General Motors"</f>
        <v>General Motors</v>
      </c>
      <c r="BN254" t="s">
        <v>11097</v>
      </c>
      <c r="BP254" t="s">
        <v>256</v>
      </c>
      <c r="BQ254" t="s">
        <v>257</v>
      </c>
      <c r="BR254" t="s">
        <v>258</v>
      </c>
      <c r="BS254" s="5">
        <v>85224</v>
      </c>
      <c r="BT254" s="2">
        <v>52</v>
      </c>
      <c r="BV254" t="s">
        <v>210</v>
      </c>
      <c r="BW254" s="2">
        <v>48.61</v>
      </c>
      <c r="BX254" t="s">
        <v>210</v>
      </c>
      <c r="BZ254" t="s">
        <v>123</v>
      </c>
      <c r="CA254" t="str">
        <f t="shared" si="13"/>
        <v>7/1/2020 - 6/30/2021</v>
      </c>
      <c r="CF254">
        <v>1</v>
      </c>
      <c r="CG254" t="s">
        <v>98</v>
      </c>
      <c r="CH254" t="s">
        <v>98</v>
      </c>
      <c r="CI254" t="s">
        <v>206</v>
      </c>
      <c r="CJ254" t="s">
        <v>98</v>
      </c>
      <c r="CK254" t="s">
        <v>12323</v>
      </c>
      <c r="CL254" t="s">
        <v>108</v>
      </c>
      <c r="CM254" t="s">
        <v>109</v>
      </c>
      <c r="CN254" t="str">
        <f>""</f>
        <v/>
      </c>
      <c r="CO254" t="str">
        <f>""</f>
        <v/>
      </c>
      <c r="CP254" t="str">
        <f>""</f>
        <v/>
      </c>
      <c r="CQ254" t="str">
        <f>""</f>
        <v/>
      </c>
    </row>
    <row r="255" spans="1:96" x14ac:dyDescent="0.2">
      <c r="A255" t="s">
        <v>11099</v>
      </c>
      <c r="B255" t="s">
        <v>96</v>
      </c>
      <c r="C255" s="1">
        <v>44098</v>
      </c>
      <c r="D255" s="1">
        <v>44105</v>
      </c>
      <c r="F255" t="s">
        <v>97</v>
      </c>
      <c r="G255" t="str">
        <f>"Software Engineer"</f>
        <v>Software Engineer</v>
      </c>
      <c r="H255" t="s">
        <v>12169</v>
      </c>
      <c r="I255" t="s">
        <v>124</v>
      </c>
      <c r="J255" t="s">
        <v>98</v>
      </c>
      <c r="K255" s="1">
        <v>44280</v>
      </c>
      <c r="L255" s="1">
        <v>45375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 t="s">
        <v>412</v>
      </c>
      <c r="U255" t="str">
        <f>""</f>
        <v/>
      </c>
      <c r="V255" t="s">
        <v>1415</v>
      </c>
      <c r="W255" t="str">
        <f>"(ALSO KNOWN AS *1601 WILLOW ROAD)"</f>
        <v>(ALSO KNOWN AS *1601 WILLOW ROAD)</v>
      </c>
      <c r="X255" t="s">
        <v>414</v>
      </c>
      <c r="Y255" t="s">
        <v>141</v>
      </c>
      <c r="Z255" s="3">
        <v>94025</v>
      </c>
      <c r="AA255" t="s">
        <v>101</v>
      </c>
      <c r="AC255" s="4" t="str">
        <f>"+14085335781"</f>
        <v>+14085335781</v>
      </c>
      <c r="AE255" t="str">
        <f>"51913"</f>
        <v>51913</v>
      </c>
      <c r="AF255" t="s">
        <v>415</v>
      </c>
      <c r="AG255" t="s">
        <v>416</v>
      </c>
      <c r="AI255" t="s">
        <v>417</v>
      </c>
      <c r="AJ255" t="s">
        <v>1415</v>
      </c>
      <c r="AK255" t="str">
        <f>"(ALSO KNOWN AS *1601 WILLOW ROAD)"</f>
        <v>(ALSO KNOWN AS *1601 WILLOW ROAD)</v>
      </c>
      <c r="AL255" t="s">
        <v>414</v>
      </c>
      <c r="AM255" t="s">
        <v>141</v>
      </c>
      <c r="AN255" s="3">
        <v>94025</v>
      </c>
      <c r="AO255" t="s">
        <v>101</v>
      </c>
      <c r="AQ255" t="str">
        <f>"+14085335781"</f>
        <v>+14085335781</v>
      </c>
      <c r="AS255" t="s">
        <v>1416</v>
      </c>
      <c r="AT255" t="s">
        <v>107</v>
      </c>
      <c r="AU255" t="str">
        <f>"PAULL"</f>
        <v>PAULL</v>
      </c>
      <c r="AV255" t="str">
        <f>"JUSTIN"</f>
        <v>JUSTIN</v>
      </c>
      <c r="AW255" t="str">
        <f>"MATTHEW"</f>
        <v>MATTHEW</v>
      </c>
      <c r="AX255" t="str">
        <f>"50 California Street"</f>
        <v>50 California Street</v>
      </c>
      <c r="AY255" t="str">
        <f>"2nd Floor"</f>
        <v>2nd Floor</v>
      </c>
      <c r="AZ255" t="str">
        <f>"San Francisco"</f>
        <v>San Francisco</v>
      </c>
      <c r="BA255" t="str">
        <f>"CA"</f>
        <v>CA</v>
      </c>
      <c r="BB255" s="3">
        <v>94111</v>
      </c>
      <c r="BC255" t="str">
        <f>"UNITED STATES OF AMERICA"</f>
        <v>UNITED STATES OF AMERICA</v>
      </c>
      <c r="BD255" t="str">
        <f>""</f>
        <v/>
      </c>
      <c r="BE255" t="str">
        <f>"+14692909690"</f>
        <v>+14692909690</v>
      </c>
      <c r="BF255" t="str">
        <f>""</f>
        <v/>
      </c>
      <c r="BG255" t="str">
        <f>"amartinez@balglobal.com"</f>
        <v>amartinez@balglobal.com</v>
      </c>
      <c r="BH255" t="str">
        <f>"Berry Appleman &amp; Leiden LLP"</f>
        <v>Berry Appleman &amp; Leiden LLP</v>
      </c>
      <c r="BI255" t="str">
        <f>"CA"</f>
        <v>CA</v>
      </c>
      <c r="BJ255" t="str">
        <f>"CALIFORNIA SUPREME COURT"</f>
        <v>CALIFORNIA SUPREME COURT</v>
      </c>
      <c r="BK255">
        <v>1</v>
      </c>
      <c r="BL255" t="s">
        <v>102</v>
      </c>
      <c r="BM255" t="str">
        <f>""</f>
        <v/>
      </c>
      <c r="BN255" t="s">
        <v>1322</v>
      </c>
      <c r="BO255" t="s">
        <v>3454</v>
      </c>
      <c r="BP255" t="s">
        <v>468</v>
      </c>
      <c r="BQ255" t="s">
        <v>994</v>
      </c>
      <c r="BR255" t="s">
        <v>141</v>
      </c>
      <c r="BS255" s="5">
        <v>94025</v>
      </c>
      <c r="BT255" s="2">
        <v>158400</v>
      </c>
      <c r="BV255" t="s">
        <v>105</v>
      </c>
      <c r="BW255" s="2">
        <v>145246</v>
      </c>
      <c r="BX255" t="s">
        <v>105</v>
      </c>
      <c r="BZ255" t="s">
        <v>123</v>
      </c>
      <c r="CA255" t="str">
        <f t="shared" si="13"/>
        <v>7/1/2020 - 6/30/2021</v>
      </c>
      <c r="CF255">
        <v>2</v>
      </c>
      <c r="CG255" t="s">
        <v>98</v>
      </c>
      <c r="CH255" t="s">
        <v>98</v>
      </c>
      <c r="CI255" t="s">
        <v>206</v>
      </c>
      <c r="CJ255" t="s">
        <v>98</v>
      </c>
      <c r="CK255" t="s">
        <v>12323</v>
      </c>
      <c r="CL255" t="s">
        <v>108</v>
      </c>
      <c r="CM255" t="s">
        <v>109</v>
      </c>
      <c r="CN255" t="str">
        <f>""</f>
        <v/>
      </c>
      <c r="CO255" t="str">
        <f>""</f>
        <v/>
      </c>
      <c r="CP255" t="str">
        <f>""</f>
        <v/>
      </c>
      <c r="CQ255" t="str">
        <f>""</f>
        <v/>
      </c>
    </row>
    <row r="256" spans="1:96" x14ac:dyDescent="0.2">
      <c r="A256" t="s">
        <v>11100</v>
      </c>
      <c r="B256" t="s">
        <v>96</v>
      </c>
      <c r="C256" s="1">
        <v>44098</v>
      </c>
      <c r="D256" s="1">
        <v>44105</v>
      </c>
      <c r="F256" t="s">
        <v>97</v>
      </c>
      <c r="G256" t="str">
        <f>"Applications Consultant 2"</f>
        <v>Applications Consultant 2</v>
      </c>
      <c r="H256" t="s">
        <v>12169</v>
      </c>
      <c r="I256" t="s">
        <v>124</v>
      </c>
      <c r="J256" t="s">
        <v>98</v>
      </c>
      <c r="K256" s="1">
        <v>44101</v>
      </c>
      <c r="L256" s="1">
        <v>45195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 t="s">
        <v>1421</v>
      </c>
      <c r="U256" t="str">
        <f>""</f>
        <v/>
      </c>
      <c r="V256" t="s">
        <v>1422</v>
      </c>
      <c r="W256" t="str">
        <f>"SUITE 300"</f>
        <v>SUITE 300</v>
      </c>
      <c r="X256" t="s">
        <v>843</v>
      </c>
      <c r="Y256" t="s">
        <v>345</v>
      </c>
      <c r="Z256" s="3">
        <v>60606</v>
      </c>
      <c r="AA256" t="s">
        <v>101</v>
      </c>
      <c r="AC256" s="4" t="str">
        <f>"+13123955000"</f>
        <v>+13123955000</v>
      </c>
      <c r="AE256" t="str">
        <f>"5416"</f>
        <v>5416</v>
      </c>
      <c r="AF256" t="s">
        <v>1423</v>
      </c>
      <c r="AG256" t="s">
        <v>1424</v>
      </c>
      <c r="AI256" t="s">
        <v>1425</v>
      </c>
      <c r="AJ256" t="s">
        <v>1422</v>
      </c>
      <c r="AK256" t="str">
        <f>"SUITE 300"</f>
        <v>SUITE 300</v>
      </c>
      <c r="AL256" t="s">
        <v>843</v>
      </c>
      <c r="AM256" t="s">
        <v>345</v>
      </c>
      <c r="AN256" s="3">
        <v>60606</v>
      </c>
      <c r="AO256" t="s">
        <v>101</v>
      </c>
      <c r="AQ256" t="str">
        <f>"+13123958209"</f>
        <v>+13123958209</v>
      </c>
      <c r="AS256" t="s">
        <v>1426</v>
      </c>
      <c r="AT256" t="s">
        <v>102</v>
      </c>
      <c r="AU256" t="str">
        <f>""</f>
        <v/>
      </c>
      <c r="AV256" t="str">
        <f>""</f>
        <v/>
      </c>
      <c r="AW256" t="str">
        <f>""</f>
        <v/>
      </c>
      <c r="AX256" t="str">
        <f>""</f>
        <v/>
      </c>
      <c r="AY256" t="str">
        <f>""</f>
        <v/>
      </c>
      <c r="AZ256" t="str">
        <f>""</f>
        <v/>
      </c>
      <c r="BA256" t="str">
        <f>""</f>
        <v/>
      </c>
      <c r="BC256" t="str">
        <f>""</f>
        <v/>
      </c>
      <c r="BD256" t="str">
        <f>""</f>
        <v/>
      </c>
      <c r="BE256" t="str">
        <f>""</f>
        <v/>
      </c>
      <c r="BF256" t="str">
        <f>""</f>
        <v/>
      </c>
      <c r="BG256" t="str">
        <f>""</f>
        <v/>
      </c>
      <c r="BH256" t="str">
        <f>""</f>
        <v/>
      </c>
      <c r="BI256" t="str">
        <f>""</f>
        <v/>
      </c>
      <c r="BJ256" t="str">
        <f>""</f>
        <v/>
      </c>
      <c r="BK256">
        <v>1</v>
      </c>
      <c r="BL256" t="s">
        <v>107</v>
      </c>
      <c r="BM256" t="str">
        <f>"ROCKWELL AUTOMATION"</f>
        <v>ROCKWELL AUTOMATION</v>
      </c>
      <c r="BN256" t="s">
        <v>6458</v>
      </c>
      <c r="BP256" t="s">
        <v>6459</v>
      </c>
      <c r="BQ256" t="s">
        <v>1087</v>
      </c>
      <c r="BR256" t="s">
        <v>225</v>
      </c>
      <c r="BS256" s="5">
        <v>44124</v>
      </c>
      <c r="BT256" s="2">
        <v>70678</v>
      </c>
      <c r="BU256" s="2">
        <v>115000</v>
      </c>
      <c r="BV256" t="s">
        <v>105</v>
      </c>
      <c r="BW256" s="2">
        <v>70678</v>
      </c>
      <c r="BX256" t="s">
        <v>105</v>
      </c>
      <c r="BZ256" t="s">
        <v>167</v>
      </c>
      <c r="CA256" t="str">
        <f t="shared" si="13"/>
        <v>7/1/2020 - 6/30/2021</v>
      </c>
      <c r="CF256">
        <v>2</v>
      </c>
      <c r="CG256" t="s">
        <v>98</v>
      </c>
      <c r="CH256" t="s">
        <v>98</v>
      </c>
      <c r="CI256" t="s">
        <v>206</v>
      </c>
      <c r="CJ256" t="s">
        <v>98</v>
      </c>
      <c r="CK256" t="s">
        <v>12323</v>
      </c>
      <c r="CL256" t="s">
        <v>108</v>
      </c>
      <c r="CM256" t="s">
        <v>109</v>
      </c>
      <c r="CN256" t="str">
        <f>""</f>
        <v/>
      </c>
      <c r="CO256" t="str">
        <f>""</f>
        <v/>
      </c>
      <c r="CP256" t="str">
        <f>""</f>
        <v/>
      </c>
      <c r="CQ256" t="str">
        <f>""</f>
        <v/>
      </c>
    </row>
    <row r="257" spans="1:96" x14ac:dyDescent="0.2">
      <c r="A257" t="s">
        <v>11135</v>
      </c>
      <c r="B257" t="s">
        <v>96</v>
      </c>
      <c r="C257" s="1">
        <v>44098</v>
      </c>
      <c r="D257" s="1">
        <v>44105</v>
      </c>
      <c r="F257" t="s">
        <v>97</v>
      </c>
      <c r="G257" t="str">
        <f>"Architect "</f>
        <v xml:space="preserve">Architect </v>
      </c>
      <c r="H257" t="s">
        <v>12168</v>
      </c>
      <c r="I257" t="s">
        <v>160</v>
      </c>
      <c r="J257" t="s">
        <v>98</v>
      </c>
      <c r="K257" s="1">
        <v>44098</v>
      </c>
      <c r="L257" s="1">
        <v>45192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 t="s">
        <v>864</v>
      </c>
      <c r="U257" t="str">
        <f>""</f>
        <v/>
      </c>
      <c r="V257" t="s">
        <v>865</v>
      </c>
      <c r="W257" t="str">
        <f>"SUITE 320"</f>
        <v>SUITE 320</v>
      </c>
      <c r="X257" t="s">
        <v>866</v>
      </c>
      <c r="Y257" t="s">
        <v>195</v>
      </c>
      <c r="Z257" s="3">
        <v>20850</v>
      </c>
      <c r="AA257" t="s">
        <v>101</v>
      </c>
      <c r="AC257" s="4" t="str">
        <f>"+13012319083"</f>
        <v>+13012319083</v>
      </c>
      <c r="AE257" t="str">
        <f>"541511"</f>
        <v>541511</v>
      </c>
      <c r="AF257" t="s">
        <v>867</v>
      </c>
      <c r="AG257" t="s">
        <v>868</v>
      </c>
      <c r="AI257" t="s">
        <v>869</v>
      </c>
      <c r="AJ257" t="s">
        <v>865</v>
      </c>
      <c r="AK257" t="str">
        <f>"SUITE 320"</f>
        <v>SUITE 320</v>
      </c>
      <c r="AL257" t="s">
        <v>866</v>
      </c>
      <c r="AM257" t="s">
        <v>195</v>
      </c>
      <c r="AN257" s="3">
        <v>20850</v>
      </c>
      <c r="AO257" t="s">
        <v>101</v>
      </c>
      <c r="AQ257" t="str">
        <f>"+13012319083"</f>
        <v>+13012319083</v>
      </c>
      <c r="AS257" t="s">
        <v>870</v>
      </c>
      <c r="AT257" t="s">
        <v>107</v>
      </c>
      <c r="AU257" t="str">
        <f>"CHOWDHURY"</f>
        <v>CHOWDHURY</v>
      </c>
      <c r="AV257" t="str">
        <f>"ANINDITA"</f>
        <v>ANINDITA</v>
      </c>
      <c r="AW257" t="str">
        <f>"A"</f>
        <v>A</v>
      </c>
      <c r="AX257" t="str">
        <f>"6720-B Rockledge Drive"</f>
        <v>6720-B Rockledge Drive</v>
      </c>
      <c r="AY257" t="str">
        <f>"Suite 430"</f>
        <v>Suite 430</v>
      </c>
      <c r="AZ257" t="str">
        <f>"Bethesda"</f>
        <v>Bethesda</v>
      </c>
      <c r="BA257" t="str">
        <f>"MD"</f>
        <v>MD</v>
      </c>
      <c r="BB257" s="3">
        <v>20817</v>
      </c>
      <c r="BC257" t="str">
        <f>"UNITED STATES OF AMERICA"</f>
        <v>UNITED STATES OF AMERICA</v>
      </c>
      <c r="BD257" t="str">
        <f>""</f>
        <v/>
      </c>
      <c r="BE257" t="str">
        <f>"+12026184540"</f>
        <v>+12026184540</v>
      </c>
      <c r="BF257" t="str">
        <f>""</f>
        <v/>
      </c>
      <c r="BG257" t="str">
        <f>"ANINDITA@USILAW.COM"</f>
        <v>ANINDITA@USILAW.COM</v>
      </c>
      <c r="BH257" t="str">
        <f>"USILAW, INC"</f>
        <v>USILAW, INC</v>
      </c>
      <c r="BI257" t="str">
        <f>"DC"</f>
        <v>DC</v>
      </c>
      <c r="BJ257" t="str">
        <f>"COURT OF APPEALS"</f>
        <v>COURT OF APPEALS</v>
      </c>
      <c r="BK257">
        <v>1</v>
      </c>
      <c r="BL257" t="s">
        <v>107</v>
      </c>
      <c r="BM257" t="str">
        <f>"Bank of America"</f>
        <v>Bank of America</v>
      </c>
      <c r="BN257" t="s">
        <v>8881</v>
      </c>
      <c r="BP257" t="s">
        <v>604</v>
      </c>
      <c r="BQ257" t="s">
        <v>121</v>
      </c>
      <c r="BR257" t="s">
        <v>122</v>
      </c>
      <c r="BS257" s="5">
        <v>28255</v>
      </c>
      <c r="BT257" s="2">
        <v>73486</v>
      </c>
      <c r="BU257" s="2">
        <v>100200</v>
      </c>
      <c r="BV257" t="s">
        <v>105</v>
      </c>
      <c r="BW257" s="2">
        <v>73486</v>
      </c>
      <c r="BX257" t="s">
        <v>105</v>
      </c>
      <c r="BZ257" t="s">
        <v>167</v>
      </c>
      <c r="CA257" t="str">
        <f t="shared" si="13"/>
        <v>7/1/2020 - 6/30/2021</v>
      </c>
      <c r="CF257">
        <v>1</v>
      </c>
      <c r="CG257" t="s">
        <v>98</v>
      </c>
      <c r="CH257" t="s">
        <v>98</v>
      </c>
      <c r="CI257" t="s">
        <v>206</v>
      </c>
      <c r="CJ257" t="s">
        <v>98</v>
      </c>
      <c r="CK257" t="s">
        <v>12323</v>
      </c>
      <c r="CL257" t="s">
        <v>108</v>
      </c>
      <c r="CM257" t="s">
        <v>109</v>
      </c>
      <c r="CN257" t="str">
        <f>""</f>
        <v/>
      </c>
      <c r="CO257" t="str">
        <f>""</f>
        <v/>
      </c>
      <c r="CP257" t="str">
        <f>""</f>
        <v/>
      </c>
      <c r="CQ257" t="str">
        <f>""</f>
        <v/>
      </c>
    </row>
    <row r="258" spans="1:96" x14ac:dyDescent="0.2">
      <c r="A258" t="s">
        <v>11136</v>
      </c>
      <c r="B258" t="s">
        <v>96</v>
      </c>
      <c r="C258" s="1">
        <v>44098</v>
      </c>
      <c r="D258" s="1">
        <v>44105</v>
      </c>
      <c r="F258" t="s">
        <v>97</v>
      </c>
      <c r="G258" t="str">
        <f>"Developer "</f>
        <v xml:space="preserve">Developer </v>
      </c>
      <c r="H258" t="s">
        <v>12239</v>
      </c>
      <c r="I258" t="s">
        <v>378</v>
      </c>
      <c r="J258" t="s">
        <v>98</v>
      </c>
      <c r="K258" s="1">
        <v>44098</v>
      </c>
      <c r="L258" s="1">
        <v>44651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 t="s">
        <v>864</v>
      </c>
      <c r="U258" t="str">
        <f>""</f>
        <v/>
      </c>
      <c r="V258" t="s">
        <v>865</v>
      </c>
      <c r="W258" t="str">
        <f>"SUITE 320"</f>
        <v>SUITE 320</v>
      </c>
      <c r="X258" t="s">
        <v>866</v>
      </c>
      <c r="Y258" t="s">
        <v>195</v>
      </c>
      <c r="Z258" s="3">
        <v>20850</v>
      </c>
      <c r="AA258" t="s">
        <v>101</v>
      </c>
      <c r="AC258" s="4" t="str">
        <f>"+13012319083"</f>
        <v>+13012319083</v>
      </c>
      <c r="AE258" t="str">
        <f>"541511"</f>
        <v>541511</v>
      </c>
      <c r="AF258" t="s">
        <v>867</v>
      </c>
      <c r="AG258" t="s">
        <v>868</v>
      </c>
      <c r="AI258" t="s">
        <v>869</v>
      </c>
      <c r="AJ258" t="s">
        <v>865</v>
      </c>
      <c r="AK258" t="str">
        <f>"SUITE 320"</f>
        <v>SUITE 320</v>
      </c>
      <c r="AL258" t="s">
        <v>866</v>
      </c>
      <c r="AM258" t="s">
        <v>195</v>
      </c>
      <c r="AN258" s="3">
        <v>20850</v>
      </c>
      <c r="AO258" t="s">
        <v>101</v>
      </c>
      <c r="AQ258" t="str">
        <f>"+13012319083"</f>
        <v>+13012319083</v>
      </c>
      <c r="AS258" t="s">
        <v>870</v>
      </c>
      <c r="AT258" t="s">
        <v>107</v>
      </c>
      <c r="AU258" t="str">
        <f>"CHOWDHURY"</f>
        <v>CHOWDHURY</v>
      </c>
      <c r="AV258" t="str">
        <f>"ANINDITA"</f>
        <v>ANINDITA</v>
      </c>
      <c r="AW258" t="str">
        <f>"A"</f>
        <v>A</v>
      </c>
      <c r="AX258" t="str">
        <f>"6720-B Rockledge Drive"</f>
        <v>6720-B Rockledge Drive</v>
      </c>
      <c r="AY258" t="str">
        <f>"Suite 430"</f>
        <v>Suite 430</v>
      </c>
      <c r="AZ258" t="str">
        <f>"Bethesda"</f>
        <v>Bethesda</v>
      </c>
      <c r="BA258" t="str">
        <f>"MD"</f>
        <v>MD</v>
      </c>
      <c r="BB258" s="3">
        <v>20817</v>
      </c>
      <c r="BC258" t="str">
        <f>"UNITED STATES OF AMERICA"</f>
        <v>UNITED STATES OF AMERICA</v>
      </c>
      <c r="BD258" t="str">
        <f>""</f>
        <v/>
      </c>
      <c r="BE258" t="str">
        <f>"+12026184540"</f>
        <v>+12026184540</v>
      </c>
      <c r="BF258" t="str">
        <f>""</f>
        <v/>
      </c>
      <c r="BG258" t="str">
        <f>"ANINDITA@USILAW.COM"</f>
        <v>ANINDITA@USILAW.COM</v>
      </c>
      <c r="BH258" t="str">
        <f>"USILAW, INC"</f>
        <v>USILAW, INC</v>
      </c>
      <c r="BI258" t="str">
        <f>"DC"</f>
        <v>DC</v>
      </c>
      <c r="BJ258" t="str">
        <f>"COURT OF APPEALS"</f>
        <v>COURT OF APPEALS</v>
      </c>
      <c r="BK258">
        <v>1</v>
      </c>
      <c r="BL258" t="s">
        <v>107</v>
      </c>
      <c r="BM258" t="str">
        <f>"Silicon Valley Bank Financial Group"</f>
        <v>Silicon Valley Bank Financial Group</v>
      </c>
      <c r="BN258" t="s">
        <v>6001</v>
      </c>
      <c r="BP258" t="s">
        <v>247</v>
      </c>
      <c r="BQ258" t="s">
        <v>230</v>
      </c>
      <c r="BR258" t="s">
        <v>141</v>
      </c>
      <c r="BS258" s="5">
        <v>95054</v>
      </c>
      <c r="BT258" s="2">
        <v>96221</v>
      </c>
      <c r="BU258" s="2">
        <v>100200</v>
      </c>
      <c r="BV258" t="s">
        <v>105</v>
      </c>
      <c r="BW258" s="2">
        <v>96221</v>
      </c>
      <c r="BX258" t="s">
        <v>105</v>
      </c>
      <c r="BZ258" t="s">
        <v>167</v>
      </c>
      <c r="CA258" t="str">
        <f t="shared" si="13"/>
        <v>7/1/2020 - 6/30/2021</v>
      </c>
      <c r="CF258">
        <v>1</v>
      </c>
      <c r="CG258" t="s">
        <v>98</v>
      </c>
      <c r="CH258" t="s">
        <v>98</v>
      </c>
      <c r="CI258" t="s">
        <v>206</v>
      </c>
      <c r="CJ258" t="s">
        <v>98</v>
      </c>
      <c r="CK258" t="s">
        <v>12323</v>
      </c>
      <c r="CL258" t="s">
        <v>108</v>
      </c>
      <c r="CM258" t="s">
        <v>109</v>
      </c>
      <c r="CN258" t="str">
        <f>""</f>
        <v/>
      </c>
      <c r="CO258" t="str">
        <f>""</f>
        <v/>
      </c>
      <c r="CP258" t="str">
        <f>""</f>
        <v/>
      </c>
      <c r="CQ258" t="str">
        <f>""</f>
        <v/>
      </c>
    </row>
    <row r="259" spans="1:96" x14ac:dyDescent="0.2">
      <c r="A259" t="s">
        <v>11140</v>
      </c>
      <c r="B259" t="s">
        <v>96</v>
      </c>
      <c r="C259" s="1">
        <v>44098</v>
      </c>
      <c r="D259" s="1">
        <v>44105</v>
      </c>
      <c r="F259" t="s">
        <v>97</v>
      </c>
      <c r="G259" t="str">
        <f>"Senior Systems Analyst JC60"</f>
        <v>Senior Systems Analyst JC60</v>
      </c>
      <c r="H259" t="s">
        <v>12181</v>
      </c>
      <c r="I259" t="s">
        <v>110</v>
      </c>
      <c r="J259" t="s">
        <v>98</v>
      </c>
      <c r="K259" s="1">
        <v>44106</v>
      </c>
      <c r="L259" s="1">
        <v>45200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 t="s">
        <v>111</v>
      </c>
      <c r="U259" t="str">
        <f>"CTSUS"</f>
        <v>CTSUS</v>
      </c>
      <c r="V259" t="s">
        <v>112</v>
      </c>
      <c r="W259" t="str">
        <f>""</f>
        <v/>
      </c>
      <c r="X259" t="s">
        <v>113</v>
      </c>
      <c r="Y259" t="s">
        <v>114</v>
      </c>
      <c r="Z259" s="3">
        <v>77845</v>
      </c>
      <c r="AA259" t="s">
        <v>101</v>
      </c>
      <c r="AB259" t="s">
        <v>114</v>
      </c>
      <c r="AC259" s="4" t="str">
        <f>"+19793296682"</f>
        <v>+19793296682</v>
      </c>
      <c r="AE259" t="str">
        <f>"541512"</f>
        <v>541512</v>
      </c>
      <c r="AF259" t="s">
        <v>115</v>
      </c>
      <c r="AG259" t="s">
        <v>116</v>
      </c>
      <c r="AH259" t="s">
        <v>108</v>
      </c>
      <c r="AI259" t="s">
        <v>117</v>
      </c>
      <c r="AJ259" t="s">
        <v>118</v>
      </c>
      <c r="AK259" t="str">
        <f>""</f>
        <v/>
      </c>
      <c r="AL259" t="s">
        <v>119</v>
      </c>
      <c r="AM259" t="s">
        <v>114</v>
      </c>
      <c r="AN259" s="3">
        <v>77845</v>
      </c>
      <c r="AO259" t="s">
        <v>101</v>
      </c>
      <c r="AQ259" t="str">
        <f>"+19793296682"</f>
        <v>+19793296682</v>
      </c>
      <c r="AS259" t="s">
        <v>120</v>
      </c>
      <c r="AT259" t="s">
        <v>102</v>
      </c>
      <c r="AU259" t="str">
        <f>""</f>
        <v/>
      </c>
      <c r="AV259" t="str">
        <f>""</f>
        <v/>
      </c>
      <c r="AW259" t="str">
        <f>""</f>
        <v/>
      </c>
      <c r="AX259" t="str">
        <f>""</f>
        <v/>
      </c>
      <c r="AY259" t="str">
        <f>""</f>
        <v/>
      </c>
      <c r="AZ259" t="str">
        <f>""</f>
        <v/>
      </c>
      <c r="BA259" t="str">
        <f>""</f>
        <v/>
      </c>
      <c r="BC259" t="str">
        <f>""</f>
        <v/>
      </c>
      <c r="BD259" t="str">
        <f>""</f>
        <v/>
      </c>
      <c r="BE259" t="str">
        <f>""</f>
        <v/>
      </c>
      <c r="BF259" t="str">
        <f>""</f>
        <v/>
      </c>
      <c r="BG259" t="str">
        <f>""</f>
        <v/>
      </c>
      <c r="BH259" t="str">
        <f>""</f>
        <v/>
      </c>
      <c r="BI259" t="str">
        <f>""</f>
        <v/>
      </c>
      <c r="BJ259" t="str">
        <f>""</f>
        <v/>
      </c>
      <c r="BK259">
        <v>1</v>
      </c>
      <c r="BL259" t="s">
        <v>107</v>
      </c>
      <c r="BM259" t="str">
        <f>"Humana Inc"</f>
        <v>Humana Inc</v>
      </c>
      <c r="BN259" t="s">
        <v>5477</v>
      </c>
      <c r="BP259" t="s">
        <v>368</v>
      </c>
      <c r="BQ259" t="s">
        <v>369</v>
      </c>
      <c r="BR259" t="s">
        <v>370</v>
      </c>
      <c r="BS259" s="5">
        <v>40202</v>
      </c>
      <c r="BT259" s="2">
        <v>63086</v>
      </c>
      <c r="BV259" t="s">
        <v>105</v>
      </c>
      <c r="BW259" s="2">
        <v>63086</v>
      </c>
      <c r="BX259" t="s">
        <v>105</v>
      </c>
      <c r="BZ259" t="s">
        <v>167</v>
      </c>
      <c r="CA259" t="str">
        <f t="shared" si="13"/>
        <v>7/1/2020 - 6/30/2021</v>
      </c>
      <c r="CF259">
        <v>1</v>
      </c>
      <c r="CG259" t="s">
        <v>98</v>
      </c>
      <c r="CH259" t="s">
        <v>98</v>
      </c>
      <c r="CI259" t="s">
        <v>206</v>
      </c>
      <c r="CJ259" t="s">
        <v>98</v>
      </c>
      <c r="CK259" t="s">
        <v>12323</v>
      </c>
      <c r="CL259" t="s">
        <v>108</v>
      </c>
      <c r="CM259" t="s">
        <v>109</v>
      </c>
      <c r="CN259" t="str">
        <f>""</f>
        <v/>
      </c>
      <c r="CO259" t="str">
        <f>""</f>
        <v/>
      </c>
      <c r="CP259" t="str">
        <f>""</f>
        <v/>
      </c>
      <c r="CQ259" t="str">
        <f>""</f>
        <v/>
      </c>
    </row>
    <row r="260" spans="1:96" x14ac:dyDescent="0.2">
      <c r="A260" t="s">
        <v>11147</v>
      </c>
      <c r="B260" t="s">
        <v>96</v>
      </c>
      <c r="C260" s="1">
        <v>44098</v>
      </c>
      <c r="D260" s="1">
        <v>44105</v>
      </c>
      <c r="F260" t="s">
        <v>97</v>
      </c>
      <c r="G260" t="str">
        <f>"Network System Architect / Analyst"</f>
        <v>Network System Architect / Analyst</v>
      </c>
      <c r="H260" t="s">
        <v>12183</v>
      </c>
      <c r="I260" t="s">
        <v>2335</v>
      </c>
      <c r="J260" t="s">
        <v>98</v>
      </c>
      <c r="K260" s="1">
        <v>44109</v>
      </c>
      <c r="L260" s="1">
        <v>45203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7323</v>
      </c>
      <c r="U260" t="str">
        <f>"Smart Source Technologies, Inc"</f>
        <v>Smart Source Technologies, Inc</v>
      </c>
      <c r="V260" t="s">
        <v>7324</v>
      </c>
      <c r="W260" t="str">
        <f>"Suite 104"</f>
        <v>Suite 104</v>
      </c>
      <c r="X260" t="s">
        <v>6992</v>
      </c>
      <c r="Y260" t="s">
        <v>100</v>
      </c>
      <c r="Z260" s="3">
        <v>8902</v>
      </c>
      <c r="AA260" t="s">
        <v>101</v>
      </c>
      <c r="AC260" s="4" t="str">
        <f>"+17327297700"</f>
        <v>+17327297700</v>
      </c>
      <c r="AE260" t="str">
        <f t="shared" ref="AE260:AE274" si="15">"541511"</f>
        <v>541511</v>
      </c>
      <c r="AF260" t="s">
        <v>200</v>
      </c>
      <c r="AG260" t="s">
        <v>4933</v>
      </c>
      <c r="AH260" t="s">
        <v>108</v>
      </c>
      <c r="AI260" t="s">
        <v>425</v>
      </c>
      <c r="AJ260" t="s">
        <v>7324</v>
      </c>
      <c r="AK260" t="str">
        <f>"Suite 104"</f>
        <v>Suite 104</v>
      </c>
      <c r="AL260" t="s">
        <v>6992</v>
      </c>
      <c r="AM260" t="s">
        <v>100</v>
      </c>
      <c r="AN260" s="3">
        <v>8902</v>
      </c>
      <c r="AO260" t="s">
        <v>101</v>
      </c>
      <c r="AQ260" t="str">
        <f>"+17327297700"</f>
        <v>+17327297700</v>
      </c>
      <c r="AS260" t="s">
        <v>7325</v>
      </c>
      <c r="AT260" t="s">
        <v>102</v>
      </c>
      <c r="AU260" t="str">
        <f>""</f>
        <v/>
      </c>
      <c r="AV260" t="str">
        <f>""</f>
        <v/>
      </c>
      <c r="AW260" t="str">
        <f>""</f>
        <v/>
      </c>
      <c r="AX260" t="str">
        <f>""</f>
        <v/>
      </c>
      <c r="AY260" t="str">
        <f>""</f>
        <v/>
      </c>
      <c r="AZ260" t="str">
        <f>""</f>
        <v/>
      </c>
      <c r="BA260" t="str">
        <f>""</f>
        <v/>
      </c>
      <c r="BC260" t="str">
        <f>""</f>
        <v/>
      </c>
      <c r="BD260" t="str">
        <f>""</f>
        <v/>
      </c>
      <c r="BE260" t="str">
        <f>""</f>
        <v/>
      </c>
      <c r="BF260" t="str">
        <f>""</f>
        <v/>
      </c>
      <c r="BG260" t="str">
        <f>""</f>
        <v/>
      </c>
      <c r="BH260" t="str">
        <f>""</f>
        <v/>
      </c>
      <c r="BI260" t="str">
        <f>""</f>
        <v/>
      </c>
      <c r="BJ260" t="str">
        <f>""</f>
        <v/>
      </c>
      <c r="BK260">
        <v>1</v>
      </c>
      <c r="BL260" t="s">
        <v>107</v>
      </c>
      <c r="BM260" t="str">
        <f>"Scholastic Corporation"</f>
        <v>Scholastic Corporation</v>
      </c>
      <c r="BN260" t="s">
        <v>11148</v>
      </c>
      <c r="BP260" t="s">
        <v>295</v>
      </c>
      <c r="BQ260" t="s">
        <v>189</v>
      </c>
      <c r="BR260" t="s">
        <v>190</v>
      </c>
      <c r="BS260" s="5">
        <v>10001</v>
      </c>
      <c r="BT260" s="2">
        <v>102274</v>
      </c>
      <c r="BU260" s="2">
        <v>102300</v>
      </c>
      <c r="BV260" t="s">
        <v>105</v>
      </c>
      <c r="BW260" s="2">
        <v>102274</v>
      </c>
      <c r="BX260" t="s">
        <v>105</v>
      </c>
      <c r="BZ260" t="s">
        <v>167</v>
      </c>
      <c r="CA260" t="str">
        <f t="shared" si="13"/>
        <v>7/1/2020 - 6/30/2021</v>
      </c>
      <c r="CF260">
        <v>2</v>
      </c>
      <c r="CG260" t="s">
        <v>98</v>
      </c>
      <c r="CH260" t="s">
        <v>98</v>
      </c>
      <c r="CI260" t="s">
        <v>206</v>
      </c>
      <c r="CJ260" t="s">
        <v>98</v>
      </c>
      <c r="CK260" t="s">
        <v>12323</v>
      </c>
      <c r="CL260" t="s">
        <v>108</v>
      </c>
      <c r="CM260" t="s">
        <v>109</v>
      </c>
      <c r="CN260" t="str">
        <f>"N/A"</f>
        <v>N/A</v>
      </c>
      <c r="CO260" t="str">
        <f>"N/A"</f>
        <v>N/A</v>
      </c>
      <c r="CP260" t="str">
        <f>"N/A"</f>
        <v>N/A</v>
      </c>
      <c r="CQ260" t="str">
        <f>"-----"</f>
        <v>-----</v>
      </c>
      <c r="CR260" t="s">
        <v>108</v>
      </c>
    </row>
    <row r="261" spans="1:96" x14ac:dyDescent="0.2">
      <c r="A261" t="s">
        <v>11151</v>
      </c>
      <c r="B261" t="s">
        <v>96</v>
      </c>
      <c r="C261" s="1">
        <v>44098</v>
      </c>
      <c r="D261" s="1">
        <v>44105</v>
      </c>
      <c r="F261" t="s">
        <v>97</v>
      </c>
      <c r="G261" t="str">
        <f>"Software Developer - Database "</f>
        <v xml:space="preserve">Software Developer - Database </v>
      </c>
      <c r="H261" t="s">
        <v>12169</v>
      </c>
      <c r="I261" t="s">
        <v>124</v>
      </c>
      <c r="J261" t="s">
        <v>98</v>
      </c>
      <c r="K261" s="1">
        <v>44105</v>
      </c>
      <c r="L261" s="1">
        <v>45199</v>
      </c>
      <c r="M261">
        <v>6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 t="s">
        <v>2509</v>
      </c>
      <c r="U261" t="str">
        <f>"Mastech Digital InfoTech, Inc."</f>
        <v>Mastech Digital InfoTech, Inc.</v>
      </c>
      <c r="V261" t="s">
        <v>1081</v>
      </c>
      <c r="W261" t="str">
        <f>"Bldg. 210, Suite 400"</f>
        <v>Bldg. 210, Suite 400</v>
      </c>
      <c r="X261" t="s">
        <v>1082</v>
      </c>
      <c r="Y261" t="s">
        <v>127</v>
      </c>
      <c r="Z261" s="3">
        <v>15108</v>
      </c>
      <c r="AA261" t="s">
        <v>101</v>
      </c>
      <c r="AB261" t="s">
        <v>2510</v>
      </c>
      <c r="AC261" s="4" t="str">
        <f>"+14127879553"</f>
        <v>+14127879553</v>
      </c>
      <c r="AE261" t="str">
        <f t="shared" si="15"/>
        <v>541511</v>
      </c>
      <c r="AF261" t="s">
        <v>1083</v>
      </c>
      <c r="AG261" t="s">
        <v>1084</v>
      </c>
      <c r="AI261" t="s">
        <v>1085</v>
      </c>
      <c r="AJ261" t="s">
        <v>1081</v>
      </c>
      <c r="AK261" t="str">
        <f>"Bldg. 210, Ste 400"</f>
        <v>Bldg. 210, Ste 400</v>
      </c>
      <c r="AL261" t="s">
        <v>1082</v>
      </c>
      <c r="AM261" t="s">
        <v>127</v>
      </c>
      <c r="AN261" s="3">
        <v>15108</v>
      </c>
      <c r="AO261" t="s">
        <v>101</v>
      </c>
      <c r="AQ261" t="str">
        <f>"+14127879553"</f>
        <v>+14127879553</v>
      </c>
      <c r="AS261" t="s">
        <v>1086</v>
      </c>
      <c r="AT261" t="s">
        <v>102</v>
      </c>
      <c r="AU261" t="str">
        <f>""</f>
        <v/>
      </c>
      <c r="AV261" t="str">
        <f>""</f>
        <v/>
      </c>
      <c r="AW261" t="str">
        <f>""</f>
        <v/>
      </c>
      <c r="AX261" t="str">
        <f>""</f>
        <v/>
      </c>
      <c r="AY261" t="str">
        <f>""</f>
        <v/>
      </c>
      <c r="AZ261" t="str">
        <f>""</f>
        <v/>
      </c>
      <c r="BA261" t="str">
        <f>""</f>
        <v/>
      </c>
      <c r="BC261" t="str">
        <f>""</f>
        <v/>
      </c>
      <c r="BD261" t="str">
        <f>""</f>
        <v/>
      </c>
      <c r="BE261" t="str">
        <f>""</f>
        <v/>
      </c>
      <c r="BF261" t="str">
        <f>""</f>
        <v/>
      </c>
      <c r="BG261" t="str">
        <f>""</f>
        <v/>
      </c>
      <c r="BH261" t="str">
        <f>""</f>
        <v/>
      </c>
      <c r="BI261" t="str">
        <f>""</f>
        <v/>
      </c>
      <c r="BJ261" t="str">
        <f>""</f>
        <v/>
      </c>
      <c r="BK261">
        <v>6</v>
      </c>
      <c r="BL261" t="s">
        <v>107</v>
      </c>
      <c r="BM261" t="str">
        <f>"Verizon Communications Inc"</f>
        <v>Verizon Communications Inc</v>
      </c>
      <c r="BN261" t="s">
        <v>3568</v>
      </c>
      <c r="BP261" t="s">
        <v>483</v>
      </c>
      <c r="BQ261" t="s">
        <v>484</v>
      </c>
      <c r="BR261" t="s">
        <v>114</v>
      </c>
      <c r="BS261" s="5">
        <v>75038</v>
      </c>
      <c r="BT261" s="2">
        <v>93558</v>
      </c>
      <c r="BU261" s="2">
        <v>108558</v>
      </c>
      <c r="BV261" t="s">
        <v>105</v>
      </c>
      <c r="BW261" s="2">
        <v>93558</v>
      </c>
      <c r="BX261" t="s">
        <v>105</v>
      </c>
      <c r="BZ261" t="s">
        <v>167</v>
      </c>
      <c r="CA261" t="str">
        <f t="shared" si="13"/>
        <v>7/1/2020 - 6/30/2021</v>
      </c>
      <c r="CF261">
        <v>2</v>
      </c>
      <c r="CG261" t="s">
        <v>98</v>
      </c>
      <c r="CH261" t="s">
        <v>98</v>
      </c>
      <c r="CI261" t="s">
        <v>206</v>
      </c>
      <c r="CJ261" t="s">
        <v>98</v>
      </c>
      <c r="CK261" t="s">
        <v>12323</v>
      </c>
      <c r="CL261" t="s">
        <v>108</v>
      </c>
      <c r="CM261" t="s">
        <v>109</v>
      </c>
      <c r="CN261" t="str">
        <f>""</f>
        <v/>
      </c>
      <c r="CO261" t="str">
        <f>""</f>
        <v/>
      </c>
      <c r="CP261" t="str">
        <f>""</f>
        <v/>
      </c>
      <c r="CQ261" t="str">
        <f>""</f>
        <v/>
      </c>
    </row>
    <row r="262" spans="1:96" x14ac:dyDescent="0.2">
      <c r="A262" t="s">
        <v>11174</v>
      </c>
      <c r="B262" t="s">
        <v>96</v>
      </c>
      <c r="C262" s="1">
        <v>44098</v>
      </c>
      <c r="D262" s="1">
        <v>44105</v>
      </c>
      <c r="F262" t="s">
        <v>97</v>
      </c>
      <c r="G262" t="str">
        <f>"CONSULTANT"</f>
        <v>CONSULTANT</v>
      </c>
      <c r="H262" t="s">
        <v>12169</v>
      </c>
      <c r="I262" t="s">
        <v>124</v>
      </c>
      <c r="J262" t="s">
        <v>98</v>
      </c>
      <c r="K262" s="1">
        <v>44279</v>
      </c>
      <c r="L262" s="1">
        <v>45374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 t="s">
        <v>7402</v>
      </c>
      <c r="U262" t="str">
        <f>""</f>
        <v/>
      </c>
      <c r="V262" t="s">
        <v>7403</v>
      </c>
      <c r="W262" t="str">
        <f>"6th Floor, 2 Penn Center"</f>
        <v>6th Floor, 2 Penn Center</v>
      </c>
      <c r="X262" t="s">
        <v>218</v>
      </c>
      <c r="Y262" t="s">
        <v>127</v>
      </c>
      <c r="Z262" s="3">
        <v>19102</v>
      </c>
      <c r="AA262" t="s">
        <v>101</v>
      </c>
      <c r="AC262" s="4" t="str">
        <f>"+12152431990"</f>
        <v>+12152431990</v>
      </c>
      <c r="AE262" t="str">
        <f t="shared" si="15"/>
        <v>541511</v>
      </c>
      <c r="AF262" t="s">
        <v>7404</v>
      </c>
      <c r="AG262" t="s">
        <v>7405</v>
      </c>
      <c r="AI262" t="s">
        <v>1789</v>
      </c>
      <c r="AJ262" t="s">
        <v>7403</v>
      </c>
      <c r="AK262" t="str">
        <f>"6th Floor, 2 Penn Center"</f>
        <v>6th Floor, 2 Penn Center</v>
      </c>
      <c r="AL262" t="s">
        <v>510</v>
      </c>
      <c r="AM262" t="s">
        <v>127</v>
      </c>
      <c r="AN262" s="3">
        <v>19102</v>
      </c>
      <c r="AO262" t="s">
        <v>101</v>
      </c>
      <c r="AQ262" t="str">
        <f>"+12152431990"</f>
        <v>+12152431990</v>
      </c>
      <c r="AS262" t="s">
        <v>7406</v>
      </c>
      <c r="AT262" t="s">
        <v>102</v>
      </c>
      <c r="AU262" t="str">
        <f>""</f>
        <v/>
      </c>
      <c r="AV262" t="str">
        <f>""</f>
        <v/>
      </c>
      <c r="AW262" t="str">
        <f>""</f>
        <v/>
      </c>
      <c r="AX262" t="str">
        <f>""</f>
        <v/>
      </c>
      <c r="AY262" t="str">
        <f>""</f>
        <v/>
      </c>
      <c r="AZ262" t="str">
        <f>""</f>
        <v/>
      </c>
      <c r="BA262" t="str">
        <f>""</f>
        <v/>
      </c>
      <c r="BC262" t="str">
        <f>""</f>
        <v/>
      </c>
      <c r="BD262" t="str">
        <f>""</f>
        <v/>
      </c>
      <c r="BE262" t="str">
        <f>""</f>
        <v/>
      </c>
      <c r="BF262" t="str">
        <f>""</f>
        <v/>
      </c>
      <c r="BG262" t="str">
        <f>""</f>
        <v/>
      </c>
      <c r="BH262" t="str">
        <f>""</f>
        <v/>
      </c>
      <c r="BI262" t="str">
        <f>""</f>
        <v/>
      </c>
      <c r="BJ262" t="str">
        <f>""</f>
        <v/>
      </c>
      <c r="BK262">
        <v>1</v>
      </c>
      <c r="BL262" t="s">
        <v>102</v>
      </c>
      <c r="BM262" t="str">
        <f>""</f>
        <v/>
      </c>
      <c r="BN262" t="s">
        <v>7407</v>
      </c>
      <c r="BO262" t="s">
        <v>7403</v>
      </c>
      <c r="BP262" t="s">
        <v>218</v>
      </c>
      <c r="BQ262" t="s">
        <v>510</v>
      </c>
      <c r="BR262" t="s">
        <v>127</v>
      </c>
      <c r="BS262" s="5">
        <v>19102</v>
      </c>
      <c r="BT262" s="2">
        <v>89773</v>
      </c>
      <c r="BV262" t="s">
        <v>105</v>
      </c>
      <c r="BW262" s="2">
        <v>89773</v>
      </c>
      <c r="BX262" t="s">
        <v>105</v>
      </c>
      <c r="BZ262" t="s">
        <v>167</v>
      </c>
      <c r="CA262" t="str">
        <f t="shared" si="13"/>
        <v>7/1/2020 - 6/30/2021</v>
      </c>
      <c r="CF262">
        <v>2</v>
      </c>
      <c r="CG262" t="s">
        <v>98</v>
      </c>
      <c r="CH262" t="s">
        <v>98</v>
      </c>
      <c r="CI262" t="s">
        <v>206</v>
      </c>
      <c r="CJ262" t="s">
        <v>98</v>
      </c>
      <c r="CK262" t="s">
        <v>12323</v>
      </c>
      <c r="CL262" t="s">
        <v>108</v>
      </c>
      <c r="CM262" t="s">
        <v>109</v>
      </c>
      <c r="CN262" t="str">
        <f>""</f>
        <v/>
      </c>
      <c r="CO262" t="str">
        <f>""</f>
        <v/>
      </c>
      <c r="CP262" t="str">
        <f>""</f>
        <v/>
      </c>
      <c r="CQ262" t="str">
        <f>""</f>
        <v/>
      </c>
    </row>
    <row r="263" spans="1:96" x14ac:dyDescent="0.2">
      <c r="A263" t="s">
        <v>11197</v>
      </c>
      <c r="B263" t="s">
        <v>96</v>
      </c>
      <c r="C263" s="1">
        <v>44098</v>
      </c>
      <c r="D263" s="1">
        <v>44105</v>
      </c>
      <c r="F263" t="s">
        <v>97</v>
      </c>
      <c r="G263" t="str">
        <f>"INFORMATICA TECHNICAL LEAD"</f>
        <v>INFORMATICA TECHNICAL LEAD</v>
      </c>
      <c r="H263" t="s">
        <v>12169</v>
      </c>
      <c r="I263" t="s">
        <v>124</v>
      </c>
      <c r="J263" t="s">
        <v>98</v>
      </c>
      <c r="K263" s="1">
        <v>44104</v>
      </c>
      <c r="L263" s="1">
        <v>45198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 t="s">
        <v>11198</v>
      </c>
      <c r="U263" t="str">
        <f>""</f>
        <v/>
      </c>
      <c r="V263" t="s">
        <v>9163</v>
      </c>
      <c r="W263" t="str">
        <f>"SUITE 131"</f>
        <v>SUITE 131</v>
      </c>
      <c r="X263" t="s">
        <v>1497</v>
      </c>
      <c r="Y263" t="s">
        <v>265</v>
      </c>
      <c r="Z263" s="3">
        <v>48335</v>
      </c>
      <c r="AA263" t="s">
        <v>101</v>
      </c>
      <c r="AC263" s="4" t="str">
        <f>"+12489875712"</f>
        <v>+12489875712</v>
      </c>
      <c r="AE263" t="str">
        <f t="shared" si="15"/>
        <v>541511</v>
      </c>
      <c r="AF263" t="s">
        <v>183</v>
      </c>
      <c r="AG263" t="s">
        <v>9931</v>
      </c>
      <c r="AI263" t="s">
        <v>2882</v>
      </c>
      <c r="AJ263" t="s">
        <v>9163</v>
      </c>
      <c r="AK263" t="str">
        <f>"SUITE 131"</f>
        <v>SUITE 131</v>
      </c>
      <c r="AL263" t="s">
        <v>1497</v>
      </c>
      <c r="AM263" t="s">
        <v>265</v>
      </c>
      <c r="AN263" s="3">
        <v>48335</v>
      </c>
      <c r="AO263" t="s">
        <v>101</v>
      </c>
      <c r="AQ263" t="str">
        <f>"+12489875712"</f>
        <v>+12489875712</v>
      </c>
      <c r="AS263" t="s">
        <v>11199</v>
      </c>
      <c r="AT263" t="s">
        <v>102</v>
      </c>
      <c r="AU263" t="str">
        <f>""</f>
        <v/>
      </c>
      <c r="AV263" t="str">
        <f>""</f>
        <v/>
      </c>
      <c r="AW263" t="str">
        <f>""</f>
        <v/>
      </c>
      <c r="AX263" t="str">
        <f>""</f>
        <v/>
      </c>
      <c r="AY263" t="str">
        <f>""</f>
        <v/>
      </c>
      <c r="AZ263" t="str">
        <f>""</f>
        <v/>
      </c>
      <c r="BA263" t="str">
        <f>""</f>
        <v/>
      </c>
      <c r="BC263" t="str">
        <f>""</f>
        <v/>
      </c>
      <c r="BD263" t="str">
        <f>""</f>
        <v/>
      </c>
      <c r="BE263" t="str">
        <f>""</f>
        <v/>
      </c>
      <c r="BF263" t="str">
        <f>""</f>
        <v/>
      </c>
      <c r="BG263" t="str">
        <f>""</f>
        <v/>
      </c>
      <c r="BH263" t="str">
        <f>""</f>
        <v/>
      </c>
      <c r="BI263" t="str">
        <f>""</f>
        <v/>
      </c>
      <c r="BJ263" t="str">
        <f>""</f>
        <v/>
      </c>
      <c r="BK263">
        <v>1</v>
      </c>
      <c r="BL263" t="s">
        <v>107</v>
      </c>
      <c r="BM263" t="str">
        <f>"TATA CONSULTANCY- UNION BANK"</f>
        <v>TATA CONSULTANCY- UNION BANK</v>
      </c>
      <c r="BN263" t="s">
        <v>8940</v>
      </c>
      <c r="BP263" t="s">
        <v>5372</v>
      </c>
      <c r="BQ263" t="s">
        <v>5311</v>
      </c>
      <c r="BR263" t="s">
        <v>225</v>
      </c>
      <c r="BS263" s="5">
        <v>45150</v>
      </c>
      <c r="BT263" s="2">
        <v>99700</v>
      </c>
      <c r="BV263" t="s">
        <v>105</v>
      </c>
      <c r="BW263" s="2">
        <v>87194</v>
      </c>
      <c r="BX263" t="s">
        <v>105</v>
      </c>
      <c r="BZ263" t="s">
        <v>167</v>
      </c>
      <c r="CA263" t="str">
        <f t="shared" si="13"/>
        <v>7/1/2020 - 6/30/2021</v>
      </c>
      <c r="CF263">
        <v>2</v>
      </c>
      <c r="CG263" t="s">
        <v>98</v>
      </c>
      <c r="CH263" t="s">
        <v>98</v>
      </c>
      <c r="CI263" t="s">
        <v>206</v>
      </c>
      <c r="CJ263" t="s">
        <v>98</v>
      </c>
      <c r="CK263" t="s">
        <v>12323</v>
      </c>
      <c r="CL263" t="s">
        <v>108</v>
      </c>
      <c r="CM263" t="s">
        <v>109</v>
      </c>
      <c r="CN263" t="str">
        <f>""</f>
        <v/>
      </c>
      <c r="CO263" t="str">
        <f>""</f>
        <v/>
      </c>
      <c r="CP263" t="str">
        <f>""</f>
        <v/>
      </c>
      <c r="CQ263" t="str">
        <f>""</f>
        <v/>
      </c>
    </row>
    <row r="264" spans="1:96" x14ac:dyDescent="0.2">
      <c r="A264" t="s">
        <v>11210</v>
      </c>
      <c r="B264" t="s">
        <v>96</v>
      </c>
      <c r="C264" s="1">
        <v>44098</v>
      </c>
      <c r="D264" s="1">
        <v>44105</v>
      </c>
      <c r="F264" t="s">
        <v>97</v>
      </c>
      <c r="G264" t="str">
        <f>"Automation Engineer"</f>
        <v>Automation Engineer</v>
      </c>
      <c r="H264" t="s">
        <v>12176</v>
      </c>
      <c r="I264" t="s">
        <v>246</v>
      </c>
      <c r="J264" t="s">
        <v>98</v>
      </c>
      <c r="K264" s="1">
        <v>44255</v>
      </c>
      <c r="L264" s="1">
        <v>45349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 t="s">
        <v>11211</v>
      </c>
      <c r="U264" t="str">
        <f>""</f>
        <v/>
      </c>
      <c r="V264" t="s">
        <v>11212</v>
      </c>
      <c r="W264" t="str">
        <f>""</f>
        <v/>
      </c>
      <c r="X264" t="s">
        <v>3882</v>
      </c>
      <c r="Y264" t="s">
        <v>186</v>
      </c>
      <c r="Z264" s="3">
        <v>55123</v>
      </c>
      <c r="AA264" t="s">
        <v>101</v>
      </c>
      <c r="AC264" s="4" t="str">
        <f>"+16127155384"</f>
        <v>+16127155384</v>
      </c>
      <c r="AE264" t="str">
        <f t="shared" si="15"/>
        <v>541511</v>
      </c>
      <c r="AF264" t="s">
        <v>11213</v>
      </c>
      <c r="AG264" t="s">
        <v>11214</v>
      </c>
      <c r="AH264" t="s">
        <v>2913</v>
      </c>
      <c r="AI264" t="s">
        <v>646</v>
      </c>
      <c r="AJ264" t="s">
        <v>11212</v>
      </c>
      <c r="AK264" t="str">
        <f>""</f>
        <v/>
      </c>
      <c r="AL264" t="s">
        <v>3882</v>
      </c>
      <c r="AM264" t="s">
        <v>186</v>
      </c>
      <c r="AN264" s="3">
        <v>55123</v>
      </c>
      <c r="AO264" t="s">
        <v>101</v>
      </c>
      <c r="AQ264" t="str">
        <f>"+16127155384"</f>
        <v>+16127155384</v>
      </c>
      <c r="AS264" t="s">
        <v>11215</v>
      </c>
      <c r="AT264" t="s">
        <v>107</v>
      </c>
      <c r="AU264" t="str">
        <f>"Wilson"</f>
        <v>Wilson</v>
      </c>
      <c r="AV264" t="str">
        <f>"Samantha"</f>
        <v>Samantha</v>
      </c>
      <c r="AW264" t="str">
        <f>"Marie"</f>
        <v>Marie</v>
      </c>
      <c r="AX264" t="str">
        <f>"15875 Middlebelt Rd"</f>
        <v>15875 Middlebelt Rd</v>
      </c>
      <c r="AY264" t="str">
        <f>"Suite 200"</f>
        <v>Suite 200</v>
      </c>
      <c r="AZ264" t="str">
        <f>"Livonia"</f>
        <v>Livonia</v>
      </c>
      <c r="BA264" t="str">
        <f>"MI"</f>
        <v>MI</v>
      </c>
      <c r="BB264" s="3">
        <v>48154</v>
      </c>
      <c r="BC264" t="str">
        <f>"UNITED STATES OF AMERICA"</f>
        <v>UNITED STATES OF AMERICA</v>
      </c>
      <c r="BD264" t="str">
        <f>""</f>
        <v/>
      </c>
      <c r="BE264" t="str">
        <f>"+12483548440"</f>
        <v>+12483548440</v>
      </c>
      <c r="BF264" t="str">
        <f>""</f>
        <v/>
      </c>
      <c r="BG264" t="str">
        <f>"smw@boudia.com"</f>
        <v>smw@boudia.com</v>
      </c>
      <c r="BH264" t="str">
        <f>"John J. Boudia &amp; Associates, P.L.C."</f>
        <v>John J. Boudia &amp; Associates, P.L.C.</v>
      </c>
      <c r="BI264" t="str">
        <f>"MI"</f>
        <v>MI</v>
      </c>
      <c r="BJ264" t="str">
        <f>"Michigan Supreme Court"</f>
        <v>Michigan Supreme Court</v>
      </c>
      <c r="BK264">
        <v>1</v>
      </c>
      <c r="BL264" t="s">
        <v>107</v>
      </c>
      <c r="BM264" t="str">
        <f>"Provation Medical, Inc"</f>
        <v>Provation Medical, Inc</v>
      </c>
      <c r="BN264" t="s">
        <v>11216</v>
      </c>
      <c r="BO264" t="s">
        <v>6329</v>
      </c>
      <c r="BP264" t="s">
        <v>1339</v>
      </c>
      <c r="BQ264" t="s">
        <v>185</v>
      </c>
      <c r="BR264" t="s">
        <v>186</v>
      </c>
      <c r="BS264" s="5">
        <v>55415</v>
      </c>
      <c r="BT264" s="2">
        <v>98488</v>
      </c>
      <c r="BV264" t="s">
        <v>105</v>
      </c>
      <c r="BW264" s="2">
        <v>88712</v>
      </c>
      <c r="BX264" t="s">
        <v>105</v>
      </c>
      <c r="BZ264" t="s">
        <v>167</v>
      </c>
      <c r="CA264" t="str">
        <f t="shared" si="13"/>
        <v>7/1/2020 - 6/30/2021</v>
      </c>
      <c r="CF264">
        <v>1</v>
      </c>
      <c r="CG264" t="s">
        <v>98</v>
      </c>
      <c r="CH264" t="s">
        <v>98</v>
      </c>
      <c r="CI264" t="s">
        <v>206</v>
      </c>
      <c r="CJ264" t="s">
        <v>98</v>
      </c>
      <c r="CK264" t="s">
        <v>12323</v>
      </c>
      <c r="CL264" t="s">
        <v>108</v>
      </c>
      <c r="CM264" t="s">
        <v>109</v>
      </c>
      <c r="CN264" t="str">
        <f>"Wilson"</f>
        <v>Wilson</v>
      </c>
      <c r="CO264" t="str">
        <f>"Samantha"</f>
        <v>Samantha</v>
      </c>
      <c r="CP264" t="str">
        <f>"M."</f>
        <v>M.</v>
      </c>
      <c r="CQ264" t="str">
        <f>"John J. Boudia &amp; Associates, P.L.C."</f>
        <v>John J. Boudia &amp; Associates, P.L.C.</v>
      </c>
      <c r="CR264" t="s">
        <v>4630</v>
      </c>
    </row>
    <row r="265" spans="1:96" x14ac:dyDescent="0.2">
      <c r="A265" t="s">
        <v>11220</v>
      </c>
      <c r="B265" t="s">
        <v>96</v>
      </c>
      <c r="C265" s="1">
        <v>44098</v>
      </c>
      <c r="D265" s="1">
        <v>44105</v>
      </c>
      <c r="F265" t="s">
        <v>97</v>
      </c>
      <c r="G265" t="str">
        <f>"QA Analyst"</f>
        <v>QA Analyst</v>
      </c>
      <c r="H265" t="s">
        <v>12169</v>
      </c>
      <c r="I265" t="s">
        <v>124</v>
      </c>
      <c r="J265" t="s">
        <v>98</v>
      </c>
      <c r="K265" s="1">
        <v>44109</v>
      </c>
      <c r="L265" s="1">
        <v>45203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 t="s">
        <v>3244</v>
      </c>
      <c r="U265" t="str">
        <f>""</f>
        <v/>
      </c>
      <c r="V265" t="s">
        <v>3245</v>
      </c>
      <c r="W265" t="str">
        <f>"SUITE 250"</f>
        <v>SUITE 250</v>
      </c>
      <c r="X265" t="s">
        <v>866</v>
      </c>
      <c r="Y265" t="s">
        <v>195</v>
      </c>
      <c r="Z265" s="3">
        <v>20855</v>
      </c>
      <c r="AA265" t="s">
        <v>101</v>
      </c>
      <c r="AC265" s="4" t="str">
        <f>"+18663228333"</f>
        <v>+18663228333</v>
      </c>
      <c r="AE265" t="str">
        <f t="shared" si="15"/>
        <v>541511</v>
      </c>
      <c r="AF265" t="s">
        <v>3246</v>
      </c>
      <c r="AG265" t="s">
        <v>868</v>
      </c>
      <c r="AI265" t="s">
        <v>425</v>
      </c>
      <c r="AJ265" t="s">
        <v>3245</v>
      </c>
      <c r="AK265" t="str">
        <f>"SUITE 250"</f>
        <v>SUITE 250</v>
      </c>
      <c r="AL265" t="s">
        <v>866</v>
      </c>
      <c r="AM265" t="s">
        <v>195</v>
      </c>
      <c r="AN265" s="3">
        <v>20855</v>
      </c>
      <c r="AO265" t="s">
        <v>101</v>
      </c>
      <c r="AQ265" t="str">
        <f>"+18663228333"</f>
        <v>+18663228333</v>
      </c>
      <c r="AS265" t="s">
        <v>3247</v>
      </c>
      <c r="AT265" t="s">
        <v>102</v>
      </c>
      <c r="AU265" t="str">
        <f>""</f>
        <v/>
      </c>
      <c r="AV265" t="str">
        <f>""</f>
        <v/>
      </c>
      <c r="AW265" t="str">
        <f>""</f>
        <v/>
      </c>
      <c r="AX265" t="str">
        <f>""</f>
        <v/>
      </c>
      <c r="AY265" t="str">
        <f>""</f>
        <v/>
      </c>
      <c r="AZ265" t="str">
        <f>""</f>
        <v/>
      </c>
      <c r="BA265" t="str">
        <f>""</f>
        <v/>
      </c>
      <c r="BC265" t="str">
        <f>""</f>
        <v/>
      </c>
      <c r="BD265" t="str">
        <f>""</f>
        <v/>
      </c>
      <c r="BE265" t="str">
        <f>""</f>
        <v/>
      </c>
      <c r="BF265" t="str">
        <f>""</f>
        <v/>
      </c>
      <c r="BG265" t="str">
        <f>""</f>
        <v/>
      </c>
      <c r="BH265" t="str">
        <f>""</f>
        <v/>
      </c>
      <c r="BI265" t="str">
        <f>""</f>
        <v/>
      </c>
      <c r="BJ265" t="str">
        <f>""</f>
        <v/>
      </c>
      <c r="BK265">
        <v>1</v>
      </c>
      <c r="BL265" t="s">
        <v>107</v>
      </c>
      <c r="BM265" t="str">
        <f>"Ohio Department of Administrative Services"</f>
        <v>Ohio Department of Administrative Services</v>
      </c>
      <c r="BN265" t="s">
        <v>9625</v>
      </c>
      <c r="BP265" t="s">
        <v>388</v>
      </c>
      <c r="BQ265" t="s">
        <v>224</v>
      </c>
      <c r="BR265" t="s">
        <v>225</v>
      </c>
      <c r="BS265" s="5">
        <v>43215</v>
      </c>
      <c r="BT265" s="2">
        <v>83075</v>
      </c>
      <c r="BU265" s="2">
        <v>83705.009999999995</v>
      </c>
      <c r="BV265" t="s">
        <v>105</v>
      </c>
      <c r="BW265" s="2">
        <v>83075</v>
      </c>
      <c r="BX265" t="s">
        <v>105</v>
      </c>
      <c r="BZ265" t="s">
        <v>167</v>
      </c>
      <c r="CA265" t="str">
        <f t="shared" si="13"/>
        <v>7/1/2020 - 6/30/2021</v>
      </c>
      <c r="CF265">
        <v>2</v>
      </c>
      <c r="CG265" t="s">
        <v>98</v>
      </c>
      <c r="CH265" t="s">
        <v>98</v>
      </c>
      <c r="CI265" t="s">
        <v>206</v>
      </c>
      <c r="CJ265" t="s">
        <v>98</v>
      </c>
      <c r="CK265" t="s">
        <v>12323</v>
      </c>
      <c r="CL265" t="s">
        <v>108</v>
      </c>
      <c r="CM265" t="s">
        <v>109</v>
      </c>
      <c r="CN265" t="str">
        <f>""</f>
        <v/>
      </c>
      <c r="CO265" t="str">
        <f>""</f>
        <v/>
      </c>
      <c r="CP265" t="str">
        <f>""</f>
        <v/>
      </c>
      <c r="CQ265" t="str">
        <f>""</f>
        <v/>
      </c>
    </row>
    <row r="266" spans="1:96" x14ac:dyDescent="0.2">
      <c r="A266" t="s">
        <v>11221</v>
      </c>
      <c r="B266" t="s">
        <v>96</v>
      </c>
      <c r="C266" s="1">
        <v>44098</v>
      </c>
      <c r="D266" s="1">
        <v>44105</v>
      </c>
      <c r="F266" t="s">
        <v>97</v>
      </c>
      <c r="G266" t="str">
        <f>"Developer "</f>
        <v xml:space="preserve">Developer </v>
      </c>
      <c r="H266" t="s">
        <v>12239</v>
      </c>
      <c r="I266" t="s">
        <v>378</v>
      </c>
      <c r="J266" t="s">
        <v>98</v>
      </c>
      <c r="K266" s="1">
        <v>44098</v>
      </c>
      <c r="L266" s="1">
        <v>45192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 t="s">
        <v>864</v>
      </c>
      <c r="U266" t="str">
        <f>""</f>
        <v/>
      </c>
      <c r="V266" t="s">
        <v>865</v>
      </c>
      <c r="W266" t="str">
        <f>"SUITE 320"</f>
        <v>SUITE 320</v>
      </c>
      <c r="X266" t="s">
        <v>866</v>
      </c>
      <c r="Y266" t="s">
        <v>195</v>
      </c>
      <c r="Z266" s="3">
        <v>20850</v>
      </c>
      <c r="AA266" t="s">
        <v>101</v>
      </c>
      <c r="AC266" s="4" t="str">
        <f>"+13012319083"</f>
        <v>+13012319083</v>
      </c>
      <c r="AE266" t="str">
        <f t="shared" si="15"/>
        <v>541511</v>
      </c>
      <c r="AF266" t="s">
        <v>867</v>
      </c>
      <c r="AG266" t="s">
        <v>868</v>
      </c>
      <c r="AI266" t="s">
        <v>869</v>
      </c>
      <c r="AJ266" t="s">
        <v>865</v>
      </c>
      <c r="AK266" t="str">
        <f>"SUITE 320"</f>
        <v>SUITE 320</v>
      </c>
      <c r="AL266" t="s">
        <v>866</v>
      </c>
      <c r="AM266" t="s">
        <v>195</v>
      </c>
      <c r="AN266" s="3">
        <v>20850</v>
      </c>
      <c r="AO266" t="s">
        <v>101</v>
      </c>
      <c r="AQ266" t="str">
        <f>"+13012319083"</f>
        <v>+13012319083</v>
      </c>
      <c r="AS266" t="s">
        <v>870</v>
      </c>
      <c r="AT266" t="s">
        <v>107</v>
      </c>
      <c r="AU266" t="str">
        <f>"CHOWDHURY"</f>
        <v>CHOWDHURY</v>
      </c>
      <c r="AV266" t="str">
        <f>"ANINDITA"</f>
        <v>ANINDITA</v>
      </c>
      <c r="AW266" t="str">
        <f>"A"</f>
        <v>A</v>
      </c>
      <c r="AX266" t="str">
        <f>"6720-B Rockledge Drive"</f>
        <v>6720-B Rockledge Drive</v>
      </c>
      <c r="AY266" t="str">
        <f>"Suite 430"</f>
        <v>Suite 430</v>
      </c>
      <c r="AZ266" t="str">
        <f>"Bethesda"</f>
        <v>Bethesda</v>
      </c>
      <c r="BA266" t="str">
        <f>"MD"</f>
        <v>MD</v>
      </c>
      <c r="BB266" s="3">
        <v>20817</v>
      </c>
      <c r="BC266" t="str">
        <f>"UNITED STATES OF AMERICA"</f>
        <v>UNITED STATES OF AMERICA</v>
      </c>
      <c r="BD266" t="str">
        <f>""</f>
        <v/>
      </c>
      <c r="BE266" t="str">
        <f>"+12026184540"</f>
        <v>+12026184540</v>
      </c>
      <c r="BF266" t="str">
        <f>""</f>
        <v/>
      </c>
      <c r="BG266" t="str">
        <f>"ANINDITA@USILAW.COM"</f>
        <v>ANINDITA@USILAW.COM</v>
      </c>
      <c r="BH266" t="str">
        <f>"USILAW, INC"</f>
        <v>USILAW, INC</v>
      </c>
      <c r="BI266" t="str">
        <f>"DC"</f>
        <v>DC</v>
      </c>
      <c r="BJ266" t="str">
        <f>"COURT OF APPEALS"</f>
        <v>COURT OF APPEALS</v>
      </c>
      <c r="BK266">
        <v>1</v>
      </c>
      <c r="BL266" t="s">
        <v>107</v>
      </c>
      <c r="BM266" t="str">
        <f>"Walgreen Co."</f>
        <v>Walgreen Co.</v>
      </c>
      <c r="BN266" t="s">
        <v>11222</v>
      </c>
      <c r="BP266" t="s">
        <v>2601</v>
      </c>
      <c r="BQ266" t="s">
        <v>691</v>
      </c>
      <c r="BR266" t="s">
        <v>345</v>
      </c>
      <c r="BS266" s="5">
        <v>60015</v>
      </c>
      <c r="BT266" s="2">
        <v>73237</v>
      </c>
      <c r="BU266" s="2">
        <v>100200</v>
      </c>
      <c r="BV266" t="s">
        <v>105</v>
      </c>
      <c r="BW266" s="2">
        <v>73237</v>
      </c>
      <c r="BX266" t="s">
        <v>105</v>
      </c>
      <c r="BZ266" t="s">
        <v>167</v>
      </c>
      <c r="CA266" t="str">
        <f t="shared" si="13"/>
        <v>7/1/2020 - 6/30/2021</v>
      </c>
      <c r="CF266">
        <v>1</v>
      </c>
      <c r="CG266" t="s">
        <v>98</v>
      </c>
      <c r="CH266" t="s">
        <v>98</v>
      </c>
      <c r="CI266" t="s">
        <v>206</v>
      </c>
      <c r="CJ266" t="s">
        <v>98</v>
      </c>
      <c r="CK266" t="s">
        <v>12323</v>
      </c>
      <c r="CL266" t="s">
        <v>108</v>
      </c>
      <c r="CM266" t="s">
        <v>109</v>
      </c>
      <c r="CN266" t="str">
        <f>""</f>
        <v/>
      </c>
      <c r="CO266" t="str">
        <f>""</f>
        <v/>
      </c>
      <c r="CP266" t="str">
        <f>""</f>
        <v/>
      </c>
      <c r="CQ266" t="str">
        <f>""</f>
        <v/>
      </c>
    </row>
    <row r="267" spans="1:96" x14ac:dyDescent="0.2">
      <c r="A267" t="s">
        <v>11250</v>
      </c>
      <c r="B267" t="s">
        <v>96</v>
      </c>
      <c r="C267" s="1">
        <v>44098</v>
      </c>
      <c r="D267" s="1">
        <v>44105</v>
      </c>
      <c r="F267" t="s">
        <v>97</v>
      </c>
      <c r="G267" t="str">
        <f>"SOFTWARE ENGINEER"</f>
        <v>SOFTWARE ENGINEER</v>
      </c>
      <c r="H267" t="s">
        <v>12169</v>
      </c>
      <c r="I267" t="s">
        <v>124</v>
      </c>
      <c r="J267" t="s">
        <v>98</v>
      </c>
      <c r="K267" s="1">
        <v>44133</v>
      </c>
      <c r="L267" s="1">
        <v>45227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 t="s">
        <v>5825</v>
      </c>
      <c r="U267" t="str">
        <f>""</f>
        <v/>
      </c>
      <c r="V267" t="s">
        <v>5826</v>
      </c>
      <c r="W267" t="str">
        <f>"SUITE 210"</f>
        <v>SUITE 210</v>
      </c>
      <c r="X267" t="s">
        <v>1020</v>
      </c>
      <c r="Y267" t="s">
        <v>141</v>
      </c>
      <c r="Z267" s="3">
        <v>94566</v>
      </c>
      <c r="AA267" t="s">
        <v>101</v>
      </c>
      <c r="AC267" s="4" t="str">
        <f>"+19255233350"</f>
        <v>+19255233350</v>
      </c>
      <c r="AE267" t="str">
        <f t="shared" si="15"/>
        <v>541511</v>
      </c>
      <c r="AF267" t="s">
        <v>5827</v>
      </c>
      <c r="AG267" t="s">
        <v>5828</v>
      </c>
      <c r="AI267" t="s">
        <v>425</v>
      </c>
      <c r="AJ267" t="s">
        <v>5826</v>
      </c>
      <c r="AK267" t="str">
        <f>"SUITE 210"</f>
        <v>SUITE 210</v>
      </c>
      <c r="AL267" t="s">
        <v>1020</v>
      </c>
      <c r="AM267" t="s">
        <v>141</v>
      </c>
      <c r="AN267" s="3">
        <v>94566</v>
      </c>
      <c r="AO267" t="s">
        <v>101</v>
      </c>
      <c r="AQ267" t="str">
        <f>"+19255233350"</f>
        <v>+19255233350</v>
      </c>
      <c r="AS267" t="s">
        <v>5829</v>
      </c>
      <c r="AT267" t="s">
        <v>102</v>
      </c>
      <c r="AU267" t="str">
        <f>""</f>
        <v/>
      </c>
      <c r="AV267" t="str">
        <f>""</f>
        <v/>
      </c>
      <c r="AW267" t="str">
        <f>""</f>
        <v/>
      </c>
      <c r="AX267" t="str">
        <f>""</f>
        <v/>
      </c>
      <c r="AY267" t="str">
        <f>""</f>
        <v/>
      </c>
      <c r="AZ267" t="str">
        <f>""</f>
        <v/>
      </c>
      <c r="BA267" t="str">
        <f>""</f>
        <v/>
      </c>
      <c r="BC267" t="str">
        <f>""</f>
        <v/>
      </c>
      <c r="BD267" t="str">
        <f>""</f>
        <v/>
      </c>
      <c r="BE267" t="str">
        <f>""</f>
        <v/>
      </c>
      <c r="BF267" t="str">
        <f>""</f>
        <v/>
      </c>
      <c r="BG267" t="str">
        <f>""</f>
        <v/>
      </c>
      <c r="BH267" t="str">
        <f>""</f>
        <v/>
      </c>
      <c r="BI267" t="str">
        <f>""</f>
        <v/>
      </c>
      <c r="BJ267" t="str">
        <f>""</f>
        <v/>
      </c>
      <c r="BK267">
        <v>1</v>
      </c>
      <c r="BL267" t="s">
        <v>107</v>
      </c>
      <c r="BM267" t="str">
        <f>"3M ..."</f>
        <v>3M ...</v>
      </c>
      <c r="BN267" t="s">
        <v>11251</v>
      </c>
      <c r="BP267" t="s">
        <v>2301</v>
      </c>
      <c r="BQ267" t="s">
        <v>837</v>
      </c>
      <c r="BR267" t="s">
        <v>186</v>
      </c>
      <c r="BS267" s="5">
        <v>55119</v>
      </c>
      <c r="BT267" s="2">
        <v>88712</v>
      </c>
      <c r="BU267" s="2">
        <v>89000</v>
      </c>
      <c r="BV267" t="s">
        <v>105</v>
      </c>
      <c r="BW267" s="2">
        <v>88712</v>
      </c>
      <c r="BX267" t="s">
        <v>105</v>
      </c>
      <c r="BZ267" t="s">
        <v>167</v>
      </c>
      <c r="CA267" t="str">
        <f t="shared" si="13"/>
        <v>7/1/2020 - 6/30/2021</v>
      </c>
      <c r="CF267">
        <v>1</v>
      </c>
      <c r="CG267" t="s">
        <v>98</v>
      </c>
      <c r="CH267" t="s">
        <v>98</v>
      </c>
      <c r="CI267" t="s">
        <v>206</v>
      </c>
      <c r="CJ267" t="s">
        <v>98</v>
      </c>
      <c r="CK267" t="s">
        <v>12323</v>
      </c>
      <c r="CL267" t="s">
        <v>108</v>
      </c>
      <c r="CM267" t="s">
        <v>109</v>
      </c>
      <c r="CN267" t="str">
        <f>""</f>
        <v/>
      </c>
      <c r="CO267" t="str">
        <f>""</f>
        <v/>
      </c>
      <c r="CP267" t="str">
        <f>""</f>
        <v/>
      </c>
      <c r="CQ267" t="str">
        <f>""</f>
        <v/>
      </c>
    </row>
    <row r="268" spans="1:96" x14ac:dyDescent="0.2">
      <c r="A268" t="s">
        <v>11267</v>
      </c>
      <c r="B268" t="s">
        <v>96</v>
      </c>
      <c r="C268" s="1">
        <v>44098</v>
      </c>
      <c r="D268" s="1">
        <v>44105</v>
      </c>
      <c r="F268" t="s">
        <v>97</v>
      </c>
      <c r="G268" t="str">
        <f>"System Administrator "</f>
        <v xml:space="preserve">System Administrator </v>
      </c>
      <c r="H268" t="s">
        <v>12187</v>
      </c>
      <c r="I268" t="s">
        <v>331</v>
      </c>
      <c r="J268" t="s">
        <v>98</v>
      </c>
      <c r="K268" s="1">
        <v>44098</v>
      </c>
      <c r="L268" s="1">
        <v>44886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 t="s">
        <v>864</v>
      </c>
      <c r="U268" t="str">
        <f>""</f>
        <v/>
      </c>
      <c r="V268" t="s">
        <v>865</v>
      </c>
      <c r="W268" t="str">
        <f>"SUITE 320"</f>
        <v>SUITE 320</v>
      </c>
      <c r="X268" t="s">
        <v>866</v>
      </c>
      <c r="Y268" t="s">
        <v>195</v>
      </c>
      <c r="Z268" s="3">
        <v>20850</v>
      </c>
      <c r="AA268" t="s">
        <v>101</v>
      </c>
      <c r="AC268" s="4" t="str">
        <f>"+13012319083"</f>
        <v>+13012319083</v>
      </c>
      <c r="AE268" t="str">
        <f t="shared" si="15"/>
        <v>541511</v>
      </c>
      <c r="AF268" t="s">
        <v>867</v>
      </c>
      <c r="AG268" t="s">
        <v>868</v>
      </c>
      <c r="AI268" t="s">
        <v>869</v>
      </c>
      <c r="AJ268" t="s">
        <v>865</v>
      </c>
      <c r="AK268" t="str">
        <f>"SUITE 320"</f>
        <v>SUITE 320</v>
      </c>
      <c r="AL268" t="s">
        <v>866</v>
      </c>
      <c r="AM268" t="s">
        <v>195</v>
      </c>
      <c r="AN268" s="3">
        <v>20850</v>
      </c>
      <c r="AO268" t="s">
        <v>101</v>
      </c>
      <c r="AQ268" t="str">
        <f>"+13012319083"</f>
        <v>+13012319083</v>
      </c>
      <c r="AS268" t="s">
        <v>870</v>
      </c>
      <c r="AT268" t="s">
        <v>107</v>
      </c>
      <c r="AU268" t="str">
        <f>"CHOWDHURY"</f>
        <v>CHOWDHURY</v>
      </c>
      <c r="AV268" t="str">
        <f>"ANINDITA"</f>
        <v>ANINDITA</v>
      </c>
      <c r="AW268" t="str">
        <f>"A"</f>
        <v>A</v>
      </c>
      <c r="AX268" t="str">
        <f>"6720-B Rockledge Drive"</f>
        <v>6720-B Rockledge Drive</v>
      </c>
      <c r="AY268" t="str">
        <f>"Suite 430"</f>
        <v>Suite 430</v>
      </c>
      <c r="AZ268" t="str">
        <f>"Bethesda"</f>
        <v>Bethesda</v>
      </c>
      <c r="BA268" t="str">
        <f>"MD"</f>
        <v>MD</v>
      </c>
      <c r="BB268" s="3">
        <v>20817</v>
      </c>
      <c r="BC268" t="str">
        <f>"UNITED STATES OF AMERICA"</f>
        <v>UNITED STATES OF AMERICA</v>
      </c>
      <c r="BD268" t="str">
        <f>""</f>
        <v/>
      </c>
      <c r="BE268" t="str">
        <f>"+12026184540"</f>
        <v>+12026184540</v>
      </c>
      <c r="BF268" t="str">
        <f>""</f>
        <v/>
      </c>
      <c r="BG268" t="str">
        <f>"ANINDITA@USILAW.COM"</f>
        <v>ANINDITA@USILAW.COM</v>
      </c>
      <c r="BH268" t="str">
        <f>"USILAW, INC"</f>
        <v>USILAW, INC</v>
      </c>
      <c r="BI268" t="str">
        <f>"DC"</f>
        <v>DC</v>
      </c>
      <c r="BJ268" t="str">
        <f>"COURT OF APPEALS"</f>
        <v>COURT OF APPEALS</v>
      </c>
      <c r="BK268">
        <v>1</v>
      </c>
      <c r="BL268" t="s">
        <v>107</v>
      </c>
      <c r="BM268" t="str">
        <f>"The Goodyear Tire &amp; Rubber Company"</f>
        <v>The Goodyear Tire &amp; Rubber Company</v>
      </c>
      <c r="BN268" t="s">
        <v>1630</v>
      </c>
      <c r="BP268" t="s">
        <v>5096</v>
      </c>
      <c r="BQ268" t="s">
        <v>774</v>
      </c>
      <c r="BR268" t="s">
        <v>225</v>
      </c>
      <c r="BS268" s="5">
        <v>44316</v>
      </c>
      <c r="BT268" s="2">
        <v>70741</v>
      </c>
      <c r="BU268" s="2">
        <v>101000</v>
      </c>
      <c r="BV268" t="s">
        <v>105</v>
      </c>
      <c r="BW268" s="2">
        <v>70741</v>
      </c>
      <c r="BX268" t="s">
        <v>105</v>
      </c>
      <c r="BZ268" t="s">
        <v>167</v>
      </c>
      <c r="CA268" t="str">
        <f t="shared" si="13"/>
        <v>7/1/2020 - 6/30/2021</v>
      </c>
      <c r="CF268">
        <v>1</v>
      </c>
      <c r="CG268" t="s">
        <v>98</v>
      </c>
      <c r="CH268" t="s">
        <v>98</v>
      </c>
      <c r="CI268" t="s">
        <v>206</v>
      </c>
      <c r="CJ268" t="s">
        <v>98</v>
      </c>
      <c r="CK268" t="s">
        <v>12323</v>
      </c>
      <c r="CL268" t="s">
        <v>108</v>
      </c>
      <c r="CM268" t="s">
        <v>109</v>
      </c>
      <c r="CN268" t="str">
        <f>""</f>
        <v/>
      </c>
      <c r="CO268" t="str">
        <f>""</f>
        <v/>
      </c>
      <c r="CP268" t="str">
        <f>""</f>
        <v/>
      </c>
      <c r="CQ268" t="str">
        <f>""</f>
        <v/>
      </c>
    </row>
    <row r="269" spans="1:96" x14ac:dyDescent="0.2">
      <c r="A269" t="s">
        <v>11282</v>
      </c>
      <c r="B269" t="s">
        <v>96</v>
      </c>
      <c r="C269" s="1">
        <v>44098</v>
      </c>
      <c r="D269" s="1">
        <v>44105</v>
      </c>
      <c r="F269" t="s">
        <v>97</v>
      </c>
      <c r="G269" t="str">
        <f>"IAM Consultant"</f>
        <v>IAM Consultant</v>
      </c>
      <c r="H269" t="s">
        <v>12169</v>
      </c>
      <c r="I269" t="s">
        <v>124</v>
      </c>
      <c r="J269" t="s">
        <v>98</v>
      </c>
      <c r="K269" s="1">
        <v>44141</v>
      </c>
      <c r="L269" s="1">
        <v>45236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 t="s">
        <v>8579</v>
      </c>
      <c r="U269" t="str">
        <f>"Mahima Soft"</f>
        <v>Mahima Soft</v>
      </c>
      <c r="V269" t="s">
        <v>8580</v>
      </c>
      <c r="W269" t="str">
        <f>"Suite 2007"</f>
        <v>Suite 2007</v>
      </c>
      <c r="X269" t="s">
        <v>3962</v>
      </c>
      <c r="Y269" t="s">
        <v>190</v>
      </c>
      <c r="Z269" s="3">
        <v>11801</v>
      </c>
      <c r="AA269" t="s">
        <v>101</v>
      </c>
      <c r="AC269" s="4" t="str">
        <f>"+15162619068"</f>
        <v>+15162619068</v>
      </c>
      <c r="AE269" t="str">
        <f t="shared" si="15"/>
        <v>541511</v>
      </c>
      <c r="AF269" t="s">
        <v>8581</v>
      </c>
      <c r="AG269" t="s">
        <v>1833</v>
      </c>
      <c r="AH269" t="s">
        <v>1032</v>
      </c>
      <c r="AI269" t="s">
        <v>508</v>
      </c>
      <c r="AJ269" t="s">
        <v>8580</v>
      </c>
      <c r="AK269" t="str">
        <f>"Suite 2007"</f>
        <v>Suite 2007</v>
      </c>
      <c r="AL269" t="s">
        <v>3962</v>
      </c>
      <c r="AM269" t="s">
        <v>190</v>
      </c>
      <c r="AN269" s="3">
        <v>11801</v>
      </c>
      <c r="AO269" t="s">
        <v>101</v>
      </c>
      <c r="AQ269" t="str">
        <f>"+15162619068"</f>
        <v>+15162619068</v>
      </c>
      <c r="AS269" t="s">
        <v>8582</v>
      </c>
      <c r="AT269" t="s">
        <v>107</v>
      </c>
      <c r="AU269" t="str">
        <f>"Wilson"</f>
        <v>Wilson</v>
      </c>
      <c r="AV269" t="str">
        <f>"Samantha"</f>
        <v>Samantha</v>
      </c>
      <c r="AW269" t="str">
        <f>"Marie"</f>
        <v>Marie</v>
      </c>
      <c r="AX269" t="str">
        <f>"15875 Middlebelt Rd"</f>
        <v>15875 Middlebelt Rd</v>
      </c>
      <c r="AY269" t="str">
        <f>"Suite 200"</f>
        <v>Suite 200</v>
      </c>
      <c r="AZ269" t="str">
        <f>"Livonia"</f>
        <v>Livonia</v>
      </c>
      <c r="BA269" t="str">
        <f>"MI"</f>
        <v>MI</v>
      </c>
      <c r="BB269" s="3">
        <v>48154</v>
      </c>
      <c r="BC269" t="str">
        <f>"UNITED STATES OF AMERICA"</f>
        <v>UNITED STATES OF AMERICA</v>
      </c>
      <c r="BD269" t="str">
        <f>""</f>
        <v/>
      </c>
      <c r="BE269" t="str">
        <f>"+12483548440"</f>
        <v>+12483548440</v>
      </c>
      <c r="BF269" t="str">
        <f>""</f>
        <v/>
      </c>
      <c r="BG269" t="str">
        <f>"smw@boudia.com"</f>
        <v>smw@boudia.com</v>
      </c>
      <c r="BH269" t="str">
        <f>"John J. Boudia &amp; Associates, P.L.C."</f>
        <v>John J. Boudia &amp; Associates, P.L.C.</v>
      </c>
      <c r="BI269" t="str">
        <f>"MI"</f>
        <v>MI</v>
      </c>
      <c r="BJ269" t="str">
        <f>"Michigan Supreme Court"</f>
        <v>Michigan Supreme Court</v>
      </c>
      <c r="BK269">
        <v>1</v>
      </c>
      <c r="BL269" t="s">
        <v>107</v>
      </c>
      <c r="BM269" t="str">
        <f>"T-Mobile/Sprint"</f>
        <v>T-Mobile/Sprint</v>
      </c>
      <c r="BN269" t="s">
        <v>11283</v>
      </c>
      <c r="BP269" t="s">
        <v>3282</v>
      </c>
      <c r="BQ269" t="s">
        <v>556</v>
      </c>
      <c r="BR269" t="s">
        <v>114</v>
      </c>
      <c r="BS269" s="5">
        <v>75071</v>
      </c>
      <c r="BT269" s="2">
        <v>95000</v>
      </c>
      <c r="BV269" t="s">
        <v>105</v>
      </c>
      <c r="BW269" s="2">
        <v>93558</v>
      </c>
      <c r="BX269" t="s">
        <v>105</v>
      </c>
      <c r="BZ269" t="s">
        <v>167</v>
      </c>
      <c r="CA269" t="str">
        <f t="shared" si="13"/>
        <v>7/1/2020 - 6/30/2021</v>
      </c>
      <c r="CF269">
        <v>1</v>
      </c>
      <c r="CG269" t="s">
        <v>98</v>
      </c>
      <c r="CH269" t="s">
        <v>98</v>
      </c>
      <c r="CI269" t="s">
        <v>206</v>
      </c>
      <c r="CJ269" t="s">
        <v>98</v>
      </c>
      <c r="CK269" t="s">
        <v>12323</v>
      </c>
      <c r="CL269" t="s">
        <v>108</v>
      </c>
      <c r="CM269" t="s">
        <v>109</v>
      </c>
      <c r="CN269" t="str">
        <f>"Wilson"</f>
        <v>Wilson</v>
      </c>
      <c r="CO269" t="str">
        <f>"Samantha"</f>
        <v>Samantha</v>
      </c>
      <c r="CP269" t="str">
        <f>"M."</f>
        <v>M.</v>
      </c>
      <c r="CQ269" t="str">
        <f>"John J. Boudia &amp; Associates, P.L.C."</f>
        <v>John J. Boudia &amp; Associates, P.L.C.</v>
      </c>
      <c r="CR269" t="s">
        <v>4630</v>
      </c>
    </row>
    <row r="270" spans="1:96" x14ac:dyDescent="0.2">
      <c r="A270" t="s">
        <v>11302</v>
      </c>
      <c r="B270" t="s">
        <v>96</v>
      </c>
      <c r="C270" s="1">
        <v>44098</v>
      </c>
      <c r="D270" s="1">
        <v>44105</v>
      </c>
      <c r="F270" t="s">
        <v>97</v>
      </c>
      <c r="G270" t="str">
        <f>"Analyst - Testing"</f>
        <v>Analyst - Testing</v>
      </c>
      <c r="H270" t="s">
        <v>12168</v>
      </c>
      <c r="I270" t="s">
        <v>319</v>
      </c>
      <c r="J270" t="s">
        <v>98</v>
      </c>
      <c r="K270" s="1">
        <v>44111</v>
      </c>
      <c r="L270" s="1">
        <v>45205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 t="s">
        <v>379</v>
      </c>
      <c r="U270" t="str">
        <f>""</f>
        <v/>
      </c>
      <c r="V270" t="s">
        <v>380</v>
      </c>
      <c r="W270" t="str">
        <f>"Suite 320"</f>
        <v>Suite 320</v>
      </c>
      <c r="X270" t="s">
        <v>381</v>
      </c>
      <c r="Y270" t="s">
        <v>195</v>
      </c>
      <c r="Z270" s="3">
        <v>20850</v>
      </c>
      <c r="AA270" t="s">
        <v>101</v>
      </c>
      <c r="AB270" t="s">
        <v>382</v>
      </c>
      <c r="AC270" s="4" t="str">
        <f>"+13012319083"</f>
        <v>+13012319083</v>
      </c>
      <c r="AE270" t="str">
        <f t="shared" si="15"/>
        <v>541511</v>
      </c>
      <c r="AF270" t="s">
        <v>383</v>
      </c>
      <c r="AG270" t="s">
        <v>384</v>
      </c>
      <c r="AI270" t="s">
        <v>385</v>
      </c>
      <c r="AJ270" t="s">
        <v>386</v>
      </c>
      <c r="AK270" t="str">
        <f>"Suite 320"</f>
        <v>Suite 320</v>
      </c>
      <c r="AL270" t="s">
        <v>381</v>
      </c>
      <c r="AM270" t="s">
        <v>195</v>
      </c>
      <c r="AN270" s="3">
        <v>20850</v>
      </c>
      <c r="AO270" t="s">
        <v>101</v>
      </c>
      <c r="AQ270" t="str">
        <f>"+13012319083"</f>
        <v>+13012319083</v>
      </c>
      <c r="AS270" t="s">
        <v>387</v>
      </c>
      <c r="AT270" t="s">
        <v>107</v>
      </c>
      <c r="AU270" t="str">
        <f>"Uribe"</f>
        <v>Uribe</v>
      </c>
      <c r="AV270" t="str">
        <f>"Elmer"</f>
        <v>Elmer</v>
      </c>
      <c r="AW270" t="str">
        <f>"Martin"</f>
        <v>Martin</v>
      </c>
      <c r="AX270" t="str">
        <f>"12100 Sunset Hills Rd"</f>
        <v>12100 Sunset Hills Rd</v>
      </c>
      <c r="AY270" t="str">
        <f>"Ste. 301"</f>
        <v>Ste. 301</v>
      </c>
      <c r="AZ270" t="str">
        <f>"Reston"</f>
        <v>Reston</v>
      </c>
      <c r="BA270" t="str">
        <f>"VA"</f>
        <v>VA</v>
      </c>
      <c r="BB270" s="3">
        <v>20190</v>
      </c>
      <c r="BC270" t="str">
        <f>"UNITED STATES OF AMERICA"</f>
        <v>UNITED STATES OF AMERICA</v>
      </c>
      <c r="BD270" t="str">
        <f>""</f>
        <v/>
      </c>
      <c r="BE270" t="str">
        <f>"+17037969898"</f>
        <v>+17037969898</v>
      </c>
      <c r="BF270" t="str">
        <f>"117"</f>
        <v>117</v>
      </c>
      <c r="BG270" t="str">
        <f>"martin.uribe@goellaw.com"</f>
        <v>martin.uribe@goellaw.com</v>
      </c>
      <c r="BH270" t="str">
        <f>"Goel &amp; Anderson, LLC"</f>
        <v>Goel &amp; Anderson, LLC</v>
      </c>
      <c r="BI270" t="str">
        <f>"MD"</f>
        <v>MD</v>
      </c>
      <c r="BJ270" t="str">
        <f>"Court of Appeals"</f>
        <v>Court of Appeals</v>
      </c>
      <c r="BK270">
        <v>1</v>
      </c>
      <c r="BL270" t="s">
        <v>107</v>
      </c>
      <c r="BM270" t="str">
        <f>"Citi Cards N.A."</f>
        <v>Citi Cards N.A.</v>
      </c>
      <c r="BN270" t="s">
        <v>2961</v>
      </c>
      <c r="BP270" t="s">
        <v>483</v>
      </c>
      <c r="BQ270" t="s">
        <v>484</v>
      </c>
      <c r="BR270" t="s">
        <v>114</v>
      </c>
      <c r="BS270" s="5">
        <v>75039</v>
      </c>
      <c r="BT270" s="2">
        <v>100000</v>
      </c>
      <c r="BU270" s="2">
        <v>110000</v>
      </c>
      <c r="BV270" t="s">
        <v>105</v>
      </c>
      <c r="BW270" s="2">
        <v>74027</v>
      </c>
      <c r="BX270" t="s">
        <v>105</v>
      </c>
      <c r="BZ270" t="s">
        <v>167</v>
      </c>
      <c r="CA270" t="str">
        <f t="shared" si="13"/>
        <v>7/1/2020 - 6/30/2021</v>
      </c>
      <c r="CF270">
        <v>1</v>
      </c>
      <c r="CG270" t="s">
        <v>98</v>
      </c>
      <c r="CH270" t="s">
        <v>98</v>
      </c>
      <c r="CI270" t="s">
        <v>206</v>
      </c>
      <c r="CJ270" t="s">
        <v>98</v>
      </c>
      <c r="CK270" t="s">
        <v>12323</v>
      </c>
      <c r="CL270" t="s">
        <v>108</v>
      </c>
      <c r="CM270" t="s">
        <v>109</v>
      </c>
      <c r="CN270" t="str">
        <f>"Uribe"</f>
        <v>Uribe</v>
      </c>
      <c r="CO270" t="str">
        <f>"E. Martin"</f>
        <v>E. Martin</v>
      </c>
      <c r="CP270" t="str">
        <f>""</f>
        <v/>
      </c>
      <c r="CQ270" t="str">
        <f>"Goel &amp; Anderson LLC"</f>
        <v>Goel &amp; Anderson LLC</v>
      </c>
      <c r="CR270" t="s">
        <v>389</v>
      </c>
    </row>
    <row r="271" spans="1:96" x14ac:dyDescent="0.2">
      <c r="A271" t="s">
        <v>11309</v>
      </c>
      <c r="B271" t="s">
        <v>96</v>
      </c>
      <c r="C271" s="1">
        <v>44098</v>
      </c>
      <c r="D271" s="1">
        <v>44105</v>
      </c>
      <c r="F271" t="s">
        <v>97</v>
      </c>
      <c r="G271" t="str">
        <f>"Software Developer"</f>
        <v>Software Developer</v>
      </c>
      <c r="H271" t="s">
        <v>12169</v>
      </c>
      <c r="I271" t="s">
        <v>124</v>
      </c>
      <c r="J271" t="s">
        <v>98</v>
      </c>
      <c r="K271" s="1">
        <v>44102</v>
      </c>
      <c r="L271" s="1">
        <v>45196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5158</v>
      </c>
      <c r="U271" t="str">
        <f>""</f>
        <v/>
      </c>
      <c r="V271" t="s">
        <v>6456</v>
      </c>
      <c r="W271" t="str">
        <f>"SUITE 300"</f>
        <v>SUITE 300</v>
      </c>
      <c r="X271" t="s">
        <v>403</v>
      </c>
      <c r="Y271" t="s">
        <v>100</v>
      </c>
      <c r="Z271" s="3">
        <v>8540</v>
      </c>
      <c r="AA271" t="s">
        <v>101</v>
      </c>
      <c r="AC271" s="4" t="str">
        <f>"+16097510961"</f>
        <v>+16097510961</v>
      </c>
      <c r="AE271" t="str">
        <f t="shared" si="15"/>
        <v>541511</v>
      </c>
      <c r="AF271" t="s">
        <v>2745</v>
      </c>
      <c r="AG271" t="s">
        <v>2746</v>
      </c>
      <c r="AH271" t="s">
        <v>1180</v>
      </c>
      <c r="AI271" t="s">
        <v>262</v>
      </c>
      <c r="AJ271" t="s">
        <v>6456</v>
      </c>
      <c r="AK271" t="str">
        <f>"SUITE 300"</f>
        <v>SUITE 300</v>
      </c>
      <c r="AL271" t="s">
        <v>403</v>
      </c>
      <c r="AM271" t="s">
        <v>100</v>
      </c>
      <c r="AN271" s="3">
        <v>8540</v>
      </c>
      <c r="AO271" t="s">
        <v>101</v>
      </c>
      <c r="AQ271" t="str">
        <f>"+16097510961"</f>
        <v>+16097510961</v>
      </c>
      <c r="AS271" t="s">
        <v>6457</v>
      </c>
      <c r="AT271" t="s">
        <v>102</v>
      </c>
      <c r="AU271" t="str">
        <f>""</f>
        <v/>
      </c>
      <c r="AV271" t="str">
        <f>""</f>
        <v/>
      </c>
      <c r="AW271" t="str">
        <f>""</f>
        <v/>
      </c>
      <c r="AX271" t="str">
        <f>""</f>
        <v/>
      </c>
      <c r="AY271" t="str">
        <f>""</f>
        <v/>
      </c>
      <c r="AZ271" t="str">
        <f>""</f>
        <v/>
      </c>
      <c r="BA271" t="str">
        <f>""</f>
        <v/>
      </c>
      <c r="BC271" t="str">
        <f>""</f>
        <v/>
      </c>
      <c r="BD271" t="str">
        <f>""</f>
        <v/>
      </c>
      <c r="BE271" t="str">
        <f>""</f>
        <v/>
      </c>
      <c r="BF271" t="str">
        <f>""</f>
        <v/>
      </c>
      <c r="BG271" t="str">
        <f>""</f>
        <v/>
      </c>
      <c r="BH271" t="str">
        <f>""</f>
        <v/>
      </c>
      <c r="BI271" t="str">
        <f>""</f>
        <v/>
      </c>
      <c r="BJ271" t="str">
        <f>""</f>
        <v/>
      </c>
      <c r="BK271">
        <v>1</v>
      </c>
      <c r="BL271" t="s">
        <v>107</v>
      </c>
      <c r="BM271" t="str">
        <f>"UMB Bank Technology Operations Center"</f>
        <v>UMB Bank Technology Operations Center</v>
      </c>
      <c r="BN271" t="s">
        <v>6003</v>
      </c>
      <c r="BP271" t="s">
        <v>2588</v>
      </c>
      <c r="BQ271" t="s">
        <v>2941</v>
      </c>
      <c r="BR271" t="s">
        <v>374</v>
      </c>
      <c r="BS271" s="5">
        <v>64106</v>
      </c>
      <c r="BT271" s="2">
        <v>76502</v>
      </c>
      <c r="BV271" t="s">
        <v>105</v>
      </c>
      <c r="BW271" s="2">
        <v>76502</v>
      </c>
      <c r="BX271" t="s">
        <v>105</v>
      </c>
      <c r="BZ271" t="s">
        <v>167</v>
      </c>
      <c r="CA271" t="str">
        <f t="shared" si="13"/>
        <v>7/1/2020 - 6/30/2021</v>
      </c>
      <c r="CF271">
        <v>1</v>
      </c>
      <c r="CG271" t="s">
        <v>98</v>
      </c>
      <c r="CH271" t="s">
        <v>98</v>
      </c>
      <c r="CI271" t="s">
        <v>206</v>
      </c>
      <c r="CJ271" t="s">
        <v>98</v>
      </c>
      <c r="CK271" t="s">
        <v>12323</v>
      </c>
      <c r="CL271" t="s">
        <v>108</v>
      </c>
      <c r="CM271" t="s">
        <v>109</v>
      </c>
      <c r="CN271" t="str">
        <f>""</f>
        <v/>
      </c>
      <c r="CO271" t="str">
        <f>""</f>
        <v/>
      </c>
      <c r="CP271" t="str">
        <f>""</f>
        <v/>
      </c>
      <c r="CQ271" t="str">
        <f>""</f>
        <v/>
      </c>
    </row>
    <row r="272" spans="1:96" x14ac:dyDescent="0.2">
      <c r="A272" t="s">
        <v>11319</v>
      </c>
      <c r="B272" t="s">
        <v>96</v>
      </c>
      <c r="C272" s="1">
        <v>44098</v>
      </c>
      <c r="D272" s="1">
        <v>44105</v>
      </c>
      <c r="F272" t="s">
        <v>97</v>
      </c>
      <c r="G272" t="str">
        <f>"SENIOR SCRUM MASTER"</f>
        <v>SENIOR SCRUM MASTER</v>
      </c>
      <c r="H272" t="s">
        <v>12168</v>
      </c>
      <c r="I272" t="s">
        <v>722</v>
      </c>
      <c r="J272" t="s">
        <v>98</v>
      </c>
      <c r="K272" s="1">
        <v>44116</v>
      </c>
      <c r="L272" s="1">
        <v>44635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4665</v>
      </c>
      <c r="U272" t="str">
        <f>"CLOUDQ"</f>
        <v>CLOUDQ</v>
      </c>
      <c r="V272" t="s">
        <v>4666</v>
      </c>
      <c r="W272" t="str">
        <f>"SUITE #201"</f>
        <v>SUITE #201</v>
      </c>
      <c r="X272" t="s">
        <v>1766</v>
      </c>
      <c r="Y272" t="s">
        <v>215</v>
      </c>
      <c r="Z272" s="3">
        <v>30004</v>
      </c>
      <c r="AA272" t="s">
        <v>101</v>
      </c>
      <c r="AC272" s="4" t="str">
        <f>"+14044101441"</f>
        <v>+14044101441</v>
      </c>
      <c r="AD272">
        <v>100</v>
      </c>
      <c r="AE272" t="str">
        <f t="shared" si="15"/>
        <v>541511</v>
      </c>
      <c r="AF272" t="s">
        <v>4667</v>
      </c>
      <c r="AG272" t="s">
        <v>4668</v>
      </c>
      <c r="AI272" t="s">
        <v>425</v>
      </c>
      <c r="AJ272" t="s">
        <v>4666</v>
      </c>
      <c r="AK272" t="str">
        <f>"SUITE #201"</f>
        <v>SUITE #201</v>
      </c>
      <c r="AL272" t="s">
        <v>1766</v>
      </c>
      <c r="AM272" t="s">
        <v>215</v>
      </c>
      <c r="AN272" s="3">
        <v>30004</v>
      </c>
      <c r="AO272" t="s">
        <v>101</v>
      </c>
      <c r="AQ272" t="str">
        <f>"+14044101441"</f>
        <v>+14044101441</v>
      </c>
      <c r="AR272">
        <v>100</v>
      </c>
      <c r="AS272" t="s">
        <v>4669</v>
      </c>
      <c r="AT272" t="s">
        <v>102</v>
      </c>
      <c r="AU272" t="str">
        <f>""</f>
        <v/>
      </c>
      <c r="AV272" t="str">
        <f>""</f>
        <v/>
      </c>
      <c r="AW272" t="str">
        <f>""</f>
        <v/>
      </c>
      <c r="AX272" t="str">
        <f>""</f>
        <v/>
      </c>
      <c r="AY272" t="str">
        <f>""</f>
        <v/>
      </c>
      <c r="AZ272" t="str">
        <f>""</f>
        <v/>
      </c>
      <c r="BA272" t="str">
        <f>""</f>
        <v/>
      </c>
      <c r="BC272" t="str">
        <f>""</f>
        <v/>
      </c>
      <c r="BD272" t="str">
        <f>""</f>
        <v/>
      </c>
      <c r="BE272" t="str">
        <f>""</f>
        <v/>
      </c>
      <c r="BF272" t="str">
        <f>""</f>
        <v/>
      </c>
      <c r="BG272" t="str">
        <f>""</f>
        <v/>
      </c>
      <c r="BH272" t="str">
        <f>""</f>
        <v/>
      </c>
      <c r="BI272" t="str">
        <f>""</f>
        <v/>
      </c>
      <c r="BJ272" t="str">
        <f>""</f>
        <v/>
      </c>
      <c r="BK272">
        <v>1</v>
      </c>
      <c r="BL272" t="s">
        <v>107</v>
      </c>
      <c r="BM272" t="str">
        <f>"COTIVITI"</f>
        <v>COTIVITI</v>
      </c>
      <c r="BN272" t="s">
        <v>10933</v>
      </c>
      <c r="BO272" t="s">
        <v>1843</v>
      </c>
      <c r="BP272" t="s">
        <v>480</v>
      </c>
      <c r="BQ272" t="s">
        <v>214</v>
      </c>
      <c r="BR272" t="s">
        <v>215</v>
      </c>
      <c r="BS272" s="5">
        <v>30328</v>
      </c>
      <c r="BT272" s="2">
        <v>94500</v>
      </c>
      <c r="BU272" s="2">
        <v>95000</v>
      </c>
      <c r="BV272" t="s">
        <v>105</v>
      </c>
      <c r="BW272" s="2">
        <v>94453</v>
      </c>
      <c r="BX272" t="s">
        <v>105</v>
      </c>
      <c r="BZ272" t="s">
        <v>123</v>
      </c>
      <c r="CA272" t="str">
        <f t="shared" si="13"/>
        <v>7/1/2020 - 6/30/2021</v>
      </c>
      <c r="CF272">
        <v>2</v>
      </c>
      <c r="CG272" t="s">
        <v>98</v>
      </c>
      <c r="CH272" t="s">
        <v>98</v>
      </c>
      <c r="CI272" t="s">
        <v>206</v>
      </c>
      <c r="CJ272" t="s">
        <v>98</v>
      </c>
      <c r="CK272" t="s">
        <v>12323</v>
      </c>
      <c r="CL272" t="s">
        <v>108</v>
      </c>
      <c r="CM272" t="s">
        <v>109</v>
      </c>
      <c r="CN272" t="str">
        <f>"YASERARAFATH"</f>
        <v>YASERARAFATH</v>
      </c>
      <c r="CO272" t="str">
        <f>"SAFAIZRATH"</f>
        <v>SAFAIZRATH</v>
      </c>
      <c r="CP272" t="str">
        <f>""</f>
        <v/>
      </c>
      <c r="CQ272" t="str">
        <f>"SYRAINFOTEK LLC dba CLOUDQ"</f>
        <v>SYRAINFOTEK LLC dba CLOUDQ</v>
      </c>
      <c r="CR272" t="s">
        <v>4669</v>
      </c>
    </row>
    <row r="273" spans="1:96" x14ac:dyDescent="0.2">
      <c r="A273" t="s">
        <v>11355</v>
      </c>
      <c r="B273" t="s">
        <v>96</v>
      </c>
      <c r="C273" s="1">
        <v>44098</v>
      </c>
      <c r="D273" s="1">
        <v>44105</v>
      </c>
      <c r="F273" t="s">
        <v>97</v>
      </c>
      <c r="G273" t="str">
        <f>"Lead Engineer	"</f>
        <v xml:space="preserve">Lead Engineer	</v>
      </c>
      <c r="H273" t="s">
        <v>12239</v>
      </c>
      <c r="I273" t="s">
        <v>378</v>
      </c>
      <c r="J273" t="s">
        <v>98</v>
      </c>
      <c r="K273" s="1">
        <v>44098</v>
      </c>
      <c r="L273" s="1">
        <v>45192</v>
      </c>
      <c r="M273">
        <v>6</v>
      </c>
      <c r="N273">
        <v>1</v>
      </c>
      <c r="O273">
        <v>2</v>
      </c>
      <c r="P273">
        <v>1</v>
      </c>
      <c r="Q273">
        <v>0</v>
      </c>
      <c r="R273">
        <v>1</v>
      </c>
      <c r="S273">
        <v>1</v>
      </c>
      <c r="T273" t="s">
        <v>902</v>
      </c>
      <c r="U273" t="str">
        <f>""</f>
        <v/>
      </c>
      <c r="V273" t="s">
        <v>903</v>
      </c>
      <c r="W273" t="str">
        <f>"SUITE 2200"</f>
        <v>SUITE 2200</v>
      </c>
      <c r="X273" t="s">
        <v>904</v>
      </c>
      <c r="Y273" t="s">
        <v>100</v>
      </c>
      <c r="Z273" s="3">
        <v>8816</v>
      </c>
      <c r="AA273" t="s">
        <v>101</v>
      </c>
      <c r="AB273" t="s">
        <v>108</v>
      </c>
      <c r="AC273" s="4" t="str">
        <f>"+17325091586"</f>
        <v>+17325091586</v>
      </c>
      <c r="AE273" t="str">
        <f t="shared" si="15"/>
        <v>541511</v>
      </c>
      <c r="AF273" t="s">
        <v>905</v>
      </c>
      <c r="AG273" t="s">
        <v>906</v>
      </c>
      <c r="AH273" t="s">
        <v>108</v>
      </c>
      <c r="AI273" t="s">
        <v>818</v>
      </c>
      <c r="AJ273" t="s">
        <v>903</v>
      </c>
      <c r="AK273" t="str">
        <f>"SUITE 2200"</f>
        <v>SUITE 2200</v>
      </c>
      <c r="AL273" t="s">
        <v>904</v>
      </c>
      <c r="AM273" t="s">
        <v>100</v>
      </c>
      <c r="AN273" s="3">
        <v>8816</v>
      </c>
      <c r="AO273" t="s">
        <v>101</v>
      </c>
      <c r="AQ273" t="str">
        <f>"+17325091586"</f>
        <v>+17325091586</v>
      </c>
      <c r="AS273" t="s">
        <v>907</v>
      </c>
      <c r="AT273" t="s">
        <v>102</v>
      </c>
      <c r="AU273" t="str">
        <f>""</f>
        <v/>
      </c>
      <c r="AV273" t="str">
        <f>""</f>
        <v/>
      </c>
      <c r="AW273" t="str">
        <f>""</f>
        <v/>
      </c>
      <c r="AX273" t="str">
        <f>""</f>
        <v/>
      </c>
      <c r="AY273" t="str">
        <f>""</f>
        <v/>
      </c>
      <c r="AZ273" t="str">
        <f>""</f>
        <v/>
      </c>
      <c r="BA273" t="str">
        <f>""</f>
        <v/>
      </c>
      <c r="BC273" t="str">
        <f>""</f>
        <v/>
      </c>
      <c r="BD273" t="str">
        <f>""</f>
        <v/>
      </c>
      <c r="BE273" t="str">
        <f>""</f>
        <v/>
      </c>
      <c r="BF273" t="str">
        <f>""</f>
        <v/>
      </c>
      <c r="BG273" t="str">
        <f>""</f>
        <v/>
      </c>
      <c r="BH273" t="str">
        <f>""</f>
        <v/>
      </c>
      <c r="BI273" t="str">
        <f>""</f>
        <v/>
      </c>
      <c r="BJ273" t="str">
        <f>""</f>
        <v/>
      </c>
      <c r="BK273">
        <v>6</v>
      </c>
      <c r="BL273" t="s">
        <v>107</v>
      </c>
      <c r="BM273" t="str">
        <f>"Intel Corporation"</f>
        <v>Intel Corporation</v>
      </c>
      <c r="BN273" t="s">
        <v>11356</v>
      </c>
      <c r="BP273" t="s">
        <v>4156</v>
      </c>
      <c r="BQ273" t="s">
        <v>813</v>
      </c>
      <c r="BR273" t="s">
        <v>814</v>
      </c>
      <c r="BS273" s="5">
        <v>97124</v>
      </c>
      <c r="BT273" s="2">
        <v>72634</v>
      </c>
      <c r="BV273" t="s">
        <v>105</v>
      </c>
      <c r="BW273" s="2">
        <v>72634</v>
      </c>
      <c r="BX273" t="s">
        <v>105</v>
      </c>
      <c r="BZ273" t="s">
        <v>167</v>
      </c>
      <c r="CA273" t="str">
        <f t="shared" si="13"/>
        <v>7/1/2020 - 6/30/2021</v>
      </c>
      <c r="CF273">
        <v>1</v>
      </c>
      <c r="CG273" t="s">
        <v>98</v>
      </c>
      <c r="CH273" t="s">
        <v>98</v>
      </c>
      <c r="CI273" t="s">
        <v>206</v>
      </c>
      <c r="CJ273" t="s">
        <v>98</v>
      </c>
      <c r="CK273" t="s">
        <v>12323</v>
      </c>
      <c r="CL273" t="s">
        <v>108</v>
      </c>
      <c r="CM273" t="s">
        <v>109</v>
      </c>
      <c r="CN273" t="str">
        <f>""</f>
        <v/>
      </c>
      <c r="CO273" t="str">
        <f>""</f>
        <v/>
      </c>
      <c r="CP273" t="str">
        <f>""</f>
        <v/>
      </c>
      <c r="CQ273" t="str">
        <f>""</f>
        <v/>
      </c>
    </row>
    <row r="274" spans="1:96" x14ac:dyDescent="0.2">
      <c r="A274" t="s">
        <v>11365</v>
      </c>
      <c r="B274" t="s">
        <v>96</v>
      </c>
      <c r="C274" s="1">
        <v>44098</v>
      </c>
      <c r="D274" s="1">
        <v>44105</v>
      </c>
      <c r="F274" t="s">
        <v>97</v>
      </c>
      <c r="G274" t="str">
        <f>"ARCHITECT"</f>
        <v>ARCHITECT</v>
      </c>
      <c r="H274" t="s">
        <v>12168</v>
      </c>
      <c r="I274" t="s">
        <v>160</v>
      </c>
      <c r="J274" t="s">
        <v>98</v>
      </c>
      <c r="K274" s="1">
        <v>44278</v>
      </c>
      <c r="L274" s="1">
        <v>44742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 t="s">
        <v>864</v>
      </c>
      <c r="U274" t="str">
        <f>""</f>
        <v/>
      </c>
      <c r="V274" t="s">
        <v>865</v>
      </c>
      <c r="W274" t="str">
        <f>"SUITE 320"</f>
        <v>SUITE 320</v>
      </c>
      <c r="X274" t="s">
        <v>866</v>
      </c>
      <c r="Y274" t="s">
        <v>195</v>
      </c>
      <c r="Z274" s="3">
        <v>20850</v>
      </c>
      <c r="AA274" t="s">
        <v>101</v>
      </c>
      <c r="AC274" s="4" t="str">
        <f>"+13012319083"</f>
        <v>+13012319083</v>
      </c>
      <c r="AE274" t="str">
        <f t="shared" si="15"/>
        <v>541511</v>
      </c>
      <c r="AF274" t="s">
        <v>867</v>
      </c>
      <c r="AG274" t="s">
        <v>868</v>
      </c>
      <c r="AH274" t="s">
        <v>108</v>
      </c>
      <c r="AI274" t="s">
        <v>869</v>
      </c>
      <c r="AJ274" t="s">
        <v>865</v>
      </c>
      <c r="AK274" t="str">
        <f>"SUITE 320"</f>
        <v>SUITE 320</v>
      </c>
      <c r="AL274" t="s">
        <v>866</v>
      </c>
      <c r="AM274" t="s">
        <v>195</v>
      </c>
      <c r="AN274" s="3">
        <v>20850</v>
      </c>
      <c r="AO274" t="s">
        <v>101</v>
      </c>
      <c r="AQ274" t="str">
        <f>"+13012319083"</f>
        <v>+13012319083</v>
      </c>
      <c r="AS274" t="s">
        <v>870</v>
      </c>
      <c r="AT274" t="s">
        <v>107</v>
      </c>
      <c r="AU274" t="str">
        <f>"MUHLENKAMP"</f>
        <v>MUHLENKAMP</v>
      </c>
      <c r="AV274" t="str">
        <f>"PRISCILLA"</f>
        <v>PRISCILLA</v>
      </c>
      <c r="AW274" t="str">
        <f>"H."</f>
        <v>H.</v>
      </c>
      <c r="AX274" t="str">
        <f>"1101 15TH STREET NW"</f>
        <v>1101 15TH STREET NW</v>
      </c>
      <c r="AY274" t="str">
        <f>"SUITE 700"</f>
        <v>SUITE 700</v>
      </c>
      <c r="AZ274" t="str">
        <f>"WASHINGTON"</f>
        <v>WASHINGTON</v>
      </c>
      <c r="BA274" t="str">
        <f>"DC"</f>
        <v>DC</v>
      </c>
      <c r="BB274" s="3">
        <v>20005</v>
      </c>
      <c r="BC274" t="str">
        <f>"UNITED STATES OF AMERICA"</f>
        <v>UNITED STATES OF AMERICA</v>
      </c>
      <c r="BD274" t="str">
        <f>""</f>
        <v/>
      </c>
      <c r="BE274" t="str">
        <f>"+12022235515"</f>
        <v>+12022235515</v>
      </c>
      <c r="BF274" t="str">
        <f>""</f>
        <v/>
      </c>
      <c r="BG274" t="str">
        <f>"TCSLCA@FRAGOMEN.COM"</f>
        <v>TCSLCA@FRAGOMEN.COM</v>
      </c>
      <c r="BH274" t="str">
        <f>"FRAGOMEN, DEL REY, BERNSEN &amp; LOEWY LLP"</f>
        <v>FRAGOMEN, DEL REY, BERNSEN &amp; LOEWY LLP</v>
      </c>
      <c r="BI274" t="str">
        <f>"DC"</f>
        <v>DC</v>
      </c>
      <c r="BJ274" t="str">
        <f>"DISTRICT OF COLUMBIA COURT OF APPEALS"</f>
        <v>DISTRICT OF COLUMBIA COURT OF APPEALS</v>
      </c>
      <c r="BK274">
        <v>1</v>
      </c>
      <c r="BL274" t="s">
        <v>107</v>
      </c>
      <c r="BM274" t="str">
        <f>"MONEY SERVICES INC (TRANSAMERICA)"</f>
        <v>MONEY SERVICES INC (TRANSAMERICA)</v>
      </c>
      <c r="BN274" t="s">
        <v>11366</v>
      </c>
      <c r="BP274" t="s">
        <v>3482</v>
      </c>
      <c r="BQ274" t="s">
        <v>1955</v>
      </c>
      <c r="BR274" t="s">
        <v>608</v>
      </c>
      <c r="BS274" s="5">
        <v>52404</v>
      </c>
      <c r="BT274" s="2">
        <v>65707</v>
      </c>
      <c r="BU274" s="2">
        <v>100200</v>
      </c>
      <c r="BV274" t="s">
        <v>105</v>
      </c>
      <c r="BW274" s="2">
        <v>65707</v>
      </c>
      <c r="BX274" t="s">
        <v>105</v>
      </c>
      <c r="BZ274" t="s">
        <v>167</v>
      </c>
      <c r="CA274" t="str">
        <f t="shared" si="13"/>
        <v>7/1/2020 - 6/30/2021</v>
      </c>
      <c r="CF274">
        <v>1</v>
      </c>
      <c r="CG274" t="s">
        <v>98</v>
      </c>
      <c r="CH274" t="s">
        <v>98</v>
      </c>
      <c r="CI274" t="s">
        <v>206</v>
      </c>
      <c r="CJ274" t="s">
        <v>98</v>
      </c>
      <c r="CK274" t="s">
        <v>12323</v>
      </c>
      <c r="CL274" t="s">
        <v>108</v>
      </c>
      <c r="CM274" t="s">
        <v>109</v>
      </c>
      <c r="CN274" t="str">
        <f>""</f>
        <v/>
      </c>
      <c r="CO274" t="str">
        <f>""</f>
        <v/>
      </c>
      <c r="CP274" t="str">
        <f>""</f>
        <v/>
      </c>
      <c r="CQ274" t="str">
        <f>""</f>
        <v/>
      </c>
    </row>
    <row r="275" spans="1:96" x14ac:dyDescent="0.2">
      <c r="A275" t="s">
        <v>11373</v>
      </c>
      <c r="B275" t="s">
        <v>96</v>
      </c>
      <c r="C275" s="1">
        <v>44098</v>
      </c>
      <c r="D275" s="1">
        <v>44105</v>
      </c>
      <c r="F275" t="s">
        <v>97</v>
      </c>
      <c r="G275" t="str">
        <f>"MTS 2, Software Engineer"</f>
        <v>MTS 2, Software Engineer</v>
      </c>
      <c r="H275" t="s">
        <v>12169</v>
      </c>
      <c r="I275" t="s">
        <v>124</v>
      </c>
      <c r="J275" t="s">
        <v>98</v>
      </c>
      <c r="K275" s="1">
        <v>44257</v>
      </c>
      <c r="L275" s="1">
        <v>45352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t="s">
        <v>1266</v>
      </c>
      <c r="U275" t="str">
        <f>""</f>
        <v/>
      </c>
      <c r="V275" t="s">
        <v>1267</v>
      </c>
      <c r="W275" t="str">
        <f>"N/A"</f>
        <v>N/A</v>
      </c>
      <c r="X275" t="s">
        <v>585</v>
      </c>
      <c r="Y275" t="s">
        <v>141</v>
      </c>
      <c r="Z275" s="3">
        <v>95125</v>
      </c>
      <c r="AA275" t="s">
        <v>101</v>
      </c>
      <c r="AB275" t="s">
        <v>108</v>
      </c>
      <c r="AC275" s="4" t="str">
        <f>"+14083768590"</f>
        <v>+14083768590</v>
      </c>
      <c r="AD275">
        <v>0</v>
      </c>
      <c r="AE275" t="str">
        <f>"454110"</f>
        <v>454110</v>
      </c>
      <c r="AF275" t="s">
        <v>1268</v>
      </c>
      <c r="AG275" t="s">
        <v>1269</v>
      </c>
      <c r="AI275" t="s">
        <v>254</v>
      </c>
      <c r="AJ275" t="s">
        <v>1267</v>
      </c>
      <c r="AK275" t="str">
        <f>""</f>
        <v/>
      </c>
      <c r="AL275" t="s">
        <v>585</v>
      </c>
      <c r="AM275" t="s">
        <v>141</v>
      </c>
      <c r="AN275" s="3">
        <v>95125</v>
      </c>
      <c r="AO275" t="s">
        <v>101</v>
      </c>
      <c r="AQ275" t="str">
        <f>"+14083768590"</f>
        <v>+14083768590</v>
      </c>
      <c r="AR275">
        <v>0</v>
      </c>
      <c r="AS275" t="s">
        <v>1270</v>
      </c>
      <c r="AT275" t="s">
        <v>107</v>
      </c>
      <c r="AU275" t="str">
        <f>"DeCruz"</f>
        <v>DeCruz</v>
      </c>
      <c r="AV275" t="str">
        <f>"Jeffrey"</f>
        <v>Jeffrey</v>
      </c>
      <c r="AW275" t="str">
        <f>"M."</f>
        <v>M.</v>
      </c>
      <c r="AX275" t="str">
        <f>"2101 Wilson Blvd."</f>
        <v>2101 Wilson Blvd.</v>
      </c>
      <c r="AY275" t="str">
        <f>"Suite 1100"</f>
        <v>Suite 1100</v>
      </c>
      <c r="AZ275" t="str">
        <f>"Arlington"</f>
        <v>Arlington</v>
      </c>
      <c r="BA275" t="str">
        <f>"VA"</f>
        <v>VA</v>
      </c>
      <c r="BB275" s="3">
        <v>22201</v>
      </c>
      <c r="BC275" t="str">
        <f>"UNITED STATES OF AMERICA"</f>
        <v>UNITED STATES OF AMERICA</v>
      </c>
      <c r="BD275" t="str">
        <f>""</f>
        <v/>
      </c>
      <c r="BE275" t="str">
        <f>"+17036784000"</f>
        <v>+17036784000</v>
      </c>
      <c r="BF275" t="str">
        <f>""</f>
        <v/>
      </c>
      <c r="BG275" t="str">
        <f>"Jeff.decruz@eiglaw.com"</f>
        <v>Jeff.decruz@eiglaw.com</v>
      </c>
      <c r="BH275" t="str">
        <f>"Erickson Immigration Group"</f>
        <v>Erickson Immigration Group</v>
      </c>
      <c r="BI275" t="str">
        <f>"NY"</f>
        <v>NY</v>
      </c>
      <c r="BJ275" t="str">
        <f>"New York Court of Appeals"</f>
        <v>New York Court of Appeals</v>
      </c>
      <c r="BK275">
        <v>1</v>
      </c>
      <c r="BL275" t="s">
        <v>102</v>
      </c>
      <c r="BM275" t="str">
        <f>""</f>
        <v/>
      </c>
      <c r="BN275" t="s">
        <v>1267</v>
      </c>
      <c r="BP275" t="s">
        <v>585</v>
      </c>
      <c r="BQ275" t="s">
        <v>230</v>
      </c>
      <c r="BR275" t="s">
        <v>141</v>
      </c>
      <c r="BS275" s="5">
        <v>95125</v>
      </c>
      <c r="BT275" s="2">
        <v>191514.9</v>
      </c>
      <c r="BV275" t="s">
        <v>105</v>
      </c>
      <c r="BW275" s="2">
        <v>170872</v>
      </c>
      <c r="BX275" t="s">
        <v>105</v>
      </c>
      <c r="BZ275" t="s">
        <v>159</v>
      </c>
      <c r="CA275" t="str">
        <f t="shared" si="13"/>
        <v>7/1/2020 - 6/30/2021</v>
      </c>
      <c r="CF275">
        <v>2</v>
      </c>
      <c r="CG275" t="s">
        <v>98</v>
      </c>
      <c r="CH275" t="s">
        <v>98</v>
      </c>
      <c r="CI275" t="s">
        <v>206</v>
      </c>
      <c r="CJ275" t="s">
        <v>98</v>
      </c>
      <c r="CK275" t="s">
        <v>12323</v>
      </c>
      <c r="CL275" t="s">
        <v>108</v>
      </c>
      <c r="CM275" t="s">
        <v>109</v>
      </c>
      <c r="CN275" t="str">
        <f>"Jose"</f>
        <v>Jose</v>
      </c>
      <c r="CO275" t="str">
        <f>"Daniel"</f>
        <v>Daniel</v>
      </c>
      <c r="CP275" t="str">
        <f>""</f>
        <v/>
      </c>
      <c r="CQ275" t="str">
        <f>"Erickson Immigration Group"</f>
        <v>Erickson Immigration Group</v>
      </c>
      <c r="CR275" t="s">
        <v>2055</v>
      </c>
    </row>
    <row r="276" spans="1:96" x14ac:dyDescent="0.2">
      <c r="A276" t="s">
        <v>11376</v>
      </c>
      <c r="B276" t="s">
        <v>96</v>
      </c>
      <c r="C276" s="1">
        <v>44098</v>
      </c>
      <c r="D276" s="1">
        <v>44105</v>
      </c>
      <c r="F276" t="s">
        <v>97</v>
      </c>
      <c r="G276" t="str">
        <f>"Data Center Performance Capacity Engineer"</f>
        <v>Data Center Performance Capacity Engineer</v>
      </c>
      <c r="H276" t="s">
        <v>12168</v>
      </c>
      <c r="I276" t="s">
        <v>1844</v>
      </c>
      <c r="J276" t="s">
        <v>98</v>
      </c>
      <c r="K276" s="1">
        <v>44109</v>
      </c>
      <c r="L276" s="1">
        <v>45203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466</v>
      </c>
      <c r="U276" t="str">
        <f>""</f>
        <v/>
      </c>
      <c r="V276" t="s">
        <v>467</v>
      </c>
      <c r="W276" t="str">
        <f>"AKA 1601 Willow Road"</f>
        <v>AKA 1601 Willow Road</v>
      </c>
      <c r="X276" t="s">
        <v>468</v>
      </c>
      <c r="Y276" t="s">
        <v>141</v>
      </c>
      <c r="Z276" s="3">
        <v>94025</v>
      </c>
      <c r="AA276" t="s">
        <v>101</v>
      </c>
      <c r="AC276" s="4" t="str">
        <f>"+16505434800"</f>
        <v>+16505434800</v>
      </c>
      <c r="AE276" t="str">
        <f>"518210"</f>
        <v>518210</v>
      </c>
      <c r="AF276" t="s">
        <v>469</v>
      </c>
      <c r="AG276" t="s">
        <v>470</v>
      </c>
      <c r="AI276" t="s">
        <v>471</v>
      </c>
      <c r="AJ276" t="s">
        <v>467</v>
      </c>
      <c r="AK276" t="str">
        <f>"AKA 1601 Willow Road "</f>
        <v xml:space="preserve">AKA 1601 Willow Road </v>
      </c>
      <c r="AL276" t="s">
        <v>472</v>
      </c>
      <c r="AM276" t="s">
        <v>141</v>
      </c>
      <c r="AN276" s="3">
        <v>94025</v>
      </c>
      <c r="AO276" t="s">
        <v>101</v>
      </c>
      <c r="AQ276" t="str">
        <f>"+14085335781"</f>
        <v>+14085335781</v>
      </c>
      <c r="AS276" t="s">
        <v>108</v>
      </c>
      <c r="AT276" t="s">
        <v>107</v>
      </c>
      <c r="AU276" t="str">
        <f>"McCarthy"</f>
        <v>McCarthy</v>
      </c>
      <c r="AV276" t="str">
        <f>"Susan"</f>
        <v>Susan</v>
      </c>
      <c r="AW276" t="str">
        <f>""</f>
        <v/>
      </c>
      <c r="AX276" t="str">
        <f>"P.O. Box 31608"</f>
        <v>P.O. Box 31608</v>
      </c>
      <c r="AY276" t="str">
        <f>""</f>
        <v/>
      </c>
      <c r="AZ276" t="str">
        <f>"Raleigh"</f>
        <v>Raleigh</v>
      </c>
      <c r="BA276" t="str">
        <f>"NC"</f>
        <v>NC</v>
      </c>
      <c r="BB276" s="3">
        <v>27622</v>
      </c>
      <c r="BC276" t="str">
        <f>"UNITED STATES OF AMERICA"</f>
        <v>UNITED STATES OF AMERICA</v>
      </c>
      <c r="BD276" t="str">
        <f>""</f>
        <v/>
      </c>
      <c r="BE276" t="str">
        <f>"+19193077002"</f>
        <v>+19193077002</v>
      </c>
      <c r="BF276" t="str">
        <f>""</f>
        <v/>
      </c>
      <c r="BG276" t="str">
        <f>"vicky.johnson@ogletreedeakins.com"</f>
        <v>vicky.johnson@ogletreedeakins.com</v>
      </c>
      <c r="BH276" t="str">
        <f>"Ogletree, Deakins, Nash, Smoak &amp; Stewart, P.C."</f>
        <v>Ogletree, Deakins, Nash, Smoak &amp; Stewart, P.C.</v>
      </c>
      <c r="BI276" t="str">
        <f>"NJ"</f>
        <v>NJ</v>
      </c>
      <c r="BJ276" t="str">
        <f>"Supreme Court of New Jersey"</f>
        <v>Supreme Court of New Jersey</v>
      </c>
      <c r="BK276">
        <v>1</v>
      </c>
      <c r="BL276" t="s">
        <v>102</v>
      </c>
      <c r="BM276" t="str">
        <f>""</f>
        <v/>
      </c>
      <c r="BN276" t="s">
        <v>9878</v>
      </c>
      <c r="BP276" t="s">
        <v>398</v>
      </c>
      <c r="BQ276" t="s">
        <v>419</v>
      </c>
      <c r="BR276" t="s">
        <v>141</v>
      </c>
      <c r="BS276" s="5">
        <v>94555</v>
      </c>
      <c r="BT276" s="2">
        <v>190000</v>
      </c>
      <c r="BV276" t="s">
        <v>105</v>
      </c>
      <c r="BW276" s="2">
        <v>145205</v>
      </c>
      <c r="BX276" t="s">
        <v>105</v>
      </c>
      <c r="BZ276" t="s">
        <v>159</v>
      </c>
      <c r="CA276" t="str">
        <f t="shared" si="13"/>
        <v>7/1/2020 - 6/30/2021</v>
      </c>
      <c r="CF276">
        <v>2</v>
      </c>
      <c r="CG276" t="s">
        <v>98</v>
      </c>
      <c r="CH276" t="s">
        <v>98</v>
      </c>
      <c r="CI276" t="s">
        <v>206</v>
      </c>
      <c r="CJ276" t="s">
        <v>98</v>
      </c>
      <c r="CK276" t="s">
        <v>12323</v>
      </c>
      <c r="CL276" t="s">
        <v>108</v>
      </c>
      <c r="CM276" t="s">
        <v>109</v>
      </c>
      <c r="CN276" t="str">
        <f>"McCarthy "</f>
        <v xml:space="preserve">McCarthy </v>
      </c>
      <c r="CO276" t="str">
        <f>"Susan"</f>
        <v>Susan</v>
      </c>
      <c r="CP276" t="str">
        <f>""</f>
        <v/>
      </c>
      <c r="CQ276" t="str">
        <f>"Ogletree, Deakins, Nash, Smoak &amp; Stewart, P.C. "</f>
        <v xml:space="preserve">Ogletree, Deakins, Nash, Smoak &amp; Stewart, P.C. </v>
      </c>
      <c r="CR276" t="s">
        <v>473</v>
      </c>
    </row>
    <row r="277" spans="1:96" x14ac:dyDescent="0.2">
      <c r="A277" t="s">
        <v>11390</v>
      </c>
      <c r="B277" t="s">
        <v>96</v>
      </c>
      <c r="C277" s="1">
        <v>44098</v>
      </c>
      <c r="D277" s="1">
        <v>44105</v>
      </c>
      <c r="F277" t="s">
        <v>97</v>
      </c>
      <c r="G277" t="str">
        <f>"Senior Systems Analyst JC60"</f>
        <v>Senior Systems Analyst JC60</v>
      </c>
      <c r="H277" t="s">
        <v>12181</v>
      </c>
      <c r="I277" t="s">
        <v>110</v>
      </c>
      <c r="J277" t="s">
        <v>98</v>
      </c>
      <c r="K277" s="1">
        <v>44107</v>
      </c>
      <c r="L277" s="1">
        <v>45201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 t="s">
        <v>111</v>
      </c>
      <c r="U277" t="str">
        <f>"CTSUS"</f>
        <v>CTSUS</v>
      </c>
      <c r="V277" t="s">
        <v>112</v>
      </c>
      <c r="W277" t="str">
        <f>""</f>
        <v/>
      </c>
      <c r="X277" t="s">
        <v>113</v>
      </c>
      <c r="Y277" t="s">
        <v>114</v>
      </c>
      <c r="Z277" s="3">
        <v>77845</v>
      </c>
      <c r="AA277" t="s">
        <v>101</v>
      </c>
      <c r="AB277" t="s">
        <v>114</v>
      </c>
      <c r="AC277" s="4" t="str">
        <f>"+19793296682"</f>
        <v>+19793296682</v>
      </c>
      <c r="AE277" t="str">
        <f>"541512"</f>
        <v>541512</v>
      </c>
      <c r="AF277" t="s">
        <v>115</v>
      </c>
      <c r="AG277" t="s">
        <v>116</v>
      </c>
      <c r="AH277" t="s">
        <v>108</v>
      </c>
      <c r="AI277" t="s">
        <v>117</v>
      </c>
      <c r="AJ277" t="s">
        <v>118</v>
      </c>
      <c r="AK277" t="str">
        <f>""</f>
        <v/>
      </c>
      <c r="AL277" t="s">
        <v>119</v>
      </c>
      <c r="AM277" t="s">
        <v>114</v>
      </c>
      <c r="AN277" s="3">
        <v>77845</v>
      </c>
      <c r="AO277" t="s">
        <v>101</v>
      </c>
      <c r="AQ277" t="str">
        <f>"+19793296682"</f>
        <v>+19793296682</v>
      </c>
      <c r="AS277" t="s">
        <v>120</v>
      </c>
      <c r="AT277" t="s">
        <v>102</v>
      </c>
      <c r="AU277" t="str">
        <f>""</f>
        <v/>
      </c>
      <c r="AV277" t="str">
        <f>""</f>
        <v/>
      </c>
      <c r="AW277" t="str">
        <f>""</f>
        <v/>
      </c>
      <c r="AX277" t="str">
        <f>""</f>
        <v/>
      </c>
      <c r="AY277" t="str">
        <f>""</f>
        <v/>
      </c>
      <c r="AZ277" t="str">
        <f>""</f>
        <v/>
      </c>
      <c r="BA277" t="str">
        <f>""</f>
        <v/>
      </c>
      <c r="BC277" t="str">
        <f>""</f>
        <v/>
      </c>
      <c r="BD277" t="str">
        <f>""</f>
        <v/>
      </c>
      <c r="BE277" t="str">
        <f>""</f>
        <v/>
      </c>
      <c r="BF277" t="str">
        <f>""</f>
        <v/>
      </c>
      <c r="BG277" t="str">
        <f>""</f>
        <v/>
      </c>
      <c r="BH277" t="str">
        <f>""</f>
        <v/>
      </c>
      <c r="BI277" t="str">
        <f>""</f>
        <v/>
      </c>
      <c r="BJ277" t="str">
        <f>""</f>
        <v/>
      </c>
      <c r="BK277">
        <v>1</v>
      </c>
      <c r="BL277" t="s">
        <v>102</v>
      </c>
      <c r="BM277" t="str">
        <f>""</f>
        <v/>
      </c>
      <c r="BN277" t="s">
        <v>11391</v>
      </c>
      <c r="BP277" t="s">
        <v>3466</v>
      </c>
      <c r="BQ277" t="s">
        <v>547</v>
      </c>
      <c r="BR277" t="s">
        <v>280</v>
      </c>
      <c r="BS277" s="5">
        <v>6042</v>
      </c>
      <c r="BT277" s="2">
        <v>81453</v>
      </c>
      <c r="BV277" t="s">
        <v>105</v>
      </c>
      <c r="BW277" s="2">
        <v>81453</v>
      </c>
      <c r="BX277" t="s">
        <v>105</v>
      </c>
      <c r="BZ277" t="s">
        <v>167</v>
      </c>
      <c r="CA277" t="str">
        <f t="shared" si="13"/>
        <v>7/1/2020 - 6/30/2021</v>
      </c>
      <c r="CF277">
        <v>1</v>
      </c>
      <c r="CG277" t="s">
        <v>98</v>
      </c>
      <c r="CH277" t="s">
        <v>98</v>
      </c>
      <c r="CI277" t="s">
        <v>206</v>
      </c>
      <c r="CJ277" t="s">
        <v>98</v>
      </c>
      <c r="CK277" t="s">
        <v>12323</v>
      </c>
      <c r="CL277" t="s">
        <v>108</v>
      </c>
      <c r="CM277" t="s">
        <v>109</v>
      </c>
      <c r="CN277" t="str">
        <f>""</f>
        <v/>
      </c>
      <c r="CO277" t="str">
        <f>""</f>
        <v/>
      </c>
      <c r="CP277" t="str">
        <f>""</f>
        <v/>
      </c>
      <c r="CQ277" t="str">
        <f>""</f>
        <v/>
      </c>
    </row>
    <row r="278" spans="1:96" x14ac:dyDescent="0.2">
      <c r="A278" t="s">
        <v>11392</v>
      </c>
      <c r="B278" t="s">
        <v>96</v>
      </c>
      <c r="C278" s="1">
        <v>44098</v>
      </c>
      <c r="D278" s="1">
        <v>44105</v>
      </c>
      <c r="F278" t="s">
        <v>97</v>
      </c>
      <c r="G278" t="str">
        <f>"Support Engineer"</f>
        <v>Support Engineer</v>
      </c>
      <c r="H278" t="s">
        <v>12169</v>
      </c>
      <c r="I278" t="s">
        <v>124</v>
      </c>
      <c r="J278" t="s">
        <v>98</v>
      </c>
      <c r="K278" s="1">
        <v>44105</v>
      </c>
      <c r="L278" s="1">
        <v>45198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11393</v>
      </c>
      <c r="U278" t="str">
        <f>""</f>
        <v/>
      </c>
      <c r="V278" t="s">
        <v>11394</v>
      </c>
      <c r="W278" t="str">
        <f>"SUITE 2300"</f>
        <v>SUITE 2300</v>
      </c>
      <c r="X278" t="s">
        <v>1745</v>
      </c>
      <c r="Y278" t="s">
        <v>225</v>
      </c>
      <c r="Z278" s="3">
        <v>45202</v>
      </c>
      <c r="AA278" t="s">
        <v>101</v>
      </c>
      <c r="AB278" t="s">
        <v>5129</v>
      </c>
      <c r="AC278" s="4" t="str">
        <f>"+16308810924"</f>
        <v>+16308810924</v>
      </c>
      <c r="AE278" t="str">
        <f>"541511"</f>
        <v>541511</v>
      </c>
      <c r="AF278" t="s">
        <v>3154</v>
      </c>
      <c r="AG278" t="s">
        <v>5063</v>
      </c>
      <c r="AI278" t="s">
        <v>11395</v>
      </c>
      <c r="AJ278" t="s">
        <v>11394</v>
      </c>
      <c r="AK278" t="str">
        <f>"SUITE 2300"</f>
        <v>SUITE 2300</v>
      </c>
      <c r="AL278" t="s">
        <v>11396</v>
      </c>
      <c r="AM278" t="s">
        <v>225</v>
      </c>
      <c r="AN278" s="3">
        <v>45202</v>
      </c>
      <c r="AO278" t="s">
        <v>101</v>
      </c>
      <c r="AQ278" t="str">
        <f>"+16308810924"</f>
        <v>+16308810924</v>
      </c>
      <c r="AS278" t="s">
        <v>11397</v>
      </c>
      <c r="AT278" t="s">
        <v>102</v>
      </c>
      <c r="AU278" t="str">
        <f>""</f>
        <v/>
      </c>
      <c r="AV278" t="str">
        <f>""</f>
        <v/>
      </c>
      <c r="AW278" t="str">
        <f>""</f>
        <v/>
      </c>
      <c r="AX278" t="str">
        <f>""</f>
        <v/>
      </c>
      <c r="AY278" t="str">
        <f>""</f>
        <v/>
      </c>
      <c r="AZ278" t="str">
        <f>""</f>
        <v/>
      </c>
      <c r="BA278" t="str">
        <f>""</f>
        <v/>
      </c>
      <c r="BC278" t="str">
        <f>""</f>
        <v/>
      </c>
      <c r="BD278" t="str">
        <f>""</f>
        <v/>
      </c>
      <c r="BE278" t="str">
        <f>""</f>
        <v/>
      </c>
      <c r="BF278" t="str">
        <f>""</f>
        <v/>
      </c>
      <c r="BG278" t="str">
        <f>""</f>
        <v/>
      </c>
      <c r="BH278" t="str">
        <f>""</f>
        <v/>
      </c>
      <c r="BI278" t="str">
        <f>""</f>
        <v/>
      </c>
      <c r="BJ278" t="str">
        <f>""</f>
        <v/>
      </c>
      <c r="BK278">
        <v>1</v>
      </c>
      <c r="BL278" t="s">
        <v>107</v>
      </c>
      <c r="BM278" t="str">
        <f>"Manufacturers and Traders Trust Company"</f>
        <v>Manufacturers and Traders Trust Company</v>
      </c>
      <c r="BN278" t="s">
        <v>11398</v>
      </c>
      <c r="BO278" t="s">
        <v>10581</v>
      </c>
      <c r="BP278" t="s">
        <v>2415</v>
      </c>
      <c r="BQ278" t="s">
        <v>1054</v>
      </c>
      <c r="BR278" t="s">
        <v>190</v>
      </c>
      <c r="BS278" s="5">
        <v>14203</v>
      </c>
      <c r="BT278" s="2">
        <v>60382</v>
      </c>
      <c r="BU278" s="2">
        <v>80000</v>
      </c>
      <c r="BV278" t="s">
        <v>105</v>
      </c>
      <c r="BW278" s="2">
        <v>60382</v>
      </c>
      <c r="BX278" t="s">
        <v>105</v>
      </c>
      <c r="BZ278" t="s">
        <v>191</v>
      </c>
      <c r="CA278" t="str">
        <f t="shared" si="13"/>
        <v>7/1/2020 - 6/30/2021</v>
      </c>
      <c r="CF278">
        <v>1</v>
      </c>
      <c r="CG278" t="s">
        <v>98</v>
      </c>
      <c r="CH278" t="s">
        <v>98</v>
      </c>
      <c r="CI278" t="s">
        <v>206</v>
      </c>
      <c r="CJ278" t="s">
        <v>98</v>
      </c>
      <c r="CK278" t="s">
        <v>12323</v>
      </c>
      <c r="CL278" t="s">
        <v>108</v>
      </c>
      <c r="CM278" t="s">
        <v>109</v>
      </c>
      <c r="CN278" t="str">
        <f>""</f>
        <v/>
      </c>
      <c r="CO278" t="str">
        <f>""</f>
        <v/>
      </c>
      <c r="CP278" t="str">
        <f>""</f>
        <v/>
      </c>
      <c r="CQ278" t="str">
        <f>""</f>
        <v/>
      </c>
    </row>
    <row r="279" spans="1:96" x14ac:dyDescent="0.2">
      <c r="A279" t="s">
        <v>11401</v>
      </c>
      <c r="B279" t="s">
        <v>96</v>
      </c>
      <c r="C279" s="1">
        <v>44098</v>
      </c>
      <c r="D279" s="1">
        <v>44105</v>
      </c>
      <c r="F279" t="s">
        <v>97</v>
      </c>
      <c r="G279" t="str">
        <f>"Mainframes Developer"</f>
        <v>Mainframes Developer</v>
      </c>
      <c r="H279" t="s">
        <v>12169</v>
      </c>
      <c r="I279" t="s">
        <v>124</v>
      </c>
      <c r="J279" t="s">
        <v>98</v>
      </c>
      <c r="K279" s="1">
        <v>44140</v>
      </c>
      <c r="L279" s="1">
        <v>45068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7256</v>
      </c>
      <c r="U279" t="str">
        <f>""</f>
        <v/>
      </c>
      <c r="V279" t="s">
        <v>7257</v>
      </c>
      <c r="W279" t="str">
        <f>""</f>
        <v/>
      </c>
      <c r="X279" t="s">
        <v>1328</v>
      </c>
      <c r="Y279" t="s">
        <v>934</v>
      </c>
      <c r="Z279" s="3">
        <v>68137</v>
      </c>
      <c r="AA279" t="s">
        <v>101</v>
      </c>
      <c r="AC279" s="4" t="str">
        <f>"+14086377976"</f>
        <v>+14086377976</v>
      </c>
      <c r="AE279" t="str">
        <f>"541511"</f>
        <v>541511</v>
      </c>
      <c r="AF279" t="s">
        <v>208</v>
      </c>
      <c r="AG279" t="s">
        <v>7258</v>
      </c>
      <c r="AI279" t="s">
        <v>7259</v>
      </c>
      <c r="AJ279" t="s">
        <v>7257</v>
      </c>
      <c r="AK279" t="str">
        <f>""</f>
        <v/>
      </c>
      <c r="AL279" t="s">
        <v>1328</v>
      </c>
      <c r="AM279" t="s">
        <v>934</v>
      </c>
      <c r="AN279" s="3">
        <v>68137</v>
      </c>
      <c r="AO279" t="s">
        <v>101</v>
      </c>
      <c r="AQ279" t="str">
        <f>"+14086377976"</f>
        <v>+14086377976</v>
      </c>
      <c r="AS279" t="s">
        <v>7260</v>
      </c>
      <c r="AT279" t="s">
        <v>102</v>
      </c>
      <c r="AU279" t="str">
        <f>""</f>
        <v/>
      </c>
      <c r="AV279" t="str">
        <f>""</f>
        <v/>
      </c>
      <c r="AW279" t="str">
        <f>""</f>
        <v/>
      </c>
      <c r="AX279" t="str">
        <f>""</f>
        <v/>
      </c>
      <c r="AY279" t="str">
        <f>""</f>
        <v/>
      </c>
      <c r="AZ279" t="str">
        <f>""</f>
        <v/>
      </c>
      <c r="BA279" t="str">
        <f>""</f>
        <v/>
      </c>
      <c r="BC279" t="str">
        <f>""</f>
        <v/>
      </c>
      <c r="BD279" t="str">
        <f>""</f>
        <v/>
      </c>
      <c r="BE279" t="str">
        <f>""</f>
        <v/>
      </c>
      <c r="BF279" t="str">
        <f>""</f>
        <v/>
      </c>
      <c r="BG279" t="str">
        <f>""</f>
        <v/>
      </c>
      <c r="BH279" t="str">
        <f>""</f>
        <v/>
      </c>
      <c r="BI279" t="str">
        <f>""</f>
        <v/>
      </c>
      <c r="BJ279" t="str">
        <f>""</f>
        <v/>
      </c>
      <c r="BK279">
        <v>1</v>
      </c>
      <c r="BL279" t="s">
        <v>107</v>
      </c>
      <c r="BM279" t="str">
        <f>"STATE FARM"</f>
        <v>STATE FARM</v>
      </c>
      <c r="BN279" t="s">
        <v>6452</v>
      </c>
      <c r="BP279" t="s">
        <v>343</v>
      </c>
      <c r="BQ279" t="s">
        <v>344</v>
      </c>
      <c r="BR279" t="s">
        <v>345</v>
      </c>
      <c r="BS279" s="5">
        <v>61704</v>
      </c>
      <c r="BT279" s="2">
        <v>94300</v>
      </c>
      <c r="BU279" s="2">
        <v>98600</v>
      </c>
      <c r="BV279" t="s">
        <v>105</v>
      </c>
      <c r="BW279" s="2">
        <v>91790</v>
      </c>
      <c r="BX279" t="s">
        <v>105</v>
      </c>
      <c r="BZ279" t="s">
        <v>167</v>
      </c>
      <c r="CA279" t="str">
        <f t="shared" si="13"/>
        <v>7/1/2020 - 6/30/2021</v>
      </c>
      <c r="CF279">
        <v>1</v>
      </c>
      <c r="CG279" t="s">
        <v>98</v>
      </c>
      <c r="CH279" t="s">
        <v>98</v>
      </c>
      <c r="CI279" t="s">
        <v>206</v>
      </c>
      <c r="CJ279" t="s">
        <v>98</v>
      </c>
      <c r="CK279" t="s">
        <v>12323</v>
      </c>
      <c r="CL279" t="s">
        <v>108</v>
      </c>
      <c r="CM279" t="s">
        <v>353</v>
      </c>
      <c r="CN279" t="str">
        <f>"Patel"</f>
        <v>Patel</v>
      </c>
      <c r="CO279" t="str">
        <f>"Mahendra "</f>
        <v xml:space="preserve">Mahendra </v>
      </c>
      <c r="CP279" t="str">
        <f>""</f>
        <v/>
      </c>
      <c r="CQ279" t="str">
        <f>"TECHNOCRATIC INC "</f>
        <v xml:space="preserve">TECHNOCRATIC INC </v>
      </c>
      <c r="CR279" t="s">
        <v>7260</v>
      </c>
    </row>
    <row r="280" spans="1:96" x14ac:dyDescent="0.2">
      <c r="A280" t="s">
        <v>11402</v>
      </c>
      <c r="B280" t="s">
        <v>96</v>
      </c>
      <c r="C280" s="1">
        <v>44098</v>
      </c>
      <c r="D280" s="1">
        <v>44105</v>
      </c>
      <c r="F280" t="s">
        <v>97</v>
      </c>
      <c r="G280" t="str">
        <f>"Software Developer"</f>
        <v>Software Developer</v>
      </c>
      <c r="H280" t="s">
        <v>12169</v>
      </c>
      <c r="I280" t="s">
        <v>124</v>
      </c>
      <c r="J280" t="s">
        <v>98</v>
      </c>
      <c r="K280" s="1">
        <v>44099</v>
      </c>
      <c r="L280" s="1">
        <v>45193</v>
      </c>
      <c r="M280">
        <v>6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 t="s">
        <v>2509</v>
      </c>
      <c r="U280" t="str">
        <f>"Mastech Digital InfoTech, Inc."</f>
        <v>Mastech Digital InfoTech, Inc.</v>
      </c>
      <c r="V280" t="s">
        <v>1081</v>
      </c>
      <c r="W280" t="str">
        <f>"Bldg. 210, Suite 400"</f>
        <v>Bldg. 210, Suite 400</v>
      </c>
      <c r="X280" t="s">
        <v>1082</v>
      </c>
      <c r="Y280" t="s">
        <v>127</v>
      </c>
      <c r="Z280" s="3">
        <v>15108</v>
      </c>
      <c r="AA280" t="s">
        <v>101</v>
      </c>
      <c r="AB280" t="s">
        <v>2510</v>
      </c>
      <c r="AC280" s="4" t="str">
        <f>"+14127879553"</f>
        <v>+14127879553</v>
      </c>
      <c r="AE280" t="str">
        <f>"541511"</f>
        <v>541511</v>
      </c>
      <c r="AF280" t="s">
        <v>1083</v>
      </c>
      <c r="AG280" t="s">
        <v>1084</v>
      </c>
      <c r="AI280" t="s">
        <v>1085</v>
      </c>
      <c r="AJ280" t="s">
        <v>1081</v>
      </c>
      <c r="AK280" t="str">
        <f>"Bldg. 210, Ste 400"</f>
        <v>Bldg. 210, Ste 400</v>
      </c>
      <c r="AL280" t="s">
        <v>1082</v>
      </c>
      <c r="AM280" t="s">
        <v>127</v>
      </c>
      <c r="AN280" s="3">
        <v>15108</v>
      </c>
      <c r="AO280" t="s">
        <v>101</v>
      </c>
      <c r="AQ280" t="str">
        <f>"+14127879553"</f>
        <v>+14127879553</v>
      </c>
      <c r="AS280" t="s">
        <v>1086</v>
      </c>
      <c r="AT280" t="s">
        <v>102</v>
      </c>
      <c r="AU280" t="str">
        <f>""</f>
        <v/>
      </c>
      <c r="AV280" t="str">
        <f>""</f>
        <v/>
      </c>
      <c r="AW280" t="str">
        <f>""</f>
        <v/>
      </c>
      <c r="AX280" t="str">
        <f>""</f>
        <v/>
      </c>
      <c r="AY280" t="str">
        <f>""</f>
        <v/>
      </c>
      <c r="AZ280" t="str">
        <f>""</f>
        <v/>
      </c>
      <c r="BA280" t="str">
        <f>""</f>
        <v/>
      </c>
      <c r="BC280" t="str">
        <f>""</f>
        <v/>
      </c>
      <c r="BD280" t="str">
        <f>""</f>
        <v/>
      </c>
      <c r="BE280" t="str">
        <f>""</f>
        <v/>
      </c>
      <c r="BF280" t="str">
        <f>""</f>
        <v/>
      </c>
      <c r="BG280" t="str">
        <f>""</f>
        <v/>
      </c>
      <c r="BH280" t="str">
        <f>""</f>
        <v/>
      </c>
      <c r="BI280" t="str">
        <f>""</f>
        <v/>
      </c>
      <c r="BJ280" t="str">
        <f>""</f>
        <v/>
      </c>
      <c r="BK280">
        <v>6</v>
      </c>
      <c r="BL280" t="s">
        <v>107</v>
      </c>
      <c r="BM280" t="str">
        <f>"United Services Automobile Association (USAA)"</f>
        <v>United Services Automobile Association (USAA)</v>
      </c>
      <c r="BN280" t="s">
        <v>11403</v>
      </c>
      <c r="BO280" t="s">
        <v>11261</v>
      </c>
      <c r="BP280" t="s">
        <v>5039</v>
      </c>
      <c r="BQ280" t="s">
        <v>2224</v>
      </c>
      <c r="BR280" t="s">
        <v>171</v>
      </c>
      <c r="BS280" s="5">
        <v>2169</v>
      </c>
      <c r="BT280" s="2">
        <v>96242</v>
      </c>
      <c r="BU280" s="2">
        <v>111242</v>
      </c>
      <c r="BV280" t="s">
        <v>105</v>
      </c>
      <c r="BW280" s="2">
        <v>96242</v>
      </c>
      <c r="BX280" t="s">
        <v>105</v>
      </c>
      <c r="BZ280" t="s">
        <v>167</v>
      </c>
      <c r="CA280" t="str">
        <f t="shared" si="13"/>
        <v>7/1/2020 - 6/30/2021</v>
      </c>
      <c r="CF280">
        <v>2</v>
      </c>
      <c r="CG280" t="s">
        <v>98</v>
      </c>
      <c r="CH280" t="s">
        <v>98</v>
      </c>
      <c r="CI280" t="s">
        <v>206</v>
      </c>
      <c r="CJ280" t="s">
        <v>98</v>
      </c>
      <c r="CK280" t="s">
        <v>12323</v>
      </c>
      <c r="CL280" t="s">
        <v>108</v>
      </c>
      <c r="CM280" t="s">
        <v>109</v>
      </c>
      <c r="CN280" t="str">
        <f>""</f>
        <v/>
      </c>
      <c r="CO280" t="str">
        <f>""</f>
        <v/>
      </c>
      <c r="CP280" t="str">
        <f>""</f>
        <v/>
      </c>
      <c r="CQ280" t="str">
        <f>""</f>
        <v/>
      </c>
    </row>
    <row r="281" spans="1:96" x14ac:dyDescent="0.2">
      <c r="A281" t="s">
        <v>11416</v>
      </c>
      <c r="B281" t="s">
        <v>96</v>
      </c>
      <c r="C281" s="1">
        <v>44098</v>
      </c>
      <c r="D281" s="1">
        <v>44105</v>
      </c>
      <c r="F281" t="s">
        <v>97</v>
      </c>
      <c r="G281" t="str">
        <f>"Principal Consultant - US "</f>
        <v xml:space="preserve">Principal Consultant - US </v>
      </c>
      <c r="H281" t="s">
        <v>12214</v>
      </c>
      <c r="I281" t="s">
        <v>276</v>
      </c>
      <c r="J281" t="s">
        <v>98</v>
      </c>
      <c r="K281" s="1">
        <v>44108</v>
      </c>
      <c r="L281" s="1">
        <v>45200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 t="s">
        <v>723</v>
      </c>
      <c r="U281" t="str">
        <f>""</f>
        <v/>
      </c>
      <c r="V281" t="s">
        <v>724</v>
      </c>
      <c r="W281" t="str">
        <f>"STE C150"</f>
        <v>STE C150</v>
      </c>
      <c r="X281" t="s">
        <v>725</v>
      </c>
      <c r="Y281" t="s">
        <v>114</v>
      </c>
      <c r="Z281" s="3">
        <v>75082</v>
      </c>
      <c r="AA281" t="s">
        <v>101</v>
      </c>
      <c r="AC281" s="4" t="str">
        <f>"+12143062100"</f>
        <v>+12143062100</v>
      </c>
      <c r="AE281" t="str">
        <f>"541511"</f>
        <v>541511</v>
      </c>
      <c r="AF281" t="s">
        <v>726</v>
      </c>
      <c r="AG281" t="s">
        <v>727</v>
      </c>
      <c r="AI281" t="s">
        <v>728</v>
      </c>
      <c r="AJ281" t="s">
        <v>724</v>
      </c>
      <c r="AK281" t="str">
        <f>"STE C150"</f>
        <v>STE C150</v>
      </c>
      <c r="AL281" t="s">
        <v>725</v>
      </c>
      <c r="AM281" t="s">
        <v>114</v>
      </c>
      <c r="AN281" s="3">
        <v>75082</v>
      </c>
      <c r="AO281" t="s">
        <v>101</v>
      </c>
      <c r="AQ281" t="str">
        <f>"+12143062100"</f>
        <v>+12143062100</v>
      </c>
      <c r="AS281" t="s">
        <v>729</v>
      </c>
      <c r="AT281" t="s">
        <v>102</v>
      </c>
      <c r="AU281" t="str">
        <f>""</f>
        <v/>
      </c>
      <c r="AV281" t="str">
        <f>""</f>
        <v/>
      </c>
      <c r="AW281" t="str">
        <f>""</f>
        <v/>
      </c>
      <c r="AX281" t="str">
        <f>""</f>
        <v/>
      </c>
      <c r="AY281" t="str">
        <f>""</f>
        <v/>
      </c>
      <c r="AZ281" t="str">
        <f>""</f>
        <v/>
      </c>
      <c r="BA281" t="str">
        <f>""</f>
        <v/>
      </c>
      <c r="BC281" t="str">
        <f>""</f>
        <v/>
      </c>
      <c r="BD281" t="str">
        <f>""</f>
        <v/>
      </c>
      <c r="BE281" t="str">
        <f>""</f>
        <v/>
      </c>
      <c r="BF281" t="str">
        <f>""</f>
        <v/>
      </c>
      <c r="BG281" t="str">
        <f>""</f>
        <v/>
      </c>
      <c r="BH281" t="str">
        <f>""</f>
        <v/>
      </c>
      <c r="BI281" t="str">
        <f>""</f>
        <v/>
      </c>
      <c r="BJ281" t="str">
        <f>""</f>
        <v/>
      </c>
      <c r="BK281">
        <v>1</v>
      </c>
      <c r="BL281" t="s">
        <v>107</v>
      </c>
      <c r="BM281" t="str">
        <f>"Hallmark Cards, Inc"</f>
        <v>Hallmark Cards, Inc</v>
      </c>
      <c r="BN281" t="s">
        <v>11417</v>
      </c>
      <c r="BP281" t="s">
        <v>2588</v>
      </c>
      <c r="BQ281" t="s">
        <v>2941</v>
      </c>
      <c r="BR281" t="s">
        <v>374</v>
      </c>
      <c r="BS281" s="5">
        <v>64108</v>
      </c>
      <c r="BT281" s="2">
        <v>103542</v>
      </c>
      <c r="BV281" t="s">
        <v>105</v>
      </c>
      <c r="BW281" s="2">
        <v>103542</v>
      </c>
      <c r="BX281" t="s">
        <v>105</v>
      </c>
      <c r="BZ281" t="s">
        <v>159</v>
      </c>
      <c r="CA281" t="str">
        <f t="shared" si="13"/>
        <v>7/1/2020 - 6/30/2021</v>
      </c>
      <c r="CF281">
        <v>2</v>
      </c>
      <c r="CG281" t="s">
        <v>98</v>
      </c>
      <c r="CH281" t="s">
        <v>98</v>
      </c>
      <c r="CI281" t="s">
        <v>206</v>
      </c>
      <c r="CJ281" t="s">
        <v>98</v>
      </c>
      <c r="CK281" t="s">
        <v>12323</v>
      </c>
      <c r="CL281" t="s">
        <v>108</v>
      </c>
      <c r="CM281" t="s">
        <v>109</v>
      </c>
      <c r="CN281" t="str">
        <f>"JAYARAM"</f>
        <v>JAYARAM</v>
      </c>
      <c r="CO281" t="str">
        <f>"SUSHMA"</f>
        <v>SUSHMA</v>
      </c>
      <c r="CP281" t="str">
        <f>""</f>
        <v/>
      </c>
      <c r="CQ281" t="str">
        <f>"INFOSYS LIMITED"</f>
        <v>INFOSYS LIMITED</v>
      </c>
      <c r="CR281" t="s">
        <v>3699</v>
      </c>
    </row>
    <row r="282" spans="1:96" x14ac:dyDescent="0.2">
      <c r="A282" t="s">
        <v>11442</v>
      </c>
      <c r="B282" t="s">
        <v>96</v>
      </c>
      <c r="C282" s="1">
        <v>44098</v>
      </c>
      <c r="D282" s="1">
        <v>44105</v>
      </c>
      <c r="F282" t="s">
        <v>97</v>
      </c>
      <c r="G282" t="str">
        <f>"Senior Manager JC45"</f>
        <v>Senior Manager JC45</v>
      </c>
      <c r="H282" t="s">
        <v>12181</v>
      </c>
      <c r="I282" t="s">
        <v>110</v>
      </c>
      <c r="J282" t="s">
        <v>98</v>
      </c>
      <c r="K282" s="1">
        <v>44106</v>
      </c>
      <c r="L282" s="1">
        <v>45200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 t="s">
        <v>111</v>
      </c>
      <c r="U282" t="str">
        <f>"CTSUS"</f>
        <v>CTSUS</v>
      </c>
      <c r="V282" t="s">
        <v>112</v>
      </c>
      <c r="W282" t="str">
        <f>""</f>
        <v/>
      </c>
      <c r="X282" t="s">
        <v>113</v>
      </c>
      <c r="Y282" t="s">
        <v>114</v>
      </c>
      <c r="Z282" s="3">
        <v>77845</v>
      </c>
      <c r="AA282" t="s">
        <v>101</v>
      </c>
      <c r="AB282" t="s">
        <v>114</v>
      </c>
      <c r="AC282" s="4" t="str">
        <f>"+19793296682"</f>
        <v>+19793296682</v>
      </c>
      <c r="AE282" t="str">
        <f>"541512"</f>
        <v>541512</v>
      </c>
      <c r="AF282" t="s">
        <v>115</v>
      </c>
      <c r="AG282" t="s">
        <v>116</v>
      </c>
      <c r="AH282" t="s">
        <v>108</v>
      </c>
      <c r="AI282" t="s">
        <v>117</v>
      </c>
      <c r="AJ282" t="s">
        <v>118</v>
      </c>
      <c r="AK282" t="str">
        <f>""</f>
        <v/>
      </c>
      <c r="AL282" t="s">
        <v>119</v>
      </c>
      <c r="AM282" t="s">
        <v>114</v>
      </c>
      <c r="AN282" s="3">
        <v>77845</v>
      </c>
      <c r="AO282" t="s">
        <v>101</v>
      </c>
      <c r="AQ282" t="str">
        <f>"+19793296682"</f>
        <v>+19793296682</v>
      </c>
      <c r="AS282" t="s">
        <v>120</v>
      </c>
      <c r="AT282" t="s">
        <v>102</v>
      </c>
      <c r="AU282" t="str">
        <f>""</f>
        <v/>
      </c>
      <c r="AV282" t="str">
        <f>""</f>
        <v/>
      </c>
      <c r="AW282" t="str">
        <f>""</f>
        <v/>
      </c>
      <c r="AX282" t="str">
        <f>""</f>
        <v/>
      </c>
      <c r="AY282" t="str">
        <f>""</f>
        <v/>
      </c>
      <c r="AZ282" t="str">
        <f>""</f>
        <v/>
      </c>
      <c r="BA282" t="str">
        <f>""</f>
        <v/>
      </c>
      <c r="BC282" t="str">
        <f>""</f>
        <v/>
      </c>
      <c r="BD282" t="str">
        <f>""</f>
        <v/>
      </c>
      <c r="BE282" t="str">
        <f>""</f>
        <v/>
      </c>
      <c r="BF282" t="str">
        <f>""</f>
        <v/>
      </c>
      <c r="BG282" t="str">
        <f>""</f>
        <v/>
      </c>
      <c r="BH282" t="str">
        <f>""</f>
        <v/>
      </c>
      <c r="BI282" t="str">
        <f>""</f>
        <v/>
      </c>
      <c r="BJ282" t="str">
        <f>""</f>
        <v/>
      </c>
      <c r="BK282">
        <v>1</v>
      </c>
      <c r="BL282" t="s">
        <v>107</v>
      </c>
      <c r="BM282" t="str">
        <f>"Newell Brands Inc"</f>
        <v>Newell Brands Inc</v>
      </c>
      <c r="BN282" t="s">
        <v>11443</v>
      </c>
      <c r="BP282" t="s">
        <v>9999</v>
      </c>
      <c r="BQ282" t="s">
        <v>10000</v>
      </c>
      <c r="BR282" t="s">
        <v>171</v>
      </c>
      <c r="BS282" s="5">
        <v>1373</v>
      </c>
      <c r="BT282" s="2">
        <v>115398</v>
      </c>
      <c r="BV282" t="s">
        <v>105</v>
      </c>
      <c r="BW282" s="2">
        <v>115398</v>
      </c>
      <c r="BX282" t="s">
        <v>105</v>
      </c>
      <c r="BZ282" t="s">
        <v>159</v>
      </c>
      <c r="CA282" t="str">
        <f t="shared" si="13"/>
        <v>7/1/2020 - 6/30/2021</v>
      </c>
      <c r="CF282">
        <v>1</v>
      </c>
      <c r="CG282" t="s">
        <v>98</v>
      </c>
      <c r="CH282" t="s">
        <v>98</v>
      </c>
      <c r="CI282" t="s">
        <v>206</v>
      </c>
      <c r="CJ282" t="s">
        <v>98</v>
      </c>
      <c r="CK282" t="s">
        <v>12323</v>
      </c>
      <c r="CL282" t="s">
        <v>108</v>
      </c>
      <c r="CM282" t="s">
        <v>109</v>
      </c>
      <c r="CN282" t="str">
        <f>""</f>
        <v/>
      </c>
      <c r="CO282" t="str">
        <f>""</f>
        <v/>
      </c>
      <c r="CP282" t="str">
        <f>""</f>
        <v/>
      </c>
      <c r="CQ282" t="str">
        <f>""</f>
        <v/>
      </c>
    </row>
    <row r="283" spans="1:96" x14ac:dyDescent="0.2">
      <c r="A283" t="s">
        <v>11448</v>
      </c>
      <c r="B283" t="s">
        <v>96</v>
      </c>
      <c r="C283" s="1">
        <v>44098</v>
      </c>
      <c r="D283" s="1">
        <v>44105</v>
      </c>
      <c r="F283" t="s">
        <v>97</v>
      </c>
      <c r="G283" t="str">
        <f>"Data Warehouse Specialist "</f>
        <v xml:space="preserve">Data Warehouse Specialist </v>
      </c>
      <c r="H283" t="s">
        <v>12168</v>
      </c>
      <c r="I283" t="s">
        <v>1844</v>
      </c>
      <c r="J283" t="s">
        <v>98</v>
      </c>
      <c r="K283" s="1">
        <v>44098</v>
      </c>
      <c r="L283" s="1">
        <v>44758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 t="s">
        <v>864</v>
      </c>
      <c r="U283" t="str">
        <f>""</f>
        <v/>
      </c>
      <c r="V283" t="s">
        <v>865</v>
      </c>
      <c r="W283" t="str">
        <f>"SUITE 320"</f>
        <v>SUITE 320</v>
      </c>
      <c r="X283" t="s">
        <v>866</v>
      </c>
      <c r="Y283" t="s">
        <v>195</v>
      </c>
      <c r="Z283" s="3">
        <v>20850</v>
      </c>
      <c r="AA283" t="s">
        <v>101</v>
      </c>
      <c r="AC283" s="4" t="str">
        <f>"+13012319083"</f>
        <v>+13012319083</v>
      </c>
      <c r="AE283" t="str">
        <f>"541511"</f>
        <v>541511</v>
      </c>
      <c r="AF283" t="s">
        <v>867</v>
      </c>
      <c r="AG283" t="s">
        <v>868</v>
      </c>
      <c r="AI283" t="s">
        <v>869</v>
      </c>
      <c r="AJ283" t="s">
        <v>865</v>
      </c>
      <c r="AK283" t="str">
        <f>"SUITE 320"</f>
        <v>SUITE 320</v>
      </c>
      <c r="AL283" t="s">
        <v>866</v>
      </c>
      <c r="AM283" t="s">
        <v>195</v>
      </c>
      <c r="AN283" s="3">
        <v>20850</v>
      </c>
      <c r="AO283" t="s">
        <v>101</v>
      </c>
      <c r="AQ283" t="str">
        <f>"+13012319083"</f>
        <v>+13012319083</v>
      </c>
      <c r="AS283" t="s">
        <v>870</v>
      </c>
      <c r="AT283" t="s">
        <v>107</v>
      </c>
      <c r="AU283" t="str">
        <f>"CHOWDHURY"</f>
        <v>CHOWDHURY</v>
      </c>
      <c r="AV283" t="str">
        <f>"ANINDITA"</f>
        <v>ANINDITA</v>
      </c>
      <c r="AW283" t="str">
        <f>"A"</f>
        <v>A</v>
      </c>
      <c r="AX283" t="str">
        <f>"6720-B Rockledge Drive"</f>
        <v>6720-B Rockledge Drive</v>
      </c>
      <c r="AY283" t="str">
        <f>"Suite 430"</f>
        <v>Suite 430</v>
      </c>
      <c r="AZ283" t="str">
        <f>"Bethesda"</f>
        <v>Bethesda</v>
      </c>
      <c r="BA283" t="str">
        <f>"MD"</f>
        <v>MD</v>
      </c>
      <c r="BB283" s="3">
        <v>20817</v>
      </c>
      <c r="BC283" t="str">
        <f>"UNITED STATES OF AMERICA"</f>
        <v>UNITED STATES OF AMERICA</v>
      </c>
      <c r="BD283" t="str">
        <f>""</f>
        <v/>
      </c>
      <c r="BE283" t="str">
        <f>"+12026184540"</f>
        <v>+12026184540</v>
      </c>
      <c r="BF283" t="str">
        <f>""</f>
        <v/>
      </c>
      <c r="BG283" t="str">
        <f>"ANINDITA@USILAW.COM"</f>
        <v>ANINDITA@USILAW.COM</v>
      </c>
      <c r="BH283" t="str">
        <f>"USILAW, INC"</f>
        <v>USILAW, INC</v>
      </c>
      <c r="BI283" t="str">
        <f>"DC"</f>
        <v>DC</v>
      </c>
      <c r="BJ283" t="str">
        <f>"COURT OF APPEALS"</f>
        <v>COURT OF APPEALS</v>
      </c>
      <c r="BK283">
        <v>1</v>
      </c>
      <c r="BL283" t="s">
        <v>102</v>
      </c>
      <c r="BM283" t="str">
        <f>""</f>
        <v/>
      </c>
      <c r="BN283" t="s">
        <v>11449</v>
      </c>
      <c r="BO283" t="s">
        <v>11450</v>
      </c>
      <c r="BP283" t="s">
        <v>1985</v>
      </c>
      <c r="BQ283" t="s">
        <v>788</v>
      </c>
      <c r="BR283" t="s">
        <v>345</v>
      </c>
      <c r="BS283" s="5">
        <v>60173</v>
      </c>
      <c r="BT283" s="2">
        <v>75754</v>
      </c>
      <c r="BU283" s="2">
        <v>100200</v>
      </c>
      <c r="BV283" t="s">
        <v>105</v>
      </c>
      <c r="BW283" s="2">
        <v>75754</v>
      </c>
      <c r="BX283" t="s">
        <v>105</v>
      </c>
      <c r="BZ283" t="s">
        <v>167</v>
      </c>
      <c r="CA283" t="str">
        <f t="shared" si="13"/>
        <v>7/1/2020 - 6/30/2021</v>
      </c>
      <c r="CF283">
        <v>1</v>
      </c>
      <c r="CG283" t="s">
        <v>98</v>
      </c>
      <c r="CH283" t="s">
        <v>98</v>
      </c>
      <c r="CI283" t="s">
        <v>206</v>
      </c>
      <c r="CJ283" t="s">
        <v>98</v>
      </c>
      <c r="CK283" t="s">
        <v>12323</v>
      </c>
      <c r="CL283" t="s">
        <v>108</v>
      </c>
      <c r="CM283" t="s">
        <v>109</v>
      </c>
      <c r="CN283" t="str">
        <f>""</f>
        <v/>
      </c>
      <c r="CO283" t="str">
        <f>""</f>
        <v/>
      </c>
      <c r="CP283" t="str">
        <f>""</f>
        <v/>
      </c>
      <c r="CQ283" t="str">
        <f>""</f>
        <v/>
      </c>
    </row>
    <row r="284" spans="1:96" x14ac:dyDescent="0.2">
      <c r="A284" t="s">
        <v>11452</v>
      </c>
      <c r="B284" t="s">
        <v>96</v>
      </c>
      <c r="C284" s="1">
        <v>44098</v>
      </c>
      <c r="D284" s="1">
        <v>44105</v>
      </c>
      <c r="F284" t="s">
        <v>97</v>
      </c>
      <c r="G284" t="str">
        <f>"Technical Operations Manger"</f>
        <v>Technical Operations Manger</v>
      </c>
      <c r="H284" t="s">
        <v>12168</v>
      </c>
      <c r="I284" t="s">
        <v>367</v>
      </c>
      <c r="J284" t="s">
        <v>98</v>
      </c>
      <c r="K284" s="1">
        <v>44278</v>
      </c>
      <c r="L284" s="1">
        <v>45372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 t="s">
        <v>845</v>
      </c>
      <c r="U284" t="str">
        <f>""</f>
        <v/>
      </c>
      <c r="V284" t="s">
        <v>6635</v>
      </c>
      <c r="W284" t="str">
        <f>"SUITE 202"</f>
        <v>SUITE 202</v>
      </c>
      <c r="X284" t="s">
        <v>1766</v>
      </c>
      <c r="Y284" t="s">
        <v>215</v>
      </c>
      <c r="Z284" s="3">
        <v>30005</v>
      </c>
      <c r="AA284" t="s">
        <v>101</v>
      </c>
      <c r="AC284" s="4" t="str">
        <f>"+16783356423"</f>
        <v>+16783356423</v>
      </c>
      <c r="AE284" t="str">
        <f>"541511"</f>
        <v>541511</v>
      </c>
      <c r="AF284" t="s">
        <v>6636</v>
      </c>
      <c r="AG284" t="s">
        <v>6637</v>
      </c>
      <c r="AI284" t="s">
        <v>425</v>
      </c>
      <c r="AJ284" t="s">
        <v>6635</v>
      </c>
      <c r="AK284" t="str">
        <f>"SUITE 202"</f>
        <v>SUITE 202</v>
      </c>
      <c r="AL284" t="s">
        <v>1766</v>
      </c>
      <c r="AM284" t="s">
        <v>215</v>
      </c>
      <c r="AN284" s="3">
        <v>30005</v>
      </c>
      <c r="AO284" t="s">
        <v>101</v>
      </c>
      <c r="AQ284" t="str">
        <f>"+16783356423"</f>
        <v>+16783356423</v>
      </c>
      <c r="AS284" t="s">
        <v>6638</v>
      </c>
      <c r="AT284" t="s">
        <v>102</v>
      </c>
      <c r="AU284" t="str">
        <f>""</f>
        <v/>
      </c>
      <c r="AV284" t="str">
        <f>""</f>
        <v/>
      </c>
      <c r="AW284" t="str">
        <f>""</f>
        <v/>
      </c>
      <c r="AX284" t="str">
        <f>""</f>
        <v/>
      </c>
      <c r="AY284" t="str">
        <f>""</f>
        <v/>
      </c>
      <c r="AZ284" t="str">
        <f>""</f>
        <v/>
      </c>
      <c r="BA284" t="str">
        <f>""</f>
        <v/>
      </c>
      <c r="BC284" t="str">
        <f>""</f>
        <v/>
      </c>
      <c r="BD284" t="str">
        <f>""</f>
        <v/>
      </c>
      <c r="BE284" t="str">
        <f>""</f>
        <v/>
      </c>
      <c r="BF284" t="str">
        <f>""</f>
        <v/>
      </c>
      <c r="BG284" t="str">
        <f>""</f>
        <v/>
      </c>
      <c r="BH284" t="str">
        <f>""</f>
        <v/>
      </c>
      <c r="BI284" t="str">
        <f>""</f>
        <v/>
      </c>
      <c r="BJ284" t="str">
        <f>""</f>
        <v/>
      </c>
      <c r="BK284">
        <v>1</v>
      </c>
      <c r="BL284" t="s">
        <v>102</v>
      </c>
      <c r="BM284" t="str">
        <f>""</f>
        <v/>
      </c>
      <c r="BN284" t="s">
        <v>11453</v>
      </c>
      <c r="BO284" t="s">
        <v>851</v>
      </c>
      <c r="BP284" t="s">
        <v>847</v>
      </c>
      <c r="BQ284" t="s">
        <v>852</v>
      </c>
      <c r="BR284" t="s">
        <v>215</v>
      </c>
      <c r="BS284" s="5">
        <v>30005</v>
      </c>
      <c r="BT284" s="2">
        <v>114899</v>
      </c>
      <c r="BV284" t="s">
        <v>105</v>
      </c>
      <c r="BW284" s="2">
        <v>114899</v>
      </c>
      <c r="BX284" t="s">
        <v>105</v>
      </c>
      <c r="BZ284" t="s">
        <v>159</v>
      </c>
      <c r="CA284" t="str">
        <f t="shared" si="13"/>
        <v>7/1/2020 - 6/30/2021</v>
      </c>
      <c r="CF284">
        <v>1</v>
      </c>
      <c r="CG284" t="s">
        <v>98</v>
      </c>
      <c r="CH284" t="s">
        <v>98</v>
      </c>
      <c r="CI284" t="s">
        <v>206</v>
      </c>
      <c r="CJ284" t="s">
        <v>98</v>
      </c>
      <c r="CK284" t="s">
        <v>12323</v>
      </c>
      <c r="CL284" t="s">
        <v>108</v>
      </c>
      <c r="CM284" t="s">
        <v>109</v>
      </c>
      <c r="CN284" t="str">
        <f>""</f>
        <v/>
      </c>
      <c r="CO284" t="str">
        <f>""</f>
        <v/>
      </c>
      <c r="CP284" t="str">
        <f>""</f>
        <v/>
      </c>
      <c r="CQ284" t="str">
        <f>""</f>
        <v/>
      </c>
    </row>
    <row r="285" spans="1:96" x14ac:dyDescent="0.2">
      <c r="A285" t="s">
        <v>11460</v>
      </c>
      <c r="B285" t="s">
        <v>96</v>
      </c>
      <c r="C285" s="1">
        <v>44098</v>
      </c>
      <c r="D285" s="1">
        <v>44105</v>
      </c>
      <c r="F285" t="s">
        <v>97</v>
      </c>
      <c r="G285" t="str">
        <f>"Applications Consultant 3"</f>
        <v>Applications Consultant 3</v>
      </c>
      <c r="H285" t="s">
        <v>12169</v>
      </c>
      <c r="I285" t="s">
        <v>124</v>
      </c>
      <c r="J285" t="s">
        <v>98</v>
      </c>
      <c r="K285" s="1">
        <v>44098</v>
      </c>
      <c r="L285" s="1">
        <v>45116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 t="s">
        <v>1421</v>
      </c>
      <c r="U285" t="str">
        <f>""</f>
        <v/>
      </c>
      <c r="V285" t="s">
        <v>1422</v>
      </c>
      <c r="W285" t="str">
        <f>"SUITE 300"</f>
        <v>SUITE 300</v>
      </c>
      <c r="X285" t="s">
        <v>843</v>
      </c>
      <c r="Y285" t="s">
        <v>345</v>
      </c>
      <c r="Z285" s="3">
        <v>60606</v>
      </c>
      <c r="AA285" t="s">
        <v>101</v>
      </c>
      <c r="AC285" s="4" t="str">
        <f>"+13123955000"</f>
        <v>+13123955000</v>
      </c>
      <c r="AE285" t="str">
        <f>"5416"</f>
        <v>5416</v>
      </c>
      <c r="AF285" t="s">
        <v>1423</v>
      </c>
      <c r="AG285" t="s">
        <v>1424</v>
      </c>
      <c r="AI285" t="s">
        <v>1425</v>
      </c>
      <c r="AJ285" t="s">
        <v>1422</v>
      </c>
      <c r="AK285" t="str">
        <f>"SUITE 300"</f>
        <v>SUITE 300</v>
      </c>
      <c r="AL285" t="s">
        <v>843</v>
      </c>
      <c r="AM285" t="s">
        <v>345</v>
      </c>
      <c r="AN285" s="3">
        <v>60606</v>
      </c>
      <c r="AO285" t="s">
        <v>101</v>
      </c>
      <c r="AQ285" t="str">
        <f>"+13123958209"</f>
        <v>+13123958209</v>
      </c>
      <c r="AS285" t="s">
        <v>1426</v>
      </c>
      <c r="AT285" t="s">
        <v>102</v>
      </c>
      <c r="AU285" t="str">
        <f>""</f>
        <v/>
      </c>
      <c r="AV285" t="str">
        <f>""</f>
        <v/>
      </c>
      <c r="AW285" t="str">
        <f>""</f>
        <v/>
      </c>
      <c r="AX285" t="str">
        <f>""</f>
        <v/>
      </c>
      <c r="AY285" t="str">
        <f>""</f>
        <v/>
      </c>
      <c r="AZ285" t="str">
        <f>""</f>
        <v/>
      </c>
      <c r="BA285" t="str">
        <f>""</f>
        <v/>
      </c>
      <c r="BC285" t="str">
        <f>""</f>
        <v/>
      </c>
      <c r="BD285" t="str">
        <f>""</f>
        <v/>
      </c>
      <c r="BE285" t="str">
        <f>""</f>
        <v/>
      </c>
      <c r="BF285" t="str">
        <f>""</f>
        <v/>
      </c>
      <c r="BG285" t="str">
        <f>""</f>
        <v/>
      </c>
      <c r="BH285" t="str">
        <f>""</f>
        <v/>
      </c>
      <c r="BI285" t="str">
        <f>""</f>
        <v/>
      </c>
      <c r="BJ285" t="str">
        <f>""</f>
        <v/>
      </c>
      <c r="BK285">
        <v>1</v>
      </c>
      <c r="BL285" t="s">
        <v>102</v>
      </c>
      <c r="BM285" t="str">
        <f>""</f>
        <v/>
      </c>
      <c r="BN285" t="s">
        <v>11461</v>
      </c>
      <c r="BP285" t="s">
        <v>2400</v>
      </c>
      <c r="BQ285" t="s">
        <v>556</v>
      </c>
      <c r="BR285" t="s">
        <v>114</v>
      </c>
      <c r="BS285" s="5">
        <v>75034</v>
      </c>
      <c r="BT285" s="2">
        <v>110344</v>
      </c>
      <c r="BU285" s="2">
        <v>111010</v>
      </c>
      <c r="BV285" t="s">
        <v>105</v>
      </c>
      <c r="BW285" s="2">
        <v>110344</v>
      </c>
      <c r="BX285" t="s">
        <v>105</v>
      </c>
      <c r="BZ285" t="s">
        <v>123</v>
      </c>
      <c r="CA285" t="str">
        <f t="shared" si="13"/>
        <v>7/1/2020 - 6/30/2021</v>
      </c>
      <c r="CF285">
        <v>1</v>
      </c>
      <c r="CG285" t="s">
        <v>98</v>
      </c>
      <c r="CH285" t="s">
        <v>98</v>
      </c>
      <c r="CI285" t="s">
        <v>206</v>
      </c>
      <c r="CJ285" t="s">
        <v>98</v>
      </c>
      <c r="CK285" t="s">
        <v>12323</v>
      </c>
      <c r="CL285" t="s">
        <v>108</v>
      </c>
      <c r="CM285" t="s">
        <v>109</v>
      </c>
      <c r="CN285" t="str">
        <f>""</f>
        <v/>
      </c>
      <c r="CO285" t="str">
        <f>""</f>
        <v/>
      </c>
      <c r="CP285" t="str">
        <f>""</f>
        <v/>
      </c>
      <c r="CQ285" t="str">
        <f>""</f>
        <v/>
      </c>
    </row>
    <row r="286" spans="1:96" x14ac:dyDescent="0.2">
      <c r="A286" t="s">
        <v>11473</v>
      </c>
      <c r="B286" t="s">
        <v>96</v>
      </c>
      <c r="C286" s="1">
        <v>44098</v>
      </c>
      <c r="D286" s="1">
        <v>44105</v>
      </c>
      <c r="F286" t="s">
        <v>97</v>
      </c>
      <c r="G286" t="str">
        <f>"Software Engineer"</f>
        <v>Software Engineer</v>
      </c>
      <c r="H286" t="s">
        <v>12169</v>
      </c>
      <c r="I286" t="s">
        <v>124</v>
      </c>
      <c r="J286" t="s">
        <v>98</v>
      </c>
      <c r="K286" s="1">
        <v>44136</v>
      </c>
      <c r="L286" s="1">
        <v>45230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643</v>
      </c>
      <c r="U286" t="str">
        <f>""</f>
        <v/>
      </c>
      <c r="V286" t="s">
        <v>644</v>
      </c>
      <c r="W286" t="str">
        <f>"Suite 210"</f>
        <v>Suite 210</v>
      </c>
      <c r="X286" t="s">
        <v>421</v>
      </c>
      <c r="Y286" t="s">
        <v>345</v>
      </c>
      <c r="Z286" s="3">
        <v>62704</v>
      </c>
      <c r="AA286" t="s">
        <v>101</v>
      </c>
      <c r="AC286" s="4" t="str">
        <f>"+12177267250"</f>
        <v>+12177267250</v>
      </c>
      <c r="AE286" t="str">
        <f>"541511"</f>
        <v>541511</v>
      </c>
      <c r="AF286" t="s">
        <v>5185</v>
      </c>
      <c r="AG286" t="s">
        <v>645</v>
      </c>
      <c r="AI286" t="s">
        <v>646</v>
      </c>
      <c r="AJ286" t="s">
        <v>644</v>
      </c>
      <c r="AK286" t="str">
        <f>"Suite 210"</f>
        <v>Suite 210</v>
      </c>
      <c r="AL286" t="s">
        <v>421</v>
      </c>
      <c r="AM286" t="s">
        <v>345</v>
      </c>
      <c r="AN286" s="3">
        <v>62704</v>
      </c>
      <c r="AO286" t="s">
        <v>101</v>
      </c>
      <c r="AQ286" t="str">
        <f>"+12177267250"</f>
        <v>+12177267250</v>
      </c>
      <c r="AS286" t="s">
        <v>647</v>
      </c>
      <c r="AT286" t="s">
        <v>102</v>
      </c>
      <c r="AU286" t="str">
        <f>""</f>
        <v/>
      </c>
      <c r="AV286" t="str">
        <f>""</f>
        <v/>
      </c>
      <c r="AW286" t="str">
        <f>""</f>
        <v/>
      </c>
      <c r="AX286" t="str">
        <f>""</f>
        <v/>
      </c>
      <c r="AY286" t="str">
        <f>""</f>
        <v/>
      </c>
      <c r="AZ286" t="str">
        <f>""</f>
        <v/>
      </c>
      <c r="BA286" t="str">
        <f>""</f>
        <v/>
      </c>
      <c r="BC286" t="str">
        <f>""</f>
        <v/>
      </c>
      <c r="BD286" t="str">
        <f>""</f>
        <v/>
      </c>
      <c r="BE286" t="str">
        <f>""</f>
        <v/>
      </c>
      <c r="BF286" t="str">
        <f>""</f>
        <v/>
      </c>
      <c r="BG286" t="str">
        <f>""</f>
        <v/>
      </c>
      <c r="BH286" t="str">
        <f>""</f>
        <v/>
      </c>
      <c r="BI286" t="str">
        <f>""</f>
        <v/>
      </c>
      <c r="BJ286" t="str">
        <f>""</f>
        <v/>
      </c>
      <c r="BK286">
        <v>1</v>
      </c>
      <c r="BL286" t="s">
        <v>107</v>
      </c>
      <c r="BM286" t="str">
        <f>"Austin Community College"</f>
        <v>Austin Community College</v>
      </c>
      <c r="BN286" t="s">
        <v>10995</v>
      </c>
      <c r="BP286" t="s">
        <v>765</v>
      </c>
      <c r="BQ286" t="s">
        <v>721</v>
      </c>
      <c r="BR286" t="s">
        <v>114</v>
      </c>
      <c r="BS286" s="5">
        <v>78754</v>
      </c>
      <c r="BT286" s="2">
        <v>87589</v>
      </c>
      <c r="BU286" s="2">
        <v>88000</v>
      </c>
      <c r="BV286" t="s">
        <v>105</v>
      </c>
      <c r="BW286" s="2">
        <v>87589</v>
      </c>
      <c r="BX286" t="s">
        <v>105</v>
      </c>
      <c r="BZ286" t="s">
        <v>167</v>
      </c>
      <c r="CA286" t="str">
        <f t="shared" si="13"/>
        <v>7/1/2020 - 6/30/2021</v>
      </c>
      <c r="CF286">
        <v>1</v>
      </c>
      <c r="CG286" t="s">
        <v>98</v>
      </c>
      <c r="CH286" t="s">
        <v>98</v>
      </c>
      <c r="CI286" t="s">
        <v>206</v>
      </c>
      <c r="CJ286" t="s">
        <v>98</v>
      </c>
      <c r="CK286" t="s">
        <v>12323</v>
      </c>
      <c r="CL286" t="s">
        <v>108</v>
      </c>
      <c r="CM286" t="s">
        <v>109</v>
      </c>
      <c r="CN286" t="str">
        <f>"N/A"</f>
        <v>N/A</v>
      </c>
      <c r="CO286" t="str">
        <f>"N/A"</f>
        <v>N/A</v>
      </c>
      <c r="CP286" t="str">
        <f>"N/A"</f>
        <v>N/A</v>
      </c>
      <c r="CQ286" t="str">
        <f>"Lead IT Corportaion"</f>
        <v>Lead IT Corportaion</v>
      </c>
      <c r="CR286" t="s">
        <v>647</v>
      </c>
    </row>
    <row r="287" spans="1:96" x14ac:dyDescent="0.2">
      <c r="A287" t="s">
        <v>11474</v>
      </c>
      <c r="B287" t="s">
        <v>96</v>
      </c>
      <c r="C287" s="1">
        <v>44098</v>
      </c>
      <c r="D287" s="1">
        <v>44105</v>
      </c>
      <c r="F287" t="s">
        <v>97</v>
      </c>
      <c r="G287" t="str">
        <f>".Net Developer"</f>
        <v>.Net Developer</v>
      </c>
      <c r="H287" t="s">
        <v>12169</v>
      </c>
      <c r="I287" t="s">
        <v>124</v>
      </c>
      <c r="J287" t="s">
        <v>98</v>
      </c>
      <c r="K287" s="1">
        <v>44160</v>
      </c>
      <c r="L287" s="1">
        <v>45076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7256</v>
      </c>
      <c r="U287" t="str">
        <f>""</f>
        <v/>
      </c>
      <c r="V287" t="s">
        <v>7257</v>
      </c>
      <c r="W287" t="str">
        <f>""</f>
        <v/>
      </c>
      <c r="X287" t="s">
        <v>1328</v>
      </c>
      <c r="Y287" t="s">
        <v>934</v>
      </c>
      <c r="Z287" s="3">
        <v>68137</v>
      </c>
      <c r="AA287" t="s">
        <v>101</v>
      </c>
      <c r="AC287" s="4" t="str">
        <f>"+14086377976"</f>
        <v>+14086377976</v>
      </c>
      <c r="AE287" t="str">
        <f>"541511"</f>
        <v>541511</v>
      </c>
      <c r="AF287" t="s">
        <v>208</v>
      </c>
      <c r="AG287" t="s">
        <v>7258</v>
      </c>
      <c r="AI287" t="s">
        <v>7259</v>
      </c>
      <c r="AJ287" t="s">
        <v>7257</v>
      </c>
      <c r="AK287" t="str">
        <f>""</f>
        <v/>
      </c>
      <c r="AL287" t="s">
        <v>1328</v>
      </c>
      <c r="AM287" t="s">
        <v>934</v>
      </c>
      <c r="AN287" s="3">
        <v>68137</v>
      </c>
      <c r="AO287" t="s">
        <v>101</v>
      </c>
      <c r="AQ287" t="str">
        <f>"+14086377976"</f>
        <v>+14086377976</v>
      </c>
      <c r="AS287" t="s">
        <v>7260</v>
      </c>
      <c r="AT287" t="s">
        <v>102</v>
      </c>
      <c r="AU287" t="str">
        <f>""</f>
        <v/>
      </c>
      <c r="AV287" t="str">
        <f>""</f>
        <v/>
      </c>
      <c r="AW287" t="str">
        <f>""</f>
        <v/>
      </c>
      <c r="AX287" t="str">
        <f>""</f>
        <v/>
      </c>
      <c r="AY287" t="str">
        <f>""</f>
        <v/>
      </c>
      <c r="AZ287" t="str">
        <f>""</f>
        <v/>
      </c>
      <c r="BA287" t="str">
        <f>""</f>
        <v/>
      </c>
      <c r="BC287" t="str">
        <f>""</f>
        <v/>
      </c>
      <c r="BD287" t="str">
        <f>""</f>
        <v/>
      </c>
      <c r="BE287" t="str">
        <f>""</f>
        <v/>
      </c>
      <c r="BF287" t="str">
        <f>""</f>
        <v/>
      </c>
      <c r="BG287" t="str">
        <f>""</f>
        <v/>
      </c>
      <c r="BH287" t="str">
        <f>""</f>
        <v/>
      </c>
      <c r="BI287" t="str">
        <f>""</f>
        <v/>
      </c>
      <c r="BJ287" t="str">
        <f>""</f>
        <v/>
      </c>
      <c r="BK287">
        <v>1</v>
      </c>
      <c r="BL287" t="s">
        <v>107</v>
      </c>
      <c r="BM287" t="str">
        <f>"Toyota"</f>
        <v>Toyota</v>
      </c>
      <c r="BN287" t="s">
        <v>648</v>
      </c>
      <c r="BP287" t="s">
        <v>297</v>
      </c>
      <c r="BQ287" t="s">
        <v>556</v>
      </c>
      <c r="BR287" t="s">
        <v>114</v>
      </c>
      <c r="BS287" s="5">
        <v>75024</v>
      </c>
      <c r="BT287" s="2">
        <v>96100</v>
      </c>
      <c r="BU287" s="2">
        <v>99900</v>
      </c>
      <c r="BV287" t="s">
        <v>105</v>
      </c>
      <c r="BW287" s="2">
        <v>93558</v>
      </c>
      <c r="BX287" t="s">
        <v>105</v>
      </c>
      <c r="BZ287" t="s">
        <v>167</v>
      </c>
      <c r="CA287" t="str">
        <f t="shared" ref="CA287:CA350" si="16">"7/1/2020 - 6/30/2021"</f>
        <v>7/1/2020 - 6/30/2021</v>
      </c>
      <c r="CF287">
        <v>1</v>
      </c>
      <c r="CG287" t="s">
        <v>98</v>
      </c>
      <c r="CH287" t="s">
        <v>98</v>
      </c>
      <c r="CI287" t="s">
        <v>206</v>
      </c>
      <c r="CJ287" t="s">
        <v>98</v>
      </c>
      <c r="CK287" t="s">
        <v>12323</v>
      </c>
      <c r="CL287" t="s">
        <v>108</v>
      </c>
      <c r="CM287" t="s">
        <v>353</v>
      </c>
      <c r="CN287" t="str">
        <f>"Patel"</f>
        <v>Patel</v>
      </c>
      <c r="CO287" t="str">
        <f>"Mahendra "</f>
        <v xml:space="preserve">Mahendra </v>
      </c>
      <c r="CP287" t="str">
        <f>""</f>
        <v/>
      </c>
      <c r="CQ287" t="str">
        <f>"TECHNOCRATIC INC "</f>
        <v xml:space="preserve">TECHNOCRATIC INC </v>
      </c>
      <c r="CR287" t="s">
        <v>7260</v>
      </c>
    </row>
    <row r="288" spans="1:96" x14ac:dyDescent="0.2">
      <c r="A288" t="s">
        <v>11494</v>
      </c>
      <c r="B288" t="s">
        <v>96</v>
      </c>
      <c r="C288" s="1">
        <v>44098</v>
      </c>
      <c r="D288" s="1">
        <v>44105</v>
      </c>
      <c r="F288" t="s">
        <v>97</v>
      </c>
      <c r="G288" t="str">
        <f>"Electronics Engineer"</f>
        <v>Electronics Engineer</v>
      </c>
      <c r="H288" t="s">
        <v>12186</v>
      </c>
      <c r="I288" t="s">
        <v>232</v>
      </c>
      <c r="J288" t="s">
        <v>98</v>
      </c>
      <c r="K288" s="1">
        <v>44105</v>
      </c>
      <c r="L288" s="1">
        <v>45199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7262</v>
      </c>
      <c r="U288" t="str">
        <f>""</f>
        <v/>
      </c>
      <c r="V288" t="s">
        <v>7263</v>
      </c>
      <c r="W288" t="str">
        <f>"Suite E"</f>
        <v>Suite E</v>
      </c>
      <c r="X288" t="s">
        <v>394</v>
      </c>
      <c r="Y288" t="s">
        <v>114</v>
      </c>
      <c r="Z288" s="3">
        <v>77084</v>
      </c>
      <c r="AA288" t="s">
        <v>101</v>
      </c>
      <c r="AC288" s="4" t="str">
        <f>"+12489350271"</f>
        <v>+12489350271</v>
      </c>
      <c r="AE288" t="str">
        <f>"541330"</f>
        <v>541330</v>
      </c>
      <c r="AF288" t="s">
        <v>7264</v>
      </c>
      <c r="AG288" t="s">
        <v>7265</v>
      </c>
      <c r="AI288" t="s">
        <v>2916</v>
      </c>
      <c r="AJ288" t="s">
        <v>7263</v>
      </c>
      <c r="AK288" t="str">
        <f>"Suite E"</f>
        <v>Suite E</v>
      </c>
      <c r="AL288" t="s">
        <v>394</v>
      </c>
      <c r="AM288" t="s">
        <v>114</v>
      </c>
      <c r="AN288" s="3">
        <v>77084</v>
      </c>
      <c r="AO288" t="s">
        <v>101</v>
      </c>
      <c r="AQ288" t="str">
        <f>"+12489350271"</f>
        <v>+12489350271</v>
      </c>
      <c r="AS288" t="s">
        <v>7266</v>
      </c>
      <c r="AT288" t="s">
        <v>102</v>
      </c>
      <c r="AU288" t="str">
        <f>""</f>
        <v/>
      </c>
      <c r="AV288" t="str">
        <f>""</f>
        <v/>
      </c>
      <c r="AW288" t="str">
        <f>""</f>
        <v/>
      </c>
      <c r="AX288" t="str">
        <f>""</f>
        <v/>
      </c>
      <c r="AY288" t="str">
        <f>""</f>
        <v/>
      </c>
      <c r="AZ288" t="str">
        <f>""</f>
        <v/>
      </c>
      <c r="BA288" t="str">
        <f>""</f>
        <v/>
      </c>
      <c r="BC288" t="str">
        <f>""</f>
        <v/>
      </c>
      <c r="BD288" t="str">
        <f>""</f>
        <v/>
      </c>
      <c r="BE288" t="str">
        <f>""</f>
        <v/>
      </c>
      <c r="BF288" t="str">
        <f>""</f>
        <v/>
      </c>
      <c r="BG288" t="str">
        <f>""</f>
        <v/>
      </c>
      <c r="BH288" t="str">
        <f>""</f>
        <v/>
      </c>
      <c r="BI288" t="str">
        <f>""</f>
        <v/>
      </c>
      <c r="BJ288" t="str">
        <f>""</f>
        <v/>
      </c>
      <c r="BK288">
        <v>1</v>
      </c>
      <c r="BL288" t="s">
        <v>107</v>
      </c>
      <c r="BM288" t="str">
        <f>"ADAPT TECHNOLOGY LLc"</f>
        <v>ADAPT TECHNOLOGY LLc</v>
      </c>
      <c r="BN288" t="s">
        <v>11495</v>
      </c>
      <c r="BO288" t="s">
        <v>2933</v>
      </c>
      <c r="BP288" t="s">
        <v>2444</v>
      </c>
      <c r="BQ288" t="s">
        <v>719</v>
      </c>
      <c r="BR288" t="s">
        <v>265</v>
      </c>
      <c r="BS288" s="5">
        <v>48326</v>
      </c>
      <c r="BT288" s="2">
        <v>80080</v>
      </c>
      <c r="BU288" s="2">
        <v>83200</v>
      </c>
      <c r="BV288" t="s">
        <v>105</v>
      </c>
      <c r="BW288" s="2">
        <v>79976</v>
      </c>
      <c r="BX288" t="s">
        <v>105</v>
      </c>
      <c r="BZ288" t="s">
        <v>191</v>
      </c>
      <c r="CA288" t="str">
        <f t="shared" si="16"/>
        <v>7/1/2020 - 6/30/2021</v>
      </c>
      <c r="CF288">
        <v>2</v>
      </c>
      <c r="CG288" t="s">
        <v>98</v>
      </c>
      <c r="CH288" t="s">
        <v>98</v>
      </c>
      <c r="CI288" t="s">
        <v>206</v>
      </c>
      <c r="CJ288" t="s">
        <v>98</v>
      </c>
      <c r="CK288" t="s">
        <v>12323</v>
      </c>
      <c r="CL288" t="s">
        <v>108</v>
      </c>
      <c r="CM288" t="s">
        <v>109</v>
      </c>
      <c r="CN288" t="str">
        <f>""</f>
        <v/>
      </c>
      <c r="CO288" t="str">
        <f>""</f>
        <v/>
      </c>
      <c r="CP288" t="str">
        <f>""</f>
        <v/>
      </c>
      <c r="CQ288" t="str">
        <f>""</f>
        <v/>
      </c>
    </row>
    <row r="289" spans="1:96" x14ac:dyDescent="0.2">
      <c r="A289" t="s">
        <v>11496</v>
      </c>
      <c r="B289" t="s">
        <v>96</v>
      </c>
      <c r="C289" s="1">
        <v>44098</v>
      </c>
      <c r="D289" s="1">
        <v>44105</v>
      </c>
      <c r="F289" t="s">
        <v>97</v>
      </c>
      <c r="G289" t="str">
        <f>"DATA ENGINEER "</f>
        <v xml:space="preserve">DATA ENGINEER </v>
      </c>
      <c r="H289" t="s">
        <v>12168</v>
      </c>
      <c r="I289" t="s">
        <v>1844</v>
      </c>
      <c r="J289" t="s">
        <v>98</v>
      </c>
      <c r="K289" s="1">
        <v>44123</v>
      </c>
      <c r="L289" s="1">
        <v>45218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 t="s">
        <v>412</v>
      </c>
      <c r="U289" t="str">
        <f>""</f>
        <v/>
      </c>
      <c r="V289" t="s">
        <v>413</v>
      </c>
      <c r="W289" t="str">
        <f>"(*ALSO KNOWN AS 1601 WILLOW ROAD)"</f>
        <v>(*ALSO KNOWN AS 1601 WILLOW ROAD)</v>
      </c>
      <c r="X289" t="s">
        <v>414</v>
      </c>
      <c r="Y289" t="s">
        <v>141</v>
      </c>
      <c r="Z289" s="3">
        <v>94025</v>
      </c>
      <c r="AA289" t="s">
        <v>101</v>
      </c>
      <c r="AB289" t="s">
        <v>108</v>
      </c>
      <c r="AC289" s="4" t="str">
        <f>"+14085335781"</f>
        <v>+14085335781</v>
      </c>
      <c r="AE289" t="str">
        <f>"51913"</f>
        <v>51913</v>
      </c>
      <c r="AF289" t="s">
        <v>415</v>
      </c>
      <c r="AG289" t="s">
        <v>416</v>
      </c>
      <c r="AI289" t="s">
        <v>417</v>
      </c>
      <c r="AJ289" t="s">
        <v>413</v>
      </c>
      <c r="AK289" t="str">
        <f>"(*ALSO KNOWN AS 1601 WILLOW ROAD)"</f>
        <v>(*ALSO KNOWN AS 1601 WILLOW ROAD)</v>
      </c>
      <c r="AL289" t="s">
        <v>414</v>
      </c>
      <c r="AM289" t="s">
        <v>141</v>
      </c>
      <c r="AN289" s="3">
        <v>94025</v>
      </c>
      <c r="AO289" t="s">
        <v>101</v>
      </c>
      <c r="AQ289" t="str">
        <f>"+14085335781"</f>
        <v>+14085335781</v>
      </c>
      <c r="AS289" t="s">
        <v>1416</v>
      </c>
      <c r="AT289" t="s">
        <v>107</v>
      </c>
      <c r="AU289" t="str">
        <f>"ALPHONSO"</f>
        <v>ALPHONSO</v>
      </c>
      <c r="AV289" t="str">
        <f>"PETER"</f>
        <v>PETER</v>
      </c>
      <c r="AW289" t="str">
        <f>""</f>
        <v/>
      </c>
      <c r="AX289" t="str">
        <f>"2400 N. GLENVILLE DRIVE"</f>
        <v>2400 N. GLENVILLE DRIVE</v>
      </c>
      <c r="AY289" t="str">
        <f>"BUILDING A, SUITE 100"</f>
        <v>BUILDING A, SUITE 100</v>
      </c>
      <c r="AZ289" t="str">
        <f>"RICHARDSON "</f>
        <v xml:space="preserve">RICHARDSON </v>
      </c>
      <c r="BA289" t="str">
        <f>"TX"</f>
        <v>TX</v>
      </c>
      <c r="BB289" s="3">
        <v>75082</v>
      </c>
      <c r="BC289" t="str">
        <f>"UNITED STATES OF AMERICA"</f>
        <v>UNITED STATES OF AMERICA</v>
      </c>
      <c r="BD289" t="str">
        <f>""</f>
        <v/>
      </c>
      <c r="BE289" t="str">
        <f>"+14692909228"</f>
        <v>+14692909228</v>
      </c>
      <c r="BF289" t="str">
        <f>""</f>
        <v/>
      </c>
      <c r="BG289" t="str">
        <f>"JFIELD@BALGLOBAL.COM"</f>
        <v>JFIELD@BALGLOBAL.COM</v>
      </c>
      <c r="BH289" t="str">
        <f>"BERRY APPLEMAN &amp; LEIDEN LLP"</f>
        <v>BERRY APPLEMAN &amp; LEIDEN LLP</v>
      </c>
      <c r="BI289" t="str">
        <f>"NY"</f>
        <v>NY</v>
      </c>
      <c r="BJ289" t="str">
        <f>"NY COURT OF APPEALS"</f>
        <v>NY COURT OF APPEALS</v>
      </c>
      <c r="BK289">
        <v>1</v>
      </c>
      <c r="BL289" t="s">
        <v>102</v>
      </c>
      <c r="BM289" t="str">
        <f>""</f>
        <v/>
      </c>
      <c r="BN289" t="s">
        <v>11497</v>
      </c>
      <c r="BP289" t="s">
        <v>897</v>
      </c>
      <c r="BQ289" t="s">
        <v>189</v>
      </c>
      <c r="BR289" t="s">
        <v>190</v>
      </c>
      <c r="BS289" s="5">
        <v>10003</v>
      </c>
      <c r="BT289" s="2">
        <v>160000</v>
      </c>
      <c r="BV289" t="s">
        <v>105</v>
      </c>
      <c r="BW289" s="2">
        <v>91374</v>
      </c>
      <c r="BX289" t="s">
        <v>105</v>
      </c>
      <c r="BZ289" t="s">
        <v>123</v>
      </c>
      <c r="CA289" t="str">
        <f t="shared" si="16"/>
        <v>7/1/2020 - 6/30/2021</v>
      </c>
      <c r="CF289">
        <v>2</v>
      </c>
      <c r="CG289" t="s">
        <v>98</v>
      </c>
      <c r="CH289" t="s">
        <v>98</v>
      </c>
      <c r="CI289" t="s">
        <v>206</v>
      </c>
      <c r="CJ289" t="s">
        <v>98</v>
      </c>
      <c r="CK289" t="s">
        <v>12323</v>
      </c>
      <c r="CL289" t="s">
        <v>108</v>
      </c>
      <c r="CM289" t="s">
        <v>109</v>
      </c>
      <c r="CN289" t="str">
        <f>""</f>
        <v/>
      </c>
      <c r="CO289" t="str">
        <f>""</f>
        <v/>
      </c>
      <c r="CP289" t="str">
        <f>""</f>
        <v/>
      </c>
      <c r="CQ289" t="str">
        <f>""</f>
        <v/>
      </c>
    </row>
    <row r="290" spans="1:96" x14ac:dyDescent="0.2">
      <c r="A290" t="s">
        <v>11542</v>
      </c>
      <c r="B290" t="s">
        <v>96</v>
      </c>
      <c r="C290" s="1">
        <v>44098</v>
      </c>
      <c r="D290" s="1">
        <v>44105</v>
      </c>
      <c r="F290" t="s">
        <v>97</v>
      </c>
      <c r="G290" t="str">
        <f>"Technology Architect - US "</f>
        <v xml:space="preserve">Technology Architect - US </v>
      </c>
      <c r="H290" t="s">
        <v>12168</v>
      </c>
      <c r="I290" t="s">
        <v>160</v>
      </c>
      <c r="J290" t="s">
        <v>98</v>
      </c>
      <c r="K290" s="1">
        <v>44198</v>
      </c>
      <c r="L290" s="1">
        <v>45290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 t="s">
        <v>723</v>
      </c>
      <c r="U290" t="str">
        <f>""</f>
        <v/>
      </c>
      <c r="V290" t="s">
        <v>724</v>
      </c>
      <c r="W290" t="str">
        <f>"STE C150"</f>
        <v>STE C150</v>
      </c>
      <c r="X290" t="s">
        <v>725</v>
      </c>
      <c r="Y290" t="s">
        <v>114</v>
      </c>
      <c r="Z290" s="3">
        <v>75082</v>
      </c>
      <c r="AA290" t="s">
        <v>101</v>
      </c>
      <c r="AC290" s="4" t="str">
        <f>"+12143062100"</f>
        <v>+12143062100</v>
      </c>
      <c r="AE290" t="str">
        <f>"541511"</f>
        <v>541511</v>
      </c>
      <c r="AF290" t="s">
        <v>726</v>
      </c>
      <c r="AG290" t="s">
        <v>727</v>
      </c>
      <c r="AI290" t="s">
        <v>728</v>
      </c>
      <c r="AJ290" t="s">
        <v>724</v>
      </c>
      <c r="AK290" t="str">
        <f>"STE C150"</f>
        <v>STE C150</v>
      </c>
      <c r="AL290" t="s">
        <v>725</v>
      </c>
      <c r="AM290" t="s">
        <v>114</v>
      </c>
      <c r="AN290" s="3">
        <v>75082</v>
      </c>
      <c r="AO290" t="s">
        <v>101</v>
      </c>
      <c r="AQ290" t="str">
        <f>"+12143062100"</f>
        <v>+12143062100</v>
      </c>
      <c r="AS290" t="s">
        <v>729</v>
      </c>
      <c r="AT290" t="s">
        <v>102</v>
      </c>
      <c r="AU290" t="str">
        <f>""</f>
        <v/>
      </c>
      <c r="AV290" t="str">
        <f>""</f>
        <v/>
      </c>
      <c r="AW290" t="str">
        <f>""</f>
        <v/>
      </c>
      <c r="AX290" t="str">
        <f>""</f>
        <v/>
      </c>
      <c r="AY290" t="str">
        <f>""</f>
        <v/>
      </c>
      <c r="AZ290" t="str">
        <f>""</f>
        <v/>
      </c>
      <c r="BA290" t="str">
        <f>""</f>
        <v/>
      </c>
      <c r="BC290" t="str">
        <f>""</f>
        <v/>
      </c>
      <c r="BD290" t="str">
        <f>""</f>
        <v/>
      </c>
      <c r="BE290" t="str">
        <f>""</f>
        <v/>
      </c>
      <c r="BF290" t="str">
        <f>""</f>
        <v/>
      </c>
      <c r="BG290" t="str">
        <f>""</f>
        <v/>
      </c>
      <c r="BH290" t="str">
        <f>""</f>
        <v/>
      </c>
      <c r="BI290" t="str">
        <f>""</f>
        <v/>
      </c>
      <c r="BJ290" t="str">
        <f>""</f>
        <v/>
      </c>
      <c r="BK290">
        <v>1</v>
      </c>
      <c r="BL290" t="s">
        <v>107</v>
      </c>
      <c r="BM290" t="str">
        <f>"Comcast"</f>
        <v>Comcast</v>
      </c>
      <c r="BN290" t="s">
        <v>3011</v>
      </c>
      <c r="BP290" t="s">
        <v>3012</v>
      </c>
      <c r="BQ290" t="s">
        <v>682</v>
      </c>
      <c r="BR290" t="s">
        <v>100</v>
      </c>
      <c r="BS290" s="5">
        <v>8054</v>
      </c>
      <c r="BT290" s="2">
        <v>94224</v>
      </c>
      <c r="BV290" t="s">
        <v>105</v>
      </c>
      <c r="BW290" s="2">
        <v>94224</v>
      </c>
      <c r="BX290" t="s">
        <v>105</v>
      </c>
      <c r="BZ290" t="s">
        <v>123</v>
      </c>
      <c r="CA290" t="str">
        <f t="shared" si="16"/>
        <v>7/1/2020 - 6/30/2021</v>
      </c>
      <c r="CF290">
        <v>1</v>
      </c>
      <c r="CG290" t="s">
        <v>98</v>
      </c>
      <c r="CH290" t="s">
        <v>98</v>
      </c>
      <c r="CI290" t="s">
        <v>206</v>
      </c>
      <c r="CJ290" t="s">
        <v>98</v>
      </c>
      <c r="CK290" t="s">
        <v>12323</v>
      </c>
      <c r="CL290" t="s">
        <v>108</v>
      </c>
      <c r="CM290" t="s">
        <v>109</v>
      </c>
      <c r="CN290" t="str">
        <f>"Khanum"</f>
        <v>Khanum</v>
      </c>
      <c r="CO290" t="str">
        <f>"Hajeera"</f>
        <v>Hajeera</v>
      </c>
      <c r="CP290" t="str">
        <f>""</f>
        <v/>
      </c>
      <c r="CQ290" t="str">
        <f>"Infosys Limited"</f>
        <v>Infosys Limited</v>
      </c>
      <c r="CR290" t="s">
        <v>900</v>
      </c>
    </row>
    <row r="291" spans="1:96" x14ac:dyDescent="0.2">
      <c r="A291" t="s">
        <v>11553</v>
      </c>
      <c r="B291" t="s">
        <v>96</v>
      </c>
      <c r="C291" s="1">
        <v>44098</v>
      </c>
      <c r="D291" s="1">
        <v>44105</v>
      </c>
      <c r="F291" t="s">
        <v>97</v>
      </c>
      <c r="G291" t="str">
        <f>"Business Systems Analyst 2"</f>
        <v>Business Systems Analyst 2</v>
      </c>
      <c r="H291" t="s">
        <v>12181</v>
      </c>
      <c r="I291" t="s">
        <v>110</v>
      </c>
      <c r="J291" t="s">
        <v>98</v>
      </c>
      <c r="K291" s="1">
        <v>44107</v>
      </c>
      <c r="L291" s="1">
        <v>45201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 t="s">
        <v>1421</v>
      </c>
      <c r="U291" t="str">
        <f>""</f>
        <v/>
      </c>
      <c r="V291" t="s">
        <v>1422</v>
      </c>
      <c r="W291" t="str">
        <f>"SUITE 300"</f>
        <v>SUITE 300</v>
      </c>
      <c r="X291" t="s">
        <v>843</v>
      </c>
      <c r="Y291" t="s">
        <v>345</v>
      </c>
      <c r="Z291" s="3">
        <v>60606</v>
      </c>
      <c r="AA291" t="s">
        <v>101</v>
      </c>
      <c r="AC291" s="4" t="str">
        <f>"+13123955000"</f>
        <v>+13123955000</v>
      </c>
      <c r="AE291" t="str">
        <f>"5416"</f>
        <v>5416</v>
      </c>
      <c r="AF291" t="s">
        <v>1423</v>
      </c>
      <c r="AG291" t="s">
        <v>1424</v>
      </c>
      <c r="AI291" t="s">
        <v>1425</v>
      </c>
      <c r="AJ291" t="s">
        <v>1422</v>
      </c>
      <c r="AK291" t="str">
        <f>"SUITE 300"</f>
        <v>SUITE 300</v>
      </c>
      <c r="AL291" t="s">
        <v>843</v>
      </c>
      <c r="AM291" t="s">
        <v>345</v>
      </c>
      <c r="AN291" s="3">
        <v>60606</v>
      </c>
      <c r="AO291" t="s">
        <v>101</v>
      </c>
      <c r="AQ291" t="str">
        <f>"+13123958209"</f>
        <v>+13123958209</v>
      </c>
      <c r="AS291" t="s">
        <v>1426</v>
      </c>
      <c r="AT291" t="s">
        <v>102</v>
      </c>
      <c r="AU291" t="str">
        <f>""</f>
        <v/>
      </c>
      <c r="AV291" t="str">
        <f>""</f>
        <v/>
      </c>
      <c r="AW291" t="str">
        <f>""</f>
        <v/>
      </c>
      <c r="AX291" t="str">
        <f>""</f>
        <v/>
      </c>
      <c r="AY291" t="str">
        <f>""</f>
        <v/>
      </c>
      <c r="AZ291" t="str">
        <f>""</f>
        <v/>
      </c>
      <c r="BA291" t="str">
        <f>""</f>
        <v/>
      </c>
      <c r="BC291" t="str">
        <f>""</f>
        <v/>
      </c>
      <c r="BD291" t="str">
        <f>""</f>
        <v/>
      </c>
      <c r="BE291" t="str">
        <f>""</f>
        <v/>
      </c>
      <c r="BF291" t="str">
        <f>""</f>
        <v/>
      </c>
      <c r="BG291" t="str">
        <f>""</f>
        <v/>
      </c>
      <c r="BH291" t="str">
        <f>""</f>
        <v/>
      </c>
      <c r="BI291" t="str">
        <f>""</f>
        <v/>
      </c>
      <c r="BJ291" t="str">
        <f>""</f>
        <v/>
      </c>
      <c r="BK291">
        <v>1</v>
      </c>
      <c r="BL291" t="s">
        <v>102</v>
      </c>
      <c r="BM291" t="str">
        <f>""</f>
        <v/>
      </c>
      <c r="BN291" t="s">
        <v>11554</v>
      </c>
      <c r="BP291" t="s">
        <v>10803</v>
      </c>
      <c r="BQ291" t="s">
        <v>121</v>
      </c>
      <c r="BR291" t="s">
        <v>122</v>
      </c>
      <c r="BS291" s="5">
        <v>28277</v>
      </c>
      <c r="BT291" s="2">
        <v>80766</v>
      </c>
      <c r="BU291" s="2">
        <v>101703</v>
      </c>
      <c r="BV291" t="s">
        <v>105</v>
      </c>
      <c r="BW291" s="2">
        <v>80766</v>
      </c>
      <c r="BX291" t="s">
        <v>105</v>
      </c>
      <c r="BZ291" t="s">
        <v>167</v>
      </c>
      <c r="CA291" t="str">
        <f t="shared" si="16"/>
        <v>7/1/2020 - 6/30/2021</v>
      </c>
      <c r="CF291">
        <v>1</v>
      </c>
      <c r="CG291" t="s">
        <v>98</v>
      </c>
      <c r="CH291" t="s">
        <v>98</v>
      </c>
      <c r="CI291" t="s">
        <v>206</v>
      </c>
      <c r="CJ291" t="s">
        <v>98</v>
      </c>
      <c r="CK291" t="s">
        <v>12323</v>
      </c>
      <c r="CL291" t="s">
        <v>108</v>
      </c>
      <c r="CM291" t="s">
        <v>109</v>
      </c>
      <c r="CN291" t="str">
        <f>""</f>
        <v/>
      </c>
      <c r="CO291" t="str">
        <f>""</f>
        <v/>
      </c>
      <c r="CP291" t="str">
        <f>""</f>
        <v/>
      </c>
      <c r="CQ291" t="str">
        <f>""</f>
        <v/>
      </c>
    </row>
    <row r="292" spans="1:96" x14ac:dyDescent="0.2">
      <c r="A292" t="s">
        <v>11564</v>
      </c>
      <c r="B292" t="s">
        <v>96</v>
      </c>
      <c r="C292" s="1">
        <v>44098</v>
      </c>
      <c r="D292" s="1">
        <v>44105</v>
      </c>
      <c r="F292" t="s">
        <v>97</v>
      </c>
      <c r="G292" t="str">
        <f>"Oracle Fusion Technical-Functional "</f>
        <v xml:space="preserve">Oracle Fusion Technical-Functional </v>
      </c>
      <c r="H292" t="s">
        <v>12176</v>
      </c>
      <c r="I292" t="s">
        <v>246</v>
      </c>
      <c r="J292" t="s">
        <v>98</v>
      </c>
      <c r="K292" s="1">
        <v>44098</v>
      </c>
      <c r="L292" s="1">
        <v>45192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 t="s">
        <v>3929</v>
      </c>
      <c r="U292" t="str">
        <f>""</f>
        <v/>
      </c>
      <c r="V292" t="s">
        <v>3930</v>
      </c>
      <c r="W292" t="str">
        <f>"Suite 235"</f>
        <v>Suite 235</v>
      </c>
      <c r="X292" t="s">
        <v>483</v>
      </c>
      <c r="Y292" t="s">
        <v>114</v>
      </c>
      <c r="Z292" s="3">
        <v>75039</v>
      </c>
      <c r="AA292" t="s">
        <v>101</v>
      </c>
      <c r="AC292" s="4" t="str">
        <f>"+14692099153"</f>
        <v>+14692099153</v>
      </c>
      <c r="AE292" t="str">
        <f>"541511"</f>
        <v>541511</v>
      </c>
      <c r="AF292" t="s">
        <v>3931</v>
      </c>
      <c r="AG292" t="s">
        <v>3932</v>
      </c>
      <c r="AI292" t="s">
        <v>508</v>
      </c>
      <c r="AJ292" t="s">
        <v>3933</v>
      </c>
      <c r="AK292" t="str">
        <f>"Suite 235"</f>
        <v>Suite 235</v>
      </c>
      <c r="AL292" t="s">
        <v>483</v>
      </c>
      <c r="AM292" t="s">
        <v>114</v>
      </c>
      <c r="AN292" s="3">
        <v>75039</v>
      </c>
      <c r="AO292" t="s">
        <v>101</v>
      </c>
      <c r="AQ292" t="str">
        <f>"+14692099153"</f>
        <v>+14692099153</v>
      </c>
      <c r="AS292" t="s">
        <v>3934</v>
      </c>
      <c r="AT292" t="s">
        <v>107</v>
      </c>
      <c r="AU292" t="str">
        <f>"Clement"</f>
        <v>Clement</v>
      </c>
      <c r="AV292" t="str">
        <f>"John"</f>
        <v>John</v>
      </c>
      <c r="AW292" t="str">
        <f>""</f>
        <v/>
      </c>
      <c r="AX292" t="str">
        <f>"575 E Big Beaver Road"</f>
        <v>575 E Big Beaver Road</v>
      </c>
      <c r="AY292" t="str">
        <f>"Suite 190"</f>
        <v>Suite 190</v>
      </c>
      <c r="AZ292" t="str">
        <f>"Troy"</f>
        <v>Troy</v>
      </c>
      <c r="BA292" t="str">
        <f>"MI"</f>
        <v>MI</v>
      </c>
      <c r="BB292" s="3">
        <v>48083</v>
      </c>
      <c r="BC292" t="str">
        <f>"UNITED STATES OF AMERICA"</f>
        <v>UNITED STATES OF AMERICA</v>
      </c>
      <c r="BD292" t="str">
        <f>""</f>
        <v/>
      </c>
      <c r="BE292" t="str">
        <f>"+12485281426"</f>
        <v>+12485281426</v>
      </c>
      <c r="BF292" t="str">
        <f>""</f>
        <v/>
      </c>
      <c r="BG292" t="str">
        <f>"john@clement-immlaw.com"</f>
        <v>john@clement-immlaw.com</v>
      </c>
      <c r="BH292" t="str">
        <f>"John Clement PLC"</f>
        <v>John Clement PLC</v>
      </c>
      <c r="BI292" t="str">
        <f>"MI"</f>
        <v>MI</v>
      </c>
      <c r="BJ292" t="str">
        <f>"Michigan Supreme Court"</f>
        <v>Michigan Supreme Court</v>
      </c>
      <c r="BK292">
        <v>1</v>
      </c>
      <c r="BL292" t="s">
        <v>107</v>
      </c>
      <c r="BM292" t="str">
        <f>"phData Inc"</f>
        <v>phData Inc</v>
      </c>
      <c r="BN292" t="s">
        <v>11565</v>
      </c>
      <c r="BO292" t="s">
        <v>4703</v>
      </c>
      <c r="BP292" t="s">
        <v>1339</v>
      </c>
      <c r="BQ292" t="s">
        <v>185</v>
      </c>
      <c r="BR292" t="s">
        <v>186</v>
      </c>
      <c r="BS292" s="5">
        <v>55415</v>
      </c>
      <c r="BT292" s="2">
        <v>122221</v>
      </c>
      <c r="BU292" s="2">
        <v>122221.01</v>
      </c>
      <c r="BV292" t="s">
        <v>105</v>
      </c>
      <c r="BW292" s="2">
        <v>105726</v>
      </c>
      <c r="BX292" t="s">
        <v>105</v>
      </c>
      <c r="BZ292" t="s">
        <v>123</v>
      </c>
      <c r="CA292" t="str">
        <f t="shared" si="16"/>
        <v>7/1/2020 - 6/30/2021</v>
      </c>
      <c r="CF292">
        <v>2</v>
      </c>
      <c r="CG292" t="s">
        <v>98</v>
      </c>
      <c r="CH292" t="s">
        <v>98</v>
      </c>
      <c r="CI292" t="s">
        <v>206</v>
      </c>
      <c r="CJ292" t="s">
        <v>98</v>
      </c>
      <c r="CK292" t="s">
        <v>12323</v>
      </c>
      <c r="CL292" t="s">
        <v>108</v>
      </c>
      <c r="CM292" t="s">
        <v>109</v>
      </c>
      <c r="CN292" t="str">
        <f>""</f>
        <v/>
      </c>
      <c r="CO292" t="str">
        <f>""</f>
        <v/>
      </c>
      <c r="CP292" t="str">
        <f>""</f>
        <v/>
      </c>
      <c r="CQ292" t="str">
        <f>""</f>
        <v/>
      </c>
    </row>
    <row r="293" spans="1:96" x14ac:dyDescent="0.2">
      <c r="A293" t="s">
        <v>11579</v>
      </c>
      <c r="B293" t="s">
        <v>96</v>
      </c>
      <c r="C293" s="1">
        <v>44098</v>
      </c>
      <c r="D293" s="1">
        <v>44105</v>
      </c>
      <c r="F293" t="s">
        <v>97</v>
      </c>
      <c r="G293" t="str">
        <f>"Software Engineer "</f>
        <v xml:space="preserve">Software Engineer </v>
      </c>
      <c r="H293" t="s">
        <v>12169</v>
      </c>
      <c r="I293" t="s">
        <v>124</v>
      </c>
      <c r="J293" t="s">
        <v>98</v>
      </c>
      <c r="K293" s="1">
        <v>44099</v>
      </c>
      <c r="L293" s="1">
        <v>45193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 t="s">
        <v>2539</v>
      </c>
      <c r="U293" t="str">
        <f>""</f>
        <v/>
      </c>
      <c r="V293" t="s">
        <v>2540</v>
      </c>
      <c r="W293" t="str">
        <f>"STE. 505N"</f>
        <v>STE. 505N</v>
      </c>
      <c r="X293" t="s">
        <v>2541</v>
      </c>
      <c r="Y293" t="s">
        <v>934</v>
      </c>
      <c r="Z293" s="3">
        <v>68102</v>
      </c>
      <c r="AA293" t="s">
        <v>101</v>
      </c>
      <c r="AC293" s="4" t="str">
        <f>"+19713170718"</f>
        <v>+19713170718</v>
      </c>
      <c r="AE293" t="str">
        <f>"541511"</f>
        <v>541511</v>
      </c>
      <c r="AF293" t="s">
        <v>2542</v>
      </c>
      <c r="AG293" t="s">
        <v>2543</v>
      </c>
      <c r="AH293" t="s">
        <v>901</v>
      </c>
      <c r="AI293" t="s">
        <v>2544</v>
      </c>
      <c r="AJ293" t="s">
        <v>2545</v>
      </c>
      <c r="AK293" t="str">
        <f>"STE. 118"</f>
        <v>STE. 118</v>
      </c>
      <c r="AL293" t="s">
        <v>1631</v>
      </c>
      <c r="AM293" t="s">
        <v>814</v>
      </c>
      <c r="AN293" s="3">
        <v>97008</v>
      </c>
      <c r="AO293" t="s">
        <v>101</v>
      </c>
      <c r="AQ293" t="str">
        <f>"+19713170718"</f>
        <v>+19713170718</v>
      </c>
      <c r="AS293" t="s">
        <v>2546</v>
      </c>
      <c r="AT293" t="s">
        <v>102</v>
      </c>
      <c r="AU293" t="str">
        <f>""</f>
        <v/>
      </c>
      <c r="AV293" t="str">
        <f>""</f>
        <v/>
      </c>
      <c r="AW293" t="str">
        <f>""</f>
        <v/>
      </c>
      <c r="AX293" t="str">
        <f>""</f>
        <v/>
      </c>
      <c r="AY293" t="str">
        <f>""</f>
        <v/>
      </c>
      <c r="AZ293" t="str">
        <f>""</f>
        <v/>
      </c>
      <c r="BA293" t="str">
        <f>""</f>
        <v/>
      </c>
      <c r="BC293" t="str">
        <f>""</f>
        <v/>
      </c>
      <c r="BD293" t="str">
        <f>""</f>
        <v/>
      </c>
      <c r="BE293" t="str">
        <f>""</f>
        <v/>
      </c>
      <c r="BF293" t="str">
        <f>""</f>
        <v/>
      </c>
      <c r="BG293" t="str">
        <f>""</f>
        <v/>
      </c>
      <c r="BH293" t="str">
        <f>""</f>
        <v/>
      </c>
      <c r="BI293" t="str">
        <f>""</f>
        <v/>
      </c>
      <c r="BJ293" t="str">
        <f>""</f>
        <v/>
      </c>
      <c r="BK293">
        <v>1</v>
      </c>
      <c r="BL293" t="s">
        <v>107</v>
      </c>
      <c r="BM293" t="str">
        <f>"T-Mobile USA, Inc. "</f>
        <v xml:space="preserve">T-Mobile USA, Inc. </v>
      </c>
      <c r="BN293" t="s">
        <v>11580</v>
      </c>
      <c r="BO293" t="s">
        <v>5352</v>
      </c>
      <c r="BP293" t="s">
        <v>1611</v>
      </c>
      <c r="BQ293" t="s">
        <v>1612</v>
      </c>
      <c r="BR293" t="s">
        <v>176</v>
      </c>
      <c r="BS293" s="5">
        <v>98021</v>
      </c>
      <c r="BT293" s="2">
        <v>120000</v>
      </c>
      <c r="BU293" s="2">
        <v>130000</v>
      </c>
      <c r="BV293" t="s">
        <v>105</v>
      </c>
      <c r="BW293" s="2">
        <v>113110</v>
      </c>
      <c r="BX293" t="s">
        <v>105</v>
      </c>
      <c r="BZ293" t="s">
        <v>167</v>
      </c>
      <c r="CA293" t="str">
        <f t="shared" si="16"/>
        <v>7/1/2020 - 6/30/2021</v>
      </c>
      <c r="CF293">
        <v>2</v>
      </c>
      <c r="CG293" t="s">
        <v>98</v>
      </c>
      <c r="CH293" t="s">
        <v>98</v>
      </c>
      <c r="CI293" t="s">
        <v>206</v>
      </c>
      <c r="CJ293" t="s">
        <v>98</v>
      </c>
      <c r="CK293" t="s">
        <v>12323</v>
      </c>
      <c r="CL293" t="s">
        <v>108</v>
      </c>
      <c r="CM293" t="s">
        <v>109</v>
      </c>
      <c r="CN293" t="str">
        <f>"KILMER"</f>
        <v>KILMER</v>
      </c>
      <c r="CO293" t="str">
        <f>"MARI"</f>
        <v>MARI</v>
      </c>
      <c r="CP293" t="str">
        <f>"J"</f>
        <v>J</v>
      </c>
      <c r="CQ293" t="str">
        <f>"PROKARMA, INC."</f>
        <v>PROKARMA, INC.</v>
      </c>
      <c r="CR293" t="s">
        <v>2547</v>
      </c>
    </row>
    <row r="294" spans="1:96" x14ac:dyDescent="0.2">
      <c r="A294" t="s">
        <v>11600</v>
      </c>
      <c r="B294" t="s">
        <v>96</v>
      </c>
      <c r="C294" s="1">
        <v>44098</v>
      </c>
      <c r="D294" s="1">
        <v>44105</v>
      </c>
      <c r="F294" t="s">
        <v>97</v>
      </c>
      <c r="G294" t="str">
        <f>"ETL Developer"</f>
        <v>ETL Developer</v>
      </c>
      <c r="H294" t="s">
        <v>12169</v>
      </c>
      <c r="I294" t="s">
        <v>124</v>
      </c>
      <c r="J294" t="s">
        <v>98</v>
      </c>
      <c r="K294" s="1">
        <v>44105</v>
      </c>
      <c r="L294" s="1">
        <v>45199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 t="s">
        <v>8018</v>
      </c>
      <c r="U294" t="str">
        <f>""</f>
        <v/>
      </c>
      <c r="V294" t="s">
        <v>8019</v>
      </c>
      <c r="W294" t="str">
        <f>"SUITE # 233"</f>
        <v>SUITE # 233</v>
      </c>
      <c r="X294" t="s">
        <v>2541</v>
      </c>
      <c r="Y294" t="s">
        <v>934</v>
      </c>
      <c r="Z294" s="3">
        <v>68144</v>
      </c>
      <c r="AA294" t="s">
        <v>101</v>
      </c>
      <c r="AC294" s="4" t="str">
        <f>"+14026175717"</f>
        <v>+14026175717</v>
      </c>
      <c r="AE294" t="str">
        <f>"541511"</f>
        <v>541511</v>
      </c>
      <c r="AF294" t="s">
        <v>8020</v>
      </c>
      <c r="AG294" t="s">
        <v>8021</v>
      </c>
      <c r="AI294" t="s">
        <v>425</v>
      </c>
      <c r="AJ294" t="s">
        <v>8019</v>
      </c>
      <c r="AK294" t="str">
        <f>"SUITE # 233"</f>
        <v>SUITE # 233</v>
      </c>
      <c r="AL294" t="s">
        <v>2541</v>
      </c>
      <c r="AM294" t="s">
        <v>934</v>
      </c>
      <c r="AN294" s="3">
        <v>68144</v>
      </c>
      <c r="AO294" t="s">
        <v>101</v>
      </c>
      <c r="AQ294" t="str">
        <f>"+14026175717"</f>
        <v>+14026175717</v>
      </c>
      <c r="AS294" t="s">
        <v>8022</v>
      </c>
      <c r="AT294" t="s">
        <v>107</v>
      </c>
      <c r="AU294" t="str">
        <f>"SOMI REDDY"</f>
        <v>SOMI REDDY</v>
      </c>
      <c r="AV294" t="str">
        <f>"SANTOSH REDDY"</f>
        <v>SANTOSH REDDY</v>
      </c>
      <c r="AW294" t="str">
        <f>""</f>
        <v/>
      </c>
      <c r="AX294" t="str">
        <f>"20745 WILLIAMSPORT PLACE"</f>
        <v>20745 WILLIAMSPORT PLACE</v>
      </c>
      <c r="AY294" t="str">
        <f>"SUITE # 390"</f>
        <v>SUITE # 390</v>
      </c>
      <c r="AZ294" t="str">
        <f>"ASHBURN"</f>
        <v>ASHBURN</v>
      </c>
      <c r="BA294" t="str">
        <f>"VA"</f>
        <v>VA</v>
      </c>
      <c r="BB294" s="3">
        <v>20147</v>
      </c>
      <c r="BC294" t="str">
        <f>"UNITED STATES OF AMERICA"</f>
        <v>UNITED STATES OF AMERICA</v>
      </c>
      <c r="BD294" t="str">
        <f>""</f>
        <v/>
      </c>
      <c r="BE294" t="str">
        <f>"+17035442200"</f>
        <v>+17035442200</v>
      </c>
      <c r="BF294" t="str">
        <f>""</f>
        <v/>
      </c>
      <c r="BG294" t="str">
        <f>"LCA@SOMIREDDYLAW.COM"</f>
        <v>LCA@SOMIREDDYLAW.COM</v>
      </c>
      <c r="BH294" t="str">
        <f>"SOMIREDDY LAW GROUP PLLC"</f>
        <v>SOMIREDDY LAW GROUP PLLC</v>
      </c>
      <c r="BI294" t="str">
        <f>"VA"</f>
        <v>VA</v>
      </c>
      <c r="BJ294" t="str">
        <f>"SUPREME COURT"</f>
        <v>SUPREME COURT</v>
      </c>
      <c r="BK294">
        <v>1</v>
      </c>
      <c r="BL294" t="s">
        <v>107</v>
      </c>
      <c r="BM294" t="str">
        <f>"United services automobile association (USAA)"</f>
        <v>United services automobile association (USAA)</v>
      </c>
      <c r="BN294" t="s">
        <v>7389</v>
      </c>
      <c r="BO294" t="s">
        <v>108</v>
      </c>
      <c r="BP294" t="s">
        <v>297</v>
      </c>
      <c r="BQ294" t="s">
        <v>556</v>
      </c>
      <c r="BR294" t="s">
        <v>114</v>
      </c>
      <c r="BS294" s="5">
        <v>75024</v>
      </c>
      <c r="BT294" s="2">
        <v>93558</v>
      </c>
      <c r="BU294" s="2">
        <v>93560</v>
      </c>
      <c r="BV294" t="s">
        <v>105</v>
      </c>
      <c r="BW294" s="2">
        <v>93558</v>
      </c>
      <c r="BX294" t="s">
        <v>105</v>
      </c>
      <c r="BZ294" t="s">
        <v>167</v>
      </c>
      <c r="CA294" t="str">
        <f t="shared" si="16"/>
        <v>7/1/2020 - 6/30/2021</v>
      </c>
      <c r="CF294">
        <v>2</v>
      </c>
      <c r="CG294" t="s">
        <v>98</v>
      </c>
      <c r="CH294" t="s">
        <v>98</v>
      </c>
      <c r="CI294" t="s">
        <v>206</v>
      </c>
      <c r="CJ294" t="s">
        <v>98</v>
      </c>
      <c r="CK294" t="s">
        <v>12323</v>
      </c>
      <c r="CL294" t="s">
        <v>108</v>
      </c>
      <c r="CM294" t="s">
        <v>109</v>
      </c>
      <c r="CN294" t="str">
        <f>""</f>
        <v/>
      </c>
      <c r="CO294" t="str">
        <f>""</f>
        <v/>
      </c>
      <c r="CP294" t="str">
        <f>""</f>
        <v/>
      </c>
      <c r="CQ294" t="str">
        <f>""</f>
        <v/>
      </c>
    </row>
    <row r="295" spans="1:96" x14ac:dyDescent="0.2">
      <c r="A295" t="s">
        <v>11603</v>
      </c>
      <c r="B295" t="s">
        <v>96</v>
      </c>
      <c r="C295" s="1">
        <v>44098</v>
      </c>
      <c r="D295" s="1">
        <v>44105</v>
      </c>
      <c r="F295" t="s">
        <v>97</v>
      </c>
      <c r="G295" t="str">
        <f>"TEST SPECIALIST"</f>
        <v>TEST SPECIALIST</v>
      </c>
      <c r="H295" t="s">
        <v>12168</v>
      </c>
      <c r="I295" t="s">
        <v>319</v>
      </c>
      <c r="J295" t="s">
        <v>98</v>
      </c>
      <c r="K295" s="1">
        <v>44211</v>
      </c>
      <c r="L295" s="1">
        <v>45305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 t="s">
        <v>356</v>
      </c>
      <c r="U295" t="str">
        <f>""</f>
        <v/>
      </c>
      <c r="V295" t="s">
        <v>357</v>
      </c>
      <c r="W295" t="str">
        <f>""</f>
        <v/>
      </c>
      <c r="X295" t="s">
        <v>358</v>
      </c>
      <c r="Y295" t="s">
        <v>141</v>
      </c>
      <c r="Z295" s="3">
        <v>92656</v>
      </c>
      <c r="AA295" t="s">
        <v>101</v>
      </c>
      <c r="AC295" s="4" t="str">
        <f>"+19495332644"</f>
        <v>+19495332644</v>
      </c>
      <c r="AE295" t="str">
        <f>"541511"</f>
        <v>541511</v>
      </c>
      <c r="AF295" t="s">
        <v>359</v>
      </c>
      <c r="AG295" t="s">
        <v>360</v>
      </c>
      <c r="AI295" t="s">
        <v>361</v>
      </c>
      <c r="AJ295" t="s">
        <v>362</v>
      </c>
      <c r="AK295" t="str">
        <f>""</f>
        <v/>
      </c>
      <c r="AL295" t="s">
        <v>363</v>
      </c>
      <c r="AM295" t="s">
        <v>141</v>
      </c>
      <c r="AN295" s="3">
        <v>92656</v>
      </c>
      <c r="AO295" t="s">
        <v>101</v>
      </c>
      <c r="AQ295" t="str">
        <f>"+19495332644"</f>
        <v>+19495332644</v>
      </c>
      <c r="AS295" t="s">
        <v>3561</v>
      </c>
      <c r="AT295" t="s">
        <v>107</v>
      </c>
      <c r="AU295" t="str">
        <f>"CHUGH"</f>
        <v>CHUGH</v>
      </c>
      <c r="AV295" t="str">
        <f>"NAVNEET"</f>
        <v>NAVNEET</v>
      </c>
      <c r="AW295" t="str">
        <f>"SINGH"</f>
        <v>SINGH</v>
      </c>
      <c r="AX295" t="str">
        <f>"15925 CARMENITA RD"</f>
        <v>15925 CARMENITA RD</v>
      </c>
      <c r="AY295" t="str">
        <f>""</f>
        <v/>
      </c>
      <c r="AZ295" t="str">
        <f>"CERRITOS"</f>
        <v>CERRITOS</v>
      </c>
      <c r="BA295" t="str">
        <f>"CA"</f>
        <v>CA</v>
      </c>
      <c r="BB295" s="3">
        <v>90703</v>
      </c>
      <c r="BC295" t="str">
        <f>"UNITED STATES OF AMERICA"</f>
        <v>UNITED STATES OF AMERICA</v>
      </c>
      <c r="BD295" t="str">
        <f>""</f>
        <v/>
      </c>
      <c r="BE295" t="str">
        <f>"+15622291220"</f>
        <v>+15622291220</v>
      </c>
      <c r="BF295" t="str">
        <f>""</f>
        <v/>
      </c>
      <c r="BG295" t="str">
        <f>"DANIELA.OCHOA@CHUGH.COM"</f>
        <v>DANIELA.OCHOA@CHUGH.COM</v>
      </c>
      <c r="BH295" t="str">
        <f>"CHUGH LLP"</f>
        <v>CHUGH LLP</v>
      </c>
      <c r="BI295" t="str">
        <f>"CA"</f>
        <v>CA</v>
      </c>
      <c r="BJ295" t="str">
        <f>"SUPREME COURT"</f>
        <v>SUPREME COURT</v>
      </c>
      <c r="BK295">
        <v>1</v>
      </c>
      <c r="BL295" t="s">
        <v>107</v>
      </c>
      <c r="BM295" t="str">
        <f>"NAVISTAR INC"</f>
        <v>NAVISTAR INC</v>
      </c>
      <c r="BN295" t="s">
        <v>11604</v>
      </c>
      <c r="BP295" t="s">
        <v>3635</v>
      </c>
      <c r="BQ295" t="s">
        <v>1382</v>
      </c>
      <c r="BR295" t="s">
        <v>345</v>
      </c>
      <c r="BS295" s="5">
        <v>60532</v>
      </c>
      <c r="BT295" s="2">
        <v>94100</v>
      </c>
      <c r="BV295" t="s">
        <v>105</v>
      </c>
      <c r="BW295" s="2">
        <v>75754</v>
      </c>
      <c r="BX295" t="s">
        <v>105</v>
      </c>
      <c r="BZ295" t="s">
        <v>167</v>
      </c>
      <c r="CA295" t="str">
        <f t="shared" si="16"/>
        <v>7/1/2020 - 6/30/2021</v>
      </c>
      <c r="CF295">
        <v>1</v>
      </c>
      <c r="CG295" t="s">
        <v>98</v>
      </c>
      <c r="CH295" t="s">
        <v>98</v>
      </c>
      <c r="CI295" t="s">
        <v>206</v>
      </c>
      <c r="CJ295" t="s">
        <v>98</v>
      </c>
      <c r="CK295" t="s">
        <v>12323</v>
      </c>
      <c r="CL295" t="s">
        <v>108</v>
      </c>
      <c r="CM295" t="s">
        <v>109</v>
      </c>
      <c r="CN295" t="str">
        <f>"OCHOA"</f>
        <v>OCHOA</v>
      </c>
      <c r="CO295" t="str">
        <f>"DANIELA"</f>
        <v>DANIELA</v>
      </c>
      <c r="CP295" t="str">
        <f>"V"</f>
        <v>V</v>
      </c>
      <c r="CQ295" t="str">
        <f>"CHUGH LLP"</f>
        <v>CHUGH LLP</v>
      </c>
      <c r="CR295" t="s">
        <v>366</v>
      </c>
    </row>
    <row r="296" spans="1:96" x14ac:dyDescent="0.2">
      <c r="A296" t="s">
        <v>11616</v>
      </c>
      <c r="B296" t="s">
        <v>96</v>
      </c>
      <c r="C296" s="1">
        <v>44098</v>
      </c>
      <c r="D296" s="1">
        <v>44105</v>
      </c>
      <c r="F296" t="s">
        <v>97</v>
      </c>
      <c r="G296" t="str">
        <f>"System Analyst JC65"</f>
        <v>System Analyst JC65</v>
      </c>
      <c r="H296" t="s">
        <v>12181</v>
      </c>
      <c r="I296" t="s">
        <v>110</v>
      </c>
      <c r="J296" t="s">
        <v>98</v>
      </c>
      <c r="K296" s="1">
        <v>44107</v>
      </c>
      <c r="L296" s="1">
        <v>45201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 t="s">
        <v>111</v>
      </c>
      <c r="U296" t="str">
        <f>"CTSUS"</f>
        <v>CTSUS</v>
      </c>
      <c r="V296" t="s">
        <v>112</v>
      </c>
      <c r="W296" t="str">
        <f>""</f>
        <v/>
      </c>
      <c r="X296" t="s">
        <v>113</v>
      </c>
      <c r="Y296" t="s">
        <v>114</v>
      </c>
      <c r="Z296" s="3">
        <v>77845</v>
      </c>
      <c r="AA296" t="s">
        <v>101</v>
      </c>
      <c r="AB296" t="s">
        <v>114</v>
      </c>
      <c r="AC296" s="4" t="str">
        <f>"+19793296682"</f>
        <v>+19793296682</v>
      </c>
      <c r="AE296" t="str">
        <f>"541512"</f>
        <v>541512</v>
      </c>
      <c r="AF296" t="s">
        <v>115</v>
      </c>
      <c r="AG296" t="s">
        <v>116</v>
      </c>
      <c r="AH296" t="s">
        <v>108</v>
      </c>
      <c r="AI296" t="s">
        <v>117</v>
      </c>
      <c r="AJ296" t="s">
        <v>118</v>
      </c>
      <c r="AK296" t="str">
        <f>""</f>
        <v/>
      </c>
      <c r="AL296" t="s">
        <v>119</v>
      </c>
      <c r="AM296" t="s">
        <v>114</v>
      </c>
      <c r="AN296" s="3">
        <v>77845</v>
      </c>
      <c r="AO296" t="s">
        <v>101</v>
      </c>
      <c r="AQ296" t="str">
        <f>"+19793296682"</f>
        <v>+19793296682</v>
      </c>
      <c r="AS296" t="s">
        <v>120</v>
      </c>
      <c r="AT296" t="s">
        <v>102</v>
      </c>
      <c r="AU296" t="str">
        <f>""</f>
        <v/>
      </c>
      <c r="AV296" t="str">
        <f>""</f>
        <v/>
      </c>
      <c r="AW296" t="str">
        <f>""</f>
        <v/>
      </c>
      <c r="AX296" t="str">
        <f>""</f>
        <v/>
      </c>
      <c r="AY296" t="str">
        <f>""</f>
        <v/>
      </c>
      <c r="AZ296" t="str">
        <f>""</f>
        <v/>
      </c>
      <c r="BA296" t="str">
        <f>""</f>
        <v/>
      </c>
      <c r="BC296" t="str">
        <f>""</f>
        <v/>
      </c>
      <c r="BD296" t="str">
        <f>""</f>
        <v/>
      </c>
      <c r="BE296" t="str">
        <f>""</f>
        <v/>
      </c>
      <c r="BF296" t="str">
        <f>""</f>
        <v/>
      </c>
      <c r="BG296" t="str">
        <f>""</f>
        <v/>
      </c>
      <c r="BH296" t="str">
        <f>""</f>
        <v/>
      </c>
      <c r="BI296" t="str">
        <f>""</f>
        <v/>
      </c>
      <c r="BJ296" t="str">
        <f>""</f>
        <v/>
      </c>
      <c r="BK296">
        <v>1</v>
      </c>
      <c r="BL296" t="s">
        <v>107</v>
      </c>
      <c r="BM296" t="str">
        <f>"Equitable Financial Life Insurance Co"</f>
        <v>Equitable Financial Life Insurance Co</v>
      </c>
      <c r="BN296" t="s">
        <v>11617</v>
      </c>
      <c r="BP296" t="s">
        <v>699</v>
      </c>
      <c r="BQ296" t="s">
        <v>1214</v>
      </c>
      <c r="BR296" t="s">
        <v>100</v>
      </c>
      <c r="BS296" s="5">
        <v>7094</v>
      </c>
      <c r="BT296" s="2">
        <v>92269</v>
      </c>
      <c r="BV296" t="s">
        <v>105</v>
      </c>
      <c r="BW296" s="2">
        <v>92269</v>
      </c>
      <c r="BX296" t="s">
        <v>105</v>
      </c>
      <c r="BZ296" t="s">
        <v>167</v>
      </c>
      <c r="CA296" t="str">
        <f t="shared" si="16"/>
        <v>7/1/2020 - 6/30/2021</v>
      </c>
      <c r="CF296">
        <v>1</v>
      </c>
      <c r="CG296" t="s">
        <v>98</v>
      </c>
      <c r="CH296" t="s">
        <v>98</v>
      </c>
      <c r="CI296" t="s">
        <v>206</v>
      </c>
      <c r="CJ296" t="s">
        <v>98</v>
      </c>
      <c r="CK296" t="s">
        <v>12323</v>
      </c>
      <c r="CL296" t="s">
        <v>108</v>
      </c>
      <c r="CM296" t="s">
        <v>109</v>
      </c>
      <c r="CN296" t="str">
        <f>""</f>
        <v/>
      </c>
      <c r="CO296" t="str">
        <f>""</f>
        <v/>
      </c>
      <c r="CP296" t="str">
        <f>""</f>
        <v/>
      </c>
      <c r="CQ296" t="str">
        <f>""</f>
        <v/>
      </c>
    </row>
    <row r="297" spans="1:96" x14ac:dyDescent="0.2">
      <c r="A297" t="s">
        <v>11622</v>
      </c>
      <c r="B297" t="s">
        <v>96</v>
      </c>
      <c r="C297" s="1">
        <v>44098</v>
      </c>
      <c r="D297" s="1">
        <v>44105</v>
      </c>
      <c r="F297" t="s">
        <v>97</v>
      </c>
      <c r="G297" t="str">
        <f>"SOFTWARE QUALITY ASSURANCE ENGINEER AND TESTER"</f>
        <v>SOFTWARE QUALITY ASSURANCE ENGINEER AND TESTER</v>
      </c>
      <c r="H297" t="s">
        <v>12168</v>
      </c>
      <c r="I297" t="s">
        <v>319</v>
      </c>
      <c r="J297" t="s">
        <v>98</v>
      </c>
      <c r="K297" s="1">
        <v>44228</v>
      </c>
      <c r="L297" s="1">
        <v>45322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 t="s">
        <v>503</v>
      </c>
      <c r="U297" t="str">
        <f>""</f>
        <v/>
      </c>
      <c r="V297" t="s">
        <v>504</v>
      </c>
      <c r="W297" t="str">
        <f>"SUITE 102"</f>
        <v>SUITE 102</v>
      </c>
      <c r="X297" t="s">
        <v>162</v>
      </c>
      <c r="Y297" t="s">
        <v>100</v>
      </c>
      <c r="Z297" s="3">
        <v>8536</v>
      </c>
      <c r="AA297" t="s">
        <v>101</v>
      </c>
      <c r="AB297" t="s">
        <v>505</v>
      </c>
      <c r="AC297" s="4" t="str">
        <f>"+16096069010"</f>
        <v>+16096069010</v>
      </c>
      <c r="AD297">
        <v>1253</v>
      </c>
      <c r="AE297" t="str">
        <f>"541511"</f>
        <v>541511</v>
      </c>
      <c r="AF297" t="s">
        <v>1030</v>
      </c>
      <c r="AG297" t="s">
        <v>1031</v>
      </c>
      <c r="AH297" t="s">
        <v>108</v>
      </c>
      <c r="AI297" t="s">
        <v>425</v>
      </c>
      <c r="AJ297" t="s">
        <v>504</v>
      </c>
      <c r="AK297" t="str">
        <f>"SUITE 102"</f>
        <v>SUITE 102</v>
      </c>
      <c r="AL297" t="s">
        <v>162</v>
      </c>
      <c r="AM297" t="s">
        <v>100</v>
      </c>
      <c r="AN297" s="3">
        <v>8536</v>
      </c>
      <c r="AO297" t="s">
        <v>101</v>
      </c>
      <c r="AQ297" t="str">
        <f>"+16096069010"</f>
        <v>+16096069010</v>
      </c>
      <c r="AR297">
        <v>1253</v>
      </c>
      <c r="AS297" t="s">
        <v>509</v>
      </c>
      <c r="AT297" t="s">
        <v>102</v>
      </c>
      <c r="AU297" t="str">
        <f>""</f>
        <v/>
      </c>
      <c r="AV297" t="str">
        <f>""</f>
        <v/>
      </c>
      <c r="AW297" t="str">
        <f>""</f>
        <v/>
      </c>
      <c r="AX297" t="str">
        <f>""</f>
        <v/>
      </c>
      <c r="AY297" t="str">
        <f>""</f>
        <v/>
      </c>
      <c r="AZ297" t="str">
        <f>""</f>
        <v/>
      </c>
      <c r="BA297" t="str">
        <f>""</f>
        <v/>
      </c>
      <c r="BC297" t="str">
        <f>""</f>
        <v/>
      </c>
      <c r="BD297" t="str">
        <f>""</f>
        <v/>
      </c>
      <c r="BE297" t="str">
        <f>""</f>
        <v/>
      </c>
      <c r="BF297" t="str">
        <f>""</f>
        <v/>
      </c>
      <c r="BG297" t="str">
        <f>""</f>
        <v/>
      </c>
      <c r="BH297" t="str">
        <f>""</f>
        <v/>
      </c>
      <c r="BI297" t="str">
        <f>""</f>
        <v/>
      </c>
      <c r="BJ297" t="str">
        <f>""</f>
        <v/>
      </c>
      <c r="BK297">
        <v>1</v>
      </c>
      <c r="BL297" t="s">
        <v>107</v>
      </c>
      <c r="BM297" t="str">
        <f>"MERCK &amp; CO. INC."</f>
        <v>MERCK &amp; CO. INC.</v>
      </c>
      <c r="BN297" t="s">
        <v>6780</v>
      </c>
      <c r="BP297" t="s">
        <v>6433</v>
      </c>
      <c r="BQ297" t="s">
        <v>535</v>
      </c>
      <c r="BR297" t="s">
        <v>100</v>
      </c>
      <c r="BS297" s="5">
        <v>8876</v>
      </c>
      <c r="BT297" s="2">
        <v>74250</v>
      </c>
      <c r="BU297" s="2">
        <v>93750</v>
      </c>
      <c r="BV297" t="s">
        <v>105</v>
      </c>
      <c r="BW297" s="2">
        <v>67766</v>
      </c>
      <c r="BX297" t="s">
        <v>105</v>
      </c>
      <c r="BZ297" t="s">
        <v>167</v>
      </c>
      <c r="CA297" t="str">
        <f t="shared" si="16"/>
        <v>7/1/2020 - 6/30/2021</v>
      </c>
      <c r="CF297">
        <v>2</v>
      </c>
      <c r="CG297" t="s">
        <v>98</v>
      </c>
      <c r="CH297" t="s">
        <v>98</v>
      </c>
      <c r="CI297" t="s">
        <v>206</v>
      </c>
      <c r="CJ297" t="s">
        <v>98</v>
      </c>
      <c r="CK297" t="s">
        <v>12323</v>
      </c>
      <c r="CL297" t="s">
        <v>108</v>
      </c>
      <c r="CM297" t="s">
        <v>109</v>
      </c>
      <c r="CN297" t="str">
        <f>"N/A"</f>
        <v>N/A</v>
      </c>
      <c r="CO297" t="str">
        <f>"N/A"</f>
        <v>N/A</v>
      </c>
      <c r="CP297" t="str">
        <f>"N/A"</f>
        <v>N/A</v>
      </c>
      <c r="CQ297" t="str">
        <f>"COMPUNNEL SOFTWARE GROUP, INC."</f>
        <v>COMPUNNEL SOFTWARE GROUP, INC.</v>
      </c>
      <c r="CR297" t="s">
        <v>509</v>
      </c>
    </row>
    <row r="298" spans="1:96" x14ac:dyDescent="0.2">
      <c r="A298" t="s">
        <v>11625</v>
      </c>
      <c r="B298" t="s">
        <v>96</v>
      </c>
      <c r="C298" s="1">
        <v>44098</v>
      </c>
      <c r="D298" s="1">
        <v>44105</v>
      </c>
      <c r="F298" t="s">
        <v>97</v>
      </c>
      <c r="G298" t="str">
        <f>"Manager JC50"</f>
        <v>Manager JC50</v>
      </c>
      <c r="H298" t="s">
        <v>12181</v>
      </c>
      <c r="I298" t="s">
        <v>110</v>
      </c>
      <c r="J298" t="s">
        <v>98</v>
      </c>
      <c r="K298" s="1">
        <v>44231</v>
      </c>
      <c r="L298" s="1">
        <v>45325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 t="s">
        <v>111</v>
      </c>
      <c r="U298" t="str">
        <f>"CTSUS"</f>
        <v>CTSUS</v>
      </c>
      <c r="V298" t="s">
        <v>112</v>
      </c>
      <c r="W298" t="str">
        <f>""</f>
        <v/>
      </c>
      <c r="X298" t="s">
        <v>113</v>
      </c>
      <c r="Y298" t="s">
        <v>114</v>
      </c>
      <c r="Z298" s="3">
        <v>77845</v>
      </c>
      <c r="AA298" t="s">
        <v>101</v>
      </c>
      <c r="AB298" t="s">
        <v>114</v>
      </c>
      <c r="AC298" s="4" t="str">
        <f>"+19793296682"</f>
        <v>+19793296682</v>
      </c>
      <c r="AE298" t="str">
        <f>"541512"</f>
        <v>541512</v>
      </c>
      <c r="AF298" t="s">
        <v>115</v>
      </c>
      <c r="AG298" t="s">
        <v>116</v>
      </c>
      <c r="AH298" t="s">
        <v>108</v>
      </c>
      <c r="AI298" t="s">
        <v>117</v>
      </c>
      <c r="AJ298" t="s">
        <v>118</v>
      </c>
      <c r="AK298" t="str">
        <f>""</f>
        <v/>
      </c>
      <c r="AL298" t="s">
        <v>119</v>
      </c>
      <c r="AM298" t="s">
        <v>114</v>
      </c>
      <c r="AN298" s="3">
        <v>77845</v>
      </c>
      <c r="AO298" t="s">
        <v>101</v>
      </c>
      <c r="AQ298" t="str">
        <f>"+19793296682"</f>
        <v>+19793296682</v>
      </c>
      <c r="AS298" t="s">
        <v>120</v>
      </c>
      <c r="AT298" t="s">
        <v>102</v>
      </c>
      <c r="AU298" t="str">
        <f>""</f>
        <v/>
      </c>
      <c r="AV298" t="str">
        <f>""</f>
        <v/>
      </c>
      <c r="AW298" t="str">
        <f>""</f>
        <v/>
      </c>
      <c r="AX298" t="str">
        <f>""</f>
        <v/>
      </c>
      <c r="AY298" t="str">
        <f>""</f>
        <v/>
      </c>
      <c r="AZ298" t="str">
        <f>""</f>
        <v/>
      </c>
      <c r="BA298" t="str">
        <f>""</f>
        <v/>
      </c>
      <c r="BC298" t="str">
        <f>""</f>
        <v/>
      </c>
      <c r="BD298" t="str">
        <f>""</f>
        <v/>
      </c>
      <c r="BE298" t="str">
        <f>""</f>
        <v/>
      </c>
      <c r="BF298" t="str">
        <f>""</f>
        <v/>
      </c>
      <c r="BG298" t="str">
        <f>""</f>
        <v/>
      </c>
      <c r="BH298" t="str">
        <f>""</f>
        <v/>
      </c>
      <c r="BI298" t="str">
        <f>""</f>
        <v/>
      </c>
      <c r="BJ298" t="str">
        <f>""</f>
        <v/>
      </c>
      <c r="BK298">
        <v>1</v>
      </c>
      <c r="BL298" t="s">
        <v>107</v>
      </c>
      <c r="BM298" t="str">
        <f>"Kimberly-Clark Corporation"</f>
        <v>Kimberly-Clark Corporation</v>
      </c>
      <c r="BN298" t="s">
        <v>11626</v>
      </c>
      <c r="BP298" t="s">
        <v>6134</v>
      </c>
      <c r="BQ298" t="s">
        <v>1306</v>
      </c>
      <c r="BR298" t="s">
        <v>330</v>
      </c>
      <c r="BS298" s="5">
        <v>54956</v>
      </c>
      <c r="BT298" s="2">
        <v>94141</v>
      </c>
      <c r="BV298" t="s">
        <v>105</v>
      </c>
      <c r="BW298" s="2">
        <v>94141</v>
      </c>
      <c r="BX298" t="s">
        <v>105</v>
      </c>
      <c r="BZ298" t="s">
        <v>123</v>
      </c>
      <c r="CA298" t="str">
        <f t="shared" si="16"/>
        <v>7/1/2020 - 6/30/2021</v>
      </c>
      <c r="CF298">
        <v>1</v>
      </c>
      <c r="CG298" t="s">
        <v>98</v>
      </c>
      <c r="CH298" t="s">
        <v>98</v>
      </c>
      <c r="CI298" t="s">
        <v>206</v>
      </c>
      <c r="CJ298" t="s">
        <v>98</v>
      </c>
      <c r="CK298" t="s">
        <v>12323</v>
      </c>
      <c r="CL298" t="s">
        <v>108</v>
      </c>
      <c r="CM298" t="s">
        <v>109</v>
      </c>
      <c r="CN298" t="str">
        <f>""</f>
        <v/>
      </c>
      <c r="CO298" t="str">
        <f>""</f>
        <v/>
      </c>
      <c r="CP298" t="str">
        <f>""</f>
        <v/>
      </c>
      <c r="CQ298" t="str">
        <f>""</f>
        <v/>
      </c>
    </row>
    <row r="299" spans="1:96" x14ac:dyDescent="0.2">
      <c r="A299" t="s">
        <v>11630</v>
      </c>
      <c r="B299" t="s">
        <v>96</v>
      </c>
      <c r="C299" s="1">
        <v>44098</v>
      </c>
      <c r="D299" s="1">
        <v>44105</v>
      </c>
      <c r="F299" t="s">
        <v>97</v>
      </c>
      <c r="G299" t="str">
        <f>"TEST SPECIALIST"</f>
        <v>TEST SPECIALIST</v>
      </c>
      <c r="H299" t="s">
        <v>12168</v>
      </c>
      <c r="I299" t="s">
        <v>319</v>
      </c>
      <c r="J299" t="s">
        <v>98</v>
      </c>
      <c r="K299" s="1">
        <v>44105</v>
      </c>
      <c r="L299" s="1">
        <v>45192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 t="s">
        <v>1143</v>
      </c>
      <c r="U299" t="str">
        <f>""</f>
        <v/>
      </c>
      <c r="V299" t="s">
        <v>1144</v>
      </c>
      <c r="W299" t="str">
        <f>"N/A"</f>
        <v>N/A</v>
      </c>
      <c r="X299" t="s">
        <v>1145</v>
      </c>
      <c r="Y299" t="s">
        <v>100</v>
      </c>
      <c r="Z299" s="3">
        <v>7059</v>
      </c>
      <c r="AA299" t="s">
        <v>101</v>
      </c>
      <c r="AC299" s="4" t="str">
        <f>"+14254959011"</f>
        <v>+14254959011</v>
      </c>
      <c r="AE299" t="str">
        <f>"541511"</f>
        <v>541511</v>
      </c>
      <c r="AF299" t="s">
        <v>1146</v>
      </c>
      <c r="AG299" t="s">
        <v>359</v>
      </c>
      <c r="AH299" t="s">
        <v>108</v>
      </c>
      <c r="AI299" t="s">
        <v>1147</v>
      </c>
      <c r="AJ299" t="s">
        <v>1148</v>
      </c>
      <c r="AK299" t="str">
        <f>"N/A"</f>
        <v>N/A</v>
      </c>
      <c r="AL299" t="s">
        <v>498</v>
      </c>
      <c r="AM299" t="s">
        <v>176</v>
      </c>
      <c r="AN299" s="3">
        <v>98052</v>
      </c>
      <c r="AO299" t="s">
        <v>101</v>
      </c>
      <c r="AQ299" t="str">
        <f>"+14254959011"</f>
        <v>+14254959011</v>
      </c>
      <c r="AS299" t="s">
        <v>1149</v>
      </c>
      <c r="AT299" t="s">
        <v>107</v>
      </c>
      <c r="AU299" t="str">
        <f>"PATEL"</f>
        <v>PATEL</v>
      </c>
      <c r="AV299" t="str">
        <f>"TEJAL"</f>
        <v>TEJAL</v>
      </c>
      <c r="AW299" t="str">
        <f>""</f>
        <v/>
      </c>
      <c r="AX299" t="str">
        <f>"100 HIGH STREET"</f>
        <v>100 HIGH STREET</v>
      </c>
      <c r="AY299" t="str">
        <f>"FLOOR 3"</f>
        <v>FLOOR 3</v>
      </c>
      <c r="AZ299" t="str">
        <f>"BOSTON"</f>
        <v>BOSTON</v>
      </c>
      <c r="BA299" t="str">
        <f>"MA"</f>
        <v>MA</v>
      </c>
      <c r="BB299" s="3">
        <v>2110</v>
      </c>
      <c r="BC299" t="str">
        <f>"UNITED STATES OF AMERICA"</f>
        <v>UNITED STATES OF AMERICA</v>
      </c>
      <c r="BD299" t="str">
        <f>""</f>
        <v/>
      </c>
      <c r="BE299" t="str">
        <f>"+16175740400"</f>
        <v>+16175740400</v>
      </c>
      <c r="BF299" t="str">
        <f>""</f>
        <v/>
      </c>
      <c r="BG299" t="str">
        <f>"MINDTREEUSA@FRAGOMEN.COM"</f>
        <v>MINDTREEUSA@FRAGOMEN.COM</v>
      </c>
      <c r="BH299" t="str">
        <f>"FRAGOMEN, DEL REY, BERNSEN &amp; LOEWY, LLP"</f>
        <v>FRAGOMEN, DEL REY, BERNSEN &amp; LOEWY, LLP</v>
      </c>
      <c r="BI299" t="str">
        <f>"MA"</f>
        <v>MA</v>
      </c>
      <c r="BJ299" t="str">
        <f>"SUPREME JUDICIAL COURT"</f>
        <v>SUPREME JUDICIAL COURT</v>
      </c>
      <c r="BK299">
        <v>1</v>
      </c>
      <c r="BL299" t="s">
        <v>102</v>
      </c>
      <c r="BM299" t="str">
        <f>""</f>
        <v/>
      </c>
      <c r="BN299" t="s">
        <v>2560</v>
      </c>
      <c r="BP299" t="s">
        <v>498</v>
      </c>
      <c r="BQ299" t="s">
        <v>183</v>
      </c>
      <c r="BR299" t="s">
        <v>176</v>
      </c>
      <c r="BS299" s="5">
        <v>98052</v>
      </c>
      <c r="BT299" s="2">
        <v>81500</v>
      </c>
      <c r="BV299" t="s">
        <v>105</v>
      </c>
      <c r="BW299" s="2">
        <v>77875</v>
      </c>
      <c r="BX299" t="s">
        <v>105</v>
      </c>
      <c r="BZ299" t="s">
        <v>167</v>
      </c>
      <c r="CA299" t="str">
        <f t="shared" si="16"/>
        <v>7/1/2020 - 6/30/2021</v>
      </c>
      <c r="CF299">
        <v>3</v>
      </c>
      <c r="CG299" t="s">
        <v>98</v>
      </c>
      <c r="CH299" t="s">
        <v>98</v>
      </c>
      <c r="CI299" t="s">
        <v>206</v>
      </c>
      <c r="CJ299" t="s">
        <v>98</v>
      </c>
      <c r="CK299" t="s">
        <v>12323</v>
      </c>
      <c r="CL299" t="s">
        <v>108</v>
      </c>
      <c r="CM299" t="s">
        <v>109</v>
      </c>
      <c r="CN299" t="str">
        <f>"SHAJI"</f>
        <v>SHAJI</v>
      </c>
      <c r="CO299" t="str">
        <f>"SHRUTHI"</f>
        <v>SHRUTHI</v>
      </c>
      <c r="CP299" t="str">
        <f>"N/A"</f>
        <v>N/A</v>
      </c>
      <c r="CQ299" t="str">
        <f>"FRAGOMEN, DEL REY, BERNSEN &amp; LOEWY, LLP"</f>
        <v>FRAGOMEN, DEL REY, BERNSEN &amp; LOEWY, LLP</v>
      </c>
      <c r="CR299" t="s">
        <v>1150</v>
      </c>
    </row>
    <row r="300" spans="1:96" x14ac:dyDescent="0.2">
      <c r="A300" t="s">
        <v>11638</v>
      </c>
      <c r="B300" t="s">
        <v>96</v>
      </c>
      <c r="C300" s="1">
        <v>44098</v>
      </c>
      <c r="D300" s="1">
        <v>44105</v>
      </c>
      <c r="F300" t="s">
        <v>97</v>
      </c>
      <c r="G300" t="str">
        <f>"DEVELOPER USER INTERFACE"</f>
        <v>DEVELOPER USER INTERFACE</v>
      </c>
      <c r="H300" t="s">
        <v>12272</v>
      </c>
      <c r="I300" t="s">
        <v>1486</v>
      </c>
      <c r="J300" t="s">
        <v>98</v>
      </c>
      <c r="K300" s="1">
        <v>44098</v>
      </c>
      <c r="L300" s="1">
        <v>45184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 t="s">
        <v>864</v>
      </c>
      <c r="U300" t="str">
        <f>""</f>
        <v/>
      </c>
      <c r="V300" t="s">
        <v>865</v>
      </c>
      <c r="W300" t="str">
        <f>"SUITE 320"</f>
        <v>SUITE 320</v>
      </c>
      <c r="X300" t="s">
        <v>866</v>
      </c>
      <c r="Y300" t="s">
        <v>195</v>
      </c>
      <c r="Z300" s="3">
        <v>20850</v>
      </c>
      <c r="AA300" t="s">
        <v>101</v>
      </c>
      <c r="AC300" s="4" t="str">
        <f>"+13012319083"</f>
        <v>+13012319083</v>
      </c>
      <c r="AE300" t="str">
        <f>"541511"</f>
        <v>541511</v>
      </c>
      <c r="AF300" t="s">
        <v>867</v>
      </c>
      <c r="AG300" t="s">
        <v>868</v>
      </c>
      <c r="AH300" t="s">
        <v>108</v>
      </c>
      <c r="AI300" t="s">
        <v>869</v>
      </c>
      <c r="AJ300" t="s">
        <v>865</v>
      </c>
      <c r="AK300" t="str">
        <f>"SUITE 320"</f>
        <v>SUITE 320</v>
      </c>
      <c r="AL300" t="s">
        <v>866</v>
      </c>
      <c r="AM300" t="s">
        <v>195</v>
      </c>
      <c r="AN300" s="3">
        <v>20850</v>
      </c>
      <c r="AO300" t="s">
        <v>101</v>
      </c>
      <c r="AQ300" t="str">
        <f>"+13012319083"</f>
        <v>+13012319083</v>
      </c>
      <c r="AS300" t="s">
        <v>870</v>
      </c>
      <c r="AT300" t="s">
        <v>107</v>
      </c>
      <c r="AU300" t="str">
        <f>"MUHLENKAMP"</f>
        <v>MUHLENKAMP</v>
      </c>
      <c r="AV300" t="str">
        <f>"PRISCILLA"</f>
        <v>PRISCILLA</v>
      </c>
      <c r="AW300" t="str">
        <f>"H."</f>
        <v>H.</v>
      </c>
      <c r="AX300" t="str">
        <f>"1101 15TH STREET NW"</f>
        <v>1101 15TH STREET NW</v>
      </c>
      <c r="AY300" t="str">
        <f>"SUITE 700"</f>
        <v>SUITE 700</v>
      </c>
      <c r="AZ300" t="str">
        <f>"WASHINGTON"</f>
        <v>WASHINGTON</v>
      </c>
      <c r="BA300" t="str">
        <f>"DC"</f>
        <v>DC</v>
      </c>
      <c r="BB300" s="3">
        <v>20005</v>
      </c>
      <c r="BC300" t="str">
        <f>"UNITED STATES OF AMERICA"</f>
        <v>UNITED STATES OF AMERICA</v>
      </c>
      <c r="BD300" t="str">
        <f>""</f>
        <v/>
      </c>
      <c r="BE300" t="str">
        <f>"+12022235515"</f>
        <v>+12022235515</v>
      </c>
      <c r="BF300" t="str">
        <f>""</f>
        <v/>
      </c>
      <c r="BG300" t="str">
        <f>"TCSLCA@FRAGOMEN.COM"</f>
        <v>TCSLCA@FRAGOMEN.COM</v>
      </c>
      <c r="BH300" t="str">
        <f>"FRAGOMEN, DEL REY, BERNSEN &amp; LOEWY LLP"</f>
        <v>FRAGOMEN, DEL REY, BERNSEN &amp; LOEWY LLP</v>
      </c>
      <c r="BI300" t="str">
        <f>"DC"</f>
        <v>DC</v>
      </c>
      <c r="BJ300" t="str">
        <f>"DISTRICT OF COLUMBIA COURT OF APPEALS"</f>
        <v>DISTRICT OF COLUMBIA COURT OF APPEALS</v>
      </c>
      <c r="BK300">
        <v>1</v>
      </c>
      <c r="BL300" t="s">
        <v>107</v>
      </c>
      <c r="BM300" t="str">
        <f>"GE TRANSPORTATION PARTS LLC, A WABTEC COMPANY"</f>
        <v>GE TRANSPORTATION PARTS LLC, A WABTEC COMPANY</v>
      </c>
      <c r="BN300" t="s">
        <v>11639</v>
      </c>
      <c r="BP300" t="s">
        <v>2775</v>
      </c>
      <c r="BQ300" t="s">
        <v>792</v>
      </c>
      <c r="BR300" t="s">
        <v>114</v>
      </c>
      <c r="BS300" s="5">
        <v>76177</v>
      </c>
      <c r="BT300" s="2">
        <v>60819</v>
      </c>
      <c r="BU300" s="2">
        <v>93100</v>
      </c>
      <c r="BV300" t="s">
        <v>105</v>
      </c>
      <c r="BW300" s="2">
        <v>60819</v>
      </c>
      <c r="BX300" t="s">
        <v>105</v>
      </c>
      <c r="BZ300" t="s">
        <v>167</v>
      </c>
      <c r="CA300" t="str">
        <f t="shared" si="16"/>
        <v>7/1/2020 - 6/30/2021</v>
      </c>
      <c r="CF300">
        <v>1</v>
      </c>
      <c r="CG300" t="s">
        <v>98</v>
      </c>
      <c r="CH300" t="s">
        <v>98</v>
      </c>
      <c r="CI300" t="s">
        <v>206</v>
      </c>
      <c r="CJ300" t="s">
        <v>98</v>
      </c>
      <c r="CK300" t="s">
        <v>12323</v>
      </c>
      <c r="CL300" t="s">
        <v>108</v>
      </c>
      <c r="CM300" t="s">
        <v>109</v>
      </c>
      <c r="CN300" t="str">
        <f>""</f>
        <v/>
      </c>
      <c r="CO300" t="str">
        <f>""</f>
        <v/>
      </c>
      <c r="CP300" t="str">
        <f>""</f>
        <v/>
      </c>
      <c r="CQ300" t="str">
        <f>""</f>
        <v/>
      </c>
    </row>
    <row r="301" spans="1:96" x14ac:dyDescent="0.2">
      <c r="A301" t="s">
        <v>11642</v>
      </c>
      <c r="B301" t="s">
        <v>96</v>
      </c>
      <c r="C301" s="1">
        <v>44098</v>
      </c>
      <c r="D301" s="1">
        <v>44105</v>
      </c>
      <c r="F301" t="s">
        <v>97</v>
      </c>
      <c r="G301" t="str">
        <f>"Developer"</f>
        <v>Developer</v>
      </c>
      <c r="H301" t="s">
        <v>12239</v>
      </c>
      <c r="I301" t="s">
        <v>378</v>
      </c>
      <c r="J301" t="s">
        <v>98</v>
      </c>
      <c r="K301" s="1">
        <v>44111</v>
      </c>
      <c r="L301" s="1">
        <v>45205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 t="s">
        <v>379</v>
      </c>
      <c r="U301" t="str">
        <f>""</f>
        <v/>
      </c>
      <c r="V301" t="s">
        <v>380</v>
      </c>
      <c r="W301" t="str">
        <f>"Suite 320"</f>
        <v>Suite 320</v>
      </c>
      <c r="X301" t="s">
        <v>381</v>
      </c>
      <c r="Y301" t="s">
        <v>195</v>
      </c>
      <c r="Z301" s="3">
        <v>20850</v>
      </c>
      <c r="AA301" t="s">
        <v>101</v>
      </c>
      <c r="AB301" t="s">
        <v>382</v>
      </c>
      <c r="AC301" s="4" t="str">
        <f>"+13012319083"</f>
        <v>+13012319083</v>
      </c>
      <c r="AE301" t="str">
        <f>"541511"</f>
        <v>541511</v>
      </c>
      <c r="AF301" t="s">
        <v>383</v>
      </c>
      <c r="AG301" t="s">
        <v>384</v>
      </c>
      <c r="AI301" t="s">
        <v>385</v>
      </c>
      <c r="AJ301" t="s">
        <v>386</v>
      </c>
      <c r="AK301" t="str">
        <f>"Suite 320"</f>
        <v>Suite 320</v>
      </c>
      <c r="AL301" t="s">
        <v>381</v>
      </c>
      <c r="AM301" t="s">
        <v>195</v>
      </c>
      <c r="AN301" s="3">
        <v>20850</v>
      </c>
      <c r="AO301" t="s">
        <v>101</v>
      </c>
      <c r="AQ301" t="str">
        <f>"+13012319083"</f>
        <v>+13012319083</v>
      </c>
      <c r="AS301" t="s">
        <v>387</v>
      </c>
      <c r="AT301" t="s">
        <v>107</v>
      </c>
      <c r="AU301" t="str">
        <f>"Uribe"</f>
        <v>Uribe</v>
      </c>
      <c r="AV301" t="str">
        <f>"Elmer"</f>
        <v>Elmer</v>
      </c>
      <c r="AW301" t="str">
        <f>"Martin"</f>
        <v>Martin</v>
      </c>
      <c r="AX301" t="str">
        <f>"12100 Sunset Hills Rd"</f>
        <v>12100 Sunset Hills Rd</v>
      </c>
      <c r="AY301" t="str">
        <f>"Ste. 301"</f>
        <v>Ste. 301</v>
      </c>
      <c r="AZ301" t="str">
        <f>"Reston"</f>
        <v>Reston</v>
      </c>
      <c r="BA301" t="str">
        <f>"VA"</f>
        <v>VA</v>
      </c>
      <c r="BB301" s="3">
        <v>20190</v>
      </c>
      <c r="BC301" t="str">
        <f>"UNITED STATES OF AMERICA"</f>
        <v>UNITED STATES OF AMERICA</v>
      </c>
      <c r="BD301" t="str">
        <f>""</f>
        <v/>
      </c>
      <c r="BE301" t="str">
        <f>"+17037969898"</f>
        <v>+17037969898</v>
      </c>
      <c r="BF301" t="str">
        <f>"117"</f>
        <v>117</v>
      </c>
      <c r="BG301" t="str">
        <f>"martin.uribe@goellaw.com"</f>
        <v>martin.uribe@goellaw.com</v>
      </c>
      <c r="BH301" t="str">
        <f>"Goel &amp; Anderson, LLC"</f>
        <v>Goel &amp; Anderson, LLC</v>
      </c>
      <c r="BI301" t="str">
        <f>"MD"</f>
        <v>MD</v>
      </c>
      <c r="BJ301" t="str">
        <f>"Court of Appeals"</f>
        <v>Court of Appeals</v>
      </c>
      <c r="BK301">
        <v>1</v>
      </c>
      <c r="BL301" t="s">
        <v>107</v>
      </c>
      <c r="BM301" t="str">
        <f>"Caresource Management Services LLC"</f>
        <v>Caresource Management Services LLC</v>
      </c>
      <c r="BN301" t="s">
        <v>4103</v>
      </c>
      <c r="BP301" t="s">
        <v>2631</v>
      </c>
      <c r="BQ301" t="s">
        <v>529</v>
      </c>
      <c r="BR301" t="s">
        <v>225</v>
      </c>
      <c r="BS301" s="5">
        <v>45402</v>
      </c>
      <c r="BT301" s="2">
        <v>105000</v>
      </c>
      <c r="BU301" s="2">
        <v>125000</v>
      </c>
      <c r="BV301" t="s">
        <v>105</v>
      </c>
      <c r="BW301" s="2">
        <v>75566</v>
      </c>
      <c r="BX301" t="s">
        <v>105</v>
      </c>
      <c r="BZ301" t="s">
        <v>123</v>
      </c>
      <c r="CA301" t="str">
        <f t="shared" si="16"/>
        <v>7/1/2020 - 6/30/2021</v>
      </c>
      <c r="CF301">
        <v>1</v>
      </c>
      <c r="CG301" t="s">
        <v>98</v>
      </c>
      <c r="CH301" t="s">
        <v>98</v>
      </c>
      <c r="CI301" t="s">
        <v>206</v>
      </c>
      <c r="CJ301" t="s">
        <v>98</v>
      </c>
      <c r="CK301" t="s">
        <v>12323</v>
      </c>
      <c r="CL301" t="s">
        <v>108</v>
      </c>
      <c r="CM301" t="s">
        <v>109</v>
      </c>
      <c r="CN301" t="str">
        <f>"Uribe"</f>
        <v>Uribe</v>
      </c>
      <c r="CO301" t="str">
        <f>"E. Martin"</f>
        <v>E. Martin</v>
      </c>
      <c r="CP301" t="str">
        <f>""</f>
        <v/>
      </c>
      <c r="CQ301" t="str">
        <f>"Goel &amp; Anderson LLC"</f>
        <v>Goel &amp; Anderson LLC</v>
      </c>
      <c r="CR301" t="s">
        <v>389</v>
      </c>
    </row>
    <row r="302" spans="1:96" x14ac:dyDescent="0.2">
      <c r="A302" t="s">
        <v>11672</v>
      </c>
      <c r="B302" t="s">
        <v>96</v>
      </c>
      <c r="C302" s="1">
        <v>44098</v>
      </c>
      <c r="D302" s="1">
        <v>44105</v>
      </c>
      <c r="F302" t="s">
        <v>97</v>
      </c>
      <c r="G302" t="str">
        <f>"System Analyst JC65"</f>
        <v>System Analyst JC65</v>
      </c>
      <c r="H302" t="s">
        <v>12181</v>
      </c>
      <c r="I302" t="s">
        <v>110</v>
      </c>
      <c r="J302" t="s">
        <v>98</v>
      </c>
      <c r="K302" s="1">
        <v>44237</v>
      </c>
      <c r="L302" s="1">
        <v>45331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 t="s">
        <v>111</v>
      </c>
      <c r="U302" t="str">
        <f>"CTSUS"</f>
        <v>CTSUS</v>
      </c>
      <c r="V302" t="s">
        <v>112</v>
      </c>
      <c r="W302" t="str">
        <f>""</f>
        <v/>
      </c>
      <c r="X302" t="s">
        <v>113</v>
      </c>
      <c r="Y302" t="s">
        <v>114</v>
      </c>
      <c r="Z302" s="3">
        <v>77845</v>
      </c>
      <c r="AA302" t="s">
        <v>101</v>
      </c>
      <c r="AB302" t="s">
        <v>114</v>
      </c>
      <c r="AC302" s="4" t="str">
        <f>"+19793296682"</f>
        <v>+19793296682</v>
      </c>
      <c r="AE302" t="str">
        <f>"541512"</f>
        <v>541512</v>
      </c>
      <c r="AF302" t="s">
        <v>115</v>
      </c>
      <c r="AG302" t="s">
        <v>116</v>
      </c>
      <c r="AH302" t="s">
        <v>108</v>
      </c>
      <c r="AI302" t="s">
        <v>117</v>
      </c>
      <c r="AJ302" t="s">
        <v>118</v>
      </c>
      <c r="AK302" t="str">
        <f>""</f>
        <v/>
      </c>
      <c r="AL302" t="s">
        <v>119</v>
      </c>
      <c r="AM302" t="s">
        <v>114</v>
      </c>
      <c r="AN302" s="3">
        <v>77845</v>
      </c>
      <c r="AO302" t="s">
        <v>101</v>
      </c>
      <c r="AQ302" t="str">
        <f>"+19793296682"</f>
        <v>+19793296682</v>
      </c>
      <c r="AS302" t="s">
        <v>120</v>
      </c>
      <c r="AT302" t="s">
        <v>102</v>
      </c>
      <c r="AU302" t="str">
        <f>""</f>
        <v/>
      </c>
      <c r="AV302" t="str">
        <f>""</f>
        <v/>
      </c>
      <c r="AW302" t="str">
        <f>""</f>
        <v/>
      </c>
      <c r="AX302" t="str">
        <f>""</f>
        <v/>
      </c>
      <c r="AY302" t="str">
        <f>""</f>
        <v/>
      </c>
      <c r="AZ302" t="str">
        <f>""</f>
        <v/>
      </c>
      <c r="BA302" t="str">
        <f>""</f>
        <v/>
      </c>
      <c r="BC302" t="str">
        <f>""</f>
        <v/>
      </c>
      <c r="BD302" t="str">
        <f>""</f>
        <v/>
      </c>
      <c r="BE302" t="str">
        <f>""</f>
        <v/>
      </c>
      <c r="BF302" t="str">
        <f>""</f>
        <v/>
      </c>
      <c r="BG302" t="str">
        <f>""</f>
        <v/>
      </c>
      <c r="BH302" t="str">
        <f>""</f>
        <v/>
      </c>
      <c r="BI302" t="str">
        <f>""</f>
        <v/>
      </c>
      <c r="BJ302" t="str">
        <f>""</f>
        <v/>
      </c>
      <c r="BK302">
        <v>1</v>
      </c>
      <c r="BL302" t="s">
        <v>107</v>
      </c>
      <c r="BM302" t="str">
        <f>"Chubb ACE INA Holdings Inc."</f>
        <v>Chubb ACE INA Holdings Inc.</v>
      </c>
      <c r="BN302" t="s">
        <v>7485</v>
      </c>
      <c r="BP302" t="s">
        <v>218</v>
      </c>
      <c r="BQ302" t="s">
        <v>510</v>
      </c>
      <c r="BR302" t="s">
        <v>127</v>
      </c>
      <c r="BS302" s="5">
        <v>19106</v>
      </c>
      <c r="BT302" s="2">
        <v>88421</v>
      </c>
      <c r="BV302" t="s">
        <v>105</v>
      </c>
      <c r="BW302" s="2">
        <v>88421</v>
      </c>
      <c r="BX302" t="s">
        <v>105</v>
      </c>
      <c r="BZ302" t="s">
        <v>167</v>
      </c>
      <c r="CA302" t="str">
        <f t="shared" si="16"/>
        <v>7/1/2020 - 6/30/2021</v>
      </c>
      <c r="CF302">
        <v>1</v>
      </c>
      <c r="CG302" t="s">
        <v>98</v>
      </c>
      <c r="CH302" t="s">
        <v>98</v>
      </c>
      <c r="CI302" t="s">
        <v>206</v>
      </c>
      <c r="CJ302" t="s">
        <v>98</v>
      </c>
      <c r="CK302" t="s">
        <v>12323</v>
      </c>
      <c r="CL302" t="s">
        <v>108</v>
      </c>
      <c r="CM302" t="s">
        <v>109</v>
      </c>
      <c r="CN302" t="str">
        <f>""</f>
        <v/>
      </c>
      <c r="CO302" t="str">
        <f>""</f>
        <v/>
      </c>
      <c r="CP302" t="str">
        <f>""</f>
        <v/>
      </c>
      <c r="CQ302" t="str">
        <f>""</f>
        <v/>
      </c>
    </row>
    <row r="303" spans="1:96" x14ac:dyDescent="0.2">
      <c r="A303" t="s">
        <v>11695</v>
      </c>
      <c r="B303" t="s">
        <v>96</v>
      </c>
      <c r="C303" s="1">
        <v>44098</v>
      </c>
      <c r="D303" s="1">
        <v>44105</v>
      </c>
      <c r="F303" t="s">
        <v>97</v>
      </c>
      <c r="G303" t="str">
        <f>"Business Systems Analyst 2"</f>
        <v>Business Systems Analyst 2</v>
      </c>
      <c r="H303" t="s">
        <v>12181</v>
      </c>
      <c r="I303" t="s">
        <v>110</v>
      </c>
      <c r="J303" t="s">
        <v>98</v>
      </c>
      <c r="K303" s="1">
        <v>44104</v>
      </c>
      <c r="L303" s="1">
        <v>45198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 t="s">
        <v>1421</v>
      </c>
      <c r="U303" t="str">
        <f>""</f>
        <v/>
      </c>
      <c r="V303" t="s">
        <v>4901</v>
      </c>
      <c r="W303" t="str">
        <f>"Suite 300"</f>
        <v>Suite 300</v>
      </c>
      <c r="X303" t="s">
        <v>833</v>
      </c>
      <c r="Y303" t="s">
        <v>345</v>
      </c>
      <c r="Z303" s="3">
        <v>60606</v>
      </c>
      <c r="AA303" t="s">
        <v>101</v>
      </c>
      <c r="AC303" s="4" t="str">
        <f>"+13123955000"</f>
        <v>+13123955000</v>
      </c>
      <c r="AE303" t="str">
        <f>"5416"</f>
        <v>5416</v>
      </c>
      <c r="AF303" t="s">
        <v>1385</v>
      </c>
      <c r="AG303" t="s">
        <v>1386</v>
      </c>
      <c r="AI303" t="s">
        <v>4902</v>
      </c>
      <c r="AJ303" t="s">
        <v>4566</v>
      </c>
      <c r="AK303" t="str">
        <f>""</f>
        <v/>
      </c>
      <c r="AL303" t="s">
        <v>3243</v>
      </c>
      <c r="AM303" t="s">
        <v>345</v>
      </c>
      <c r="AN303" s="3">
        <v>60018</v>
      </c>
      <c r="AO303" t="s">
        <v>101</v>
      </c>
      <c r="AQ303" t="str">
        <f>"+18473846100"</f>
        <v>+18473846100</v>
      </c>
      <c r="AS303" t="s">
        <v>4903</v>
      </c>
      <c r="AT303" t="s">
        <v>102</v>
      </c>
      <c r="AU303" t="str">
        <f>""</f>
        <v/>
      </c>
      <c r="AV303" t="str">
        <f>""</f>
        <v/>
      </c>
      <c r="AW303" t="str">
        <f>""</f>
        <v/>
      </c>
      <c r="AX303" t="str">
        <f>""</f>
        <v/>
      </c>
      <c r="AY303" t="str">
        <f>""</f>
        <v/>
      </c>
      <c r="AZ303" t="str">
        <f>""</f>
        <v/>
      </c>
      <c r="BA303" t="str">
        <f>""</f>
        <v/>
      </c>
      <c r="BC303" t="str">
        <f>""</f>
        <v/>
      </c>
      <c r="BD303" t="str">
        <f>""</f>
        <v/>
      </c>
      <c r="BE303" t="str">
        <f>""</f>
        <v/>
      </c>
      <c r="BF303" t="str">
        <f>""</f>
        <v/>
      </c>
      <c r="BG303" t="str">
        <f>""</f>
        <v/>
      </c>
      <c r="BH303" t="str">
        <f>""</f>
        <v/>
      </c>
      <c r="BI303" t="str">
        <f>""</f>
        <v/>
      </c>
      <c r="BJ303" t="str">
        <f>""</f>
        <v/>
      </c>
      <c r="BK303">
        <v>1</v>
      </c>
      <c r="BL303" t="s">
        <v>102</v>
      </c>
      <c r="BM303" t="str">
        <f>""</f>
        <v/>
      </c>
      <c r="BN303" t="s">
        <v>11696</v>
      </c>
      <c r="BO303" t="s">
        <v>6296</v>
      </c>
      <c r="BP303" t="s">
        <v>5832</v>
      </c>
      <c r="BQ303" t="s">
        <v>788</v>
      </c>
      <c r="BR303" t="s">
        <v>345</v>
      </c>
      <c r="BS303" s="5">
        <v>60005</v>
      </c>
      <c r="BT303" s="2">
        <v>73882</v>
      </c>
      <c r="BU303" s="2">
        <v>88000</v>
      </c>
      <c r="BV303" t="s">
        <v>105</v>
      </c>
      <c r="BW303" s="2">
        <v>73882</v>
      </c>
      <c r="BX303" t="s">
        <v>105</v>
      </c>
      <c r="BZ303" t="s">
        <v>167</v>
      </c>
      <c r="CA303" t="str">
        <f t="shared" si="16"/>
        <v>7/1/2020 - 6/30/2021</v>
      </c>
      <c r="CF303">
        <v>1</v>
      </c>
      <c r="CG303" t="s">
        <v>98</v>
      </c>
      <c r="CH303" t="s">
        <v>98</v>
      </c>
      <c r="CI303" t="s">
        <v>206</v>
      </c>
      <c r="CJ303" t="s">
        <v>98</v>
      </c>
      <c r="CK303" t="s">
        <v>12323</v>
      </c>
      <c r="CL303" t="s">
        <v>108</v>
      </c>
      <c r="CM303" t="s">
        <v>109</v>
      </c>
      <c r="CN303" t="str">
        <f>""</f>
        <v/>
      </c>
      <c r="CO303" t="str">
        <f>""</f>
        <v/>
      </c>
      <c r="CP303" t="str">
        <f>""</f>
        <v/>
      </c>
      <c r="CQ303" t="str">
        <f>""</f>
        <v/>
      </c>
    </row>
    <row r="304" spans="1:96" x14ac:dyDescent="0.2">
      <c r="A304" t="s">
        <v>11701</v>
      </c>
      <c r="B304" t="s">
        <v>96</v>
      </c>
      <c r="C304" s="1">
        <v>44098</v>
      </c>
      <c r="D304" s="1">
        <v>44105</v>
      </c>
      <c r="F304" t="s">
        <v>97</v>
      </c>
      <c r="G304" t="str">
        <f>"Testing Analyst"</f>
        <v>Testing Analyst</v>
      </c>
      <c r="H304" t="s">
        <v>12168</v>
      </c>
      <c r="I304" t="s">
        <v>319</v>
      </c>
      <c r="J304" t="s">
        <v>98</v>
      </c>
      <c r="K304" s="1">
        <v>44105</v>
      </c>
      <c r="L304" s="1">
        <v>45199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2342</v>
      </c>
      <c r="U304" t="str">
        <f>""</f>
        <v/>
      </c>
      <c r="V304" t="s">
        <v>2343</v>
      </c>
      <c r="W304" t="str">
        <f>"Ste. C &amp; D"</f>
        <v>Ste. C &amp; D</v>
      </c>
      <c r="X304" t="s">
        <v>223</v>
      </c>
      <c r="Y304" t="s">
        <v>225</v>
      </c>
      <c r="Z304" s="3">
        <v>43017</v>
      </c>
      <c r="AA304" t="s">
        <v>101</v>
      </c>
      <c r="AC304" s="4" t="str">
        <f>"+16144959222"</f>
        <v>+16144959222</v>
      </c>
      <c r="AE304" t="str">
        <f t="shared" ref="AE304:AE309" si="17">"541511"</f>
        <v>541511</v>
      </c>
      <c r="AF304" t="s">
        <v>2344</v>
      </c>
      <c r="AG304" t="s">
        <v>1598</v>
      </c>
      <c r="AI304" t="s">
        <v>2149</v>
      </c>
      <c r="AJ304" t="s">
        <v>2343</v>
      </c>
      <c r="AK304" t="str">
        <f>"Ste. C &amp; D"</f>
        <v>Ste. C &amp; D</v>
      </c>
      <c r="AL304" t="s">
        <v>223</v>
      </c>
      <c r="AM304" t="s">
        <v>225</v>
      </c>
      <c r="AN304" s="3">
        <v>43017</v>
      </c>
      <c r="AO304" t="s">
        <v>101</v>
      </c>
      <c r="AQ304" t="str">
        <f>"+16144959222"</f>
        <v>+16144959222</v>
      </c>
      <c r="AS304" t="s">
        <v>2345</v>
      </c>
      <c r="AT304" t="s">
        <v>107</v>
      </c>
      <c r="AU304" t="str">
        <f>"Shihab"</f>
        <v>Shihab</v>
      </c>
      <c r="AV304" t="str">
        <f>"Sam"</f>
        <v>Sam</v>
      </c>
      <c r="AW304" t="str">
        <f>"M."</f>
        <v>M.</v>
      </c>
      <c r="AX304" t="str">
        <f>"565 Metro Place South"</f>
        <v>565 Metro Place South</v>
      </c>
      <c r="AY304" t="str">
        <f>"Suite 100"</f>
        <v>Suite 100</v>
      </c>
      <c r="AZ304" t="str">
        <f>"Dublin"</f>
        <v>Dublin</v>
      </c>
      <c r="BA304" t="str">
        <f>"OH"</f>
        <v>OH</v>
      </c>
      <c r="BB304" s="3">
        <v>43017</v>
      </c>
      <c r="BC304" t="str">
        <f>"UNITED STATES OF AMERICA"</f>
        <v>UNITED STATES OF AMERICA</v>
      </c>
      <c r="BD304" t="str">
        <f>"N/A"</f>
        <v>N/A</v>
      </c>
      <c r="BE304" t="str">
        <f>"+16147910500"</f>
        <v>+16147910500</v>
      </c>
      <c r="BF304" t="str">
        <f>"225"</f>
        <v>225</v>
      </c>
      <c r="BG304" t="str">
        <f>"govnotice@shihablawoffice.com"</f>
        <v>govnotice@shihablawoffice.com</v>
      </c>
      <c r="BH304" t="str">
        <f>"Sam Shihab &amp; Associates, LLC"</f>
        <v>Sam Shihab &amp; Associates, LLC</v>
      </c>
      <c r="BI304" t="str">
        <f>"OH"</f>
        <v>OH</v>
      </c>
      <c r="BJ304" t="str">
        <f>"Supreme Court of Ohio"</f>
        <v>Supreme Court of Ohio</v>
      </c>
      <c r="BK304">
        <v>1</v>
      </c>
      <c r="BL304" t="s">
        <v>107</v>
      </c>
      <c r="BM304" t="str">
        <f>"Farmers Insurance"</f>
        <v>Farmers Insurance</v>
      </c>
      <c r="BN304" t="s">
        <v>1108</v>
      </c>
      <c r="BP304" t="s">
        <v>1109</v>
      </c>
      <c r="BQ304" t="s">
        <v>365</v>
      </c>
      <c r="BR304" t="s">
        <v>141</v>
      </c>
      <c r="BS304" s="5">
        <v>91367</v>
      </c>
      <c r="BT304" s="2">
        <v>103000</v>
      </c>
      <c r="BV304" t="s">
        <v>105</v>
      </c>
      <c r="BW304" s="2">
        <v>85987</v>
      </c>
      <c r="BX304" t="s">
        <v>105</v>
      </c>
      <c r="BZ304" t="s">
        <v>123</v>
      </c>
      <c r="CA304" t="str">
        <f t="shared" si="16"/>
        <v>7/1/2020 - 6/30/2021</v>
      </c>
      <c r="CF304">
        <v>1</v>
      </c>
      <c r="CG304" t="s">
        <v>98</v>
      </c>
      <c r="CH304" t="s">
        <v>98</v>
      </c>
      <c r="CI304" t="s">
        <v>206</v>
      </c>
      <c r="CJ304" t="s">
        <v>98</v>
      </c>
      <c r="CK304" t="s">
        <v>12323</v>
      </c>
      <c r="CL304" t="s">
        <v>108</v>
      </c>
      <c r="CM304" t="s">
        <v>109</v>
      </c>
      <c r="CN304" t="str">
        <f>""</f>
        <v/>
      </c>
      <c r="CO304" t="str">
        <f>""</f>
        <v/>
      </c>
      <c r="CP304" t="str">
        <f>""</f>
        <v/>
      </c>
      <c r="CQ304" t="str">
        <f>""</f>
        <v/>
      </c>
    </row>
    <row r="305" spans="1:96" x14ac:dyDescent="0.2">
      <c r="A305" t="s">
        <v>11734</v>
      </c>
      <c r="B305" t="s">
        <v>96</v>
      </c>
      <c r="C305" s="1">
        <v>44098</v>
      </c>
      <c r="D305" s="1">
        <v>44105</v>
      </c>
      <c r="F305" t="s">
        <v>97</v>
      </c>
      <c r="G305" t="str">
        <f>"Software Engineer"</f>
        <v>Software Engineer</v>
      </c>
      <c r="H305" t="s">
        <v>12176</v>
      </c>
      <c r="I305" t="s">
        <v>246</v>
      </c>
      <c r="J305" t="s">
        <v>98</v>
      </c>
      <c r="K305" s="1">
        <v>44190</v>
      </c>
      <c r="L305" s="1">
        <v>45284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 t="s">
        <v>4015</v>
      </c>
      <c r="U305" t="str">
        <f>""</f>
        <v/>
      </c>
      <c r="V305" t="s">
        <v>4016</v>
      </c>
      <c r="W305" t="str">
        <f>"Suite # 400"</f>
        <v>Suite # 400</v>
      </c>
      <c r="X305" t="s">
        <v>1965</v>
      </c>
      <c r="Y305" t="s">
        <v>135</v>
      </c>
      <c r="Z305" s="3">
        <v>20147</v>
      </c>
      <c r="AA305" t="s">
        <v>101</v>
      </c>
      <c r="AC305" s="4" t="str">
        <f>"+17038631064"</f>
        <v>+17038631064</v>
      </c>
      <c r="AE305" t="str">
        <f t="shared" si="17"/>
        <v>541511</v>
      </c>
      <c r="AF305" t="s">
        <v>4017</v>
      </c>
      <c r="AG305" t="s">
        <v>2811</v>
      </c>
      <c r="AH305" t="s">
        <v>108</v>
      </c>
      <c r="AI305" t="s">
        <v>508</v>
      </c>
      <c r="AJ305" t="s">
        <v>4016</v>
      </c>
      <c r="AK305" t="str">
        <f>"Suite # 400"</f>
        <v>Suite # 400</v>
      </c>
      <c r="AL305" t="s">
        <v>1965</v>
      </c>
      <c r="AM305" t="s">
        <v>135</v>
      </c>
      <c r="AN305" s="3">
        <v>20147</v>
      </c>
      <c r="AO305" t="s">
        <v>101</v>
      </c>
      <c r="AQ305" t="str">
        <f>"+17038631064"</f>
        <v>+17038631064</v>
      </c>
      <c r="AS305" t="s">
        <v>4018</v>
      </c>
      <c r="AT305" t="s">
        <v>107</v>
      </c>
      <c r="AU305" t="str">
        <f>"Somi Reddy"</f>
        <v>Somi Reddy</v>
      </c>
      <c r="AV305" t="str">
        <f>"Santosh Reddy"</f>
        <v>Santosh Reddy</v>
      </c>
      <c r="AW305" t="str">
        <f>""</f>
        <v/>
      </c>
      <c r="AX305" t="str">
        <f>"20745 Williamsport Place "</f>
        <v xml:space="preserve">20745 Williamsport Place </v>
      </c>
      <c r="AY305" t="str">
        <f>"Suite # 390"</f>
        <v>Suite # 390</v>
      </c>
      <c r="AZ305" t="str">
        <f>"Ashburn"</f>
        <v>Ashburn</v>
      </c>
      <c r="BA305" t="str">
        <f>"VA"</f>
        <v>VA</v>
      </c>
      <c r="BB305" s="3">
        <v>20147</v>
      </c>
      <c r="BC305" t="str">
        <f>"UNITED STATES OF AMERICA"</f>
        <v>UNITED STATES OF AMERICA</v>
      </c>
      <c r="BD305" t="str">
        <f>""</f>
        <v/>
      </c>
      <c r="BE305" t="str">
        <f>"+17035442200"</f>
        <v>+17035442200</v>
      </c>
      <c r="BF305" t="str">
        <f>""</f>
        <v/>
      </c>
      <c r="BG305" t="str">
        <f>"LCA@SOMIREDDYLAW.COM"</f>
        <v>LCA@SOMIREDDYLAW.COM</v>
      </c>
      <c r="BH305" t="str">
        <f>"SOMIREDDY LAW GROUP PLLC"</f>
        <v>SOMIREDDY LAW GROUP PLLC</v>
      </c>
      <c r="BI305" t="str">
        <f>"VA"</f>
        <v>VA</v>
      </c>
      <c r="BJ305" t="str">
        <f>"SUPREME COURT"</f>
        <v>SUPREME COURT</v>
      </c>
      <c r="BK305">
        <v>1</v>
      </c>
      <c r="BL305" t="s">
        <v>107</v>
      </c>
      <c r="BM305" t="str">
        <f>"Verizon"</f>
        <v>Verizon</v>
      </c>
      <c r="BN305" t="s">
        <v>11735</v>
      </c>
      <c r="BO305" t="s">
        <v>108</v>
      </c>
      <c r="BP305" t="s">
        <v>1965</v>
      </c>
      <c r="BQ305" t="s">
        <v>3047</v>
      </c>
      <c r="BR305" t="s">
        <v>135</v>
      </c>
      <c r="BS305" s="5">
        <v>20147</v>
      </c>
      <c r="BT305" s="2">
        <v>97406</v>
      </c>
      <c r="BU305" s="2">
        <v>97410</v>
      </c>
      <c r="BV305" t="s">
        <v>105</v>
      </c>
      <c r="BW305" s="2">
        <v>97406</v>
      </c>
      <c r="BX305" t="s">
        <v>105</v>
      </c>
      <c r="BZ305" t="s">
        <v>167</v>
      </c>
      <c r="CA305" t="str">
        <f t="shared" si="16"/>
        <v>7/1/2020 - 6/30/2021</v>
      </c>
      <c r="CF305">
        <v>2</v>
      </c>
      <c r="CG305" t="s">
        <v>98</v>
      </c>
      <c r="CH305" t="s">
        <v>98</v>
      </c>
      <c r="CI305" t="s">
        <v>206</v>
      </c>
      <c r="CJ305" t="s">
        <v>98</v>
      </c>
      <c r="CK305" t="s">
        <v>12323</v>
      </c>
      <c r="CL305" t="s">
        <v>108</v>
      </c>
      <c r="CM305" t="s">
        <v>109</v>
      </c>
      <c r="CN305" t="str">
        <f>""</f>
        <v/>
      </c>
      <c r="CO305" t="str">
        <f>""</f>
        <v/>
      </c>
      <c r="CP305" t="str">
        <f>""</f>
        <v/>
      </c>
      <c r="CQ305" t="str">
        <f>""</f>
        <v/>
      </c>
    </row>
    <row r="306" spans="1:96" x14ac:dyDescent="0.2">
      <c r="A306" t="s">
        <v>11740</v>
      </c>
      <c r="B306" t="s">
        <v>96</v>
      </c>
      <c r="C306" s="1">
        <v>44098</v>
      </c>
      <c r="D306" s="1">
        <v>44105</v>
      </c>
      <c r="F306" t="s">
        <v>97</v>
      </c>
      <c r="G306" t="str">
        <f>"Consultant"</f>
        <v>Consultant</v>
      </c>
      <c r="H306" t="s">
        <v>12181</v>
      </c>
      <c r="I306" t="s">
        <v>110</v>
      </c>
      <c r="J306" t="s">
        <v>98</v>
      </c>
      <c r="K306" s="1">
        <v>44098</v>
      </c>
      <c r="L306" s="1">
        <v>45192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 t="s">
        <v>902</v>
      </c>
      <c r="U306" t="str">
        <f>""</f>
        <v/>
      </c>
      <c r="V306" t="s">
        <v>903</v>
      </c>
      <c r="W306" t="str">
        <f>"SUITE 2200"</f>
        <v>SUITE 2200</v>
      </c>
      <c r="X306" t="s">
        <v>904</v>
      </c>
      <c r="Y306" t="s">
        <v>100</v>
      </c>
      <c r="Z306" s="3">
        <v>8816</v>
      </c>
      <c r="AA306" t="s">
        <v>101</v>
      </c>
      <c r="AB306" t="s">
        <v>108</v>
      </c>
      <c r="AC306" s="4" t="str">
        <f>"+17325091586"</f>
        <v>+17325091586</v>
      </c>
      <c r="AE306" t="str">
        <f t="shared" si="17"/>
        <v>541511</v>
      </c>
      <c r="AF306" t="s">
        <v>905</v>
      </c>
      <c r="AG306" t="s">
        <v>906</v>
      </c>
      <c r="AH306" t="s">
        <v>108</v>
      </c>
      <c r="AI306" t="s">
        <v>818</v>
      </c>
      <c r="AJ306" t="s">
        <v>903</v>
      </c>
      <c r="AK306" t="str">
        <f>"SUITE 2200"</f>
        <v>SUITE 2200</v>
      </c>
      <c r="AL306" t="s">
        <v>904</v>
      </c>
      <c r="AM306" t="s">
        <v>100</v>
      </c>
      <c r="AN306" s="3">
        <v>8816</v>
      </c>
      <c r="AO306" t="s">
        <v>101</v>
      </c>
      <c r="AQ306" t="str">
        <f>"+17325091586"</f>
        <v>+17325091586</v>
      </c>
      <c r="AS306" t="s">
        <v>907</v>
      </c>
      <c r="AT306" t="s">
        <v>102</v>
      </c>
      <c r="AU306" t="str">
        <f>""</f>
        <v/>
      </c>
      <c r="AV306" t="str">
        <f>""</f>
        <v/>
      </c>
      <c r="AW306" t="str">
        <f>""</f>
        <v/>
      </c>
      <c r="AX306" t="str">
        <f>""</f>
        <v/>
      </c>
      <c r="AY306" t="str">
        <f>""</f>
        <v/>
      </c>
      <c r="AZ306" t="str">
        <f>""</f>
        <v/>
      </c>
      <c r="BA306" t="str">
        <f>""</f>
        <v/>
      </c>
      <c r="BC306" t="str">
        <f>""</f>
        <v/>
      </c>
      <c r="BD306" t="str">
        <f>""</f>
        <v/>
      </c>
      <c r="BE306" t="str">
        <f>""</f>
        <v/>
      </c>
      <c r="BF306" t="str">
        <f>""</f>
        <v/>
      </c>
      <c r="BG306" t="str">
        <f>""</f>
        <v/>
      </c>
      <c r="BH306" t="str">
        <f>""</f>
        <v/>
      </c>
      <c r="BI306" t="str">
        <f>""</f>
        <v/>
      </c>
      <c r="BJ306" t="str">
        <f>""</f>
        <v/>
      </c>
      <c r="BK306">
        <v>1</v>
      </c>
      <c r="BL306" t="s">
        <v>102</v>
      </c>
      <c r="BM306" t="str">
        <f>""</f>
        <v/>
      </c>
      <c r="BN306" t="s">
        <v>11741</v>
      </c>
      <c r="BO306" t="s">
        <v>1468</v>
      </c>
      <c r="BP306" t="s">
        <v>1909</v>
      </c>
      <c r="BQ306" t="s">
        <v>1067</v>
      </c>
      <c r="BR306" t="s">
        <v>122</v>
      </c>
      <c r="BS306" s="5">
        <v>27560</v>
      </c>
      <c r="BT306" s="2">
        <v>79602</v>
      </c>
      <c r="BV306" t="s">
        <v>105</v>
      </c>
      <c r="BW306" s="2">
        <v>79602</v>
      </c>
      <c r="BX306" t="s">
        <v>105</v>
      </c>
      <c r="BZ306" t="s">
        <v>167</v>
      </c>
      <c r="CA306" t="str">
        <f t="shared" si="16"/>
        <v>7/1/2020 - 6/30/2021</v>
      </c>
      <c r="CF306">
        <v>1</v>
      </c>
      <c r="CG306" t="s">
        <v>98</v>
      </c>
      <c r="CH306" t="s">
        <v>98</v>
      </c>
      <c r="CI306" t="s">
        <v>206</v>
      </c>
      <c r="CJ306" t="s">
        <v>98</v>
      </c>
      <c r="CK306" t="s">
        <v>12323</v>
      </c>
      <c r="CL306" t="s">
        <v>108</v>
      </c>
      <c r="CM306" t="s">
        <v>109</v>
      </c>
      <c r="CN306" t="str">
        <f>""</f>
        <v/>
      </c>
      <c r="CO306" t="str">
        <f>""</f>
        <v/>
      </c>
      <c r="CP306" t="str">
        <f>""</f>
        <v/>
      </c>
      <c r="CQ306" t="str">
        <f>""</f>
        <v/>
      </c>
    </row>
    <row r="307" spans="1:96" x14ac:dyDescent="0.2">
      <c r="A307" t="s">
        <v>11758</v>
      </c>
      <c r="B307" t="s">
        <v>96</v>
      </c>
      <c r="C307" s="1">
        <v>44098</v>
      </c>
      <c r="D307" s="1">
        <v>44105</v>
      </c>
      <c r="F307" t="s">
        <v>97</v>
      </c>
      <c r="G307" t="str">
        <f>"Data Engineer"</f>
        <v>Data Engineer</v>
      </c>
      <c r="H307" t="s">
        <v>12169</v>
      </c>
      <c r="I307" t="s">
        <v>124</v>
      </c>
      <c r="J307" t="s">
        <v>98</v>
      </c>
      <c r="K307" s="1">
        <v>44116</v>
      </c>
      <c r="L307" s="1">
        <v>45210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 t="s">
        <v>4206</v>
      </c>
      <c r="U307" t="str">
        <f>""</f>
        <v/>
      </c>
      <c r="V307" t="s">
        <v>4207</v>
      </c>
      <c r="W307" t="str">
        <f>"STE 1650E"</f>
        <v>STE 1650E</v>
      </c>
      <c r="X307" t="s">
        <v>483</v>
      </c>
      <c r="Y307" t="s">
        <v>114</v>
      </c>
      <c r="Z307" s="3">
        <v>75039</v>
      </c>
      <c r="AA307" t="s">
        <v>101</v>
      </c>
      <c r="AC307" s="4" t="str">
        <f>"+14692144248"</f>
        <v>+14692144248</v>
      </c>
      <c r="AE307" t="str">
        <f t="shared" si="17"/>
        <v>541511</v>
      </c>
      <c r="AF307" t="s">
        <v>4208</v>
      </c>
      <c r="AG307" t="s">
        <v>4209</v>
      </c>
      <c r="AI307" t="s">
        <v>2935</v>
      </c>
      <c r="AJ307" t="s">
        <v>4207</v>
      </c>
      <c r="AK307" t="str">
        <f>"STE 1650E"</f>
        <v>STE 1650E</v>
      </c>
      <c r="AL307" t="s">
        <v>483</v>
      </c>
      <c r="AM307" t="s">
        <v>114</v>
      </c>
      <c r="AN307" s="3">
        <v>75039</v>
      </c>
      <c r="AO307" t="s">
        <v>101</v>
      </c>
      <c r="AQ307" t="str">
        <f>"+14692144248"</f>
        <v>+14692144248</v>
      </c>
      <c r="AS307" t="s">
        <v>4210</v>
      </c>
      <c r="AT307" t="s">
        <v>107</v>
      </c>
      <c r="AU307" t="str">
        <f>"Akula"</f>
        <v>Akula</v>
      </c>
      <c r="AV307" t="str">
        <f>"Kavitha"</f>
        <v>Kavitha</v>
      </c>
      <c r="AW307" t="str">
        <f>""</f>
        <v/>
      </c>
      <c r="AX307" t="str">
        <f>"17400 DALLAS PKWY"</f>
        <v>17400 DALLAS PKWY</v>
      </c>
      <c r="AY307" t="str">
        <f>"SUITE 216"</f>
        <v>SUITE 216</v>
      </c>
      <c r="AZ307" t="str">
        <f>"DALLAS"</f>
        <v>DALLAS</v>
      </c>
      <c r="BA307" t="str">
        <f>"TX"</f>
        <v>TX</v>
      </c>
      <c r="BB307" s="3">
        <v>75287</v>
      </c>
      <c r="BC307" t="str">
        <f>"UNITED STATES OF AMERICA"</f>
        <v>UNITED STATES OF AMERICA</v>
      </c>
      <c r="BD307" t="str">
        <f>""</f>
        <v/>
      </c>
      <c r="BE307" t="str">
        <f>"+19722414698"</f>
        <v>+19722414698</v>
      </c>
      <c r="BF307" t="str">
        <f>""</f>
        <v/>
      </c>
      <c r="BG307" t="str">
        <f>"inella.coleman@akulalaw.com"</f>
        <v>inella.coleman@akulalaw.com</v>
      </c>
      <c r="BH307" t="str">
        <f>"Akula &amp; Associates, P.C."</f>
        <v>Akula &amp; Associates, P.C.</v>
      </c>
      <c r="BI307" t="str">
        <f>"TX"</f>
        <v>TX</v>
      </c>
      <c r="BJ307" t="str">
        <f>"SUPREME COURT"</f>
        <v>SUPREME COURT</v>
      </c>
      <c r="BK307">
        <v>1</v>
      </c>
      <c r="BL307" t="s">
        <v>107</v>
      </c>
      <c r="BM307" t="str">
        <f>"AIG Insurance"</f>
        <v>AIG Insurance</v>
      </c>
      <c r="BN307" t="s">
        <v>11759</v>
      </c>
      <c r="BP307" t="s">
        <v>604</v>
      </c>
      <c r="BQ307" t="s">
        <v>121</v>
      </c>
      <c r="BR307" t="s">
        <v>122</v>
      </c>
      <c r="BS307" s="5">
        <v>28202</v>
      </c>
      <c r="BT307" s="2">
        <v>85488</v>
      </c>
      <c r="BU307" s="2">
        <v>85490</v>
      </c>
      <c r="BV307" t="s">
        <v>105</v>
      </c>
      <c r="BW307" s="2">
        <v>85488</v>
      </c>
      <c r="BX307" t="s">
        <v>105</v>
      </c>
      <c r="BZ307" t="s">
        <v>167</v>
      </c>
      <c r="CA307" t="str">
        <f t="shared" si="16"/>
        <v>7/1/2020 - 6/30/2021</v>
      </c>
      <c r="CF307">
        <v>2</v>
      </c>
      <c r="CG307" t="s">
        <v>98</v>
      </c>
      <c r="CH307" t="s">
        <v>98</v>
      </c>
      <c r="CI307" t="s">
        <v>206</v>
      </c>
      <c r="CJ307" t="s">
        <v>98</v>
      </c>
      <c r="CK307" t="s">
        <v>12323</v>
      </c>
      <c r="CL307" t="s">
        <v>108</v>
      </c>
      <c r="CM307" t="s">
        <v>109</v>
      </c>
      <c r="CN307" t="str">
        <f>""</f>
        <v/>
      </c>
      <c r="CO307" t="str">
        <f>""</f>
        <v/>
      </c>
      <c r="CP307" t="str">
        <f>""</f>
        <v/>
      </c>
      <c r="CQ307" t="str">
        <f>""</f>
        <v/>
      </c>
    </row>
    <row r="308" spans="1:96" x14ac:dyDescent="0.2">
      <c r="A308" t="s">
        <v>11761</v>
      </c>
      <c r="B308" t="s">
        <v>96</v>
      </c>
      <c r="C308" s="1">
        <v>44098</v>
      </c>
      <c r="D308" s="1">
        <v>44105</v>
      </c>
      <c r="F308" t="s">
        <v>97</v>
      </c>
      <c r="G308" t="str">
        <f>"Technical Specialist"</f>
        <v>Technical Specialist</v>
      </c>
      <c r="H308" t="s">
        <v>12169</v>
      </c>
      <c r="I308" t="s">
        <v>124</v>
      </c>
      <c r="J308" t="s">
        <v>98</v>
      </c>
      <c r="K308" s="1">
        <v>44105</v>
      </c>
      <c r="L308" s="1">
        <v>44414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 t="s">
        <v>2557</v>
      </c>
      <c r="U308" t="str">
        <f>""</f>
        <v/>
      </c>
      <c r="V308" t="s">
        <v>2558</v>
      </c>
      <c r="W308" t="str">
        <f>"2nd Floor"</f>
        <v>2nd Floor</v>
      </c>
      <c r="X308" t="s">
        <v>947</v>
      </c>
      <c r="Y308" t="s">
        <v>100</v>
      </c>
      <c r="Z308" s="3">
        <v>8540</v>
      </c>
      <c r="AA308" t="s">
        <v>101</v>
      </c>
      <c r="AC308" s="4" t="str">
        <f>"+18772484871"</f>
        <v>+18772484871</v>
      </c>
      <c r="AE308" t="str">
        <f t="shared" si="17"/>
        <v>541511</v>
      </c>
      <c r="AF308" t="s">
        <v>4824</v>
      </c>
      <c r="AG308" t="s">
        <v>2339</v>
      </c>
      <c r="AI308" t="s">
        <v>2193</v>
      </c>
      <c r="AJ308" t="s">
        <v>4825</v>
      </c>
      <c r="AK308" t="str">
        <f>"2nd Floor"</f>
        <v>2nd Floor</v>
      </c>
      <c r="AL308" t="s">
        <v>947</v>
      </c>
      <c r="AM308" t="s">
        <v>100</v>
      </c>
      <c r="AN308" s="3">
        <v>8540</v>
      </c>
      <c r="AO308" t="s">
        <v>101</v>
      </c>
      <c r="AQ308" t="str">
        <f>"+18772484871"</f>
        <v>+18772484871</v>
      </c>
      <c r="AS308" t="s">
        <v>4826</v>
      </c>
      <c r="AT308" t="s">
        <v>102</v>
      </c>
      <c r="AU308" t="str">
        <f>""</f>
        <v/>
      </c>
      <c r="AV308" t="str">
        <f>""</f>
        <v/>
      </c>
      <c r="AW308" t="str">
        <f>""</f>
        <v/>
      </c>
      <c r="AX308" t="str">
        <f>""</f>
        <v/>
      </c>
      <c r="AY308" t="str">
        <f>""</f>
        <v/>
      </c>
      <c r="AZ308" t="str">
        <f>""</f>
        <v/>
      </c>
      <c r="BA308" t="str">
        <f>""</f>
        <v/>
      </c>
      <c r="BC308" t="str">
        <f>""</f>
        <v/>
      </c>
      <c r="BD308" t="str">
        <f>""</f>
        <v/>
      </c>
      <c r="BE308" t="str">
        <f>""</f>
        <v/>
      </c>
      <c r="BF308" t="str">
        <f>""</f>
        <v/>
      </c>
      <c r="BG308" t="str">
        <f>""</f>
        <v/>
      </c>
      <c r="BH308" t="str">
        <f>""</f>
        <v/>
      </c>
      <c r="BI308" t="str">
        <f>""</f>
        <v/>
      </c>
      <c r="BJ308" t="str">
        <f>""</f>
        <v/>
      </c>
      <c r="BK308">
        <v>1</v>
      </c>
      <c r="BL308" t="s">
        <v>107</v>
      </c>
      <c r="BM308" t="str">
        <f>"eviCore healthcare"</f>
        <v>eviCore healthcare</v>
      </c>
      <c r="BN308" t="s">
        <v>11762</v>
      </c>
      <c r="BO308" t="s">
        <v>11763</v>
      </c>
      <c r="BP308" t="s">
        <v>2984</v>
      </c>
      <c r="BQ308" t="s">
        <v>668</v>
      </c>
      <c r="BR308" t="s">
        <v>545</v>
      </c>
      <c r="BS308" s="5">
        <v>37067</v>
      </c>
      <c r="BT308" s="2">
        <v>85000</v>
      </c>
      <c r="BV308" t="s">
        <v>105</v>
      </c>
      <c r="BW308" s="2">
        <v>80163</v>
      </c>
      <c r="BX308" t="s">
        <v>105</v>
      </c>
      <c r="BZ308" t="s">
        <v>167</v>
      </c>
      <c r="CA308" t="str">
        <f t="shared" si="16"/>
        <v>7/1/2020 - 6/30/2021</v>
      </c>
      <c r="CF308">
        <v>2</v>
      </c>
      <c r="CG308" t="s">
        <v>98</v>
      </c>
      <c r="CH308" t="s">
        <v>98</v>
      </c>
      <c r="CI308" t="s">
        <v>206</v>
      </c>
      <c r="CJ308" t="s">
        <v>98</v>
      </c>
      <c r="CK308" t="s">
        <v>12323</v>
      </c>
      <c r="CL308" t="s">
        <v>108</v>
      </c>
      <c r="CM308" t="s">
        <v>109</v>
      </c>
      <c r="CN308" t="str">
        <f>""</f>
        <v/>
      </c>
      <c r="CO308" t="str">
        <f>""</f>
        <v/>
      </c>
      <c r="CP308" t="str">
        <f>""</f>
        <v/>
      </c>
      <c r="CQ308" t="str">
        <f>""</f>
        <v/>
      </c>
    </row>
    <row r="309" spans="1:96" x14ac:dyDescent="0.2">
      <c r="A309" t="s">
        <v>11770</v>
      </c>
      <c r="B309" t="s">
        <v>96</v>
      </c>
      <c r="C309" s="1">
        <v>44098</v>
      </c>
      <c r="D309" s="1">
        <v>44105</v>
      </c>
      <c r="F309" t="s">
        <v>97</v>
      </c>
      <c r="G309" t="str">
        <f>"ANALYST"</f>
        <v>ANALYST</v>
      </c>
      <c r="H309" t="s">
        <v>12181</v>
      </c>
      <c r="I309" t="s">
        <v>110</v>
      </c>
      <c r="J309" t="s">
        <v>98</v>
      </c>
      <c r="K309" s="1">
        <v>44197</v>
      </c>
      <c r="L309" s="1">
        <v>44459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 t="s">
        <v>864</v>
      </c>
      <c r="U309" t="str">
        <f>""</f>
        <v/>
      </c>
      <c r="V309" t="s">
        <v>865</v>
      </c>
      <c r="W309" t="str">
        <f>"SUITE 320"</f>
        <v>SUITE 320</v>
      </c>
      <c r="X309" t="s">
        <v>866</v>
      </c>
      <c r="Y309" t="s">
        <v>195</v>
      </c>
      <c r="Z309" s="3">
        <v>20850</v>
      </c>
      <c r="AA309" t="s">
        <v>101</v>
      </c>
      <c r="AC309" s="4" t="str">
        <f>"+13012319083"</f>
        <v>+13012319083</v>
      </c>
      <c r="AE309" t="str">
        <f t="shared" si="17"/>
        <v>541511</v>
      </c>
      <c r="AF309" t="s">
        <v>867</v>
      </c>
      <c r="AG309" t="s">
        <v>868</v>
      </c>
      <c r="AH309" t="s">
        <v>108</v>
      </c>
      <c r="AI309" t="s">
        <v>869</v>
      </c>
      <c r="AJ309" t="s">
        <v>865</v>
      </c>
      <c r="AK309" t="str">
        <f>"SUITE 320"</f>
        <v>SUITE 320</v>
      </c>
      <c r="AL309" t="s">
        <v>866</v>
      </c>
      <c r="AM309" t="s">
        <v>195</v>
      </c>
      <c r="AN309" s="3">
        <v>20850</v>
      </c>
      <c r="AO309" t="s">
        <v>101</v>
      </c>
      <c r="AQ309" t="str">
        <f>"+13012319083"</f>
        <v>+13012319083</v>
      </c>
      <c r="AS309" t="s">
        <v>870</v>
      </c>
      <c r="AT309" t="s">
        <v>107</v>
      </c>
      <c r="AU309" t="str">
        <f>"MUHLENKAMP"</f>
        <v>MUHLENKAMP</v>
      </c>
      <c r="AV309" t="str">
        <f>"PRISCILLA"</f>
        <v>PRISCILLA</v>
      </c>
      <c r="AW309" t="str">
        <f>"H."</f>
        <v>H.</v>
      </c>
      <c r="AX309" t="str">
        <f>"1101 15TH STREET NW"</f>
        <v>1101 15TH STREET NW</v>
      </c>
      <c r="AY309" t="str">
        <f>"SUITE 700"</f>
        <v>SUITE 700</v>
      </c>
      <c r="AZ309" t="str">
        <f>"WASHINGTON"</f>
        <v>WASHINGTON</v>
      </c>
      <c r="BA309" t="str">
        <f>"DC"</f>
        <v>DC</v>
      </c>
      <c r="BB309" s="3">
        <v>20005</v>
      </c>
      <c r="BC309" t="str">
        <f>"UNITED STATES OF AMERICA"</f>
        <v>UNITED STATES OF AMERICA</v>
      </c>
      <c r="BD309" t="str">
        <f>""</f>
        <v/>
      </c>
      <c r="BE309" t="str">
        <f>"+12022235515"</f>
        <v>+12022235515</v>
      </c>
      <c r="BF309" t="str">
        <f>""</f>
        <v/>
      </c>
      <c r="BG309" t="str">
        <f>"TCSLCA@FRAGOMEN.COM"</f>
        <v>TCSLCA@FRAGOMEN.COM</v>
      </c>
      <c r="BH309" t="str">
        <f>"FRAGOMEN, DEL REY, BERNSEN &amp; LOEWY LLP"</f>
        <v>FRAGOMEN, DEL REY, BERNSEN &amp; LOEWY LLP</v>
      </c>
      <c r="BI309" t="str">
        <f>"DC"</f>
        <v>DC</v>
      </c>
      <c r="BJ309" t="str">
        <f>"DISTRICT OF COLUMBIA COURT OF APPEALS"</f>
        <v>DISTRICT OF COLUMBIA COURT OF APPEALS</v>
      </c>
      <c r="BK309">
        <v>1</v>
      </c>
      <c r="BL309" t="s">
        <v>107</v>
      </c>
      <c r="BM309" t="str">
        <f>"ZEBRA TECHNOLOGIES CORPORATION"</f>
        <v>ZEBRA TECHNOLOGIES CORPORATION</v>
      </c>
      <c r="BN309" t="s">
        <v>3656</v>
      </c>
      <c r="BP309" t="s">
        <v>3657</v>
      </c>
      <c r="BQ309" t="s">
        <v>691</v>
      </c>
      <c r="BR309" t="s">
        <v>345</v>
      </c>
      <c r="BS309" s="5">
        <v>60069</v>
      </c>
      <c r="BT309" s="2">
        <v>73882</v>
      </c>
      <c r="BU309" s="2">
        <v>100200</v>
      </c>
      <c r="BV309" t="s">
        <v>105</v>
      </c>
      <c r="BW309" s="2">
        <v>73882</v>
      </c>
      <c r="BX309" t="s">
        <v>105</v>
      </c>
      <c r="BZ309" t="s">
        <v>167</v>
      </c>
      <c r="CA309" t="str">
        <f t="shared" si="16"/>
        <v>7/1/2020 - 6/30/2021</v>
      </c>
      <c r="CF309">
        <v>1</v>
      </c>
      <c r="CG309" t="s">
        <v>98</v>
      </c>
      <c r="CH309" t="s">
        <v>98</v>
      </c>
      <c r="CI309" t="s">
        <v>206</v>
      </c>
      <c r="CJ309" t="s">
        <v>98</v>
      </c>
      <c r="CK309" t="s">
        <v>12323</v>
      </c>
      <c r="CL309" t="s">
        <v>108</v>
      </c>
      <c r="CM309" t="s">
        <v>109</v>
      </c>
      <c r="CN309" t="str">
        <f>""</f>
        <v/>
      </c>
      <c r="CO309" t="str">
        <f>""</f>
        <v/>
      </c>
      <c r="CP309" t="str">
        <f>""</f>
        <v/>
      </c>
      <c r="CQ309" t="str">
        <f>""</f>
        <v/>
      </c>
    </row>
    <row r="310" spans="1:96" x14ac:dyDescent="0.2">
      <c r="A310" t="s">
        <v>11777</v>
      </c>
      <c r="B310" t="s">
        <v>96</v>
      </c>
      <c r="C310" s="1">
        <v>44098</v>
      </c>
      <c r="D310" s="1">
        <v>44105</v>
      </c>
      <c r="F310" t="s">
        <v>97</v>
      </c>
      <c r="G310" t="str">
        <f>"Apps Systems Engineer 6 (Software Developer, Applications)"</f>
        <v>Apps Systems Engineer 6 (Software Developer, Applications)</v>
      </c>
      <c r="H310" t="s">
        <v>12169</v>
      </c>
      <c r="I310" t="s">
        <v>124</v>
      </c>
      <c r="J310" t="s">
        <v>98</v>
      </c>
      <c r="K310" s="1">
        <v>44116</v>
      </c>
      <c r="L310" s="1">
        <v>45210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 t="s">
        <v>2232</v>
      </c>
      <c r="U310" t="str">
        <f>""</f>
        <v/>
      </c>
      <c r="V310" t="s">
        <v>2233</v>
      </c>
      <c r="W310" t="str">
        <f>"Building 3, 2nd Floor, Suite 350"</f>
        <v>Building 3, 2nd Floor, Suite 350</v>
      </c>
      <c r="X310" t="s">
        <v>2234</v>
      </c>
      <c r="Y310" t="s">
        <v>100</v>
      </c>
      <c r="Z310" s="3">
        <v>7701</v>
      </c>
      <c r="AA310" t="s">
        <v>101</v>
      </c>
      <c r="AC310" s="4" t="str">
        <f>"+17327596080"</f>
        <v>+17327596080</v>
      </c>
      <c r="AE310" t="str">
        <f>"5415"</f>
        <v>5415</v>
      </c>
      <c r="AF310" t="s">
        <v>2235</v>
      </c>
      <c r="AG310" t="s">
        <v>2236</v>
      </c>
      <c r="AI310" t="s">
        <v>2237</v>
      </c>
      <c r="AJ310" t="s">
        <v>2238</v>
      </c>
      <c r="AK310" t="str">
        <f>"Building 3, 2nd Floor, Suite 350 "</f>
        <v xml:space="preserve">Building 3, 2nd Floor, Suite 350 </v>
      </c>
      <c r="AL310" t="s">
        <v>2239</v>
      </c>
      <c r="AM310" t="s">
        <v>100</v>
      </c>
      <c r="AN310" s="3">
        <v>7701</v>
      </c>
      <c r="AO310" t="s">
        <v>101</v>
      </c>
      <c r="AQ310" t="str">
        <f>"+17327596080"</f>
        <v>+17327596080</v>
      </c>
      <c r="AS310" t="s">
        <v>2240</v>
      </c>
      <c r="AT310" t="s">
        <v>107</v>
      </c>
      <c r="AU310" t="str">
        <f>"Hammond"</f>
        <v>Hammond</v>
      </c>
      <c r="AV310" t="str">
        <f>"Michael "</f>
        <v xml:space="preserve">Michael </v>
      </c>
      <c r="AW310" t="str">
        <f>"F. "</f>
        <v xml:space="preserve">F. </v>
      </c>
      <c r="AX310" t="str">
        <f>"441 Vine Street "</f>
        <v xml:space="preserve">441 Vine Street </v>
      </c>
      <c r="AY310" t="str">
        <f>"Suite 3200 "</f>
        <v xml:space="preserve">Suite 3200 </v>
      </c>
      <c r="AZ310" t="str">
        <f>"Cincinnati"</f>
        <v>Cincinnati</v>
      </c>
      <c r="BA310" t="str">
        <f>"OH"</f>
        <v>OH</v>
      </c>
      <c r="BB310" s="3">
        <v>45202</v>
      </c>
      <c r="BC310" t="str">
        <f>"UNITED STATES OF AMERICA"</f>
        <v>UNITED STATES OF AMERICA</v>
      </c>
      <c r="BD310" t="str">
        <f>""</f>
        <v/>
      </c>
      <c r="BE310" t="str">
        <f>"+15133812011"</f>
        <v>+15133812011</v>
      </c>
      <c r="BF310" t="str">
        <f>""</f>
        <v/>
      </c>
      <c r="BG310" t="str">
        <f>"megan.belinsky@hammondlawgroup.com"</f>
        <v>megan.belinsky@hammondlawgroup.com</v>
      </c>
      <c r="BH310" t="str">
        <f>"Hammond Law Group LLC"</f>
        <v>Hammond Law Group LLC</v>
      </c>
      <c r="BI310" t="str">
        <f>"OH"</f>
        <v>OH</v>
      </c>
      <c r="BJ310" t="str">
        <f>"SUPREME COURT"</f>
        <v>SUPREME COURT</v>
      </c>
      <c r="BK310">
        <v>1</v>
      </c>
      <c r="BL310" t="s">
        <v>107</v>
      </c>
      <c r="BM310" t="str">
        <f>"Wells Fargo"</f>
        <v>Wells Fargo</v>
      </c>
      <c r="BN310" t="s">
        <v>11778</v>
      </c>
      <c r="BP310" t="s">
        <v>2989</v>
      </c>
      <c r="BQ310" t="s">
        <v>2990</v>
      </c>
      <c r="BR310" t="s">
        <v>100</v>
      </c>
      <c r="BS310" s="5">
        <v>7901</v>
      </c>
      <c r="BT310" s="2">
        <v>48.33</v>
      </c>
      <c r="BU310" s="2">
        <v>70</v>
      </c>
      <c r="BV310" t="s">
        <v>210</v>
      </c>
      <c r="BW310" s="2">
        <v>48.33</v>
      </c>
      <c r="BX310" t="s">
        <v>210</v>
      </c>
      <c r="BZ310" t="s">
        <v>167</v>
      </c>
      <c r="CA310" t="str">
        <f t="shared" si="16"/>
        <v>7/1/2020 - 6/30/2021</v>
      </c>
      <c r="CF310">
        <v>2</v>
      </c>
      <c r="CG310" t="s">
        <v>98</v>
      </c>
      <c r="CH310" t="s">
        <v>98</v>
      </c>
      <c r="CI310" t="s">
        <v>206</v>
      </c>
      <c r="CJ310" t="s">
        <v>98</v>
      </c>
      <c r="CK310" t="s">
        <v>12323</v>
      </c>
      <c r="CL310" t="s">
        <v>108</v>
      </c>
      <c r="CM310" t="s">
        <v>109</v>
      </c>
      <c r="CN310" t="str">
        <f>""</f>
        <v/>
      </c>
      <c r="CO310" t="str">
        <f>""</f>
        <v/>
      </c>
      <c r="CP310" t="str">
        <f>""</f>
        <v/>
      </c>
      <c r="CQ310" t="str">
        <f>""</f>
        <v/>
      </c>
    </row>
    <row r="311" spans="1:96" x14ac:dyDescent="0.2">
      <c r="A311" t="s">
        <v>11788</v>
      </c>
      <c r="B311" t="s">
        <v>96</v>
      </c>
      <c r="C311" s="1">
        <v>44098</v>
      </c>
      <c r="D311" s="1">
        <v>44105</v>
      </c>
      <c r="F311" t="s">
        <v>97</v>
      </c>
      <c r="G311" t="str">
        <f>"Lead Engineer"</f>
        <v>Lead Engineer</v>
      </c>
      <c r="H311" t="s">
        <v>12257</v>
      </c>
      <c r="I311" t="s">
        <v>1786</v>
      </c>
      <c r="J311" t="s">
        <v>98</v>
      </c>
      <c r="K311" s="1">
        <v>44254</v>
      </c>
      <c r="L311" s="1">
        <v>45348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 t="s">
        <v>8130</v>
      </c>
      <c r="U311" t="str">
        <f>""</f>
        <v/>
      </c>
      <c r="V311" t="s">
        <v>8131</v>
      </c>
      <c r="W311" t="str">
        <f>"SUITE 600"</f>
        <v>SUITE 600</v>
      </c>
      <c r="X311" t="s">
        <v>634</v>
      </c>
      <c r="Y311" t="s">
        <v>265</v>
      </c>
      <c r="Z311" s="3">
        <v>48375</v>
      </c>
      <c r="AA311" t="s">
        <v>101</v>
      </c>
      <c r="AC311" s="4" t="str">
        <f>"+12486570193"</f>
        <v>+12486570193</v>
      </c>
      <c r="AE311" t="str">
        <f>"541330"</f>
        <v>541330</v>
      </c>
      <c r="AF311" t="s">
        <v>8132</v>
      </c>
      <c r="AG311" t="s">
        <v>8133</v>
      </c>
      <c r="AI311" t="s">
        <v>8134</v>
      </c>
      <c r="AJ311" t="s">
        <v>8131</v>
      </c>
      <c r="AK311" t="str">
        <f>"SUITE 600"</f>
        <v>SUITE 600</v>
      </c>
      <c r="AL311" t="s">
        <v>634</v>
      </c>
      <c r="AM311" t="s">
        <v>265</v>
      </c>
      <c r="AN311" s="3">
        <v>48375</v>
      </c>
      <c r="AO311" t="s">
        <v>101</v>
      </c>
      <c r="AQ311" t="str">
        <f>"+12486570193"</f>
        <v>+12486570193</v>
      </c>
      <c r="AS311" t="s">
        <v>8135</v>
      </c>
      <c r="AT311" t="s">
        <v>107</v>
      </c>
      <c r="AU311" t="str">
        <f>"MIKOLAJCZAK"</f>
        <v>MIKOLAJCZAK</v>
      </c>
      <c r="AV311" t="str">
        <f>"ANNA"</f>
        <v>ANNA</v>
      </c>
      <c r="AW311" t="str">
        <f>""</f>
        <v/>
      </c>
      <c r="AX311" t="str">
        <f>"5250 CORPORATE DRIVE"</f>
        <v>5250 CORPORATE DRIVE</v>
      </c>
      <c r="AY311" t="str">
        <f>"SUITE 300"</f>
        <v>SUITE 300</v>
      </c>
      <c r="AZ311" t="str">
        <f>"TROY"</f>
        <v>TROY</v>
      </c>
      <c r="BA311" t="str">
        <f>"MI"</f>
        <v>MI</v>
      </c>
      <c r="BB311" s="3">
        <v>48098</v>
      </c>
      <c r="BC311" t="str">
        <f>"UNITED STATES OF AMERICA"</f>
        <v>UNITED STATES OF AMERICA</v>
      </c>
      <c r="BD311" t="str">
        <f>""</f>
        <v/>
      </c>
      <c r="BE311" t="str">
        <f>"+12486434900"</f>
        <v>+12486434900</v>
      </c>
      <c r="BF311" t="str">
        <f>""</f>
        <v/>
      </c>
      <c r="BG311" t="str">
        <f>"monika@employmentimmigration.com"</f>
        <v>monika@employmentimmigration.com</v>
      </c>
      <c r="BH311" t="str">
        <f>"FAKHOURY GLOBAL IMMIGRATION, USA PC"</f>
        <v>FAKHOURY GLOBAL IMMIGRATION, USA PC</v>
      </c>
      <c r="BI311" t="str">
        <f>"MI"</f>
        <v>MI</v>
      </c>
      <c r="BJ311" t="str">
        <f>"SUPREME COURT"</f>
        <v>SUPREME COURT</v>
      </c>
      <c r="BK311">
        <v>1</v>
      </c>
      <c r="BL311" t="s">
        <v>107</v>
      </c>
      <c r="BM311" t="str">
        <f>"Toyota Motor Engineering &amp; Manufacturing N. A. Inc."</f>
        <v>Toyota Motor Engineering &amp; Manufacturing N. A. Inc.</v>
      </c>
      <c r="BN311" t="s">
        <v>8912</v>
      </c>
      <c r="BP311" t="s">
        <v>5095</v>
      </c>
      <c r="BQ311" t="s">
        <v>2050</v>
      </c>
      <c r="BR311" t="s">
        <v>265</v>
      </c>
      <c r="BS311" s="5">
        <v>48176</v>
      </c>
      <c r="BT311" s="2">
        <v>73382</v>
      </c>
      <c r="BV311" t="s">
        <v>105</v>
      </c>
      <c r="BW311" s="2">
        <v>73382</v>
      </c>
      <c r="BX311" t="s">
        <v>105</v>
      </c>
      <c r="BZ311" t="s">
        <v>167</v>
      </c>
      <c r="CA311" t="str">
        <f t="shared" si="16"/>
        <v>7/1/2020 - 6/30/2021</v>
      </c>
      <c r="CF311">
        <v>2</v>
      </c>
      <c r="CG311" t="s">
        <v>98</v>
      </c>
      <c r="CH311" t="s">
        <v>98</v>
      </c>
      <c r="CI311" t="s">
        <v>206</v>
      </c>
      <c r="CJ311" t="s">
        <v>98</v>
      </c>
      <c r="CK311" t="s">
        <v>12323</v>
      </c>
      <c r="CL311" t="s">
        <v>108</v>
      </c>
      <c r="CM311" t="s">
        <v>109</v>
      </c>
      <c r="CN311" t="str">
        <f>"MIKOLAJCZAK"</f>
        <v>MIKOLAJCZAK</v>
      </c>
      <c r="CO311" t="str">
        <f>"ANNA"</f>
        <v>ANNA</v>
      </c>
      <c r="CP311" t="str">
        <f>""</f>
        <v/>
      </c>
      <c r="CQ311" t="str">
        <f>"FAKHOURY GLOBAL IMMIGRATION, USA PC"</f>
        <v>FAKHOURY GLOBAL IMMIGRATION, USA PC</v>
      </c>
      <c r="CR311" t="s">
        <v>8136</v>
      </c>
    </row>
    <row r="312" spans="1:96" x14ac:dyDescent="0.2">
      <c r="A312" t="s">
        <v>11813</v>
      </c>
      <c r="B312" t="s">
        <v>96</v>
      </c>
      <c r="C312" s="1">
        <v>44098</v>
      </c>
      <c r="D312" s="1">
        <v>44105</v>
      </c>
      <c r="F312" t="s">
        <v>97</v>
      </c>
      <c r="G312" t="str">
        <f>"TECHNICAL MANAGER"</f>
        <v>TECHNICAL MANAGER</v>
      </c>
      <c r="H312" t="s">
        <v>12168</v>
      </c>
      <c r="I312" t="s">
        <v>160</v>
      </c>
      <c r="J312" t="s">
        <v>98</v>
      </c>
      <c r="K312" s="1">
        <v>44105</v>
      </c>
      <c r="L312" s="1">
        <v>45165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 t="s">
        <v>1143</v>
      </c>
      <c r="U312" t="str">
        <f>""</f>
        <v/>
      </c>
      <c r="V312" t="s">
        <v>1144</v>
      </c>
      <c r="W312" t="str">
        <f>"N/A"</f>
        <v>N/A</v>
      </c>
      <c r="X312" t="s">
        <v>1145</v>
      </c>
      <c r="Y312" t="s">
        <v>100</v>
      </c>
      <c r="Z312" s="3">
        <v>7059</v>
      </c>
      <c r="AA312" t="s">
        <v>101</v>
      </c>
      <c r="AC312" s="4" t="str">
        <f>"+14254959011"</f>
        <v>+14254959011</v>
      </c>
      <c r="AE312" t="str">
        <f>"541511"</f>
        <v>541511</v>
      </c>
      <c r="AF312" t="s">
        <v>1146</v>
      </c>
      <c r="AG312" t="s">
        <v>359</v>
      </c>
      <c r="AH312" t="s">
        <v>108</v>
      </c>
      <c r="AI312" t="s">
        <v>1147</v>
      </c>
      <c r="AJ312" t="s">
        <v>1148</v>
      </c>
      <c r="AK312" t="str">
        <f>"N/A"</f>
        <v>N/A</v>
      </c>
      <c r="AL312" t="s">
        <v>498</v>
      </c>
      <c r="AM312" t="s">
        <v>176</v>
      </c>
      <c r="AN312" s="3">
        <v>98052</v>
      </c>
      <c r="AO312" t="s">
        <v>101</v>
      </c>
      <c r="AQ312" t="str">
        <f>"+14254959011"</f>
        <v>+14254959011</v>
      </c>
      <c r="AS312" t="s">
        <v>1149</v>
      </c>
      <c r="AT312" t="s">
        <v>107</v>
      </c>
      <c r="AU312" t="str">
        <f>"PATEL"</f>
        <v>PATEL</v>
      </c>
      <c r="AV312" t="str">
        <f>"TEJAL"</f>
        <v>TEJAL</v>
      </c>
      <c r="AW312" t="str">
        <f>""</f>
        <v/>
      </c>
      <c r="AX312" t="str">
        <f>"100 HIGH STREET"</f>
        <v>100 HIGH STREET</v>
      </c>
      <c r="AY312" t="str">
        <f>"FLOOR 3"</f>
        <v>FLOOR 3</v>
      </c>
      <c r="AZ312" t="str">
        <f>"BOSTON"</f>
        <v>BOSTON</v>
      </c>
      <c r="BA312" t="str">
        <f>"MA"</f>
        <v>MA</v>
      </c>
      <c r="BB312" s="3">
        <v>2110</v>
      </c>
      <c r="BC312" t="str">
        <f>"UNITED STATES OF AMERICA"</f>
        <v>UNITED STATES OF AMERICA</v>
      </c>
      <c r="BD312" t="str">
        <f>""</f>
        <v/>
      </c>
      <c r="BE312" t="str">
        <f>"+16175740400"</f>
        <v>+16175740400</v>
      </c>
      <c r="BF312" t="str">
        <f>""</f>
        <v/>
      </c>
      <c r="BG312" t="str">
        <f>"MINDTREEUSA@FRAGOMEN.COM"</f>
        <v>MINDTREEUSA@FRAGOMEN.COM</v>
      </c>
      <c r="BH312" t="str">
        <f>"FRAGOMEN, DEL REY, BERNSEN &amp; LOEWY, LLP"</f>
        <v>FRAGOMEN, DEL REY, BERNSEN &amp; LOEWY, LLP</v>
      </c>
      <c r="BI312" t="str">
        <f>"MA"</f>
        <v>MA</v>
      </c>
      <c r="BJ312" t="str">
        <f>"SUPREME JUDICIAL COURT"</f>
        <v>SUPREME JUDICIAL COURT</v>
      </c>
      <c r="BK312">
        <v>1</v>
      </c>
      <c r="BL312" t="s">
        <v>102</v>
      </c>
      <c r="BM312" t="str">
        <f>""</f>
        <v/>
      </c>
      <c r="BN312" t="s">
        <v>11814</v>
      </c>
      <c r="BP312" t="s">
        <v>6667</v>
      </c>
      <c r="BQ312" t="s">
        <v>5027</v>
      </c>
      <c r="BR312" t="s">
        <v>352</v>
      </c>
      <c r="BS312" s="5">
        <v>46835</v>
      </c>
      <c r="BT312" s="2">
        <v>114860</v>
      </c>
      <c r="BV312" t="s">
        <v>105</v>
      </c>
      <c r="BW312" s="2">
        <v>41122</v>
      </c>
      <c r="BX312" t="s">
        <v>105</v>
      </c>
      <c r="BZ312" t="s">
        <v>167</v>
      </c>
      <c r="CA312" t="str">
        <f t="shared" si="16"/>
        <v>7/1/2020 - 6/30/2021</v>
      </c>
      <c r="CF312">
        <v>1</v>
      </c>
      <c r="CG312" t="s">
        <v>98</v>
      </c>
      <c r="CH312" t="s">
        <v>98</v>
      </c>
      <c r="CI312" t="s">
        <v>206</v>
      </c>
      <c r="CJ312" t="s">
        <v>98</v>
      </c>
      <c r="CK312" t="s">
        <v>12323</v>
      </c>
      <c r="CL312" t="s">
        <v>108</v>
      </c>
      <c r="CM312" t="s">
        <v>109</v>
      </c>
      <c r="CN312" t="str">
        <f>"SHAJI"</f>
        <v>SHAJI</v>
      </c>
      <c r="CO312" t="str">
        <f>"SHRUTHI"</f>
        <v>SHRUTHI</v>
      </c>
      <c r="CP312" t="str">
        <f>"N/A"</f>
        <v>N/A</v>
      </c>
      <c r="CQ312" t="str">
        <f>"FRAGOMEN, DEL REY, BERNSEN &amp; LOEWY, LLP"</f>
        <v>FRAGOMEN, DEL REY, BERNSEN &amp; LOEWY, LLP</v>
      </c>
      <c r="CR312" t="s">
        <v>1150</v>
      </c>
    </row>
    <row r="313" spans="1:96" x14ac:dyDescent="0.2">
      <c r="A313" t="s">
        <v>11820</v>
      </c>
      <c r="B313" t="s">
        <v>96</v>
      </c>
      <c r="C313" s="1">
        <v>44098</v>
      </c>
      <c r="D313" s="1">
        <v>44105</v>
      </c>
      <c r="F313" t="s">
        <v>97</v>
      </c>
      <c r="G313" t="str">
        <f>"IT Project Managers - III"</f>
        <v>IT Project Managers - III</v>
      </c>
      <c r="H313" t="s">
        <v>12168</v>
      </c>
      <c r="I313" t="s">
        <v>367</v>
      </c>
      <c r="J313" t="s">
        <v>98</v>
      </c>
      <c r="K313" s="1">
        <v>44098</v>
      </c>
      <c r="L313" s="1">
        <v>45192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 t="s">
        <v>669</v>
      </c>
      <c r="U313" t="str">
        <f>""</f>
        <v/>
      </c>
      <c r="V313" t="s">
        <v>670</v>
      </c>
      <c r="W313" t="str">
        <f>""</f>
        <v/>
      </c>
      <c r="X313" t="s">
        <v>671</v>
      </c>
      <c r="Y313" t="s">
        <v>141</v>
      </c>
      <c r="Z313" s="3">
        <v>94085</v>
      </c>
      <c r="AA313" t="s">
        <v>101</v>
      </c>
      <c r="AC313" s="4" t="str">
        <f>"+14087330480"</f>
        <v>+14087330480</v>
      </c>
      <c r="AE313" t="str">
        <f>"541511"</f>
        <v>541511</v>
      </c>
      <c r="AF313" t="s">
        <v>672</v>
      </c>
      <c r="AG313" t="s">
        <v>673</v>
      </c>
      <c r="AI313" t="s">
        <v>674</v>
      </c>
      <c r="AJ313" t="s">
        <v>670</v>
      </c>
      <c r="AK313" t="str">
        <f>""</f>
        <v/>
      </c>
      <c r="AL313" t="s">
        <v>671</v>
      </c>
      <c r="AM313" t="s">
        <v>141</v>
      </c>
      <c r="AN313" s="3">
        <v>94085</v>
      </c>
      <c r="AO313" t="s">
        <v>101</v>
      </c>
      <c r="AQ313" t="str">
        <f>"+14087330480"</f>
        <v>+14087330480</v>
      </c>
      <c r="AS313" t="s">
        <v>675</v>
      </c>
      <c r="AT313" t="s">
        <v>102</v>
      </c>
      <c r="AU313" t="str">
        <f>""</f>
        <v/>
      </c>
      <c r="AV313" t="str">
        <f>""</f>
        <v/>
      </c>
      <c r="AW313" t="str">
        <f>""</f>
        <v/>
      </c>
      <c r="AX313" t="str">
        <f>""</f>
        <v/>
      </c>
      <c r="AY313" t="str">
        <f>""</f>
        <v/>
      </c>
      <c r="AZ313" t="str">
        <f>""</f>
        <v/>
      </c>
      <c r="BA313" t="str">
        <f>""</f>
        <v/>
      </c>
      <c r="BC313" t="str">
        <f>""</f>
        <v/>
      </c>
      <c r="BD313" t="str">
        <f>""</f>
        <v/>
      </c>
      <c r="BE313" t="str">
        <f>""</f>
        <v/>
      </c>
      <c r="BF313" t="str">
        <f>""</f>
        <v/>
      </c>
      <c r="BG313" t="str">
        <f>""</f>
        <v/>
      </c>
      <c r="BH313" t="str">
        <f>""</f>
        <v/>
      </c>
      <c r="BI313" t="str">
        <f>""</f>
        <v/>
      </c>
      <c r="BJ313" t="str">
        <f>""</f>
        <v/>
      </c>
      <c r="BK313">
        <v>1</v>
      </c>
      <c r="BL313" t="s">
        <v>107</v>
      </c>
      <c r="BM313" t="str">
        <f>"Norton Life lock Inc."</f>
        <v>Norton Life lock Inc.</v>
      </c>
      <c r="BN313" t="s">
        <v>11821</v>
      </c>
      <c r="BP313" t="s">
        <v>155</v>
      </c>
      <c r="BQ313" t="s">
        <v>230</v>
      </c>
      <c r="BR313" t="s">
        <v>141</v>
      </c>
      <c r="BS313" s="5">
        <v>94043</v>
      </c>
      <c r="BT313" s="2">
        <v>137363</v>
      </c>
      <c r="BV313" t="s">
        <v>105</v>
      </c>
      <c r="BW313" s="2">
        <v>137363</v>
      </c>
      <c r="BX313" t="s">
        <v>105</v>
      </c>
      <c r="BZ313" t="s">
        <v>123</v>
      </c>
      <c r="CA313" t="str">
        <f t="shared" si="16"/>
        <v>7/1/2020 - 6/30/2021</v>
      </c>
      <c r="CF313">
        <v>1</v>
      </c>
      <c r="CG313" t="s">
        <v>98</v>
      </c>
      <c r="CH313" t="s">
        <v>98</v>
      </c>
      <c r="CI313" t="s">
        <v>206</v>
      </c>
      <c r="CJ313" t="s">
        <v>98</v>
      </c>
      <c r="CK313" t="s">
        <v>12323</v>
      </c>
      <c r="CL313" t="s">
        <v>108</v>
      </c>
      <c r="CM313" t="s">
        <v>109</v>
      </c>
      <c r="CN313" t="str">
        <f>""</f>
        <v/>
      </c>
      <c r="CO313" t="str">
        <f>""</f>
        <v/>
      </c>
      <c r="CP313" t="str">
        <f>""</f>
        <v/>
      </c>
      <c r="CQ313" t="str">
        <f>""</f>
        <v/>
      </c>
    </row>
    <row r="314" spans="1:96" x14ac:dyDescent="0.2">
      <c r="A314" t="s">
        <v>11822</v>
      </c>
      <c r="B314" t="s">
        <v>96</v>
      </c>
      <c r="C314" s="1">
        <v>44098</v>
      </c>
      <c r="D314" s="1">
        <v>44105</v>
      </c>
      <c r="F314" t="s">
        <v>97</v>
      </c>
      <c r="G314" t="str">
        <f>"Software Solutions Architect"</f>
        <v>Software Solutions Architect</v>
      </c>
      <c r="H314" t="s">
        <v>12168</v>
      </c>
      <c r="I314" t="s">
        <v>160</v>
      </c>
      <c r="J314" t="s">
        <v>98</v>
      </c>
      <c r="K314" s="1">
        <v>44098</v>
      </c>
      <c r="L314" s="1">
        <v>45192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 t="s">
        <v>7131</v>
      </c>
      <c r="U314" t="str">
        <f>""</f>
        <v/>
      </c>
      <c r="V314" t="s">
        <v>7132</v>
      </c>
      <c r="W314" t="str">
        <f>"Suite 390"</f>
        <v>Suite 390</v>
      </c>
      <c r="X314" t="s">
        <v>381</v>
      </c>
      <c r="Y314" t="s">
        <v>195</v>
      </c>
      <c r="Z314" s="3">
        <v>20850</v>
      </c>
      <c r="AA314" t="s">
        <v>101</v>
      </c>
      <c r="AC314" s="4" t="str">
        <f>"+12404181086"</f>
        <v>+12404181086</v>
      </c>
      <c r="AE314" t="str">
        <f>"541511"</f>
        <v>541511</v>
      </c>
      <c r="AF314" t="s">
        <v>825</v>
      </c>
      <c r="AG314" t="s">
        <v>826</v>
      </c>
      <c r="AI314" t="s">
        <v>646</v>
      </c>
      <c r="AJ314" t="s">
        <v>7132</v>
      </c>
      <c r="AK314" t="str">
        <f>"Suite 390"</f>
        <v>Suite 390</v>
      </c>
      <c r="AL314" t="s">
        <v>381</v>
      </c>
      <c r="AM314" t="s">
        <v>195</v>
      </c>
      <c r="AN314" s="3">
        <v>20850</v>
      </c>
      <c r="AO314" t="s">
        <v>101</v>
      </c>
      <c r="AQ314" t="str">
        <f>"+12407740003"</f>
        <v>+12407740003</v>
      </c>
      <c r="AS314" t="s">
        <v>7133</v>
      </c>
      <c r="AT314" t="s">
        <v>107</v>
      </c>
      <c r="AU314" t="str">
        <f>"Shah"</f>
        <v>Shah</v>
      </c>
      <c r="AV314" t="str">
        <f>"Devang"</f>
        <v>Devang</v>
      </c>
      <c r="AW314" t="str">
        <f>"M."</f>
        <v>M.</v>
      </c>
      <c r="AX314" t="str">
        <f>"9201 Corporate Blvd."</f>
        <v>9201 Corporate Blvd.</v>
      </c>
      <c r="AY314" t="str">
        <f>"Suite 330"</f>
        <v>Suite 330</v>
      </c>
      <c r="AZ314" t="str">
        <f>"Rockville"</f>
        <v>Rockville</v>
      </c>
      <c r="BA314" t="str">
        <f>"MD"</f>
        <v>MD</v>
      </c>
      <c r="BB314" s="3">
        <v>20850</v>
      </c>
      <c r="BC314" t="str">
        <f>"UNITED STATES OF AMERICA"</f>
        <v>UNITED STATES OF AMERICA</v>
      </c>
      <c r="BD314" t="str">
        <f>""</f>
        <v/>
      </c>
      <c r="BE314" t="str">
        <f>"+13013150001"</f>
        <v>+13013150001</v>
      </c>
      <c r="BF314" t="str">
        <f>""</f>
        <v/>
      </c>
      <c r="BG314" t="str">
        <f>"Shah@shahandkishore.com"</f>
        <v>Shah@shahandkishore.com</v>
      </c>
      <c r="BH314" t="str">
        <f>"Shah and Kishore"</f>
        <v>Shah and Kishore</v>
      </c>
      <c r="BI314" t="str">
        <f>"MD"</f>
        <v>MD</v>
      </c>
      <c r="BJ314" t="str">
        <f>"Court of Appeals"</f>
        <v>Court of Appeals</v>
      </c>
      <c r="BK314">
        <v>1</v>
      </c>
      <c r="BL314" t="s">
        <v>102</v>
      </c>
      <c r="BM314" t="str">
        <f>""</f>
        <v/>
      </c>
      <c r="BN314" t="s">
        <v>10890</v>
      </c>
      <c r="BP314" t="s">
        <v>5153</v>
      </c>
      <c r="BQ314" t="s">
        <v>788</v>
      </c>
      <c r="BR314" t="s">
        <v>345</v>
      </c>
      <c r="BS314" s="5">
        <v>60067</v>
      </c>
      <c r="BT314" s="2">
        <v>100000</v>
      </c>
      <c r="BV314" t="s">
        <v>105</v>
      </c>
      <c r="BW314" s="2">
        <v>95555</v>
      </c>
      <c r="BX314" t="s">
        <v>105</v>
      </c>
      <c r="BZ314" t="s">
        <v>123</v>
      </c>
      <c r="CA314" t="str">
        <f t="shared" si="16"/>
        <v>7/1/2020 - 6/30/2021</v>
      </c>
      <c r="CF314">
        <v>2</v>
      </c>
      <c r="CG314" t="s">
        <v>98</v>
      </c>
      <c r="CH314" t="s">
        <v>98</v>
      </c>
      <c r="CI314" t="s">
        <v>206</v>
      </c>
      <c r="CJ314" t="s">
        <v>98</v>
      </c>
      <c r="CK314" t="s">
        <v>12323</v>
      </c>
      <c r="CL314" t="s">
        <v>108</v>
      </c>
      <c r="CM314" t="s">
        <v>109</v>
      </c>
      <c r="CN314" t="str">
        <f>"Shah"</f>
        <v>Shah</v>
      </c>
      <c r="CO314" t="str">
        <f>"Devang"</f>
        <v>Devang</v>
      </c>
      <c r="CP314" t="str">
        <f>"M."</f>
        <v>M.</v>
      </c>
      <c r="CQ314" t="str">
        <f>"Shah and Kishore"</f>
        <v>Shah and Kishore</v>
      </c>
      <c r="CR314" t="s">
        <v>828</v>
      </c>
    </row>
    <row r="315" spans="1:96" x14ac:dyDescent="0.2">
      <c r="A315" t="s">
        <v>11827</v>
      </c>
      <c r="B315" t="s">
        <v>96</v>
      </c>
      <c r="C315" s="1">
        <v>44098</v>
      </c>
      <c r="D315" s="1">
        <v>44105</v>
      </c>
      <c r="F315" t="s">
        <v>97</v>
      </c>
      <c r="G315" t="str">
        <f>"Senior Systems Analyst JC60"</f>
        <v>Senior Systems Analyst JC60</v>
      </c>
      <c r="H315" t="s">
        <v>12181</v>
      </c>
      <c r="I315" t="s">
        <v>110</v>
      </c>
      <c r="J315" t="s">
        <v>98</v>
      </c>
      <c r="K315" s="1">
        <v>44107</v>
      </c>
      <c r="L315" s="1">
        <v>45201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 t="s">
        <v>111</v>
      </c>
      <c r="U315" t="str">
        <f>"CTSUS"</f>
        <v>CTSUS</v>
      </c>
      <c r="V315" t="s">
        <v>112</v>
      </c>
      <c r="W315" t="str">
        <f>""</f>
        <v/>
      </c>
      <c r="X315" t="s">
        <v>113</v>
      </c>
      <c r="Y315" t="s">
        <v>114</v>
      </c>
      <c r="Z315" s="3">
        <v>77845</v>
      </c>
      <c r="AA315" t="s">
        <v>101</v>
      </c>
      <c r="AB315" t="s">
        <v>114</v>
      </c>
      <c r="AC315" s="4" t="str">
        <f>"+19793296682"</f>
        <v>+19793296682</v>
      </c>
      <c r="AE315" t="str">
        <f>"541512"</f>
        <v>541512</v>
      </c>
      <c r="AF315" t="s">
        <v>115</v>
      </c>
      <c r="AG315" t="s">
        <v>116</v>
      </c>
      <c r="AH315" t="s">
        <v>108</v>
      </c>
      <c r="AI315" t="s">
        <v>117</v>
      </c>
      <c r="AJ315" t="s">
        <v>118</v>
      </c>
      <c r="AK315" t="str">
        <f>""</f>
        <v/>
      </c>
      <c r="AL315" t="s">
        <v>119</v>
      </c>
      <c r="AM315" t="s">
        <v>114</v>
      </c>
      <c r="AN315" s="3">
        <v>77845</v>
      </c>
      <c r="AO315" t="s">
        <v>101</v>
      </c>
      <c r="AQ315" t="str">
        <f>"+19793296682"</f>
        <v>+19793296682</v>
      </c>
      <c r="AS315" t="s">
        <v>120</v>
      </c>
      <c r="AT315" t="s">
        <v>102</v>
      </c>
      <c r="AU315" t="str">
        <f>""</f>
        <v/>
      </c>
      <c r="AV315" t="str">
        <f>""</f>
        <v/>
      </c>
      <c r="AW315" t="str">
        <f>""</f>
        <v/>
      </c>
      <c r="AX315" t="str">
        <f>""</f>
        <v/>
      </c>
      <c r="AY315" t="str">
        <f>""</f>
        <v/>
      </c>
      <c r="AZ315" t="str">
        <f>""</f>
        <v/>
      </c>
      <c r="BA315" t="str">
        <f>""</f>
        <v/>
      </c>
      <c r="BC315" t="str">
        <f>""</f>
        <v/>
      </c>
      <c r="BD315" t="str">
        <f>""</f>
        <v/>
      </c>
      <c r="BE315" t="str">
        <f>""</f>
        <v/>
      </c>
      <c r="BF315" t="str">
        <f>""</f>
        <v/>
      </c>
      <c r="BG315" t="str">
        <f>""</f>
        <v/>
      </c>
      <c r="BH315" t="str">
        <f>""</f>
        <v/>
      </c>
      <c r="BI315" t="str">
        <f>""</f>
        <v/>
      </c>
      <c r="BJ315" t="str">
        <f>""</f>
        <v/>
      </c>
      <c r="BK315">
        <v>1</v>
      </c>
      <c r="BL315" t="s">
        <v>107</v>
      </c>
      <c r="BM315" t="str">
        <f>"Wal-Mart Stores, Inc"</f>
        <v>Wal-Mart Stores, Inc</v>
      </c>
      <c r="BN315" t="s">
        <v>11828</v>
      </c>
      <c r="BP315" t="s">
        <v>483</v>
      </c>
      <c r="BQ315" t="s">
        <v>484</v>
      </c>
      <c r="BR315" t="s">
        <v>114</v>
      </c>
      <c r="BS315" s="5">
        <v>75039</v>
      </c>
      <c r="BT315" s="2">
        <v>80475</v>
      </c>
      <c r="BV315" t="s">
        <v>105</v>
      </c>
      <c r="BW315" s="2">
        <v>80475</v>
      </c>
      <c r="BX315" t="s">
        <v>105</v>
      </c>
      <c r="BZ315" t="s">
        <v>167</v>
      </c>
      <c r="CA315" t="str">
        <f t="shared" si="16"/>
        <v>7/1/2020 - 6/30/2021</v>
      </c>
      <c r="CF315">
        <v>1</v>
      </c>
      <c r="CG315" t="s">
        <v>98</v>
      </c>
      <c r="CH315" t="s">
        <v>98</v>
      </c>
      <c r="CI315" t="s">
        <v>206</v>
      </c>
      <c r="CJ315" t="s">
        <v>98</v>
      </c>
      <c r="CK315" t="s">
        <v>12323</v>
      </c>
      <c r="CL315" t="s">
        <v>108</v>
      </c>
      <c r="CM315" t="s">
        <v>109</v>
      </c>
      <c r="CN315" t="str">
        <f>""</f>
        <v/>
      </c>
      <c r="CO315" t="str">
        <f>""</f>
        <v/>
      </c>
      <c r="CP315" t="str">
        <f>""</f>
        <v/>
      </c>
      <c r="CQ315" t="str">
        <f>""</f>
        <v/>
      </c>
    </row>
    <row r="316" spans="1:96" x14ac:dyDescent="0.2">
      <c r="A316" t="s">
        <v>11846</v>
      </c>
      <c r="B316" t="s">
        <v>96</v>
      </c>
      <c r="C316" s="1">
        <v>44098</v>
      </c>
      <c r="D316" s="1">
        <v>44105</v>
      </c>
      <c r="F316" t="s">
        <v>97</v>
      </c>
      <c r="G316" t="str">
        <f>"Systems Analyst"</f>
        <v>Systems Analyst</v>
      </c>
      <c r="H316" t="s">
        <v>12181</v>
      </c>
      <c r="I316" t="s">
        <v>110</v>
      </c>
      <c r="J316" t="s">
        <v>98</v>
      </c>
      <c r="K316" s="1">
        <v>44115</v>
      </c>
      <c r="L316" s="1">
        <v>45209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 t="s">
        <v>1099</v>
      </c>
      <c r="U316" t="str">
        <f>""</f>
        <v/>
      </c>
      <c r="V316" t="s">
        <v>1100</v>
      </c>
      <c r="W316" t="str">
        <f>"8th Floor"</f>
        <v>8th Floor</v>
      </c>
      <c r="X316" t="s">
        <v>561</v>
      </c>
      <c r="Y316" t="s">
        <v>100</v>
      </c>
      <c r="Z316" s="3">
        <v>8837</v>
      </c>
      <c r="AA316" t="s">
        <v>101</v>
      </c>
      <c r="AC316" s="4" t="str">
        <f>"+17323098990"</f>
        <v>+17323098990</v>
      </c>
      <c r="AE316" t="str">
        <f>"541511"</f>
        <v>541511</v>
      </c>
      <c r="AF316" t="s">
        <v>1101</v>
      </c>
      <c r="AG316" t="s">
        <v>1102</v>
      </c>
      <c r="AI316" t="s">
        <v>1103</v>
      </c>
      <c r="AJ316" t="s">
        <v>1100</v>
      </c>
      <c r="AK316" t="str">
        <f>" 8th Floor"</f>
        <v xml:space="preserve"> 8th Floor</v>
      </c>
      <c r="AL316" t="s">
        <v>561</v>
      </c>
      <c r="AM316" t="s">
        <v>100</v>
      </c>
      <c r="AN316" s="3">
        <v>8837</v>
      </c>
      <c r="AO316" t="s">
        <v>101</v>
      </c>
      <c r="AQ316" t="str">
        <f>"+17323098990"</f>
        <v>+17323098990</v>
      </c>
      <c r="AS316" t="s">
        <v>1104</v>
      </c>
      <c r="AT316" t="s">
        <v>107</v>
      </c>
      <c r="AU316" t="str">
        <f>"Chowdhury		"</f>
        <v xml:space="preserve">Chowdhury		</v>
      </c>
      <c r="AV316" t="str">
        <f>"Anindita	"</f>
        <v xml:space="preserve">Anindita	</v>
      </c>
      <c r="AW316" t="str">
        <f>"A."</f>
        <v>A.</v>
      </c>
      <c r="AX316" t="str">
        <f>"6720-B Rockledge Drive 	 "</f>
        <v xml:space="preserve">6720-B Rockledge Drive 	 </v>
      </c>
      <c r="AY316" t="str">
        <f>"Suite 430"</f>
        <v>Suite 430</v>
      </c>
      <c r="AZ316" t="str">
        <f>"Bethesda"</f>
        <v>Bethesda</v>
      </c>
      <c r="BA316" t="str">
        <f>"MD"</f>
        <v>MD</v>
      </c>
      <c r="BB316" s="3">
        <v>20817</v>
      </c>
      <c r="BC316" t="str">
        <f>"UNITED STATES OF AMERICA"</f>
        <v>UNITED STATES OF AMERICA</v>
      </c>
      <c r="BD316" t="str">
        <f>""</f>
        <v/>
      </c>
      <c r="BE316" t="str">
        <f>"+12026184540"</f>
        <v>+12026184540</v>
      </c>
      <c r="BF316" t="str">
        <f>""</f>
        <v/>
      </c>
      <c r="BG316" t="str">
        <f>"anindita@usilaw.com"</f>
        <v>anindita@usilaw.com</v>
      </c>
      <c r="BH316" t="str">
        <f>"Usilaw, Inc				"</f>
        <v xml:space="preserve">Usilaw, Inc				</v>
      </c>
      <c r="BI316" t="str">
        <f>"DC"</f>
        <v>DC</v>
      </c>
      <c r="BJ316" t="str">
        <f>"Court of Appeals"</f>
        <v>Court of Appeals</v>
      </c>
      <c r="BK316">
        <v>1</v>
      </c>
      <c r="BL316" t="s">
        <v>107</v>
      </c>
      <c r="BM316" t="str">
        <f>"Wells Fargo"</f>
        <v>Wells Fargo</v>
      </c>
      <c r="BN316" t="s">
        <v>11847</v>
      </c>
      <c r="BO316" t="s">
        <v>2465</v>
      </c>
      <c r="BP316" t="s">
        <v>1886</v>
      </c>
      <c r="BQ316" t="s">
        <v>335</v>
      </c>
      <c r="BR316" t="s">
        <v>280</v>
      </c>
      <c r="BS316" s="5">
        <v>6810</v>
      </c>
      <c r="BT316" s="2">
        <v>94411</v>
      </c>
      <c r="BV316" t="s">
        <v>105</v>
      </c>
      <c r="BW316" s="2">
        <v>94411</v>
      </c>
      <c r="BX316" t="s">
        <v>105</v>
      </c>
      <c r="BZ316" t="s">
        <v>167</v>
      </c>
      <c r="CA316" t="str">
        <f t="shared" si="16"/>
        <v>7/1/2020 - 6/30/2021</v>
      </c>
      <c r="CF316">
        <v>2</v>
      </c>
      <c r="CG316" t="s">
        <v>98</v>
      </c>
      <c r="CH316" t="s">
        <v>98</v>
      </c>
      <c r="CI316" t="s">
        <v>206</v>
      </c>
      <c r="CJ316" t="s">
        <v>98</v>
      </c>
      <c r="CK316" t="s">
        <v>12323</v>
      </c>
      <c r="CL316" t="s">
        <v>108</v>
      </c>
      <c r="CM316" t="s">
        <v>109</v>
      </c>
      <c r="CN316" t="str">
        <f>""</f>
        <v/>
      </c>
      <c r="CO316" t="str">
        <f>""</f>
        <v/>
      </c>
      <c r="CP316" t="str">
        <f>""</f>
        <v/>
      </c>
      <c r="CQ316" t="str">
        <f>""</f>
        <v/>
      </c>
    </row>
    <row r="317" spans="1:96" x14ac:dyDescent="0.2">
      <c r="A317" t="s">
        <v>11854</v>
      </c>
      <c r="B317" t="s">
        <v>96</v>
      </c>
      <c r="C317" s="1">
        <v>44098</v>
      </c>
      <c r="D317" s="1">
        <v>44105</v>
      </c>
      <c r="F317" t="s">
        <v>97</v>
      </c>
      <c r="G317" t="str">
        <f>"System Analyst JC65"</f>
        <v>System Analyst JC65</v>
      </c>
      <c r="H317" t="s">
        <v>12181</v>
      </c>
      <c r="I317" t="s">
        <v>110</v>
      </c>
      <c r="J317" t="s">
        <v>98</v>
      </c>
      <c r="K317" s="1">
        <v>44107</v>
      </c>
      <c r="L317" s="1">
        <v>45201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 t="s">
        <v>111</v>
      </c>
      <c r="U317" t="str">
        <f>"CTSUS"</f>
        <v>CTSUS</v>
      </c>
      <c r="V317" t="s">
        <v>112</v>
      </c>
      <c r="W317" t="str">
        <f>""</f>
        <v/>
      </c>
      <c r="X317" t="s">
        <v>113</v>
      </c>
      <c r="Y317" t="s">
        <v>114</v>
      </c>
      <c r="Z317" s="3">
        <v>77845</v>
      </c>
      <c r="AA317" t="s">
        <v>101</v>
      </c>
      <c r="AB317" t="s">
        <v>114</v>
      </c>
      <c r="AC317" s="4" t="str">
        <f>"+19793296682"</f>
        <v>+19793296682</v>
      </c>
      <c r="AE317" t="str">
        <f>"541512"</f>
        <v>541512</v>
      </c>
      <c r="AF317" t="s">
        <v>115</v>
      </c>
      <c r="AG317" t="s">
        <v>116</v>
      </c>
      <c r="AH317" t="s">
        <v>108</v>
      </c>
      <c r="AI317" t="s">
        <v>117</v>
      </c>
      <c r="AJ317" t="s">
        <v>118</v>
      </c>
      <c r="AK317" t="str">
        <f>""</f>
        <v/>
      </c>
      <c r="AL317" t="s">
        <v>119</v>
      </c>
      <c r="AM317" t="s">
        <v>114</v>
      </c>
      <c r="AN317" s="3">
        <v>77845</v>
      </c>
      <c r="AO317" t="s">
        <v>101</v>
      </c>
      <c r="AQ317" t="str">
        <f>"+19793296682"</f>
        <v>+19793296682</v>
      </c>
      <c r="AS317" t="s">
        <v>120</v>
      </c>
      <c r="AT317" t="s">
        <v>102</v>
      </c>
      <c r="AU317" t="str">
        <f>""</f>
        <v/>
      </c>
      <c r="AV317" t="str">
        <f>""</f>
        <v/>
      </c>
      <c r="AW317" t="str">
        <f>""</f>
        <v/>
      </c>
      <c r="AX317" t="str">
        <f>""</f>
        <v/>
      </c>
      <c r="AY317" t="str">
        <f>""</f>
        <v/>
      </c>
      <c r="AZ317" t="str">
        <f>""</f>
        <v/>
      </c>
      <c r="BA317" t="str">
        <f>""</f>
        <v/>
      </c>
      <c r="BC317" t="str">
        <f>""</f>
        <v/>
      </c>
      <c r="BD317" t="str">
        <f>""</f>
        <v/>
      </c>
      <c r="BE317" t="str">
        <f>""</f>
        <v/>
      </c>
      <c r="BF317" t="str">
        <f>""</f>
        <v/>
      </c>
      <c r="BG317" t="str">
        <f>""</f>
        <v/>
      </c>
      <c r="BH317" t="str">
        <f>""</f>
        <v/>
      </c>
      <c r="BI317" t="str">
        <f>""</f>
        <v/>
      </c>
      <c r="BJ317" t="str">
        <f>""</f>
        <v/>
      </c>
      <c r="BK317">
        <v>1</v>
      </c>
      <c r="BL317" t="s">
        <v>102</v>
      </c>
      <c r="BM317" t="str">
        <f>""</f>
        <v/>
      </c>
      <c r="BN317" t="s">
        <v>11855</v>
      </c>
      <c r="BP317" t="s">
        <v>699</v>
      </c>
      <c r="BQ317" t="s">
        <v>1214</v>
      </c>
      <c r="BR317" t="s">
        <v>100</v>
      </c>
      <c r="BS317" s="5">
        <v>7094</v>
      </c>
      <c r="BT317" s="2">
        <v>92269</v>
      </c>
      <c r="BV317" t="s">
        <v>105</v>
      </c>
      <c r="BW317" s="2">
        <v>92269</v>
      </c>
      <c r="BX317" t="s">
        <v>105</v>
      </c>
      <c r="BZ317" t="s">
        <v>167</v>
      </c>
      <c r="CA317" t="str">
        <f t="shared" si="16"/>
        <v>7/1/2020 - 6/30/2021</v>
      </c>
      <c r="CF317">
        <v>1</v>
      </c>
      <c r="CG317" t="s">
        <v>98</v>
      </c>
      <c r="CH317" t="s">
        <v>98</v>
      </c>
      <c r="CI317" t="s">
        <v>206</v>
      </c>
      <c r="CJ317" t="s">
        <v>98</v>
      </c>
      <c r="CK317" t="s">
        <v>12323</v>
      </c>
      <c r="CL317" t="s">
        <v>108</v>
      </c>
      <c r="CM317" t="s">
        <v>109</v>
      </c>
      <c r="CN317" t="str">
        <f>""</f>
        <v/>
      </c>
      <c r="CO317" t="str">
        <f>""</f>
        <v/>
      </c>
      <c r="CP317" t="str">
        <f>""</f>
        <v/>
      </c>
      <c r="CQ317" t="str">
        <f>""</f>
        <v/>
      </c>
    </row>
    <row r="318" spans="1:96" x14ac:dyDescent="0.2">
      <c r="A318" t="s">
        <v>11860</v>
      </c>
      <c r="B318" t="s">
        <v>96</v>
      </c>
      <c r="C318" s="1">
        <v>44098</v>
      </c>
      <c r="D318" s="1">
        <v>44105</v>
      </c>
      <c r="F318" t="s">
        <v>97</v>
      </c>
      <c r="G318" t="str">
        <f>"Bigdata Developer"</f>
        <v>Bigdata Developer</v>
      </c>
      <c r="H318" t="s">
        <v>12168</v>
      </c>
      <c r="I318" t="s">
        <v>319</v>
      </c>
      <c r="J318" t="s">
        <v>98</v>
      </c>
      <c r="K318" s="1">
        <v>44147</v>
      </c>
      <c r="L318" s="1">
        <v>45089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7256</v>
      </c>
      <c r="U318" t="str">
        <f>""</f>
        <v/>
      </c>
      <c r="V318" t="s">
        <v>7257</v>
      </c>
      <c r="W318" t="str">
        <f>""</f>
        <v/>
      </c>
      <c r="X318" t="s">
        <v>1328</v>
      </c>
      <c r="Y318" t="s">
        <v>934</v>
      </c>
      <c r="Z318" s="3">
        <v>68137</v>
      </c>
      <c r="AA318" t="s">
        <v>101</v>
      </c>
      <c r="AC318" s="4" t="str">
        <f>"+14086377976"</f>
        <v>+14086377976</v>
      </c>
      <c r="AE318" t="str">
        <f>"541511"</f>
        <v>541511</v>
      </c>
      <c r="AF318" t="s">
        <v>208</v>
      </c>
      <c r="AG318" t="s">
        <v>7258</v>
      </c>
      <c r="AI318" t="s">
        <v>7259</v>
      </c>
      <c r="AJ318" t="s">
        <v>7257</v>
      </c>
      <c r="AK318" t="str">
        <f>""</f>
        <v/>
      </c>
      <c r="AL318" t="s">
        <v>1328</v>
      </c>
      <c r="AM318" t="s">
        <v>934</v>
      </c>
      <c r="AN318" s="3">
        <v>68137</v>
      </c>
      <c r="AO318" t="s">
        <v>101</v>
      </c>
      <c r="AQ318" t="str">
        <f>"+14086377976"</f>
        <v>+14086377976</v>
      </c>
      <c r="AS318" t="s">
        <v>7260</v>
      </c>
      <c r="AT318" t="s">
        <v>102</v>
      </c>
      <c r="AU318" t="str">
        <f>""</f>
        <v/>
      </c>
      <c r="AV318" t="str">
        <f>""</f>
        <v/>
      </c>
      <c r="AW318" t="str">
        <f>""</f>
        <v/>
      </c>
      <c r="AX318" t="str">
        <f>""</f>
        <v/>
      </c>
      <c r="AY318" t="str">
        <f>""</f>
        <v/>
      </c>
      <c r="AZ318" t="str">
        <f>""</f>
        <v/>
      </c>
      <c r="BA318" t="str">
        <f>""</f>
        <v/>
      </c>
      <c r="BC318" t="str">
        <f>""</f>
        <v/>
      </c>
      <c r="BD318" t="str">
        <f>""</f>
        <v/>
      </c>
      <c r="BE318" t="str">
        <f>""</f>
        <v/>
      </c>
      <c r="BF318" t="str">
        <f>""</f>
        <v/>
      </c>
      <c r="BG318" t="str">
        <f>""</f>
        <v/>
      </c>
      <c r="BH318" t="str">
        <f>""</f>
        <v/>
      </c>
      <c r="BI318" t="str">
        <f>""</f>
        <v/>
      </c>
      <c r="BJ318" t="str">
        <f>""</f>
        <v/>
      </c>
      <c r="BK318">
        <v>1</v>
      </c>
      <c r="BL318" t="s">
        <v>107</v>
      </c>
      <c r="BM318" t="str">
        <f>"SABRE GLBL INC"</f>
        <v>SABRE GLBL INC</v>
      </c>
      <c r="BN318" t="s">
        <v>9844</v>
      </c>
      <c r="BP318" t="s">
        <v>662</v>
      </c>
      <c r="BQ318" t="s">
        <v>792</v>
      </c>
      <c r="BR318" t="s">
        <v>114</v>
      </c>
      <c r="BS318" s="5">
        <v>76092</v>
      </c>
      <c r="BT318" s="2">
        <v>89400</v>
      </c>
      <c r="BU318" s="2">
        <v>98400</v>
      </c>
      <c r="BV318" t="s">
        <v>105</v>
      </c>
      <c r="BW318" s="2">
        <v>74027</v>
      </c>
      <c r="BX318" t="s">
        <v>105</v>
      </c>
      <c r="BZ318" t="s">
        <v>167</v>
      </c>
      <c r="CA318" t="str">
        <f t="shared" si="16"/>
        <v>7/1/2020 - 6/30/2021</v>
      </c>
      <c r="CF318">
        <v>1</v>
      </c>
      <c r="CG318" t="s">
        <v>98</v>
      </c>
      <c r="CH318" t="s">
        <v>98</v>
      </c>
      <c r="CI318" t="s">
        <v>206</v>
      </c>
      <c r="CJ318" t="s">
        <v>98</v>
      </c>
      <c r="CK318" t="s">
        <v>12323</v>
      </c>
      <c r="CL318" t="s">
        <v>108</v>
      </c>
      <c r="CM318" t="s">
        <v>353</v>
      </c>
      <c r="CN318" t="str">
        <f>"Patel"</f>
        <v>Patel</v>
      </c>
      <c r="CO318" t="str">
        <f>"Mahendra "</f>
        <v xml:space="preserve">Mahendra </v>
      </c>
      <c r="CP318" t="str">
        <f>""</f>
        <v/>
      </c>
      <c r="CQ318" t="str">
        <f>"TECHNOCRATIC INC "</f>
        <v xml:space="preserve">TECHNOCRATIC INC </v>
      </c>
      <c r="CR318" t="s">
        <v>7260</v>
      </c>
    </row>
    <row r="319" spans="1:96" x14ac:dyDescent="0.2">
      <c r="A319" t="s">
        <v>11862</v>
      </c>
      <c r="B319" t="s">
        <v>96</v>
      </c>
      <c r="C319" s="1">
        <v>44098</v>
      </c>
      <c r="D319" s="1">
        <v>44105</v>
      </c>
      <c r="F319" t="s">
        <v>97</v>
      </c>
      <c r="G319" t="str">
        <f>"Senior Software Developer"</f>
        <v>Senior Software Developer</v>
      </c>
      <c r="H319" t="s">
        <v>12169</v>
      </c>
      <c r="I319" t="s">
        <v>124</v>
      </c>
      <c r="J319" t="s">
        <v>98</v>
      </c>
      <c r="K319" s="1">
        <v>44099</v>
      </c>
      <c r="L319" s="1">
        <v>45193</v>
      </c>
      <c r="M319">
        <v>6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 t="s">
        <v>2509</v>
      </c>
      <c r="U319" t="str">
        <f>"Mastech Digital InfoTech, Inc."</f>
        <v>Mastech Digital InfoTech, Inc.</v>
      </c>
      <c r="V319" t="s">
        <v>1081</v>
      </c>
      <c r="W319" t="str">
        <f>"Bldg. 210, Suite 400"</f>
        <v>Bldg. 210, Suite 400</v>
      </c>
      <c r="X319" t="s">
        <v>1082</v>
      </c>
      <c r="Y319" t="s">
        <v>127</v>
      </c>
      <c r="Z319" s="3">
        <v>15108</v>
      </c>
      <c r="AA319" t="s">
        <v>101</v>
      </c>
      <c r="AB319" t="s">
        <v>2510</v>
      </c>
      <c r="AC319" s="4" t="str">
        <f>"+14127879553"</f>
        <v>+14127879553</v>
      </c>
      <c r="AE319" t="str">
        <f>"541511"</f>
        <v>541511</v>
      </c>
      <c r="AF319" t="s">
        <v>1083</v>
      </c>
      <c r="AG319" t="s">
        <v>1084</v>
      </c>
      <c r="AI319" t="s">
        <v>1085</v>
      </c>
      <c r="AJ319" t="s">
        <v>1081</v>
      </c>
      <c r="AK319" t="str">
        <f>"Bldg. 210, Ste 400"</f>
        <v>Bldg. 210, Ste 400</v>
      </c>
      <c r="AL319" t="s">
        <v>1082</v>
      </c>
      <c r="AM319" t="s">
        <v>127</v>
      </c>
      <c r="AN319" s="3">
        <v>15108</v>
      </c>
      <c r="AO319" t="s">
        <v>101</v>
      </c>
      <c r="AQ319" t="str">
        <f>"+14127879553"</f>
        <v>+14127879553</v>
      </c>
      <c r="AS319" t="s">
        <v>1086</v>
      </c>
      <c r="AT319" t="s">
        <v>102</v>
      </c>
      <c r="AU319" t="str">
        <f>""</f>
        <v/>
      </c>
      <c r="AV319" t="str">
        <f>""</f>
        <v/>
      </c>
      <c r="AW319" t="str">
        <f>""</f>
        <v/>
      </c>
      <c r="AX319" t="str">
        <f>""</f>
        <v/>
      </c>
      <c r="AY319" t="str">
        <f>""</f>
        <v/>
      </c>
      <c r="AZ319" t="str">
        <f>""</f>
        <v/>
      </c>
      <c r="BA319" t="str">
        <f>""</f>
        <v/>
      </c>
      <c r="BC319" t="str">
        <f>""</f>
        <v/>
      </c>
      <c r="BD319" t="str">
        <f>""</f>
        <v/>
      </c>
      <c r="BE319" t="str">
        <f>""</f>
        <v/>
      </c>
      <c r="BF319" t="str">
        <f>""</f>
        <v/>
      </c>
      <c r="BG319" t="str">
        <f>""</f>
        <v/>
      </c>
      <c r="BH319" t="str">
        <f>""</f>
        <v/>
      </c>
      <c r="BI319" t="str">
        <f>""</f>
        <v/>
      </c>
      <c r="BJ319" t="str">
        <f>""</f>
        <v/>
      </c>
      <c r="BK319">
        <v>6</v>
      </c>
      <c r="BL319" t="s">
        <v>107</v>
      </c>
      <c r="BM319" t="str">
        <f>"PNC Bank"</f>
        <v>PNC Bank</v>
      </c>
      <c r="BN319" t="s">
        <v>2659</v>
      </c>
      <c r="BP319" t="s">
        <v>2660</v>
      </c>
      <c r="BQ319" t="s">
        <v>1087</v>
      </c>
      <c r="BR319" t="s">
        <v>225</v>
      </c>
      <c r="BS319" s="5">
        <v>44136</v>
      </c>
      <c r="BT319" s="2">
        <v>87006</v>
      </c>
      <c r="BU319" s="2">
        <v>102006</v>
      </c>
      <c r="BV319" t="s">
        <v>105</v>
      </c>
      <c r="BW319" s="2">
        <v>87006</v>
      </c>
      <c r="BX319" t="s">
        <v>105</v>
      </c>
      <c r="BZ319" t="s">
        <v>123</v>
      </c>
      <c r="CA319" t="str">
        <f t="shared" si="16"/>
        <v>7/1/2020 - 6/30/2021</v>
      </c>
      <c r="CF319">
        <v>2</v>
      </c>
      <c r="CG319" t="s">
        <v>98</v>
      </c>
      <c r="CH319" t="s">
        <v>98</v>
      </c>
      <c r="CI319" t="s">
        <v>206</v>
      </c>
      <c r="CJ319" t="s">
        <v>98</v>
      </c>
      <c r="CK319" t="s">
        <v>12323</v>
      </c>
      <c r="CL319" t="s">
        <v>108</v>
      </c>
      <c r="CM319" t="s">
        <v>109</v>
      </c>
      <c r="CN319" t="str">
        <f>""</f>
        <v/>
      </c>
      <c r="CO319" t="str">
        <f>""</f>
        <v/>
      </c>
      <c r="CP319" t="str">
        <f>""</f>
        <v/>
      </c>
      <c r="CQ319" t="str">
        <f>""</f>
        <v/>
      </c>
    </row>
    <row r="320" spans="1:96" x14ac:dyDescent="0.2">
      <c r="A320" t="s">
        <v>11877</v>
      </c>
      <c r="B320" t="s">
        <v>96</v>
      </c>
      <c r="C320" s="1">
        <v>44098</v>
      </c>
      <c r="D320" s="1">
        <v>44105</v>
      </c>
      <c r="F320" t="s">
        <v>97</v>
      </c>
      <c r="G320" t="str">
        <f>"Associate Director JC40"</f>
        <v>Associate Director JC40</v>
      </c>
      <c r="H320" t="s">
        <v>12181</v>
      </c>
      <c r="I320" t="s">
        <v>110</v>
      </c>
      <c r="J320" t="s">
        <v>98</v>
      </c>
      <c r="K320" s="1">
        <v>44244</v>
      </c>
      <c r="L320" s="1">
        <v>45338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 t="s">
        <v>111</v>
      </c>
      <c r="U320" t="str">
        <f>"CTSUS"</f>
        <v>CTSUS</v>
      </c>
      <c r="V320" t="s">
        <v>112</v>
      </c>
      <c r="W320" t="str">
        <f>""</f>
        <v/>
      </c>
      <c r="X320" t="s">
        <v>113</v>
      </c>
      <c r="Y320" t="s">
        <v>114</v>
      </c>
      <c r="Z320" s="3">
        <v>77845</v>
      </c>
      <c r="AA320" t="s">
        <v>101</v>
      </c>
      <c r="AB320" t="s">
        <v>114</v>
      </c>
      <c r="AC320" s="4" t="str">
        <f>"+19793296682"</f>
        <v>+19793296682</v>
      </c>
      <c r="AE320" t="str">
        <f>"541512"</f>
        <v>541512</v>
      </c>
      <c r="AF320" t="s">
        <v>115</v>
      </c>
      <c r="AG320" t="s">
        <v>116</v>
      </c>
      <c r="AH320" t="s">
        <v>108</v>
      </c>
      <c r="AI320" t="s">
        <v>117</v>
      </c>
      <c r="AJ320" t="s">
        <v>118</v>
      </c>
      <c r="AK320" t="str">
        <f>""</f>
        <v/>
      </c>
      <c r="AL320" t="s">
        <v>119</v>
      </c>
      <c r="AM320" t="s">
        <v>114</v>
      </c>
      <c r="AN320" s="3">
        <v>77845</v>
      </c>
      <c r="AO320" t="s">
        <v>101</v>
      </c>
      <c r="AQ320" t="str">
        <f>"+19793296682"</f>
        <v>+19793296682</v>
      </c>
      <c r="AS320" t="s">
        <v>120</v>
      </c>
      <c r="AT320" t="s">
        <v>102</v>
      </c>
      <c r="AU320" t="str">
        <f>""</f>
        <v/>
      </c>
      <c r="AV320" t="str">
        <f>""</f>
        <v/>
      </c>
      <c r="AW320" t="str">
        <f>""</f>
        <v/>
      </c>
      <c r="AX320" t="str">
        <f>""</f>
        <v/>
      </c>
      <c r="AY320" t="str">
        <f>""</f>
        <v/>
      </c>
      <c r="AZ320" t="str">
        <f>""</f>
        <v/>
      </c>
      <c r="BA320" t="str">
        <f>""</f>
        <v/>
      </c>
      <c r="BC320" t="str">
        <f>""</f>
        <v/>
      </c>
      <c r="BD320" t="str">
        <f>""</f>
        <v/>
      </c>
      <c r="BE320" t="str">
        <f>""</f>
        <v/>
      </c>
      <c r="BF320" t="str">
        <f>""</f>
        <v/>
      </c>
      <c r="BG320" t="str">
        <f>""</f>
        <v/>
      </c>
      <c r="BH320" t="str">
        <f>""</f>
        <v/>
      </c>
      <c r="BI320" t="str">
        <f>""</f>
        <v/>
      </c>
      <c r="BJ320" t="str">
        <f>""</f>
        <v/>
      </c>
      <c r="BK320">
        <v>1</v>
      </c>
      <c r="BL320" t="s">
        <v>102</v>
      </c>
      <c r="BM320" t="str">
        <f>""</f>
        <v/>
      </c>
      <c r="BN320" t="s">
        <v>11878</v>
      </c>
      <c r="BP320" t="s">
        <v>10119</v>
      </c>
      <c r="BQ320" t="s">
        <v>365</v>
      </c>
      <c r="BR320" t="s">
        <v>141</v>
      </c>
      <c r="BS320" s="5">
        <v>93551</v>
      </c>
      <c r="BT320" s="2">
        <v>123594</v>
      </c>
      <c r="BV320" t="s">
        <v>105</v>
      </c>
      <c r="BW320" s="2">
        <v>123594</v>
      </c>
      <c r="BX320" t="s">
        <v>105</v>
      </c>
      <c r="BZ320" t="s">
        <v>159</v>
      </c>
      <c r="CA320" t="str">
        <f t="shared" si="16"/>
        <v>7/1/2020 - 6/30/2021</v>
      </c>
      <c r="CF320">
        <v>1</v>
      </c>
      <c r="CG320" t="s">
        <v>98</v>
      </c>
      <c r="CH320" t="s">
        <v>98</v>
      </c>
      <c r="CI320" t="s">
        <v>206</v>
      </c>
      <c r="CJ320" t="s">
        <v>98</v>
      </c>
      <c r="CK320" t="s">
        <v>12323</v>
      </c>
      <c r="CL320" t="s">
        <v>108</v>
      </c>
      <c r="CM320" t="s">
        <v>109</v>
      </c>
      <c r="CN320" t="str">
        <f>""</f>
        <v/>
      </c>
      <c r="CO320" t="str">
        <f>""</f>
        <v/>
      </c>
      <c r="CP320" t="str">
        <f>""</f>
        <v/>
      </c>
      <c r="CQ320" t="str">
        <f>""</f>
        <v/>
      </c>
    </row>
    <row r="321" spans="1:96" x14ac:dyDescent="0.2">
      <c r="A321" t="s">
        <v>11879</v>
      </c>
      <c r="B321" t="s">
        <v>96</v>
      </c>
      <c r="C321" s="1">
        <v>44098</v>
      </c>
      <c r="D321" s="1">
        <v>44105</v>
      </c>
      <c r="F321" t="s">
        <v>97</v>
      </c>
      <c r="G321" t="str">
        <f>"JUNIOR COMPUTER SYSTEMS ENGINEER 1"</f>
        <v>JUNIOR COMPUTER SYSTEMS ENGINEER 1</v>
      </c>
      <c r="H321" t="s">
        <v>12168</v>
      </c>
      <c r="I321" t="s">
        <v>160</v>
      </c>
      <c r="J321" t="s">
        <v>98</v>
      </c>
      <c r="K321" s="1">
        <v>44109</v>
      </c>
      <c r="L321" s="1">
        <v>45203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 t="s">
        <v>5028</v>
      </c>
      <c r="U321" t="str">
        <f>""</f>
        <v/>
      </c>
      <c r="V321" t="s">
        <v>5029</v>
      </c>
      <c r="W321" t="str">
        <f>""</f>
        <v/>
      </c>
      <c r="X321" t="s">
        <v>399</v>
      </c>
      <c r="Y321" t="s">
        <v>141</v>
      </c>
      <c r="Z321" s="3">
        <v>94555</v>
      </c>
      <c r="AA321" t="s">
        <v>101</v>
      </c>
      <c r="AC321" s="4" t="str">
        <f>"+15107954800"</f>
        <v>+15107954800</v>
      </c>
      <c r="AE321" t="str">
        <f>"541519"</f>
        <v>541519</v>
      </c>
      <c r="AF321" t="s">
        <v>5030</v>
      </c>
      <c r="AG321" t="s">
        <v>5031</v>
      </c>
      <c r="AI321" t="s">
        <v>5032</v>
      </c>
      <c r="AJ321" t="s">
        <v>5029</v>
      </c>
      <c r="AK321" t="str">
        <f>""</f>
        <v/>
      </c>
      <c r="AL321" t="s">
        <v>399</v>
      </c>
      <c r="AM321" t="s">
        <v>141</v>
      </c>
      <c r="AN321" s="3">
        <v>94555</v>
      </c>
      <c r="AO321" t="s">
        <v>101</v>
      </c>
      <c r="AQ321" t="str">
        <f>"+15103997818"</f>
        <v>+15103997818</v>
      </c>
      <c r="AS321" t="s">
        <v>5033</v>
      </c>
      <c r="AT321" t="s">
        <v>102</v>
      </c>
      <c r="AU321" t="str">
        <f>""</f>
        <v/>
      </c>
      <c r="AV321" t="str">
        <f>""</f>
        <v/>
      </c>
      <c r="AW321" t="str">
        <f>""</f>
        <v/>
      </c>
      <c r="AX321" t="str">
        <f>""</f>
        <v/>
      </c>
      <c r="AY321" t="str">
        <f>""</f>
        <v/>
      </c>
      <c r="AZ321" t="str">
        <f>""</f>
        <v/>
      </c>
      <c r="BA321" t="str">
        <f>""</f>
        <v/>
      </c>
      <c r="BC321" t="str">
        <f>""</f>
        <v/>
      </c>
      <c r="BD321" t="str">
        <f>""</f>
        <v/>
      </c>
      <c r="BE321" t="str">
        <f>""</f>
        <v/>
      </c>
      <c r="BF321" t="str">
        <f>""</f>
        <v/>
      </c>
      <c r="BG321" t="str">
        <f>""</f>
        <v/>
      </c>
      <c r="BH321" t="str">
        <f>""</f>
        <v/>
      </c>
      <c r="BI321" t="str">
        <f>""</f>
        <v/>
      </c>
      <c r="BJ321" t="str">
        <f>""</f>
        <v/>
      </c>
      <c r="BK321">
        <v>1</v>
      </c>
      <c r="BL321" t="s">
        <v>107</v>
      </c>
      <c r="BM321" t="str">
        <f>"GOOGLE LLC"</f>
        <v>GOOGLE LLC</v>
      </c>
      <c r="BN321" t="s">
        <v>11880</v>
      </c>
      <c r="BP321" t="s">
        <v>189</v>
      </c>
      <c r="BQ321" t="s">
        <v>189</v>
      </c>
      <c r="BR321" t="s">
        <v>190</v>
      </c>
      <c r="BS321" s="5">
        <v>10011</v>
      </c>
      <c r="BT321" s="2">
        <v>80000</v>
      </c>
      <c r="BV321" t="s">
        <v>105</v>
      </c>
      <c r="BW321" s="2">
        <v>44179</v>
      </c>
      <c r="BX321" t="s">
        <v>105</v>
      </c>
      <c r="BZ321" t="s">
        <v>191</v>
      </c>
      <c r="CA321" t="str">
        <f t="shared" si="16"/>
        <v>7/1/2020 - 6/30/2021</v>
      </c>
      <c r="CF321">
        <v>2</v>
      </c>
      <c r="CG321" t="s">
        <v>98</v>
      </c>
      <c r="CH321" t="s">
        <v>98</v>
      </c>
      <c r="CI321" t="s">
        <v>206</v>
      </c>
      <c r="CJ321" t="s">
        <v>98</v>
      </c>
      <c r="CK321" t="s">
        <v>12323</v>
      </c>
      <c r="CL321" t="s">
        <v>108</v>
      </c>
      <c r="CM321" t="s">
        <v>109</v>
      </c>
      <c r="CN321" t="str">
        <f>""</f>
        <v/>
      </c>
      <c r="CO321" t="str">
        <f>""</f>
        <v/>
      </c>
      <c r="CP321" t="str">
        <f>""</f>
        <v/>
      </c>
      <c r="CQ321" t="str">
        <f>""</f>
        <v/>
      </c>
    </row>
    <row r="322" spans="1:96" x14ac:dyDescent="0.2">
      <c r="A322" t="s">
        <v>11882</v>
      </c>
      <c r="B322" t="s">
        <v>96</v>
      </c>
      <c r="C322" s="1">
        <v>44098</v>
      </c>
      <c r="D322" s="1">
        <v>44105</v>
      </c>
      <c r="F322" t="s">
        <v>97</v>
      </c>
      <c r="G322" t="str">
        <f>"Senior Programmer Analyst"</f>
        <v>Senior Programmer Analyst</v>
      </c>
      <c r="H322" t="s">
        <v>12169</v>
      </c>
      <c r="I322" t="s">
        <v>124</v>
      </c>
      <c r="J322" t="s">
        <v>98</v>
      </c>
      <c r="K322" s="1">
        <v>44109</v>
      </c>
      <c r="L322" s="1">
        <v>45202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11883</v>
      </c>
      <c r="U322" t="str">
        <f>""</f>
        <v/>
      </c>
      <c r="V322" t="s">
        <v>11884</v>
      </c>
      <c r="W322" t="str">
        <f>"Ste 260"</f>
        <v>Ste 260</v>
      </c>
      <c r="X322" t="s">
        <v>590</v>
      </c>
      <c r="Y322" t="s">
        <v>171</v>
      </c>
      <c r="Z322" s="3">
        <v>1581</v>
      </c>
      <c r="AA322" t="s">
        <v>101</v>
      </c>
      <c r="AC322" s="4" t="str">
        <f>"+15083290433"</f>
        <v>+15083290433</v>
      </c>
      <c r="AE322" t="str">
        <f>"541511"</f>
        <v>541511</v>
      </c>
      <c r="AF322" t="s">
        <v>5322</v>
      </c>
      <c r="AG322" t="s">
        <v>6811</v>
      </c>
      <c r="AI322" t="s">
        <v>629</v>
      </c>
      <c r="AJ322" t="s">
        <v>11884</v>
      </c>
      <c r="AK322" t="str">
        <f>"Ste 260"</f>
        <v>Ste 260</v>
      </c>
      <c r="AL322" t="s">
        <v>590</v>
      </c>
      <c r="AM322" t="s">
        <v>171</v>
      </c>
      <c r="AN322" s="3">
        <v>1581</v>
      </c>
      <c r="AO322" t="s">
        <v>101</v>
      </c>
      <c r="AQ322" t="str">
        <f>"+15083290433"</f>
        <v>+15083290433</v>
      </c>
      <c r="AS322" t="s">
        <v>6812</v>
      </c>
      <c r="AT322" t="s">
        <v>107</v>
      </c>
      <c r="AU322" t="str">
        <f>"ILINDRA"</f>
        <v>ILINDRA</v>
      </c>
      <c r="AV322" t="str">
        <f>"BHANU"</f>
        <v>BHANU</v>
      </c>
      <c r="AW322" t="str">
        <f>"Babu"</f>
        <v>Babu</v>
      </c>
      <c r="AX322" t="str">
        <f>"P.O. BOX 1114 "</f>
        <v xml:space="preserve">P.O. BOX 1114 </v>
      </c>
      <c r="AY322" t="str">
        <f>""</f>
        <v/>
      </c>
      <c r="AZ322" t="str">
        <f>"HERNDON"</f>
        <v>HERNDON</v>
      </c>
      <c r="BA322" t="str">
        <f>"VA"</f>
        <v>VA</v>
      </c>
      <c r="BB322" s="3">
        <v>20170</v>
      </c>
      <c r="BC322" t="str">
        <f>"UNITED STATES OF AMERICA"</f>
        <v>UNITED STATES OF AMERICA</v>
      </c>
      <c r="BD322" t="str">
        <f>""</f>
        <v/>
      </c>
      <c r="BE322" t="str">
        <f>"+17034967722"</f>
        <v>+17034967722</v>
      </c>
      <c r="BF322" t="str">
        <f>""</f>
        <v/>
      </c>
      <c r="BG322" t="str">
        <f>"bhanu@bbilawgroup.com"</f>
        <v>bhanu@bbilawgroup.com</v>
      </c>
      <c r="BH322" t="str">
        <f>"BBI Law Group, P.C. "</f>
        <v xml:space="preserve">BBI Law Group, P.C. </v>
      </c>
      <c r="BI322" t="str">
        <f>"NY"</f>
        <v>NY</v>
      </c>
      <c r="BJ322" t="str">
        <f>"THIRD APPELLATE COURT "</f>
        <v xml:space="preserve">THIRD APPELLATE COURT </v>
      </c>
      <c r="BK322">
        <v>1</v>
      </c>
      <c r="BL322" t="s">
        <v>107</v>
      </c>
      <c r="BM322" t="str">
        <f>"Educational Testing Service"</f>
        <v>Educational Testing Service</v>
      </c>
      <c r="BN322" t="s">
        <v>11885</v>
      </c>
      <c r="BP322" t="s">
        <v>5005</v>
      </c>
      <c r="BQ322" t="s">
        <v>404</v>
      </c>
      <c r="BR322" t="s">
        <v>100</v>
      </c>
      <c r="BS322" s="5">
        <v>8628</v>
      </c>
      <c r="BT322" s="2">
        <v>90002</v>
      </c>
      <c r="BV322" t="s">
        <v>105</v>
      </c>
      <c r="BW322" s="2">
        <v>90002</v>
      </c>
      <c r="BX322" t="s">
        <v>105</v>
      </c>
      <c r="BZ322" t="s">
        <v>167</v>
      </c>
      <c r="CA322" t="str">
        <f t="shared" si="16"/>
        <v>7/1/2020 - 6/30/2021</v>
      </c>
      <c r="CF322">
        <v>1</v>
      </c>
      <c r="CG322" t="s">
        <v>98</v>
      </c>
      <c r="CH322" t="s">
        <v>98</v>
      </c>
      <c r="CI322" t="s">
        <v>206</v>
      </c>
      <c r="CJ322" t="s">
        <v>98</v>
      </c>
      <c r="CK322" t="s">
        <v>12323</v>
      </c>
      <c r="CL322" t="s">
        <v>108</v>
      </c>
      <c r="CM322" t="s">
        <v>109</v>
      </c>
      <c r="CN322" t="str">
        <f>"Ilindra"</f>
        <v>Ilindra</v>
      </c>
      <c r="CO322" t="str">
        <f>"Bhanu"</f>
        <v>Bhanu</v>
      </c>
      <c r="CP322" t="str">
        <f>"B"</f>
        <v>B</v>
      </c>
      <c r="CQ322" t="str">
        <f>"BBI Lawgroup P.C"</f>
        <v>BBI Lawgroup P.C</v>
      </c>
      <c r="CR322" t="s">
        <v>1320</v>
      </c>
    </row>
    <row r="323" spans="1:96" x14ac:dyDescent="0.2">
      <c r="A323" t="s">
        <v>11886</v>
      </c>
      <c r="B323" t="s">
        <v>96</v>
      </c>
      <c r="C323" s="1">
        <v>44098</v>
      </c>
      <c r="D323" s="1">
        <v>44105</v>
      </c>
      <c r="F323" t="s">
        <v>97</v>
      </c>
      <c r="G323" t="str">
        <f>"System Analyst JC65"</f>
        <v>System Analyst JC65</v>
      </c>
      <c r="H323" t="s">
        <v>12181</v>
      </c>
      <c r="I323" t="s">
        <v>110</v>
      </c>
      <c r="J323" t="s">
        <v>98</v>
      </c>
      <c r="K323" s="1">
        <v>44106</v>
      </c>
      <c r="L323" s="1">
        <v>45200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 t="s">
        <v>111</v>
      </c>
      <c r="U323" t="str">
        <f>"CTSUS"</f>
        <v>CTSUS</v>
      </c>
      <c r="V323" t="s">
        <v>112</v>
      </c>
      <c r="W323" t="str">
        <f>""</f>
        <v/>
      </c>
      <c r="X323" t="s">
        <v>113</v>
      </c>
      <c r="Y323" t="s">
        <v>114</v>
      </c>
      <c r="Z323" s="3">
        <v>77845</v>
      </c>
      <c r="AA323" t="s">
        <v>101</v>
      </c>
      <c r="AB323" t="s">
        <v>114</v>
      </c>
      <c r="AC323" s="4" t="str">
        <f>"+19793296682"</f>
        <v>+19793296682</v>
      </c>
      <c r="AE323" t="str">
        <f>"541512"</f>
        <v>541512</v>
      </c>
      <c r="AF323" t="s">
        <v>115</v>
      </c>
      <c r="AG323" t="s">
        <v>116</v>
      </c>
      <c r="AH323" t="s">
        <v>108</v>
      </c>
      <c r="AI323" t="s">
        <v>117</v>
      </c>
      <c r="AJ323" t="s">
        <v>118</v>
      </c>
      <c r="AK323" t="str">
        <f>""</f>
        <v/>
      </c>
      <c r="AL323" t="s">
        <v>119</v>
      </c>
      <c r="AM323" t="s">
        <v>114</v>
      </c>
      <c r="AN323" s="3">
        <v>77845</v>
      </c>
      <c r="AO323" t="s">
        <v>101</v>
      </c>
      <c r="AQ323" t="str">
        <f>"+19793296682"</f>
        <v>+19793296682</v>
      </c>
      <c r="AS323" t="s">
        <v>120</v>
      </c>
      <c r="AT323" t="s">
        <v>102</v>
      </c>
      <c r="AU323" t="str">
        <f>""</f>
        <v/>
      </c>
      <c r="AV323" t="str">
        <f>""</f>
        <v/>
      </c>
      <c r="AW323" t="str">
        <f>""</f>
        <v/>
      </c>
      <c r="AX323" t="str">
        <f>""</f>
        <v/>
      </c>
      <c r="AY323" t="str">
        <f>""</f>
        <v/>
      </c>
      <c r="AZ323" t="str">
        <f>""</f>
        <v/>
      </c>
      <c r="BA323" t="str">
        <f>""</f>
        <v/>
      </c>
      <c r="BC323" t="str">
        <f>""</f>
        <v/>
      </c>
      <c r="BD323" t="str">
        <f>""</f>
        <v/>
      </c>
      <c r="BE323" t="str">
        <f>""</f>
        <v/>
      </c>
      <c r="BF323" t="str">
        <f>""</f>
        <v/>
      </c>
      <c r="BG323" t="str">
        <f>""</f>
        <v/>
      </c>
      <c r="BH323" t="str">
        <f>""</f>
        <v/>
      </c>
      <c r="BI323" t="str">
        <f>""</f>
        <v/>
      </c>
      <c r="BJ323" t="str">
        <f>""</f>
        <v/>
      </c>
      <c r="BK323">
        <v>1</v>
      </c>
      <c r="BL323" t="s">
        <v>107</v>
      </c>
      <c r="BM323" t="str">
        <f>"Prudential Insurance Company"</f>
        <v>Prudential Insurance Company</v>
      </c>
      <c r="BN323" t="s">
        <v>8240</v>
      </c>
      <c r="BP323" t="s">
        <v>1393</v>
      </c>
      <c r="BQ323" t="s">
        <v>185</v>
      </c>
      <c r="BR323" t="s">
        <v>186</v>
      </c>
      <c r="BS323" s="5">
        <v>55442</v>
      </c>
      <c r="BT323" s="2">
        <v>81453</v>
      </c>
      <c r="BV323" t="s">
        <v>105</v>
      </c>
      <c r="BW323" s="2">
        <v>81453</v>
      </c>
      <c r="BX323" t="s">
        <v>105</v>
      </c>
      <c r="BZ323" t="s">
        <v>167</v>
      </c>
      <c r="CA323" t="str">
        <f t="shared" si="16"/>
        <v>7/1/2020 - 6/30/2021</v>
      </c>
      <c r="CF323">
        <v>1</v>
      </c>
      <c r="CG323" t="s">
        <v>98</v>
      </c>
      <c r="CH323" t="s">
        <v>98</v>
      </c>
      <c r="CI323" t="s">
        <v>206</v>
      </c>
      <c r="CJ323" t="s">
        <v>98</v>
      </c>
      <c r="CK323" t="s">
        <v>12323</v>
      </c>
      <c r="CL323" t="s">
        <v>108</v>
      </c>
      <c r="CM323" t="s">
        <v>109</v>
      </c>
      <c r="CN323" t="str">
        <f>""</f>
        <v/>
      </c>
      <c r="CO323" t="str">
        <f>""</f>
        <v/>
      </c>
      <c r="CP323" t="str">
        <f>""</f>
        <v/>
      </c>
      <c r="CQ323" t="str">
        <f>""</f>
        <v/>
      </c>
    </row>
    <row r="324" spans="1:96" x14ac:dyDescent="0.2">
      <c r="A324" t="s">
        <v>11893</v>
      </c>
      <c r="B324" t="s">
        <v>96</v>
      </c>
      <c r="C324" s="1">
        <v>44098</v>
      </c>
      <c r="D324" s="1">
        <v>44105</v>
      </c>
      <c r="F324" t="s">
        <v>97</v>
      </c>
      <c r="G324" t="str">
        <f>"Mainframe Developer"</f>
        <v>Mainframe Developer</v>
      </c>
      <c r="H324" t="s">
        <v>12169</v>
      </c>
      <c r="I324" t="s">
        <v>124</v>
      </c>
      <c r="J324" t="s">
        <v>98</v>
      </c>
      <c r="K324" s="1">
        <v>44098</v>
      </c>
      <c r="L324" s="1">
        <v>45192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 t="s">
        <v>310</v>
      </c>
      <c r="U324" t="str">
        <f>""</f>
        <v/>
      </c>
      <c r="V324" t="s">
        <v>311</v>
      </c>
      <c r="W324" t="str">
        <f>"SUITE 300"</f>
        <v>SUITE 300</v>
      </c>
      <c r="X324" t="s">
        <v>312</v>
      </c>
      <c r="Y324" t="s">
        <v>265</v>
      </c>
      <c r="Z324" s="3">
        <v>48083</v>
      </c>
      <c r="AA324" t="s">
        <v>101</v>
      </c>
      <c r="AC324" s="4" t="str">
        <f>"+12486193580"</f>
        <v>+12486193580</v>
      </c>
      <c r="AE324" t="str">
        <f>"541511"</f>
        <v>541511</v>
      </c>
      <c r="AF324" t="s">
        <v>313</v>
      </c>
      <c r="AG324" t="s">
        <v>314</v>
      </c>
      <c r="AI324" t="s">
        <v>315</v>
      </c>
      <c r="AJ324" t="s">
        <v>311</v>
      </c>
      <c r="AK324" t="str">
        <f>"SUITE 300"</f>
        <v>SUITE 300</v>
      </c>
      <c r="AL324" t="s">
        <v>312</v>
      </c>
      <c r="AM324" t="s">
        <v>265</v>
      </c>
      <c r="AN324" s="3">
        <v>48083</v>
      </c>
      <c r="AO324" t="s">
        <v>101</v>
      </c>
      <c r="AQ324" t="str">
        <f>"+12486193580"</f>
        <v>+12486193580</v>
      </c>
      <c r="AS324" t="s">
        <v>316</v>
      </c>
      <c r="AT324" t="s">
        <v>102</v>
      </c>
      <c r="AU324" t="str">
        <f>""</f>
        <v/>
      </c>
      <c r="AV324" t="str">
        <f>""</f>
        <v/>
      </c>
      <c r="AW324" t="str">
        <f>""</f>
        <v/>
      </c>
      <c r="AX324" t="str">
        <f>""</f>
        <v/>
      </c>
      <c r="AY324" t="str">
        <f>""</f>
        <v/>
      </c>
      <c r="AZ324" t="str">
        <f>""</f>
        <v/>
      </c>
      <c r="BA324" t="str">
        <f>""</f>
        <v/>
      </c>
      <c r="BC324" t="str">
        <f>""</f>
        <v/>
      </c>
      <c r="BD324" t="str">
        <f>""</f>
        <v/>
      </c>
      <c r="BE324" t="str">
        <f>""</f>
        <v/>
      </c>
      <c r="BF324" t="str">
        <f>""</f>
        <v/>
      </c>
      <c r="BG324" t="str">
        <f>""</f>
        <v/>
      </c>
      <c r="BH324" t="str">
        <f>""</f>
        <v/>
      </c>
      <c r="BI324" t="str">
        <f>""</f>
        <v/>
      </c>
      <c r="BJ324" t="str">
        <f>""</f>
        <v/>
      </c>
      <c r="BK324">
        <v>1</v>
      </c>
      <c r="BL324" t="s">
        <v>107</v>
      </c>
      <c r="BM324" t="str">
        <f>"Humana, Inc."</f>
        <v>Humana, Inc.</v>
      </c>
      <c r="BN324" t="s">
        <v>2636</v>
      </c>
      <c r="BO324" t="s">
        <v>108</v>
      </c>
      <c r="BP324" t="s">
        <v>368</v>
      </c>
      <c r="BQ324" t="s">
        <v>369</v>
      </c>
      <c r="BR324" t="s">
        <v>370</v>
      </c>
      <c r="BS324" s="5">
        <v>40202</v>
      </c>
      <c r="BT324" s="2">
        <v>94700</v>
      </c>
      <c r="BV324" t="s">
        <v>105</v>
      </c>
      <c r="BW324" s="2">
        <v>73757</v>
      </c>
      <c r="BX324" t="s">
        <v>105</v>
      </c>
      <c r="BZ324" t="s">
        <v>167</v>
      </c>
      <c r="CA324" t="str">
        <f t="shared" si="16"/>
        <v>7/1/2020 - 6/30/2021</v>
      </c>
      <c r="CF324">
        <v>2</v>
      </c>
      <c r="CG324" t="s">
        <v>98</v>
      </c>
      <c r="CH324" t="s">
        <v>98</v>
      </c>
      <c r="CI324" t="s">
        <v>206</v>
      </c>
      <c r="CJ324" t="s">
        <v>98</v>
      </c>
      <c r="CK324" t="s">
        <v>12323</v>
      </c>
      <c r="CL324" t="s">
        <v>108</v>
      </c>
      <c r="CM324" t="s">
        <v>109</v>
      </c>
      <c r="CN324" t="str">
        <f>"Fernandes"</f>
        <v>Fernandes</v>
      </c>
      <c r="CO324" t="str">
        <f>"Samson"</f>
        <v>Samson</v>
      </c>
      <c r="CP324" t="str">
        <f>"D"</f>
        <v>D</v>
      </c>
      <c r="CQ324" t="str">
        <f>"Atos Syntel Inc"</f>
        <v>Atos Syntel Inc</v>
      </c>
      <c r="CR324" t="s">
        <v>318</v>
      </c>
    </row>
    <row r="325" spans="1:96" x14ac:dyDescent="0.2">
      <c r="A325" t="s">
        <v>11897</v>
      </c>
      <c r="B325" t="s">
        <v>96</v>
      </c>
      <c r="C325" s="1">
        <v>44098</v>
      </c>
      <c r="D325" s="1">
        <v>44105</v>
      </c>
      <c r="F325" t="s">
        <v>97</v>
      </c>
      <c r="G325" t="str">
        <f>"Sr. Programmer Analyst (Middleware Engineer)"</f>
        <v>Sr. Programmer Analyst (Middleware Engineer)</v>
      </c>
      <c r="H325" t="s">
        <v>12169</v>
      </c>
      <c r="I325" t="s">
        <v>124</v>
      </c>
      <c r="J325" t="s">
        <v>98</v>
      </c>
      <c r="K325" s="1">
        <v>44098</v>
      </c>
      <c r="L325" s="1">
        <v>45193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11898</v>
      </c>
      <c r="U325" t="str">
        <f>""</f>
        <v/>
      </c>
      <c r="V325" t="s">
        <v>11899</v>
      </c>
      <c r="W325" t="str">
        <f>"Suite #8"</f>
        <v>Suite #8</v>
      </c>
      <c r="X325" t="s">
        <v>1274</v>
      </c>
      <c r="Y325" t="s">
        <v>100</v>
      </c>
      <c r="Z325" s="3">
        <v>8852</v>
      </c>
      <c r="AA325" t="s">
        <v>101</v>
      </c>
      <c r="AC325" s="4" t="str">
        <f>"+17327902266"</f>
        <v>+17327902266</v>
      </c>
      <c r="AE325" t="str">
        <f>"541511"</f>
        <v>541511</v>
      </c>
      <c r="AF325" t="s">
        <v>11900</v>
      </c>
      <c r="AG325" t="s">
        <v>11901</v>
      </c>
      <c r="AI325" t="s">
        <v>5683</v>
      </c>
      <c r="AJ325" t="s">
        <v>11899</v>
      </c>
      <c r="AK325" t="str">
        <f>"Suite #8"</f>
        <v>Suite #8</v>
      </c>
      <c r="AL325" t="s">
        <v>1274</v>
      </c>
      <c r="AM325" t="s">
        <v>100</v>
      </c>
      <c r="AN325" s="3">
        <v>8852</v>
      </c>
      <c r="AO325" t="s">
        <v>101</v>
      </c>
      <c r="AQ325" t="str">
        <f>"+17327902266"</f>
        <v>+17327902266</v>
      </c>
      <c r="AS325" t="s">
        <v>11902</v>
      </c>
      <c r="AT325" t="s">
        <v>107</v>
      </c>
      <c r="AU325" t="str">
        <f>"RAMASAMI"</f>
        <v>RAMASAMI</v>
      </c>
      <c r="AV325" t="str">
        <f>"KAVITHA "</f>
        <v xml:space="preserve">KAVITHA </v>
      </c>
      <c r="AW325" t="str">
        <f>""</f>
        <v/>
      </c>
      <c r="AX325" t="str">
        <f>"55 CARTER DRIVE   "</f>
        <v xml:space="preserve">55 CARTER DRIVE   </v>
      </c>
      <c r="AY325" t="str">
        <f>"SUITE 207"</f>
        <v>SUITE 207</v>
      </c>
      <c r="AZ325" t="str">
        <f>"EDISON"</f>
        <v>EDISON</v>
      </c>
      <c r="BA325" t="str">
        <f>"NJ"</f>
        <v>NJ</v>
      </c>
      <c r="BB325" s="3">
        <v>8817</v>
      </c>
      <c r="BC325" t="str">
        <f>"UNITED STATES OF AMERICA"</f>
        <v>UNITED STATES OF AMERICA</v>
      </c>
      <c r="BD325" t="str">
        <f>""</f>
        <v/>
      </c>
      <c r="BE325" t="str">
        <f>"+17323939557"</f>
        <v>+17323939557</v>
      </c>
      <c r="BF325" t="str">
        <f>""</f>
        <v/>
      </c>
      <c r="BG325" t="str">
        <f>"DHANAM@usimmigrationesq.com"</f>
        <v>DHANAM@usimmigrationesq.com</v>
      </c>
      <c r="BH325" t="str">
        <f>"Law Offices of Kavitha Ramasami "</f>
        <v xml:space="preserve">Law Offices of Kavitha Ramasami </v>
      </c>
      <c r="BI325" t="str">
        <f>"NY"</f>
        <v>NY</v>
      </c>
      <c r="BJ325" t="str">
        <f>"Supreme Court, Appellate Division"</f>
        <v>Supreme Court, Appellate Division</v>
      </c>
      <c r="BK325">
        <v>1</v>
      </c>
      <c r="BL325" t="s">
        <v>107</v>
      </c>
      <c r="BM325" t="str">
        <f>"Truist Bank/IBM"</f>
        <v>Truist Bank/IBM</v>
      </c>
      <c r="BN325" t="s">
        <v>11903</v>
      </c>
      <c r="BP325" t="s">
        <v>213</v>
      </c>
      <c r="BQ325" t="s">
        <v>214</v>
      </c>
      <c r="BR325" t="s">
        <v>215</v>
      </c>
      <c r="BS325" s="5">
        <v>30303</v>
      </c>
      <c r="BT325" s="2">
        <v>95000</v>
      </c>
      <c r="BV325" t="s">
        <v>105</v>
      </c>
      <c r="BW325" s="2">
        <v>85842</v>
      </c>
      <c r="BX325" t="s">
        <v>105</v>
      </c>
      <c r="BZ325" t="s">
        <v>167</v>
      </c>
      <c r="CA325" t="str">
        <f t="shared" si="16"/>
        <v>7/1/2020 - 6/30/2021</v>
      </c>
      <c r="CF325">
        <v>2</v>
      </c>
      <c r="CG325" t="s">
        <v>98</v>
      </c>
      <c r="CH325" t="s">
        <v>98</v>
      </c>
      <c r="CI325" t="s">
        <v>206</v>
      </c>
      <c r="CJ325" t="s">
        <v>98</v>
      </c>
      <c r="CK325" t="s">
        <v>12323</v>
      </c>
      <c r="CL325" t="s">
        <v>108</v>
      </c>
      <c r="CM325" t="s">
        <v>109</v>
      </c>
      <c r="CN325" t="str">
        <f>"RAMASAMI"</f>
        <v>RAMASAMI</v>
      </c>
      <c r="CO325" t="str">
        <f>"KAVITHA"</f>
        <v>KAVITHA</v>
      </c>
      <c r="CP325" t="str">
        <f>""</f>
        <v/>
      </c>
      <c r="CQ325" t="str">
        <f>"Law Offices of Kavitha Ramasami"</f>
        <v>Law Offices of Kavitha Ramasami</v>
      </c>
      <c r="CR325" t="s">
        <v>8423</v>
      </c>
    </row>
    <row r="326" spans="1:96" x14ac:dyDescent="0.2">
      <c r="A326" t="s">
        <v>11911</v>
      </c>
      <c r="B326" t="s">
        <v>96</v>
      </c>
      <c r="C326" s="1">
        <v>44098</v>
      </c>
      <c r="D326" s="1">
        <v>44105</v>
      </c>
      <c r="F326" t="s">
        <v>97</v>
      </c>
      <c r="G326" t="str">
        <f>"Technology Lead - US"</f>
        <v>Technology Lead - US</v>
      </c>
      <c r="H326" t="s">
        <v>12168</v>
      </c>
      <c r="I326" t="s">
        <v>367</v>
      </c>
      <c r="J326" t="s">
        <v>98</v>
      </c>
      <c r="K326" s="1">
        <v>44109</v>
      </c>
      <c r="L326" s="1">
        <v>45201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 t="s">
        <v>723</v>
      </c>
      <c r="U326" t="str">
        <f>""</f>
        <v/>
      </c>
      <c r="V326" t="s">
        <v>724</v>
      </c>
      <c r="W326" t="str">
        <f>"STE C150"</f>
        <v>STE C150</v>
      </c>
      <c r="X326" t="s">
        <v>725</v>
      </c>
      <c r="Y326" t="s">
        <v>114</v>
      </c>
      <c r="Z326" s="3">
        <v>75082</v>
      </c>
      <c r="AA326" t="s">
        <v>101</v>
      </c>
      <c r="AC326" s="4" t="str">
        <f>"+12143062100"</f>
        <v>+12143062100</v>
      </c>
      <c r="AE326" t="str">
        <f>"541511"</f>
        <v>541511</v>
      </c>
      <c r="AF326" t="s">
        <v>726</v>
      </c>
      <c r="AG326" t="s">
        <v>727</v>
      </c>
      <c r="AI326" t="s">
        <v>728</v>
      </c>
      <c r="AJ326" t="s">
        <v>724</v>
      </c>
      <c r="AK326" t="str">
        <f>"STE C150"</f>
        <v>STE C150</v>
      </c>
      <c r="AL326" t="s">
        <v>725</v>
      </c>
      <c r="AM326" t="s">
        <v>114</v>
      </c>
      <c r="AN326" s="3">
        <v>75082</v>
      </c>
      <c r="AO326" t="s">
        <v>101</v>
      </c>
      <c r="AQ326" t="str">
        <f>"+12143062100"</f>
        <v>+12143062100</v>
      </c>
      <c r="AS326" t="s">
        <v>729</v>
      </c>
      <c r="AT326" t="s">
        <v>102</v>
      </c>
      <c r="AU326" t="str">
        <f>""</f>
        <v/>
      </c>
      <c r="AV326" t="str">
        <f>""</f>
        <v/>
      </c>
      <c r="AW326" t="str">
        <f>""</f>
        <v/>
      </c>
      <c r="AX326" t="str">
        <f>""</f>
        <v/>
      </c>
      <c r="AY326" t="str">
        <f>""</f>
        <v/>
      </c>
      <c r="AZ326" t="str">
        <f>""</f>
        <v/>
      </c>
      <c r="BA326" t="str">
        <f>""</f>
        <v/>
      </c>
      <c r="BC326" t="str">
        <f>""</f>
        <v/>
      </c>
      <c r="BD326" t="str">
        <f>""</f>
        <v/>
      </c>
      <c r="BE326" t="str">
        <f>""</f>
        <v/>
      </c>
      <c r="BF326" t="str">
        <f>""</f>
        <v/>
      </c>
      <c r="BG326" t="str">
        <f>""</f>
        <v/>
      </c>
      <c r="BH326" t="str">
        <f>""</f>
        <v/>
      </c>
      <c r="BI326" t="str">
        <f>""</f>
        <v/>
      </c>
      <c r="BJ326" t="str">
        <f>""</f>
        <v/>
      </c>
      <c r="BK326">
        <v>1</v>
      </c>
      <c r="BL326" t="s">
        <v>107</v>
      </c>
      <c r="BM326" t="str">
        <f>"NORTHWESTERN MUTUAL "</f>
        <v xml:space="preserve">NORTHWESTERN MUTUAL </v>
      </c>
      <c r="BN326" t="s">
        <v>3780</v>
      </c>
      <c r="BP326" t="s">
        <v>1613</v>
      </c>
      <c r="BQ326" t="s">
        <v>1614</v>
      </c>
      <c r="BR326" t="s">
        <v>330</v>
      </c>
      <c r="BS326" s="5">
        <v>53202</v>
      </c>
      <c r="BT326" s="2">
        <v>66140</v>
      </c>
      <c r="BV326" t="s">
        <v>105</v>
      </c>
      <c r="BW326" s="2">
        <v>61818</v>
      </c>
      <c r="BX326" t="s">
        <v>105</v>
      </c>
      <c r="BZ326" t="s">
        <v>167</v>
      </c>
      <c r="CA326" t="str">
        <f t="shared" si="16"/>
        <v>7/1/2020 - 6/30/2021</v>
      </c>
      <c r="CF326">
        <v>1</v>
      </c>
      <c r="CG326" t="s">
        <v>98</v>
      </c>
      <c r="CH326" t="s">
        <v>98</v>
      </c>
      <c r="CI326" t="s">
        <v>206</v>
      </c>
      <c r="CJ326" t="s">
        <v>98</v>
      </c>
      <c r="CK326" t="s">
        <v>12323</v>
      </c>
      <c r="CL326" t="s">
        <v>108</v>
      </c>
      <c r="CM326" t="s">
        <v>109</v>
      </c>
      <c r="CN326" t="str">
        <f>"Khanum"</f>
        <v>Khanum</v>
      </c>
      <c r="CO326" t="str">
        <f>"Hajeera"</f>
        <v>Hajeera</v>
      </c>
      <c r="CP326" t="str">
        <f>""</f>
        <v/>
      </c>
      <c r="CQ326" t="str">
        <f>"Infosys Limited"</f>
        <v>Infosys Limited</v>
      </c>
      <c r="CR326" t="s">
        <v>900</v>
      </c>
    </row>
    <row r="327" spans="1:96" x14ac:dyDescent="0.2">
      <c r="A327" t="s">
        <v>11913</v>
      </c>
      <c r="B327" t="s">
        <v>96</v>
      </c>
      <c r="C327" s="1">
        <v>44098</v>
      </c>
      <c r="D327" s="1">
        <v>44105</v>
      </c>
      <c r="F327" t="s">
        <v>97</v>
      </c>
      <c r="G327" t="str">
        <f>"Developer"</f>
        <v>Developer</v>
      </c>
      <c r="H327" t="s">
        <v>12169</v>
      </c>
      <c r="I327" t="s">
        <v>124</v>
      </c>
      <c r="J327" t="s">
        <v>98</v>
      </c>
      <c r="K327" s="1">
        <v>44098</v>
      </c>
      <c r="L327" s="1">
        <v>45192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 t="s">
        <v>9111</v>
      </c>
      <c r="U327" t="str">
        <f>""</f>
        <v/>
      </c>
      <c r="V327" t="s">
        <v>9112</v>
      </c>
      <c r="W327" t="str">
        <f>"Suite 330"</f>
        <v>Suite 330</v>
      </c>
      <c r="X327" t="s">
        <v>1498</v>
      </c>
      <c r="Y327" t="s">
        <v>265</v>
      </c>
      <c r="Z327" s="3">
        <v>48335</v>
      </c>
      <c r="AA327" t="s">
        <v>101</v>
      </c>
      <c r="AC327" s="4" t="str">
        <f>"+12483464590"</f>
        <v>+12483464590</v>
      </c>
      <c r="AE327" t="str">
        <f>"54151"</f>
        <v>54151</v>
      </c>
      <c r="AF327" t="s">
        <v>9113</v>
      </c>
      <c r="AG327" t="s">
        <v>491</v>
      </c>
      <c r="AI327" t="s">
        <v>298</v>
      </c>
      <c r="AJ327" t="s">
        <v>9112</v>
      </c>
      <c r="AK327" t="str">
        <f>"Suite 330"</f>
        <v>Suite 330</v>
      </c>
      <c r="AL327" t="s">
        <v>1498</v>
      </c>
      <c r="AM327" t="s">
        <v>265</v>
      </c>
      <c r="AN327" s="3">
        <v>48335</v>
      </c>
      <c r="AO327" t="s">
        <v>101</v>
      </c>
      <c r="AQ327" t="str">
        <f>"+12489354835"</f>
        <v>+12489354835</v>
      </c>
      <c r="AS327" t="s">
        <v>9114</v>
      </c>
      <c r="AT327" t="s">
        <v>107</v>
      </c>
      <c r="AU327" t="str">
        <f>"Clement"</f>
        <v>Clement</v>
      </c>
      <c r="AV327" t="str">
        <f>"John"</f>
        <v>John</v>
      </c>
      <c r="AW327" t="str">
        <f>""</f>
        <v/>
      </c>
      <c r="AX327" t="str">
        <f>"575 E. Big Beaver Road"</f>
        <v>575 E. Big Beaver Road</v>
      </c>
      <c r="AY327" t="str">
        <f>"Suite 190"</f>
        <v>Suite 190</v>
      </c>
      <c r="AZ327" t="str">
        <f>"Troy"</f>
        <v>Troy</v>
      </c>
      <c r="BA327" t="str">
        <f>"MI"</f>
        <v>MI</v>
      </c>
      <c r="BB327" s="3">
        <v>48083</v>
      </c>
      <c r="BC327" t="str">
        <f>"UNITED STATES OF AMERICA"</f>
        <v>UNITED STATES OF AMERICA</v>
      </c>
      <c r="BD327" t="str">
        <f>""</f>
        <v/>
      </c>
      <c r="BE327" t="str">
        <f>"+12485281426"</f>
        <v>+12485281426</v>
      </c>
      <c r="BF327" t="str">
        <f>""</f>
        <v/>
      </c>
      <c r="BG327" t="str">
        <f>"john@clement-immlaw.com"</f>
        <v>john@clement-immlaw.com</v>
      </c>
      <c r="BH327" t="str">
        <f>"John Clement PLC"</f>
        <v>John Clement PLC</v>
      </c>
      <c r="BI327" t="str">
        <f>"MI"</f>
        <v>MI</v>
      </c>
      <c r="BJ327" t="str">
        <f>"Michigan Supreme Court"</f>
        <v>Michigan Supreme Court</v>
      </c>
      <c r="BK327">
        <v>1</v>
      </c>
      <c r="BL327" t="s">
        <v>107</v>
      </c>
      <c r="BM327" t="str">
        <f>"Knowles Electronics LLC"</f>
        <v>Knowles Electronics LLC</v>
      </c>
      <c r="BN327" t="s">
        <v>10737</v>
      </c>
      <c r="BP327" t="s">
        <v>3110</v>
      </c>
      <c r="BQ327" t="s">
        <v>1382</v>
      </c>
      <c r="BR327" t="s">
        <v>345</v>
      </c>
      <c r="BS327" s="5">
        <v>60143</v>
      </c>
      <c r="BT327" s="2">
        <v>50.3</v>
      </c>
      <c r="BU327" s="2">
        <v>55</v>
      </c>
      <c r="BV327" t="s">
        <v>210</v>
      </c>
      <c r="BW327" s="2">
        <v>50.3</v>
      </c>
      <c r="BX327" t="s">
        <v>210</v>
      </c>
      <c r="BZ327" t="s">
        <v>123</v>
      </c>
      <c r="CA327" t="str">
        <f t="shared" si="16"/>
        <v>7/1/2020 - 6/30/2021</v>
      </c>
      <c r="CF327">
        <v>2</v>
      </c>
      <c r="CG327" t="s">
        <v>98</v>
      </c>
      <c r="CH327" t="s">
        <v>98</v>
      </c>
      <c r="CI327" t="s">
        <v>206</v>
      </c>
      <c r="CJ327" t="s">
        <v>98</v>
      </c>
      <c r="CK327" t="s">
        <v>12323</v>
      </c>
      <c r="CL327" t="s">
        <v>108</v>
      </c>
      <c r="CM327" t="s">
        <v>109</v>
      </c>
      <c r="CN327" t="str">
        <f>""</f>
        <v/>
      </c>
      <c r="CO327" t="str">
        <f>""</f>
        <v/>
      </c>
      <c r="CP327" t="str">
        <f>""</f>
        <v/>
      </c>
      <c r="CQ327" t="str">
        <f>""</f>
        <v/>
      </c>
    </row>
    <row r="328" spans="1:96" x14ac:dyDescent="0.2">
      <c r="A328" t="s">
        <v>11933</v>
      </c>
      <c r="B328" t="s">
        <v>96</v>
      </c>
      <c r="C328" s="1">
        <v>44098</v>
      </c>
      <c r="D328" s="1">
        <v>44105</v>
      </c>
      <c r="F328" t="s">
        <v>97</v>
      </c>
      <c r="G328" t="str">
        <f>"PRPC ENGINEER 2"</f>
        <v>PRPC ENGINEER 2</v>
      </c>
      <c r="H328" t="s">
        <v>12168</v>
      </c>
      <c r="I328" t="s">
        <v>160</v>
      </c>
      <c r="J328" t="s">
        <v>98</v>
      </c>
      <c r="K328" s="1">
        <v>44106</v>
      </c>
      <c r="L328" s="1">
        <v>45200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 t="s">
        <v>511</v>
      </c>
      <c r="U328" t="str">
        <f>""</f>
        <v/>
      </c>
      <c r="V328" t="s">
        <v>512</v>
      </c>
      <c r="W328" t="str">
        <f>"SUITE 300"</f>
        <v>SUITE 300</v>
      </c>
      <c r="X328" t="s">
        <v>513</v>
      </c>
      <c r="Y328" t="s">
        <v>171</v>
      </c>
      <c r="Z328" s="3">
        <v>1772</v>
      </c>
      <c r="AA328" t="s">
        <v>101</v>
      </c>
      <c r="AB328" t="s">
        <v>514</v>
      </c>
      <c r="AC328" s="4" t="str">
        <f>"+15083897451"</f>
        <v>+15083897451</v>
      </c>
      <c r="AE328" t="str">
        <f>"541511"</f>
        <v>541511</v>
      </c>
      <c r="AF328" t="s">
        <v>515</v>
      </c>
      <c r="AG328" t="s">
        <v>516</v>
      </c>
      <c r="AI328" t="s">
        <v>517</v>
      </c>
      <c r="AJ328" t="s">
        <v>518</v>
      </c>
      <c r="AK328" t="str">
        <f>"SUITE 300"</f>
        <v>SUITE 300</v>
      </c>
      <c r="AL328" t="s">
        <v>519</v>
      </c>
      <c r="AM328" t="s">
        <v>171</v>
      </c>
      <c r="AN328" s="3">
        <v>1772</v>
      </c>
      <c r="AO328" t="s">
        <v>101</v>
      </c>
      <c r="AQ328" t="str">
        <f>"+15083897451"</f>
        <v>+15083897451</v>
      </c>
      <c r="AS328" t="s">
        <v>2783</v>
      </c>
      <c r="AT328" t="s">
        <v>102</v>
      </c>
      <c r="AU328" t="str">
        <f>""</f>
        <v/>
      </c>
      <c r="AV328" t="str">
        <f>""</f>
        <v/>
      </c>
      <c r="AW328" t="str">
        <f>""</f>
        <v/>
      </c>
      <c r="AX328" t="str">
        <f>""</f>
        <v/>
      </c>
      <c r="AY328" t="str">
        <f>""</f>
        <v/>
      </c>
      <c r="AZ328" t="str">
        <f>""</f>
        <v/>
      </c>
      <c r="BA328" t="str">
        <f>""</f>
        <v/>
      </c>
      <c r="BC328" t="str">
        <f>""</f>
        <v/>
      </c>
      <c r="BD328" t="str">
        <f>""</f>
        <v/>
      </c>
      <c r="BE328" t="str">
        <f>""</f>
        <v/>
      </c>
      <c r="BF328" t="str">
        <f>""</f>
        <v/>
      </c>
      <c r="BG328" t="str">
        <f>""</f>
        <v/>
      </c>
      <c r="BH328" t="str">
        <f>""</f>
        <v/>
      </c>
      <c r="BI328" t="str">
        <f>""</f>
        <v/>
      </c>
      <c r="BJ328" t="str">
        <f>""</f>
        <v/>
      </c>
      <c r="BK328">
        <v>1</v>
      </c>
      <c r="BL328" t="s">
        <v>107</v>
      </c>
      <c r="BM328" t="str">
        <f>"AMERICAN EXPRESS TRAVEL RELATED SERVICES COMPANY, INC."</f>
        <v>AMERICAN EXPRESS TRAVEL RELATED SERVICES COMPANY, INC.</v>
      </c>
      <c r="BN328" t="s">
        <v>11934</v>
      </c>
      <c r="BP328" t="s">
        <v>831</v>
      </c>
      <c r="BQ328" t="s">
        <v>257</v>
      </c>
      <c r="BR328" t="s">
        <v>258</v>
      </c>
      <c r="BS328" s="5">
        <v>85054</v>
      </c>
      <c r="BT328" s="2">
        <v>85054</v>
      </c>
      <c r="BV328" t="s">
        <v>105</v>
      </c>
      <c r="BW328" s="2">
        <v>66768</v>
      </c>
      <c r="BX328" t="s">
        <v>105</v>
      </c>
      <c r="BZ328" t="s">
        <v>167</v>
      </c>
      <c r="CA328" t="str">
        <f t="shared" si="16"/>
        <v>7/1/2020 - 6/30/2021</v>
      </c>
      <c r="CF328">
        <v>1</v>
      </c>
      <c r="CG328" t="s">
        <v>98</v>
      </c>
      <c r="CH328" t="s">
        <v>98</v>
      </c>
      <c r="CI328" t="s">
        <v>206</v>
      </c>
      <c r="CJ328" t="s">
        <v>98</v>
      </c>
      <c r="CK328" t="s">
        <v>12323</v>
      </c>
      <c r="CL328" t="s">
        <v>108</v>
      </c>
      <c r="CM328" t="s">
        <v>109</v>
      </c>
      <c r="CN328" t="str">
        <f>""</f>
        <v/>
      </c>
      <c r="CO328" t="str">
        <f>""</f>
        <v/>
      </c>
      <c r="CP328" t="str">
        <f>""</f>
        <v/>
      </c>
      <c r="CQ328" t="str">
        <f>""</f>
        <v/>
      </c>
    </row>
    <row r="329" spans="1:96" x14ac:dyDescent="0.2">
      <c r="A329" t="s">
        <v>11940</v>
      </c>
      <c r="B329" t="s">
        <v>96</v>
      </c>
      <c r="C329" s="1">
        <v>44098</v>
      </c>
      <c r="D329" s="1">
        <v>44105</v>
      </c>
      <c r="F329" t="s">
        <v>97</v>
      </c>
      <c r="G329" t="str">
        <f>"IT PROJECT MANAGER 3"</f>
        <v>IT PROJECT MANAGER 3</v>
      </c>
      <c r="H329" t="s">
        <v>12168</v>
      </c>
      <c r="I329" t="s">
        <v>367</v>
      </c>
      <c r="J329" t="s">
        <v>98</v>
      </c>
      <c r="K329" s="1">
        <v>44106</v>
      </c>
      <c r="L329" s="1">
        <v>45200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 t="s">
        <v>1889</v>
      </c>
      <c r="U329" t="str">
        <f>""</f>
        <v/>
      </c>
      <c r="V329" t="s">
        <v>1890</v>
      </c>
      <c r="W329" t="str">
        <f>""</f>
        <v/>
      </c>
      <c r="X329" t="s">
        <v>103</v>
      </c>
      <c r="Y329" t="s">
        <v>100</v>
      </c>
      <c r="Z329" s="3">
        <v>8854</v>
      </c>
      <c r="AA329" t="s">
        <v>101</v>
      </c>
      <c r="AC329" s="4" t="str">
        <f>"+17325908109"</f>
        <v>+17325908109</v>
      </c>
      <c r="AE329" t="str">
        <f>"541512"</f>
        <v>541512</v>
      </c>
      <c r="AF329" t="s">
        <v>1891</v>
      </c>
      <c r="AG329" t="s">
        <v>1892</v>
      </c>
      <c r="AI329" t="s">
        <v>1893</v>
      </c>
      <c r="AJ329" t="s">
        <v>1894</v>
      </c>
      <c r="AK329" t="str">
        <f>""</f>
        <v/>
      </c>
      <c r="AL329" t="s">
        <v>804</v>
      </c>
      <c r="AM329" t="s">
        <v>100</v>
      </c>
      <c r="AN329" s="3">
        <v>8854</v>
      </c>
      <c r="AO329" t="s">
        <v>101</v>
      </c>
      <c r="AQ329" t="str">
        <f>"+17325908109"</f>
        <v>+17325908109</v>
      </c>
      <c r="AS329" t="s">
        <v>1895</v>
      </c>
      <c r="AT329" t="s">
        <v>102</v>
      </c>
      <c r="AU329" t="str">
        <f>""</f>
        <v/>
      </c>
      <c r="AV329" t="str">
        <f>""</f>
        <v/>
      </c>
      <c r="AW329" t="str">
        <f>""</f>
        <v/>
      </c>
      <c r="AX329" t="str">
        <f>""</f>
        <v/>
      </c>
      <c r="AY329" t="str">
        <f>""</f>
        <v/>
      </c>
      <c r="AZ329" t="str">
        <f>""</f>
        <v/>
      </c>
      <c r="BA329" t="str">
        <f>""</f>
        <v/>
      </c>
      <c r="BC329" t="str">
        <f>""</f>
        <v/>
      </c>
      <c r="BD329" t="str">
        <f>""</f>
        <v/>
      </c>
      <c r="BE329" t="str">
        <f>""</f>
        <v/>
      </c>
      <c r="BF329" t="str">
        <f>""</f>
        <v/>
      </c>
      <c r="BG329" t="str">
        <f>""</f>
        <v/>
      </c>
      <c r="BH329" t="str">
        <f>""</f>
        <v/>
      </c>
      <c r="BI329" t="str">
        <f>""</f>
        <v/>
      </c>
      <c r="BJ329" t="str">
        <f>""</f>
        <v/>
      </c>
      <c r="BK329">
        <v>1</v>
      </c>
      <c r="BL329" t="s">
        <v>102</v>
      </c>
      <c r="BM329" t="str">
        <f>""</f>
        <v/>
      </c>
      <c r="BN329" t="s">
        <v>11941</v>
      </c>
      <c r="BP329" t="s">
        <v>804</v>
      </c>
      <c r="BQ329" t="s">
        <v>104</v>
      </c>
      <c r="BR329" t="s">
        <v>100</v>
      </c>
      <c r="BS329" s="5">
        <v>8854</v>
      </c>
      <c r="BT329" s="2">
        <v>122000</v>
      </c>
      <c r="BV329" t="s">
        <v>105</v>
      </c>
      <c r="BW329" s="2">
        <v>91374</v>
      </c>
      <c r="BX329" t="s">
        <v>105</v>
      </c>
      <c r="BZ329" t="s">
        <v>123</v>
      </c>
      <c r="CA329" t="str">
        <f t="shared" si="16"/>
        <v>7/1/2020 - 6/30/2021</v>
      </c>
      <c r="CF329">
        <v>2</v>
      </c>
      <c r="CG329" t="s">
        <v>98</v>
      </c>
      <c r="CH329" t="s">
        <v>98</v>
      </c>
      <c r="CI329" t="s">
        <v>206</v>
      </c>
      <c r="CJ329" t="s">
        <v>98</v>
      </c>
      <c r="CK329" t="s">
        <v>12323</v>
      </c>
      <c r="CL329" t="s">
        <v>108</v>
      </c>
      <c r="CM329" t="s">
        <v>109</v>
      </c>
      <c r="CN329" t="str">
        <f>""</f>
        <v/>
      </c>
      <c r="CO329" t="str">
        <f>""</f>
        <v/>
      </c>
      <c r="CP329" t="str">
        <f>""</f>
        <v/>
      </c>
      <c r="CQ329" t="str">
        <f>""</f>
        <v/>
      </c>
    </row>
    <row r="330" spans="1:96" x14ac:dyDescent="0.2">
      <c r="A330" t="s">
        <v>11952</v>
      </c>
      <c r="B330" t="s">
        <v>96</v>
      </c>
      <c r="C330" s="1">
        <v>44098</v>
      </c>
      <c r="D330" s="1">
        <v>44105</v>
      </c>
      <c r="F330" t="s">
        <v>97</v>
      </c>
      <c r="G330" t="str">
        <f>"TEST SPECIALIST"</f>
        <v>TEST SPECIALIST</v>
      </c>
      <c r="H330" t="s">
        <v>12168</v>
      </c>
      <c r="I330" t="s">
        <v>319</v>
      </c>
      <c r="J330" t="s">
        <v>98</v>
      </c>
      <c r="K330" s="1">
        <v>44105</v>
      </c>
      <c r="L330" s="1">
        <v>45192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 t="s">
        <v>1143</v>
      </c>
      <c r="U330" t="str">
        <f>""</f>
        <v/>
      </c>
      <c r="V330" t="s">
        <v>1144</v>
      </c>
      <c r="W330" t="str">
        <f>"N/A"</f>
        <v>N/A</v>
      </c>
      <c r="X330" t="s">
        <v>1145</v>
      </c>
      <c r="Y330" t="s">
        <v>100</v>
      </c>
      <c r="Z330" s="3">
        <v>7059</v>
      </c>
      <c r="AA330" t="s">
        <v>101</v>
      </c>
      <c r="AC330" s="4" t="str">
        <f>"+14254959011"</f>
        <v>+14254959011</v>
      </c>
      <c r="AE330" t="str">
        <f>"541511"</f>
        <v>541511</v>
      </c>
      <c r="AF330" t="s">
        <v>1146</v>
      </c>
      <c r="AG330" t="s">
        <v>359</v>
      </c>
      <c r="AH330" t="s">
        <v>108</v>
      </c>
      <c r="AI330" t="s">
        <v>1147</v>
      </c>
      <c r="AJ330" t="s">
        <v>1148</v>
      </c>
      <c r="AK330" t="str">
        <f>"N/A"</f>
        <v>N/A</v>
      </c>
      <c r="AL330" t="s">
        <v>498</v>
      </c>
      <c r="AM330" t="s">
        <v>176</v>
      </c>
      <c r="AN330" s="3">
        <v>98052</v>
      </c>
      <c r="AO330" t="s">
        <v>101</v>
      </c>
      <c r="AQ330" t="str">
        <f>"+14254959011"</f>
        <v>+14254959011</v>
      </c>
      <c r="AS330" t="s">
        <v>1149</v>
      </c>
      <c r="AT330" t="s">
        <v>107</v>
      </c>
      <c r="AU330" t="str">
        <f>"PATEL"</f>
        <v>PATEL</v>
      </c>
      <c r="AV330" t="str">
        <f>"TEJAL"</f>
        <v>TEJAL</v>
      </c>
      <c r="AW330" t="str">
        <f>""</f>
        <v/>
      </c>
      <c r="AX330" t="str">
        <f>"100 HIGH STREET"</f>
        <v>100 HIGH STREET</v>
      </c>
      <c r="AY330" t="str">
        <f>"FLOOR 3"</f>
        <v>FLOOR 3</v>
      </c>
      <c r="AZ330" t="str">
        <f>"BOSTON"</f>
        <v>BOSTON</v>
      </c>
      <c r="BA330" t="str">
        <f>"MA"</f>
        <v>MA</v>
      </c>
      <c r="BB330" s="3">
        <v>2110</v>
      </c>
      <c r="BC330" t="str">
        <f t="shared" ref="BC330:BC335" si="18">"UNITED STATES OF AMERICA"</f>
        <v>UNITED STATES OF AMERICA</v>
      </c>
      <c r="BD330" t="str">
        <f>""</f>
        <v/>
      </c>
      <c r="BE330" t="str">
        <f>"+16175740400"</f>
        <v>+16175740400</v>
      </c>
      <c r="BF330" t="str">
        <f>""</f>
        <v/>
      </c>
      <c r="BG330" t="str">
        <f>"MINDTREEUSA@FRAGOMEN.COM"</f>
        <v>MINDTREEUSA@FRAGOMEN.COM</v>
      </c>
      <c r="BH330" t="str">
        <f>"FRAGOMEN, DEL REY, BERNSEN &amp; LOEWY, LLP"</f>
        <v>FRAGOMEN, DEL REY, BERNSEN &amp; LOEWY, LLP</v>
      </c>
      <c r="BI330" t="str">
        <f>"MA"</f>
        <v>MA</v>
      </c>
      <c r="BJ330" t="str">
        <f>"SUPREME JUDICIAL COURT"</f>
        <v>SUPREME JUDICIAL COURT</v>
      </c>
      <c r="BK330">
        <v>1</v>
      </c>
      <c r="BL330" t="s">
        <v>102</v>
      </c>
      <c r="BM330" t="str">
        <f>""</f>
        <v/>
      </c>
      <c r="BN330" t="s">
        <v>11953</v>
      </c>
      <c r="BP330" t="s">
        <v>197</v>
      </c>
      <c r="BQ330" t="s">
        <v>183</v>
      </c>
      <c r="BR330" t="s">
        <v>176</v>
      </c>
      <c r="BS330" s="5">
        <v>98007</v>
      </c>
      <c r="BT330" s="2">
        <v>81500</v>
      </c>
      <c r="BV330" t="s">
        <v>105</v>
      </c>
      <c r="BW330" s="2">
        <v>77875</v>
      </c>
      <c r="BX330" t="s">
        <v>105</v>
      </c>
      <c r="BZ330" t="s">
        <v>167</v>
      </c>
      <c r="CA330" t="str">
        <f t="shared" si="16"/>
        <v>7/1/2020 - 6/30/2021</v>
      </c>
      <c r="CF330">
        <v>1</v>
      </c>
      <c r="CG330" t="s">
        <v>98</v>
      </c>
      <c r="CH330" t="s">
        <v>98</v>
      </c>
      <c r="CI330" t="s">
        <v>206</v>
      </c>
      <c r="CJ330" t="s">
        <v>98</v>
      </c>
      <c r="CK330" t="s">
        <v>12323</v>
      </c>
      <c r="CL330" t="s">
        <v>108</v>
      </c>
      <c r="CM330" t="s">
        <v>109</v>
      </c>
      <c r="CN330" t="str">
        <f>"SHAJI"</f>
        <v>SHAJI</v>
      </c>
      <c r="CO330" t="str">
        <f>"SHRUTHI"</f>
        <v>SHRUTHI</v>
      </c>
      <c r="CP330" t="str">
        <f>"N/A"</f>
        <v>N/A</v>
      </c>
      <c r="CQ330" t="str">
        <f>"FRAGOMEN, DEL REY, BERNSEN &amp; LOEWY, LLP"</f>
        <v>FRAGOMEN, DEL REY, BERNSEN &amp; LOEWY, LLP</v>
      </c>
      <c r="CR330" t="s">
        <v>1150</v>
      </c>
    </row>
    <row r="331" spans="1:96" x14ac:dyDescent="0.2">
      <c r="A331" t="s">
        <v>11973</v>
      </c>
      <c r="B331" t="s">
        <v>96</v>
      </c>
      <c r="C331" s="1">
        <v>44098</v>
      </c>
      <c r="D331" s="1">
        <v>44105</v>
      </c>
      <c r="F331" t="s">
        <v>97</v>
      </c>
      <c r="G331" t="str">
        <f>"Data Engineer"</f>
        <v>Data Engineer</v>
      </c>
      <c r="H331" t="s">
        <v>12168</v>
      </c>
      <c r="I331" t="s">
        <v>1844</v>
      </c>
      <c r="J331" t="s">
        <v>98</v>
      </c>
      <c r="K331" s="1">
        <v>44116</v>
      </c>
      <c r="L331" s="1">
        <v>45210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 t="s">
        <v>466</v>
      </c>
      <c r="U331" t="str">
        <f>""</f>
        <v/>
      </c>
      <c r="V331" t="s">
        <v>467</v>
      </c>
      <c r="W331" t="str">
        <f>"AKA 1601 Willow Road"</f>
        <v>AKA 1601 Willow Road</v>
      </c>
      <c r="X331" t="s">
        <v>468</v>
      </c>
      <c r="Y331" t="s">
        <v>141</v>
      </c>
      <c r="Z331" s="3">
        <v>94025</v>
      </c>
      <c r="AA331" t="s">
        <v>101</v>
      </c>
      <c r="AC331" s="4" t="str">
        <f>"+16505434800"</f>
        <v>+16505434800</v>
      </c>
      <c r="AE331" t="str">
        <f>"518210"</f>
        <v>518210</v>
      </c>
      <c r="AF331" t="s">
        <v>469</v>
      </c>
      <c r="AG331" t="s">
        <v>470</v>
      </c>
      <c r="AI331" t="s">
        <v>471</v>
      </c>
      <c r="AJ331" t="s">
        <v>467</v>
      </c>
      <c r="AK331" t="str">
        <f>"AKA 1601 Willow Road "</f>
        <v xml:space="preserve">AKA 1601 Willow Road </v>
      </c>
      <c r="AL331" t="s">
        <v>472</v>
      </c>
      <c r="AM331" t="s">
        <v>141</v>
      </c>
      <c r="AN331" s="3">
        <v>94025</v>
      </c>
      <c r="AO331" t="s">
        <v>101</v>
      </c>
      <c r="AQ331" t="str">
        <f>"+14085335781"</f>
        <v>+14085335781</v>
      </c>
      <c r="AS331" t="s">
        <v>108</v>
      </c>
      <c r="AT331" t="s">
        <v>107</v>
      </c>
      <c r="AU331" t="str">
        <f>"McCarthy"</f>
        <v>McCarthy</v>
      </c>
      <c r="AV331" t="str">
        <f>"Susan"</f>
        <v>Susan</v>
      </c>
      <c r="AW331" t="str">
        <f>""</f>
        <v/>
      </c>
      <c r="AX331" t="str">
        <f>"P.O. Box 31608"</f>
        <v>P.O. Box 31608</v>
      </c>
      <c r="AY331" t="str">
        <f>""</f>
        <v/>
      </c>
      <c r="AZ331" t="str">
        <f>"Raleigh"</f>
        <v>Raleigh</v>
      </c>
      <c r="BA331" t="str">
        <f>"NC"</f>
        <v>NC</v>
      </c>
      <c r="BB331" s="3">
        <v>27622</v>
      </c>
      <c r="BC331" t="str">
        <f t="shared" si="18"/>
        <v>UNITED STATES OF AMERICA</v>
      </c>
      <c r="BD331" t="str">
        <f>""</f>
        <v/>
      </c>
      <c r="BE331" t="str">
        <f>"+19193077002"</f>
        <v>+19193077002</v>
      </c>
      <c r="BF331" t="str">
        <f>""</f>
        <v/>
      </c>
      <c r="BG331" t="str">
        <f>"vicky.johnson@ogletreedeakins.com"</f>
        <v>vicky.johnson@ogletreedeakins.com</v>
      </c>
      <c r="BH331" t="str">
        <f>"Ogletree, Deakins, Nash, Smoak &amp; Stewart, P.C."</f>
        <v>Ogletree, Deakins, Nash, Smoak &amp; Stewart, P.C.</v>
      </c>
      <c r="BI331" t="str">
        <f>"NJ"</f>
        <v>NJ</v>
      </c>
      <c r="BJ331" t="str">
        <f>"Supreme Court of New Jersey"</f>
        <v>Supreme Court of New Jersey</v>
      </c>
      <c r="BK331">
        <v>1</v>
      </c>
      <c r="BL331" t="s">
        <v>102</v>
      </c>
      <c r="BM331" t="str">
        <f>""</f>
        <v/>
      </c>
      <c r="BN331" t="s">
        <v>467</v>
      </c>
      <c r="BO331" t="s">
        <v>1098</v>
      </c>
      <c r="BP331" t="s">
        <v>472</v>
      </c>
      <c r="BQ331" t="s">
        <v>994</v>
      </c>
      <c r="BR331" t="s">
        <v>141</v>
      </c>
      <c r="BS331" s="5">
        <v>94025</v>
      </c>
      <c r="BT331" s="2">
        <v>165000</v>
      </c>
      <c r="BV331" t="s">
        <v>105</v>
      </c>
      <c r="BW331" s="2">
        <v>145205</v>
      </c>
      <c r="BX331" t="s">
        <v>105</v>
      </c>
      <c r="BZ331" t="s">
        <v>159</v>
      </c>
      <c r="CA331" t="str">
        <f t="shared" si="16"/>
        <v>7/1/2020 - 6/30/2021</v>
      </c>
      <c r="CF331">
        <v>2</v>
      </c>
      <c r="CG331" t="s">
        <v>98</v>
      </c>
      <c r="CH331" t="s">
        <v>98</v>
      </c>
      <c r="CI331" t="s">
        <v>206</v>
      </c>
      <c r="CJ331" t="s">
        <v>98</v>
      </c>
      <c r="CK331" t="s">
        <v>12323</v>
      </c>
      <c r="CL331" t="s">
        <v>108</v>
      </c>
      <c r="CM331" t="s">
        <v>109</v>
      </c>
      <c r="CN331" t="str">
        <f>"McCarthy "</f>
        <v xml:space="preserve">McCarthy </v>
      </c>
      <c r="CO331" t="str">
        <f>"Susan "</f>
        <v xml:space="preserve">Susan </v>
      </c>
      <c r="CP331" t="str">
        <f>""</f>
        <v/>
      </c>
      <c r="CQ331" t="str">
        <f>"Ogletree, Deakins, Nash, Smoak &amp; Stewart, P.C. "</f>
        <v xml:space="preserve">Ogletree, Deakins, Nash, Smoak &amp; Stewart, P.C. </v>
      </c>
      <c r="CR331" t="s">
        <v>473</v>
      </c>
    </row>
    <row r="332" spans="1:96" x14ac:dyDescent="0.2">
      <c r="A332" t="s">
        <v>11974</v>
      </c>
      <c r="B332" t="s">
        <v>96</v>
      </c>
      <c r="C332" s="1">
        <v>44098</v>
      </c>
      <c r="D332" s="1">
        <v>44105</v>
      </c>
      <c r="F332" t="s">
        <v>97</v>
      </c>
      <c r="G332" t="str">
        <f>"Manual Test Lead"</f>
        <v>Manual Test Lead</v>
      </c>
      <c r="H332" t="s">
        <v>12168</v>
      </c>
      <c r="I332" t="s">
        <v>722</v>
      </c>
      <c r="J332" t="s">
        <v>98</v>
      </c>
      <c r="K332" s="1">
        <v>44118</v>
      </c>
      <c r="L332" s="1">
        <v>45212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t="s">
        <v>3225</v>
      </c>
      <c r="U332" t="str">
        <f>""</f>
        <v/>
      </c>
      <c r="V332" t="s">
        <v>3226</v>
      </c>
      <c r="W332" t="str">
        <f>"Suite 1300"</f>
        <v>Suite 1300</v>
      </c>
      <c r="X332" t="s">
        <v>483</v>
      </c>
      <c r="Y332" t="s">
        <v>114</v>
      </c>
      <c r="Z332" s="3">
        <v>75039</v>
      </c>
      <c r="AA332" t="s">
        <v>101</v>
      </c>
      <c r="AC332" s="4" t="str">
        <f>"+14696733560"</f>
        <v>+14696733560</v>
      </c>
      <c r="AE332" t="str">
        <f>"541511"</f>
        <v>541511</v>
      </c>
      <c r="AF332" t="s">
        <v>3227</v>
      </c>
      <c r="AG332" t="s">
        <v>1538</v>
      </c>
      <c r="AH332" t="s">
        <v>1464</v>
      </c>
      <c r="AI332" t="s">
        <v>1096</v>
      </c>
      <c r="AJ332" t="s">
        <v>3226</v>
      </c>
      <c r="AK332" t="str">
        <f>"Suite 1300"</f>
        <v>Suite 1300</v>
      </c>
      <c r="AL332" t="s">
        <v>483</v>
      </c>
      <c r="AM332" t="s">
        <v>114</v>
      </c>
      <c r="AN332" s="3">
        <v>75039</v>
      </c>
      <c r="AO332" t="s">
        <v>101</v>
      </c>
      <c r="AQ332" t="str">
        <f>"+14696733560"</f>
        <v>+14696733560</v>
      </c>
      <c r="AS332" t="s">
        <v>3228</v>
      </c>
      <c r="AT332" t="s">
        <v>107</v>
      </c>
      <c r="AU332" t="str">
        <f>"Kan"</f>
        <v>Kan</v>
      </c>
      <c r="AV332" t="str">
        <f>"Grace"</f>
        <v>Grace</v>
      </c>
      <c r="AW332" t="str">
        <f>"S."</f>
        <v>S.</v>
      </c>
      <c r="AX332" t="str">
        <f>"1750 Valley View Lane"</f>
        <v>1750 Valley View Lane</v>
      </c>
      <c r="AY332" t="str">
        <f>"Suite 339"</f>
        <v>Suite 339</v>
      </c>
      <c r="AZ332" t="str">
        <f>"Farmers Branch"</f>
        <v>Farmers Branch</v>
      </c>
      <c r="BA332" t="str">
        <f>"TX"</f>
        <v>TX</v>
      </c>
      <c r="BB332" s="3">
        <v>75234</v>
      </c>
      <c r="BC332" t="str">
        <f t="shared" si="18"/>
        <v>UNITED STATES OF AMERICA</v>
      </c>
      <c r="BD332" t="str">
        <f>""</f>
        <v/>
      </c>
      <c r="BE332" t="str">
        <f>"+19722416445"</f>
        <v>+19722416445</v>
      </c>
      <c r="BF332" t="str">
        <f>""</f>
        <v/>
      </c>
      <c r="BG332" t="str">
        <f>"gkan@kanlaw.net"</f>
        <v>gkan@kanlaw.net</v>
      </c>
      <c r="BH332" t="str">
        <f>"Kan Law, PC"</f>
        <v>Kan Law, PC</v>
      </c>
      <c r="BI332" t="str">
        <f>"TX"</f>
        <v>TX</v>
      </c>
      <c r="BJ332" t="str">
        <f>"Texas Supreme Court"</f>
        <v>Texas Supreme Court</v>
      </c>
      <c r="BK332">
        <v>1</v>
      </c>
      <c r="BL332" t="s">
        <v>107</v>
      </c>
      <c r="BM332" t="str">
        <f>"Neptune Technology Group, Inc. "</f>
        <v xml:space="preserve">Neptune Technology Group, Inc. </v>
      </c>
      <c r="BN332" t="s">
        <v>11975</v>
      </c>
      <c r="BP332" t="s">
        <v>10941</v>
      </c>
      <c r="BQ332" t="s">
        <v>10164</v>
      </c>
      <c r="BR332" t="s">
        <v>708</v>
      </c>
      <c r="BS332" s="5">
        <v>36078</v>
      </c>
      <c r="BT332" s="2">
        <v>81600</v>
      </c>
      <c r="BV332" t="s">
        <v>105</v>
      </c>
      <c r="BW332" s="2">
        <v>73258</v>
      </c>
      <c r="BX332" t="s">
        <v>105</v>
      </c>
      <c r="BZ332" t="s">
        <v>167</v>
      </c>
      <c r="CA332" t="str">
        <f t="shared" si="16"/>
        <v>7/1/2020 - 6/30/2021</v>
      </c>
      <c r="CF332">
        <v>2</v>
      </c>
      <c r="CG332" t="s">
        <v>98</v>
      </c>
      <c r="CH332" t="s">
        <v>98</v>
      </c>
      <c r="CI332" t="s">
        <v>206</v>
      </c>
      <c r="CJ332" t="s">
        <v>98</v>
      </c>
      <c r="CK332" t="s">
        <v>12323</v>
      </c>
      <c r="CL332" t="s">
        <v>108</v>
      </c>
      <c r="CM332" t="s">
        <v>109</v>
      </c>
      <c r="CN332" t="str">
        <f>""</f>
        <v/>
      </c>
      <c r="CO332" t="str">
        <f>""</f>
        <v/>
      </c>
      <c r="CP332" t="str">
        <f>""</f>
        <v/>
      </c>
      <c r="CQ332" t="str">
        <f>""</f>
        <v/>
      </c>
    </row>
    <row r="333" spans="1:96" x14ac:dyDescent="0.2">
      <c r="A333" t="s">
        <v>11985</v>
      </c>
      <c r="B333" t="s">
        <v>96</v>
      </c>
      <c r="C333" s="1">
        <v>44098</v>
      </c>
      <c r="D333" s="1">
        <v>44105</v>
      </c>
      <c r="F333" t="s">
        <v>97</v>
      </c>
      <c r="G333" t="str">
        <f>"Software Engineer, Infrastructure "</f>
        <v xml:space="preserve">Software Engineer, Infrastructure </v>
      </c>
      <c r="H333" t="s">
        <v>12176</v>
      </c>
      <c r="I333" t="s">
        <v>246</v>
      </c>
      <c r="J333" t="s">
        <v>98</v>
      </c>
      <c r="K333" s="1">
        <v>44116</v>
      </c>
      <c r="L333" s="1">
        <v>45210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 t="s">
        <v>466</v>
      </c>
      <c r="U333" t="str">
        <f>""</f>
        <v/>
      </c>
      <c r="V333" t="s">
        <v>467</v>
      </c>
      <c r="W333" t="str">
        <f>"AKA 1601 Willow Road"</f>
        <v>AKA 1601 Willow Road</v>
      </c>
      <c r="X333" t="s">
        <v>468</v>
      </c>
      <c r="Y333" t="s">
        <v>141</v>
      </c>
      <c r="Z333" s="3">
        <v>94025</v>
      </c>
      <c r="AA333" t="s">
        <v>101</v>
      </c>
      <c r="AC333" s="4" t="str">
        <f>"+16505434800"</f>
        <v>+16505434800</v>
      </c>
      <c r="AE333" t="str">
        <f>"518210"</f>
        <v>518210</v>
      </c>
      <c r="AF333" t="s">
        <v>469</v>
      </c>
      <c r="AG333" t="s">
        <v>470</v>
      </c>
      <c r="AI333" t="s">
        <v>471</v>
      </c>
      <c r="AJ333" t="s">
        <v>467</v>
      </c>
      <c r="AK333" t="str">
        <f>"AKA 1601 Willow Road "</f>
        <v xml:space="preserve">AKA 1601 Willow Road </v>
      </c>
      <c r="AL333" t="s">
        <v>472</v>
      </c>
      <c r="AM333" t="s">
        <v>141</v>
      </c>
      <c r="AN333" s="3">
        <v>94025</v>
      </c>
      <c r="AO333" t="s">
        <v>101</v>
      </c>
      <c r="AQ333" t="str">
        <f>"+14085335781"</f>
        <v>+14085335781</v>
      </c>
      <c r="AS333" t="s">
        <v>108</v>
      </c>
      <c r="AT333" t="s">
        <v>107</v>
      </c>
      <c r="AU333" t="str">
        <f>"McCarthy"</f>
        <v>McCarthy</v>
      </c>
      <c r="AV333" t="str">
        <f>"Susan"</f>
        <v>Susan</v>
      </c>
      <c r="AW333" t="str">
        <f>""</f>
        <v/>
      </c>
      <c r="AX333" t="str">
        <f>"P.O. Box 31608"</f>
        <v>P.O. Box 31608</v>
      </c>
      <c r="AY333" t="str">
        <f>""</f>
        <v/>
      </c>
      <c r="AZ333" t="str">
        <f>"Raleigh"</f>
        <v>Raleigh</v>
      </c>
      <c r="BA333" t="str">
        <f>"NC"</f>
        <v>NC</v>
      </c>
      <c r="BB333" s="3">
        <v>27622</v>
      </c>
      <c r="BC333" t="str">
        <f t="shared" si="18"/>
        <v>UNITED STATES OF AMERICA</v>
      </c>
      <c r="BD333" t="str">
        <f>""</f>
        <v/>
      </c>
      <c r="BE333" t="str">
        <f>"+19193077002"</f>
        <v>+19193077002</v>
      </c>
      <c r="BF333" t="str">
        <f>""</f>
        <v/>
      </c>
      <c r="BG333" t="str">
        <f>"vicky.johnson@ogletreedeakins.com"</f>
        <v>vicky.johnson@ogletreedeakins.com</v>
      </c>
      <c r="BH333" t="str">
        <f>"Ogletree, Deakins, Nash, Smoak &amp; Stewart, P.C."</f>
        <v>Ogletree, Deakins, Nash, Smoak &amp; Stewart, P.C.</v>
      </c>
      <c r="BI333" t="str">
        <f>"NJ"</f>
        <v>NJ</v>
      </c>
      <c r="BJ333" t="str">
        <f>"Supreme Court of New Jersey"</f>
        <v>Supreme Court of New Jersey</v>
      </c>
      <c r="BK333">
        <v>1</v>
      </c>
      <c r="BL333" t="s">
        <v>102</v>
      </c>
      <c r="BM333" t="str">
        <f>""</f>
        <v/>
      </c>
      <c r="BN333" t="s">
        <v>467</v>
      </c>
      <c r="BO333" t="s">
        <v>5006</v>
      </c>
      <c r="BP333" t="s">
        <v>472</v>
      </c>
      <c r="BQ333" t="s">
        <v>994</v>
      </c>
      <c r="BR333" t="s">
        <v>141</v>
      </c>
      <c r="BS333" s="5">
        <v>94025</v>
      </c>
      <c r="BT333" s="2">
        <v>160000</v>
      </c>
      <c r="BV333" t="s">
        <v>105</v>
      </c>
      <c r="BW333" s="2">
        <v>145246</v>
      </c>
      <c r="BX333" t="s">
        <v>105</v>
      </c>
      <c r="BZ333" t="s">
        <v>123</v>
      </c>
      <c r="CA333" t="str">
        <f t="shared" si="16"/>
        <v>7/1/2020 - 6/30/2021</v>
      </c>
      <c r="CF333">
        <v>2</v>
      </c>
      <c r="CG333" t="s">
        <v>98</v>
      </c>
      <c r="CH333" t="s">
        <v>98</v>
      </c>
      <c r="CI333" t="s">
        <v>206</v>
      </c>
      <c r="CJ333" t="s">
        <v>98</v>
      </c>
      <c r="CK333" t="s">
        <v>12323</v>
      </c>
      <c r="CL333" t="s">
        <v>108</v>
      </c>
      <c r="CM333" t="s">
        <v>109</v>
      </c>
      <c r="CN333" t="str">
        <f>"McCarthy "</f>
        <v xml:space="preserve">McCarthy </v>
      </c>
      <c r="CO333" t="str">
        <f>"Susan"</f>
        <v>Susan</v>
      </c>
      <c r="CP333" t="str">
        <f>""</f>
        <v/>
      </c>
      <c r="CQ333" t="str">
        <f>"Ogletree, Deakins, Nash, Smoak &amp; Stewart, P.C. "</f>
        <v xml:space="preserve">Ogletree, Deakins, Nash, Smoak &amp; Stewart, P.C. </v>
      </c>
      <c r="CR333" t="s">
        <v>473</v>
      </c>
    </row>
    <row r="334" spans="1:96" x14ac:dyDescent="0.2">
      <c r="A334" t="s">
        <v>12006</v>
      </c>
      <c r="B334" t="s">
        <v>96</v>
      </c>
      <c r="C334" s="1">
        <v>44098</v>
      </c>
      <c r="D334" s="1">
        <v>44105</v>
      </c>
      <c r="F334" t="s">
        <v>97</v>
      </c>
      <c r="G334" t="str">
        <f>"Sr. Software Developer"</f>
        <v>Sr. Software Developer</v>
      </c>
      <c r="H334" t="s">
        <v>12169</v>
      </c>
      <c r="I334" t="s">
        <v>124</v>
      </c>
      <c r="J334" t="s">
        <v>98</v>
      </c>
      <c r="K334" s="1">
        <v>44098</v>
      </c>
      <c r="L334" s="1">
        <v>45192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 t="s">
        <v>6184</v>
      </c>
      <c r="U334" t="str">
        <f>"N / A"</f>
        <v>N / A</v>
      </c>
      <c r="V334" t="s">
        <v>6185</v>
      </c>
      <c r="W334" t="str">
        <f>"Ste 201"</f>
        <v>Ste 201</v>
      </c>
      <c r="X334" t="s">
        <v>6186</v>
      </c>
      <c r="Y334" t="s">
        <v>215</v>
      </c>
      <c r="Z334" s="3">
        <v>30518</v>
      </c>
      <c r="AA334" t="s">
        <v>101</v>
      </c>
      <c r="AC334" s="4" t="str">
        <f>"+14044763732"</f>
        <v>+14044763732</v>
      </c>
      <c r="AE334" t="str">
        <f>"541519"</f>
        <v>541519</v>
      </c>
      <c r="AF334" t="s">
        <v>6187</v>
      </c>
      <c r="AG334" t="s">
        <v>6188</v>
      </c>
      <c r="AH334" t="s">
        <v>108</v>
      </c>
      <c r="AI334" t="s">
        <v>508</v>
      </c>
      <c r="AJ334" t="s">
        <v>6185</v>
      </c>
      <c r="AK334" t="str">
        <f>"Ste 201"</f>
        <v>Ste 201</v>
      </c>
      <c r="AL334" t="s">
        <v>6186</v>
      </c>
      <c r="AM334" t="s">
        <v>215</v>
      </c>
      <c r="AN334" s="3">
        <v>30518</v>
      </c>
      <c r="AO334" t="s">
        <v>101</v>
      </c>
      <c r="AQ334" t="str">
        <f>"+14044763732"</f>
        <v>+14044763732</v>
      </c>
      <c r="AS334" t="s">
        <v>6189</v>
      </c>
      <c r="AT334" t="s">
        <v>107</v>
      </c>
      <c r="AU334" t="str">
        <f>"SHARMA"</f>
        <v>SHARMA</v>
      </c>
      <c r="AV334" t="str">
        <f>"CHANDLER"</f>
        <v>CHANDLER</v>
      </c>
      <c r="AW334" t="str">
        <f>"B"</f>
        <v>B</v>
      </c>
      <c r="AX334" t="str">
        <f>"15 Corporate Place South"</f>
        <v>15 Corporate Place South</v>
      </c>
      <c r="AY334" t="str">
        <f>"SUITE 150"</f>
        <v>SUITE 150</v>
      </c>
      <c r="AZ334" t="str">
        <f>"Piscataway"</f>
        <v>Piscataway</v>
      </c>
      <c r="BA334" t="str">
        <f>"NJ"</f>
        <v>NJ</v>
      </c>
      <c r="BB334" s="3">
        <v>8854</v>
      </c>
      <c r="BC334" t="str">
        <f t="shared" si="18"/>
        <v>UNITED STATES OF AMERICA</v>
      </c>
      <c r="BD334" t="str">
        <f>""</f>
        <v/>
      </c>
      <c r="BE334" t="str">
        <f>"+12126299400"</f>
        <v>+12126299400</v>
      </c>
      <c r="BF334" t="str">
        <f>""</f>
        <v/>
      </c>
      <c r="BG334" t="str">
        <f>"LCAS@SYSSLAW.COM"</f>
        <v>LCAS@SYSSLAW.COM</v>
      </c>
      <c r="BH334" t="str">
        <f>"SHARMA YASKHI &amp; ASSOCIATES, LLP"</f>
        <v>SHARMA YASKHI &amp; ASSOCIATES, LLP</v>
      </c>
      <c r="BI334" t="str">
        <f>"GA"</f>
        <v>GA</v>
      </c>
      <c r="BJ334" t="str">
        <f>"COURT OF APPEALS"</f>
        <v>COURT OF APPEALS</v>
      </c>
      <c r="BK334">
        <v>1</v>
      </c>
      <c r="BL334" t="s">
        <v>107</v>
      </c>
      <c r="BM334" t="str">
        <f>"Imperio Inc"</f>
        <v>Imperio Inc</v>
      </c>
      <c r="BN334" t="s">
        <v>9017</v>
      </c>
      <c r="BO334" t="s">
        <v>7605</v>
      </c>
      <c r="BP334" t="s">
        <v>847</v>
      </c>
      <c r="BQ334" t="s">
        <v>214</v>
      </c>
      <c r="BR334" t="s">
        <v>215</v>
      </c>
      <c r="BS334" s="5">
        <v>30009</v>
      </c>
      <c r="BT334" s="2">
        <v>120931</v>
      </c>
      <c r="BV334" t="s">
        <v>105</v>
      </c>
      <c r="BW334" s="2">
        <v>85842</v>
      </c>
      <c r="BX334" t="s">
        <v>105</v>
      </c>
      <c r="BZ334" t="s">
        <v>167</v>
      </c>
      <c r="CA334" t="str">
        <f t="shared" si="16"/>
        <v>7/1/2020 - 6/30/2021</v>
      </c>
      <c r="CF334">
        <v>2</v>
      </c>
      <c r="CG334" t="s">
        <v>98</v>
      </c>
      <c r="CH334" t="s">
        <v>98</v>
      </c>
      <c r="CI334" t="s">
        <v>206</v>
      </c>
      <c r="CJ334" t="s">
        <v>98</v>
      </c>
      <c r="CK334" t="s">
        <v>12323</v>
      </c>
      <c r="CL334" t="s">
        <v>108</v>
      </c>
      <c r="CM334" t="s">
        <v>109</v>
      </c>
      <c r="CN334" t="str">
        <f>"TABETI"</f>
        <v>TABETI</v>
      </c>
      <c r="CO334" t="str">
        <f>"SHRAVAN"</f>
        <v>SHRAVAN</v>
      </c>
      <c r="CP334" t="str">
        <f>"K"</f>
        <v>K</v>
      </c>
      <c r="CQ334" t="str">
        <f>"SHARMA YASKHI &amp; ASSOCIATES, LLP"</f>
        <v>SHARMA YASKHI &amp; ASSOCIATES, LLP</v>
      </c>
      <c r="CR334" t="s">
        <v>544</v>
      </c>
    </row>
    <row r="335" spans="1:96" x14ac:dyDescent="0.2">
      <c r="A335" t="s">
        <v>12010</v>
      </c>
      <c r="B335" t="s">
        <v>96</v>
      </c>
      <c r="C335" s="1">
        <v>44098</v>
      </c>
      <c r="D335" s="1">
        <v>44105</v>
      </c>
      <c r="F335" t="s">
        <v>97</v>
      </c>
      <c r="G335" t="str">
        <f>"Cloud Solutions Validation Analyst"</f>
        <v>Cloud Solutions Validation Analyst</v>
      </c>
      <c r="H335" t="s">
        <v>12176</v>
      </c>
      <c r="I335" t="s">
        <v>246</v>
      </c>
      <c r="J335" t="s">
        <v>98</v>
      </c>
      <c r="K335" s="1">
        <v>44240</v>
      </c>
      <c r="L335" s="1">
        <v>45334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 t="s">
        <v>4110</v>
      </c>
      <c r="U335" t="str">
        <f>""</f>
        <v/>
      </c>
      <c r="V335" t="s">
        <v>4111</v>
      </c>
      <c r="W335" t="str">
        <f>"Suite 750"</f>
        <v>Suite 750</v>
      </c>
      <c r="X335" t="s">
        <v>483</v>
      </c>
      <c r="Y335" t="s">
        <v>114</v>
      </c>
      <c r="Z335" s="3">
        <v>75038</v>
      </c>
      <c r="AA335" t="s">
        <v>101</v>
      </c>
      <c r="AC335" s="4" t="str">
        <f>"+19727536500"</f>
        <v>+19727536500</v>
      </c>
      <c r="AE335" t="str">
        <f>"541511"</f>
        <v>541511</v>
      </c>
      <c r="AF335" t="s">
        <v>1187</v>
      </c>
      <c r="AG335" t="s">
        <v>464</v>
      </c>
      <c r="AI335" t="s">
        <v>4112</v>
      </c>
      <c r="AJ335" t="s">
        <v>4113</v>
      </c>
      <c r="AK335" t="str">
        <f>"Ste. 750"</f>
        <v>Ste. 750</v>
      </c>
      <c r="AL335" t="s">
        <v>483</v>
      </c>
      <c r="AM335" t="s">
        <v>114</v>
      </c>
      <c r="AN335" s="3">
        <v>75038</v>
      </c>
      <c r="AO335" t="s">
        <v>101</v>
      </c>
      <c r="AQ335" t="str">
        <f>"+19727536500"</f>
        <v>+19727536500</v>
      </c>
      <c r="AS335" t="s">
        <v>4114</v>
      </c>
      <c r="AT335" t="s">
        <v>107</v>
      </c>
      <c r="AU335" t="str">
        <f>"Shihab"</f>
        <v>Shihab</v>
      </c>
      <c r="AV335" t="str">
        <f>"Sam"</f>
        <v>Sam</v>
      </c>
      <c r="AW335" t="str">
        <f>"M."</f>
        <v>M.</v>
      </c>
      <c r="AX335" t="str">
        <f>"565 Metro Place South"</f>
        <v>565 Metro Place South</v>
      </c>
      <c r="AY335" t="str">
        <f>"Suite 100"</f>
        <v>Suite 100</v>
      </c>
      <c r="AZ335" t="str">
        <f>"Dublin"</f>
        <v>Dublin</v>
      </c>
      <c r="BA335" t="str">
        <f>"OH"</f>
        <v>OH</v>
      </c>
      <c r="BB335" s="3">
        <v>43017</v>
      </c>
      <c r="BC335" t="str">
        <f t="shared" si="18"/>
        <v>UNITED STATES OF AMERICA</v>
      </c>
      <c r="BD335" t="str">
        <f>"N/A"</f>
        <v>N/A</v>
      </c>
      <c r="BE335" t="str">
        <f>"+16147910500"</f>
        <v>+16147910500</v>
      </c>
      <c r="BF335" t="str">
        <f>"225"</f>
        <v>225</v>
      </c>
      <c r="BG335" t="str">
        <f>"govnotice@shihablawoffice.com"</f>
        <v>govnotice@shihablawoffice.com</v>
      </c>
      <c r="BH335" t="str">
        <f>"Sam Shihab &amp; Associates, LLC"</f>
        <v>Sam Shihab &amp; Associates, LLC</v>
      </c>
      <c r="BI335" t="str">
        <f>"OH"</f>
        <v>OH</v>
      </c>
      <c r="BJ335" t="str">
        <f>"Supreme Court of Ohio"</f>
        <v>Supreme Court of Ohio</v>
      </c>
      <c r="BK335">
        <v>1</v>
      </c>
      <c r="BL335" t="s">
        <v>107</v>
      </c>
      <c r="BM335" t="str">
        <f>"Genentech"</f>
        <v>Genentech</v>
      </c>
      <c r="BN335" t="s">
        <v>5675</v>
      </c>
      <c r="BP335" t="s">
        <v>888</v>
      </c>
      <c r="BQ335" t="s">
        <v>994</v>
      </c>
      <c r="BR335" t="s">
        <v>141</v>
      </c>
      <c r="BS335" s="5">
        <v>94080</v>
      </c>
      <c r="BT335" s="2">
        <v>58.14</v>
      </c>
      <c r="BV335" t="s">
        <v>210</v>
      </c>
      <c r="BW335" s="2">
        <v>58.14</v>
      </c>
      <c r="BX335" t="s">
        <v>210</v>
      </c>
      <c r="BZ335" t="s">
        <v>167</v>
      </c>
      <c r="CA335" t="str">
        <f t="shared" si="16"/>
        <v>7/1/2020 - 6/30/2021</v>
      </c>
      <c r="CF335">
        <v>1</v>
      </c>
      <c r="CG335" t="s">
        <v>98</v>
      </c>
      <c r="CH335" t="s">
        <v>98</v>
      </c>
      <c r="CI335" t="s">
        <v>206</v>
      </c>
      <c r="CJ335" t="s">
        <v>98</v>
      </c>
      <c r="CK335" t="s">
        <v>12323</v>
      </c>
      <c r="CL335" t="s">
        <v>108</v>
      </c>
      <c r="CM335" t="s">
        <v>109</v>
      </c>
      <c r="CN335" t="str">
        <f>""</f>
        <v/>
      </c>
      <c r="CO335" t="str">
        <f>""</f>
        <v/>
      </c>
      <c r="CP335" t="str">
        <f>""</f>
        <v/>
      </c>
      <c r="CQ335" t="str">
        <f>""</f>
        <v/>
      </c>
    </row>
    <row r="336" spans="1:96" x14ac:dyDescent="0.2">
      <c r="A336" t="s">
        <v>12017</v>
      </c>
      <c r="B336" t="s">
        <v>96</v>
      </c>
      <c r="C336" s="1">
        <v>44098</v>
      </c>
      <c r="D336" s="1">
        <v>44105</v>
      </c>
      <c r="F336" t="s">
        <v>97</v>
      </c>
      <c r="G336" t="str">
        <f>"Production Support Lead - US "</f>
        <v xml:space="preserve">Production Support Lead - US </v>
      </c>
      <c r="H336" t="s">
        <v>12181</v>
      </c>
      <c r="I336" t="s">
        <v>110</v>
      </c>
      <c r="J336" t="s">
        <v>98</v>
      </c>
      <c r="K336" s="1">
        <v>44109</v>
      </c>
      <c r="L336" s="1">
        <v>45201</v>
      </c>
      <c r="M336">
        <v>5</v>
      </c>
      <c r="N336">
        <v>0</v>
      </c>
      <c r="O336">
        <v>0</v>
      </c>
      <c r="P336">
        <v>5</v>
      </c>
      <c r="Q336">
        <v>0</v>
      </c>
      <c r="R336">
        <v>0</v>
      </c>
      <c r="S336">
        <v>0</v>
      </c>
      <c r="T336" t="s">
        <v>723</v>
      </c>
      <c r="U336" t="str">
        <f>""</f>
        <v/>
      </c>
      <c r="V336" t="s">
        <v>724</v>
      </c>
      <c r="W336" t="str">
        <f>"STE C150"</f>
        <v>STE C150</v>
      </c>
      <c r="X336" t="s">
        <v>725</v>
      </c>
      <c r="Y336" t="s">
        <v>114</v>
      </c>
      <c r="Z336" s="3">
        <v>75082</v>
      </c>
      <c r="AA336" t="s">
        <v>101</v>
      </c>
      <c r="AC336" s="4" t="str">
        <f>"+12143062100"</f>
        <v>+12143062100</v>
      </c>
      <c r="AE336" t="str">
        <f>"541511"</f>
        <v>541511</v>
      </c>
      <c r="AF336" t="s">
        <v>726</v>
      </c>
      <c r="AG336" t="s">
        <v>727</v>
      </c>
      <c r="AI336" t="s">
        <v>728</v>
      </c>
      <c r="AJ336" t="s">
        <v>724</v>
      </c>
      <c r="AK336" t="str">
        <f>"STE C150"</f>
        <v>STE C150</v>
      </c>
      <c r="AL336" t="s">
        <v>725</v>
      </c>
      <c r="AM336" t="s">
        <v>114</v>
      </c>
      <c r="AN336" s="3">
        <v>75082</v>
      </c>
      <c r="AO336" t="s">
        <v>101</v>
      </c>
      <c r="AQ336" t="str">
        <f>"+12143062100"</f>
        <v>+12143062100</v>
      </c>
      <c r="AS336" t="s">
        <v>729</v>
      </c>
      <c r="AT336" t="s">
        <v>102</v>
      </c>
      <c r="AU336" t="str">
        <f>""</f>
        <v/>
      </c>
      <c r="AV336" t="str">
        <f>""</f>
        <v/>
      </c>
      <c r="AW336" t="str">
        <f>""</f>
        <v/>
      </c>
      <c r="AX336" t="str">
        <f>""</f>
        <v/>
      </c>
      <c r="AY336" t="str">
        <f>""</f>
        <v/>
      </c>
      <c r="AZ336" t="str">
        <f>""</f>
        <v/>
      </c>
      <c r="BA336" t="str">
        <f>""</f>
        <v/>
      </c>
      <c r="BC336" t="str">
        <f>""</f>
        <v/>
      </c>
      <c r="BD336" t="str">
        <f>""</f>
        <v/>
      </c>
      <c r="BE336" t="str">
        <f>""</f>
        <v/>
      </c>
      <c r="BF336" t="str">
        <f>""</f>
        <v/>
      </c>
      <c r="BG336" t="str">
        <f>""</f>
        <v/>
      </c>
      <c r="BH336" t="str">
        <f>""</f>
        <v/>
      </c>
      <c r="BI336" t="str">
        <f>""</f>
        <v/>
      </c>
      <c r="BJ336" t="str">
        <f>""</f>
        <v/>
      </c>
      <c r="BK336">
        <v>5</v>
      </c>
      <c r="BL336" t="s">
        <v>107</v>
      </c>
      <c r="BM336" t="str">
        <f>"Apple, Inc."</f>
        <v>Apple, Inc.</v>
      </c>
      <c r="BN336" t="s">
        <v>4525</v>
      </c>
      <c r="BP336" t="s">
        <v>1021</v>
      </c>
      <c r="BQ336" t="s">
        <v>230</v>
      </c>
      <c r="BR336" t="s">
        <v>141</v>
      </c>
      <c r="BS336" s="5">
        <v>94085</v>
      </c>
      <c r="BT336" s="2">
        <v>48.84</v>
      </c>
      <c r="BU336" s="2">
        <v>53.63</v>
      </c>
      <c r="BV336" t="s">
        <v>210</v>
      </c>
      <c r="BW336" s="2">
        <v>48.84</v>
      </c>
      <c r="BX336" t="s">
        <v>210</v>
      </c>
      <c r="BZ336" t="s">
        <v>167</v>
      </c>
      <c r="CA336" t="str">
        <f t="shared" si="16"/>
        <v>7/1/2020 - 6/30/2021</v>
      </c>
      <c r="CF336">
        <v>1</v>
      </c>
      <c r="CG336" t="s">
        <v>98</v>
      </c>
      <c r="CH336" t="s">
        <v>98</v>
      </c>
      <c r="CI336" t="s">
        <v>206</v>
      </c>
      <c r="CJ336" t="s">
        <v>98</v>
      </c>
      <c r="CK336" t="s">
        <v>12323</v>
      </c>
      <c r="CL336" t="s">
        <v>108</v>
      </c>
      <c r="CM336" t="s">
        <v>109</v>
      </c>
      <c r="CN336" t="str">
        <f>"Khanum"</f>
        <v>Khanum</v>
      </c>
      <c r="CO336" t="str">
        <f>"Hajeera"</f>
        <v>Hajeera</v>
      </c>
      <c r="CP336" t="str">
        <f>""</f>
        <v/>
      </c>
      <c r="CQ336" t="str">
        <f>"Infosys Limited"</f>
        <v>Infosys Limited</v>
      </c>
      <c r="CR336" t="s">
        <v>900</v>
      </c>
    </row>
    <row r="337" spans="1:96" x14ac:dyDescent="0.2">
      <c r="A337" t="s">
        <v>12024</v>
      </c>
      <c r="B337" t="s">
        <v>96</v>
      </c>
      <c r="C337" s="1">
        <v>44098</v>
      </c>
      <c r="D337" s="1">
        <v>44105</v>
      </c>
      <c r="F337" t="s">
        <v>97</v>
      </c>
      <c r="G337" t="str">
        <f>"JAVA DEVELOPER"</f>
        <v>JAVA DEVELOPER</v>
      </c>
      <c r="H337" t="s">
        <v>12169</v>
      </c>
      <c r="I337" t="s">
        <v>124</v>
      </c>
      <c r="J337" t="s">
        <v>98</v>
      </c>
      <c r="K337" s="1">
        <v>44098</v>
      </c>
      <c r="L337" s="1">
        <v>45192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 t="s">
        <v>9930</v>
      </c>
      <c r="U337" t="str">
        <f>""</f>
        <v/>
      </c>
      <c r="V337" t="s">
        <v>9163</v>
      </c>
      <c r="W337" t="str">
        <f>"SUITE 131"</f>
        <v>SUITE 131</v>
      </c>
      <c r="X337" t="s">
        <v>1497</v>
      </c>
      <c r="Y337" t="s">
        <v>265</v>
      </c>
      <c r="Z337" s="3">
        <v>48335</v>
      </c>
      <c r="AA337" t="s">
        <v>101</v>
      </c>
      <c r="AC337" s="4" t="str">
        <f>"+12489875712"</f>
        <v>+12489875712</v>
      </c>
      <c r="AE337" t="str">
        <f>"541511"</f>
        <v>541511</v>
      </c>
      <c r="AF337" t="s">
        <v>183</v>
      </c>
      <c r="AG337" t="s">
        <v>9931</v>
      </c>
      <c r="AI337" t="s">
        <v>2882</v>
      </c>
      <c r="AJ337" t="s">
        <v>9163</v>
      </c>
      <c r="AK337" t="str">
        <f>"SUITE 131"</f>
        <v>SUITE 131</v>
      </c>
      <c r="AL337" t="s">
        <v>1497</v>
      </c>
      <c r="AM337" t="s">
        <v>265</v>
      </c>
      <c r="AN337" s="3">
        <v>48335</v>
      </c>
      <c r="AO337" t="s">
        <v>101</v>
      </c>
      <c r="AQ337" t="str">
        <f>"+12489875712"</f>
        <v>+12489875712</v>
      </c>
      <c r="AS337" t="s">
        <v>11038</v>
      </c>
      <c r="AT337" t="s">
        <v>102</v>
      </c>
      <c r="AU337" t="str">
        <f>""</f>
        <v/>
      </c>
      <c r="AV337" t="str">
        <f>""</f>
        <v/>
      </c>
      <c r="AW337" t="str">
        <f>""</f>
        <v/>
      </c>
      <c r="AX337" t="str">
        <f>""</f>
        <v/>
      </c>
      <c r="AY337" t="str">
        <f>""</f>
        <v/>
      </c>
      <c r="AZ337" t="str">
        <f>""</f>
        <v/>
      </c>
      <c r="BA337" t="str">
        <f>""</f>
        <v/>
      </c>
      <c r="BC337" t="str">
        <f>""</f>
        <v/>
      </c>
      <c r="BD337" t="str">
        <f>""</f>
        <v/>
      </c>
      <c r="BE337" t="str">
        <f>""</f>
        <v/>
      </c>
      <c r="BF337" t="str">
        <f>""</f>
        <v/>
      </c>
      <c r="BG337" t="str">
        <f>""</f>
        <v/>
      </c>
      <c r="BH337" t="str">
        <f>""</f>
        <v/>
      </c>
      <c r="BI337" t="str">
        <f>""</f>
        <v/>
      </c>
      <c r="BJ337" t="str">
        <f>""</f>
        <v/>
      </c>
      <c r="BK337">
        <v>1</v>
      </c>
      <c r="BL337" t="s">
        <v>107</v>
      </c>
      <c r="BM337" t="str">
        <f>"BLUE CROSS BLUE SHIELD OF MICHIGAN"</f>
        <v>BLUE CROSS BLUE SHIELD OF MICHIGAN</v>
      </c>
      <c r="BN337" t="s">
        <v>12025</v>
      </c>
      <c r="BP337" t="s">
        <v>528</v>
      </c>
      <c r="BQ337" t="s">
        <v>533</v>
      </c>
      <c r="BR337" t="s">
        <v>265</v>
      </c>
      <c r="BS337" s="5">
        <v>48226</v>
      </c>
      <c r="BT337" s="2">
        <v>79300</v>
      </c>
      <c r="BV337" t="s">
        <v>105</v>
      </c>
      <c r="BW337" s="2">
        <v>79248</v>
      </c>
      <c r="BX337" t="s">
        <v>105</v>
      </c>
      <c r="BZ337" t="s">
        <v>167</v>
      </c>
      <c r="CA337" t="str">
        <f t="shared" si="16"/>
        <v>7/1/2020 - 6/30/2021</v>
      </c>
      <c r="CF337">
        <v>2</v>
      </c>
      <c r="CG337" t="s">
        <v>98</v>
      </c>
      <c r="CH337" t="s">
        <v>98</v>
      </c>
      <c r="CI337" t="s">
        <v>206</v>
      </c>
      <c r="CJ337" t="s">
        <v>98</v>
      </c>
      <c r="CK337" t="s">
        <v>12323</v>
      </c>
      <c r="CL337" t="s">
        <v>108</v>
      </c>
      <c r="CM337" t="s">
        <v>109</v>
      </c>
      <c r="CN337" t="str">
        <f>""</f>
        <v/>
      </c>
      <c r="CO337" t="str">
        <f>""</f>
        <v/>
      </c>
      <c r="CP337" t="str">
        <f>""</f>
        <v/>
      </c>
      <c r="CQ337" t="str">
        <f>""</f>
        <v/>
      </c>
    </row>
    <row r="338" spans="1:96" x14ac:dyDescent="0.2">
      <c r="A338" t="s">
        <v>12032</v>
      </c>
      <c r="B338" t="s">
        <v>96</v>
      </c>
      <c r="C338" s="1">
        <v>44098</v>
      </c>
      <c r="D338" s="1">
        <v>44105</v>
      </c>
      <c r="F338" t="s">
        <v>97</v>
      </c>
      <c r="G338" t="str">
        <f>"Manager JC50"</f>
        <v>Manager JC50</v>
      </c>
      <c r="H338" t="s">
        <v>12181</v>
      </c>
      <c r="I338" t="s">
        <v>110</v>
      </c>
      <c r="J338" t="s">
        <v>98</v>
      </c>
      <c r="K338" s="1">
        <v>44106</v>
      </c>
      <c r="L338" s="1">
        <v>45200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 t="s">
        <v>111</v>
      </c>
      <c r="U338" t="str">
        <f>"CTSUS"</f>
        <v>CTSUS</v>
      </c>
      <c r="V338" t="s">
        <v>112</v>
      </c>
      <c r="W338" t="str">
        <f>""</f>
        <v/>
      </c>
      <c r="X338" t="s">
        <v>113</v>
      </c>
      <c r="Y338" t="s">
        <v>114</v>
      </c>
      <c r="Z338" s="3">
        <v>77845</v>
      </c>
      <c r="AA338" t="s">
        <v>101</v>
      </c>
      <c r="AB338" t="s">
        <v>114</v>
      </c>
      <c r="AC338" s="4" t="str">
        <f>"+19793296682"</f>
        <v>+19793296682</v>
      </c>
      <c r="AE338" t="str">
        <f>"541512"</f>
        <v>541512</v>
      </c>
      <c r="AF338" t="s">
        <v>115</v>
      </c>
      <c r="AG338" t="s">
        <v>116</v>
      </c>
      <c r="AH338" t="s">
        <v>108</v>
      </c>
      <c r="AI338" t="s">
        <v>117</v>
      </c>
      <c r="AJ338" t="s">
        <v>118</v>
      </c>
      <c r="AK338" t="str">
        <f>""</f>
        <v/>
      </c>
      <c r="AL338" t="s">
        <v>119</v>
      </c>
      <c r="AM338" t="s">
        <v>114</v>
      </c>
      <c r="AN338" s="3">
        <v>77845</v>
      </c>
      <c r="AO338" t="s">
        <v>101</v>
      </c>
      <c r="AQ338" t="str">
        <f>"+19793296682"</f>
        <v>+19793296682</v>
      </c>
      <c r="AS338" t="s">
        <v>120</v>
      </c>
      <c r="AT338" t="s">
        <v>102</v>
      </c>
      <c r="AU338" t="str">
        <f>""</f>
        <v/>
      </c>
      <c r="AV338" t="str">
        <f>""</f>
        <v/>
      </c>
      <c r="AW338" t="str">
        <f>""</f>
        <v/>
      </c>
      <c r="AX338" t="str">
        <f>""</f>
        <v/>
      </c>
      <c r="AY338" t="str">
        <f>""</f>
        <v/>
      </c>
      <c r="AZ338" t="str">
        <f>""</f>
        <v/>
      </c>
      <c r="BA338" t="str">
        <f>""</f>
        <v/>
      </c>
      <c r="BC338" t="str">
        <f>""</f>
        <v/>
      </c>
      <c r="BD338" t="str">
        <f>""</f>
        <v/>
      </c>
      <c r="BE338" t="str">
        <f>""</f>
        <v/>
      </c>
      <c r="BF338" t="str">
        <f>""</f>
        <v/>
      </c>
      <c r="BG338" t="str">
        <f>""</f>
        <v/>
      </c>
      <c r="BH338" t="str">
        <f>""</f>
        <v/>
      </c>
      <c r="BI338" t="str">
        <f>""</f>
        <v/>
      </c>
      <c r="BJ338" t="str">
        <f>""</f>
        <v/>
      </c>
      <c r="BK338">
        <v>1</v>
      </c>
      <c r="BL338" t="s">
        <v>102</v>
      </c>
      <c r="BM338" t="str">
        <f>""</f>
        <v/>
      </c>
      <c r="BN338" t="s">
        <v>12033</v>
      </c>
      <c r="BP338" t="s">
        <v>699</v>
      </c>
      <c r="BQ338" t="s">
        <v>1214</v>
      </c>
      <c r="BR338" t="s">
        <v>100</v>
      </c>
      <c r="BS338" s="5">
        <v>7094</v>
      </c>
      <c r="BT338" s="2">
        <v>114067</v>
      </c>
      <c r="BV338" t="s">
        <v>105</v>
      </c>
      <c r="BW338" s="2">
        <v>114067</v>
      </c>
      <c r="BX338" t="s">
        <v>105</v>
      </c>
      <c r="BZ338" t="s">
        <v>123</v>
      </c>
      <c r="CA338" t="str">
        <f t="shared" si="16"/>
        <v>7/1/2020 - 6/30/2021</v>
      </c>
      <c r="CF338">
        <v>1</v>
      </c>
      <c r="CG338" t="s">
        <v>98</v>
      </c>
      <c r="CH338" t="s">
        <v>98</v>
      </c>
      <c r="CI338" t="s">
        <v>206</v>
      </c>
      <c r="CJ338" t="s">
        <v>98</v>
      </c>
      <c r="CK338" t="s">
        <v>12323</v>
      </c>
      <c r="CL338" t="s">
        <v>108</v>
      </c>
      <c r="CM338" t="s">
        <v>109</v>
      </c>
      <c r="CN338" t="str">
        <f>""</f>
        <v/>
      </c>
      <c r="CO338" t="str">
        <f>""</f>
        <v/>
      </c>
      <c r="CP338" t="str">
        <f>""</f>
        <v/>
      </c>
      <c r="CQ338" t="str">
        <f>""</f>
        <v/>
      </c>
    </row>
    <row r="339" spans="1:96" x14ac:dyDescent="0.2">
      <c r="A339" t="s">
        <v>12043</v>
      </c>
      <c r="B339" t="s">
        <v>96</v>
      </c>
      <c r="C339" s="1">
        <v>44098</v>
      </c>
      <c r="D339" s="1">
        <v>44105</v>
      </c>
      <c r="F339" t="s">
        <v>97</v>
      </c>
      <c r="G339" t="str">
        <f>"Data Engineer"</f>
        <v>Data Engineer</v>
      </c>
      <c r="H339" t="s">
        <v>12168</v>
      </c>
      <c r="I339" t="s">
        <v>1844</v>
      </c>
      <c r="J339" t="s">
        <v>98</v>
      </c>
      <c r="K339" s="1">
        <v>44109</v>
      </c>
      <c r="L339" s="1">
        <v>45203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466</v>
      </c>
      <c r="U339" t="str">
        <f>""</f>
        <v/>
      </c>
      <c r="V339" t="s">
        <v>467</v>
      </c>
      <c r="W339" t="str">
        <f>"AKA 1601 Willow Road"</f>
        <v>AKA 1601 Willow Road</v>
      </c>
      <c r="X339" t="s">
        <v>468</v>
      </c>
      <c r="Y339" t="s">
        <v>141</v>
      </c>
      <c r="Z339" s="3">
        <v>94025</v>
      </c>
      <c r="AA339" t="s">
        <v>101</v>
      </c>
      <c r="AC339" s="4" t="str">
        <f>"+16505434800"</f>
        <v>+16505434800</v>
      </c>
      <c r="AE339" t="str">
        <f>"518210"</f>
        <v>518210</v>
      </c>
      <c r="AF339" t="s">
        <v>469</v>
      </c>
      <c r="AG339" t="s">
        <v>470</v>
      </c>
      <c r="AI339" t="s">
        <v>471</v>
      </c>
      <c r="AJ339" t="s">
        <v>467</v>
      </c>
      <c r="AK339" t="str">
        <f>"AKA 1601 Willow Road "</f>
        <v xml:space="preserve">AKA 1601 Willow Road </v>
      </c>
      <c r="AL339" t="s">
        <v>472</v>
      </c>
      <c r="AM339" t="s">
        <v>141</v>
      </c>
      <c r="AN339" s="3">
        <v>94025</v>
      </c>
      <c r="AO339" t="s">
        <v>101</v>
      </c>
      <c r="AQ339" t="str">
        <f>"+14085335781"</f>
        <v>+14085335781</v>
      </c>
      <c r="AS339" t="s">
        <v>108</v>
      </c>
      <c r="AT339" t="s">
        <v>107</v>
      </c>
      <c r="AU339" t="str">
        <f>"McCarthy"</f>
        <v>McCarthy</v>
      </c>
      <c r="AV339" t="str">
        <f>"Susan"</f>
        <v>Susan</v>
      </c>
      <c r="AW339" t="str">
        <f>""</f>
        <v/>
      </c>
      <c r="AX339" t="str">
        <f>"P.O. Box 31608"</f>
        <v>P.O. Box 31608</v>
      </c>
      <c r="AY339" t="str">
        <f>""</f>
        <v/>
      </c>
      <c r="AZ339" t="str">
        <f>"Raleigh"</f>
        <v>Raleigh</v>
      </c>
      <c r="BA339" t="str">
        <f>"NC"</f>
        <v>NC</v>
      </c>
      <c r="BB339" s="3">
        <v>27622</v>
      </c>
      <c r="BC339" t="str">
        <f>"UNITED STATES OF AMERICA"</f>
        <v>UNITED STATES OF AMERICA</v>
      </c>
      <c r="BD339" t="str">
        <f>""</f>
        <v/>
      </c>
      <c r="BE339" t="str">
        <f>"+19193077002"</f>
        <v>+19193077002</v>
      </c>
      <c r="BF339" t="str">
        <f>""</f>
        <v/>
      </c>
      <c r="BG339" t="str">
        <f>"vicky.johnson@ogletreedeakins.com"</f>
        <v>vicky.johnson@ogletreedeakins.com</v>
      </c>
      <c r="BH339" t="str">
        <f>"Ogletree, Deakins, Nash, Smoak &amp; Stewart, P.C."</f>
        <v>Ogletree, Deakins, Nash, Smoak &amp; Stewart, P.C.</v>
      </c>
      <c r="BI339" t="str">
        <f>"NJ"</f>
        <v>NJ</v>
      </c>
      <c r="BJ339" t="str">
        <f>"Supreme Court of New Jersey"</f>
        <v>Supreme Court of New Jersey</v>
      </c>
      <c r="BK339">
        <v>1</v>
      </c>
      <c r="BL339" t="s">
        <v>102</v>
      </c>
      <c r="BM339" t="str">
        <f>""</f>
        <v/>
      </c>
      <c r="BN339" t="s">
        <v>3880</v>
      </c>
      <c r="BP339" t="s">
        <v>435</v>
      </c>
      <c r="BQ339" t="s">
        <v>183</v>
      </c>
      <c r="BR339" t="s">
        <v>176</v>
      </c>
      <c r="BS339" s="5">
        <v>98109</v>
      </c>
      <c r="BT339" s="2">
        <v>155000</v>
      </c>
      <c r="BV339" t="s">
        <v>105</v>
      </c>
      <c r="BW339" s="2">
        <v>117125</v>
      </c>
      <c r="BX339" t="s">
        <v>105</v>
      </c>
      <c r="BZ339" t="s">
        <v>159</v>
      </c>
      <c r="CA339" t="str">
        <f t="shared" si="16"/>
        <v>7/1/2020 - 6/30/2021</v>
      </c>
      <c r="CF339">
        <v>2</v>
      </c>
      <c r="CG339" t="s">
        <v>98</v>
      </c>
      <c r="CH339" t="s">
        <v>98</v>
      </c>
      <c r="CI339" t="s">
        <v>206</v>
      </c>
      <c r="CJ339" t="s">
        <v>98</v>
      </c>
      <c r="CK339" t="s">
        <v>12323</v>
      </c>
      <c r="CL339" t="s">
        <v>108</v>
      </c>
      <c r="CM339" t="s">
        <v>109</v>
      </c>
      <c r="CN339" t="str">
        <f>"McCarthy "</f>
        <v xml:space="preserve">McCarthy </v>
      </c>
      <c r="CO339" t="str">
        <f>"Susan"</f>
        <v>Susan</v>
      </c>
      <c r="CP339" t="str">
        <f>""</f>
        <v/>
      </c>
      <c r="CQ339" t="str">
        <f>"Ogletree, Deakins, Nash, Smoak &amp; Stewart, P.C. "</f>
        <v xml:space="preserve">Ogletree, Deakins, Nash, Smoak &amp; Stewart, P.C. </v>
      </c>
      <c r="CR339" t="s">
        <v>473</v>
      </c>
    </row>
    <row r="340" spans="1:96" x14ac:dyDescent="0.2">
      <c r="A340" t="s">
        <v>12046</v>
      </c>
      <c r="B340" t="s">
        <v>96</v>
      </c>
      <c r="C340" s="1">
        <v>44098</v>
      </c>
      <c r="D340" s="1">
        <v>44105</v>
      </c>
      <c r="F340" t="s">
        <v>97</v>
      </c>
      <c r="G340" t="str">
        <f>"SENIOR SYSTEMS ANALYST"</f>
        <v>SENIOR SYSTEMS ANALYST</v>
      </c>
      <c r="H340" t="s">
        <v>12181</v>
      </c>
      <c r="I340" t="s">
        <v>110</v>
      </c>
      <c r="J340" t="s">
        <v>98</v>
      </c>
      <c r="K340" s="1">
        <v>44132</v>
      </c>
      <c r="L340" s="1">
        <v>45226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 t="s">
        <v>356</v>
      </c>
      <c r="U340" t="str">
        <f>""</f>
        <v/>
      </c>
      <c r="V340" t="s">
        <v>357</v>
      </c>
      <c r="W340" t="str">
        <f>""</f>
        <v/>
      </c>
      <c r="X340" t="s">
        <v>358</v>
      </c>
      <c r="Y340" t="s">
        <v>141</v>
      </c>
      <c r="Z340" s="3">
        <v>92656</v>
      </c>
      <c r="AA340" t="s">
        <v>101</v>
      </c>
      <c r="AC340" s="4" t="str">
        <f>"+19495332644"</f>
        <v>+19495332644</v>
      </c>
      <c r="AE340" t="str">
        <f>"541511"</f>
        <v>541511</v>
      </c>
      <c r="AF340" t="s">
        <v>359</v>
      </c>
      <c r="AG340" t="s">
        <v>360</v>
      </c>
      <c r="AI340" t="s">
        <v>361</v>
      </c>
      <c r="AJ340" t="s">
        <v>362</v>
      </c>
      <c r="AK340" t="str">
        <f>""</f>
        <v/>
      </c>
      <c r="AL340" t="s">
        <v>363</v>
      </c>
      <c r="AM340" t="s">
        <v>141</v>
      </c>
      <c r="AN340" s="3">
        <v>92656</v>
      </c>
      <c r="AO340" t="s">
        <v>101</v>
      </c>
      <c r="AQ340" t="str">
        <f>"+19495332644"</f>
        <v>+19495332644</v>
      </c>
      <c r="AS340" t="s">
        <v>3561</v>
      </c>
      <c r="AT340" t="s">
        <v>107</v>
      </c>
      <c r="AU340" t="str">
        <f>"CHUGH"</f>
        <v>CHUGH</v>
      </c>
      <c r="AV340" t="str">
        <f>"NAVNEET"</f>
        <v>NAVNEET</v>
      </c>
      <c r="AW340" t="str">
        <f>"SINGH"</f>
        <v>SINGH</v>
      </c>
      <c r="AX340" t="str">
        <f>"15925 CARMENITA RD"</f>
        <v>15925 CARMENITA RD</v>
      </c>
      <c r="AY340" t="str">
        <f>""</f>
        <v/>
      </c>
      <c r="AZ340" t="str">
        <f>"CERRITOS"</f>
        <v>CERRITOS</v>
      </c>
      <c r="BA340" t="str">
        <f>"CA"</f>
        <v>CA</v>
      </c>
      <c r="BB340" s="3">
        <v>90703</v>
      </c>
      <c r="BC340" t="str">
        <f>"UNITED STATES OF AMERICA"</f>
        <v>UNITED STATES OF AMERICA</v>
      </c>
      <c r="BD340" t="str">
        <f>""</f>
        <v/>
      </c>
      <c r="BE340" t="str">
        <f>"+15622291220"</f>
        <v>+15622291220</v>
      </c>
      <c r="BF340" t="str">
        <f>""</f>
        <v/>
      </c>
      <c r="BG340" t="str">
        <f>"DANIELA.OCHOA@CHUGH.COM"</f>
        <v>DANIELA.OCHOA@CHUGH.COM</v>
      </c>
      <c r="BH340" t="str">
        <f>"CHUGH LLP"</f>
        <v>CHUGH LLP</v>
      </c>
      <c r="BI340" t="str">
        <f>"CA"</f>
        <v>CA</v>
      </c>
      <c r="BJ340" t="str">
        <f>"SUPREME COURT"</f>
        <v>SUPREME COURT</v>
      </c>
      <c r="BK340">
        <v>1</v>
      </c>
      <c r="BL340" t="s">
        <v>107</v>
      </c>
      <c r="BM340" t="str">
        <f>"GLOBAL PAYMENTS INC"</f>
        <v>GLOBAL PAYMENTS INC</v>
      </c>
      <c r="BN340" t="s">
        <v>3029</v>
      </c>
      <c r="BP340" t="s">
        <v>1766</v>
      </c>
      <c r="BQ340" t="s">
        <v>214</v>
      </c>
      <c r="BR340" t="s">
        <v>215</v>
      </c>
      <c r="BS340" s="5">
        <v>30022</v>
      </c>
      <c r="BT340" s="2">
        <v>135000</v>
      </c>
      <c r="BV340" t="s">
        <v>105</v>
      </c>
      <c r="BW340" s="2">
        <v>91686</v>
      </c>
      <c r="BX340" t="s">
        <v>105</v>
      </c>
      <c r="BZ340" t="s">
        <v>123</v>
      </c>
      <c r="CA340" t="str">
        <f t="shared" si="16"/>
        <v>7/1/2020 - 6/30/2021</v>
      </c>
      <c r="CF340">
        <v>2</v>
      </c>
      <c r="CG340" t="s">
        <v>98</v>
      </c>
      <c r="CH340" t="s">
        <v>98</v>
      </c>
      <c r="CI340" t="s">
        <v>206</v>
      </c>
      <c r="CJ340" t="s">
        <v>98</v>
      </c>
      <c r="CK340" t="s">
        <v>12323</v>
      </c>
      <c r="CL340" t="s">
        <v>108</v>
      </c>
      <c r="CM340" t="s">
        <v>109</v>
      </c>
      <c r="CN340" t="str">
        <f>"OCHOA"</f>
        <v>OCHOA</v>
      </c>
      <c r="CO340" t="str">
        <f>"DANIELA"</f>
        <v>DANIELA</v>
      </c>
      <c r="CP340" t="str">
        <f>"V"</f>
        <v>V</v>
      </c>
      <c r="CQ340" t="str">
        <f>"CHUGH LLP"</f>
        <v>CHUGH LLP</v>
      </c>
      <c r="CR340" t="s">
        <v>366</v>
      </c>
    </row>
    <row r="341" spans="1:96" x14ac:dyDescent="0.2">
      <c r="A341" t="s">
        <v>12049</v>
      </c>
      <c r="B341" t="s">
        <v>96</v>
      </c>
      <c r="C341" s="1">
        <v>44098</v>
      </c>
      <c r="D341" s="1">
        <v>44105</v>
      </c>
      <c r="F341" t="s">
        <v>97</v>
      </c>
      <c r="G341" t="str">
        <f>"Senior Systems Engineer"</f>
        <v>Senior Systems Engineer</v>
      </c>
      <c r="H341" t="s">
        <v>12186</v>
      </c>
      <c r="I341" t="s">
        <v>232</v>
      </c>
      <c r="J341" t="s">
        <v>98</v>
      </c>
      <c r="K341" s="1">
        <v>44105</v>
      </c>
      <c r="L341" s="1">
        <v>45199</v>
      </c>
      <c r="M341">
        <v>100</v>
      </c>
      <c r="N341">
        <v>75</v>
      </c>
      <c r="O341">
        <v>0</v>
      </c>
      <c r="P341">
        <v>5</v>
      </c>
      <c r="Q341">
        <v>0</v>
      </c>
      <c r="R341">
        <v>10</v>
      </c>
      <c r="S341">
        <v>10</v>
      </c>
      <c r="T341" t="s">
        <v>283</v>
      </c>
      <c r="U341" t="str">
        <f>""</f>
        <v/>
      </c>
      <c r="V341" t="s">
        <v>284</v>
      </c>
      <c r="W341" t="str">
        <f>""</f>
        <v/>
      </c>
      <c r="X341" t="s">
        <v>157</v>
      </c>
      <c r="Y341" t="s">
        <v>141</v>
      </c>
      <c r="Z341" s="3">
        <v>92121</v>
      </c>
      <c r="AA341" t="s">
        <v>101</v>
      </c>
      <c r="AC341" s="4" t="str">
        <f>"+18584722865"</f>
        <v>+18584722865</v>
      </c>
      <c r="AE341" t="str">
        <f>"334220"</f>
        <v>334220</v>
      </c>
      <c r="AF341" t="s">
        <v>285</v>
      </c>
      <c r="AG341" t="s">
        <v>286</v>
      </c>
      <c r="AH341" t="s">
        <v>1957</v>
      </c>
      <c r="AI341" t="s">
        <v>287</v>
      </c>
      <c r="AJ341" t="s">
        <v>284</v>
      </c>
      <c r="AK341" t="str">
        <f>""</f>
        <v/>
      </c>
      <c r="AL341" t="s">
        <v>157</v>
      </c>
      <c r="AM341" t="s">
        <v>141</v>
      </c>
      <c r="AN341" s="3">
        <v>92121</v>
      </c>
      <c r="AO341" t="s">
        <v>101</v>
      </c>
      <c r="AQ341" t="str">
        <f>"+18584722865"</f>
        <v>+18584722865</v>
      </c>
      <c r="AS341" t="s">
        <v>288</v>
      </c>
      <c r="AT341" t="s">
        <v>107</v>
      </c>
      <c r="AU341" t="str">
        <f>"FAURE WENGER"</f>
        <v>FAURE WENGER</v>
      </c>
      <c r="AV341" t="str">
        <f>"KARINE"</f>
        <v>KARINE</v>
      </c>
      <c r="AW341" t="str">
        <f>"ISABELLE"</f>
        <v>ISABELLE</v>
      </c>
      <c r="AX341" t="str">
        <f>"P.O. BOX 910129"</f>
        <v>P.O. BOX 910129</v>
      </c>
      <c r="AY341" t="str">
        <f>""</f>
        <v/>
      </c>
      <c r="AZ341" t="str">
        <f>"SAN DIEGO"</f>
        <v>SAN DIEGO</v>
      </c>
      <c r="BA341" t="str">
        <f>"CA"</f>
        <v>CA</v>
      </c>
      <c r="BB341" s="3">
        <v>92191</v>
      </c>
      <c r="BC341" t="str">
        <f>"UNITED STATES OF AMERICA"</f>
        <v>UNITED STATES OF AMERICA</v>
      </c>
      <c r="BD341" t="str">
        <f>""</f>
        <v/>
      </c>
      <c r="BE341" t="str">
        <f>"+18587931600"</f>
        <v>+18587931600</v>
      </c>
      <c r="BF341" t="str">
        <f>""</f>
        <v/>
      </c>
      <c r="BG341" t="str">
        <f>"skylee.james@fragomen.com"</f>
        <v>skylee.james@fragomen.com</v>
      </c>
      <c r="BH341" t="str">
        <f>"Fragomen, Del Rey, Bernsen and Loewy, LLP"</f>
        <v>Fragomen, Del Rey, Bernsen and Loewy, LLP</v>
      </c>
      <c r="BI341" t="str">
        <f>"CA"</f>
        <v>CA</v>
      </c>
      <c r="BJ341" t="str">
        <f>"Supreme Court"</f>
        <v>Supreme Court</v>
      </c>
      <c r="BK341">
        <v>100</v>
      </c>
      <c r="BL341" t="s">
        <v>102</v>
      </c>
      <c r="BM341" t="str">
        <f>""</f>
        <v/>
      </c>
      <c r="BN341" t="s">
        <v>284</v>
      </c>
      <c r="BP341" t="s">
        <v>157</v>
      </c>
      <c r="BQ341" t="s">
        <v>158</v>
      </c>
      <c r="BR341" t="s">
        <v>141</v>
      </c>
      <c r="BS341" s="5">
        <v>92121</v>
      </c>
      <c r="BT341" s="2">
        <v>108930</v>
      </c>
      <c r="BU341" s="2">
        <v>153400</v>
      </c>
      <c r="BV341" t="s">
        <v>105</v>
      </c>
      <c r="BW341" s="2">
        <v>108930</v>
      </c>
      <c r="BX341" t="s">
        <v>105</v>
      </c>
      <c r="BZ341" t="s">
        <v>167</v>
      </c>
      <c r="CA341" t="str">
        <f t="shared" si="16"/>
        <v>7/1/2020 - 6/30/2021</v>
      </c>
      <c r="CF341">
        <v>1</v>
      </c>
      <c r="CG341" t="s">
        <v>98</v>
      </c>
      <c r="CH341" t="s">
        <v>98</v>
      </c>
      <c r="CI341" t="s">
        <v>206</v>
      </c>
      <c r="CJ341" t="s">
        <v>98</v>
      </c>
      <c r="CK341" t="s">
        <v>12323</v>
      </c>
      <c r="CL341" t="s">
        <v>108</v>
      </c>
      <c r="CM341" t="s">
        <v>109</v>
      </c>
      <c r="CN341" t="str">
        <f>""</f>
        <v/>
      </c>
      <c r="CO341" t="str">
        <f>""</f>
        <v/>
      </c>
      <c r="CP341" t="str">
        <f>""</f>
        <v/>
      </c>
      <c r="CQ341" t="str">
        <f>""</f>
        <v/>
      </c>
    </row>
    <row r="342" spans="1:96" x14ac:dyDescent="0.2">
      <c r="A342" t="s">
        <v>12050</v>
      </c>
      <c r="B342" t="s">
        <v>96</v>
      </c>
      <c r="C342" s="1">
        <v>44098</v>
      </c>
      <c r="D342" s="1">
        <v>44105</v>
      </c>
      <c r="F342" t="s">
        <v>97</v>
      </c>
      <c r="G342" t="str">
        <f>"Developer User Interface "</f>
        <v xml:space="preserve">Developer User Interface </v>
      </c>
      <c r="H342" t="s">
        <v>12272</v>
      </c>
      <c r="I342" t="s">
        <v>1486</v>
      </c>
      <c r="J342" t="s">
        <v>98</v>
      </c>
      <c r="K342" s="1">
        <v>44098</v>
      </c>
      <c r="L342" s="1">
        <v>45192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 t="s">
        <v>864</v>
      </c>
      <c r="U342" t="str">
        <f>""</f>
        <v/>
      </c>
      <c r="V342" t="s">
        <v>865</v>
      </c>
      <c r="W342" t="str">
        <f>"SUITE 320"</f>
        <v>SUITE 320</v>
      </c>
      <c r="X342" t="s">
        <v>866</v>
      </c>
      <c r="Y342" t="s">
        <v>195</v>
      </c>
      <c r="Z342" s="3">
        <v>20850</v>
      </c>
      <c r="AA342" t="s">
        <v>101</v>
      </c>
      <c r="AC342" s="4" t="str">
        <f>"+13012319083"</f>
        <v>+13012319083</v>
      </c>
      <c r="AE342" t="str">
        <f>"541511"</f>
        <v>541511</v>
      </c>
      <c r="AF342" t="s">
        <v>867</v>
      </c>
      <c r="AG342" t="s">
        <v>868</v>
      </c>
      <c r="AI342" t="s">
        <v>869</v>
      </c>
      <c r="AJ342" t="s">
        <v>865</v>
      </c>
      <c r="AK342" t="str">
        <f>"SUITE 320"</f>
        <v>SUITE 320</v>
      </c>
      <c r="AL342" t="s">
        <v>866</v>
      </c>
      <c r="AM342" t="s">
        <v>195</v>
      </c>
      <c r="AN342" s="3">
        <v>20850</v>
      </c>
      <c r="AO342" t="s">
        <v>101</v>
      </c>
      <c r="AQ342" t="str">
        <f>"+13012319083"</f>
        <v>+13012319083</v>
      </c>
      <c r="AS342" t="s">
        <v>870</v>
      </c>
      <c r="AT342" t="s">
        <v>107</v>
      </c>
      <c r="AU342" t="str">
        <f>"CHOWDHURY"</f>
        <v>CHOWDHURY</v>
      </c>
      <c r="AV342" t="str">
        <f>"ANINDITA"</f>
        <v>ANINDITA</v>
      </c>
      <c r="AW342" t="str">
        <f>"A"</f>
        <v>A</v>
      </c>
      <c r="AX342" t="str">
        <f>"6720-B Rockledge Drive"</f>
        <v>6720-B Rockledge Drive</v>
      </c>
      <c r="AY342" t="str">
        <f>"Suite 430"</f>
        <v>Suite 430</v>
      </c>
      <c r="AZ342" t="str">
        <f>"Bethesda"</f>
        <v>Bethesda</v>
      </c>
      <c r="BA342" t="str">
        <f>"MD"</f>
        <v>MD</v>
      </c>
      <c r="BB342" s="3">
        <v>20817</v>
      </c>
      <c r="BC342" t="str">
        <f>"UNITED STATES OF AMERICA"</f>
        <v>UNITED STATES OF AMERICA</v>
      </c>
      <c r="BD342" t="str">
        <f>""</f>
        <v/>
      </c>
      <c r="BE342" t="str">
        <f>"+12026184540"</f>
        <v>+12026184540</v>
      </c>
      <c r="BF342" t="str">
        <f>""</f>
        <v/>
      </c>
      <c r="BG342" t="str">
        <f>"ANINDITA@USILAW.COM"</f>
        <v>ANINDITA@USILAW.COM</v>
      </c>
      <c r="BH342" t="str">
        <f>"USILAW, INC"</f>
        <v>USILAW, INC</v>
      </c>
      <c r="BI342" t="str">
        <f>"DC"</f>
        <v>DC</v>
      </c>
      <c r="BJ342" t="str">
        <f>"COURT OF APPEALS"</f>
        <v>COURT OF APPEALS</v>
      </c>
      <c r="BK342">
        <v>1</v>
      </c>
      <c r="BL342" t="s">
        <v>107</v>
      </c>
      <c r="BM342" t="str">
        <f>"Southern California Edison"</f>
        <v>Southern California Edison</v>
      </c>
      <c r="BN342" t="s">
        <v>12051</v>
      </c>
      <c r="BP342" t="s">
        <v>5910</v>
      </c>
      <c r="BQ342" t="s">
        <v>365</v>
      </c>
      <c r="BR342" t="s">
        <v>141</v>
      </c>
      <c r="BS342" s="5">
        <v>91770</v>
      </c>
      <c r="BT342" s="2">
        <v>81078</v>
      </c>
      <c r="BU342" s="2">
        <v>100200</v>
      </c>
      <c r="BV342" t="s">
        <v>105</v>
      </c>
      <c r="BW342" s="2">
        <v>81078</v>
      </c>
      <c r="BX342" t="s">
        <v>105</v>
      </c>
      <c r="BZ342" t="s">
        <v>123</v>
      </c>
      <c r="CA342" t="str">
        <f t="shared" si="16"/>
        <v>7/1/2020 - 6/30/2021</v>
      </c>
      <c r="CF342">
        <v>1</v>
      </c>
      <c r="CG342" t="s">
        <v>98</v>
      </c>
      <c r="CH342" t="s">
        <v>98</v>
      </c>
      <c r="CI342" t="s">
        <v>206</v>
      </c>
      <c r="CJ342" t="s">
        <v>98</v>
      </c>
      <c r="CK342" t="s">
        <v>12323</v>
      </c>
      <c r="CL342" t="s">
        <v>108</v>
      </c>
      <c r="CM342" t="s">
        <v>109</v>
      </c>
      <c r="CN342" t="str">
        <f>""</f>
        <v/>
      </c>
      <c r="CO342" t="str">
        <f>""</f>
        <v/>
      </c>
      <c r="CP342" t="str">
        <f>""</f>
        <v/>
      </c>
      <c r="CQ342" t="str">
        <f>""</f>
        <v/>
      </c>
    </row>
    <row r="343" spans="1:96" x14ac:dyDescent="0.2">
      <c r="A343" t="s">
        <v>12091</v>
      </c>
      <c r="B343" t="s">
        <v>96</v>
      </c>
      <c r="C343" s="1">
        <v>44098</v>
      </c>
      <c r="D343" s="1">
        <v>44105</v>
      </c>
      <c r="F343" t="s">
        <v>97</v>
      </c>
      <c r="G343" t="str">
        <f>"Applications Consultant 3"</f>
        <v>Applications Consultant 3</v>
      </c>
      <c r="H343" t="s">
        <v>12169</v>
      </c>
      <c r="I343" t="s">
        <v>124</v>
      </c>
      <c r="J343" t="s">
        <v>98</v>
      </c>
      <c r="K343" s="1">
        <v>44103</v>
      </c>
      <c r="L343" s="1">
        <v>45197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 t="s">
        <v>1383</v>
      </c>
      <c r="U343" t="str">
        <f>""</f>
        <v/>
      </c>
      <c r="V343" t="s">
        <v>1829</v>
      </c>
      <c r="W343" t="str">
        <f>"Suite 300"</f>
        <v>Suite 300</v>
      </c>
      <c r="X343" t="s">
        <v>1830</v>
      </c>
      <c r="Y343" t="s">
        <v>345</v>
      </c>
      <c r="Z343" s="3">
        <v>60606</v>
      </c>
      <c r="AA343" t="s">
        <v>101</v>
      </c>
      <c r="AC343" s="4" t="str">
        <f>"+13133955000"</f>
        <v>+13133955000</v>
      </c>
      <c r="AE343" t="str">
        <f>"5416"</f>
        <v>5416</v>
      </c>
      <c r="AF343" t="s">
        <v>1385</v>
      </c>
      <c r="AG343" t="s">
        <v>1386</v>
      </c>
      <c r="AH343" t="s">
        <v>108</v>
      </c>
      <c r="AI343" t="s">
        <v>1318</v>
      </c>
      <c r="AJ343" t="s">
        <v>1829</v>
      </c>
      <c r="AK343" t="str">
        <f>"Suite 300"</f>
        <v>Suite 300</v>
      </c>
      <c r="AL343" t="s">
        <v>833</v>
      </c>
      <c r="AM343" t="s">
        <v>345</v>
      </c>
      <c r="AN343" s="3">
        <v>60606</v>
      </c>
      <c r="AO343" t="s">
        <v>101</v>
      </c>
      <c r="AQ343" t="str">
        <f>"+13123955000"</f>
        <v>+13123955000</v>
      </c>
      <c r="AS343" t="s">
        <v>1831</v>
      </c>
      <c r="AT343" t="s">
        <v>107</v>
      </c>
      <c r="AU343" t="str">
        <f>"Kulikowska"</f>
        <v>Kulikowska</v>
      </c>
      <c r="AV343" t="str">
        <f>"Mariana"</f>
        <v>Mariana</v>
      </c>
      <c r="AW343" t="str">
        <f>"N/A"</f>
        <v>N/A</v>
      </c>
      <c r="AX343" t="str">
        <f>"5250 Corporate Drive"</f>
        <v>5250 Corporate Drive</v>
      </c>
      <c r="AY343" t="str">
        <f>"Suite 300"</f>
        <v>Suite 300</v>
      </c>
      <c r="AZ343" t="str">
        <f>"Troy"</f>
        <v>Troy</v>
      </c>
      <c r="BA343" t="str">
        <f>"MI"</f>
        <v>MI</v>
      </c>
      <c r="BB343" s="3">
        <v>48098</v>
      </c>
      <c r="BC343" t="str">
        <f>"UNITED STATES OF AMERICA"</f>
        <v>UNITED STATES OF AMERICA</v>
      </c>
      <c r="BD343" t="str">
        <f>""</f>
        <v/>
      </c>
      <c r="BE343" t="str">
        <f>"+12486434900"</f>
        <v>+12486434900</v>
      </c>
      <c r="BF343" t="str">
        <f>""</f>
        <v/>
      </c>
      <c r="BG343" t="str">
        <f>"rupali@employmentimmigration.com"</f>
        <v>rupali@employmentimmigration.com</v>
      </c>
      <c r="BH343" t="str">
        <f>"Fakhoury Global Immigration, USA PC"</f>
        <v>Fakhoury Global Immigration, USA PC</v>
      </c>
      <c r="BI343" t="str">
        <f>"MI"</f>
        <v>MI</v>
      </c>
      <c r="BJ343" t="str">
        <f>"Supreme Court"</f>
        <v>Supreme Court</v>
      </c>
      <c r="BK343">
        <v>1</v>
      </c>
      <c r="BL343" t="s">
        <v>102</v>
      </c>
      <c r="BM343" t="str">
        <f>""</f>
        <v/>
      </c>
      <c r="BN343" t="s">
        <v>8373</v>
      </c>
      <c r="BO343" t="s">
        <v>1162</v>
      </c>
      <c r="BP343" t="s">
        <v>394</v>
      </c>
      <c r="BQ343" t="s">
        <v>395</v>
      </c>
      <c r="BR343" t="s">
        <v>114</v>
      </c>
      <c r="BS343" s="5">
        <v>77056</v>
      </c>
      <c r="BT343" s="2">
        <v>175000</v>
      </c>
      <c r="BV343" t="s">
        <v>105</v>
      </c>
      <c r="BW343" s="2">
        <v>106662</v>
      </c>
      <c r="BX343" t="s">
        <v>105</v>
      </c>
      <c r="BZ343" t="s">
        <v>123</v>
      </c>
      <c r="CA343" t="str">
        <f t="shared" si="16"/>
        <v>7/1/2020 - 6/30/2021</v>
      </c>
      <c r="CF343">
        <v>2</v>
      </c>
      <c r="CG343" t="s">
        <v>98</v>
      </c>
      <c r="CH343" t="s">
        <v>98</v>
      </c>
      <c r="CI343" t="s">
        <v>206</v>
      </c>
      <c r="CJ343" t="s">
        <v>98</v>
      </c>
      <c r="CK343" t="s">
        <v>12323</v>
      </c>
      <c r="CL343" t="s">
        <v>108</v>
      </c>
      <c r="CM343" t="s">
        <v>109</v>
      </c>
      <c r="CN343" t="str">
        <f>"Kulikowska"</f>
        <v>Kulikowska</v>
      </c>
      <c r="CO343" t="str">
        <f>"Mariana"</f>
        <v>Mariana</v>
      </c>
      <c r="CP343" t="str">
        <f>"N/A"</f>
        <v>N/A</v>
      </c>
      <c r="CQ343" t="str">
        <f>"Fakhoury Global Immigration, USA PC"</f>
        <v>Fakhoury Global Immigration, USA PC</v>
      </c>
      <c r="CR343" t="s">
        <v>12092</v>
      </c>
    </row>
    <row r="344" spans="1:96" x14ac:dyDescent="0.2">
      <c r="A344" t="s">
        <v>12093</v>
      </c>
      <c r="B344" t="s">
        <v>96</v>
      </c>
      <c r="C344" s="1">
        <v>44098</v>
      </c>
      <c r="D344" s="1">
        <v>44105</v>
      </c>
      <c r="F344" t="s">
        <v>97</v>
      </c>
      <c r="G344" t="str">
        <f>"Senior Systems Analyst JC60"</f>
        <v>Senior Systems Analyst JC60</v>
      </c>
      <c r="H344" t="s">
        <v>12181</v>
      </c>
      <c r="I344" t="s">
        <v>110</v>
      </c>
      <c r="J344" t="s">
        <v>98</v>
      </c>
      <c r="K344" s="1">
        <v>44107</v>
      </c>
      <c r="L344" s="1">
        <v>45201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 t="s">
        <v>111</v>
      </c>
      <c r="U344" t="str">
        <f>"CTSUS"</f>
        <v>CTSUS</v>
      </c>
      <c r="V344" t="s">
        <v>112</v>
      </c>
      <c r="W344" t="str">
        <f>""</f>
        <v/>
      </c>
      <c r="X344" t="s">
        <v>113</v>
      </c>
      <c r="Y344" t="s">
        <v>114</v>
      </c>
      <c r="Z344" s="3">
        <v>77845</v>
      </c>
      <c r="AA344" t="s">
        <v>101</v>
      </c>
      <c r="AB344" t="s">
        <v>114</v>
      </c>
      <c r="AC344" s="4" t="str">
        <f>"+19793296682"</f>
        <v>+19793296682</v>
      </c>
      <c r="AE344" t="str">
        <f>"541512"</f>
        <v>541512</v>
      </c>
      <c r="AF344" t="s">
        <v>115</v>
      </c>
      <c r="AG344" t="s">
        <v>116</v>
      </c>
      <c r="AH344" t="s">
        <v>108</v>
      </c>
      <c r="AI344" t="s">
        <v>117</v>
      </c>
      <c r="AJ344" t="s">
        <v>118</v>
      </c>
      <c r="AK344" t="str">
        <f>""</f>
        <v/>
      </c>
      <c r="AL344" t="s">
        <v>119</v>
      </c>
      <c r="AM344" t="s">
        <v>114</v>
      </c>
      <c r="AN344" s="3">
        <v>77845</v>
      </c>
      <c r="AO344" t="s">
        <v>101</v>
      </c>
      <c r="AQ344" t="str">
        <f>"+19793296682"</f>
        <v>+19793296682</v>
      </c>
      <c r="AS344" t="s">
        <v>120</v>
      </c>
      <c r="AT344" t="s">
        <v>102</v>
      </c>
      <c r="AU344" t="str">
        <f>""</f>
        <v/>
      </c>
      <c r="AV344" t="str">
        <f>""</f>
        <v/>
      </c>
      <c r="AW344" t="str">
        <f>""</f>
        <v/>
      </c>
      <c r="AX344" t="str">
        <f>""</f>
        <v/>
      </c>
      <c r="AY344" t="str">
        <f>""</f>
        <v/>
      </c>
      <c r="AZ344" t="str">
        <f>""</f>
        <v/>
      </c>
      <c r="BA344" t="str">
        <f>""</f>
        <v/>
      </c>
      <c r="BC344" t="str">
        <f>""</f>
        <v/>
      </c>
      <c r="BD344" t="str">
        <f>""</f>
        <v/>
      </c>
      <c r="BE344" t="str">
        <f>""</f>
        <v/>
      </c>
      <c r="BF344" t="str">
        <f>""</f>
        <v/>
      </c>
      <c r="BG344" t="str">
        <f>""</f>
        <v/>
      </c>
      <c r="BH344" t="str">
        <f>""</f>
        <v/>
      </c>
      <c r="BI344" t="str">
        <f>""</f>
        <v/>
      </c>
      <c r="BJ344" t="str">
        <f>""</f>
        <v/>
      </c>
      <c r="BK344">
        <v>1</v>
      </c>
      <c r="BL344" t="s">
        <v>107</v>
      </c>
      <c r="BM344" t="str">
        <f>"Comerica Bank"</f>
        <v>Comerica Bank</v>
      </c>
      <c r="BN344" t="s">
        <v>4184</v>
      </c>
      <c r="BP344" t="s">
        <v>2444</v>
      </c>
      <c r="BQ344" t="s">
        <v>719</v>
      </c>
      <c r="BR344" t="s">
        <v>265</v>
      </c>
      <c r="BS344" s="5">
        <v>48326</v>
      </c>
      <c r="BT344" s="2">
        <v>75213</v>
      </c>
      <c r="BV344" t="s">
        <v>105</v>
      </c>
      <c r="BW344" s="2">
        <v>75213</v>
      </c>
      <c r="BX344" t="s">
        <v>105</v>
      </c>
      <c r="BZ344" t="s">
        <v>167</v>
      </c>
      <c r="CA344" t="str">
        <f t="shared" si="16"/>
        <v>7/1/2020 - 6/30/2021</v>
      </c>
      <c r="CF344">
        <v>1</v>
      </c>
      <c r="CG344" t="s">
        <v>98</v>
      </c>
      <c r="CH344" t="s">
        <v>98</v>
      </c>
      <c r="CI344" t="s">
        <v>206</v>
      </c>
      <c r="CJ344" t="s">
        <v>98</v>
      </c>
      <c r="CK344" t="s">
        <v>12323</v>
      </c>
      <c r="CL344" t="s">
        <v>108</v>
      </c>
      <c r="CM344" t="s">
        <v>109</v>
      </c>
      <c r="CN344" t="str">
        <f>""</f>
        <v/>
      </c>
      <c r="CO344" t="str">
        <f>""</f>
        <v/>
      </c>
      <c r="CP344" t="str">
        <f>""</f>
        <v/>
      </c>
      <c r="CQ344" t="str">
        <f>""</f>
        <v/>
      </c>
    </row>
    <row r="345" spans="1:96" x14ac:dyDescent="0.2">
      <c r="A345" t="s">
        <v>12102</v>
      </c>
      <c r="B345" t="s">
        <v>96</v>
      </c>
      <c r="C345" s="1">
        <v>44098</v>
      </c>
      <c r="D345" s="1">
        <v>44105</v>
      </c>
      <c r="F345" t="s">
        <v>97</v>
      </c>
      <c r="G345" t="str">
        <f>"Manager JC50"</f>
        <v>Manager JC50</v>
      </c>
      <c r="H345" t="s">
        <v>12181</v>
      </c>
      <c r="I345" t="s">
        <v>110</v>
      </c>
      <c r="J345" t="s">
        <v>98</v>
      </c>
      <c r="K345" s="1">
        <v>44106</v>
      </c>
      <c r="L345" s="1">
        <v>45200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 t="s">
        <v>111</v>
      </c>
      <c r="U345" t="str">
        <f>"CTSUS"</f>
        <v>CTSUS</v>
      </c>
      <c r="V345" t="s">
        <v>112</v>
      </c>
      <c r="W345" t="str">
        <f>""</f>
        <v/>
      </c>
      <c r="X345" t="s">
        <v>113</v>
      </c>
      <c r="Y345" t="s">
        <v>114</v>
      </c>
      <c r="Z345" s="3">
        <v>77845</v>
      </c>
      <c r="AA345" t="s">
        <v>101</v>
      </c>
      <c r="AB345" t="s">
        <v>114</v>
      </c>
      <c r="AC345" s="4" t="str">
        <f>"+19793296682"</f>
        <v>+19793296682</v>
      </c>
      <c r="AE345" t="str">
        <f>"541512"</f>
        <v>541512</v>
      </c>
      <c r="AF345" t="s">
        <v>115</v>
      </c>
      <c r="AG345" t="s">
        <v>116</v>
      </c>
      <c r="AH345" t="s">
        <v>108</v>
      </c>
      <c r="AI345" t="s">
        <v>117</v>
      </c>
      <c r="AJ345" t="s">
        <v>118</v>
      </c>
      <c r="AK345" t="str">
        <f>""</f>
        <v/>
      </c>
      <c r="AL345" t="s">
        <v>119</v>
      </c>
      <c r="AM345" t="s">
        <v>114</v>
      </c>
      <c r="AN345" s="3">
        <v>77845</v>
      </c>
      <c r="AO345" t="s">
        <v>101</v>
      </c>
      <c r="AQ345" t="str">
        <f>"+19793296682"</f>
        <v>+19793296682</v>
      </c>
      <c r="AS345" t="s">
        <v>120</v>
      </c>
      <c r="AT345" t="s">
        <v>102</v>
      </c>
      <c r="AU345" t="str">
        <f>""</f>
        <v/>
      </c>
      <c r="AV345" t="str">
        <f>""</f>
        <v/>
      </c>
      <c r="AW345" t="str">
        <f>""</f>
        <v/>
      </c>
      <c r="AX345" t="str">
        <f>""</f>
        <v/>
      </c>
      <c r="AY345" t="str">
        <f>""</f>
        <v/>
      </c>
      <c r="AZ345" t="str">
        <f>""</f>
        <v/>
      </c>
      <c r="BA345" t="str">
        <f>""</f>
        <v/>
      </c>
      <c r="BC345" t="str">
        <f>""</f>
        <v/>
      </c>
      <c r="BD345" t="str">
        <f>""</f>
        <v/>
      </c>
      <c r="BE345" t="str">
        <f>""</f>
        <v/>
      </c>
      <c r="BF345" t="str">
        <f>""</f>
        <v/>
      </c>
      <c r="BG345" t="str">
        <f>""</f>
        <v/>
      </c>
      <c r="BH345" t="str">
        <f>""</f>
        <v/>
      </c>
      <c r="BI345" t="str">
        <f>""</f>
        <v/>
      </c>
      <c r="BJ345" t="str">
        <f>""</f>
        <v/>
      </c>
      <c r="BK345">
        <v>1</v>
      </c>
      <c r="BL345" t="s">
        <v>107</v>
      </c>
      <c r="BM345" t="str">
        <f>"Trane Technologies"</f>
        <v>Trane Technologies</v>
      </c>
      <c r="BN345" t="s">
        <v>12103</v>
      </c>
      <c r="BP345" t="s">
        <v>1447</v>
      </c>
      <c r="BQ345" t="s">
        <v>121</v>
      </c>
      <c r="BR345" t="s">
        <v>122</v>
      </c>
      <c r="BS345" s="5">
        <v>28036</v>
      </c>
      <c r="BT345" s="2">
        <v>98114</v>
      </c>
      <c r="BV345" t="s">
        <v>105</v>
      </c>
      <c r="BW345" s="2">
        <v>98114</v>
      </c>
      <c r="BX345" t="s">
        <v>105</v>
      </c>
      <c r="BZ345" t="s">
        <v>123</v>
      </c>
      <c r="CA345" t="str">
        <f t="shared" si="16"/>
        <v>7/1/2020 - 6/30/2021</v>
      </c>
      <c r="CF345">
        <v>1</v>
      </c>
      <c r="CG345" t="s">
        <v>98</v>
      </c>
      <c r="CH345" t="s">
        <v>98</v>
      </c>
      <c r="CI345" t="s">
        <v>206</v>
      </c>
      <c r="CJ345" t="s">
        <v>98</v>
      </c>
      <c r="CK345" t="s">
        <v>12323</v>
      </c>
      <c r="CL345" t="s">
        <v>108</v>
      </c>
      <c r="CM345" t="s">
        <v>109</v>
      </c>
      <c r="CN345" t="str">
        <f>""</f>
        <v/>
      </c>
      <c r="CO345" t="str">
        <f>""</f>
        <v/>
      </c>
      <c r="CP345" t="str">
        <f>""</f>
        <v/>
      </c>
      <c r="CQ345" t="str">
        <f>""</f>
        <v/>
      </c>
    </row>
    <row r="346" spans="1:96" x14ac:dyDescent="0.2">
      <c r="A346" t="s">
        <v>12112</v>
      </c>
      <c r="B346" t="s">
        <v>96</v>
      </c>
      <c r="C346" s="1">
        <v>44098</v>
      </c>
      <c r="D346" s="1">
        <v>44105</v>
      </c>
      <c r="F346" t="s">
        <v>97</v>
      </c>
      <c r="G346" t="str">
        <f>"DevOps Engineer"</f>
        <v>DevOps Engineer</v>
      </c>
      <c r="H346" t="s">
        <v>12169</v>
      </c>
      <c r="I346" t="s">
        <v>124</v>
      </c>
      <c r="J346" t="s">
        <v>98</v>
      </c>
      <c r="K346" s="1">
        <v>44098</v>
      </c>
      <c r="L346" s="1">
        <v>45192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 t="s">
        <v>9243</v>
      </c>
      <c r="U346" t="str">
        <f>""</f>
        <v/>
      </c>
      <c r="V346" t="s">
        <v>9244</v>
      </c>
      <c r="W346" t="str">
        <f>"Suite 909"</f>
        <v>Suite 909</v>
      </c>
      <c r="X346" t="s">
        <v>9245</v>
      </c>
      <c r="Y346" t="s">
        <v>127</v>
      </c>
      <c r="Z346" s="3">
        <v>19006</v>
      </c>
      <c r="AA346" t="s">
        <v>101</v>
      </c>
      <c r="AC346" s="4" t="str">
        <f>"+12156605084"</f>
        <v>+12156605084</v>
      </c>
      <c r="AE346" t="str">
        <f>"541511"</f>
        <v>541511</v>
      </c>
      <c r="AF346" t="s">
        <v>9246</v>
      </c>
      <c r="AG346" t="s">
        <v>9247</v>
      </c>
      <c r="AI346" t="s">
        <v>298</v>
      </c>
      <c r="AJ346" t="s">
        <v>9244</v>
      </c>
      <c r="AK346" t="str">
        <f>"Suite 909"</f>
        <v>Suite 909</v>
      </c>
      <c r="AL346" t="s">
        <v>9245</v>
      </c>
      <c r="AM346" t="s">
        <v>127</v>
      </c>
      <c r="AN346" s="3">
        <v>19006</v>
      </c>
      <c r="AO346" t="s">
        <v>101</v>
      </c>
      <c r="AQ346" t="str">
        <f>"+12156605084"</f>
        <v>+12156605084</v>
      </c>
      <c r="AS346" t="s">
        <v>9248</v>
      </c>
      <c r="AT346" t="s">
        <v>107</v>
      </c>
      <c r="AU346" t="str">
        <f>"Nalliah"</f>
        <v>Nalliah</v>
      </c>
      <c r="AV346" t="str">
        <f>"Rajaguru"</f>
        <v>Rajaguru</v>
      </c>
      <c r="AW346" t="str">
        <f>""</f>
        <v/>
      </c>
      <c r="AX346" t="str">
        <f>"1231 Green way Drive "</f>
        <v xml:space="preserve">1231 Green way Drive </v>
      </c>
      <c r="AY346" t="str">
        <f>"Suite 210"</f>
        <v>Suite 210</v>
      </c>
      <c r="AZ346" t="str">
        <f>"Irving"</f>
        <v>Irving</v>
      </c>
      <c r="BA346" t="str">
        <f>"TX"</f>
        <v>TX</v>
      </c>
      <c r="BB346" s="3">
        <v>75038</v>
      </c>
      <c r="BC346" t="str">
        <f>"UNITED STATES OF AMERICA"</f>
        <v>UNITED STATES OF AMERICA</v>
      </c>
      <c r="BD346" t="str">
        <f>""</f>
        <v/>
      </c>
      <c r="BE346" t="str">
        <f>"+12489431444"</f>
        <v>+12489431444</v>
      </c>
      <c r="BF346" t="str">
        <f>""</f>
        <v/>
      </c>
      <c r="BG346" t="str">
        <f>"LCA@IMMLAWS.COM"</f>
        <v>LCA@IMMLAWS.COM</v>
      </c>
      <c r="BH346" t="str">
        <f>"IMM Laws"</f>
        <v>IMM Laws</v>
      </c>
      <c r="BI346" t="str">
        <f>"OH"</f>
        <v>OH</v>
      </c>
      <c r="BJ346" t="str">
        <f>"Supreme court of Ohio"</f>
        <v>Supreme court of Ohio</v>
      </c>
      <c r="BK346">
        <v>1</v>
      </c>
      <c r="BL346" t="s">
        <v>107</v>
      </c>
      <c r="BM346" t="str">
        <f>"Humana Inc."</f>
        <v>Humana Inc.</v>
      </c>
      <c r="BN346" t="s">
        <v>5504</v>
      </c>
      <c r="BP346" t="s">
        <v>368</v>
      </c>
      <c r="BQ346" t="s">
        <v>369</v>
      </c>
      <c r="BR346" t="s">
        <v>370</v>
      </c>
      <c r="BS346" s="5">
        <v>40202</v>
      </c>
      <c r="BT346" s="2">
        <v>89773</v>
      </c>
      <c r="BV346" t="s">
        <v>105</v>
      </c>
      <c r="BW346" s="2">
        <v>73757</v>
      </c>
      <c r="BX346" t="s">
        <v>105</v>
      </c>
      <c r="BZ346" t="s">
        <v>167</v>
      </c>
      <c r="CA346" t="str">
        <f t="shared" si="16"/>
        <v>7/1/2020 - 6/30/2021</v>
      </c>
      <c r="CF346">
        <v>2</v>
      </c>
      <c r="CG346" t="s">
        <v>98</v>
      </c>
      <c r="CH346" t="s">
        <v>98</v>
      </c>
      <c r="CI346" t="s">
        <v>206</v>
      </c>
      <c r="CJ346" t="s">
        <v>98</v>
      </c>
      <c r="CK346" t="s">
        <v>12323</v>
      </c>
      <c r="CL346" t="s">
        <v>108</v>
      </c>
      <c r="CM346" t="s">
        <v>109</v>
      </c>
      <c r="CN346" t="str">
        <f>"Nalliah"</f>
        <v>Nalliah</v>
      </c>
      <c r="CO346" t="str">
        <f>"Rajaguru"</f>
        <v>Rajaguru</v>
      </c>
      <c r="CP346" t="str">
        <f>""</f>
        <v/>
      </c>
      <c r="CQ346" t="str">
        <f>"Immlaws"</f>
        <v>Immlaws</v>
      </c>
      <c r="CR346" t="s">
        <v>2914</v>
      </c>
    </row>
    <row r="347" spans="1:96" x14ac:dyDescent="0.2">
      <c r="A347" t="s">
        <v>12113</v>
      </c>
      <c r="B347" t="s">
        <v>96</v>
      </c>
      <c r="C347" s="1">
        <v>44098</v>
      </c>
      <c r="D347" s="1">
        <v>44105</v>
      </c>
      <c r="F347" t="s">
        <v>97</v>
      </c>
      <c r="G347" t="str">
        <f>"Consultant - US "</f>
        <v xml:space="preserve">Consultant - US </v>
      </c>
      <c r="H347" t="s">
        <v>12168</v>
      </c>
      <c r="I347" t="s">
        <v>367</v>
      </c>
      <c r="J347" t="s">
        <v>98</v>
      </c>
      <c r="K347" s="1">
        <v>44109</v>
      </c>
      <c r="L347" s="1">
        <v>45201</v>
      </c>
      <c r="M347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</v>
      </c>
      <c r="T347" t="s">
        <v>723</v>
      </c>
      <c r="U347" t="str">
        <f>""</f>
        <v/>
      </c>
      <c r="V347" t="s">
        <v>724</v>
      </c>
      <c r="W347" t="str">
        <f>"STE C150"</f>
        <v>STE C150</v>
      </c>
      <c r="X347" t="s">
        <v>725</v>
      </c>
      <c r="Y347" t="s">
        <v>114</v>
      </c>
      <c r="Z347" s="3">
        <v>75082</v>
      </c>
      <c r="AA347" t="s">
        <v>101</v>
      </c>
      <c r="AC347" s="4" t="str">
        <f>"+12143062100"</f>
        <v>+12143062100</v>
      </c>
      <c r="AE347" t="str">
        <f>"541511"</f>
        <v>541511</v>
      </c>
      <c r="AF347" t="s">
        <v>726</v>
      </c>
      <c r="AG347" t="s">
        <v>727</v>
      </c>
      <c r="AI347" t="s">
        <v>728</v>
      </c>
      <c r="AJ347" t="s">
        <v>724</v>
      </c>
      <c r="AK347" t="str">
        <f>"STE C150"</f>
        <v>STE C150</v>
      </c>
      <c r="AL347" t="s">
        <v>725</v>
      </c>
      <c r="AM347" t="s">
        <v>114</v>
      </c>
      <c r="AN347" s="3">
        <v>75082</v>
      </c>
      <c r="AO347" t="s">
        <v>101</v>
      </c>
      <c r="AQ347" t="str">
        <f>"+12143062100"</f>
        <v>+12143062100</v>
      </c>
      <c r="AS347" t="s">
        <v>729</v>
      </c>
      <c r="AT347" t="s">
        <v>102</v>
      </c>
      <c r="AU347" t="str">
        <f>""</f>
        <v/>
      </c>
      <c r="AV347" t="str">
        <f>""</f>
        <v/>
      </c>
      <c r="AW347" t="str">
        <f>""</f>
        <v/>
      </c>
      <c r="AX347" t="str">
        <f>""</f>
        <v/>
      </c>
      <c r="AY347" t="str">
        <f>""</f>
        <v/>
      </c>
      <c r="AZ347" t="str">
        <f>""</f>
        <v/>
      </c>
      <c r="BA347" t="str">
        <f>""</f>
        <v/>
      </c>
      <c r="BC347" t="str">
        <f>""</f>
        <v/>
      </c>
      <c r="BD347" t="str">
        <f>""</f>
        <v/>
      </c>
      <c r="BE347" t="str">
        <f>""</f>
        <v/>
      </c>
      <c r="BF347" t="str">
        <f>""</f>
        <v/>
      </c>
      <c r="BG347" t="str">
        <f>""</f>
        <v/>
      </c>
      <c r="BH347" t="str">
        <f>""</f>
        <v/>
      </c>
      <c r="BI347" t="str">
        <f>""</f>
        <v/>
      </c>
      <c r="BJ347" t="str">
        <f>""</f>
        <v/>
      </c>
      <c r="BK347">
        <v>5</v>
      </c>
      <c r="BL347" t="s">
        <v>107</v>
      </c>
      <c r="BM347" t="str">
        <f>"The Travelers Indemnity Company"</f>
        <v>The Travelers Indemnity Company</v>
      </c>
      <c r="BN347" t="s">
        <v>2327</v>
      </c>
      <c r="BP347" t="s">
        <v>10329</v>
      </c>
      <c r="BQ347" t="s">
        <v>547</v>
      </c>
      <c r="BR347" t="s">
        <v>280</v>
      </c>
      <c r="BS347" s="5">
        <v>6183</v>
      </c>
      <c r="BT347" s="2">
        <v>72384</v>
      </c>
      <c r="BU347" s="2">
        <v>92506</v>
      </c>
      <c r="BV347" t="s">
        <v>105</v>
      </c>
      <c r="BW347" s="2">
        <v>72384</v>
      </c>
      <c r="BX347" t="s">
        <v>105</v>
      </c>
      <c r="BZ347" t="s">
        <v>167</v>
      </c>
      <c r="CA347" t="str">
        <f t="shared" si="16"/>
        <v>7/1/2020 - 6/30/2021</v>
      </c>
      <c r="CF347">
        <v>1</v>
      </c>
      <c r="CG347" t="s">
        <v>98</v>
      </c>
      <c r="CH347" t="s">
        <v>98</v>
      </c>
      <c r="CI347" t="s">
        <v>206</v>
      </c>
      <c r="CJ347" t="s">
        <v>98</v>
      </c>
      <c r="CK347" t="s">
        <v>12323</v>
      </c>
      <c r="CL347" t="s">
        <v>108</v>
      </c>
      <c r="CM347" t="s">
        <v>109</v>
      </c>
      <c r="CN347" t="str">
        <f>"Khanum"</f>
        <v>Khanum</v>
      </c>
      <c r="CO347" t="str">
        <f>"Hajeera"</f>
        <v>Hajeera</v>
      </c>
      <c r="CP347" t="str">
        <f>""</f>
        <v/>
      </c>
      <c r="CQ347" t="str">
        <f>"Infosys Limited"</f>
        <v>Infosys Limited</v>
      </c>
      <c r="CR347" t="s">
        <v>900</v>
      </c>
    </row>
    <row r="348" spans="1:96" x14ac:dyDescent="0.2">
      <c r="A348" t="s">
        <v>12122</v>
      </c>
      <c r="B348" t="s">
        <v>96</v>
      </c>
      <c r="C348" s="1">
        <v>44098</v>
      </c>
      <c r="D348" s="1">
        <v>44105</v>
      </c>
      <c r="F348" t="s">
        <v>97</v>
      </c>
      <c r="G348" t="str">
        <f>"SOFTWARE ENGINEER"</f>
        <v>SOFTWARE ENGINEER</v>
      </c>
      <c r="H348" t="s">
        <v>12169</v>
      </c>
      <c r="I348" t="s">
        <v>124</v>
      </c>
      <c r="J348" t="s">
        <v>98</v>
      </c>
      <c r="K348" s="1">
        <v>44109</v>
      </c>
      <c r="L348" s="1">
        <v>45203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 t="s">
        <v>3527</v>
      </c>
      <c r="U348" t="str">
        <f>""</f>
        <v/>
      </c>
      <c r="V348" t="s">
        <v>3528</v>
      </c>
      <c r="W348" t="str">
        <f>"SUITE 249"</f>
        <v>SUITE 249</v>
      </c>
      <c r="X348" t="s">
        <v>3529</v>
      </c>
      <c r="Y348" t="s">
        <v>141</v>
      </c>
      <c r="Z348" s="3">
        <v>95207</v>
      </c>
      <c r="AA348" t="s">
        <v>101</v>
      </c>
      <c r="AC348" s="4" t="str">
        <f>"+19252186919"</f>
        <v>+19252186919</v>
      </c>
      <c r="AE348" t="str">
        <f>"541511"</f>
        <v>541511</v>
      </c>
      <c r="AF348" t="s">
        <v>3530</v>
      </c>
      <c r="AG348" t="s">
        <v>3531</v>
      </c>
      <c r="AH348" t="s">
        <v>206</v>
      </c>
      <c r="AI348" t="s">
        <v>3532</v>
      </c>
      <c r="AJ348" t="s">
        <v>3528</v>
      </c>
      <c r="AK348" t="str">
        <f>"SUITE 249"</f>
        <v>SUITE 249</v>
      </c>
      <c r="AL348" t="s">
        <v>3529</v>
      </c>
      <c r="AM348" t="s">
        <v>141</v>
      </c>
      <c r="AN348" s="3">
        <v>95207</v>
      </c>
      <c r="AO348" t="s">
        <v>101</v>
      </c>
      <c r="AQ348" t="str">
        <f>"+19252186919"</f>
        <v>+19252186919</v>
      </c>
      <c r="AS348" t="s">
        <v>3533</v>
      </c>
      <c r="AT348" t="s">
        <v>102</v>
      </c>
      <c r="AU348" t="str">
        <f>""</f>
        <v/>
      </c>
      <c r="AV348" t="str">
        <f>""</f>
        <v/>
      </c>
      <c r="AW348" t="str">
        <f>""</f>
        <v/>
      </c>
      <c r="AX348" t="str">
        <f>""</f>
        <v/>
      </c>
      <c r="AY348" t="str">
        <f>""</f>
        <v/>
      </c>
      <c r="AZ348" t="str">
        <f>""</f>
        <v/>
      </c>
      <c r="BA348" t="str">
        <f>""</f>
        <v/>
      </c>
      <c r="BC348" t="str">
        <f>""</f>
        <v/>
      </c>
      <c r="BD348" t="str">
        <f>""</f>
        <v/>
      </c>
      <c r="BE348" t="str">
        <f>""</f>
        <v/>
      </c>
      <c r="BF348" t="str">
        <f>""</f>
        <v/>
      </c>
      <c r="BG348" t="str">
        <f>""</f>
        <v/>
      </c>
      <c r="BH348" t="str">
        <f>""</f>
        <v/>
      </c>
      <c r="BI348" t="str">
        <f>""</f>
        <v/>
      </c>
      <c r="BJ348" t="str">
        <f>""</f>
        <v/>
      </c>
      <c r="BK348">
        <v>1</v>
      </c>
      <c r="BL348" t="s">
        <v>107</v>
      </c>
      <c r="BM348" t="str">
        <f>"LABORATORY CORPORATION OF AMERICA HOLDINGS"</f>
        <v>LABORATORY CORPORATION OF AMERICA HOLDINGS</v>
      </c>
      <c r="BN348" t="s">
        <v>12123</v>
      </c>
      <c r="BP348" t="s">
        <v>682</v>
      </c>
      <c r="BQ348" t="s">
        <v>6166</v>
      </c>
      <c r="BR348" t="s">
        <v>122</v>
      </c>
      <c r="BS348" s="5">
        <v>27215</v>
      </c>
      <c r="BT348" s="2">
        <v>75000</v>
      </c>
      <c r="BV348" t="s">
        <v>105</v>
      </c>
      <c r="BW348" s="2">
        <v>72218</v>
      </c>
      <c r="BX348" t="s">
        <v>105</v>
      </c>
      <c r="BZ348" t="s">
        <v>167</v>
      </c>
      <c r="CA348" t="str">
        <f t="shared" si="16"/>
        <v>7/1/2020 - 6/30/2021</v>
      </c>
      <c r="CF348">
        <v>1</v>
      </c>
      <c r="CG348" t="s">
        <v>98</v>
      </c>
      <c r="CH348" t="s">
        <v>98</v>
      </c>
      <c r="CI348" t="s">
        <v>206</v>
      </c>
      <c r="CJ348" t="s">
        <v>98</v>
      </c>
      <c r="CK348" t="s">
        <v>12323</v>
      </c>
      <c r="CL348" t="s">
        <v>108</v>
      </c>
      <c r="CM348" t="s">
        <v>109</v>
      </c>
      <c r="CN348" t="str">
        <f>""</f>
        <v/>
      </c>
      <c r="CO348" t="str">
        <f>""</f>
        <v/>
      </c>
      <c r="CP348" t="str">
        <f>""</f>
        <v/>
      </c>
      <c r="CQ348" t="str">
        <f>""</f>
        <v/>
      </c>
    </row>
    <row r="349" spans="1:96" x14ac:dyDescent="0.2">
      <c r="A349" t="s">
        <v>12131</v>
      </c>
      <c r="B349" t="s">
        <v>96</v>
      </c>
      <c r="C349" s="1">
        <v>44098</v>
      </c>
      <c r="D349" s="1">
        <v>44105</v>
      </c>
      <c r="F349" t="s">
        <v>97</v>
      </c>
      <c r="G349" t="str">
        <f>"DATA ENGINEER"</f>
        <v>DATA ENGINEER</v>
      </c>
      <c r="H349" t="s">
        <v>12168</v>
      </c>
      <c r="I349" t="s">
        <v>1844</v>
      </c>
      <c r="J349" t="s">
        <v>98</v>
      </c>
      <c r="K349" s="1">
        <v>44105</v>
      </c>
      <c r="L349" s="1">
        <v>45200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 t="s">
        <v>1321</v>
      </c>
      <c r="U349" t="str">
        <f>""</f>
        <v/>
      </c>
      <c r="V349" t="s">
        <v>1322</v>
      </c>
      <c r="W349" t="str">
        <f>"ALSO KNOWN AS *1601 WILLOW ROAD"</f>
        <v>ALSO KNOWN AS *1601 WILLOW ROAD</v>
      </c>
      <c r="X349" t="s">
        <v>468</v>
      </c>
      <c r="Y349" t="s">
        <v>141</v>
      </c>
      <c r="Z349" s="3">
        <v>94025</v>
      </c>
      <c r="AA349" t="s">
        <v>101</v>
      </c>
      <c r="AC349" s="4" t="str">
        <f>"+14085335781"</f>
        <v>+14085335781</v>
      </c>
      <c r="AE349" t="str">
        <f>"51913"</f>
        <v>51913</v>
      </c>
      <c r="AF349" t="s">
        <v>469</v>
      </c>
      <c r="AG349" t="s">
        <v>470</v>
      </c>
      <c r="AI349" t="s">
        <v>471</v>
      </c>
      <c r="AJ349" t="s">
        <v>1322</v>
      </c>
      <c r="AK349" t="str">
        <f>"ALSO KNOWN AS *1601 WILLOW ROAD"</f>
        <v>ALSO KNOWN AS *1601 WILLOW ROAD</v>
      </c>
      <c r="AL349" t="s">
        <v>468</v>
      </c>
      <c r="AM349" t="s">
        <v>141</v>
      </c>
      <c r="AN349" s="3">
        <v>94025</v>
      </c>
      <c r="AO349" t="s">
        <v>101</v>
      </c>
      <c r="AQ349" t="str">
        <f>"+14085335781"</f>
        <v>+14085335781</v>
      </c>
      <c r="AS349" t="s">
        <v>418</v>
      </c>
      <c r="AT349" t="s">
        <v>107</v>
      </c>
      <c r="AU349" t="str">
        <f>"Lee"</f>
        <v>Lee</v>
      </c>
      <c r="AV349" t="str">
        <f>"Morgan"</f>
        <v>Morgan</v>
      </c>
      <c r="AW349" t="str">
        <f>"Elyse"</f>
        <v>Elyse</v>
      </c>
      <c r="AX349" t="str">
        <f>"50 California Street"</f>
        <v>50 California Street</v>
      </c>
      <c r="AY349" t="str">
        <f>"2nd Floor"</f>
        <v>2nd Floor</v>
      </c>
      <c r="AZ349" t="str">
        <f>"San Francisco"</f>
        <v>San Francisco</v>
      </c>
      <c r="BA349" t="str">
        <f>"CA"</f>
        <v>CA</v>
      </c>
      <c r="BB349" s="3">
        <v>94111</v>
      </c>
      <c r="BC349" t="str">
        <f>"UNITED STATES OF AMERICA"</f>
        <v>UNITED STATES OF AMERICA</v>
      </c>
      <c r="BD349" t="str">
        <f>""</f>
        <v/>
      </c>
      <c r="BE349" t="str">
        <f>"+16282152800"</f>
        <v>+16282152800</v>
      </c>
      <c r="BF349" t="str">
        <f>""</f>
        <v/>
      </c>
      <c r="BG349" t="str">
        <f>"aagbisit@balglobal.com"</f>
        <v>aagbisit@balglobal.com</v>
      </c>
      <c r="BH349" t="str">
        <f>"Berry Appleman &amp; Leiden LLP"</f>
        <v>Berry Appleman &amp; Leiden LLP</v>
      </c>
      <c r="BI349" t="str">
        <f>"WA"</f>
        <v>WA</v>
      </c>
      <c r="BJ349" t="str">
        <f>"Washington Supreme Court"</f>
        <v>Washington Supreme Court</v>
      </c>
      <c r="BK349">
        <v>1</v>
      </c>
      <c r="BL349" t="s">
        <v>102</v>
      </c>
      <c r="BM349" t="str">
        <f>""</f>
        <v/>
      </c>
      <c r="BN349" t="s">
        <v>1415</v>
      </c>
      <c r="BO349" t="s">
        <v>8674</v>
      </c>
      <c r="BP349" t="s">
        <v>414</v>
      </c>
      <c r="BQ349" t="s">
        <v>994</v>
      </c>
      <c r="BR349" t="s">
        <v>141</v>
      </c>
      <c r="BS349" s="5">
        <v>94025</v>
      </c>
      <c r="BT349" s="2">
        <v>181269.22</v>
      </c>
      <c r="BV349" t="s">
        <v>105</v>
      </c>
      <c r="BW349" s="2">
        <v>145205</v>
      </c>
      <c r="BX349" t="s">
        <v>105</v>
      </c>
      <c r="BZ349" t="s">
        <v>159</v>
      </c>
      <c r="CA349" t="str">
        <f t="shared" si="16"/>
        <v>7/1/2020 - 6/30/2021</v>
      </c>
      <c r="CF349">
        <v>2</v>
      </c>
      <c r="CG349" t="s">
        <v>98</v>
      </c>
      <c r="CH349" t="s">
        <v>98</v>
      </c>
      <c r="CI349" t="s">
        <v>206</v>
      </c>
      <c r="CJ349" t="s">
        <v>98</v>
      </c>
      <c r="CK349" t="s">
        <v>12323</v>
      </c>
      <c r="CL349" t="s">
        <v>108</v>
      </c>
      <c r="CM349" t="s">
        <v>109</v>
      </c>
      <c r="CN349" t="str">
        <f>""</f>
        <v/>
      </c>
      <c r="CO349" t="str">
        <f>""</f>
        <v/>
      </c>
      <c r="CP349" t="str">
        <f>""</f>
        <v/>
      </c>
      <c r="CQ349" t="str">
        <f>""</f>
        <v/>
      </c>
    </row>
    <row r="350" spans="1:96" x14ac:dyDescent="0.2">
      <c r="A350" t="s">
        <v>12132</v>
      </c>
      <c r="B350" t="s">
        <v>96</v>
      </c>
      <c r="C350" s="1">
        <v>44098</v>
      </c>
      <c r="D350" s="1">
        <v>44105</v>
      </c>
      <c r="F350" t="s">
        <v>97</v>
      </c>
      <c r="G350" t="str">
        <f>"Senior Systems Analyst JC60"</f>
        <v>Senior Systems Analyst JC60</v>
      </c>
      <c r="H350" t="s">
        <v>12181</v>
      </c>
      <c r="I350" t="s">
        <v>110</v>
      </c>
      <c r="J350" t="s">
        <v>98</v>
      </c>
      <c r="K350" s="1">
        <v>44107</v>
      </c>
      <c r="L350" s="1">
        <v>45201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 t="s">
        <v>111</v>
      </c>
      <c r="U350" t="str">
        <f>"CTSUS"</f>
        <v>CTSUS</v>
      </c>
      <c r="V350" t="s">
        <v>112</v>
      </c>
      <c r="W350" t="str">
        <f>""</f>
        <v/>
      </c>
      <c r="X350" t="s">
        <v>113</v>
      </c>
      <c r="Y350" t="s">
        <v>114</v>
      </c>
      <c r="Z350" s="3">
        <v>77845</v>
      </c>
      <c r="AA350" t="s">
        <v>101</v>
      </c>
      <c r="AB350" t="s">
        <v>114</v>
      </c>
      <c r="AC350" s="4" t="str">
        <f>"+19793296682"</f>
        <v>+19793296682</v>
      </c>
      <c r="AE350" t="str">
        <f>"541512"</f>
        <v>541512</v>
      </c>
      <c r="AF350" t="s">
        <v>115</v>
      </c>
      <c r="AG350" t="s">
        <v>116</v>
      </c>
      <c r="AH350" t="s">
        <v>108</v>
      </c>
      <c r="AI350" t="s">
        <v>117</v>
      </c>
      <c r="AJ350" t="s">
        <v>118</v>
      </c>
      <c r="AK350" t="str">
        <f>""</f>
        <v/>
      </c>
      <c r="AL350" t="s">
        <v>119</v>
      </c>
      <c r="AM350" t="s">
        <v>114</v>
      </c>
      <c r="AN350" s="3">
        <v>77845</v>
      </c>
      <c r="AO350" t="s">
        <v>101</v>
      </c>
      <c r="AQ350" t="str">
        <f>"+19793296682"</f>
        <v>+19793296682</v>
      </c>
      <c r="AS350" t="s">
        <v>120</v>
      </c>
      <c r="AT350" t="s">
        <v>102</v>
      </c>
      <c r="AU350" t="str">
        <f>""</f>
        <v/>
      </c>
      <c r="AV350" t="str">
        <f>""</f>
        <v/>
      </c>
      <c r="AW350" t="str">
        <f>""</f>
        <v/>
      </c>
      <c r="AX350" t="str">
        <f>""</f>
        <v/>
      </c>
      <c r="AY350" t="str">
        <f>""</f>
        <v/>
      </c>
      <c r="AZ350" t="str">
        <f>""</f>
        <v/>
      </c>
      <c r="BA350" t="str">
        <f>""</f>
        <v/>
      </c>
      <c r="BC350" t="str">
        <f>""</f>
        <v/>
      </c>
      <c r="BD350" t="str">
        <f>""</f>
        <v/>
      </c>
      <c r="BE350" t="str">
        <f>""</f>
        <v/>
      </c>
      <c r="BF350" t="str">
        <f>""</f>
        <v/>
      </c>
      <c r="BG350" t="str">
        <f>""</f>
        <v/>
      </c>
      <c r="BH350" t="str">
        <f>""</f>
        <v/>
      </c>
      <c r="BI350" t="str">
        <f>""</f>
        <v/>
      </c>
      <c r="BJ350" t="str">
        <f>""</f>
        <v/>
      </c>
      <c r="BK350">
        <v>1</v>
      </c>
      <c r="BL350" t="s">
        <v>102</v>
      </c>
      <c r="BM350" t="str">
        <f>""</f>
        <v/>
      </c>
      <c r="BN350" t="s">
        <v>12133</v>
      </c>
      <c r="BP350" t="s">
        <v>6089</v>
      </c>
      <c r="BQ350" t="s">
        <v>104</v>
      </c>
      <c r="BR350" t="s">
        <v>100</v>
      </c>
      <c r="BS350" s="5">
        <v>8904</v>
      </c>
      <c r="BT350" s="2">
        <v>92269</v>
      </c>
      <c r="BV350" t="s">
        <v>105</v>
      </c>
      <c r="BW350" s="2">
        <v>92269</v>
      </c>
      <c r="BX350" t="s">
        <v>105</v>
      </c>
      <c r="BZ350" t="s">
        <v>167</v>
      </c>
      <c r="CA350" t="str">
        <f t="shared" si="16"/>
        <v>7/1/2020 - 6/30/2021</v>
      </c>
      <c r="CF350">
        <v>1</v>
      </c>
      <c r="CG350" t="s">
        <v>98</v>
      </c>
      <c r="CH350" t="s">
        <v>98</v>
      </c>
      <c r="CI350" t="s">
        <v>206</v>
      </c>
      <c r="CJ350" t="s">
        <v>98</v>
      </c>
      <c r="CK350" t="s">
        <v>12323</v>
      </c>
      <c r="CL350" t="s">
        <v>108</v>
      </c>
      <c r="CM350" t="s">
        <v>109</v>
      </c>
      <c r="CN350" t="str">
        <f>""</f>
        <v/>
      </c>
      <c r="CO350" t="str">
        <f>""</f>
        <v/>
      </c>
      <c r="CP350" t="str">
        <f>""</f>
        <v/>
      </c>
      <c r="CQ350" t="str">
        <f>""</f>
        <v/>
      </c>
    </row>
    <row r="351" spans="1:96" x14ac:dyDescent="0.2">
      <c r="A351" t="s">
        <v>12157</v>
      </c>
      <c r="B351" t="s">
        <v>96</v>
      </c>
      <c r="C351" s="1">
        <v>44098</v>
      </c>
      <c r="D351" s="1">
        <v>44105</v>
      </c>
      <c r="F351" t="s">
        <v>97</v>
      </c>
      <c r="G351" t="str">
        <f>"Software Engineer"</f>
        <v>Software Engineer</v>
      </c>
      <c r="H351" t="s">
        <v>12169</v>
      </c>
      <c r="I351" t="s">
        <v>124</v>
      </c>
      <c r="J351" t="s">
        <v>98</v>
      </c>
      <c r="K351" s="1">
        <v>44279</v>
      </c>
      <c r="L351" s="1">
        <v>45374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 t="s">
        <v>412</v>
      </c>
      <c r="U351" t="str">
        <f>""</f>
        <v/>
      </c>
      <c r="V351" t="s">
        <v>413</v>
      </c>
      <c r="W351" t="str">
        <f>"(*ALSO KNOWN AS 1601 WILLOW ROAD)"</f>
        <v>(*ALSO KNOWN AS 1601 WILLOW ROAD)</v>
      </c>
      <c r="X351" t="s">
        <v>414</v>
      </c>
      <c r="Y351" t="s">
        <v>141</v>
      </c>
      <c r="Z351" s="3">
        <v>94025</v>
      </c>
      <c r="AA351" t="s">
        <v>101</v>
      </c>
      <c r="AB351" t="s">
        <v>141</v>
      </c>
      <c r="AC351" s="4" t="str">
        <f>"+14085335781"</f>
        <v>+14085335781</v>
      </c>
      <c r="AE351" t="str">
        <f>"51913"</f>
        <v>51913</v>
      </c>
      <c r="AF351" t="s">
        <v>415</v>
      </c>
      <c r="AG351" t="s">
        <v>416</v>
      </c>
      <c r="AI351" t="s">
        <v>417</v>
      </c>
      <c r="AJ351" t="s">
        <v>413</v>
      </c>
      <c r="AK351" t="str">
        <f>"(*ALSO KNOWN AS 1601 WILLOW RD.*)"</f>
        <v>(*ALSO KNOWN AS 1601 WILLOW RD.*)</v>
      </c>
      <c r="AL351" t="s">
        <v>414</v>
      </c>
      <c r="AM351" t="s">
        <v>141</v>
      </c>
      <c r="AN351" s="3">
        <v>94025</v>
      </c>
      <c r="AO351" t="s">
        <v>101</v>
      </c>
      <c r="AQ351" t="str">
        <f>"+14085335781"</f>
        <v>+14085335781</v>
      </c>
      <c r="AS351" t="s">
        <v>418</v>
      </c>
      <c r="AT351" t="s">
        <v>107</v>
      </c>
      <c r="AU351" t="str">
        <f>"Nesch"</f>
        <v>Nesch</v>
      </c>
      <c r="AV351" t="str">
        <f>"Elena"</f>
        <v>Elena</v>
      </c>
      <c r="AW351" t="str">
        <f>"N/A"</f>
        <v>N/A</v>
      </c>
      <c r="AX351" t="str">
        <f>"2400 N. GLENVILLE DRIVE"</f>
        <v>2400 N. GLENVILLE DRIVE</v>
      </c>
      <c r="AY351" t="str">
        <f>"BUILDING A, SUITE 100"</f>
        <v>BUILDING A, SUITE 100</v>
      </c>
      <c r="AZ351" t="str">
        <f>"RICHARDSON"</f>
        <v>RICHARDSON</v>
      </c>
      <c r="BA351" t="str">
        <f>"TX"</f>
        <v>TX</v>
      </c>
      <c r="BB351" s="3">
        <v>75082</v>
      </c>
      <c r="BC351" t="str">
        <f>"UNITED STATES OF AMERICA"</f>
        <v>UNITED STATES OF AMERICA</v>
      </c>
      <c r="BD351" t="str">
        <f>""</f>
        <v/>
      </c>
      <c r="BE351" t="str">
        <f>"+14692909204"</f>
        <v>+14692909204</v>
      </c>
      <c r="BF351" t="str">
        <f>""</f>
        <v/>
      </c>
      <c r="BG351" t="str">
        <f>"slara@balglobal.com"</f>
        <v>slara@balglobal.com</v>
      </c>
      <c r="BH351" t="str">
        <f>"BERRY APPLEMAN &amp; LEIDEN LLP"</f>
        <v>BERRY APPLEMAN &amp; LEIDEN LLP</v>
      </c>
      <c r="BI351" t="str">
        <f>"NC"</f>
        <v>NC</v>
      </c>
      <c r="BJ351" t="str">
        <f>"The Supreme Court of North Carolina"</f>
        <v>The Supreme Court of North Carolina</v>
      </c>
      <c r="BK351">
        <v>1</v>
      </c>
      <c r="BL351" t="s">
        <v>102</v>
      </c>
      <c r="BM351" t="str">
        <f>""</f>
        <v/>
      </c>
      <c r="BN351" t="s">
        <v>5192</v>
      </c>
      <c r="BP351" t="s">
        <v>468</v>
      </c>
      <c r="BQ351" t="s">
        <v>994</v>
      </c>
      <c r="BR351" t="s">
        <v>141</v>
      </c>
      <c r="BS351" s="5">
        <v>94025</v>
      </c>
      <c r="BT351" s="2">
        <v>225400</v>
      </c>
      <c r="BV351" t="s">
        <v>105</v>
      </c>
      <c r="BW351" s="2">
        <v>169562</v>
      </c>
      <c r="BX351" t="s">
        <v>105</v>
      </c>
      <c r="BZ351" t="s">
        <v>159</v>
      </c>
      <c r="CA351" t="str">
        <f t="shared" ref="CA351:CA414" si="19">"7/1/2020 - 6/30/2021"</f>
        <v>7/1/2020 - 6/30/2021</v>
      </c>
      <c r="CF351">
        <v>2</v>
      </c>
      <c r="CG351" t="s">
        <v>98</v>
      </c>
      <c r="CH351" t="s">
        <v>98</v>
      </c>
      <c r="CI351" t="s">
        <v>206</v>
      </c>
      <c r="CJ351" t="s">
        <v>98</v>
      </c>
      <c r="CK351" t="s">
        <v>12323</v>
      </c>
      <c r="CL351" t="s">
        <v>108</v>
      </c>
      <c r="CM351" t="s">
        <v>109</v>
      </c>
      <c r="CN351" t="str">
        <f>""</f>
        <v/>
      </c>
      <c r="CO351" t="str">
        <f>""</f>
        <v/>
      </c>
      <c r="CP351" t="str">
        <f>""</f>
        <v/>
      </c>
      <c r="CQ351" t="str">
        <f>""</f>
        <v/>
      </c>
    </row>
    <row r="352" spans="1:96" x14ac:dyDescent="0.2">
      <c r="A352" t="s">
        <v>12158</v>
      </c>
      <c r="B352" t="s">
        <v>96</v>
      </c>
      <c r="C352" s="1">
        <v>44098</v>
      </c>
      <c r="D352" s="1">
        <v>44105</v>
      </c>
      <c r="F352" t="s">
        <v>97</v>
      </c>
      <c r="G352" t="str">
        <f>"Programmer Analyst - I"</f>
        <v>Programmer Analyst - I</v>
      </c>
      <c r="H352" t="s">
        <v>12239</v>
      </c>
      <c r="I352" t="s">
        <v>378</v>
      </c>
      <c r="J352" t="s">
        <v>98</v>
      </c>
      <c r="K352" s="1">
        <v>44098</v>
      </c>
      <c r="L352" s="1">
        <v>45192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 t="s">
        <v>669</v>
      </c>
      <c r="U352" t="str">
        <f>""</f>
        <v/>
      </c>
      <c r="V352" t="s">
        <v>670</v>
      </c>
      <c r="W352" t="str">
        <f>""</f>
        <v/>
      </c>
      <c r="X352" t="s">
        <v>671</v>
      </c>
      <c r="Y352" t="s">
        <v>141</v>
      </c>
      <c r="Z352" s="3">
        <v>94085</v>
      </c>
      <c r="AA352" t="s">
        <v>101</v>
      </c>
      <c r="AC352" s="4" t="str">
        <f>"+14087330480"</f>
        <v>+14087330480</v>
      </c>
      <c r="AE352" t="str">
        <f>"541511"</f>
        <v>541511</v>
      </c>
      <c r="AF352" t="s">
        <v>672</v>
      </c>
      <c r="AG352" t="s">
        <v>673</v>
      </c>
      <c r="AI352" t="s">
        <v>674</v>
      </c>
      <c r="AJ352" t="s">
        <v>670</v>
      </c>
      <c r="AK352" t="str">
        <f>""</f>
        <v/>
      </c>
      <c r="AL352" t="s">
        <v>671</v>
      </c>
      <c r="AM352" t="s">
        <v>141</v>
      </c>
      <c r="AN352" s="3">
        <v>94085</v>
      </c>
      <c r="AO352" t="s">
        <v>101</v>
      </c>
      <c r="AQ352" t="str">
        <f>"+14087330480"</f>
        <v>+14087330480</v>
      </c>
      <c r="AS352" t="s">
        <v>675</v>
      </c>
      <c r="AT352" t="s">
        <v>102</v>
      </c>
      <c r="AU352" t="str">
        <f>""</f>
        <v/>
      </c>
      <c r="AV352" t="str">
        <f>""</f>
        <v/>
      </c>
      <c r="AW352" t="str">
        <f>""</f>
        <v/>
      </c>
      <c r="AX352" t="str">
        <f>""</f>
        <v/>
      </c>
      <c r="AY352" t="str">
        <f>""</f>
        <v/>
      </c>
      <c r="AZ352" t="str">
        <f>""</f>
        <v/>
      </c>
      <c r="BA352" t="str">
        <f>""</f>
        <v/>
      </c>
      <c r="BC352" t="str">
        <f>""</f>
        <v/>
      </c>
      <c r="BD352" t="str">
        <f>""</f>
        <v/>
      </c>
      <c r="BE352" t="str">
        <f>""</f>
        <v/>
      </c>
      <c r="BF352" t="str">
        <f>""</f>
        <v/>
      </c>
      <c r="BG352" t="str">
        <f>""</f>
        <v/>
      </c>
      <c r="BH352" t="str">
        <f>""</f>
        <v/>
      </c>
      <c r="BI352" t="str">
        <f>""</f>
        <v/>
      </c>
      <c r="BJ352" t="str">
        <f>""</f>
        <v/>
      </c>
      <c r="BK352">
        <v>1</v>
      </c>
      <c r="BL352" t="s">
        <v>107</v>
      </c>
      <c r="BM352" t="str">
        <f>"Becton Dickinson BARD"</f>
        <v>Becton Dickinson BARD</v>
      </c>
      <c r="BN352" t="s">
        <v>12159</v>
      </c>
      <c r="BP352" t="s">
        <v>1557</v>
      </c>
      <c r="BQ352" t="s">
        <v>1307</v>
      </c>
      <c r="BR352" t="s">
        <v>100</v>
      </c>
      <c r="BS352" s="5">
        <v>7417</v>
      </c>
      <c r="BT352" s="2">
        <v>76424</v>
      </c>
      <c r="BV352" t="s">
        <v>105</v>
      </c>
      <c r="BW352" s="2">
        <v>57221</v>
      </c>
      <c r="BX352" t="s">
        <v>105</v>
      </c>
      <c r="BZ352" t="s">
        <v>191</v>
      </c>
      <c r="CA352" t="str">
        <f t="shared" si="19"/>
        <v>7/1/2020 - 6/30/2021</v>
      </c>
      <c r="CF352">
        <v>1</v>
      </c>
      <c r="CG352" t="s">
        <v>98</v>
      </c>
      <c r="CH352" t="s">
        <v>98</v>
      </c>
      <c r="CI352" t="s">
        <v>206</v>
      </c>
      <c r="CJ352" t="s">
        <v>98</v>
      </c>
      <c r="CK352" t="s">
        <v>12323</v>
      </c>
      <c r="CL352" t="s">
        <v>108</v>
      </c>
      <c r="CM352" t="s">
        <v>109</v>
      </c>
      <c r="CN352" t="str">
        <f>""</f>
        <v/>
      </c>
      <c r="CO352" t="str">
        <f>""</f>
        <v/>
      </c>
      <c r="CP352" t="str">
        <f>""</f>
        <v/>
      </c>
      <c r="CQ352" t="str">
        <f>""</f>
        <v/>
      </c>
    </row>
    <row r="353" spans="1:96" x14ac:dyDescent="0.2">
      <c r="A353" t="s">
        <v>12161</v>
      </c>
      <c r="B353" t="s">
        <v>96</v>
      </c>
      <c r="C353" s="1">
        <v>44098</v>
      </c>
      <c r="D353" s="1">
        <v>44105</v>
      </c>
      <c r="F353" t="s">
        <v>97</v>
      </c>
      <c r="G353" t="str">
        <f>"Data Engineering Manager, Analytics"</f>
        <v>Data Engineering Manager, Analytics</v>
      </c>
      <c r="H353" t="s">
        <v>12168</v>
      </c>
      <c r="I353" t="s">
        <v>1844</v>
      </c>
      <c r="J353" t="s">
        <v>98</v>
      </c>
      <c r="K353" s="1">
        <v>44116</v>
      </c>
      <c r="L353" s="1">
        <v>45210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 t="s">
        <v>466</v>
      </c>
      <c r="U353" t="str">
        <f>""</f>
        <v/>
      </c>
      <c r="V353" t="s">
        <v>467</v>
      </c>
      <c r="W353" t="str">
        <f>"AKA 1601 Willow Road"</f>
        <v>AKA 1601 Willow Road</v>
      </c>
      <c r="X353" t="s">
        <v>468</v>
      </c>
      <c r="Y353" t="s">
        <v>141</v>
      </c>
      <c r="Z353" s="3">
        <v>94025</v>
      </c>
      <c r="AA353" t="s">
        <v>101</v>
      </c>
      <c r="AC353" s="4" t="str">
        <f>"+16505434800"</f>
        <v>+16505434800</v>
      </c>
      <c r="AE353" t="str">
        <f>"518210"</f>
        <v>518210</v>
      </c>
      <c r="AF353" t="s">
        <v>469</v>
      </c>
      <c r="AG353" t="s">
        <v>470</v>
      </c>
      <c r="AI353" t="s">
        <v>471</v>
      </c>
      <c r="AJ353" t="s">
        <v>467</v>
      </c>
      <c r="AK353" t="str">
        <f>"AKA 1601 Willow Road "</f>
        <v xml:space="preserve">AKA 1601 Willow Road </v>
      </c>
      <c r="AL353" t="s">
        <v>472</v>
      </c>
      <c r="AM353" t="s">
        <v>141</v>
      </c>
      <c r="AN353" s="3">
        <v>94025</v>
      </c>
      <c r="AO353" t="s">
        <v>101</v>
      </c>
      <c r="AQ353" t="str">
        <f>"+14085335781"</f>
        <v>+14085335781</v>
      </c>
      <c r="AS353" t="s">
        <v>108</v>
      </c>
      <c r="AT353" t="s">
        <v>107</v>
      </c>
      <c r="AU353" t="str">
        <f>"McCarthy"</f>
        <v>McCarthy</v>
      </c>
      <c r="AV353" t="str">
        <f>"Susan"</f>
        <v>Susan</v>
      </c>
      <c r="AW353" t="str">
        <f>""</f>
        <v/>
      </c>
      <c r="AX353" t="str">
        <f>"P.O. Box 31608"</f>
        <v>P.O. Box 31608</v>
      </c>
      <c r="AY353" t="str">
        <f>""</f>
        <v/>
      </c>
      <c r="AZ353" t="str">
        <f>"Raleigh"</f>
        <v>Raleigh</v>
      </c>
      <c r="BA353" t="str">
        <f>"NC"</f>
        <v>NC</v>
      </c>
      <c r="BB353" s="3">
        <v>27622</v>
      </c>
      <c r="BC353" t="str">
        <f>"UNITED STATES OF AMERICA"</f>
        <v>UNITED STATES OF AMERICA</v>
      </c>
      <c r="BD353" t="str">
        <f>""</f>
        <v/>
      </c>
      <c r="BE353" t="str">
        <f>"+19193077002"</f>
        <v>+19193077002</v>
      </c>
      <c r="BF353" t="str">
        <f>""</f>
        <v/>
      </c>
      <c r="BG353" t="str">
        <f>"vicky.johnson@ogletreedeakins.com"</f>
        <v>vicky.johnson@ogletreedeakins.com</v>
      </c>
      <c r="BH353" t="str">
        <f>"Ogletree, Deakins, Nash, Smoak &amp; Stewart, P.C."</f>
        <v>Ogletree, Deakins, Nash, Smoak &amp; Stewart, P.C.</v>
      </c>
      <c r="BI353" t="str">
        <f>"NJ"</f>
        <v>NJ</v>
      </c>
      <c r="BJ353" t="str">
        <f>"Supreme Court of New Jersey"</f>
        <v>Supreme Court of New Jersey</v>
      </c>
      <c r="BK353">
        <v>1</v>
      </c>
      <c r="BL353" t="s">
        <v>102</v>
      </c>
      <c r="BM353" t="str">
        <f>""</f>
        <v/>
      </c>
      <c r="BN353" t="s">
        <v>467</v>
      </c>
      <c r="BO353" t="s">
        <v>5006</v>
      </c>
      <c r="BP353" t="s">
        <v>472</v>
      </c>
      <c r="BQ353" t="s">
        <v>994</v>
      </c>
      <c r="BR353" t="s">
        <v>141</v>
      </c>
      <c r="BS353" s="5">
        <v>94025</v>
      </c>
      <c r="BT353" s="2">
        <v>215000</v>
      </c>
      <c r="BV353" t="s">
        <v>105</v>
      </c>
      <c r="BW353" s="2">
        <v>145205</v>
      </c>
      <c r="BX353" t="s">
        <v>105</v>
      </c>
      <c r="BZ353" t="s">
        <v>159</v>
      </c>
      <c r="CA353" t="str">
        <f t="shared" si="19"/>
        <v>7/1/2020 - 6/30/2021</v>
      </c>
      <c r="CF353">
        <v>2</v>
      </c>
      <c r="CG353" t="s">
        <v>98</v>
      </c>
      <c r="CH353" t="s">
        <v>98</v>
      </c>
      <c r="CI353" t="s">
        <v>206</v>
      </c>
      <c r="CJ353" t="s">
        <v>98</v>
      </c>
      <c r="CK353" t="s">
        <v>12323</v>
      </c>
      <c r="CL353" t="s">
        <v>108</v>
      </c>
      <c r="CM353" t="s">
        <v>109</v>
      </c>
      <c r="CN353" t="str">
        <f>"McCarthy"</f>
        <v>McCarthy</v>
      </c>
      <c r="CO353" t="str">
        <f>"Susan "</f>
        <v xml:space="preserve">Susan </v>
      </c>
      <c r="CP353" t="str">
        <f>""</f>
        <v/>
      </c>
      <c r="CQ353" t="str">
        <f>"Ogletree, Deakins, Nash, Smoak &amp; Stewart, P.C. "</f>
        <v xml:space="preserve">Ogletree, Deakins, Nash, Smoak &amp; Stewart, P.C. </v>
      </c>
      <c r="CR353" t="s">
        <v>473</v>
      </c>
    </row>
    <row r="354" spans="1:96" x14ac:dyDescent="0.2">
      <c r="A354" t="s">
        <v>12162</v>
      </c>
      <c r="B354" t="s">
        <v>96</v>
      </c>
      <c r="C354" s="1">
        <v>44098</v>
      </c>
      <c r="D354" s="1">
        <v>44105</v>
      </c>
      <c r="F354" t="s">
        <v>97</v>
      </c>
      <c r="G354" t="str">
        <f>"Applications Consultant 2"</f>
        <v>Applications Consultant 2</v>
      </c>
      <c r="H354" t="s">
        <v>12169</v>
      </c>
      <c r="I354" t="s">
        <v>124</v>
      </c>
      <c r="J354" t="s">
        <v>98</v>
      </c>
      <c r="K354" s="1">
        <v>44107</v>
      </c>
      <c r="L354" s="1">
        <v>45201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 t="s">
        <v>1421</v>
      </c>
      <c r="U354" t="str">
        <f>""</f>
        <v/>
      </c>
      <c r="V354" t="s">
        <v>1422</v>
      </c>
      <c r="W354" t="str">
        <f>"SUITE 300"</f>
        <v>SUITE 300</v>
      </c>
      <c r="X354" t="s">
        <v>843</v>
      </c>
      <c r="Y354" t="s">
        <v>345</v>
      </c>
      <c r="Z354" s="3">
        <v>60606</v>
      </c>
      <c r="AA354" t="s">
        <v>101</v>
      </c>
      <c r="AC354" s="4" t="str">
        <f>"+13123955000"</f>
        <v>+13123955000</v>
      </c>
      <c r="AE354" t="str">
        <f>"5416"</f>
        <v>5416</v>
      </c>
      <c r="AF354" t="s">
        <v>1423</v>
      </c>
      <c r="AG354" t="s">
        <v>1424</v>
      </c>
      <c r="AI354" t="s">
        <v>1425</v>
      </c>
      <c r="AJ354" t="s">
        <v>1422</v>
      </c>
      <c r="AK354" t="str">
        <f>"SUITE 300"</f>
        <v>SUITE 300</v>
      </c>
      <c r="AL354" t="s">
        <v>843</v>
      </c>
      <c r="AM354" t="s">
        <v>345</v>
      </c>
      <c r="AN354" s="3">
        <v>60606</v>
      </c>
      <c r="AO354" t="s">
        <v>101</v>
      </c>
      <c r="AQ354" t="str">
        <f>"+13123958209"</f>
        <v>+13123958209</v>
      </c>
      <c r="AS354" t="s">
        <v>1426</v>
      </c>
      <c r="AT354" t="s">
        <v>102</v>
      </c>
      <c r="AU354" t="str">
        <f>""</f>
        <v/>
      </c>
      <c r="AV354" t="str">
        <f>""</f>
        <v/>
      </c>
      <c r="AW354" t="str">
        <f>""</f>
        <v/>
      </c>
      <c r="AX354" t="str">
        <f>""</f>
        <v/>
      </c>
      <c r="AY354" t="str">
        <f>""</f>
        <v/>
      </c>
      <c r="AZ354" t="str">
        <f>""</f>
        <v/>
      </c>
      <c r="BA354" t="str">
        <f>""</f>
        <v/>
      </c>
      <c r="BC354" t="str">
        <f>""</f>
        <v/>
      </c>
      <c r="BD354" t="str">
        <f>""</f>
        <v/>
      </c>
      <c r="BE354" t="str">
        <f>""</f>
        <v/>
      </c>
      <c r="BF354" t="str">
        <f>""</f>
        <v/>
      </c>
      <c r="BG354" t="str">
        <f>""</f>
        <v/>
      </c>
      <c r="BH354" t="str">
        <f>""</f>
        <v/>
      </c>
      <c r="BI354" t="str">
        <f>""</f>
        <v/>
      </c>
      <c r="BJ354" t="str">
        <f>""</f>
        <v/>
      </c>
      <c r="BK354">
        <v>1</v>
      </c>
      <c r="BL354" t="s">
        <v>102</v>
      </c>
      <c r="BM354" t="str">
        <f>""</f>
        <v/>
      </c>
      <c r="BN354" t="s">
        <v>12163</v>
      </c>
      <c r="BP354" t="s">
        <v>12164</v>
      </c>
      <c r="BQ354" t="s">
        <v>1238</v>
      </c>
      <c r="BR354" t="s">
        <v>127</v>
      </c>
      <c r="BS354" s="5">
        <v>19355</v>
      </c>
      <c r="BT354" s="2">
        <v>89773</v>
      </c>
      <c r="BU354" s="2">
        <v>93941</v>
      </c>
      <c r="BV354" t="s">
        <v>105</v>
      </c>
      <c r="BW354" s="2">
        <v>89773</v>
      </c>
      <c r="BX354" t="s">
        <v>105</v>
      </c>
      <c r="BZ354" t="s">
        <v>167</v>
      </c>
      <c r="CA354" t="str">
        <f t="shared" si="19"/>
        <v>7/1/2020 - 6/30/2021</v>
      </c>
      <c r="CF354">
        <v>1</v>
      </c>
      <c r="CG354" t="s">
        <v>98</v>
      </c>
      <c r="CH354" t="s">
        <v>98</v>
      </c>
      <c r="CI354" t="s">
        <v>206</v>
      </c>
      <c r="CJ354" t="s">
        <v>98</v>
      </c>
      <c r="CK354" t="s">
        <v>12323</v>
      </c>
      <c r="CL354" t="s">
        <v>108</v>
      </c>
      <c r="CM354" t="s">
        <v>109</v>
      </c>
      <c r="CN354" t="str">
        <f>""</f>
        <v/>
      </c>
      <c r="CO354" t="str">
        <f>""</f>
        <v/>
      </c>
      <c r="CP354" t="str">
        <f>""</f>
        <v/>
      </c>
      <c r="CQ354" t="str">
        <f>""</f>
        <v/>
      </c>
    </row>
    <row r="355" spans="1:96" x14ac:dyDescent="0.2">
      <c r="A355" t="s">
        <v>3050</v>
      </c>
      <c r="B355" t="s">
        <v>96</v>
      </c>
      <c r="C355" s="1">
        <v>44098</v>
      </c>
      <c r="D355" s="1">
        <v>44105</v>
      </c>
      <c r="F355" t="s">
        <v>97</v>
      </c>
      <c r="G355" t="str">
        <f>"Senior Data Analyst"</f>
        <v>Senior Data Analyst</v>
      </c>
      <c r="H355" t="s">
        <v>12181</v>
      </c>
      <c r="I355" t="s">
        <v>110</v>
      </c>
      <c r="J355" t="s">
        <v>98</v>
      </c>
      <c r="K355" s="1">
        <v>44102</v>
      </c>
      <c r="L355" s="1">
        <v>45196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3051</v>
      </c>
      <c r="U355" t="str">
        <f>""</f>
        <v/>
      </c>
      <c r="V355" t="s">
        <v>3052</v>
      </c>
      <c r="W355" t="str">
        <f>"Suite 239"</f>
        <v>Suite 239</v>
      </c>
      <c r="X355" t="s">
        <v>398</v>
      </c>
      <c r="Y355" t="s">
        <v>141</v>
      </c>
      <c r="Z355" s="3">
        <v>94538</v>
      </c>
      <c r="AA355" t="s">
        <v>101</v>
      </c>
      <c r="AC355" s="4" t="str">
        <f>"+15107967336"</f>
        <v>+15107967336</v>
      </c>
      <c r="AE355" t="str">
        <f>"541519"</f>
        <v>541519</v>
      </c>
      <c r="AF355" t="s">
        <v>3053</v>
      </c>
      <c r="AG355" t="s">
        <v>2608</v>
      </c>
      <c r="AH355" t="s">
        <v>3054</v>
      </c>
      <c r="AI355" t="s">
        <v>508</v>
      </c>
      <c r="AJ355" t="s">
        <v>3052</v>
      </c>
      <c r="AK355" t="str">
        <f>"Suite 239"</f>
        <v>Suite 239</v>
      </c>
      <c r="AL355" t="s">
        <v>398</v>
      </c>
      <c r="AM355" t="s">
        <v>141</v>
      </c>
      <c r="AN355" s="3">
        <v>94538</v>
      </c>
      <c r="AO355" t="s">
        <v>101</v>
      </c>
      <c r="AQ355" t="str">
        <f>"+15107967336"</f>
        <v>+15107967336</v>
      </c>
      <c r="AS355" t="s">
        <v>3055</v>
      </c>
      <c r="AT355" t="s">
        <v>107</v>
      </c>
      <c r="AU355" t="str">
        <f>"Singh"</f>
        <v>Singh</v>
      </c>
      <c r="AV355" t="str">
        <f>"Payal"</f>
        <v>Payal</v>
      </c>
      <c r="AW355" t="str">
        <f>"N/A"</f>
        <v>N/A</v>
      </c>
      <c r="AX355" t="str">
        <f>"1754 Technology Drive"</f>
        <v>1754 Technology Drive</v>
      </c>
      <c r="AY355" t="str">
        <f>"Suite 224"</f>
        <v>Suite 224</v>
      </c>
      <c r="AZ355" t="str">
        <f>"San Jose"</f>
        <v>San Jose</v>
      </c>
      <c r="BA355" t="str">
        <f>"CA"</f>
        <v>CA</v>
      </c>
      <c r="BB355" s="3">
        <v>95110</v>
      </c>
      <c r="BC355" t="str">
        <f>"UNITED STATES OF AMERICA"</f>
        <v>UNITED STATES OF AMERICA</v>
      </c>
      <c r="BD355" t="str">
        <f>""</f>
        <v/>
      </c>
      <c r="BE355" t="str">
        <f>"+14085679445"</f>
        <v>+14085679445</v>
      </c>
      <c r="BF355" t="str">
        <f>""</f>
        <v/>
      </c>
      <c r="BG355" t="str">
        <f>"info@psimmlaw.com"</f>
        <v>info@psimmlaw.com</v>
      </c>
      <c r="BH355" t="str">
        <f>"Law Firm of Payal Singh, P.C."</f>
        <v>Law Firm of Payal Singh, P.C.</v>
      </c>
      <c r="BI355" t="str">
        <f>"CA"</f>
        <v>CA</v>
      </c>
      <c r="BJ355" t="str">
        <f>"Supreme Court"</f>
        <v>Supreme Court</v>
      </c>
      <c r="BK355">
        <v>1</v>
      </c>
      <c r="BL355" t="s">
        <v>102</v>
      </c>
      <c r="BM355" t="str">
        <f>""</f>
        <v/>
      </c>
      <c r="BN355" t="s">
        <v>3056</v>
      </c>
      <c r="BO355" t="s">
        <v>3057</v>
      </c>
      <c r="BP355" t="s">
        <v>671</v>
      </c>
      <c r="BQ355" t="s">
        <v>230</v>
      </c>
      <c r="BR355" t="s">
        <v>141</v>
      </c>
      <c r="BS355" s="5">
        <v>94085</v>
      </c>
      <c r="BT355" s="2">
        <v>102000</v>
      </c>
      <c r="BU355" s="2">
        <v>102000.01</v>
      </c>
      <c r="BV355" t="s">
        <v>105</v>
      </c>
      <c r="BW355" s="2">
        <v>101587</v>
      </c>
      <c r="BX355" t="s">
        <v>105</v>
      </c>
      <c r="BZ355" t="s">
        <v>167</v>
      </c>
      <c r="CA355" t="str">
        <f t="shared" si="19"/>
        <v>7/1/2020 - 6/30/2021</v>
      </c>
      <c r="CF355">
        <v>2</v>
      </c>
      <c r="CG355" t="s">
        <v>98</v>
      </c>
      <c r="CH355" t="s">
        <v>98</v>
      </c>
      <c r="CI355" t="s">
        <v>206</v>
      </c>
      <c r="CJ355" t="s">
        <v>98</v>
      </c>
      <c r="CK355" t="s">
        <v>12324</v>
      </c>
      <c r="CL355" t="s">
        <v>108</v>
      </c>
      <c r="CM355" t="s">
        <v>109</v>
      </c>
      <c r="CN355" t="str">
        <f>"Singh"</f>
        <v>Singh</v>
      </c>
      <c r="CO355" t="str">
        <f>"Payal"</f>
        <v>Payal</v>
      </c>
      <c r="CP355" t="str">
        <f>""</f>
        <v/>
      </c>
      <c r="CQ355" t="str">
        <f>"Law Firm of Payal Singh, P.C."</f>
        <v>Law Firm of Payal Singh, P.C.</v>
      </c>
      <c r="CR355" t="s">
        <v>3058</v>
      </c>
    </row>
    <row r="356" spans="1:96" x14ac:dyDescent="0.2">
      <c r="A356" t="s">
        <v>3569</v>
      </c>
      <c r="B356" t="s">
        <v>96</v>
      </c>
      <c r="C356" s="1">
        <v>44098</v>
      </c>
      <c r="D356" s="1">
        <v>44105</v>
      </c>
      <c r="F356" t="s">
        <v>97</v>
      </c>
      <c r="G356" t="str">
        <f>"QLIK VIEW/QLIK SENSE  DEVELOPER"</f>
        <v>QLIK VIEW/QLIK SENSE  DEVELOPER</v>
      </c>
      <c r="H356" t="s">
        <v>12169</v>
      </c>
      <c r="I356" t="s">
        <v>124</v>
      </c>
      <c r="J356" t="s">
        <v>98</v>
      </c>
      <c r="K356" s="1">
        <v>44197</v>
      </c>
      <c r="L356" s="1">
        <v>45291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 t="s">
        <v>3570</v>
      </c>
      <c r="U356" t="str">
        <f>""</f>
        <v/>
      </c>
      <c r="V356" t="s">
        <v>3534</v>
      </c>
      <c r="W356" t="str">
        <f>"9TH FLOOR"</f>
        <v>9TH FLOOR</v>
      </c>
      <c r="X356" t="s">
        <v>211</v>
      </c>
      <c r="Y356" t="s">
        <v>100</v>
      </c>
      <c r="Z356" s="3">
        <v>8837</v>
      </c>
      <c r="AA356" t="s">
        <v>101</v>
      </c>
      <c r="AC356" s="4" t="str">
        <f>"+17329936016"</f>
        <v>+17329936016</v>
      </c>
      <c r="AE356" t="str">
        <f>"54199"</f>
        <v>54199</v>
      </c>
      <c r="AF356" t="s">
        <v>3571</v>
      </c>
      <c r="AG356" t="s">
        <v>3572</v>
      </c>
      <c r="AI356" t="s">
        <v>3573</v>
      </c>
      <c r="AJ356" t="s">
        <v>3534</v>
      </c>
      <c r="AK356" t="str">
        <f>"9TH FLOOR"</f>
        <v>9TH FLOOR</v>
      </c>
      <c r="AL356" t="s">
        <v>211</v>
      </c>
      <c r="AM356" t="s">
        <v>100</v>
      </c>
      <c r="AN356" s="3">
        <v>8837</v>
      </c>
      <c r="AO356" t="s">
        <v>101</v>
      </c>
      <c r="AQ356" t="str">
        <f>"+17329936016"</f>
        <v>+17329936016</v>
      </c>
      <c r="AS356" t="s">
        <v>3574</v>
      </c>
      <c r="AT356" t="s">
        <v>107</v>
      </c>
      <c r="AU356" t="str">
        <f>"ALLEN"</f>
        <v>ALLEN</v>
      </c>
      <c r="AV356" t="str">
        <f>"THOMAS"</f>
        <v>THOMAS</v>
      </c>
      <c r="AW356" t="str">
        <f>"V."</f>
        <v>V.</v>
      </c>
      <c r="AX356" t="str">
        <f>"50 CRAGWOOD ROAD"</f>
        <v>50 CRAGWOOD ROAD</v>
      </c>
      <c r="AY356" t="str">
        <f>"SUITE 100"</f>
        <v>SUITE 100</v>
      </c>
      <c r="AZ356" t="str">
        <f>"SOUTH PLAINFIELD"</f>
        <v>SOUTH PLAINFIELD</v>
      </c>
      <c r="BA356" t="str">
        <f>"NJ"</f>
        <v>NJ</v>
      </c>
      <c r="BB356" s="3">
        <v>7080</v>
      </c>
      <c r="BC356" t="str">
        <f>"UNITED STATES OF AMERICA"</f>
        <v>UNITED STATES OF AMERICA</v>
      </c>
      <c r="BD356" t="str">
        <f>""</f>
        <v/>
      </c>
      <c r="BE356" t="str">
        <f>"+17328327978"</f>
        <v>+17328327978</v>
      </c>
      <c r="BF356" t="str">
        <f>""</f>
        <v/>
      </c>
      <c r="BG356" t="str">
        <f>"ICERT@THOMASVALLEN.COM"</f>
        <v>ICERT@THOMASVALLEN.COM</v>
      </c>
      <c r="BH356" t="str">
        <f>"LAW OFFICE OF THOMAS V. ALLEN PLLC"</f>
        <v>LAW OFFICE OF THOMAS V. ALLEN PLLC</v>
      </c>
      <c r="BI356" t="str">
        <f>"NY"</f>
        <v>NY</v>
      </c>
      <c r="BJ356" t="str">
        <f>"APPELLATE COURT"</f>
        <v>APPELLATE COURT</v>
      </c>
      <c r="BK356">
        <v>1</v>
      </c>
      <c r="BL356" t="s">
        <v>107</v>
      </c>
      <c r="BM356" t="str">
        <f>"FIDELITY INVESTMENTS"</f>
        <v>FIDELITY INVESTMENTS</v>
      </c>
      <c r="BN356" t="s">
        <v>3575</v>
      </c>
      <c r="BP356" t="s">
        <v>302</v>
      </c>
      <c r="BQ356" t="s">
        <v>302</v>
      </c>
      <c r="BR356" t="s">
        <v>122</v>
      </c>
      <c r="BS356" s="5">
        <v>27703</v>
      </c>
      <c r="BT356" s="2">
        <v>90240</v>
      </c>
      <c r="BV356" t="s">
        <v>105</v>
      </c>
      <c r="BW356" s="2">
        <v>90147</v>
      </c>
      <c r="BX356" t="s">
        <v>105</v>
      </c>
      <c r="BZ356" t="s">
        <v>167</v>
      </c>
      <c r="CA356" t="str">
        <f t="shared" si="19"/>
        <v>7/1/2020 - 6/30/2021</v>
      </c>
      <c r="CF356">
        <v>2</v>
      </c>
      <c r="CG356" t="s">
        <v>98</v>
      </c>
      <c r="CH356" t="s">
        <v>98</v>
      </c>
      <c r="CI356" t="s">
        <v>206</v>
      </c>
      <c r="CJ356" t="s">
        <v>98</v>
      </c>
      <c r="CK356" t="s">
        <v>12324</v>
      </c>
      <c r="CL356" t="s">
        <v>108</v>
      </c>
      <c r="CM356" t="s">
        <v>109</v>
      </c>
      <c r="CN356" t="str">
        <f>""</f>
        <v/>
      </c>
      <c r="CO356" t="str">
        <f>""</f>
        <v/>
      </c>
      <c r="CP356" t="str">
        <f>""</f>
        <v/>
      </c>
      <c r="CQ356" t="str">
        <f>""</f>
        <v/>
      </c>
    </row>
    <row r="357" spans="1:96" x14ac:dyDescent="0.2">
      <c r="A357" t="s">
        <v>3659</v>
      </c>
      <c r="B357" t="s">
        <v>96</v>
      </c>
      <c r="C357" s="1">
        <v>44098</v>
      </c>
      <c r="D357" s="1">
        <v>44105</v>
      </c>
      <c r="F357" t="s">
        <v>97</v>
      </c>
      <c r="G357" t="str">
        <f>"Software Developer"</f>
        <v>Software Developer</v>
      </c>
      <c r="H357" t="s">
        <v>12169</v>
      </c>
      <c r="I357" t="s">
        <v>124</v>
      </c>
      <c r="J357" t="s">
        <v>98</v>
      </c>
      <c r="K357" s="1">
        <v>44109</v>
      </c>
      <c r="L357" s="1">
        <v>44675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 t="s">
        <v>3660</v>
      </c>
      <c r="U357" t="str">
        <f>""</f>
        <v/>
      </c>
      <c r="V357" t="s">
        <v>3661</v>
      </c>
      <c r="W357" t="str">
        <f>"SUITE 400"</f>
        <v>SUITE 400</v>
      </c>
      <c r="X357" t="s">
        <v>2006</v>
      </c>
      <c r="Y357" t="s">
        <v>135</v>
      </c>
      <c r="Z357" s="3">
        <v>20147</v>
      </c>
      <c r="AA357" t="s">
        <v>101</v>
      </c>
      <c r="AC357" s="4" t="str">
        <f>"+14086410980"</f>
        <v>+14086410980</v>
      </c>
      <c r="AE357" t="str">
        <f>"54151"</f>
        <v>54151</v>
      </c>
      <c r="AF357" t="s">
        <v>1180</v>
      </c>
      <c r="AG357" t="s">
        <v>1181</v>
      </c>
      <c r="AI357" t="s">
        <v>3662</v>
      </c>
      <c r="AJ357" t="s">
        <v>3661</v>
      </c>
      <c r="AK357" t="str">
        <f>"SUITE 400"</f>
        <v>SUITE 400</v>
      </c>
      <c r="AL357" t="s">
        <v>2006</v>
      </c>
      <c r="AM357" t="s">
        <v>135</v>
      </c>
      <c r="AN357" s="3">
        <v>20147</v>
      </c>
      <c r="AO357" t="s">
        <v>101</v>
      </c>
      <c r="AQ357" t="str">
        <f>"+14086410980"</f>
        <v>+14086410980</v>
      </c>
      <c r="AS357" t="s">
        <v>3663</v>
      </c>
      <c r="AT357" t="s">
        <v>102</v>
      </c>
      <c r="AU357" t="str">
        <f>""</f>
        <v/>
      </c>
      <c r="AV357" t="str">
        <f>""</f>
        <v/>
      </c>
      <c r="AW357" t="str">
        <f>""</f>
        <v/>
      </c>
      <c r="AX357" t="str">
        <f>""</f>
        <v/>
      </c>
      <c r="AY357" t="str">
        <f>""</f>
        <v/>
      </c>
      <c r="AZ357" t="str">
        <f>""</f>
        <v/>
      </c>
      <c r="BA357" t="str">
        <f>""</f>
        <v/>
      </c>
      <c r="BC357" t="str">
        <f>""</f>
        <v/>
      </c>
      <c r="BD357" t="str">
        <f>""</f>
        <v/>
      </c>
      <c r="BE357" t="str">
        <f>""</f>
        <v/>
      </c>
      <c r="BF357" t="str">
        <f>""</f>
        <v/>
      </c>
      <c r="BG357" t="str">
        <f>""</f>
        <v/>
      </c>
      <c r="BH357" t="str">
        <f>""</f>
        <v/>
      </c>
      <c r="BI357" t="str">
        <f>""</f>
        <v/>
      </c>
      <c r="BJ357" t="str">
        <f>""</f>
        <v/>
      </c>
      <c r="BK357">
        <v>1</v>
      </c>
      <c r="BL357" t="s">
        <v>107</v>
      </c>
      <c r="BM357" t="str">
        <f>"Sun Trust Bank"</f>
        <v>Sun Trust Bank</v>
      </c>
      <c r="BN357" t="s">
        <v>3664</v>
      </c>
      <c r="BP357" t="s">
        <v>213</v>
      </c>
      <c r="BQ357" t="s">
        <v>214</v>
      </c>
      <c r="BR357" t="s">
        <v>215</v>
      </c>
      <c r="BS357" s="5">
        <v>30303</v>
      </c>
      <c r="BT357" s="2">
        <v>86000</v>
      </c>
      <c r="BV357" t="s">
        <v>105</v>
      </c>
      <c r="BW357" s="2">
        <v>85842</v>
      </c>
      <c r="BX357" t="s">
        <v>105</v>
      </c>
      <c r="BZ357" t="s">
        <v>167</v>
      </c>
      <c r="CA357" t="str">
        <f t="shared" si="19"/>
        <v>7/1/2020 - 6/30/2021</v>
      </c>
      <c r="CF357">
        <v>2</v>
      </c>
      <c r="CG357" t="s">
        <v>98</v>
      </c>
      <c r="CH357" t="s">
        <v>98</v>
      </c>
      <c r="CI357" t="s">
        <v>206</v>
      </c>
      <c r="CJ357" t="s">
        <v>98</v>
      </c>
      <c r="CK357" t="s">
        <v>12324</v>
      </c>
      <c r="CL357" t="s">
        <v>108</v>
      </c>
      <c r="CM357" t="s">
        <v>109</v>
      </c>
      <c r="CN357" t="str">
        <f>""</f>
        <v/>
      </c>
      <c r="CO357" t="str">
        <f>""</f>
        <v/>
      </c>
      <c r="CP357" t="str">
        <f>""</f>
        <v/>
      </c>
      <c r="CQ357" t="str">
        <f>""</f>
        <v/>
      </c>
    </row>
    <row r="358" spans="1:96" x14ac:dyDescent="0.2">
      <c r="A358" t="s">
        <v>3762</v>
      </c>
      <c r="B358" t="s">
        <v>96</v>
      </c>
      <c r="C358" s="1">
        <v>44098</v>
      </c>
      <c r="D358" s="1">
        <v>44105</v>
      </c>
      <c r="F358" t="s">
        <v>97</v>
      </c>
      <c r="G358" t="str">
        <f>"SQL Developer "</f>
        <v xml:space="preserve">SQL Developer </v>
      </c>
      <c r="H358" t="s">
        <v>12169</v>
      </c>
      <c r="I358" t="s">
        <v>124</v>
      </c>
      <c r="J358" t="s">
        <v>98</v>
      </c>
      <c r="K358" s="1">
        <v>44105</v>
      </c>
      <c r="L358" s="1">
        <v>45199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3763</v>
      </c>
      <c r="U358" t="str">
        <f>""</f>
        <v/>
      </c>
      <c r="V358" t="s">
        <v>3712</v>
      </c>
      <c r="W358" t="str">
        <f>"SUITE 30"</f>
        <v>SUITE 30</v>
      </c>
      <c r="X358" t="s">
        <v>1775</v>
      </c>
      <c r="Y358" t="s">
        <v>1776</v>
      </c>
      <c r="Z358" s="3">
        <v>19810</v>
      </c>
      <c r="AA358" t="s">
        <v>101</v>
      </c>
      <c r="AC358" s="4" t="str">
        <f>"+13023925202"</f>
        <v>+13023925202</v>
      </c>
      <c r="AE358" t="str">
        <f>"541511"</f>
        <v>541511</v>
      </c>
      <c r="AF358" t="s">
        <v>3713</v>
      </c>
      <c r="AG358" t="s">
        <v>3714</v>
      </c>
      <c r="AH358" t="s">
        <v>108</v>
      </c>
      <c r="AI358" t="s">
        <v>3715</v>
      </c>
      <c r="AJ358" t="s">
        <v>3712</v>
      </c>
      <c r="AK358" t="str">
        <f>"SUITE 30"</f>
        <v>SUITE 30</v>
      </c>
      <c r="AL358" t="s">
        <v>1775</v>
      </c>
      <c r="AM358" t="s">
        <v>1776</v>
      </c>
      <c r="AN358" s="3">
        <v>19810</v>
      </c>
      <c r="AO358" t="s">
        <v>101</v>
      </c>
      <c r="AQ358" t="str">
        <f>"+13023925202"</f>
        <v>+13023925202</v>
      </c>
      <c r="AS358" t="s">
        <v>3716</v>
      </c>
      <c r="AT358" t="s">
        <v>107</v>
      </c>
      <c r="AU358" t="str">
        <f>"Tadmor"</f>
        <v>Tadmor</v>
      </c>
      <c r="AV358" t="str">
        <f>"Yoav"</f>
        <v>Yoav</v>
      </c>
      <c r="AW358" t="str">
        <f>"N/A"</f>
        <v>N/A</v>
      </c>
      <c r="AX358" t="str">
        <f>"340 Main Street "</f>
        <v xml:space="preserve">340 Main Street </v>
      </c>
      <c r="AY358" t="str">
        <f>"Suite 610"</f>
        <v>Suite 610</v>
      </c>
      <c r="AZ358" t="str">
        <f>"Worcester "</f>
        <v xml:space="preserve">Worcester </v>
      </c>
      <c r="BA358" t="str">
        <f>"MA"</f>
        <v>MA</v>
      </c>
      <c r="BB358" s="3">
        <v>1608</v>
      </c>
      <c r="BC358" t="str">
        <f>"UNITED STATES OF AMERICA"</f>
        <v>UNITED STATES OF AMERICA</v>
      </c>
      <c r="BD358" t="str">
        <f>""</f>
        <v/>
      </c>
      <c r="BE358" t="str">
        <f>"+15087919400"</f>
        <v>+15087919400</v>
      </c>
      <c r="BF358" t="str">
        <f>""</f>
        <v/>
      </c>
      <c r="BG358" t="str">
        <f>"yoav@tadmorlaw.com"</f>
        <v>yoav@tadmorlaw.com</v>
      </c>
      <c r="BH358" t="str">
        <f>"Tadmor &amp; Tadmor LLP"</f>
        <v>Tadmor &amp; Tadmor LLP</v>
      </c>
      <c r="BI358" t="str">
        <f>"MA"</f>
        <v>MA</v>
      </c>
      <c r="BJ358" t="str">
        <f>"SUPREME JUDICIAL COURT"</f>
        <v>SUPREME JUDICIAL COURT</v>
      </c>
      <c r="BK358">
        <v>1</v>
      </c>
      <c r="BL358" t="s">
        <v>107</v>
      </c>
      <c r="BM358" t="str">
        <f>"AST Financial"</f>
        <v>AST Financial</v>
      </c>
      <c r="BN358" t="s">
        <v>3764</v>
      </c>
      <c r="BP358" t="s">
        <v>1791</v>
      </c>
      <c r="BQ358" t="s">
        <v>189</v>
      </c>
      <c r="BR358" t="s">
        <v>190</v>
      </c>
      <c r="BS358" s="5">
        <v>11219</v>
      </c>
      <c r="BT358" s="2">
        <v>100526</v>
      </c>
      <c r="BV358" t="s">
        <v>105</v>
      </c>
      <c r="BW358" s="2">
        <v>100526</v>
      </c>
      <c r="BX358" t="s">
        <v>105</v>
      </c>
      <c r="BZ358" t="s">
        <v>167</v>
      </c>
      <c r="CA358" t="str">
        <f t="shared" si="19"/>
        <v>7/1/2020 - 6/30/2021</v>
      </c>
      <c r="CF358">
        <v>2</v>
      </c>
      <c r="CG358" t="s">
        <v>98</v>
      </c>
      <c r="CH358" t="s">
        <v>98</v>
      </c>
      <c r="CI358" t="s">
        <v>206</v>
      </c>
      <c r="CJ358" t="s">
        <v>98</v>
      </c>
      <c r="CK358" t="s">
        <v>12324</v>
      </c>
      <c r="CL358" t="s">
        <v>108</v>
      </c>
      <c r="CM358" t="s">
        <v>109</v>
      </c>
      <c r="CN358" t="str">
        <f>""</f>
        <v/>
      </c>
      <c r="CO358" t="str">
        <f>""</f>
        <v/>
      </c>
      <c r="CP358" t="str">
        <f>""</f>
        <v/>
      </c>
      <c r="CQ358" t="str">
        <f>""</f>
        <v/>
      </c>
    </row>
    <row r="359" spans="1:96" x14ac:dyDescent="0.2">
      <c r="A359" t="s">
        <v>4211</v>
      </c>
      <c r="B359" t="s">
        <v>96</v>
      </c>
      <c r="C359" s="1">
        <v>44098</v>
      </c>
      <c r="D359" s="1">
        <v>44105</v>
      </c>
      <c r="F359" t="s">
        <v>97</v>
      </c>
      <c r="G359" t="str">
        <f>"SAP Procurement Architect"</f>
        <v>SAP Procurement Architect</v>
      </c>
      <c r="H359" t="s">
        <v>12169</v>
      </c>
      <c r="I359" t="s">
        <v>124</v>
      </c>
      <c r="J359" t="s">
        <v>98</v>
      </c>
      <c r="K359" s="1">
        <v>44102</v>
      </c>
      <c r="L359" s="1">
        <v>45196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 t="s">
        <v>4212</v>
      </c>
      <c r="U359" t="str">
        <f>""</f>
        <v/>
      </c>
      <c r="V359" t="s">
        <v>4213</v>
      </c>
      <c r="W359" t="str">
        <f>"STE 430-S"</f>
        <v>STE 430-S</v>
      </c>
      <c r="X359" t="s">
        <v>805</v>
      </c>
      <c r="Y359" t="s">
        <v>114</v>
      </c>
      <c r="Z359" s="3">
        <v>77036</v>
      </c>
      <c r="AA359" t="s">
        <v>101</v>
      </c>
      <c r="AC359" s="4" t="str">
        <f>"+17324477498"</f>
        <v>+17324477498</v>
      </c>
      <c r="AE359" t="str">
        <f>"541519"</f>
        <v>541519</v>
      </c>
      <c r="AF359" t="s">
        <v>4214</v>
      </c>
      <c r="AG359" t="s">
        <v>4215</v>
      </c>
      <c r="AH359" t="s">
        <v>702</v>
      </c>
      <c r="AI359" t="s">
        <v>1586</v>
      </c>
      <c r="AJ359" t="s">
        <v>4213</v>
      </c>
      <c r="AK359" t="str">
        <f>"STE 430-S"</f>
        <v>STE 430-S</v>
      </c>
      <c r="AL359" t="s">
        <v>805</v>
      </c>
      <c r="AM359" t="s">
        <v>114</v>
      </c>
      <c r="AN359" s="3">
        <v>77036</v>
      </c>
      <c r="AO359" t="s">
        <v>101</v>
      </c>
      <c r="AQ359" t="str">
        <f>"+17324477498"</f>
        <v>+17324477498</v>
      </c>
      <c r="AS359" t="s">
        <v>4216</v>
      </c>
      <c r="AT359" t="s">
        <v>102</v>
      </c>
      <c r="AU359" t="str">
        <f>""</f>
        <v/>
      </c>
      <c r="AV359" t="str">
        <f>""</f>
        <v/>
      </c>
      <c r="AW359" t="str">
        <f>""</f>
        <v/>
      </c>
      <c r="AX359" t="str">
        <f>""</f>
        <v/>
      </c>
      <c r="AY359" t="str">
        <f>""</f>
        <v/>
      </c>
      <c r="AZ359" t="str">
        <f>""</f>
        <v/>
      </c>
      <c r="BA359" t="str">
        <f>""</f>
        <v/>
      </c>
      <c r="BC359" t="str">
        <f>""</f>
        <v/>
      </c>
      <c r="BD359" t="str">
        <f>""</f>
        <v/>
      </c>
      <c r="BE359" t="str">
        <f>""</f>
        <v/>
      </c>
      <c r="BF359" t="str">
        <f>""</f>
        <v/>
      </c>
      <c r="BG359" t="str">
        <f>""</f>
        <v/>
      </c>
      <c r="BH359" t="str">
        <f>""</f>
        <v/>
      </c>
      <c r="BI359" t="str">
        <f>""</f>
        <v/>
      </c>
      <c r="BJ359" t="str">
        <f>""</f>
        <v/>
      </c>
      <c r="BK359">
        <v>1</v>
      </c>
      <c r="BL359" t="s">
        <v>107</v>
      </c>
      <c r="BM359" t="str">
        <f>"Ocean Spray Cranberries Inc"</f>
        <v>Ocean Spray Cranberries Inc</v>
      </c>
      <c r="BN359" t="s">
        <v>4217</v>
      </c>
      <c r="BP359" t="s">
        <v>4218</v>
      </c>
      <c r="BQ359" t="s">
        <v>1594</v>
      </c>
      <c r="BR359" t="s">
        <v>171</v>
      </c>
      <c r="BS359" s="5">
        <v>2347</v>
      </c>
      <c r="BT359" s="2">
        <v>96242</v>
      </c>
      <c r="BU359" s="2">
        <v>100000</v>
      </c>
      <c r="BV359" t="s">
        <v>105</v>
      </c>
      <c r="BW359" s="2">
        <v>96242</v>
      </c>
      <c r="BX359" t="s">
        <v>105</v>
      </c>
      <c r="BZ359" t="s">
        <v>167</v>
      </c>
      <c r="CA359" t="str">
        <f t="shared" si="19"/>
        <v>7/1/2020 - 6/30/2021</v>
      </c>
      <c r="CF359">
        <v>2</v>
      </c>
      <c r="CG359" t="s">
        <v>98</v>
      </c>
      <c r="CH359" t="s">
        <v>98</v>
      </c>
      <c r="CI359" t="s">
        <v>206</v>
      </c>
      <c r="CJ359" t="s">
        <v>98</v>
      </c>
      <c r="CK359" t="s">
        <v>12324</v>
      </c>
      <c r="CL359" t="s">
        <v>108</v>
      </c>
      <c r="CM359" t="s">
        <v>109</v>
      </c>
      <c r="CN359" t="str">
        <f>""</f>
        <v/>
      </c>
      <c r="CO359" t="str">
        <f>""</f>
        <v/>
      </c>
      <c r="CP359" t="str">
        <f>""</f>
        <v/>
      </c>
      <c r="CQ359" t="str">
        <f>""</f>
        <v/>
      </c>
    </row>
    <row r="360" spans="1:96" x14ac:dyDescent="0.2">
      <c r="A360" t="s">
        <v>4554</v>
      </c>
      <c r="B360" t="s">
        <v>96</v>
      </c>
      <c r="C360" s="1">
        <v>44098</v>
      </c>
      <c r="D360" s="1">
        <v>44105</v>
      </c>
      <c r="F360" t="s">
        <v>97</v>
      </c>
      <c r="G360" t="str">
        <f>"SQL DBA"</f>
        <v>SQL DBA</v>
      </c>
      <c r="H360" t="s">
        <v>12169</v>
      </c>
      <c r="I360" t="s">
        <v>124</v>
      </c>
      <c r="J360" t="s">
        <v>98</v>
      </c>
      <c r="K360" s="1">
        <v>44105</v>
      </c>
      <c r="L360" s="1">
        <v>45199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4555</v>
      </c>
      <c r="U360" t="str">
        <f>"O2 TECHNOLOGIES INC"</f>
        <v>O2 TECHNOLOGIES INC</v>
      </c>
      <c r="V360" t="s">
        <v>4556</v>
      </c>
      <c r="W360" t="str">
        <f>"STE 255"</f>
        <v>STE 255</v>
      </c>
      <c r="X360" t="s">
        <v>2078</v>
      </c>
      <c r="Y360" t="s">
        <v>141</v>
      </c>
      <c r="Z360" s="3">
        <v>92614</v>
      </c>
      <c r="AA360" t="s">
        <v>101</v>
      </c>
      <c r="AC360" s="4" t="str">
        <f>"+19495022824"</f>
        <v>+19495022824</v>
      </c>
      <c r="AE360" t="str">
        <f>"541511"</f>
        <v>541511</v>
      </c>
      <c r="AF360" t="s">
        <v>4557</v>
      </c>
      <c r="AG360" t="s">
        <v>4558</v>
      </c>
      <c r="AH360" t="s">
        <v>108</v>
      </c>
      <c r="AI360" t="s">
        <v>4559</v>
      </c>
      <c r="AJ360" t="s">
        <v>4556</v>
      </c>
      <c r="AK360" t="str">
        <f>"STE 255"</f>
        <v>STE 255</v>
      </c>
      <c r="AL360" t="s">
        <v>2220</v>
      </c>
      <c r="AM360" t="s">
        <v>141</v>
      </c>
      <c r="AN360" s="3">
        <v>92614</v>
      </c>
      <c r="AO360" t="s">
        <v>101</v>
      </c>
      <c r="AQ360" t="str">
        <f>"+19495022824"</f>
        <v>+19495022824</v>
      </c>
      <c r="AS360" t="s">
        <v>4560</v>
      </c>
      <c r="AT360" t="s">
        <v>102</v>
      </c>
      <c r="AU360" t="str">
        <f>""</f>
        <v/>
      </c>
      <c r="AV360" t="str">
        <f>""</f>
        <v/>
      </c>
      <c r="AW360" t="str">
        <f>""</f>
        <v/>
      </c>
      <c r="AX360" t="str">
        <f>""</f>
        <v/>
      </c>
      <c r="AY360" t="str">
        <f>""</f>
        <v/>
      </c>
      <c r="AZ360" t="str">
        <f>""</f>
        <v/>
      </c>
      <c r="BA360" t="str">
        <f>""</f>
        <v/>
      </c>
      <c r="BC360" t="str">
        <f>""</f>
        <v/>
      </c>
      <c r="BD360" t="str">
        <f>""</f>
        <v/>
      </c>
      <c r="BE360" t="str">
        <f>""</f>
        <v/>
      </c>
      <c r="BF360" t="str">
        <f>""</f>
        <v/>
      </c>
      <c r="BG360" t="str">
        <f>""</f>
        <v/>
      </c>
      <c r="BH360" t="str">
        <f>""</f>
        <v/>
      </c>
      <c r="BI360" t="str">
        <f>""</f>
        <v/>
      </c>
      <c r="BJ360" t="str">
        <f>""</f>
        <v/>
      </c>
      <c r="BK360">
        <v>1</v>
      </c>
      <c r="BL360" t="s">
        <v>107</v>
      </c>
      <c r="BM360" t="str">
        <f>"First National Bank"</f>
        <v>First National Bank</v>
      </c>
      <c r="BN360" t="s">
        <v>4561</v>
      </c>
      <c r="BP360" t="s">
        <v>4562</v>
      </c>
      <c r="BQ360" t="s">
        <v>861</v>
      </c>
      <c r="BR360" t="s">
        <v>127</v>
      </c>
      <c r="BS360" s="5">
        <v>15212</v>
      </c>
      <c r="BT360" s="2">
        <v>80200</v>
      </c>
      <c r="BU360" s="2">
        <v>80300</v>
      </c>
      <c r="BV360" t="s">
        <v>105</v>
      </c>
      <c r="BW360" s="2">
        <v>80142</v>
      </c>
      <c r="BX360" t="s">
        <v>105</v>
      </c>
      <c r="BZ360" t="s">
        <v>167</v>
      </c>
      <c r="CA360" t="str">
        <f t="shared" si="19"/>
        <v>7/1/2020 - 6/30/2021</v>
      </c>
      <c r="CF360">
        <v>2</v>
      </c>
      <c r="CG360" t="s">
        <v>98</v>
      </c>
      <c r="CH360" t="s">
        <v>98</v>
      </c>
      <c r="CI360" t="s">
        <v>206</v>
      </c>
      <c r="CJ360" t="s">
        <v>98</v>
      </c>
      <c r="CK360" t="s">
        <v>12324</v>
      </c>
      <c r="CL360" t="s">
        <v>108</v>
      </c>
      <c r="CM360" t="s">
        <v>109</v>
      </c>
      <c r="CN360" t="str">
        <f>""</f>
        <v/>
      </c>
      <c r="CO360" t="str">
        <f>""</f>
        <v/>
      </c>
      <c r="CP360" t="str">
        <f>""</f>
        <v/>
      </c>
      <c r="CQ360" t="str">
        <f>""</f>
        <v/>
      </c>
    </row>
    <row r="361" spans="1:96" x14ac:dyDescent="0.2">
      <c r="A361" t="s">
        <v>5265</v>
      </c>
      <c r="B361" t="s">
        <v>96</v>
      </c>
      <c r="C361" s="1">
        <v>44098</v>
      </c>
      <c r="D361" s="1">
        <v>44105</v>
      </c>
      <c r="F361" t="s">
        <v>97</v>
      </c>
      <c r="G361" t="str">
        <f>"Mainframe Developer"</f>
        <v>Mainframe Developer</v>
      </c>
      <c r="H361" t="s">
        <v>12169</v>
      </c>
      <c r="I361" t="s">
        <v>124</v>
      </c>
      <c r="J361" t="s">
        <v>98</v>
      </c>
      <c r="K361" s="1">
        <v>44116</v>
      </c>
      <c r="L361" s="1">
        <v>45210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 t="s">
        <v>4206</v>
      </c>
      <c r="U361" t="str">
        <f>""</f>
        <v/>
      </c>
      <c r="V361" t="s">
        <v>4207</v>
      </c>
      <c r="W361" t="str">
        <f>"STE 1650E"</f>
        <v>STE 1650E</v>
      </c>
      <c r="X361" t="s">
        <v>483</v>
      </c>
      <c r="Y361" t="s">
        <v>114</v>
      </c>
      <c r="Z361" s="3">
        <v>75039</v>
      </c>
      <c r="AA361" t="s">
        <v>101</v>
      </c>
      <c r="AC361" s="4" t="str">
        <f>"+14692144248"</f>
        <v>+14692144248</v>
      </c>
      <c r="AE361" t="str">
        <f>"541511"</f>
        <v>541511</v>
      </c>
      <c r="AF361" t="s">
        <v>4208</v>
      </c>
      <c r="AG361" t="s">
        <v>4209</v>
      </c>
      <c r="AI361" t="s">
        <v>2935</v>
      </c>
      <c r="AJ361" t="s">
        <v>4207</v>
      </c>
      <c r="AK361" t="str">
        <f>"STE 1650E"</f>
        <v>STE 1650E</v>
      </c>
      <c r="AL361" t="s">
        <v>483</v>
      </c>
      <c r="AM361" t="s">
        <v>114</v>
      </c>
      <c r="AN361" s="3">
        <v>75039</v>
      </c>
      <c r="AO361" t="s">
        <v>101</v>
      </c>
      <c r="AQ361" t="str">
        <f>"+14692144248"</f>
        <v>+14692144248</v>
      </c>
      <c r="AS361" t="s">
        <v>4210</v>
      </c>
      <c r="AT361" t="s">
        <v>107</v>
      </c>
      <c r="AU361" t="str">
        <f>"Akula"</f>
        <v>Akula</v>
      </c>
      <c r="AV361" t="str">
        <f>"Kavitha"</f>
        <v>Kavitha</v>
      </c>
      <c r="AW361" t="str">
        <f>""</f>
        <v/>
      </c>
      <c r="AX361" t="str">
        <f>"17400 DALLAS PKWY"</f>
        <v>17400 DALLAS PKWY</v>
      </c>
      <c r="AY361" t="str">
        <f>"SUITE 216"</f>
        <v>SUITE 216</v>
      </c>
      <c r="AZ361" t="str">
        <f>"DALLAS"</f>
        <v>DALLAS</v>
      </c>
      <c r="BA361" t="str">
        <f>"TX"</f>
        <v>TX</v>
      </c>
      <c r="BB361" s="3">
        <v>75287</v>
      </c>
      <c r="BC361" t="str">
        <f>"UNITED STATES OF AMERICA"</f>
        <v>UNITED STATES OF AMERICA</v>
      </c>
      <c r="BD361" t="str">
        <f>""</f>
        <v/>
      </c>
      <c r="BE361" t="str">
        <f>"+19722414698"</f>
        <v>+19722414698</v>
      </c>
      <c r="BF361" t="str">
        <f>""</f>
        <v/>
      </c>
      <c r="BG361" t="str">
        <f>"inella.coleman@akulalaw.com"</f>
        <v>inella.coleman@akulalaw.com</v>
      </c>
      <c r="BH361" t="str">
        <f>"Akula &amp; Associates, P.C."</f>
        <v>Akula &amp; Associates, P.C.</v>
      </c>
      <c r="BI361" t="str">
        <f>"TX"</f>
        <v>TX</v>
      </c>
      <c r="BJ361" t="str">
        <f>"SUPREME COURT"</f>
        <v>SUPREME COURT</v>
      </c>
      <c r="BK361">
        <v>1</v>
      </c>
      <c r="BL361" t="s">
        <v>107</v>
      </c>
      <c r="BM361" t="str">
        <f>"Fidelity National Information Services, Inc. (FIS)"</f>
        <v>Fidelity National Information Services, Inc. (FIS)</v>
      </c>
      <c r="BN361" t="s">
        <v>5266</v>
      </c>
      <c r="BP361" t="s">
        <v>604</v>
      </c>
      <c r="BQ361" t="s">
        <v>121</v>
      </c>
      <c r="BR361" t="s">
        <v>122</v>
      </c>
      <c r="BS361" s="5">
        <v>28277</v>
      </c>
      <c r="BT361" s="2">
        <v>85488</v>
      </c>
      <c r="BU361" s="2">
        <v>92160</v>
      </c>
      <c r="BV361" t="s">
        <v>105</v>
      </c>
      <c r="BW361" s="2">
        <v>85488</v>
      </c>
      <c r="BX361" t="s">
        <v>105</v>
      </c>
      <c r="BZ361" t="s">
        <v>167</v>
      </c>
      <c r="CA361" t="str">
        <f t="shared" si="19"/>
        <v>7/1/2020 - 6/30/2021</v>
      </c>
      <c r="CF361">
        <v>2</v>
      </c>
      <c r="CG361" t="s">
        <v>98</v>
      </c>
      <c r="CH361" t="s">
        <v>98</v>
      </c>
      <c r="CI361" t="s">
        <v>206</v>
      </c>
      <c r="CJ361" t="s">
        <v>98</v>
      </c>
      <c r="CK361" t="s">
        <v>12324</v>
      </c>
      <c r="CL361" t="s">
        <v>108</v>
      </c>
      <c r="CM361" t="s">
        <v>109</v>
      </c>
      <c r="CN361" t="str">
        <f>""</f>
        <v/>
      </c>
      <c r="CO361" t="str">
        <f>""</f>
        <v/>
      </c>
      <c r="CP361" t="str">
        <f>""</f>
        <v/>
      </c>
      <c r="CQ361" t="str">
        <f>""</f>
        <v/>
      </c>
    </row>
    <row r="362" spans="1:96" x14ac:dyDescent="0.2">
      <c r="A362" t="s">
        <v>5277</v>
      </c>
      <c r="B362" t="s">
        <v>96</v>
      </c>
      <c r="C362" s="1">
        <v>44098</v>
      </c>
      <c r="D362" s="1">
        <v>44105</v>
      </c>
      <c r="F362" t="s">
        <v>97</v>
      </c>
      <c r="G362" t="str">
        <f>"Engineer III - Customer Networks"</f>
        <v>Engineer III - Customer Networks</v>
      </c>
      <c r="H362" t="s">
        <v>12187</v>
      </c>
      <c r="I362" t="s">
        <v>331</v>
      </c>
      <c r="J362" t="s">
        <v>98</v>
      </c>
      <c r="K362" s="1">
        <v>44105</v>
      </c>
      <c r="L362" s="1">
        <v>45199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5278</v>
      </c>
      <c r="U362" t="str">
        <f>""</f>
        <v/>
      </c>
      <c r="V362" t="s">
        <v>5034</v>
      </c>
      <c r="W362" t="str">
        <f>""</f>
        <v/>
      </c>
      <c r="X362" t="s">
        <v>1660</v>
      </c>
      <c r="Y362" t="s">
        <v>195</v>
      </c>
      <c r="Z362" s="3">
        <v>20876</v>
      </c>
      <c r="AA362" t="s">
        <v>101</v>
      </c>
      <c r="AC362" s="4" t="str">
        <f>"+13014285500"</f>
        <v>+13014285500</v>
      </c>
      <c r="AE362" t="str">
        <f>"334220"</f>
        <v>334220</v>
      </c>
      <c r="AF362" t="s">
        <v>2289</v>
      </c>
      <c r="AG362" t="s">
        <v>2290</v>
      </c>
      <c r="AI362" t="s">
        <v>5279</v>
      </c>
      <c r="AJ362" t="s">
        <v>5034</v>
      </c>
      <c r="AK362" t="str">
        <f>""</f>
        <v/>
      </c>
      <c r="AL362" t="s">
        <v>1660</v>
      </c>
      <c r="AM362" t="s">
        <v>195</v>
      </c>
      <c r="AN362" s="3">
        <v>20876</v>
      </c>
      <c r="AO362" t="s">
        <v>101</v>
      </c>
      <c r="AQ362" t="str">
        <f>"+13037065350"</f>
        <v>+13037065350</v>
      </c>
      <c r="AS362" t="s">
        <v>5280</v>
      </c>
      <c r="AT362" t="s">
        <v>107</v>
      </c>
      <c r="AU362" t="str">
        <f>"BEDI"</f>
        <v>BEDI</v>
      </c>
      <c r="AV362" t="str">
        <f>"MIKE"</f>
        <v>MIKE</v>
      </c>
      <c r="AW362" t="str">
        <f>"M."</f>
        <v>M.</v>
      </c>
      <c r="AX362" t="str">
        <f>"2600 VIRGINIA AVENUE NW"</f>
        <v>2600 VIRGINIA AVENUE NW</v>
      </c>
      <c r="AY362" t="str">
        <f>"SUITE T125"</f>
        <v>SUITE T125</v>
      </c>
      <c r="AZ362" t="str">
        <f>"WASHINGTON"</f>
        <v>WASHINGTON</v>
      </c>
      <c r="BA362" t="str">
        <f>"DC"</f>
        <v>DC</v>
      </c>
      <c r="BB362" s="3">
        <v>20037</v>
      </c>
      <c r="BC362" t="str">
        <f>"UNITED STATES OF AMERICA"</f>
        <v>UNITED STATES OF AMERICA</v>
      </c>
      <c r="BD362" t="str">
        <f>""</f>
        <v/>
      </c>
      <c r="BE362" t="str">
        <f>"+12029654121"</f>
        <v>+12029654121</v>
      </c>
      <c r="BF362" t="str">
        <f>""</f>
        <v/>
      </c>
      <c r="BG362" t="str">
        <f>"STAFF@USAVISAS.NET"</f>
        <v>STAFF@USAVISAS.NET</v>
      </c>
      <c r="BH362" t="str">
        <f>"Bedi &amp; Martinez, Esqs."</f>
        <v>Bedi &amp; Martinez, Esqs.</v>
      </c>
      <c r="BI362" t="str">
        <f>"DC"</f>
        <v>DC</v>
      </c>
      <c r="BJ362" t="str">
        <f>"US SUPREME COURT"</f>
        <v>US SUPREME COURT</v>
      </c>
      <c r="BK362">
        <v>1</v>
      </c>
      <c r="BL362" t="s">
        <v>102</v>
      </c>
      <c r="BM362" t="str">
        <f>""</f>
        <v/>
      </c>
      <c r="BN362" t="s">
        <v>5034</v>
      </c>
      <c r="BP362" t="s">
        <v>1660</v>
      </c>
      <c r="BQ362" t="s">
        <v>529</v>
      </c>
      <c r="BR362" t="s">
        <v>195</v>
      </c>
      <c r="BS362" s="5">
        <v>20876</v>
      </c>
      <c r="BT362" s="2">
        <v>92000</v>
      </c>
      <c r="BV362" t="s">
        <v>105</v>
      </c>
      <c r="BW362" s="2">
        <v>84282</v>
      </c>
      <c r="BX362" t="s">
        <v>105</v>
      </c>
      <c r="BZ362" t="s">
        <v>167</v>
      </c>
      <c r="CA362" t="str">
        <f t="shared" si="19"/>
        <v>7/1/2020 - 6/30/2021</v>
      </c>
      <c r="CF362">
        <v>1</v>
      </c>
      <c r="CG362" t="s">
        <v>98</v>
      </c>
      <c r="CH362" t="s">
        <v>98</v>
      </c>
      <c r="CI362" t="s">
        <v>206</v>
      </c>
      <c r="CJ362" t="s">
        <v>98</v>
      </c>
      <c r="CK362" t="s">
        <v>12324</v>
      </c>
      <c r="CL362" t="s">
        <v>108</v>
      </c>
      <c r="CM362" t="s">
        <v>109</v>
      </c>
      <c r="CN362" t="str">
        <f>""</f>
        <v/>
      </c>
      <c r="CO362" t="str">
        <f>""</f>
        <v/>
      </c>
      <c r="CP362" t="str">
        <f>""</f>
        <v/>
      </c>
      <c r="CQ362" t="str">
        <f>""</f>
        <v/>
      </c>
    </row>
    <row r="363" spans="1:96" x14ac:dyDescent="0.2">
      <c r="A363" t="s">
        <v>5645</v>
      </c>
      <c r="B363" t="s">
        <v>96</v>
      </c>
      <c r="C363" s="1">
        <v>44098</v>
      </c>
      <c r="D363" s="1">
        <v>44105</v>
      </c>
      <c r="F363" t="s">
        <v>97</v>
      </c>
      <c r="G363" t="str">
        <f>"PeopleSoft HCM Consultant"</f>
        <v>PeopleSoft HCM Consultant</v>
      </c>
      <c r="H363" t="s">
        <v>12169</v>
      </c>
      <c r="I363" t="s">
        <v>124</v>
      </c>
      <c r="J363" t="s">
        <v>98</v>
      </c>
      <c r="K363" s="1">
        <v>44099</v>
      </c>
      <c r="L363" s="1">
        <v>44362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5646</v>
      </c>
      <c r="U363" t="str">
        <f>"N/A***"</f>
        <v>N/A***</v>
      </c>
      <c r="V363" t="s">
        <v>943</v>
      </c>
      <c r="W363" t="str">
        <f>""</f>
        <v/>
      </c>
      <c r="X363" t="s">
        <v>679</v>
      </c>
      <c r="Y363" t="s">
        <v>171</v>
      </c>
      <c r="Z363" s="3">
        <v>1803</v>
      </c>
      <c r="AA363" t="s">
        <v>101</v>
      </c>
      <c r="AC363" s="4" t="str">
        <f>"+18882054614"</f>
        <v>+18882054614</v>
      </c>
      <c r="AD363">
        <v>1</v>
      </c>
      <c r="AE363" t="str">
        <f t="shared" ref="AE363:AE368" si="20">"541511"</f>
        <v>541511</v>
      </c>
      <c r="AF363" t="s">
        <v>944</v>
      </c>
      <c r="AG363" t="s">
        <v>945</v>
      </c>
      <c r="AH363" t="s">
        <v>108</v>
      </c>
      <c r="AI363" t="s">
        <v>298</v>
      </c>
      <c r="AJ363" t="s">
        <v>943</v>
      </c>
      <c r="AK363" t="str">
        <f>""</f>
        <v/>
      </c>
      <c r="AL363" t="s">
        <v>679</v>
      </c>
      <c r="AM363" t="s">
        <v>171</v>
      </c>
      <c r="AN363" s="3">
        <v>1803</v>
      </c>
      <c r="AO363" t="s">
        <v>101</v>
      </c>
      <c r="AQ363" t="str">
        <f>"+18882054614"</f>
        <v>+18882054614</v>
      </c>
      <c r="AR363">
        <v>1</v>
      </c>
      <c r="AS363" t="s">
        <v>946</v>
      </c>
      <c r="AT363" t="s">
        <v>102</v>
      </c>
      <c r="AU363" t="str">
        <f>""</f>
        <v/>
      </c>
      <c r="AV363" t="str">
        <f>""</f>
        <v/>
      </c>
      <c r="AW363" t="str">
        <f>""</f>
        <v/>
      </c>
      <c r="AX363" t="str">
        <f>""</f>
        <v/>
      </c>
      <c r="AY363" t="str">
        <f>""</f>
        <v/>
      </c>
      <c r="AZ363" t="str">
        <f>""</f>
        <v/>
      </c>
      <c r="BA363" t="str">
        <f>""</f>
        <v/>
      </c>
      <c r="BC363" t="str">
        <f>""</f>
        <v/>
      </c>
      <c r="BD363" t="str">
        <f>""</f>
        <v/>
      </c>
      <c r="BE363" t="str">
        <f>""</f>
        <v/>
      </c>
      <c r="BF363" t="str">
        <f>""</f>
        <v/>
      </c>
      <c r="BG363" t="str">
        <f>""</f>
        <v/>
      </c>
      <c r="BH363" t="str">
        <f>""</f>
        <v/>
      </c>
      <c r="BI363" t="str">
        <f>""</f>
        <v/>
      </c>
      <c r="BJ363" t="str">
        <f>""</f>
        <v/>
      </c>
      <c r="BK363">
        <v>1</v>
      </c>
      <c r="BL363" t="s">
        <v>107</v>
      </c>
      <c r="BM363" t="str">
        <f>"EnLink Midstream"</f>
        <v>EnLink Midstream</v>
      </c>
      <c r="BN363" t="s">
        <v>5647</v>
      </c>
      <c r="BP363" t="s">
        <v>5648</v>
      </c>
      <c r="BQ363" t="s">
        <v>484</v>
      </c>
      <c r="BR363" t="s">
        <v>114</v>
      </c>
      <c r="BS363" s="5">
        <v>75201</v>
      </c>
      <c r="BT363" s="2">
        <v>128000</v>
      </c>
      <c r="BU363" s="2">
        <v>128200</v>
      </c>
      <c r="BV363" t="s">
        <v>105</v>
      </c>
      <c r="BW363" s="2">
        <v>127150</v>
      </c>
      <c r="BX363" t="s">
        <v>105</v>
      </c>
      <c r="BZ363" t="s">
        <v>159</v>
      </c>
      <c r="CA363" t="str">
        <f t="shared" si="19"/>
        <v>7/1/2020 - 6/30/2021</v>
      </c>
      <c r="CF363">
        <v>2</v>
      </c>
      <c r="CG363" t="s">
        <v>98</v>
      </c>
      <c r="CH363" t="s">
        <v>98</v>
      </c>
      <c r="CI363" t="s">
        <v>206</v>
      </c>
      <c r="CJ363" t="s">
        <v>98</v>
      </c>
      <c r="CK363" t="s">
        <v>12324</v>
      </c>
      <c r="CL363" t="s">
        <v>108</v>
      </c>
      <c r="CM363" t="s">
        <v>109</v>
      </c>
      <c r="CN363" t="str">
        <f>""</f>
        <v/>
      </c>
      <c r="CO363" t="str">
        <f>""</f>
        <v/>
      </c>
      <c r="CP363" t="str">
        <f>""</f>
        <v/>
      </c>
      <c r="CQ363" t="str">
        <f>""</f>
        <v/>
      </c>
    </row>
    <row r="364" spans="1:96" x14ac:dyDescent="0.2">
      <c r="A364" t="s">
        <v>5878</v>
      </c>
      <c r="B364" t="s">
        <v>96</v>
      </c>
      <c r="C364" s="1">
        <v>44098</v>
      </c>
      <c r="D364" s="1">
        <v>44105</v>
      </c>
      <c r="F364" t="s">
        <v>97</v>
      </c>
      <c r="G364" t="str">
        <f>"Software consultant"</f>
        <v>Software consultant</v>
      </c>
      <c r="H364" t="s">
        <v>12169</v>
      </c>
      <c r="I364" t="s">
        <v>124</v>
      </c>
      <c r="J364" t="s">
        <v>98</v>
      </c>
      <c r="K364" s="1">
        <v>44098</v>
      </c>
      <c r="L364" s="1">
        <v>45192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 t="s">
        <v>536</v>
      </c>
      <c r="U364" t="str">
        <f>"N / A"</f>
        <v>N / A</v>
      </c>
      <c r="V364" t="s">
        <v>537</v>
      </c>
      <c r="W364" t="str">
        <f>"Ste A"</f>
        <v>Ste A</v>
      </c>
      <c r="X364" t="s">
        <v>538</v>
      </c>
      <c r="Y364" t="s">
        <v>135</v>
      </c>
      <c r="Z364" s="3">
        <v>22031</v>
      </c>
      <c r="AA364" t="s">
        <v>101</v>
      </c>
      <c r="AC364" s="4" t="str">
        <f>"+17037631353"</f>
        <v>+17037631353</v>
      </c>
      <c r="AE364" t="str">
        <f t="shared" si="20"/>
        <v>541511</v>
      </c>
      <c r="AF364" t="s">
        <v>539</v>
      </c>
      <c r="AG364" t="s">
        <v>540</v>
      </c>
      <c r="AH364" t="s">
        <v>541</v>
      </c>
      <c r="AI364" t="s">
        <v>508</v>
      </c>
      <c r="AJ364" t="s">
        <v>537</v>
      </c>
      <c r="AK364" t="str">
        <f>"Ste A"</f>
        <v>Ste A</v>
      </c>
      <c r="AL364" t="s">
        <v>538</v>
      </c>
      <c r="AM364" t="s">
        <v>135</v>
      </c>
      <c r="AN364" s="3">
        <v>22031</v>
      </c>
      <c r="AO364" t="s">
        <v>101</v>
      </c>
      <c r="AQ364" t="str">
        <f>"+17037631353"</f>
        <v>+17037631353</v>
      </c>
      <c r="AS364" t="s">
        <v>542</v>
      </c>
      <c r="AT364" t="s">
        <v>107</v>
      </c>
      <c r="AU364" t="str">
        <f>"SHARMA"</f>
        <v>SHARMA</v>
      </c>
      <c r="AV364" t="str">
        <f>"CHANDLER"</f>
        <v>CHANDLER</v>
      </c>
      <c r="AW364" t="str">
        <f>"B"</f>
        <v>B</v>
      </c>
      <c r="AX364" t="str">
        <f>"15 Corporate Place South"</f>
        <v>15 Corporate Place South</v>
      </c>
      <c r="AY364" t="str">
        <f>"SUITE 150"</f>
        <v>SUITE 150</v>
      </c>
      <c r="AZ364" t="str">
        <f>"Piscataway"</f>
        <v>Piscataway</v>
      </c>
      <c r="BA364" t="str">
        <f>"NJ"</f>
        <v>NJ</v>
      </c>
      <c r="BB364" s="3">
        <v>8854</v>
      </c>
      <c r="BC364" t="str">
        <f t="shared" ref="BC364:BC371" si="21">"UNITED STATES OF AMERICA"</f>
        <v>UNITED STATES OF AMERICA</v>
      </c>
      <c r="BD364" t="str">
        <f>""</f>
        <v/>
      </c>
      <c r="BE364" t="str">
        <f>"+12126299400"</f>
        <v>+12126299400</v>
      </c>
      <c r="BF364" t="str">
        <f>""</f>
        <v/>
      </c>
      <c r="BG364" t="str">
        <f>"LCAS@SYSSLAW.COM"</f>
        <v>LCAS@SYSSLAW.COM</v>
      </c>
      <c r="BH364" t="str">
        <f>"SHARMA YASKHI &amp; ASSOCIATES, LLP"</f>
        <v>SHARMA YASKHI &amp; ASSOCIATES, LLP</v>
      </c>
      <c r="BI364" t="str">
        <f>"GA"</f>
        <v>GA</v>
      </c>
      <c r="BJ364" t="str">
        <f>"COURT OF APPEALS"</f>
        <v>COURT OF APPEALS</v>
      </c>
      <c r="BK364">
        <v>1</v>
      </c>
      <c r="BL364" t="s">
        <v>107</v>
      </c>
      <c r="BM364" t="str">
        <f>"Hartford insurance /Cognizant"</f>
        <v>Hartford insurance /Cognizant</v>
      </c>
      <c r="BN364" t="s">
        <v>1140</v>
      </c>
      <c r="BO364" t="s">
        <v>108</v>
      </c>
      <c r="BP364" t="s">
        <v>1142</v>
      </c>
      <c r="BQ364" t="s">
        <v>547</v>
      </c>
      <c r="BR364" t="s">
        <v>280</v>
      </c>
      <c r="BS364" s="5">
        <v>6105</v>
      </c>
      <c r="BT364" s="2">
        <v>85571</v>
      </c>
      <c r="BV364" t="s">
        <v>105</v>
      </c>
      <c r="BW364" s="2">
        <v>85571</v>
      </c>
      <c r="BX364" t="s">
        <v>105</v>
      </c>
      <c r="BZ364" t="s">
        <v>167</v>
      </c>
      <c r="CA364" t="str">
        <f t="shared" si="19"/>
        <v>7/1/2020 - 6/30/2021</v>
      </c>
      <c r="CF364">
        <v>2</v>
      </c>
      <c r="CG364" t="s">
        <v>98</v>
      </c>
      <c r="CH364" t="s">
        <v>98</v>
      </c>
      <c r="CI364" t="s">
        <v>206</v>
      </c>
      <c r="CJ364" t="s">
        <v>98</v>
      </c>
      <c r="CK364" t="s">
        <v>12324</v>
      </c>
      <c r="CL364" t="s">
        <v>108</v>
      </c>
      <c r="CM364" t="s">
        <v>109</v>
      </c>
      <c r="CN364" t="str">
        <f>"TABETI"</f>
        <v>TABETI</v>
      </c>
      <c r="CO364" t="str">
        <f>"SHRAVAN"</f>
        <v>SHRAVAN</v>
      </c>
      <c r="CP364" t="str">
        <f>"K"</f>
        <v>K</v>
      </c>
      <c r="CQ364" t="str">
        <f>"SHARMA YASKHI &amp; ASSOCIATES, LLP"</f>
        <v>SHARMA YASKHI &amp; ASSOCIATES, LLP</v>
      </c>
      <c r="CR364" t="s">
        <v>544</v>
      </c>
    </row>
    <row r="365" spans="1:96" x14ac:dyDescent="0.2">
      <c r="A365" t="s">
        <v>6093</v>
      </c>
      <c r="B365" t="s">
        <v>96</v>
      </c>
      <c r="C365" s="1">
        <v>44098</v>
      </c>
      <c r="D365" s="1">
        <v>44105</v>
      </c>
      <c r="F365" t="s">
        <v>97</v>
      </c>
      <c r="G365" t="str">
        <f>"QA Automation Engineer"</f>
        <v>QA Automation Engineer</v>
      </c>
      <c r="H365" t="s">
        <v>12168</v>
      </c>
      <c r="I365" t="s">
        <v>722</v>
      </c>
      <c r="J365" t="s">
        <v>98</v>
      </c>
      <c r="K365" s="1">
        <v>44105</v>
      </c>
      <c r="L365" s="1">
        <v>45200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6094</v>
      </c>
      <c r="U365" t="str">
        <f>""</f>
        <v/>
      </c>
      <c r="V365" t="s">
        <v>6095</v>
      </c>
      <c r="W365" t="str">
        <f>""</f>
        <v/>
      </c>
      <c r="X365" t="s">
        <v>2646</v>
      </c>
      <c r="Y365" t="s">
        <v>100</v>
      </c>
      <c r="Z365" s="3">
        <v>8816</v>
      </c>
      <c r="AA365" t="s">
        <v>101</v>
      </c>
      <c r="AC365" s="4" t="str">
        <f>"+17326090216"</f>
        <v>+17326090216</v>
      </c>
      <c r="AE365" t="str">
        <f t="shared" si="20"/>
        <v>541511</v>
      </c>
      <c r="AF365" t="s">
        <v>6096</v>
      </c>
      <c r="AG365" t="s">
        <v>6097</v>
      </c>
      <c r="AI365" t="s">
        <v>508</v>
      </c>
      <c r="AJ365" t="s">
        <v>6095</v>
      </c>
      <c r="AK365" t="str">
        <f>""</f>
        <v/>
      </c>
      <c r="AL365" t="s">
        <v>2646</v>
      </c>
      <c r="AM365" t="s">
        <v>100</v>
      </c>
      <c r="AN365" s="3">
        <v>8816</v>
      </c>
      <c r="AO365" t="s">
        <v>101</v>
      </c>
      <c r="AQ365" t="str">
        <f>"+17326090216"</f>
        <v>+17326090216</v>
      </c>
      <c r="AS365" t="s">
        <v>6098</v>
      </c>
      <c r="AT365" t="s">
        <v>107</v>
      </c>
      <c r="AU365" t="str">
        <f>"RAMASAMI"</f>
        <v>RAMASAMI</v>
      </c>
      <c r="AV365" t="str">
        <f>"KAVITHA"</f>
        <v>KAVITHA</v>
      </c>
      <c r="AW365" t="str">
        <f>""</f>
        <v/>
      </c>
      <c r="AX365" t="str">
        <f>"55 CARTER DRIVE"</f>
        <v>55 CARTER DRIVE</v>
      </c>
      <c r="AY365" t="str">
        <f>"SUITE 207"</f>
        <v>SUITE 207</v>
      </c>
      <c r="AZ365" t="str">
        <f>"EDISON"</f>
        <v>EDISON</v>
      </c>
      <c r="BA365" t="str">
        <f>"NJ"</f>
        <v>NJ</v>
      </c>
      <c r="BB365" s="3">
        <v>8817</v>
      </c>
      <c r="BC365" t="str">
        <f t="shared" si="21"/>
        <v>UNITED STATES OF AMERICA</v>
      </c>
      <c r="BD365" t="str">
        <f>""</f>
        <v/>
      </c>
      <c r="BE365" t="str">
        <f>"+17323939557"</f>
        <v>+17323939557</v>
      </c>
      <c r="BF365" t="str">
        <f>""</f>
        <v/>
      </c>
      <c r="BG365" t="str">
        <f>"USHA@USIMMIGRATIONESQ.COM"</f>
        <v>USHA@USIMMIGRATIONESQ.COM</v>
      </c>
      <c r="BH365" t="str">
        <f>"LAW OFFICES OF KAVITHA RAMASAMI"</f>
        <v>LAW OFFICES OF KAVITHA RAMASAMI</v>
      </c>
      <c r="BI365" t="str">
        <f>"NY"</f>
        <v>NY</v>
      </c>
      <c r="BJ365" t="str">
        <f>"SUPREME COURT, APPELLATE   DIVISION"</f>
        <v>SUPREME COURT, APPELLATE   DIVISION</v>
      </c>
      <c r="BK365">
        <v>1</v>
      </c>
      <c r="BL365" t="s">
        <v>107</v>
      </c>
      <c r="BM365" t="str">
        <f>"American Family Insurance"</f>
        <v>American Family Insurance</v>
      </c>
      <c r="BN365" t="s">
        <v>1017</v>
      </c>
      <c r="BP365" t="s">
        <v>1018</v>
      </c>
      <c r="BQ365" t="s">
        <v>1019</v>
      </c>
      <c r="BR365" t="s">
        <v>330</v>
      </c>
      <c r="BS365" s="5">
        <v>53783</v>
      </c>
      <c r="BT365" s="2">
        <v>75000</v>
      </c>
      <c r="BV365" t="s">
        <v>105</v>
      </c>
      <c r="BW365" s="2">
        <v>63627</v>
      </c>
      <c r="BX365" t="s">
        <v>105</v>
      </c>
      <c r="BZ365" t="s">
        <v>167</v>
      </c>
      <c r="CA365" t="str">
        <f t="shared" si="19"/>
        <v>7/1/2020 - 6/30/2021</v>
      </c>
      <c r="CF365">
        <v>1</v>
      </c>
      <c r="CG365" t="s">
        <v>98</v>
      </c>
      <c r="CH365" t="s">
        <v>98</v>
      </c>
      <c r="CI365" t="s">
        <v>206</v>
      </c>
      <c r="CJ365" t="s">
        <v>98</v>
      </c>
      <c r="CK365" t="s">
        <v>12324</v>
      </c>
      <c r="CL365" t="s">
        <v>108</v>
      </c>
      <c r="CM365" t="s">
        <v>109</v>
      </c>
      <c r="CN365" t="str">
        <f>"RAMASAMI"</f>
        <v>RAMASAMI</v>
      </c>
      <c r="CO365" t="str">
        <f>"KAVITHA"</f>
        <v>KAVITHA</v>
      </c>
      <c r="CP365" t="str">
        <f>""</f>
        <v/>
      </c>
      <c r="CQ365" t="str">
        <f>"LAW OFFICES OF KAVITHA RAMASAMI"</f>
        <v>LAW OFFICES OF KAVITHA RAMASAMI</v>
      </c>
      <c r="CR365" t="s">
        <v>6099</v>
      </c>
    </row>
    <row r="366" spans="1:96" x14ac:dyDescent="0.2">
      <c r="A366" t="s">
        <v>6104</v>
      </c>
      <c r="B366" t="s">
        <v>96</v>
      </c>
      <c r="C366" s="1">
        <v>44098</v>
      </c>
      <c r="D366" s="1">
        <v>44105</v>
      </c>
      <c r="F366" t="s">
        <v>97</v>
      </c>
      <c r="G366" t="str">
        <f>"Software Engineer/Big Data Developer"</f>
        <v>Software Engineer/Big Data Developer</v>
      </c>
      <c r="H366" t="s">
        <v>12169</v>
      </c>
      <c r="I366" t="s">
        <v>124</v>
      </c>
      <c r="J366" t="s">
        <v>98</v>
      </c>
      <c r="K366" s="1">
        <v>44105</v>
      </c>
      <c r="L366" s="1">
        <v>45199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 t="s">
        <v>6105</v>
      </c>
      <c r="U366" t="str">
        <f>""</f>
        <v/>
      </c>
      <c r="V366" t="s">
        <v>6106</v>
      </c>
      <c r="W366" t="str">
        <f>"Suite 106"</f>
        <v>Suite 106</v>
      </c>
      <c r="X366" t="s">
        <v>1317</v>
      </c>
      <c r="Y366" t="s">
        <v>135</v>
      </c>
      <c r="Z366" s="3">
        <v>20164</v>
      </c>
      <c r="AA366" t="s">
        <v>101</v>
      </c>
      <c r="AC366" s="4" t="str">
        <f>"+17036879680"</f>
        <v>+17036879680</v>
      </c>
      <c r="AE366" t="str">
        <f t="shared" si="20"/>
        <v>541511</v>
      </c>
      <c r="AF366" t="s">
        <v>6107</v>
      </c>
      <c r="AG366" t="s">
        <v>6108</v>
      </c>
      <c r="AH366" t="s">
        <v>108</v>
      </c>
      <c r="AI366" t="s">
        <v>4680</v>
      </c>
      <c r="AJ366" t="s">
        <v>6109</v>
      </c>
      <c r="AK366" t="str">
        <f>"SUITE 106"</f>
        <v>SUITE 106</v>
      </c>
      <c r="AL366" t="s">
        <v>3997</v>
      </c>
      <c r="AM366" t="s">
        <v>135</v>
      </c>
      <c r="AN366" s="3">
        <v>20164</v>
      </c>
      <c r="AO366" t="s">
        <v>101</v>
      </c>
      <c r="AQ366" t="str">
        <f>"+17036879680"</f>
        <v>+17036879680</v>
      </c>
      <c r="AS366" t="s">
        <v>6110</v>
      </c>
      <c r="AT366" t="s">
        <v>107</v>
      </c>
      <c r="AU366" t="str">
        <f>"O'NEIL"</f>
        <v>O'NEIL</v>
      </c>
      <c r="AV366" t="str">
        <f>"MEGAN"</f>
        <v>MEGAN</v>
      </c>
      <c r="AW366" t="str">
        <f>"E"</f>
        <v>E</v>
      </c>
      <c r="AX366" t="str">
        <f>"314 Town Center Drive"</f>
        <v>314 Town Center Drive</v>
      </c>
      <c r="AY366" t="str">
        <f>""</f>
        <v/>
      </c>
      <c r="AZ366" t="str">
        <f>"TROY"</f>
        <v>TROY</v>
      </c>
      <c r="BA366" t="str">
        <f>"MI"</f>
        <v>MI</v>
      </c>
      <c r="BB366" s="3">
        <v>48084</v>
      </c>
      <c r="BC366" t="str">
        <f t="shared" si="21"/>
        <v>UNITED STATES OF AMERICA</v>
      </c>
      <c r="BD366" t="str">
        <f>""</f>
        <v/>
      </c>
      <c r="BE366" t="str">
        <f>"+12486800600"</f>
        <v>+12486800600</v>
      </c>
      <c r="BF366" t="str">
        <f>""</f>
        <v/>
      </c>
      <c r="BG366" t="str">
        <f>"HVISA@PISTON.NET"</f>
        <v>HVISA@PISTON.NET</v>
      </c>
      <c r="BH366" t="str">
        <f>"PISTON &amp; CARPENTER P.C."</f>
        <v>PISTON &amp; CARPENTER P.C.</v>
      </c>
      <c r="BI366" t="str">
        <f>"MI"</f>
        <v>MI</v>
      </c>
      <c r="BJ366" t="str">
        <f>"SUPREME COURT"</f>
        <v>SUPREME COURT</v>
      </c>
      <c r="BK366">
        <v>1</v>
      </c>
      <c r="BL366" t="s">
        <v>107</v>
      </c>
      <c r="BM366" t="str">
        <f>"Charter Communications, LLC"</f>
        <v>Charter Communications, LLC</v>
      </c>
      <c r="BN366" t="s">
        <v>3639</v>
      </c>
      <c r="BO366" t="s">
        <v>2183</v>
      </c>
      <c r="BP366" t="s">
        <v>2476</v>
      </c>
      <c r="BQ366" t="s">
        <v>1964</v>
      </c>
      <c r="BR366" t="s">
        <v>374</v>
      </c>
      <c r="BS366" s="5">
        <v>63043</v>
      </c>
      <c r="BT366" s="2">
        <v>45</v>
      </c>
      <c r="BV366" t="s">
        <v>210</v>
      </c>
      <c r="BW366" s="2">
        <v>40.21</v>
      </c>
      <c r="BX366" t="s">
        <v>210</v>
      </c>
      <c r="BZ366" t="s">
        <v>167</v>
      </c>
      <c r="CA366" t="str">
        <f t="shared" si="19"/>
        <v>7/1/2020 - 6/30/2021</v>
      </c>
      <c r="CF366">
        <v>1</v>
      </c>
      <c r="CG366" t="s">
        <v>98</v>
      </c>
      <c r="CH366" t="s">
        <v>98</v>
      </c>
      <c r="CI366" t="s">
        <v>206</v>
      </c>
      <c r="CJ366" t="s">
        <v>98</v>
      </c>
      <c r="CK366" t="s">
        <v>12324</v>
      </c>
      <c r="CL366" t="s">
        <v>108</v>
      </c>
      <c r="CM366" t="s">
        <v>109</v>
      </c>
      <c r="CN366" t="str">
        <f>"Bedard"</f>
        <v>Bedard</v>
      </c>
      <c r="CO366" t="str">
        <f>"Denise"</f>
        <v>Denise</v>
      </c>
      <c r="CP366" t="str">
        <f>""</f>
        <v/>
      </c>
      <c r="CQ366" t="str">
        <f>"Piston &amp; Carpenter P.C."</f>
        <v>Piston &amp; Carpenter P.C.</v>
      </c>
      <c r="CR366" t="s">
        <v>3304</v>
      </c>
    </row>
    <row r="367" spans="1:96" x14ac:dyDescent="0.2">
      <c r="A367" t="s">
        <v>6590</v>
      </c>
      <c r="B367" t="s">
        <v>96</v>
      </c>
      <c r="C367" s="1">
        <v>44098</v>
      </c>
      <c r="D367" s="1">
        <v>44105</v>
      </c>
      <c r="F367" t="s">
        <v>97</v>
      </c>
      <c r="G367" t="str">
        <f>" Software Engineer"</f>
        <v xml:space="preserve"> Software Engineer</v>
      </c>
      <c r="H367" t="s">
        <v>12169</v>
      </c>
      <c r="I367" t="s">
        <v>124</v>
      </c>
      <c r="J367" t="s">
        <v>98</v>
      </c>
      <c r="K367" s="1">
        <v>44105</v>
      </c>
      <c r="L367" s="1">
        <v>45199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 t="s">
        <v>6041</v>
      </c>
      <c r="U367" t="str">
        <f>""</f>
        <v/>
      </c>
      <c r="V367" t="s">
        <v>6042</v>
      </c>
      <c r="W367" t="str">
        <f>""</f>
        <v/>
      </c>
      <c r="X367" t="s">
        <v>1034</v>
      </c>
      <c r="Y367" t="s">
        <v>100</v>
      </c>
      <c r="Z367" s="3">
        <v>8844</v>
      </c>
      <c r="AA367" t="s">
        <v>101</v>
      </c>
      <c r="AC367" s="4" t="str">
        <f>"+18608887753"</f>
        <v>+18608887753</v>
      </c>
      <c r="AE367" t="str">
        <f t="shared" si="20"/>
        <v>541511</v>
      </c>
      <c r="AF367" t="s">
        <v>6043</v>
      </c>
      <c r="AG367" t="s">
        <v>6044</v>
      </c>
      <c r="AI367" t="s">
        <v>425</v>
      </c>
      <c r="AJ367" t="s">
        <v>6045</v>
      </c>
      <c r="AK367" t="str">
        <f>""</f>
        <v/>
      </c>
      <c r="AL367" t="s">
        <v>1034</v>
      </c>
      <c r="AM367" t="s">
        <v>100</v>
      </c>
      <c r="AN367" s="3">
        <v>8844</v>
      </c>
      <c r="AO367" t="s">
        <v>101</v>
      </c>
      <c r="AQ367" t="str">
        <f>"+18608887753"</f>
        <v>+18608887753</v>
      </c>
      <c r="AS367" t="s">
        <v>6046</v>
      </c>
      <c r="AT367" t="s">
        <v>107</v>
      </c>
      <c r="AU367" t="str">
        <f>"Choi"</f>
        <v>Choi</v>
      </c>
      <c r="AV367" t="str">
        <f>"Soo"</f>
        <v>Soo</v>
      </c>
      <c r="AW367" t="str">
        <f>"Min"</f>
        <v>Min</v>
      </c>
      <c r="AX367" t="str">
        <f>"P.O BOX 421409"</f>
        <v>P.O BOX 421409</v>
      </c>
      <c r="AY367" t="str">
        <f>""</f>
        <v/>
      </c>
      <c r="AZ367" t="str">
        <f>"Houston "</f>
        <v xml:space="preserve">Houston </v>
      </c>
      <c r="BA367" t="str">
        <f>"TX"</f>
        <v>TX</v>
      </c>
      <c r="BB367" s="3">
        <v>77242</v>
      </c>
      <c r="BC367" t="str">
        <f t="shared" si="21"/>
        <v>UNITED STATES OF AMERICA</v>
      </c>
      <c r="BD367" t="str">
        <f>""</f>
        <v/>
      </c>
      <c r="BE367" t="str">
        <f>"+17139537787"</f>
        <v>+17139537787</v>
      </c>
      <c r="BF367" t="str">
        <f>"101"</f>
        <v>101</v>
      </c>
      <c r="BG367" t="str">
        <f>"soo@rnlawgroup.com"</f>
        <v>soo@rnlawgroup.com</v>
      </c>
      <c r="BH367" t="str">
        <f>"Reddy &amp; Neumann P.C."</f>
        <v>Reddy &amp; Neumann P.C.</v>
      </c>
      <c r="BI367" t="str">
        <f>"TX"</f>
        <v>TX</v>
      </c>
      <c r="BJ367" t="str">
        <f>"Supreme Court"</f>
        <v>Supreme Court</v>
      </c>
      <c r="BK367">
        <v>1</v>
      </c>
      <c r="BL367" t="s">
        <v>107</v>
      </c>
      <c r="BM367" t="str">
        <f>"New York Life"</f>
        <v>New York Life</v>
      </c>
      <c r="BN367" t="s">
        <v>1212</v>
      </c>
      <c r="BP367" t="s">
        <v>6591</v>
      </c>
      <c r="BQ367" t="s">
        <v>1214</v>
      </c>
      <c r="BR367" t="s">
        <v>100</v>
      </c>
      <c r="BS367" s="5">
        <v>7302</v>
      </c>
      <c r="BT367" s="2">
        <v>100526</v>
      </c>
      <c r="BV367" t="s">
        <v>105</v>
      </c>
      <c r="BW367" s="2">
        <v>100526</v>
      </c>
      <c r="BX367" t="s">
        <v>105</v>
      </c>
      <c r="BZ367" t="s">
        <v>167</v>
      </c>
      <c r="CA367" t="str">
        <f t="shared" si="19"/>
        <v>7/1/2020 - 6/30/2021</v>
      </c>
      <c r="CF367">
        <v>2</v>
      </c>
      <c r="CG367" t="s">
        <v>98</v>
      </c>
      <c r="CH367" t="s">
        <v>98</v>
      </c>
      <c r="CI367" t="s">
        <v>206</v>
      </c>
      <c r="CJ367" t="s">
        <v>98</v>
      </c>
      <c r="CK367" t="s">
        <v>12324</v>
      </c>
      <c r="CL367" t="s">
        <v>108</v>
      </c>
      <c r="CM367" t="s">
        <v>109</v>
      </c>
      <c r="CN367" t="str">
        <f>""</f>
        <v/>
      </c>
      <c r="CO367" t="str">
        <f>""</f>
        <v/>
      </c>
      <c r="CP367" t="str">
        <f>""</f>
        <v/>
      </c>
      <c r="CQ367" t="str">
        <f>""</f>
        <v/>
      </c>
    </row>
    <row r="368" spans="1:96" x14ac:dyDescent="0.2">
      <c r="A368" t="s">
        <v>6764</v>
      </c>
      <c r="B368" t="s">
        <v>96</v>
      </c>
      <c r="C368" s="1">
        <v>44098</v>
      </c>
      <c r="D368" s="1">
        <v>44105</v>
      </c>
      <c r="F368" t="s">
        <v>97</v>
      </c>
      <c r="G368" t="str">
        <f>"CLOUD DBA (AWS)"</f>
        <v>CLOUD DBA (AWS)</v>
      </c>
      <c r="H368" t="s">
        <v>12169</v>
      </c>
      <c r="I368" t="s">
        <v>124</v>
      </c>
      <c r="J368" t="s">
        <v>98</v>
      </c>
      <c r="K368" s="1">
        <v>44109</v>
      </c>
      <c r="L368" s="1">
        <v>45203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6765</v>
      </c>
      <c r="U368" t="str">
        <f>""</f>
        <v/>
      </c>
      <c r="V368" t="s">
        <v>6766</v>
      </c>
      <c r="W368" t="str">
        <f>"SUITE 320"</f>
        <v>SUITE 320</v>
      </c>
      <c r="X368" t="s">
        <v>2701</v>
      </c>
      <c r="Y368" t="s">
        <v>345</v>
      </c>
      <c r="Z368" s="3">
        <v>60564</v>
      </c>
      <c r="AA368" t="s">
        <v>101</v>
      </c>
      <c r="AC368" s="4" t="str">
        <f>"+16306374560"</f>
        <v>+16306374560</v>
      </c>
      <c r="AE368" t="str">
        <f t="shared" si="20"/>
        <v>541511</v>
      </c>
      <c r="AF368" t="s">
        <v>6767</v>
      </c>
      <c r="AG368" t="s">
        <v>6768</v>
      </c>
      <c r="AI368" t="s">
        <v>228</v>
      </c>
      <c r="AJ368" t="s">
        <v>6766</v>
      </c>
      <c r="AK368" t="str">
        <f>"SUITE 320"</f>
        <v>SUITE 320</v>
      </c>
      <c r="AL368" t="s">
        <v>2701</v>
      </c>
      <c r="AM368" t="s">
        <v>345</v>
      </c>
      <c r="AN368" s="3">
        <v>60564</v>
      </c>
      <c r="AO368" t="s">
        <v>101</v>
      </c>
      <c r="AQ368" t="str">
        <f>"+16306374560"</f>
        <v>+16306374560</v>
      </c>
      <c r="AS368" t="s">
        <v>6769</v>
      </c>
      <c r="AT368" t="s">
        <v>107</v>
      </c>
      <c r="AU368" t="str">
        <f>"Ray"</f>
        <v>Ray</v>
      </c>
      <c r="AV368" t="str">
        <f>"Anthony"</f>
        <v>Anthony</v>
      </c>
      <c r="AW368" t="str">
        <f>"L"</f>
        <v>L</v>
      </c>
      <c r="AX368" t="str">
        <f>"39555 Orchard Hill Place"</f>
        <v>39555 Orchard Hill Place</v>
      </c>
      <c r="AY368" t="str">
        <f>"Suite 245"</f>
        <v>Suite 245</v>
      </c>
      <c r="AZ368" t="str">
        <f>"Novi"</f>
        <v>Novi</v>
      </c>
      <c r="BA368" t="str">
        <f>"MI"</f>
        <v>MI</v>
      </c>
      <c r="BB368" s="3">
        <v>48375</v>
      </c>
      <c r="BC368" t="str">
        <f t="shared" si="21"/>
        <v>UNITED STATES OF AMERICA</v>
      </c>
      <c r="BD368" t="str">
        <f>"MI"</f>
        <v>MI</v>
      </c>
      <c r="BE368" t="str">
        <f>"+12487358800"</f>
        <v>+12487358800</v>
      </c>
      <c r="BF368" t="str">
        <f>""</f>
        <v/>
      </c>
      <c r="BG368" t="str">
        <f>"anthony@raylawinternational.com"</f>
        <v>anthony@raylawinternational.com</v>
      </c>
      <c r="BH368" t="str">
        <f>"ray law international pc"</f>
        <v>ray law international pc</v>
      </c>
      <c r="BI368" t="str">
        <f>"MI"</f>
        <v>MI</v>
      </c>
      <c r="BJ368" t="str">
        <f>"Supreme Court"</f>
        <v>Supreme Court</v>
      </c>
      <c r="BK368">
        <v>1</v>
      </c>
      <c r="BL368" t="s">
        <v>107</v>
      </c>
      <c r="BM368" t="str">
        <f>"AZDOT - ITG (Arizona Department of Transportation)"</f>
        <v>AZDOT - ITG (Arizona Department of Transportation)</v>
      </c>
      <c r="BN368" t="s">
        <v>6770</v>
      </c>
      <c r="BP368" t="s">
        <v>299</v>
      </c>
      <c r="BQ368" t="s">
        <v>257</v>
      </c>
      <c r="BR368" t="s">
        <v>258</v>
      </c>
      <c r="BS368" s="5">
        <v>85034</v>
      </c>
      <c r="BT368" s="2">
        <v>110000</v>
      </c>
      <c r="BV368" t="s">
        <v>105</v>
      </c>
      <c r="BW368" s="2">
        <v>101109</v>
      </c>
      <c r="BX368" t="s">
        <v>105</v>
      </c>
      <c r="BZ368" t="s">
        <v>123</v>
      </c>
      <c r="CA368" t="str">
        <f t="shared" si="19"/>
        <v>7/1/2020 - 6/30/2021</v>
      </c>
      <c r="CF368">
        <v>1</v>
      </c>
      <c r="CG368" t="s">
        <v>98</v>
      </c>
      <c r="CH368" t="s">
        <v>98</v>
      </c>
      <c r="CI368" t="s">
        <v>206</v>
      </c>
      <c r="CJ368" t="s">
        <v>98</v>
      </c>
      <c r="CK368" t="s">
        <v>12324</v>
      </c>
      <c r="CL368" t="s">
        <v>108</v>
      </c>
      <c r="CM368" t="s">
        <v>109</v>
      </c>
      <c r="CN368" t="str">
        <f>"MONAGHAN"</f>
        <v>MONAGHAN</v>
      </c>
      <c r="CO368" t="str">
        <f>"LAUREN"</f>
        <v>LAUREN</v>
      </c>
      <c r="CP368" t="str">
        <f>""</f>
        <v/>
      </c>
      <c r="CQ368" t="str">
        <f>"RAY LAW INTERNATIONAL, P.C."</f>
        <v>RAY LAW INTERNATIONAL, P.C.</v>
      </c>
      <c r="CR368" t="s">
        <v>6771</v>
      </c>
    </row>
    <row r="369" spans="1:96" x14ac:dyDescent="0.2">
      <c r="A369" t="s">
        <v>6796</v>
      </c>
      <c r="B369" t="s">
        <v>96</v>
      </c>
      <c r="C369" s="1">
        <v>44098</v>
      </c>
      <c r="D369" s="1">
        <v>44105</v>
      </c>
      <c r="F369" t="s">
        <v>97</v>
      </c>
      <c r="G369" t="str">
        <f>"Software Developer"</f>
        <v>Software Developer</v>
      </c>
      <c r="H369" t="s">
        <v>12169</v>
      </c>
      <c r="I369" t="s">
        <v>124</v>
      </c>
      <c r="J369" t="s">
        <v>98</v>
      </c>
      <c r="K369" s="1">
        <v>44105</v>
      </c>
      <c r="L369" s="1">
        <v>45199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 t="s">
        <v>5857</v>
      </c>
      <c r="U369" t="str">
        <f>""</f>
        <v/>
      </c>
      <c r="V369" t="s">
        <v>5858</v>
      </c>
      <c r="W369" t="str">
        <f>"Suite # C- 205"</f>
        <v>Suite # C- 205</v>
      </c>
      <c r="X369" t="s">
        <v>561</v>
      </c>
      <c r="Y369" t="s">
        <v>100</v>
      </c>
      <c r="Z369" s="3">
        <v>8820</v>
      </c>
      <c r="AA369" t="s">
        <v>101</v>
      </c>
      <c r="AC369" s="4" t="str">
        <f>"+16465841887"</f>
        <v>+16465841887</v>
      </c>
      <c r="AE369" t="str">
        <f>"541519"</f>
        <v>541519</v>
      </c>
      <c r="AF369" t="s">
        <v>6051</v>
      </c>
      <c r="AG369" t="s">
        <v>6052</v>
      </c>
      <c r="AH369" t="s">
        <v>1723</v>
      </c>
      <c r="AI369" t="s">
        <v>508</v>
      </c>
      <c r="AJ369" t="s">
        <v>5858</v>
      </c>
      <c r="AK369" t="str">
        <f>"Suite C 205"</f>
        <v>Suite C 205</v>
      </c>
      <c r="AL369" t="s">
        <v>6797</v>
      </c>
      <c r="AM369" t="s">
        <v>100</v>
      </c>
      <c r="AN369" s="3">
        <v>8820</v>
      </c>
      <c r="AO369" t="s">
        <v>101</v>
      </c>
      <c r="AQ369" t="str">
        <f>"+16465841887"</f>
        <v>+16465841887</v>
      </c>
      <c r="AS369" t="s">
        <v>5859</v>
      </c>
      <c r="AT369" t="s">
        <v>107</v>
      </c>
      <c r="AU369" t="str">
        <f>"REKHI"</f>
        <v>REKHI</v>
      </c>
      <c r="AV369" t="str">
        <f>"Gunjan"</f>
        <v>Gunjan</v>
      </c>
      <c r="AW369" t="str">
        <f>""</f>
        <v/>
      </c>
      <c r="AX369" t="str">
        <f>"30 Wall Street"</f>
        <v>30 Wall Street</v>
      </c>
      <c r="AY369" t="str">
        <f>"8th floor"</f>
        <v>8th floor</v>
      </c>
      <c r="AZ369" t="str">
        <f>"New York"</f>
        <v>New York</v>
      </c>
      <c r="BA369" t="str">
        <f>"NY"</f>
        <v>NY</v>
      </c>
      <c r="BB369" s="3">
        <v>10005</v>
      </c>
      <c r="BC369" t="str">
        <f t="shared" si="21"/>
        <v>UNITED STATES OF AMERICA</v>
      </c>
      <c r="BD369" t="str">
        <f>""</f>
        <v/>
      </c>
      <c r="BE369" t="str">
        <f>"+12127098062"</f>
        <v>+12127098062</v>
      </c>
      <c r="BF369" t="str">
        <f>""</f>
        <v/>
      </c>
      <c r="BG369" t="str">
        <f>"gunjan@rekhilaw.com"</f>
        <v>gunjan@rekhilaw.com</v>
      </c>
      <c r="BH369" t="str">
        <f>"REKHI LAW OFFICES LLC"</f>
        <v>REKHI LAW OFFICES LLC</v>
      </c>
      <c r="BI369" t="str">
        <f>"NY"</f>
        <v>NY</v>
      </c>
      <c r="BJ369" t="str">
        <f>"SOUTERN DISTRICT"</f>
        <v>SOUTERN DISTRICT</v>
      </c>
      <c r="BK369">
        <v>1</v>
      </c>
      <c r="BL369" t="s">
        <v>107</v>
      </c>
      <c r="BM369" t="str">
        <f>"Capital One"</f>
        <v>Capital One</v>
      </c>
      <c r="BN369" t="s">
        <v>6798</v>
      </c>
      <c r="BP369" t="s">
        <v>297</v>
      </c>
      <c r="BQ369" t="s">
        <v>484</v>
      </c>
      <c r="BR369" t="s">
        <v>114</v>
      </c>
      <c r="BS369" s="5">
        <v>75024</v>
      </c>
      <c r="BT369" s="2">
        <v>94000</v>
      </c>
      <c r="BV369" t="s">
        <v>105</v>
      </c>
      <c r="BW369" s="2">
        <v>93558</v>
      </c>
      <c r="BX369" t="s">
        <v>105</v>
      </c>
      <c r="BZ369" t="s">
        <v>167</v>
      </c>
      <c r="CA369" t="str">
        <f t="shared" si="19"/>
        <v>7/1/2020 - 6/30/2021</v>
      </c>
      <c r="CF369">
        <v>1</v>
      </c>
      <c r="CG369" t="s">
        <v>98</v>
      </c>
      <c r="CH369" t="s">
        <v>98</v>
      </c>
      <c r="CI369" t="s">
        <v>206</v>
      </c>
      <c r="CJ369" t="s">
        <v>98</v>
      </c>
      <c r="CK369" t="s">
        <v>12324</v>
      </c>
      <c r="CL369" t="s">
        <v>108</v>
      </c>
      <c r="CM369" t="s">
        <v>109</v>
      </c>
      <c r="CN369" t="str">
        <f>""</f>
        <v/>
      </c>
      <c r="CO369" t="str">
        <f>""</f>
        <v/>
      </c>
      <c r="CP369" t="str">
        <f>""</f>
        <v/>
      </c>
      <c r="CQ369" t="str">
        <f>""</f>
        <v/>
      </c>
    </row>
    <row r="370" spans="1:96" x14ac:dyDescent="0.2">
      <c r="A370" t="s">
        <v>6836</v>
      </c>
      <c r="B370" t="s">
        <v>96</v>
      </c>
      <c r="C370" s="1">
        <v>44098</v>
      </c>
      <c r="D370" s="1">
        <v>44105</v>
      </c>
      <c r="F370" t="s">
        <v>97</v>
      </c>
      <c r="G370" t="str">
        <f>"FULL STACK DEVELOPER"</f>
        <v>FULL STACK DEVELOPER</v>
      </c>
      <c r="H370" t="s">
        <v>12169</v>
      </c>
      <c r="I370" t="s">
        <v>124</v>
      </c>
      <c r="J370" t="s">
        <v>98</v>
      </c>
      <c r="K370" s="1">
        <v>44195</v>
      </c>
      <c r="L370" s="1">
        <v>45289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 t="s">
        <v>6837</v>
      </c>
      <c r="U370" t="str">
        <f>""</f>
        <v/>
      </c>
      <c r="V370" t="s">
        <v>6838</v>
      </c>
      <c r="W370" t="str">
        <f>"SUITE 140"</f>
        <v>SUITE 140</v>
      </c>
      <c r="X370" t="s">
        <v>3997</v>
      </c>
      <c r="Y370" t="s">
        <v>135</v>
      </c>
      <c r="Z370" s="3">
        <v>20164</v>
      </c>
      <c r="AA370" t="s">
        <v>101</v>
      </c>
      <c r="AC370" s="4" t="str">
        <f>"+17036655373"</f>
        <v>+17036655373</v>
      </c>
      <c r="AE370" t="str">
        <f t="shared" ref="AE370:AE375" si="22">"541511"</f>
        <v>541511</v>
      </c>
      <c r="AF370" t="s">
        <v>6839</v>
      </c>
      <c r="AG370" t="s">
        <v>2651</v>
      </c>
      <c r="AI370" t="s">
        <v>1789</v>
      </c>
      <c r="AJ370" t="s">
        <v>6838</v>
      </c>
      <c r="AK370" t="str">
        <f>"SUITE 140"</f>
        <v>SUITE 140</v>
      </c>
      <c r="AL370" t="s">
        <v>3997</v>
      </c>
      <c r="AM370" t="s">
        <v>135</v>
      </c>
      <c r="AN370" s="3">
        <v>20164</v>
      </c>
      <c r="AO370" t="s">
        <v>101</v>
      </c>
      <c r="AQ370" t="str">
        <f>"+17036655373"</f>
        <v>+17036655373</v>
      </c>
      <c r="AS370" t="s">
        <v>6840</v>
      </c>
      <c r="AT370" t="s">
        <v>107</v>
      </c>
      <c r="AU370" t="str">
        <f>"JI"</f>
        <v>JI</v>
      </c>
      <c r="AV370" t="str">
        <f>"ELIZABETH"</f>
        <v>ELIZABETH</v>
      </c>
      <c r="AW370" t="str">
        <f>""</f>
        <v/>
      </c>
      <c r="AX370" t="str">
        <f>"1325 SATELLITE BLVD., NW"</f>
        <v>1325 SATELLITE BLVD., NW</v>
      </c>
      <c r="AY370" t="str">
        <f>"SUITE 204"</f>
        <v>SUITE 204</v>
      </c>
      <c r="AZ370" t="str">
        <f>"SUWANEE"</f>
        <v>SUWANEE</v>
      </c>
      <c r="BA370" t="str">
        <f>"GA"</f>
        <v>GA</v>
      </c>
      <c r="BB370" s="3">
        <v>30024</v>
      </c>
      <c r="BC370" t="str">
        <f t="shared" si="21"/>
        <v>UNITED STATES OF AMERICA</v>
      </c>
      <c r="BD370" t="str">
        <f>""</f>
        <v/>
      </c>
      <c r="BE370" t="str">
        <f>"+14049478048"</f>
        <v>+14049478048</v>
      </c>
      <c r="BF370" t="str">
        <f>""</f>
        <v/>
      </c>
      <c r="BG370" t="str">
        <f>"EJI@MYJILAW.COM"</f>
        <v>EJI@MYJILAW.COM</v>
      </c>
      <c r="BH370" t="str">
        <f>"THE JI LAW FIRM"</f>
        <v>THE JI LAW FIRM</v>
      </c>
      <c r="BI370" t="str">
        <f>"GA"</f>
        <v>GA</v>
      </c>
      <c r="BJ370" t="str">
        <f>"THE SUPREME COURT OF GEORGIA"</f>
        <v>THE SUPREME COURT OF GEORGIA</v>
      </c>
      <c r="BK370">
        <v>1</v>
      </c>
      <c r="BL370" t="s">
        <v>107</v>
      </c>
      <c r="BM370" t="str">
        <f>"APPLE INC."</f>
        <v>APPLE INC.</v>
      </c>
      <c r="BN370" t="s">
        <v>6841</v>
      </c>
      <c r="BP370" t="s">
        <v>240</v>
      </c>
      <c r="BQ370" t="s">
        <v>230</v>
      </c>
      <c r="BR370" t="s">
        <v>141</v>
      </c>
      <c r="BS370" s="5">
        <v>95014</v>
      </c>
      <c r="BT370" s="2">
        <v>95550</v>
      </c>
      <c r="BV370" t="s">
        <v>105</v>
      </c>
      <c r="BW370" s="2">
        <v>95430</v>
      </c>
      <c r="BX370" t="s">
        <v>105</v>
      </c>
      <c r="BZ370" t="s">
        <v>191</v>
      </c>
      <c r="CA370" t="str">
        <f t="shared" si="19"/>
        <v>7/1/2020 - 6/30/2021</v>
      </c>
      <c r="CF370">
        <v>1</v>
      </c>
      <c r="CG370" t="s">
        <v>98</v>
      </c>
      <c r="CH370" t="s">
        <v>98</v>
      </c>
      <c r="CI370" t="s">
        <v>206</v>
      </c>
      <c r="CJ370" t="s">
        <v>98</v>
      </c>
      <c r="CK370" t="s">
        <v>12324</v>
      </c>
      <c r="CL370" t="s">
        <v>108</v>
      </c>
      <c r="CM370" t="s">
        <v>109</v>
      </c>
      <c r="CN370" t="str">
        <f>"JI"</f>
        <v>JI</v>
      </c>
      <c r="CO370" t="str">
        <f>"ELIZABETH"</f>
        <v>ELIZABETH</v>
      </c>
      <c r="CP370" t="str">
        <f>""</f>
        <v/>
      </c>
      <c r="CQ370" t="str">
        <f>"THE JI LAW FIRM"</f>
        <v>THE JI LAW FIRM</v>
      </c>
      <c r="CR370" t="s">
        <v>6842</v>
      </c>
    </row>
    <row r="371" spans="1:96" x14ac:dyDescent="0.2">
      <c r="A371" t="s">
        <v>7052</v>
      </c>
      <c r="B371" t="s">
        <v>96</v>
      </c>
      <c r="C371" s="1">
        <v>44098</v>
      </c>
      <c r="D371" s="1">
        <v>44105</v>
      </c>
      <c r="F371" t="s">
        <v>97</v>
      </c>
      <c r="G371" t="str">
        <f>"Senior Java Developer"</f>
        <v>Senior Java Developer</v>
      </c>
      <c r="H371" t="s">
        <v>12169</v>
      </c>
      <c r="I371" t="s">
        <v>124</v>
      </c>
      <c r="J371" t="s">
        <v>98</v>
      </c>
      <c r="K371" s="1">
        <v>44098</v>
      </c>
      <c r="L371" s="1">
        <v>45192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 t="s">
        <v>822</v>
      </c>
      <c r="U371" t="str">
        <f>""</f>
        <v/>
      </c>
      <c r="V371" t="s">
        <v>823</v>
      </c>
      <c r="W371" t="str">
        <f>"Suite 135"</f>
        <v>Suite 135</v>
      </c>
      <c r="X371" t="s">
        <v>824</v>
      </c>
      <c r="Y371" t="s">
        <v>135</v>
      </c>
      <c r="Z371" s="3">
        <v>20166</v>
      </c>
      <c r="AA371" t="s">
        <v>101</v>
      </c>
      <c r="AC371" s="4" t="str">
        <f>"+12407740001"</f>
        <v>+12407740001</v>
      </c>
      <c r="AE371" t="str">
        <f t="shared" si="22"/>
        <v>541511</v>
      </c>
      <c r="AF371" t="s">
        <v>825</v>
      </c>
      <c r="AG371" t="s">
        <v>826</v>
      </c>
      <c r="AI371" t="s">
        <v>508</v>
      </c>
      <c r="AJ371" t="s">
        <v>823</v>
      </c>
      <c r="AK371" t="str">
        <f>"Suite 135"</f>
        <v>Suite 135</v>
      </c>
      <c r="AL371" t="s">
        <v>824</v>
      </c>
      <c r="AM371" t="s">
        <v>135</v>
      </c>
      <c r="AN371" s="3">
        <v>20166</v>
      </c>
      <c r="AO371" t="s">
        <v>101</v>
      </c>
      <c r="AQ371" t="str">
        <f>"+12407740003"</f>
        <v>+12407740003</v>
      </c>
      <c r="AS371" t="s">
        <v>827</v>
      </c>
      <c r="AT371" t="s">
        <v>107</v>
      </c>
      <c r="AU371" t="str">
        <f>"Shah"</f>
        <v>Shah</v>
      </c>
      <c r="AV371" t="str">
        <f>"Devang"</f>
        <v>Devang</v>
      </c>
      <c r="AW371" t="str">
        <f>"M."</f>
        <v>M.</v>
      </c>
      <c r="AX371" t="str">
        <f>"9201 Corporate Blvd."</f>
        <v>9201 Corporate Blvd.</v>
      </c>
      <c r="AY371" t="str">
        <f>"Suite 330"</f>
        <v>Suite 330</v>
      </c>
      <c r="AZ371" t="str">
        <f>"Rockville"</f>
        <v>Rockville</v>
      </c>
      <c r="BA371" t="str">
        <f>"MD"</f>
        <v>MD</v>
      </c>
      <c r="BB371" s="3">
        <v>20850</v>
      </c>
      <c r="BC371" t="str">
        <f t="shared" si="21"/>
        <v>UNITED STATES OF AMERICA</v>
      </c>
      <c r="BD371" t="str">
        <f>""</f>
        <v/>
      </c>
      <c r="BE371" t="str">
        <f>"+13013150001"</f>
        <v>+13013150001</v>
      </c>
      <c r="BF371" t="str">
        <f>""</f>
        <v/>
      </c>
      <c r="BG371" t="str">
        <f>"Shah@shahandkishore.com"</f>
        <v>Shah@shahandkishore.com</v>
      </c>
      <c r="BH371" t="str">
        <f>"Shah and Kishore"</f>
        <v>Shah and Kishore</v>
      </c>
      <c r="BI371" t="str">
        <f>"MD"</f>
        <v>MD</v>
      </c>
      <c r="BJ371" t="str">
        <f>"Court of Appeals"</f>
        <v>Court of Appeals</v>
      </c>
      <c r="BK371">
        <v>1</v>
      </c>
      <c r="BL371" t="s">
        <v>107</v>
      </c>
      <c r="BM371" t="str">
        <f>"Equifax"</f>
        <v>Equifax</v>
      </c>
      <c r="BN371" t="s">
        <v>5186</v>
      </c>
      <c r="BP371" t="s">
        <v>847</v>
      </c>
      <c r="BQ371" t="s">
        <v>214</v>
      </c>
      <c r="BR371" t="s">
        <v>215</v>
      </c>
      <c r="BS371" s="5">
        <v>30005</v>
      </c>
      <c r="BT371" s="2">
        <v>85842</v>
      </c>
      <c r="BV371" t="s">
        <v>105</v>
      </c>
      <c r="BW371" s="2">
        <v>85842</v>
      </c>
      <c r="BX371" t="s">
        <v>105</v>
      </c>
      <c r="BZ371" t="s">
        <v>167</v>
      </c>
      <c r="CA371" t="str">
        <f t="shared" si="19"/>
        <v>7/1/2020 - 6/30/2021</v>
      </c>
      <c r="CF371">
        <v>2</v>
      </c>
      <c r="CG371" t="s">
        <v>98</v>
      </c>
      <c r="CH371" t="s">
        <v>98</v>
      </c>
      <c r="CI371" t="s">
        <v>206</v>
      </c>
      <c r="CJ371" t="s">
        <v>98</v>
      </c>
      <c r="CK371" t="s">
        <v>12324</v>
      </c>
      <c r="CL371" t="s">
        <v>108</v>
      </c>
      <c r="CM371" t="s">
        <v>109</v>
      </c>
      <c r="CN371" t="str">
        <f>"Shah"</f>
        <v>Shah</v>
      </c>
      <c r="CO371" t="str">
        <f>"Devang"</f>
        <v>Devang</v>
      </c>
      <c r="CP371" t="str">
        <f>"M."</f>
        <v>M.</v>
      </c>
      <c r="CQ371" t="str">
        <f>"Shah and Kishore"</f>
        <v>Shah and Kishore</v>
      </c>
      <c r="CR371" t="s">
        <v>828</v>
      </c>
    </row>
    <row r="372" spans="1:96" x14ac:dyDescent="0.2">
      <c r="A372" t="s">
        <v>7072</v>
      </c>
      <c r="B372" t="s">
        <v>96</v>
      </c>
      <c r="C372" s="1">
        <v>44098</v>
      </c>
      <c r="D372" s="1">
        <v>44105</v>
      </c>
      <c r="F372" t="s">
        <v>97</v>
      </c>
      <c r="G372" t="str">
        <f>"MICROSTRATEGY DEVELOPER"</f>
        <v>MICROSTRATEGY DEVELOPER</v>
      </c>
      <c r="H372" t="s">
        <v>12169</v>
      </c>
      <c r="I372" t="s">
        <v>124</v>
      </c>
      <c r="J372" t="s">
        <v>98</v>
      </c>
      <c r="K372" s="1">
        <v>44109</v>
      </c>
      <c r="L372" s="1">
        <v>45077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 t="s">
        <v>6217</v>
      </c>
      <c r="U372" t="str">
        <f>""</f>
        <v/>
      </c>
      <c r="V372" t="s">
        <v>7073</v>
      </c>
      <c r="W372" t="str">
        <f>"SUITE 201"</f>
        <v>SUITE 201</v>
      </c>
      <c r="X372" t="s">
        <v>2770</v>
      </c>
      <c r="Y372" t="s">
        <v>215</v>
      </c>
      <c r="Z372" s="3">
        <v>30024</v>
      </c>
      <c r="AA372" t="s">
        <v>101</v>
      </c>
      <c r="AC372" s="4" t="str">
        <f>"+17709355165"</f>
        <v>+17709355165</v>
      </c>
      <c r="AE372" t="str">
        <f t="shared" si="22"/>
        <v>541511</v>
      </c>
      <c r="AF372" t="s">
        <v>6218</v>
      </c>
      <c r="AG372" t="s">
        <v>6219</v>
      </c>
      <c r="AI372" t="s">
        <v>1789</v>
      </c>
      <c r="AJ372" t="s">
        <v>7073</v>
      </c>
      <c r="AK372" t="str">
        <f>"SUITE 201"</f>
        <v>SUITE 201</v>
      </c>
      <c r="AL372" t="s">
        <v>2770</v>
      </c>
      <c r="AM372" t="s">
        <v>215</v>
      </c>
      <c r="AN372" s="3">
        <v>30024</v>
      </c>
      <c r="AO372" t="s">
        <v>101</v>
      </c>
      <c r="AQ372" t="str">
        <f>"+17709355165"</f>
        <v>+17709355165</v>
      </c>
      <c r="AS372" t="s">
        <v>6220</v>
      </c>
      <c r="AT372" t="s">
        <v>102</v>
      </c>
      <c r="AU372" t="str">
        <f>""</f>
        <v/>
      </c>
      <c r="AV372" t="str">
        <f>""</f>
        <v/>
      </c>
      <c r="AW372" t="str">
        <f>""</f>
        <v/>
      </c>
      <c r="AX372" t="str">
        <f>""</f>
        <v/>
      </c>
      <c r="AY372" t="str">
        <f>""</f>
        <v/>
      </c>
      <c r="AZ372" t="str">
        <f>""</f>
        <v/>
      </c>
      <c r="BA372" t="str">
        <f>""</f>
        <v/>
      </c>
      <c r="BC372" t="str">
        <f>""</f>
        <v/>
      </c>
      <c r="BD372" t="str">
        <f>""</f>
        <v/>
      </c>
      <c r="BE372" t="str">
        <f>""</f>
        <v/>
      </c>
      <c r="BF372" t="str">
        <f>""</f>
        <v/>
      </c>
      <c r="BG372" t="str">
        <f>""</f>
        <v/>
      </c>
      <c r="BH372" t="str">
        <f>""</f>
        <v/>
      </c>
      <c r="BI372" t="str">
        <f>""</f>
        <v/>
      </c>
      <c r="BJ372" t="str">
        <f>""</f>
        <v/>
      </c>
      <c r="BK372">
        <v>1</v>
      </c>
      <c r="BL372" t="s">
        <v>107</v>
      </c>
      <c r="BM372" t="str">
        <f>"WHATABURGER"</f>
        <v>WHATABURGER</v>
      </c>
      <c r="BN372" t="s">
        <v>7074</v>
      </c>
      <c r="BP372" t="s">
        <v>3985</v>
      </c>
      <c r="BQ372" t="s">
        <v>1513</v>
      </c>
      <c r="BR372" t="s">
        <v>114</v>
      </c>
      <c r="BS372" s="5">
        <v>78216</v>
      </c>
      <c r="BT372" s="2">
        <v>93558</v>
      </c>
      <c r="BV372" t="s">
        <v>105</v>
      </c>
      <c r="BW372" s="2">
        <v>91562</v>
      </c>
      <c r="BX372" t="s">
        <v>105</v>
      </c>
      <c r="BZ372" t="s">
        <v>167</v>
      </c>
      <c r="CA372" t="str">
        <f t="shared" si="19"/>
        <v>7/1/2020 - 6/30/2021</v>
      </c>
      <c r="CF372">
        <v>2</v>
      </c>
      <c r="CG372" t="s">
        <v>98</v>
      </c>
      <c r="CH372" t="s">
        <v>98</v>
      </c>
      <c r="CI372" t="s">
        <v>206</v>
      </c>
      <c r="CJ372" t="s">
        <v>98</v>
      </c>
      <c r="CK372" t="s">
        <v>12324</v>
      </c>
      <c r="CL372" t="s">
        <v>108</v>
      </c>
      <c r="CM372" t="s">
        <v>109</v>
      </c>
      <c r="CN372" t="str">
        <f>""</f>
        <v/>
      </c>
      <c r="CO372" t="str">
        <f>""</f>
        <v/>
      </c>
      <c r="CP372" t="str">
        <f>""</f>
        <v/>
      </c>
      <c r="CQ372" t="str">
        <f>""</f>
        <v/>
      </c>
    </row>
    <row r="373" spans="1:96" x14ac:dyDescent="0.2">
      <c r="A373" t="s">
        <v>7215</v>
      </c>
      <c r="B373" t="s">
        <v>96</v>
      </c>
      <c r="C373" s="1">
        <v>44098</v>
      </c>
      <c r="D373" s="1">
        <v>44105</v>
      </c>
      <c r="F373" t="s">
        <v>97</v>
      </c>
      <c r="G373" t="str">
        <f>"SR. SOFTWARE ENGINEER"</f>
        <v>SR. SOFTWARE ENGINEER</v>
      </c>
      <c r="H373" t="s">
        <v>12169</v>
      </c>
      <c r="I373" t="s">
        <v>124</v>
      </c>
      <c r="J373" t="s">
        <v>98</v>
      </c>
      <c r="K373" s="1">
        <v>44185</v>
      </c>
      <c r="L373" s="1">
        <v>45279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 t="s">
        <v>7216</v>
      </c>
      <c r="U373" t="str">
        <f>""</f>
        <v/>
      </c>
      <c r="V373" t="s">
        <v>7217</v>
      </c>
      <c r="W373" t="str">
        <f>"Suite #5"</f>
        <v>Suite #5</v>
      </c>
      <c r="X373" t="s">
        <v>4672</v>
      </c>
      <c r="Y373" t="s">
        <v>345</v>
      </c>
      <c r="Z373" s="3">
        <v>61265</v>
      </c>
      <c r="AA373" t="s">
        <v>101</v>
      </c>
      <c r="AC373" s="4" t="str">
        <f>"+17328876995"</f>
        <v>+17328876995</v>
      </c>
      <c r="AE373" t="str">
        <f t="shared" si="22"/>
        <v>541511</v>
      </c>
      <c r="AF373" t="s">
        <v>7218</v>
      </c>
      <c r="AG373" t="s">
        <v>7219</v>
      </c>
      <c r="AI373" t="s">
        <v>876</v>
      </c>
      <c r="AJ373" t="s">
        <v>7217</v>
      </c>
      <c r="AK373" t="str">
        <f>"Suite #5"</f>
        <v>Suite #5</v>
      </c>
      <c r="AL373" t="s">
        <v>4672</v>
      </c>
      <c r="AM373" t="s">
        <v>345</v>
      </c>
      <c r="AN373" s="3">
        <v>61265</v>
      </c>
      <c r="AO373" t="s">
        <v>101</v>
      </c>
      <c r="AQ373" t="str">
        <f>"+17328876995"</f>
        <v>+17328876995</v>
      </c>
      <c r="AS373" t="s">
        <v>7220</v>
      </c>
      <c r="AT373" t="s">
        <v>107</v>
      </c>
      <c r="AU373" t="str">
        <f>"Ray"</f>
        <v>Ray</v>
      </c>
      <c r="AV373" t="str">
        <f>"Anthony"</f>
        <v>Anthony</v>
      </c>
      <c r="AW373" t="str">
        <f>""</f>
        <v/>
      </c>
      <c r="AX373" t="str">
        <f>"35 E. Wacker Drive"</f>
        <v>35 E. Wacker Drive</v>
      </c>
      <c r="AY373" t="str">
        <f>"Suite 650"</f>
        <v>Suite 650</v>
      </c>
      <c r="AZ373" t="str">
        <f>"Chicago"</f>
        <v>Chicago</v>
      </c>
      <c r="BA373" t="str">
        <f>"IL"</f>
        <v>IL</v>
      </c>
      <c r="BB373" s="3">
        <v>60601</v>
      </c>
      <c r="BC373" t="str">
        <f>"UNITED STATES OF AMERICA"</f>
        <v>UNITED STATES OF AMERICA</v>
      </c>
      <c r="BD373" t="str">
        <f>""</f>
        <v/>
      </c>
      <c r="BE373" t="str">
        <f>"+13125465116"</f>
        <v>+13125465116</v>
      </c>
      <c r="BF373" t="str">
        <f>""</f>
        <v/>
      </c>
      <c r="BG373" t="str">
        <f>"anthony@raylawinternational.com"</f>
        <v>anthony@raylawinternational.com</v>
      </c>
      <c r="BH373" t="str">
        <f>"Ray Law International, P.C."</f>
        <v>Ray Law International, P.C.</v>
      </c>
      <c r="BI373" t="str">
        <f>"MI"</f>
        <v>MI</v>
      </c>
      <c r="BJ373" t="str">
        <f>"Supreme Court"</f>
        <v>Supreme Court</v>
      </c>
      <c r="BK373">
        <v>1</v>
      </c>
      <c r="BL373" t="s">
        <v>107</v>
      </c>
      <c r="BM373" t="str">
        <f>"CUSHMAN &amp; WAKEFIELD"</f>
        <v>CUSHMAN &amp; WAKEFIELD</v>
      </c>
      <c r="BN373" t="s">
        <v>7221</v>
      </c>
      <c r="BO373" t="s">
        <v>7222</v>
      </c>
      <c r="BP373" t="s">
        <v>843</v>
      </c>
      <c r="BQ373" t="s">
        <v>788</v>
      </c>
      <c r="BR373" t="s">
        <v>345</v>
      </c>
      <c r="BS373" s="5">
        <v>60606</v>
      </c>
      <c r="BT373" s="2">
        <v>100000</v>
      </c>
      <c r="BV373" t="s">
        <v>105</v>
      </c>
      <c r="BW373" s="2">
        <v>87838</v>
      </c>
      <c r="BX373" t="s">
        <v>105</v>
      </c>
      <c r="BZ373" t="s">
        <v>167</v>
      </c>
      <c r="CA373" t="str">
        <f t="shared" si="19"/>
        <v>7/1/2020 - 6/30/2021</v>
      </c>
      <c r="CF373">
        <v>1</v>
      </c>
      <c r="CG373" t="s">
        <v>98</v>
      </c>
      <c r="CH373" t="s">
        <v>98</v>
      </c>
      <c r="CI373" t="s">
        <v>206</v>
      </c>
      <c r="CJ373" t="s">
        <v>98</v>
      </c>
      <c r="CK373" t="s">
        <v>12324</v>
      </c>
      <c r="CL373" t="s">
        <v>108</v>
      </c>
      <c r="CM373" t="s">
        <v>109</v>
      </c>
      <c r="CN373" t="str">
        <f>"MONAGHAN"</f>
        <v>MONAGHAN</v>
      </c>
      <c r="CO373" t="str">
        <f>"LAUREN"</f>
        <v>LAUREN</v>
      </c>
      <c r="CP373" t="str">
        <f>""</f>
        <v/>
      </c>
      <c r="CQ373" t="str">
        <f>"RAY LAW INTERNATIONAL, P.C."</f>
        <v>RAY LAW INTERNATIONAL, P.C.</v>
      </c>
      <c r="CR373" t="s">
        <v>6771</v>
      </c>
    </row>
    <row r="374" spans="1:96" x14ac:dyDescent="0.2">
      <c r="A374" t="s">
        <v>7326</v>
      </c>
      <c r="B374" t="s">
        <v>96</v>
      </c>
      <c r="C374" s="1">
        <v>44098</v>
      </c>
      <c r="D374" s="1">
        <v>44105</v>
      </c>
      <c r="F374" t="s">
        <v>97</v>
      </c>
      <c r="G374" t="str">
        <f>"Sr. Software Engineer"</f>
        <v>Sr. Software Engineer</v>
      </c>
      <c r="H374" t="s">
        <v>12169</v>
      </c>
      <c r="I374" t="s">
        <v>124</v>
      </c>
      <c r="J374" t="s">
        <v>98</v>
      </c>
      <c r="K374" s="1">
        <v>44109</v>
      </c>
      <c r="L374" s="1">
        <v>45203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 t="s">
        <v>7327</v>
      </c>
      <c r="U374" t="str">
        <f>""</f>
        <v/>
      </c>
      <c r="V374" t="s">
        <v>7328</v>
      </c>
      <c r="W374" t="str">
        <f>"Suite 111"</f>
        <v>Suite 111</v>
      </c>
      <c r="X374" t="s">
        <v>7329</v>
      </c>
      <c r="Y374" t="s">
        <v>193</v>
      </c>
      <c r="Z374" s="3">
        <v>66210</v>
      </c>
      <c r="AA374" t="s">
        <v>101</v>
      </c>
      <c r="AC374" s="4" t="str">
        <f>"+19134887913"</f>
        <v>+19134887913</v>
      </c>
      <c r="AE374" t="str">
        <f t="shared" si="22"/>
        <v>541511</v>
      </c>
      <c r="AF374" t="s">
        <v>7330</v>
      </c>
      <c r="AG374" t="s">
        <v>3577</v>
      </c>
      <c r="AI374" t="s">
        <v>298</v>
      </c>
      <c r="AJ374" t="s">
        <v>7331</v>
      </c>
      <c r="AK374" t="str">
        <f>"Suite 111"</f>
        <v>Suite 111</v>
      </c>
      <c r="AL374" t="s">
        <v>1371</v>
      </c>
      <c r="AM374" t="s">
        <v>193</v>
      </c>
      <c r="AN374" s="3">
        <v>66210</v>
      </c>
      <c r="AO374" t="s">
        <v>101</v>
      </c>
      <c r="AQ374" t="str">
        <f>"+19134887913"</f>
        <v>+19134887913</v>
      </c>
      <c r="AS374" t="s">
        <v>7332</v>
      </c>
      <c r="AT374" t="s">
        <v>107</v>
      </c>
      <c r="AU374" t="str">
        <f>"Loops"</f>
        <v>Loops</v>
      </c>
      <c r="AV374" t="str">
        <f>"Adam"</f>
        <v>Adam</v>
      </c>
      <c r="AW374" t="str">
        <f>"Anthony"</f>
        <v>Anthony</v>
      </c>
      <c r="AX374" t="str">
        <f>"221 Briarheath Lane"</f>
        <v>221 Briarheath Lane</v>
      </c>
      <c r="AY374" t="str">
        <f>""</f>
        <v/>
      </c>
      <c r="AZ374" t="str">
        <f>"Naperville"</f>
        <v>Naperville</v>
      </c>
      <c r="BA374" t="str">
        <f>"IL"</f>
        <v>IL</v>
      </c>
      <c r="BB374" s="3">
        <v>60565</v>
      </c>
      <c r="BC374" t="str">
        <f>"UNITED STATES OF AMERICA"</f>
        <v>UNITED STATES OF AMERICA</v>
      </c>
      <c r="BD374" t="str">
        <f>""</f>
        <v/>
      </c>
      <c r="BE374" t="str">
        <f>"+16305485730"</f>
        <v>+16305485730</v>
      </c>
      <c r="BF374" t="str">
        <f>""</f>
        <v/>
      </c>
      <c r="BG374" t="str">
        <f>"sam@legal-visa.com"</f>
        <v>sam@legal-visa.com</v>
      </c>
      <c r="BH374" t="str">
        <f>"Legal Visa Law Offices, LLC."</f>
        <v>Legal Visa Law Offices, LLC.</v>
      </c>
      <c r="BI374" t="str">
        <f>"IL"</f>
        <v>IL</v>
      </c>
      <c r="BJ374" t="str">
        <f>"Supreme Court"</f>
        <v>Supreme Court</v>
      </c>
      <c r="BK374">
        <v>1</v>
      </c>
      <c r="BL374" t="s">
        <v>107</v>
      </c>
      <c r="BM374" t="str">
        <f>"Capital One Bank"</f>
        <v>Capital One Bank</v>
      </c>
      <c r="BN374" t="s">
        <v>7333</v>
      </c>
      <c r="BP374" t="s">
        <v>297</v>
      </c>
      <c r="BQ374" t="s">
        <v>556</v>
      </c>
      <c r="BR374" t="s">
        <v>114</v>
      </c>
      <c r="BS374" s="5">
        <v>75024</v>
      </c>
      <c r="BT374" s="2">
        <v>93558</v>
      </c>
      <c r="BV374" t="s">
        <v>105</v>
      </c>
      <c r="BW374" s="2">
        <v>93558</v>
      </c>
      <c r="BX374" t="s">
        <v>105</v>
      </c>
      <c r="BZ374" t="s">
        <v>167</v>
      </c>
      <c r="CA374" t="str">
        <f t="shared" si="19"/>
        <v>7/1/2020 - 6/30/2021</v>
      </c>
      <c r="CF374">
        <v>1</v>
      </c>
      <c r="CG374" t="s">
        <v>98</v>
      </c>
      <c r="CH374" t="s">
        <v>98</v>
      </c>
      <c r="CI374" t="s">
        <v>206</v>
      </c>
      <c r="CJ374" t="s">
        <v>98</v>
      </c>
      <c r="CK374" t="s">
        <v>12324</v>
      </c>
      <c r="CL374" t="s">
        <v>108</v>
      </c>
      <c r="CM374" t="s">
        <v>109</v>
      </c>
      <c r="CN374" t="str">
        <f>"Loops"</f>
        <v>Loops</v>
      </c>
      <c r="CO374" t="str">
        <f>"Adam"</f>
        <v>Adam</v>
      </c>
      <c r="CP374" t="str">
        <f>"A"</f>
        <v>A</v>
      </c>
      <c r="CQ374" t="str">
        <f>"Legal Visa Law Offices LLC."</f>
        <v>Legal Visa Law Offices LLC.</v>
      </c>
      <c r="CR374" t="s">
        <v>7071</v>
      </c>
    </row>
    <row r="375" spans="1:96" x14ac:dyDescent="0.2">
      <c r="A375" t="s">
        <v>7435</v>
      </c>
      <c r="B375" t="s">
        <v>96</v>
      </c>
      <c r="C375" s="1">
        <v>44098</v>
      </c>
      <c r="D375" s="1">
        <v>44105</v>
      </c>
      <c r="F375" t="s">
        <v>97</v>
      </c>
      <c r="G375" t="str">
        <f>"Software Engineer"</f>
        <v>Software Engineer</v>
      </c>
      <c r="H375" t="s">
        <v>12169</v>
      </c>
      <c r="I375" t="s">
        <v>124</v>
      </c>
      <c r="J375" t="s">
        <v>98</v>
      </c>
      <c r="K375" s="1">
        <v>44197</v>
      </c>
      <c r="L375" s="1">
        <v>45291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 t="s">
        <v>7436</v>
      </c>
      <c r="U375" t="str">
        <f>""</f>
        <v/>
      </c>
      <c r="V375" t="s">
        <v>7437</v>
      </c>
      <c r="W375" t="str">
        <f>"SUITE 203"</f>
        <v>SUITE 203</v>
      </c>
      <c r="X375" t="s">
        <v>7438</v>
      </c>
      <c r="Y375" t="s">
        <v>100</v>
      </c>
      <c r="Z375" s="3">
        <v>8854</v>
      </c>
      <c r="AA375" t="s">
        <v>101</v>
      </c>
      <c r="AC375" s="4" t="str">
        <f>"+14256895402"</f>
        <v>+14256895402</v>
      </c>
      <c r="AE375" t="str">
        <f t="shared" si="22"/>
        <v>541511</v>
      </c>
      <c r="AF375" t="s">
        <v>7439</v>
      </c>
      <c r="AG375" t="s">
        <v>7440</v>
      </c>
      <c r="AI375" t="s">
        <v>508</v>
      </c>
      <c r="AJ375" t="s">
        <v>7437</v>
      </c>
      <c r="AK375" t="str">
        <f>"SUITE 203"</f>
        <v>SUITE 203</v>
      </c>
      <c r="AL375" t="s">
        <v>7438</v>
      </c>
      <c r="AM375" t="s">
        <v>100</v>
      </c>
      <c r="AN375" s="3">
        <v>8854</v>
      </c>
      <c r="AO375" t="s">
        <v>101</v>
      </c>
      <c r="AQ375" t="str">
        <f>"+14256895402"</f>
        <v>+14256895402</v>
      </c>
      <c r="AS375" t="s">
        <v>7441</v>
      </c>
      <c r="AT375" t="s">
        <v>102</v>
      </c>
      <c r="AU375" t="str">
        <f>""</f>
        <v/>
      </c>
      <c r="AV375" t="str">
        <f>""</f>
        <v/>
      </c>
      <c r="AW375" t="str">
        <f>""</f>
        <v/>
      </c>
      <c r="AX375" t="str">
        <f>""</f>
        <v/>
      </c>
      <c r="AY375" t="str">
        <f>""</f>
        <v/>
      </c>
      <c r="AZ375" t="str">
        <f>""</f>
        <v/>
      </c>
      <c r="BA375" t="str">
        <f>""</f>
        <v/>
      </c>
      <c r="BC375" t="str">
        <f>""</f>
        <v/>
      </c>
      <c r="BD375" t="str">
        <f>""</f>
        <v/>
      </c>
      <c r="BE375" t="str">
        <f>""</f>
        <v/>
      </c>
      <c r="BF375" t="str">
        <f>""</f>
        <v/>
      </c>
      <c r="BG375" t="str">
        <f>""</f>
        <v/>
      </c>
      <c r="BH375" t="str">
        <f>""</f>
        <v/>
      </c>
      <c r="BI375" t="str">
        <f>""</f>
        <v/>
      </c>
      <c r="BJ375" t="str">
        <f>""</f>
        <v/>
      </c>
      <c r="BK375">
        <v>1</v>
      </c>
      <c r="BL375" t="s">
        <v>107</v>
      </c>
      <c r="BM375" t="str">
        <f>"Tata Consultancy Services/Microsoft"</f>
        <v>Tata Consultancy Services/Microsoft</v>
      </c>
      <c r="BN375" t="s">
        <v>7442</v>
      </c>
      <c r="BO375" t="s">
        <v>5793</v>
      </c>
      <c r="BP375" t="s">
        <v>182</v>
      </c>
      <c r="BQ375" t="s">
        <v>183</v>
      </c>
      <c r="BR375" t="s">
        <v>176</v>
      </c>
      <c r="BS375" s="5">
        <v>98007</v>
      </c>
      <c r="BT375" s="2">
        <v>55</v>
      </c>
      <c r="BV375" t="s">
        <v>210</v>
      </c>
      <c r="BW375" s="2">
        <v>54.38</v>
      </c>
      <c r="BX375" t="s">
        <v>210</v>
      </c>
      <c r="BZ375" t="s">
        <v>167</v>
      </c>
      <c r="CA375" t="str">
        <f t="shared" si="19"/>
        <v>7/1/2020 - 6/30/2021</v>
      </c>
      <c r="CF375">
        <v>1</v>
      </c>
      <c r="CG375" t="s">
        <v>98</v>
      </c>
      <c r="CH375" t="s">
        <v>98</v>
      </c>
      <c r="CI375" t="s">
        <v>206</v>
      </c>
      <c r="CJ375" t="s">
        <v>98</v>
      </c>
      <c r="CK375" t="s">
        <v>12324</v>
      </c>
      <c r="CL375" t="s">
        <v>108</v>
      </c>
      <c r="CM375" t="s">
        <v>109</v>
      </c>
      <c r="CN375" t="str">
        <f>""</f>
        <v/>
      </c>
      <c r="CO375" t="str">
        <f>""</f>
        <v/>
      </c>
      <c r="CP375" t="str">
        <f>""</f>
        <v/>
      </c>
      <c r="CQ375" t="str">
        <f>""</f>
        <v/>
      </c>
    </row>
    <row r="376" spans="1:96" x14ac:dyDescent="0.2">
      <c r="A376" t="s">
        <v>7457</v>
      </c>
      <c r="B376" t="s">
        <v>96</v>
      </c>
      <c r="C376" s="1">
        <v>44098</v>
      </c>
      <c r="D376" s="1">
        <v>44105</v>
      </c>
      <c r="F376" t="s">
        <v>97</v>
      </c>
      <c r="G376" t="str">
        <f>"SAP Solution Architect"</f>
        <v>SAP Solution Architect</v>
      </c>
      <c r="H376" t="s">
        <v>12169</v>
      </c>
      <c r="I376" t="s">
        <v>124</v>
      </c>
      <c r="J376" t="s">
        <v>98</v>
      </c>
      <c r="K376" s="1">
        <v>44098</v>
      </c>
      <c r="L376" s="1">
        <v>45192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 t="s">
        <v>7458</v>
      </c>
      <c r="U376" t="str">
        <f>""</f>
        <v/>
      </c>
      <c r="V376" t="s">
        <v>7459</v>
      </c>
      <c r="W376" t="str">
        <f>"Suite 758"</f>
        <v>Suite 758</v>
      </c>
      <c r="X376" t="s">
        <v>297</v>
      </c>
      <c r="Y376" t="s">
        <v>114</v>
      </c>
      <c r="Z376" s="3">
        <v>75074</v>
      </c>
      <c r="AA376" t="s">
        <v>101</v>
      </c>
      <c r="AC376" s="4" t="str">
        <f>"+19137072866"</f>
        <v>+19137072866</v>
      </c>
      <c r="AE376" t="str">
        <f>"54151"</f>
        <v>54151</v>
      </c>
      <c r="AF376" t="s">
        <v>7272</v>
      </c>
      <c r="AG376" t="s">
        <v>3686</v>
      </c>
      <c r="AI376" t="s">
        <v>1586</v>
      </c>
      <c r="AJ376" t="s">
        <v>7460</v>
      </c>
      <c r="AK376" t="str">
        <f>"SUITE 758"</f>
        <v>SUITE 758</v>
      </c>
      <c r="AL376" t="s">
        <v>980</v>
      </c>
      <c r="AM376" t="s">
        <v>114</v>
      </c>
      <c r="AN376" s="3">
        <v>75074</v>
      </c>
      <c r="AO376" t="s">
        <v>101</v>
      </c>
      <c r="AQ376" t="str">
        <f>"+19137072866"</f>
        <v>+19137072866</v>
      </c>
      <c r="AS376" t="s">
        <v>7461</v>
      </c>
      <c r="AT376" t="s">
        <v>107</v>
      </c>
      <c r="AU376" t="str">
        <f>"Lamboley"</f>
        <v>Lamboley</v>
      </c>
      <c r="AV376" t="str">
        <f>"Harold"</f>
        <v>Harold</v>
      </c>
      <c r="AW376" t="str">
        <f>"Joseph"</f>
        <v>Joseph</v>
      </c>
      <c r="AX376" t="str">
        <f>"One Evergreen Avenue"</f>
        <v>One Evergreen Avenue</v>
      </c>
      <c r="AY376" t="str">
        <f>"Suite 20"</f>
        <v>Suite 20</v>
      </c>
      <c r="AZ376" t="str">
        <f>"Hamden"</f>
        <v>Hamden</v>
      </c>
      <c r="BA376" t="str">
        <f>"CT"</f>
        <v>CT</v>
      </c>
      <c r="BB376" s="3">
        <v>6518</v>
      </c>
      <c r="BC376" t="str">
        <f>"UNITED STATES OF AMERICA"</f>
        <v>UNITED STATES OF AMERICA</v>
      </c>
      <c r="BD376" t="str">
        <f>""</f>
        <v/>
      </c>
      <c r="BE376" t="str">
        <f>"+12032878042"</f>
        <v>+12032878042</v>
      </c>
      <c r="BF376" t="str">
        <f>"13"</f>
        <v>13</v>
      </c>
      <c r="BG376" t="str">
        <f>"Harold@lamboleylawfirm.com"</f>
        <v>Harold@lamboleylawfirm.com</v>
      </c>
      <c r="BH376" t="str">
        <f>"Lamboley Law FIrm LLC"</f>
        <v>Lamboley Law FIrm LLC</v>
      </c>
      <c r="BI376" t="str">
        <f>"CT"</f>
        <v>CT</v>
      </c>
      <c r="BJ376" t="str">
        <f>"Superior Court"</f>
        <v>Superior Court</v>
      </c>
      <c r="BK376">
        <v>1</v>
      </c>
      <c r="BL376" t="s">
        <v>107</v>
      </c>
      <c r="BM376" t="str">
        <f>"Menasha Corporation"</f>
        <v>Menasha Corporation</v>
      </c>
      <c r="BN376" t="s">
        <v>7462</v>
      </c>
      <c r="BP376" t="s">
        <v>6134</v>
      </c>
      <c r="BQ376" t="s">
        <v>1306</v>
      </c>
      <c r="BR376" t="s">
        <v>330</v>
      </c>
      <c r="BS376" s="5">
        <v>54956</v>
      </c>
      <c r="BT376" s="2">
        <v>87600</v>
      </c>
      <c r="BV376" t="s">
        <v>105</v>
      </c>
      <c r="BW376" s="2">
        <v>66227</v>
      </c>
      <c r="BX376" t="s">
        <v>105</v>
      </c>
      <c r="BZ376" t="s">
        <v>167</v>
      </c>
      <c r="CA376" t="str">
        <f t="shared" si="19"/>
        <v>7/1/2020 - 6/30/2021</v>
      </c>
      <c r="CF376">
        <v>2</v>
      </c>
      <c r="CG376" t="s">
        <v>98</v>
      </c>
      <c r="CH376" t="s">
        <v>98</v>
      </c>
      <c r="CI376" t="s">
        <v>206</v>
      </c>
      <c r="CJ376" t="s">
        <v>98</v>
      </c>
      <c r="CK376" t="s">
        <v>12324</v>
      </c>
      <c r="CL376" t="s">
        <v>108</v>
      </c>
      <c r="CM376" t="s">
        <v>109</v>
      </c>
      <c r="CN376" t="str">
        <f>"N/A"</f>
        <v>N/A</v>
      </c>
      <c r="CO376" t="str">
        <f>"N/A"</f>
        <v>N/A</v>
      </c>
      <c r="CP376" t="str">
        <f>"N/A"</f>
        <v>N/A</v>
      </c>
      <c r="CQ376" t="str">
        <f>"LAMBOLEY LAW FIRM, LLC"</f>
        <v>LAMBOLEY LAW FIRM, LLC</v>
      </c>
      <c r="CR376" t="s">
        <v>2883</v>
      </c>
    </row>
    <row r="377" spans="1:96" x14ac:dyDescent="0.2">
      <c r="A377" t="s">
        <v>7509</v>
      </c>
      <c r="B377" t="s">
        <v>96</v>
      </c>
      <c r="C377" s="1">
        <v>44098</v>
      </c>
      <c r="D377" s="1">
        <v>44105</v>
      </c>
      <c r="F377" t="s">
        <v>97</v>
      </c>
      <c r="G377" t="str">
        <f>"SOFTWARE DEVELOPER"</f>
        <v>SOFTWARE DEVELOPER</v>
      </c>
      <c r="H377" t="s">
        <v>12169</v>
      </c>
      <c r="I377" t="s">
        <v>124</v>
      </c>
      <c r="J377" t="s">
        <v>98</v>
      </c>
      <c r="K377" s="1">
        <v>44105</v>
      </c>
      <c r="L377" s="1">
        <v>45199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7510</v>
      </c>
      <c r="U377" t="str">
        <f>""</f>
        <v/>
      </c>
      <c r="V377" t="s">
        <v>7511</v>
      </c>
      <c r="W377" t="str">
        <f>"SUITE 3020"</f>
        <v>SUITE 3020</v>
      </c>
      <c r="X377" t="s">
        <v>1487</v>
      </c>
      <c r="Y377" t="s">
        <v>114</v>
      </c>
      <c r="Z377" s="3">
        <v>75063</v>
      </c>
      <c r="AA377" t="s">
        <v>101</v>
      </c>
      <c r="AC377" s="4" t="str">
        <f>"+19729296600"</f>
        <v>+19729296600</v>
      </c>
      <c r="AE377" t="str">
        <f>"541511"</f>
        <v>541511</v>
      </c>
      <c r="AF377" t="s">
        <v>1180</v>
      </c>
      <c r="AG377" t="s">
        <v>5972</v>
      </c>
      <c r="AI377" t="s">
        <v>646</v>
      </c>
      <c r="AJ377" t="s">
        <v>7511</v>
      </c>
      <c r="AK377" t="str">
        <f>"SUITE 3020"</f>
        <v>SUITE 3020</v>
      </c>
      <c r="AL377" t="s">
        <v>1487</v>
      </c>
      <c r="AM377" t="s">
        <v>114</v>
      </c>
      <c r="AN377" s="3">
        <v>75063</v>
      </c>
      <c r="AO377" t="s">
        <v>101</v>
      </c>
      <c r="AQ377" t="str">
        <f>"+19729296600"</f>
        <v>+19729296600</v>
      </c>
      <c r="AS377" t="s">
        <v>7512</v>
      </c>
      <c r="AT377" t="s">
        <v>107</v>
      </c>
      <c r="AU377" t="str">
        <f>"Akula"</f>
        <v>Akula</v>
      </c>
      <c r="AV377" t="str">
        <f>"Kavitha"</f>
        <v>Kavitha</v>
      </c>
      <c r="AW377" t="str">
        <f>""</f>
        <v/>
      </c>
      <c r="AX377" t="str">
        <f>"17400 DALLAS PKWY"</f>
        <v>17400 DALLAS PKWY</v>
      </c>
      <c r="AY377" t="str">
        <f>"SUITE 216"</f>
        <v>SUITE 216</v>
      </c>
      <c r="AZ377" t="str">
        <f>"DALLAS"</f>
        <v>DALLAS</v>
      </c>
      <c r="BA377" t="str">
        <f>"TX"</f>
        <v>TX</v>
      </c>
      <c r="BB377" s="3">
        <v>75287</v>
      </c>
      <c r="BC377" t="str">
        <f>"UNITED STATES OF AMERICA"</f>
        <v>UNITED STATES OF AMERICA</v>
      </c>
      <c r="BD377" t="str">
        <f>""</f>
        <v/>
      </c>
      <c r="BE377" t="str">
        <f>"+19722414698"</f>
        <v>+19722414698</v>
      </c>
      <c r="BF377" t="str">
        <f>""</f>
        <v/>
      </c>
      <c r="BG377" t="str">
        <f>"yezenia.jimenez@akulalaw.com"</f>
        <v>yezenia.jimenez@akulalaw.com</v>
      </c>
      <c r="BH377" t="str">
        <f>"Akula &amp; Associates, P.C."</f>
        <v>Akula &amp; Associates, P.C.</v>
      </c>
      <c r="BI377" t="str">
        <f>"TX"</f>
        <v>TX</v>
      </c>
      <c r="BJ377" t="str">
        <f>"SUPREME COURT"</f>
        <v>SUPREME COURT</v>
      </c>
      <c r="BK377">
        <v>1</v>
      </c>
      <c r="BL377" t="s">
        <v>107</v>
      </c>
      <c r="BM377" t="str">
        <f>"FedEx"</f>
        <v>FedEx</v>
      </c>
      <c r="BN377" t="s">
        <v>6570</v>
      </c>
      <c r="BP377" t="s">
        <v>4255</v>
      </c>
      <c r="BQ377" t="s">
        <v>861</v>
      </c>
      <c r="BR377" t="s">
        <v>127</v>
      </c>
      <c r="BS377" s="5">
        <v>15108</v>
      </c>
      <c r="BT377" s="2">
        <v>65000</v>
      </c>
      <c r="BU377" s="2">
        <v>65010</v>
      </c>
      <c r="BV377" t="s">
        <v>105</v>
      </c>
      <c r="BW377" s="2">
        <v>65000</v>
      </c>
      <c r="BX377" t="s">
        <v>105</v>
      </c>
      <c r="BZ377" t="s">
        <v>191</v>
      </c>
      <c r="CA377" t="str">
        <f t="shared" si="19"/>
        <v>7/1/2020 - 6/30/2021</v>
      </c>
      <c r="CF377">
        <v>2</v>
      </c>
      <c r="CG377" t="s">
        <v>98</v>
      </c>
      <c r="CH377" t="s">
        <v>98</v>
      </c>
      <c r="CI377" t="s">
        <v>206</v>
      </c>
      <c r="CJ377" t="s">
        <v>98</v>
      </c>
      <c r="CK377" t="s">
        <v>12324</v>
      </c>
      <c r="CL377" t="s">
        <v>108</v>
      </c>
      <c r="CM377" t="s">
        <v>109</v>
      </c>
      <c r="CN377" t="str">
        <f>""</f>
        <v/>
      </c>
      <c r="CO377" t="str">
        <f>""</f>
        <v/>
      </c>
      <c r="CP377" t="str">
        <f>""</f>
        <v/>
      </c>
      <c r="CQ377" t="str">
        <f>""</f>
        <v/>
      </c>
    </row>
    <row r="378" spans="1:96" x14ac:dyDescent="0.2">
      <c r="A378" t="s">
        <v>7776</v>
      </c>
      <c r="B378" t="s">
        <v>96</v>
      </c>
      <c r="C378" s="1">
        <v>44098</v>
      </c>
      <c r="D378" s="1">
        <v>44105</v>
      </c>
      <c r="F378" t="s">
        <v>97</v>
      </c>
      <c r="G378" t="str">
        <f>"Scrum Master "</f>
        <v xml:space="preserve">Scrum Master </v>
      </c>
      <c r="H378" t="s">
        <v>12168</v>
      </c>
      <c r="I378" t="s">
        <v>722</v>
      </c>
      <c r="J378" t="s">
        <v>98</v>
      </c>
      <c r="K378" s="1">
        <v>44197</v>
      </c>
      <c r="L378" s="1">
        <v>45291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 t="s">
        <v>2293</v>
      </c>
      <c r="U378" t="str">
        <f>""</f>
        <v/>
      </c>
      <c r="V378" t="s">
        <v>2294</v>
      </c>
      <c r="W378" t="str">
        <f>""</f>
        <v/>
      </c>
      <c r="X378" t="s">
        <v>2295</v>
      </c>
      <c r="Y378" t="s">
        <v>280</v>
      </c>
      <c r="Z378" s="3">
        <v>6074</v>
      </c>
      <c r="AA378" t="s">
        <v>101</v>
      </c>
      <c r="AC378" s="4" t="str">
        <f>"+18602471400"</f>
        <v>+18602471400</v>
      </c>
      <c r="AD378">
        <v>116</v>
      </c>
      <c r="AE378" t="str">
        <f>"541511"</f>
        <v>541511</v>
      </c>
      <c r="AF378" t="s">
        <v>2296</v>
      </c>
      <c r="AG378" t="s">
        <v>2297</v>
      </c>
      <c r="AH378" t="s">
        <v>1723</v>
      </c>
      <c r="AI378" t="s">
        <v>2298</v>
      </c>
      <c r="AJ378" t="s">
        <v>2294</v>
      </c>
      <c r="AK378" t="str">
        <f>""</f>
        <v/>
      </c>
      <c r="AL378" t="s">
        <v>2295</v>
      </c>
      <c r="AM378" t="s">
        <v>280</v>
      </c>
      <c r="AN378" s="3">
        <v>6074</v>
      </c>
      <c r="AO378" t="s">
        <v>101</v>
      </c>
      <c r="AQ378" t="str">
        <f>"+18602471400"</f>
        <v>+18602471400</v>
      </c>
      <c r="AR378">
        <v>116</v>
      </c>
      <c r="AS378" t="s">
        <v>2299</v>
      </c>
      <c r="AT378" t="s">
        <v>107</v>
      </c>
      <c r="AU378" t="str">
        <f>"Patil "</f>
        <v xml:space="preserve">Patil </v>
      </c>
      <c r="AV378" t="str">
        <f>"Vanitha "</f>
        <v xml:space="preserve">Vanitha </v>
      </c>
      <c r="AW378" t="str">
        <f>"S"</f>
        <v>S</v>
      </c>
      <c r="AX378" t="str">
        <f>"701 John Fitch Blvd"</f>
        <v>701 John Fitch Blvd</v>
      </c>
      <c r="AY378" t="str">
        <f>""</f>
        <v/>
      </c>
      <c r="AZ378" t="str">
        <f>"South Windsor "</f>
        <v xml:space="preserve">South Windsor </v>
      </c>
      <c r="BA378" t="str">
        <f>"CT"</f>
        <v>CT</v>
      </c>
      <c r="BB378" s="3">
        <v>6074</v>
      </c>
      <c r="BC378" t="str">
        <f>"UNITED STATES OF AMERICA"</f>
        <v>UNITED STATES OF AMERICA</v>
      </c>
      <c r="BD378" t="str">
        <f>""</f>
        <v/>
      </c>
      <c r="BE378" t="str">
        <f>"+18602471400"</f>
        <v>+18602471400</v>
      </c>
      <c r="BF378" t="str">
        <f>"104"</f>
        <v>104</v>
      </c>
      <c r="BG378" t="str">
        <f>"legal@vlinkinfo.com"</f>
        <v>legal@vlinkinfo.com</v>
      </c>
      <c r="BH378" t="str">
        <f>"VLink, Inc. "</f>
        <v xml:space="preserve">VLink, Inc. </v>
      </c>
      <c r="BI378" t="str">
        <f>"CT"</f>
        <v>CT</v>
      </c>
      <c r="BJ378" t="str">
        <f>"Supreme Court"</f>
        <v>Supreme Court</v>
      </c>
      <c r="BK378">
        <v>1</v>
      </c>
      <c r="BL378" t="s">
        <v>107</v>
      </c>
      <c r="BM378" t="str">
        <f>"i2e Consulting, LLC. "</f>
        <v xml:space="preserve">i2e Consulting, LLC. </v>
      </c>
      <c r="BN378" t="s">
        <v>7777</v>
      </c>
      <c r="BP378" t="s">
        <v>7778</v>
      </c>
      <c r="BQ378" t="s">
        <v>4392</v>
      </c>
      <c r="BR378" t="s">
        <v>280</v>
      </c>
      <c r="BS378" s="5">
        <v>6340</v>
      </c>
      <c r="BT378" s="2">
        <v>95000</v>
      </c>
      <c r="BV378" t="s">
        <v>105</v>
      </c>
      <c r="BW378" s="2">
        <v>82181</v>
      </c>
      <c r="BX378" t="s">
        <v>105</v>
      </c>
      <c r="BZ378" t="s">
        <v>123</v>
      </c>
      <c r="CA378" t="str">
        <f t="shared" si="19"/>
        <v>7/1/2020 - 6/30/2021</v>
      </c>
      <c r="CF378">
        <v>3</v>
      </c>
      <c r="CG378" t="s">
        <v>98</v>
      </c>
      <c r="CH378" t="s">
        <v>98</v>
      </c>
      <c r="CI378" t="s">
        <v>206</v>
      </c>
      <c r="CJ378" t="s">
        <v>98</v>
      </c>
      <c r="CK378" t="s">
        <v>12324</v>
      </c>
      <c r="CL378" t="s">
        <v>108</v>
      </c>
      <c r="CM378" t="s">
        <v>109</v>
      </c>
      <c r="CN378" t="str">
        <f>""</f>
        <v/>
      </c>
      <c r="CO378" t="str">
        <f>""</f>
        <v/>
      </c>
      <c r="CP378" t="str">
        <f>""</f>
        <v/>
      </c>
      <c r="CQ378" t="str">
        <f>""</f>
        <v/>
      </c>
    </row>
    <row r="379" spans="1:96" x14ac:dyDescent="0.2">
      <c r="A379" t="s">
        <v>8013</v>
      </c>
      <c r="B379" t="s">
        <v>96</v>
      </c>
      <c r="C379" s="1">
        <v>44098</v>
      </c>
      <c r="D379" s="1">
        <v>44105</v>
      </c>
      <c r="F379" t="s">
        <v>97</v>
      </c>
      <c r="G379" t="str">
        <f>"Manager JC50"</f>
        <v>Manager JC50</v>
      </c>
      <c r="H379" t="s">
        <v>12181</v>
      </c>
      <c r="I379" t="s">
        <v>110</v>
      </c>
      <c r="J379" t="s">
        <v>98</v>
      </c>
      <c r="K379" s="1">
        <v>44106</v>
      </c>
      <c r="L379" s="1">
        <v>45200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 t="s">
        <v>111</v>
      </c>
      <c r="U379" t="str">
        <f>"CTSUS"</f>
        <v>CTSUS</v>
      </c>
      <c r="V379" t="s">
        <v>112</v>
      </c>
      <c r="W379" t="str">
        <f>""</f>
        <v/>
      </c>
      <c r="X379" t="s">
        <v>113</v>
      </c>
      <c r="Y379" t="s">
        <v>114</v>
      </c>
      <c r="Z379" s="3">
        <v>77845</v>
      </c>
      <c r="AA379" t="s">
        <v>101</v>
      </c>
      <c r="AB379" t="s">
        <v>114</v>
      </c>
      <c r="AC379" s="4" t="str">
        <f>"+19793296682"</f>
        <v>+19793296682</v>
      </c>
      <c r="AE379" t="str">
        <f>"541512"</f>
        <v>541512</v>
      </c>
      <c r="AF379" t="s">
        <v>115</v>
      </c>
      <c r="AG379" t="s">
        <v>116</v>
      </c>
      <c r="AH379" t="s">
        <v>108</v>
      </c>
      <c r="AI379" t="s">
        <v>117</v>
      </c>
      <c r="AJ379" t="s">
        <v>118</v>
      </c>
      <c r="AK379" t="str">
        <f>""</f>
        <v/>
      </c>
      <c r="AL379" t="s">
        <v>119</v>
      </c>
      <c r="AM379" t="s">
        <v>114</v>
      </c>
      <c r="AN379" s="3">
        <v>77845</v>
      </c>
      <c r="AO379" t="s">
        <v>101</v>
      </c>
      <c r="AQ379" t="str">
        <f>"+19793296682"</f>
        <v>+19793296682</v>
      </c>
      <c r="AS379" t="s">
        <v>120</v>
      </c>
      <c r="AT379" t="s">
        <v>102</v>
      </c>
      <c r="AU379" t="str">
        <f>""</f>
        <v/>
      </c>
      <c r="AV379" t="str">
        <f>""</f>
        <v/>
      </c>
      <c r="AW379" t="str">
        <f>""</f>
        <v/>
      </c>
      <c r="AX379" t="str">
        <f>""</f>
        <v/>
      </c>
      <c r="AY379" t="str">
        <f>""</f>
        <v/>
      </c>
      <c r="AZ379" t="str">
        <f>""</f>
        <v/>
      </c>
      <c r="BA379" t="str">
        <f>""</f>
        <v/>
      </c>
      <c r="BC379" t="str">
        <f>""</f>
        <v/>
      </c>
      <c r="BD379" t="str">
        <f>""</f>
        <v/>
      </c>
      <c r="BE379" t="str">
        <f>""</f>
        <v/>
      </c>
      <c r="BF379" t="str">
        <f>""</f>
        <v/>
      </c>
      <c r="BG379" t="str">
        <f>""</f>
        <v/>
      </c>
      <c r="BH379" t="str">
        <f>""</f>
        <v/>
      </c>
      <c r="BI379" t="str">
        <f>""</f>
        <v/>
      </c>
      <c r="BJ379" t="str">
        <f>""</f>
        <v/>
      </c>
      <c r="BK379">
        <v>1</v>
      </c>
      <c r="BL379" t="s">
        <v>107</v>
      </c>
      <c r="BM379" t="str">
        <f>"Pearson Education Inc."</f>
        <v>Pearson Education Inc.</v>
      </c>
      <c r="BN379" t="s">
        <v>8014</v>
      </c>
      <c r="BP379" t="s">
        <v>3690</v>
      </c>
      <c r="BQ379" t="s">
        <v>165</v>
      </c>
      <c r="BR379" t="s">
        <v>166</v>
      </c>
      <c r="BS379" s="5">
        <v>80122</v>
      </c>
      <c r="BT379" s="2">
        <v>100526</v>
      </c>
      <c r="BV379" t="s">
        <v>105</v>
      </c>
      <c r="BW379" s="2">
        <v>100526</v>
      </c>
      <c r="BX379" t="s">
        <v>105</v>
      </c>
      <c r="BZ379" t="s">
        <v>123</v>
      </c>
      <c r="CA379" t="str">
        <f t="shared" si="19"/>
        <v>7/1/2020 - 6/30/2021</v>
      </c>
      <c r="CF379">
        <v>1</v>
      </c>
      <c r="CG379" t="s">
        <v>98</v>
      </c>
      <c r="CH379" t="s">
        <v>98</v>
      </c>
      <c r="CI379" t="s">
        <v>206</v>
      </c>
      <c r="CJ379" t="s">
        <v>98</v>
      </c>
      <c r="CK379" t="s">
        <v>12324</v>
      </c>
      <c r="CL379" t="s">
        <v>108</v>
      </c>
      <c r="CM379" t="s">
        <v>109</v>
      </c>
      <c r="CN379" t="str">
        <f>""</f>
        <v/>
      </c>
      <c r="CO379" t="str">
        <f>""</f>
        <v/>
      </c>
      <c r="CP379" t="str">
        <f>""</f>
        <v/>
      </c>
      <c r="CQ379" t="str">
        <f>""</f>
        <v/>
      </c>
    </row>
    <row r="380" spans="1:96" x14ac:dyDescent="0.2">
      <c r="A380" t="s">
        <v>8101</v>
      </c>
      <c r="B380" t="s">
        <v>96</v>
      </c>
      <c r="C380" s="1">
        <v>44098</v>
      </c>
      <c r="D380" s="1">
        <v>44105</v>
      </c>
      <c r="F380" t="s">
        <v>97</v>
      </c>
      <c r="G380" t="str">
        <f>"Speech-Language Pathologist"</f>
        <v>Speech-Language Pathologist</v>
      </c>
      <c r="H380" t="s">
        <v>12270</v>
      </c>
      <c r="I380" t="s">
        <v>3480</v>
      </c>
      <c r="J380" t="s">
        <v>98</v>
      </c>
      <c r="K380" s="1">
        <v>44105</v>
      </c>
      <c r="L380" s="1">
        <v>45192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7700</v>
      </c>
      <c r="U380" t="str">
        <f>""</f>
        <v/>
      </c>
      <c r="V380" t="s">
        <v>7701</v>
      </c>
      <c r="W380" t="str">
        <f>""</f>
        <v/>
      </c>
      <c r="X380" t="s">
        <v>7702</v>
      </c>
      <c r="Y380" t="s">
        <v>141</v>
      </c>
      <c r="Z380" s="3">
        <v>91765</v>
      </c>
      <c r="AA380" t="s">
        <v>101</v>
      </c>
      <c r="AC380" s="4" t="str">
        <f>"+19093968900"</f>
        <v>+19093968900</v>
      </c>
      <c r="AE380" t="str">
        <f>"621340"</f>
        <v>621340</v>
      </c>
      <c r="AF380" t="s">
        <v>7033</v>
      </c>
      <c r="AG380" t="s">
        <v>7703</v>
      </c>
      <c r="AI380" t="s">
        <v>7704</v>
      </c>
      <c r="AJ380" t="s">
        <v>7705</v>
      </c>
      <c r="AK380" t="str">
        <f>""</f>
        <v/>
      </c>
      <c r="AL380" t="s">
        <v>7702</v>
      </c>
      <c r="AM380" t="s">
        <v>141</v>
      </c>
      <c r="AN380" s="3">
        <v>91765</v>
      </c>
      <c r="AO380" t="s">
        <v>101</v>
      </c>
      <c r="AQ380" t="str">
        <f>"+19093968900"</f>
        <v>+19093968900</v>
      </c>
      <c r="AS380" t="s">
        <v>7706</v>
      </c>
      <c r="AT380" t="s">
        <v>102</v>
      </c>
      <c r="AU380" t="str">
        <f>""</f>
        <v/>
      </c>
      <c r="AV380" t="str">
        <f>""</f>
        <v/>
      </c>
      <c r="AW380" t="str">
        <f>""</f>
        <v/>
      </c>
      <c r="AX380" t="str">
        <f>""</f>
        <v/>
      </c>
      <c r="AY380" t="str">
        <f>""</f>
        <v/>
      </c>
      <c r="AZ380" t="str">
        <f>""</f>
        <v/>
      </c>
      <c r="BA380" t="str">
        <f>""</f>
        <v/>
      </c>
      <c r="BC380" t="str">
        <f>""</f>
        <v/>
      </c>
      <c r="BD380" t="str">
        <f>""</f>
        <v/>
      </c>
      <c r="BE380" t="str">
        <f>""</f>
        <v/>
      </c>
      <c r="BF380" t="str">
        <f>""</f>
        <v/>
      </c>
      <c r="BG380" t="str">
        <f>""</f>
        <v/>
      </c>
      <c r="BH380" t="str">
        <f>""</f>
        <v/>
      </c>
      <c r="BI380" t="str">
        <f>""</f>
        <v/>
      </c>
      <c r="BJ380" t="str">
        <f>""</f>
        <v/>
      </c>
      <c r="BK380">
        <v>1</v>
      </c>
      <c r="BL380" t="s">
        <v>102</v>
      </c>
      <c r="BM380" t="str">
        <f>""</f>
        <v/>
      </c>
      <c r="BN380" t="s">
        <v>8102</v>
      </c>
      <c r="BP380" t="s">
        <v>3700</v>
      </c>
      <c r="BQ380" t="s">
        <v>365</v>
      </c>
      <c r="BR380" t="s">
        <v>141</v>
      </c>
      <c r="BS380" s="5">
        <v>91765</v>
      </c>
      <c r="BT380" s="2">
        <v>63502</v>
      </c>
      <c r="BU380" s="2">
        <v>70000</v>
      </c>
      <c r="BV380" t="s">
        <v>105</v>
      </c>
      <c r="BW380" s="2">
        <v>63502</v>
      </c>
      <c r="BX380" t="s">
        <v>105</v>
      </c>
      <c r="BZ380" t="s">
        <v>191</v>
      </c>
      <c r="CA380" t="str">
        <f t="shared" si="19"/>
        <v>7/1/2020 - 6/30/2021</v>
      </c>
      <c r="CF380">
        <v>1</v>
      </c>
      <c r="CG380" t="s">
        <v>98</v>
      </c>
      <c r="CH380" t="s">
        <v>98</v>
      </c>
      <c r="CI380" t="s">
        <v>206</v>
      </c>
      <c r="CJ380" t="s">
        <v>98</v>
      </c>
      <c r="CK380" t="s">
        <v>12324</v>
      </c>
      <c r="CL380" t="s">
        <v>108</v>
      </c>
      <c r="CM380" t="s">
        <v>109</v>
      </c>
      <c r="CN380" t="str">
        <f>""</f>
        <v/>
      </c>
      <c r="CO380" t="str">
        <f>""</f>
        <v/>
      </c>
      <c r="CP380" t="str">
        <f>""</f>
        <v/>
      </c>
      <c r="CQ380" t="str">
        <f>""</f>
        <v/>
      </c>
    </row>
    <row r="381" spans="1:96" x14ac:dyDescent="0.2">
      <c r="A381" t="s">
        <v>8166</v>
      </c>
      <c r="B381" t="s">
        <v>96</v>
      </c>
      <c r="C381" s="1">
        <v>44098</v>
      </c>
      <c r="D381" s="1">
        <v>44105</v>
      </c>
      <c r="F381" t="s">
        <v>97</v>
      </c>
      <c r="G381" t="str">
        <f>"Software Engineer"</f>
        <v>Software Engineer</v>
      </c>
      <c r="H381" t="s">
        <v>12169</v>
      </c>
      <c r="I381" t="s">
        <v>124</v>
      </c>
      <c r="J381" t="s">
        <v>98</v>
      </c>
      <c r="K381" s="1">
        <v>44197</v>
      </c>
      <c r="L381" s="1">
        <v>45291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 t="s">
        <v>5978</v>
      </c>
      <c r="U381" t="str">
        <f>""</f>
        <v/>
      </c>
      <c r="V381" t="s">
        <v>5979</v>
      </c>
      <c r="W381" t="str">
        <f>"Suite 108"</f>
        <v>Suite 108</v>
      </c>
      <c r="X381" t="s">
        <v>1066</v>
      </c>
      <c r="Y381" t="s">
        <v>122</v>
      </c>
      <c r="Z381" s="3">
        <v>27615</v>
      </c>
      <c r="AA381" t="s">
        <v>101</v>
      </c>
      <c r="AC381" s="4" t="str">
        <f>"+19193355511"</f>
        <v>+19193355511</v>
      </c>
      <c r="AE381" t="str">
        <f>"541512"</f>
        <v>541512</v>
      </c>
      <c r="AF381" t="s">
        <v>5980</v>
      </c>
      <c r="AG381" t="s">
        <v>5981</v>
      </c>
      <c r="AI381" t="s">
        <v>5982</v>
      </c>
      <c r="AJ381" t="s">
        <v>5979</v>
      </c>
      <c r="AK381" t="str">
        <f>"Suite 108"</f>
        <v>Suite 108</v>
      </c>
      <c r="AL381" t="s">
        <v>1066</v>
      </c>
      <c r="AM381" t="s">
        <v>122</v>
      </c>
      <c r="AN381" s="3">
        <v>27615</v>
      </c>
      <c r="AO381" t="s">
        <v>101</v>
      </c>
      <c r="AQ381" t="str">
        <f>"+19193355511"</f>
        <v>+19193355511</v>
      </c>
      <c r="AS381" t="s">
        <v>5983</v>
      </c>
      <c r="AT381" t="s">
        <v>107</v>
      </c>
      <c r="AU381" t="str">
        <f>"CHOWDHURY"</f>
        <v>CHOWDHURY</v>
      </c>
      <c r="AV381" t="str">
        <f>"ANINDITA"</f>
        <v>ANINDITA</v>
      </c>
      <c r="AW381" t="str">
        <f>"A."</f>
        <v>A.</v>
      </c>
      <c r="AX381" t="str">
        <f>"6720-B Rockledge Drive"</f>
        <v>6720-B Rockledge Drive</v>
      </c>
      <c r="AY381" t="str">
        <f>"SUITE 430"</f>
        <v>SUITE 430</v>
      </c>
      <c r="AZ381" t="str">
        <f>"Bethesda"</f>
        <v>Bethesda</v>
      </c>
      <c r="BA381" t="str">
        <f>"MD"</f>
        <v>MD</v>
      </c>
      <c r="BB381" s="3">
        <v>20817</v>
      </c>
      <c r="BC381" t="str">
        <f>"UNITED STATES OF AMERICA"</f>
        <v>UNITED STATES OF AMERICA</v>
      </c>
      <c r="BD381" t="str">
        <f>""</f>
        <v/>
      </c>
      <c r="BE381" t="str">
        <f>"+12026184540"</f>
        <v>+12026184540</v>
      </c>
      <c r="BF381" t="str">
        <f>""</f>
        <v/>
      </c>
      <c r="BG381" t="str">
        <f>"ANINDITA@USILAW.COM"</f>
        <v>ANINDITA@USILAW.COM</v>
      </c>
      <c r="BH381" t="str">
        <f>"USILAW, INC"</f>
        <v>USILAW, INC</v>
      </c>
      <c r="BI381" t="str">
        <f>"DC"</f>
        <v>DC</v>
      </c>
      <c r="BJ381" t="str">
        <f>"COURT OF APPEALS"</f>
        <v>COURT OF APPEALS</v>
      </c>
      <c r="BK381">
        <v>1</v>
      </c>
      <c r="BL381" t="s">
        <v>107</v>
      </c>
      <c r="BM381" t="str">
        <f>"Bioventus, LLC "</f>
        <v xml:space="preserve">Bioventus, LLC </v>
      </c>
      <c r="BN381" t="s">
        <v>8167</v>
      </c>
      <c r="BO381" t="s">
        <v>4592</v>
      </c>
      <c r="BP381" t="s">
        <v>1113</v>
      </c>
      <c r="BQ381" t="s">
        <v>302</v>
      </c>
      <c r="BR381" t="s">
        <v>122</v>
      </c>
      <c r="BS381" s="5">
        <v>27703</v>
      </c>
      <c r="BT381" s="2">
        <v>100000</v>
      </c>
      <c r="BV381" t="s">
        <v>105</v>
      </c>
      <c r="BW381" s="2">
        <v>90147</v>
      </c>
      <c r="BX381" t="s">
        <v>105</v>
      </c>
      <c r="BZ381" t="s">
        <v>167</v>
      </c>
      <c r="CA381" t="str">
        <f t="shared" si="19"/>
        <v>7/1/2020 - 6/30/2021</v>
      </c>
      <c r="CF381">
        <v>3</v>
      </c>
      <c r="CG381" t="s">
        <v>98</v>
      </c>
      <c r="CH381" t="s">
        <v>98</v>
      </c>
      <c r="CI381" t="s">
        <v>206</v>
      </c>
      <c r="CJ381" t="s">
        <v>98</v>
      </c>
      <c r="CK381" t="s">
        <v>12324</v>
      </c>
      <c r="CL381" t="s">
        <v>108</v>
      </c>
      <c r="CM381" t="s">
        <v>109</v>
      </c>
      <c r="CN381" t="str">
        <f>""</f>
        <v/>
      </c>
      <c r="CO381" t="str">
        <f>""</f>
        <v/>
      </c>
      <c r="CP381" t="str">
        <f>""</f>
        <v/>
      </c>
      <c r="CQ381" t="str">
        <f>""</f>
        <v/>
      </c>
    </row>
    <row r="382" spans="1:96" x14ac:dyDescent="0.2">
      <c r="A382" t="s">
        <v>8257</v>
      </c>
      <c r="B382" t="s">
        <v>96</v>
      </c>
      <c r="C382" s="1">
        <v>44098</v>
      </c>
      <c r="D382" s="1">
        <v>44105</v>
      </c>
      <c r="F382" t="s">
        <v>97</v>
      </c>
      <c r="G382" t="str">
        <f>"Associate Director JC40 - Management Analysts"</f>
        <v>Associate Director JC40 - Management Analysts</v>
      </c>
      <c r="H382" t="s">
        <v>12214</v>
      </c>
      <c r="I382" t="s">
        <v>276</v>
      </c>
      <c r="J382" t="s">
        <v>98</v>
      </c>
      <c r="K382" s="1">
        <v>44177</v>
      </c>
      <c r="L382" s="1">
        <v>45271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111</v>
      </c>
      <c r="U382" t="str">
        <f>"CTSUS"</f>
        <v>CTSUS</v>
      </c>
      <c r="V382" t="s">
        <v>112</v>
      </c>
      <c r="W382" t="str">
        <f>""</f>
        <v/>
      </c>
      <c r="X382" t="s">
        <v>113</v>
      </c>
      <c r="Y382" t="s">
        <v>114</v>
      </c>
      <c r="Z382" s="3">
        <v>77845</v>
      </c>
      <c r="AA382" t="s">
        <v>101</v>
      </c>
      <c r="AB382" t="s">
        <v>114</v>
      </c>
      <c r="AC382" s="4" t="str">
        <f>"+19793296682"</f>
        <v>+19793296682</v>
      </c>
      <c r="AE382" t="str">
        <f>"541512"</f>
        <v>541512</v>
      </c>
      <c r="AF382" t="s">
        <v>115</v>
      </c>
      <c r="AG382" t="s">
        <v>116</v>
      </c>
      <c r="AH382" t="s">
        <v>108</v>
      </c>
      <c r="AI382" t="s">
        <v>117</v>
      </c>
      <c r="AJ382" t="s">
        <v>118</v>
      </c>
      <c r="AK382" t="str">
        <f>""</f>
        <v/>
      </c>
      <c r="AL382" t="s">
        <v>119</v>
      </c>
      <c r="AM382" t="s">
        <v>114</v>
      </c>
      <c r="AN382" s="3">
        <v>77845</v>
      </c>
      <c r="AO382" t="s">
        <v>101</v>
      </c>
      <c r="AQ382" t="str">
        <f>"+19793296682"</f>
        <v>+19793296682</v>
      </c>
      <c r="AS382" t="s">
        <v>120</v>
      </c>
      <c r="AT382" t="s">
        <v>102</v>
      </c>
      <c r="AU382" t="str">
        <f>""</f>
        <v/>
      </c>
      <c r="AV382" t="str">
        <f>""</f>
        <v/>
      </c>
      <c r="AW382" t="str">
        <f>""</f>
        <v/>
      </c>
      <c r="AX382" t="str">
        <f>""</f>
        <v/>
      </c>
      <c r="AY382" t="str">
        <f>""</f>
        <v/>
      </c>
      <c r="AZ382" t="str">
        <f>""</f>
        <v/>
      </c>
      <c r="BA382" t="str">
        <f>""</f>
        <v/>
      </c>
      <c r="BC382" t="str">
        <f>""</f>
        <v/>
      </c>
      <c r="BD382" t="str">
        <f>""</f>
        <v/>
      </c>
      <c r="BE382" t="str">
        <f>""</f>
        <v/>
      </c>
      <c r="BF382" t="str">
        <f>""</f>
        <v/>
      </c>
      <c r="BG382" t="str">
        <f>""</f>
        <v/>
      </c>
      <c r="BH382" t="str">
        <f>""</f>
        <v/>
      </c>
      <c r="BI382" t="str">
        <f>""</f>
        <v/>
      </c>
      <c r="BJ382" t="str">
        <f>""</f>
        <v/>
      </c>
      <c r="BK382">
        <v>1</v>
      </c>
      <c r="BL382" t="s">
        <v>102</v>
      </c>
      <c r="BM382" t="str">
        <f>""</f>
        <v/>
      </c>
      <c r="BN382" t="s">
        <v>8258</v>
      </c>
      <c r="BP382" t="s">
        <v>7025</v>
      </c>
      <c r="BQ382" t="s">
        <v>2007</v>
      </c>
      <c r="BR382" t="s">
        <v>190</v>
      </c>
      <c r="BS382" s="5">
        <v>11374</v>
      </c>
      <c r="BT382" s="2">
        <v>144040</v>
      </c>
      <c r="BV382" t="s">
        <v>105</v>
      </c>
      <c r="BW382" s="2">
        <v>144040</v>
      </c>
      <c r="BX382" t="s">
        <v>105</v>
      </c>
      <c r="BZ382" t="s">
        <v>159</v>
      </c>
      <c r="CA382" t="str">
        <f t="shared" si="19"/>
        <v>7/1/2020 - 6/30/2021</v>
      </c>
      <c r="CF382">
        <v>1</v>
      </c>
      <c r="CG382" t="s">
        <v>98</v>
      </c>
      <c r="CH382" t="s">
        <v>98</v>
      </c>
      <c r="CI382" t="s">
        <v>206</v>
      </c>
      <c r="CJ382" t="s">
        <v>98</v>
      </c>
      <c r="CK382" t="s">
        <v>12324</v>
      </c>
      <c r="CL382" t="s">
        <v>108</v>
      </c>
      <c r="CM382" t="s">
        <v>109</v>
      </c>
      <c r="CN382" t="str">
        <f>""</f>
        <v/>
      </c>
      <c r="CO382" t="str">
        <f>""</f>
        <v/>
      </c>
      <c r="CP382" t="str">
        <f>""</f>
        <v/>
      </c>
      <c r="CQ382" t="str">
        <f>""</f>
        <v/>
      </c>
    </row>
    <row r="383" spans="1:96" x14ac:dyDescent="0.2">
      <c r="A383" t="s">
        <v>8653</v>
      </c>
      <c r="B383" t="s">
        <v>96</v>
      </c>
      <c r="C383" s="1">
        <v>44098</v>
      </c>
      <c r="D383" s="1">
        <v>44105</v>
      </c>
      <c r="F383" t="s">
        <v>97</v>
      </c>
      <c r="G383" t="str">
        <f>"AWS Cloud Engineer"</f>
        <v>AWS Cloud Engineer</v>
      </c>
      <c r="H383" t="s">
        <v>12169</v>
      </c>
      <c r="I383" t="s">
        <v>124</v>
      </c>
      <c r="J383" t="s">
        <v>98</v>
      </c>
      <c r="K383" s="1">
        <v>44224</v>
      </c>
      <c r="L383" s="1">
        <v>45318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 t="s">
        <v>8654</v>
      </c>
      <c r="U383" t="str">
        <f>""</f>
        <v/>
      </c>
      <c r="V383" t="s">
        <v>8655</v>
      </c>
      <c r="W383" t="str">
        <f>"Suite 206"</f>
        <v>Suite 206</v>
      </c>
      <c r="X383" t="s">
        <v>1371</v>
      </c>
      <c r="Y383" t="s">
        <v>193</v>
      </c>
      <c r="Z383" s="3">
        <v>66211</v>
      </c>
      <c r="AA383" t="s">
        <v>101</v>
      </c>
      <c r="AC383" s="4" t="str">
        <f>"+19139624577"</f>
        <v>+19139624577</v>
      </c>
      <c r="AE383" t="str">
        <f>"5613"</f>
        <v>5613</v>
      </c>
      <c r="AF383" t="s">
        <v>8656</v>
      </c>
      <c r="AG383" t="s">
        <v>8657</v>
      </c>
      <c r="AI383" t="s">
        <v>508</v>
      </c>
      <c r="AJ383" t="s">
        <v>8655</v>
      </c>
      <c r="AK383" t="str">
        <f>"Suite 206"</f>
        <v>Suite 206</v>
      </c>
      <c r="AL383" t="s">
        <v>1371</v>
      </c>
      <c r="AM383" t="s">
        <v>193</v>
      </c>
      <c r="AN383" s="3">
        <v>66211</v>
      </c>
      <c r="AO383" t="s">
        <v>101</v>
      </c>
      <c r="AQ383" t="str">
        <f>"+19139624577"</f>
        <v>+19139624577</v>
      </c>
      <c r="AR383">
        <v>100</v>
      </c>
      <c r="AS383" t="s">
        <v>8658</v>
      </c>
      <c r="AT383" t="s">
        <v>107</v>
      </c>
      <c r="AU383" t="str">
        <f>"Dalal"</f>
        <v>Dalal</v>
      </c>
      <c r="AV383" t="str">
        <f>"Bela"</f>
        <v>Bela</v>
      </c>
      <c r="AW383" t="str">
        <f>"Ashwin"</f>
        <v>Ashwin</v>
      </c>
      <c r="AX383" t="str">
        <f>"7031 Orchard Lake Road"</f>
        <v>7031 Orchard Lake Road</v>
      </c>
      <c r="AY383" t="str">
        <f>"Suite 302"</f>
        <v>Suite 302</v>
      </c>
      <c r="AZ383" t="str">
        <f>"West Bloomfield"</f>
        <v>West Bloomfield</v>
      </c>
      <c r="BA383" t="str">
        <f>"MI"</f>
        <v>MI</v>
      </c>
      <c r="BB383" s="3">
        <v>48322</v>
      </c>
      <c r="BC383" t="str">
        <f>"UNITED STATES OF AMERICA"</f>
        <v>UNITED STATES OF AMERICA</v>
      </c>
      <c r="BD383" t="str">
        <f>""</f>
        <v/>
      </c>
      <c r="BE383" t="str">
        <f>"+12488653331"</f>
        <v>+12488653331</v>
      </c>
      <c r="BF383" t="str">
        <f>""</f>
        <v/>
      </c>
      <c r="BG383" t="str">
        <f>"bela@insvisa.com"</f>
        <v>bela@insvisa.com</v>
      </c>
      <c r="BH383" t="str">
        <f>"Joseph Kallabat &amp; Associates, P.C."</f>
        <v>Joseph Kallabat &amp; Associates, P.C.</v>
      </c>
      <c r="BI383" t="str">
        <f>"MI"</f>
        <v>MI</v>
      </c>
      <c r="BJ383" t="str">
        <f>"Michigan Supreme Court"</f>
        <v>Michigan Supreme Court</v>
      </c>
      <c r="BK383">
        <v>1</v>
      </c>
      <c r="BL383" t="s">
        <v>107</v>
      </c>
      <c r="BM383" t="str">
        <f>"Sun Life Financial"</f>
        <v>Sun Life Financial</v>
      </c>
      <c r="BN383" t="s">
        <v>8659</v>
      </c>
      <c r="BP383" t="s">
        <v>2588</v>
      </c>
      <c r="BQ383" t="s">
        <v>2941</v>
      </c>
      <c r="BR383" t="s">
        <v>374</v>
      </c>
      <c r="BS383" s="5">
        <v>64108</v>
      </c>
      <c r="BT383" s="2">
        <v>108000</v>
      </c>
      <c r="BV383" t="s">
        <v>105</v>
      </c>
      <c r="BW383" s="2">
        <v>92539</v>
      </c>
      <c r="BX383" t="s">
        <v>105</v>
      </c>
      <c r="BZ383" t="s">
        <v>123</v>
      </c>
      <c r="CA383" t="str">
        <f t="shared" si="19"/>
        <v>7/1/2020 - 6/30/2021</v>
      </c>
      <c r="CF383">
        <v>2</v>
      </c>
      <c r="CG383" t="s">
        <v>98</v>
      </c>
      <c r="CH383" t="s">
        <v>98</v>
      </c>
      <c r="CI383" t="s">
        <v>206</v>
      </c>
      <c r="CJ383" t="s">
        <v>98</v>
      </c>
      <c r="CK383" t="s">
        <v>12324</v>
      </c>
      <c r="CL383" t="s">
        <v>108</v>
      </c>
      <c r="CM383" t="s">
        <v>109</v>
      </c>
      <c r="CN383" t="str">
        <f>""</f>
        <v/>
      </c>
      <c r="CO383" t="str">
        <f>""</f>
        <v/>
      </c>
      <c r="CP383" t="str">
        <f>""</f>
        <v/>
      </c>
      <c r="CQ383" t="str">
        <f>""</f>
        <v/>
      </c>
    </row>
    <row r="384" spans="1:96" x14ac:dyDescent="0.2">
      <c r="A384" t="s">
        <v>8689</v>
      </c>
      <c r="B384" t="s">
        <v>96</v>
      </c>
      <c r="C384" s="1">
        <v>44098</v>
      </c>
      <c r="D384" s="1">
        <v>44105</v>
      </c>
      <c r="F384" t="s">
        <v>97</v>
      </c>
      <c r="G384" t="str">
        <f>"System Analyst JC65"</f>
        <v>System Analyst JC65</v>
      </c>
      <c r="H384" t="s">
        <v>12181</v>
      </c>
      <c r="I384" t="s">
        <v>110</v>
      </c>
      <c r="J384" t="s">
        <v>98</v>
      </c>
      <c r="K384" s="1">
        <v>44276</v>
      </c>
      <c r="L384" s="1">
        <v>45371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 t="s">
        <v>111</v>
      </c>
      <c r="U384" t="str">
        <f>"CTSUS"</f>
        <v>CTSUS</v>
      </c>
      <c r="V384" t="s">
        <v>112</v>
      </c>
      <c r="W384" t="str">
        <f>""</f>
        <v/>
      </c>
      <c r="X384" t="s">
        <v>113</v>
      </c>
      <c r="Y384" t="s">
        <v>114</v>
      </c>
      <c r="Z384" s="3">
        <v>77845</v>
      </c>
      <c r="AA384" t="s">
        <v>101</v>
      </c>
      <c r="AB384" t="s">
        <v>114</v>
      </c>
      <c r="AC384" s="4" t="str">
        <f>"+19793296682"</f>
        <v>+19793296682</v>
      </c>
      <c r="AE384" t="str">
        <f>"541512"</f>
        <v>541512</v>
      </c>
      <c r="AF384" t="s">
        <v>115</v>
      </c>
      <c r="AG384" t="s">
        <v>116</v>
      </c>
      <c r="AH384" t="s">
        <v>108</v>
      </c>
      <c r="AI384" t="s">
        <v>117</v>
      </c>
      <c r="AJ384" t="s">
        <v>118</v>
      </c>
      <c r="AK384" t="str">
        <f>""</f>
        <v/>
      </c>
      <c r="AL384" t="s">
        <v>119</v>
      </c>
      <c r="AM384" t="s">
        <v>114</v>
      </c>
      <c r="AN384" s="3">
        <v>77845</v>
      </c>
      <c r="AO384" t="s">
        <v>101</v>
      </c>
      <c r="AQ384" t="str">
        <f>"+19793296682"</f>
        <v>+19793296682</v>
      </c>
      <c r="AS384" t="s">
        <v>120</v>
      </c>
      <c r="AT384" t="s">
        <v>102</v>
      </c>
      <c r="AU384" t="str">
        <f>""</f>
        <v/>
      </c>
      <c r="AV384" t="str">
        <f>""</f>
        <v/>
      </c>
      <c r="AW384" t="str">
        <f>""</f>
        <v/>
      </c>
      <c r="AX384" t="str">
        <f>""</f>
        <v/>
      </c>
      <c r="AY384" t="str">
        <f>""</f>
        <v/>
      </c>
      <c r="AZ384" t="str">
        <f>""</f>
        <v/>
      </c>
      <c r="BA384" t="str">
        <f>""</f>
        <v/>
      </c>
      <c r="BC384" t="str">
        <f>""</f>
        <v/>
      </c>
      <c r="BD384" t="str">
        <f>""</f>
        <v/>
      </c>
      <c r="BE384" t="str">
        <f>""</f>
        <v/>
      </c>
      <c r="BF384" t="str">
        <f>""</f>
        <v/>
      </c>
      <c r="BG384" t="str">
        <f>""</f>
        <v/>
      </c>
      <c r="BH384" t="str">
        <f>""</f>
        <v/>
      </c>
      <c r="BI384" t="str">
        <f>""</f>
        <v/>
      </c>
      <c r="BJ384" t="str">
        <f>""</f>
        <v/>
      </c>
      <c r="BK384">
        <v>1</v>
      </c>
      <c r="BL384" t="s">
        <v>107</v>
      </c>
      <c r="BM384" t="str">
        <f>"Toyota Motor North America"</f>
        <v>Toyota Motor North America</v>
      </c>
      <c r="BN384" t="s">
        <v>2616</v>
      </c>
      <c r="BP384" t="s">
        <v>297</v>
      </c>
      <c r="BQ384" t="s">
        <v>556</v>
      </c>
      <c r="BR384" t="s">
        <v>114</v>
      </c>
      <c r="BS384" s="5">
        <v>75024</v>
      </c>
      <c r="BT384" s="2">
        <v>80475</v>
      </c>
      <c r="BV384" t="s">
        <v>105</v>
      </c>
      <c r="BW384" s="2">
        <v>80475</v>
      </c>
      <c r="BX384" t="s">
        <v>105</v>
      </c>
      <c r="BZ384" t="s">
        <v>167</v>
      </c>
      <c r="CA384" t="str">
        <f t="shared" si="19"/>
        <v>7/1/2020 - 6/30/2021</v>
      </c>
      <c r="CF384">
        <v>1</v>
      </c>
      <c r="CG384" t="s">
        <v>98</v>
      </c>
      <c r="CH384" t="s">
        <v>98</v>
      </c>
      <c r="CI384" t="s">
        <v>206</v>
      </c>
      <c r="CJ384" t="s">
        <v>98</v>
      </c>
      <c r="CK384" t="s">
        <v>12324</v>
      </c>
      <c r="CL384" t="s">
        <v>108</v>
      </c>
      <c r="CM384" t="s">
        <v>109</v>
      </c>
      <c r="CN384" t="str">
        <f>""</f>
        <v/>
      </c>
      <c r="CO384" t="str">
        <f>""</f>
        <v/>
      </c>
      <c r="CP384" t="str">
        <f>""</f>
        <v/>
      </c>
      <c r="CQ384" t="str">
        <f>""</f>
        <v/>
      </c>
    </row>
    <row r="385" spans="1:96" x14ac:dyDescent="0.2">
      <c r="A385" t="s">
        <v>8840</v>
      </c>
      <c r="B385" t="s">
        <v>96</v>
      </c>
      <c r="C385" s="1">
        <v>44098</v>
      </c>
      <c r="D385" s="1">
        <v>44105</v>
      </c>
      <c r="F385" t="s">
        <v>97</v>
      </c>
      <c r="G385" t="str">
        <f>"JAVA DEVELOPER"</f>
        <v>JAVA DEVELOPER</v>
      </c>
      <c r="H385" t="s">
        <v>12169</v>
      </c>
      <c r="I385" t="s">
        <v>124</v>
      </c>
      <c r="J385" t="s">
        <v>98</v>
      </c>
      <c r="K385" s="1">
        <v>44106</v>
      </c>
      <c r="L385" s="1">
        <v>45200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 t="s">
        <v>5706</v>
      </c>
      <c r="U385" t="str">
        <f>""</f>
        <v/>
      </c>
      <c r="V385" t="s">
        <v>5707</v>
      </c>
      <c r="W385" t="str">
        <f>"SUITE 205A"</f>
        <v>SUITE 205A</v>
      </c>
      <c r="X385" t="s">
        <v>2341</v>
      </c>
      <c r="Y385" t="s">
        <v>100</v>
      </c>
      <c r="Z385" s="3">
        <v>7080</v>
      </c>
      <c r="AA385" t="s">
        <v>101</v>
      </c>
      <c r="AC385" s="4" t="str">
        <f>"+17325129003"</f>
        <v>+17325129003</v>
      </c>
      <c r="AE385" t="str">
        <f>"541519"</f>
        <v>541519</v>
      </c>
      <c r="AF385" t="s">
        <v>5708</v>
      </c>
      <c r="AG385" t="s">
        <v>5709</v>
      </c>
      <c r="AI385" t="s">
        <v>228</v>
      </c>
      <c r="AJ385" t="s">
        <v>5707</v>
      </c>
      <c r="AK385" t="str">
        <f>"SUITE 205A"</f>
        <v>SUITE 205A</v>
      </c>
      <c r="AL385" t="s">
        <v>2341</v>
      </c>
      <c r="AM385" t="s">
        <v>100</v>
      </c>
      <c r="AN385" s="3">
        <v>7080</v>
      </c>
      <c r="AO385" t="s">
        <v>101</v>
      </c>
      <c r="AQ385" t="str">
        <f>"+17325129003"</f>
        <v>+17325129003</v>
      </c>
      <c r="AS385" t="s">
        <v>5710</v>
      </c>
      <c r="AT385" t="s">
        <v>107</v>
      </c>
      <c r="AU385" t="str">
        <f>"ALLEN"</f>
        <v>ALLEN</v>
      </c>
      <c r="AV385" t="str">
        <f>"THOMAS"</f>
        <v>THOMAS</v>
      </c>
      <c r="AW385" t="str">
        <f>"V."</f>
        <v>V.</v>
      </c>
      <c r="AX385" t="str">
        <f>"50 CRAGWOOD ROAD"</f>
        <v>50 CRAGWOOD ROAD</v>
      </c>
      <c r="AY385" t="str">
        <f>"SUITE 100"</f>
        <v>SUITE 100</v>
      </c>
      <c r="AZ385" t="str">
        <f>"SOUTH PLAINFIELD"</f>
        <v>SOUTH PLAINFIELD</v>
      </c>
      <c r="BA385" t="str">
        <f>"NJ"</f>
        <v>NJ</v>
      </c>
      <c r="BB385" s="3">
        <v>7080</v>
      </c>
      <c r="BC385" t="str">
        <f>"UNITED STATES OF AMERICA"</f>
        <v>UNITED STATES OF AMERICA</v>
      </c>
      <c r="BD385" t="str">
        <f>""</f>
        <v/>
      </c>
      <c r="BE385" t="str">
        <f>"+17328327978"</f>
        <v>+17328327978</v>
      </c>
      <c r="BF385" t="str">
        <f>""</f>
        <v/>
      </c>
      <c r="BG385" t="str">
        <f>"ICERT@THOMASVALLEN.COM"</f>
        <v>ICERT@THOMASVALLEN.COM</v>
      </c>
      <c r="BH385" t="str">
        <f>"LAW OFFICE OF THOMAS V. ALLEN PLLC"</f>
        <v>LAW OFFICE OF THOMAS V. ALLEN PLLC</v>
      </c>
      <c r="BI385" t="str">
        <f>"NY"</f>
        <v>NY</v>
      </c>
      <c r="BJ385" t="str">
        <f>"APPELLATE COURT"</f>
        <v>APPELLATE COURT</v>
      </c>
      <c r="BK385">
        <v>1</v>
      </c>
      <c r="BL385" t="s">
        <v>107</v>
      </c>
      <c r="BM385" t="str">
        <f>"JPMC."</f>
        <v>JPMC.</v>
      </c>
      <c r="BN385" t="s">
        <v>1402</v>
      </c>
      <c r="BP385" t="s">
        <v>843</v>
      </c>
      <c r="BQ385" t="s">
        <v>788</v>
      </c>
      <c r="BR385" t="s">
        <v>345</v>
      </c>
      <c r="BS385" s="5">
        <v>60603</v>
      </c>
      <c r="BT385" s="2">
        <v>87838</v>
      </c>
      <c r="BV385" t="s">
        <v>105</v>
      </c>
      <c r="BW385" s="2">
        <v>87838</v>
      </c>
      <c r="BX385" t="s">
        <v>105</v>
      </c>
      <c r="BZ385" t="s">
        <v>167</v>
      </c>
      <c r="CA385" t="str">
        <f t="shared" si="19"/>
        <v>7/1/2020 - 6/30/2021</v>
      </c>
      <c r="CF385">
        <v>2</v>
      </c>
      <c r="CG385" t="s">
        <v>98</v>
      </c>
      <c r="CH385" t="s">
        <v>98</v>
      </c>
      <c r="CI385" t="s">
        <v>206</v>
      </c>
      <c r="CJ385" t="s">
        <v>98</v>
      </c>
      <c r="CK385" t="s">
        <v>12324</v>
      </c>
      <c r="CL385" t="s">
        <v>108</v>
      </c>
      <c r="CM385" t="s">
        <v>109</v>
      </c>
      <c r="CN385" t="str">
        <f>""</f>
        <v/>
      </c>
      <c r="CO385" t="str">
        <f>""</f>
        <v/>
      </c>
      <c r="CP385" t="str">
        <f>""</f>
        <v/>
      </c>
      <c r="CQ385" t="str">
        <f>""</f>
        <v/>
      </c>
    </row>
    <row r="386" spans="1:96" x14ac:dyDescent="0.2">
      <c r="A386" t="s">
        <v>8872</v>
      </c>
      <c r="B386" t="s">
        <v>96</v>
      </c>
      <c r="C386" s="1">
        <v>44098</v>
      </c>
      <c r="D386" s="1">
        <v>44105</v>
      </c>
      <c r="F386" t="s">
        <v>97</v>
      </c>
      <c r="G386" t="str">
        <f>"Salesforce Administrator"</f>
        <v>Salesforce Administrator</v>
      </c>
      <c r="H386" t="s">
        <v>12225</v>
      </c>
      <c r="I386" t="s">
        <v>628</v>
      </c>
      <c r="J386" t="s">
        <v>98</v>
      </c>
      <c r="K386" s="1">
        <v>44109</v>
      </c>
      <c r="L386" s="1">
        <v>45203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8873</v>
      </c>
      <c r="U386" t="str">
        <f>""</f>
        <v/>
      </c>
      <c r="V386" t="s">
        <v>8874</v>
      </c>
      <c r="W386" t="str">
        <f>"Suite 101"</f>
        <v>Suite 101</v>
      </c>
      <c r="X386" t="s">
        <v>348</v>
      </c>
      <c r="Y386" t="s">
        <v>265</v>
      </c>
      <c r="Z386" s="3">
        <v>48083</v>
      </c>
      <c r="AA386" t="s">
        <v>101</v>
      </c>
      <c r="AC386" s="4" t="str">
        <f>"+12485280227"</f>
        <v>+12485280227</v>
      </c>
      <c r="AE386" t="str">
        <f>"541511"</f>
        <v>541511</v>
      </c>
      <c r="AF386" t="s">
        <v>8875</v>
      </c>
      <c r="AG386" t="s">
        <v>3382</v>
      </c>
      <c r="AI386" t="s">
        <v>508</v>
      </c>
      <c r="AJ386" t="s">
        <v>8874</v>
      </c>
      <c r="AK386" t="str">
        <f>"Suite 101"</f>
        <v>Suite 101</v>
      </c>
      <c r="AL386" t="s">
        <v>348</v>
      </c>
      <c r="AM386" t="s">
        <v>265</v>
      </c>
      <c r="AN386" s="3">
        <v>48083</v>
      </c>
      <c r="AO386" t="s">
        <v>101</v>
      </c>
      <c r="AQ386" t="str">
        <f>"+12485280227"</f>
        <v>+12485280227</v>
      </c>
      <c r="AS386" t="s">
        <v>8876</v>
      </c>
      <c r="AT386" t="s">
        <v>102</v>
      </c>
      <c r="AU386" t="str">
        <f>""</f>
        <v/>
      </c>
      <c r="AV386" t="str">
        <f>""</f>
        <v/>
      </c>
      <c r="AW386" t="str">
        <f>""</f>
        <v/>
      </c>
      <c r="AX386" t="str">
        <f>""</f>
        <v/>
      </c>
      <c r="AY386" t="str">
        <f>""</f>
        <v/>
      </c>
      <c r="AZ386" t="str">
        <f>""</f>
        <v/>
      </c>
      <c r="BA386" t="str">
        <f>""</f>
        <v/>
      </c>
      <c r="BC386" t="str">
        <f>""</f>
        <v/>
      </c>
      <c r="BD386" t="str">
        <f>""</f>
        <v/>
      </c>
      <c r="BE386" t="str">
        <f>""</f>
        <v/>
      </c>
      <c r="BF386" t="str">
        <f>""</f>
        <v/>
      </c>
      <c r="BG386" t="str">
        <f>""</f>
        <v/>
      </c>
      <c r="BH386" t="str">
        <f>""</f>
        <v/>
      </c>
      <c r="BI386" t="str">
        <f>""</f>
        <v/>
      </c>
      <c r="BJ386" t="str">
        <f>""</f>
        <v/>
      </c>
      <c r="BK386">
        <v>1</v>
      </c>
      <c r="BL386" t="s">
        <v>107</v>
      </c>
      <c r="BM386" t="str">
        <f>"Education Testing Service (ETS)"</f>
        <v>Education Testing Service (ETS)</v>
      </c>
      <c r="BN386" t="s">
        <v>6900</v>
      </c>
      <c r="BP386" t="s">
        <v>947</v>
      </c>
      <c r="BQ386" t="s">
        <v>404</v>
      </c>
      <c r="BR386" t="s">
        <v>100</v>
      </c>
      <c r="BS386" s="5">
        <v>8540</v>
      </c>
      <c r="BT386" s="2">
        <v>90500</v>
      </c>
      <c r="BU386" s="2">
        <v>107500</v>
      </c>
      <c r="BV386" t="s">
        <v>105</v>
      </c>
      <c r="BW386" s="2">
        <v>90293</v>
      </c>
      <c r="BX386" t="s">
        <v>105</v>
      </c>
      <c r="BZ386" t="s">
        <v>167</v>
      </c>
      <c r="CA386" t="str">
        <f t="shared" si="19"/>
        <v>7/1/2020 - 6/30/2021</v>
      </c>
      <c r="CF386">
        <v>1</v>
      </c>
      <c r="CG386" t="s">
        <v>98</v>
      </c>
      <c r="CH386" t="s">
        <v>98</v>
      </c>
      <c r="CI386" t="s">
        <v>206</v>
      </c>
      <c r="CJ386" t="s">
        <v>98</v>
      </c>
      <c r="CK386" t="s">
        <v>12324</v>
      </c>
      <c r="CL386" t="s">
        <v>108</v>
      </c>
      <c r="CM386" t="s">
        <v>109</v>
      </c>
      <c r="CN386" t="str">
        <f>""</f>
        <v/>
      </c>
      <c r="CO386" t="str">
        <f>""</f>
        <v/>
      </c>
      <c r="CP386" t="str">
        <f>""</f>
        <v/>
      </c>
      <c r="CQ386" t="str">
        <f>""</f>
        <v/>
      </c>
    </row>
    <row r="387" spans="1:96" x14ac:dyDescent="0.2">
      <c r="A387" t="s">
        <v>8898</v>
      </c>
      <c r="B387" t="s">
        <v>96</v>
      </c>
      <c r="C387" s="1">
        <v>44098</v>
      </c>
      <c r="D387" s="1">
        <v>44105</v>
      </c>
      <c r="F387" t="s">
        <v>97</v>
      </c>
      <c r="G387" t="str">
        <f>"SAP Procurement Architect"</f>
        <v>SAP Procurement Architect</v>
      </c>
      <c r="H387" t="s">
        <v>12169</v>
      </c>
      <c r="I387" t="s">
        <v>124</v>
      </c>
      <c r="J387" t="s">
        <v>98</v>
      </c>
      <c r="K387" s="1">
        <v>44102</v>
      </c>
      <c r="L387" s="1">
        <v>45196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 t="s">
        <v>4212</v>
      </c>
      <c r="U387" t="str">
        <f>""</f>
        <v/>
      </c>
      <c r="V387" t="s">
        <v>4213</v>
      </c>
      <c r="W387" t="str">
        <f>"STE 430-S"</f>
        <v>STE 430-S</v>
      </c>
      <c r="X387" t="s">
        <v>805</v>
      </c>
      <c r="Y387" t="s">
        <v>114</v>
      </c>
      <c r="Z387" s="3">
        <v>77036</v>
      </c>
      <c r="AA387" t="s">
        <v>101</v>
      </c>
      <c r="AC387" s="4" t="str">
        <f>"+17324477498"</f>
        <v>+17324477498</v>
      </c>
      <c r="AE387" t="str">
        <f>"541519"</f>
        <v>541519</v>
      </c>
      <c r="AF387" t="s">
        <v>4214</v>
      </c>
      <c r="AG387" t="s">
        <v>4215</v>
      </c>
      <c r="AH387" t="s">
        <v>702</v>
      </c>
      <c r="AI387" t="s">
        <v>1586</v>
      </c>
      <c r="AJ387" t="s">
        <v>4213</v>
      </c>
      <c r="AK387" t="str">
        <f>"STE 430-S"</f>
        <v>STE 430-S</v>
      </c>
      <c r="AL387" t="s">
        <v>805</v>
      </c>
      <c r="AM387" t="s">
        <v>114</v>
      </c>
      <c r="AN387" s="3">
        <v>77036</v>
      </c>
      <c r="AO387" t="s">
        <v>101</v>
      </c>
      <c r="AQ387" t="str">
        <f>"+17324477498"</f>
        <v>+17324477498</v>
      </c>
      <c r="AS387" t="s">
        <v>4216</v>
      </c>
      <c r="AT387" t="s">
        <v>102</v>
      </c>
      <c r="AU387" t="str">
        <f>""</f>
        <v/>
      </c>
      <c r="AV387" t="str">
        <f>""</f>
        <v/>
      </c>
      <c r="AW387" t="str">
        <f>""</f>
        <v/>
      </c>
      <c r="AX387" t="str">
        <f>""</f>
        <v/>
      </c>
      <c r="AY387" t="str">
        <f>""</f>
        <v/>
      </c>
      <c r="AZ387" t="str">
        <f>""</f>
        <v/>
      </c>
      <c r="BA387" t="str">
        <f>""</f>
        <v/>
      </c>
      <c r="BC387" t="str">
        <f>""</f>
        <v/>
      </c>
      <c r="BD387" t="str">
        <f>""</f>
        <v/>
      </c>
      <c r="BE387" t="str">
        <f>""</f>
        <v/>
      </c>
      <c r="BF387" t="str">
        <f>""</f>
        <v/>
      </c>
      <c r="BG387" t="str">
        <f>""</f>
        <v/>
      </c>
      <c r="BH387" t="str">
        <f>""</f>
        <v/>
      </c>
      <c r="BI387" t="str">
        <f>""</f>
        <v/>
      </c>
      <c r="BJ387" t="str">
        <f>""</f>
        <v/>
      </c>
      <c r="BK387">
        <v>1</v>
      </c>
      <c r="BL387" t="s">
        <v>107</v>
      </c>
      <c r="BM387" t="str">
        <f>"Ocean Spray Cranberries Inc"</f>
        <v>Ocean Spray Cranberries Inc</v>
      </c>
      <c r="BN387" t="s">
        <v>4217</v>
      </c>
      <c r="BP387" t="s">
        <v>4218</v>
      </c>
      <c r="BQ387" t="s">
        <v>1594</v>
      </c>
      <c r="BR387" t="s">
        <v>171</v>
      </c>
      <c r="BS387" s="5">
        <v>2347</v>
      </c>
      <c r="BT387" s="2">
        <v>115939</v>
      </c>
      <c r="BU387" s="2">
        <v>116000</v>
      </c>
      <c r="BV387" t="s">
        <v>105</v>
      </c>
      <c r="BW387" s="2">
        <v>115939</v>
      </c>
      <c r="BX387" t="s">
        <v>105</v>
      </c>
      <c r="BZ387" t="s">
        <v>123</v>
      </c>
      <c r="CA387" t="str">
        <f t="shared" si="19"/>
        <v>7/1/2020 - 6/30/2021</v>
      </c>
      <c r="CF387">
        <v>2</v>
      </c>
      <c r="CG387" t="s">
        <v>98</v>
      </c>
      <c r="CH387" t="s">
        <v>98</v>
      </c>
      <c r="CI387" t="s">
        <v>206</v>
      </c>
      <c r="CJ387" t="s">
        <v>98</v>
      </c>
      <c r="CK387" t="s">
        <v>12324</v>
      </c>
      <c r="CL387" t="s">
        <v>108</v>
      </c>
      <c r="CM387" t="s">
        <v>109</v>
      </c>
      <c r="CN387" t="str">
        <f>""</f>
        <v/>
      </c>
      <c r="CO387" t="str">
        <f>""</f>
        <v/>
      </c>
      <c r="CP387" t="str">
        <f>""</f>
        <v/>
      </c>
      <c r="CQ387" t="str">
        <f>""</f>
        <v/>
      </c>
    </row>
    <row r="388" spans="1:96" x14ac:dyDescent="0.2">
      <c r="A388" t="s">
        <v>8986</v>
      </c>
      <c r="B388" t="s">
        <v>96</v>
      </c>
      <c r="C388" s="1">
        <v>44098</v>
      </c>
      <c r="D388" s="1">
        <v>44105</v>
      </c>
      <c r="F388" t="s">
        <v>97</v>
      </c>
      <c r="G388" t="str">
        <f>"Project Manager"</f>
        <v>Project Manager</v>
      </c>
      <c r="H388" t="s">
        <v>12169</v>
      </c>
      <c r="I388" t="s">
        <v>124</v>
      </c>
      <c r="J388" t="s">
        <v>98</v>
      </c>
      <c r="K388" s="1">
        <v>44098</v>
      </c>
      <c r="L388" s="1">
        <v>45192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 t="s">
        <v>310</v>
      </c>
      <c r="U388" t="str">
        <f>""</f>
        <v/>
      </c>
      <c r="V388" t="s">
        <v>311</v>
      </c>
      <c r="W388" t="str">
        <f>"SUITE 300"</f>
        <v>SUITE 300</v>
      </c>
      <c r="X388" t="s">
        <v>312</v>
      </c>
      <c r="Y388" t="s">
        <v>265</v>
      </c>
      <c r="Z388" s="3">
        <v>48083</v>
      </c>
      <c r="AA388" t="s">
        <v>101</v>
      </c>
      <c r="AC388" s="4" t="str">
        <f>"+12486193580"</f>
        <v>+12486193580</v>
      </c>
      <c r="AE388" t="str">
        <f>"541511"</f>
        <v>541511</v>
      </c>
      <c r="AF388" t="s">
        <v>313</v>
      </c>
      <c r="AG388" t="s">
        <v>314</v>
      </c>
      <c r="AI388" t="s">
        <v>315</v>
      </c>
      <c r="AJ388" t="s">
        <v>311</v>
      </c>
      <c r="AK388" t="str">
        <f>"SUITE 300"</f>
        <v>SUITE 300</v>
      </c>
      <c r="AL388" t="s">
        <v>312</v>
      </c>
      <c r="AM388" t="s">
        <v>265</v>
      </c>
      <c r="AN388" s="3">
        <v>48083</v>
      </c>
      <c r="AO388" t="s">
        <v>101</v>
      </c>
      <c r="AQ388" t="str">
        <f>"+12486193580"</f>
        <v>+12486193580</v>
      </c>
      <c r="AS388" t="s">
        <v>316</v>
      </c>
      <c r="AT388" t="s">
        <v>102</v>
      </c>
      <c r="AU388" t="str">
        <f>""</f>
        <v/>
      </c>
      <c r="AV388" t="str">
        <f>""</f>
        <v/>
      </c>
      <c r="AW388" t="str">
        <f>""</f>
        <v/>
      </c>
      <c r="AX388" t="str">
        <f>""</f>
        <v/>
      </c>
      <c r="AY388" t="str">
        <f>""</f>
        <v/>
      </c>
      <c r="AZ388" t="str">
        <f>""</f>
        <v/>
      </c>
      <c r="BA388" t="str">
        <f>""</f>
        <v/>
      </c>
      <c r="BC388" t="str">
        <f>""</f>
        <v/>
      </c>
      <c r="BD388" t="str">
        <f>""</f>
        <v/>
      </c>
      <c r="BE388" t="str">
        <f>""</f>
        <v/>
      </c>
      <c r="BF388" t="str">
        <f>""</f>
        <v/>
      </c>
      <c r="BG388" t="str">
        <f>""</f>
        <v/>
      </c>
      <c r="BH388" t="str">
        <f>""</f>
        <v/>
      </c>
      <c r="BI388" t="str">
        <f>""</f>
        <v/>
      </c>
      <c r="BJ388" t="str">
        <f>""</f>
        <v/>
      </c>
      <c r="BK388">
        <v>1</v>
      </c>
      <c r="BL388" t="s">
        <v>107</v>
      </c>
      <c r="BM388" t="str">
        <f>"Atos IT Solutions and Services Inc"</f>
        <v>Atos IT Solutions and Services Inc</v>
      </c>
      <c r="BN388" t="s">
        <v>8987</v>
      </c>
      <c r="BO388" t="s">
        <v>108</v>
      </c>
      <c r="BP388" t="s">
        <v>2262</v>
      </c>
      <c r="BQ388" t="s">
        <v>1145</v>
      </c>
      <c r="BR388" t="s">
        <v>225</v>
      </c>
      <c r="BS388" s="5">
        <v>45040</v>
      </c>
      <c r="BT388" s="2">
        <v>93998.3</v>
      </c>
      <c r="BV388" t="s">
        <v>105</v>
      </c>
      <c r="BW388" s="2">
        <v>87194</v>
      </c>
      <c r="BX388" t="s">
        <v>105</v>
      </c>
      <c r="BZ388" t="s">
        <v>167</v>
      </c>
      <c r="CA388" t="str">
        <f t="shared" si="19"/>
        <v>7/1/2020 - 6/30/2021</v>
      </c>
      <c r="CF388">
        <v>2</v>
      </c>
      <c r="CG388" t="s">
        <v>98</v>
      </c>
      <c r="CH388" t="s">
        <v>98</v>
      </c>
      <c r="CI388" t="s">
        <v>206</v>
      </c>
      <c r="CJ388" t="s">
        <v>98</v>
      </c>
      <c r="CK388" t="s">
        <v>12324</v>
      </c>
      <c r="CL388" t="s">
        <v>108</v>
      </c>
      <c r="CM388" t="s">
        <v>109</v>
      </c>
      <c r="CN388" t="str">
        <f>"Fernandes"</f>
        <v>Fernandes</v>
      </c>
      <c r="CO388" t="str">
        <f>"Samson"</f>
        <v>Samson</v>
      </c>
      <c r="CP388" t="str">
        <f>"D"</f>
        <v>D</v>
      </c>
      <c r="CQ388" t="str">
        <f>"Atos Syntel Inc"</f>
        <v>Atos Syntel Inc</v>
      </c>
      <c r="CR388" t="s">
        <v>318</v>
      </c>
    </row>
    <row r="389" spans="1:96" x14ac:dyDescent="0.2">
      <c r="A389" t="s">
        <v>9016</v>
      </c>
      <c r="B389" t="s">
        <v>96</v>
      </c>
      <c r="C389" s="1">
        <v>44098</v>
      </c>
      <c r="D389" s="1">
        <v>44105</v>
      </c>
      <c r="F389" t="s">
        <v>97</v>
      </c>
      <c r="G389" t="str">
        <f>"Senior Systems Analyst JC60"</f>
        <v>Senior Systems Analyst JC60</v>
      </c>
      <c r="H389" t="s">
        <v>12181</v>
      </c>
      <c r="I389" t="s">
        <v>110</v>
      </c>
      <c r="J389" t="s">
        <v>98</v>
      </c>
      <c r="K389" s="1">
        <v>44106</v>
      </c>
      <c r="L389" s="1">
        <v>45200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 t="s">
        <v>111</v>
      </c>
      <c r="U389" t="str">
        <f>"CTSUS"</f>
        <v>CTSUS</v>
      </c>
      <c r="V389" t="s">
        <v>112</v>
      </c>
      <c r="W389" t="str">
        <f>""</f>
        <v/>
      </c>
      <c r="X389" t="s">
        <v>113</v>
      </c>
      <c r="Y389" t="s">
        <v>114</v>
      </c>
      <c r="Z389" s="3">
        <v>77845</v>
      </c>
      <c r="AA389" t="s">
        <v>101</v>
      </c>
      <c r="AB389" t="s">
        <v>114</v>
      </c>
      <c r="AC389" s="4" t="str">
        <f>"+19793296682"</f>
        <v>+19793296682</v>
      </c>
      <c r="AE389" t="str">
        <f>"541512"</f>
        <v>541512</v>
      </c>
      <c r="AF389" t="s">
        <v>115</v>
      </c>
      <c r="AG389" t="s">
        <v>116</v>
      </c>
      <c r="AH389" t="s">
        <v>108</v>
      </c>
      <c r="AI389" t="s">
        <v>117</v>
      </c>
      <c r="AJ389" t="s">
        <v>118</v>
      </c>
      <c r="AK389" t="str">
        <f>""</f>
        <v/>
      </c>
      <c r="AL389" t="s">
        <v>119</v>
      </c>
      <c r="AM389" t="s">
        <v>114</v>
      </c>
      <c r="AN389" s="3">
        <v>77845</v>
      </c>
      <c r="AO389" t="s">
        <v>101</v>
      </c>
      <c r="AQ389" t="str">
        <f>"+19793296682"</f>
        <v>+19793296682</v>
      </c>
      <c r="AS389" t="s">
        <v>120</v>
      </c>
      <c r="AT389" t="s">
        <v>102</v>
      </c>
      <c r="AU389" t="str">
        <f>""</f>
        <v/>
      </c>
      <c r="AV389" t="str">
        <f>""</f>
        <v/>
      </c>
      <c r="AW389" t="str">
        <f>""</f>
        <v/>
      </c>
      <c r="AX389" t="str">
        <f>""</f>
        <v/>
      </c>
      <c r="AY389" t="str">
        <f>""</f>
        <v/>
      </c>
      <c r="AZ389" t="str">
        <f>""</f>
        <v/>
      </c>
      <c r="BA389" t="str">
        <f>""</f>
        <v/>
      </c>
      <c r="BC389" t="str">
        <f>""</f>
        <v/>
      </c>
      <c r="BD389" t="str">
        <f>""</f>
        <v/>
      </c>
      <c r="BE389" t="str">
        <f>""</f>
        <v/>
      </c>
      <c r="BF389" t="str">
        <f>""</f>
        <v/>
      </c>
      <c r="BG389" t="str">
        <f>""</f>
        <v/>
      </c>
      <c r="BH389" t="str">
        <f>""</f>
        <v/>
      </c>
      <c r="BI389" t="str">
        <f>""</f>
        <v/>
      </c>
      <c r="BJ389" t="str">
        <f>""</f>
        <v/>
      </c>
      <c r="BK389">
        <v>1</v>
      </c>
      <c r="BL389" t="s">
        <v>107</v>
      </c>
      <c r="BM389" t="str">
        <f>"Wells Fargo"</f>
        <v>Wells Fargo</v>
      </c>
      <c r="BN389" t="s">
        <v>6163</v>
      </c>
      <c r="BP389" t="s">
        <v>604</v>
      </c>
      <c r="BQ389" t="s">
        <v>121</v>
      </c>
      <c r="BR389" t="s">
        <v>122</v>
      </c>
      <c r="BS389" s="5">
        <v>28262</v>
      </c>
      <c r="BT389" s="2">
        <v>80766</v>
      </c>
      <c r="BV389" t="s">
        <v>105</v>
      </c>
      <c r="BW389" s="2">
        <v>80766</v>
      </c>
      <c r="BX389" t="s">
        <v>105</v>
      </c>
      <c r="BZ389" t="s">
        <v>167</v>
      </c>
      <c r="CA389" t="str">
        <f t="shared" si="19"/>
        <v>7/1/2020 - 6/30/2021</v>
      </c>
      <c r="CF389">
        <v>1</v>
      </c>
      <c r="CG389" t="s">
        <v>98</v>
      </c>
      <c r="CH389" t="s">
        <v>98</v>
      </c>
      <c r="CI389" t="s">
        <v>206</v>
      </c>
      <c r="CJ389" t="s">
        <v>98</v>
      </c>
      <c r="CK389" t="s">
        <v>12324</v>
      </c>
      <c r="CL389" t="s">
        <v>108</v>
      </c>
      <c r="CM389" t="s">
        <v>109</v>
      </c>
      <c r="CN389" t="str">
        <f>""</f>
        <v/>
      </c>
      <c r="CO389" t="str">
        <f>""</f>
        <v/>
      </c>
      <c r="CP389" t="str">
        <f>""</f>
        <v/>
      </c>
      <c r="CQ389" t="str">
        <f>""</f>
        <v/>
      </c>
    </row>
    <row r="390" spans="1:96" x14ac:dyDescent="0.2">
      <c r="A390" t="s">
        <v>9079</v>
      </c>
      <c r="B390" t="s">
        <v>96</v>
      </c>
      <c r="C390" s="1">
        <v>44098</v>
      </c>
      <c r="D390" s="1">
        <v>44105</v>
      </c>
      <c r="F390" t="s">
        <v>97</v>
      </c>
      <c r="G390" t="str">
        <f>"JUNIOR COMPUTER SYSTEMS ENGINEER 1"</f>
        <v>JUNIOR COMPUTER SYSTEMS ENGINEER 1</v>
      </c>
      <c r="H390" t="s">
        <v>12168</v>
      </c>
      <c r="I390" t="s">
        <v>160</v>
      </c>
      <c r="J390" t="s">
        <v>98</v>
      </c>
      <c r="K390" s="1">
        <v>44105</v>
      </c>
      <c r="L390" s="1">
        <v>45199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 t="s">
        <v>511</v>
      </c>
      <c r="U390" t="str">
        <f>""</f>
        <v/>
      </c>
      <c r="V390" t="s">
        <v>512</v>
      </c>
      <c r="W390" t="str">
        <f>"SUITE 300"</f>
        <v>SUITE 300</v>
      </c>
      <c r="X390" t="s">
        <v>513</v>
      </c>
      <c r="Y390" t="s">
        <v>171</v>
      </c>
      <c r="Z390" s="3">
        <v>1772</v>
      </c>
      <c r="AA390" t="s">
        <v>101</v>
      </c>
      <c r="AB390" t="s">
        <v>514</v>
      </c>
      <c r="AC390" s="4" t="str">
        <f>"+15083897451"</f>
        <v>+15083897451</v>
      </c>
      <c r="AE390" t="str">
        <f>"541511"</f>
        <v>541511</v>
      </c>
      <c r="AF390" t="s">
        <v>515</v>
      </c>
      <c r="AG390" t="s">
        <v>516</v>
      </c>
      <c r="AI390" t="s">
        <v>517</v>
      </c>
      <c r="AJ390" t="s">
        <v>518</v>
      </c>
      <c r="AK390" t="str">
        <f>"SUITE 300"</f>
        <v>SUITE 300</v>
      </c>
      <c r="AL390" t="s">
        <v>519</v>
      </c>
      <c r="AM390" t="s">
        <v>171</v>
      </c>
      <c r="AN390" s="3">
        <v>1772</v>
      </c>
      <c r="AO390" t="s">
        <v>101</v>
      </c>
      <c r="AQ390" t="str">
        <f>"+15083897451"</f>
        <v>+15083897451</v>
      </c>
      <c r="AS390" t="s">
        <v>2783</v>
      </c>
      <c r="AT390" t="s">
        <v>102</v>
      </c>
      <c r="AU390" t="str">
        <f>""</f>
        <v/>
      </c>
      <c r="AV390" t="str">
        <f>""</f>
        <v/>
      </c>
      <c r="AW390" t="str">
        <f>""</f>
        <v/>
      </c>
      <c r="AX390" t="str">
        <f>""</f>
        <v/>
      </c>
      <c r="AY390" t="str">
        <f>""</f>
        <v/>
      </c>
      <c r="AZ390" t="str">
        <f>""</f>
        <v/>
      </c>
      <c r="BA390" t="str">
        <f>""</f>
        <v/>
      </c>
      <c r="BC390" t="str">
        <f>""</f>
        <v/>
      </c>
      <c r="BD390" t="str">
        <f>""</f>
        <v/>
      </c>
      <c r="BE390" t="str">
        <f>""</f>
        <v/>
      </c>
      <c r="BF390" t="str">
        <f>""</f>
        <v/>
      </c>
      <c r="BG390" t="str">
        <f>""</f>
        <v/>
      </c>
      <c r="BH390" t="str">
        <f>""</f>
        <v/>
      </c>
      <c r="BI390" t="str">
        <f>""</f>
        <v/>
      </c>
      <c r="BJ390" t="str">
        <f>""</f>
        <v/>
      </c>
      <c r="BK390">
        <v>1</v>
      </c>
      <c r="BL390" t="s">
        <v>107</v>
      </c>
      <c r="BM390" t="str">
        <f>"MANUFACTURERS AND TRADERS TRUST COMPANY (M&amp;T BANK)"</f>
        <v>MANUFACTURERS AND TRADERS TRUST COMPANY (M&amp;T BANK)</v>
      </c>
      <c r="BN390" t="s">
        <v>8272</v>
      </c>
      <c r="BO390">
        <v>22</v>
      </c>
      <c r="BP390" t="s">
        <v>8273</v>
      </c>
      <c r="BQ390" t="s">
        <v>1054</v>
      </c>
      <c r="BR390" t="s">
        <v>190</v>
      </c>
      <c r="BS390" s="5">
        <v>14227</v>
      </c>
      <c r="BT390" s="2">
        <v>65000</v>
      </c>
      <c r="BV390" t="s">
        <v>105</v>
      </c>
      <c r="BW390" s="2">
        <v>48464</v>
      </c>
      <c r="BX390" t="s">
        <v>105</v>
      </c>
      <c r="BZ390" t="s">
        <v>191</v>
      </c>
      <c r="CA390" t="str">
        <f t="shared" si="19"/>
        <v>7/1/2020 - 6/30/2021</v>
      </c>
      <c r="CF390">
        <v>1</v>
      </c>
      <c r="CG390" t="s">
        <v>98</v>
      </c>
      <c r="CH390" t="s">
        <v>98</v>
      </c>
      <c r="CI390" t="s">
        <v>206</v>
      </c>
      <c r="CJ390" t="s">
        <v>98</v>
      </c>
      <c r="CK390" t="s">
        <v>12324</v>
      </c>
      <c r="CL390" t="s">
        <v>108</v>
      </c>
      <c r="CM390" t="s">
        <v>109</v>
      </c>
      <c r="CN390" t="str">
        <f>""</f>
        <v/>
      </c>
      <c r="CO390" t="str">
        <f>""</f>
        <v/>
      </c>
      <c r="CP390" t="str">
        <f>""</f>
        <v/>
      </c>
      <c r="CQ390" t="str">
        <f>""</f>
        <v/>
      </c>
    </row>
    <row r="391" spans="1:96" x14ac:dyDescent="0.2">
      <c r="A391" t="s">
        <v>9100</v>
      </c>
      <c r="B391" t="s">
        <v>96</v>
      </c>
      <c r="C391" s="1">
        <v>44098</v>
      </c>
      <c r="D391" s="1">
        <v>44105</v>
      </c>
      <c r="F391" t="s">
        <v>97</v>
      </c>
      <c r="G391" t="str">
        <f>"SOFTWARE DEVELOPER"</f>
        <v>SOFTWARE DEVELOPER</v>
      </c>
      <c r="H391" t="s">
        <v>12169</v>
      </c>
      <c r="I391" t="s">
        <v>124</v>
      </c>
      <c r="J391" t="s">
        <v>98</v>
      </c>
      <c r="K391" s="1">
        <v>44098</v>
      </c>
      <c r="L391" s="1">
        <v>44777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 t="s">
        <v>503</v>
      </c>
      <c r="U391" t="str">
        <f>""</f>
        <v/>
      </c>
      <c r="V391" t="s">
        <v>504</v>
      </c>
      <c r="W391" t="str">
        <f>"SUITE 102"</f>
        <v>SUITE 102</v>
      </c>
      <c r="X391" t="s">
        <v>162</v>
      </c>
      <c r="Y391" t="s">
        <v>100</v>
      </c>
      <c r="Z391" s="3">
        <v>8536</v>
      </c>
      <c r="AA391" t="s">
        <v>101</v>
      </c>
      <c r="AB391" t="s">
        <v>505</v>
      </c>
      <c r="AC391" s="4" t="str">
        <f>"+16096069010"</f>
        <v>+16096069010</v>
      </c>
      <c r="AD391">
        <v>1253</v>
      </c>
      <c r="AE391" t="str">
        <f>"541511"</f>
        <v>541511</v>
      </c>
      <c r="AF391" t="s">
        <v>9101</v>
      </c>
      <c r="AG391" t="s">
        <v>9102</v>
      </c>
      <c r="AH391" t="s">
        <v>9103</v>
      </c>
      <c r="AI391" t="s">
        <v>425</v>
      </c>
      <c r="AJ391" t="s">
        <v>509</v>
      </c>
      <c r="AK391" t="str">
        <f>"103 MORGAN LANE"</f>
        <v>103 MORGAN LANE</v>
      </c>
      <c r="AL391" t="s">
        <v>162</v>
      </c>
      <c r="AM391" t="s">
        <v>100</v>
      </c>
      <c r="AN391" s="3">
        <v>8536</v>
      </c>
      <c r="AO391" t="s">
        <v>101</v>
      </c>
      <c r="AP391" t="s">
        <v>505</v>
      </c>
      <c r="AQ391" t="str">
        <f>"+16096069010"</f>
        <v>+16096069010</v>
      </c>
      <c r="AR391">
        <v>1253</v>
      </c>
      <c r="AS391" t="s">
        <v>9104</v>
      </c>
      <c r="AT391" t="s">
        <v>102</v>
      </c>
      <c r="AU391" t="str">
        <f>""</f>
        <v/>
      </c>
      <c r="AV391" t="str">
        <f>""</f>
        <v/>
      </c>
      <c r="AW391" t="str">
        <f>""</f>
        <v/>
      </c>
      <c r="AX391" t="str">
        <f>""</f>
        <v/>
      </c>
      <c r="AY391" t="str">
        <f>""</f>
        <v/>
      </c>
      <c r="AZ391" t="str">
        <f>""</f>
        <v/>
      </c>
      <c r="BA391" t="str">
        <f>""</f>
        <v/>
      </c>
      <c r="BC391" t="str">
        <f>""</f>
        <v/>
      </c>
      <c r="BD391" t="str">
        <f>""</f>
        <v/>
      </c>
      <c r="BE391" t="str">
        <f>""</f>
        <v/>
      </c>
      <c r="BF391" t="str">
        <f>""</f>
        <v/>
      </c>
      <c r="BG391" t="str">
        <f>""</f>
        <v/>
      </c>
      <c r="BH391" t="str">
        <f>""</f>
        <v/>
      </c>
      <c r="BI391" t="str">
        <f>""</f>
        <v/>
      </c>
      <c r="BJ391" t="str">
        <f>""</f>
        <v/>
      </c>
      <c r="BK391">
        <v>1</v>
      </c>
      <c r="BL391" t="s">
        <v>107</v>
      </c>
      <c r="BM391" t="str">
        <f>"FIFTH THIRD BANK"</f>
        <v>FIFTH THIRD BANK</v>
      </c>
      <c r="BN391" t="s">
        <v>9105</v>
      </c>
      <c r="BO391" t="s">
        <v>6397</v>
      </c>
      <c r="BP391" t="s">
        <v>1734</v>
      </c>
      <c r="BQ391" t="s">
        <v>1624</v>
      </c>
      <c r="BR391" t="s">
        <v>225</v>
      </c>
      <c r="BS391" s="5">
        <v>45202</v>
      </c>
      <c r="BT391" s="2">
        <v>110500</v>
      </c>
      <c r="BU391" s="2">
        <v>133786</v>
      </c>
      <c r="BV391" t="s">
        <v>105</v>
      </c>
      <c r="BW391" s="2">
        <v>110490</v>
      </c>
      <c r="BX391" t="s">
        <v>105</v>
      </c>
      <c r="BZ391" t="s">
        <v>123</v>
      </c>
      <c r="CA391" t="str">
        <f t="shared" si="19"/>
        <v>7/1/2020 - 6/30/2021</v>
      </c>
      <c r="CF391">
        <v>2</v>
      </c>
      <c r="CG391" t="s">
        <v>98</v>
      </c>
      <c r="CH391" t="s">
        <v>98</v>
      </c>
      <c r="CI391" t="s">
        <v>206</v>
      </c>
      <c r="CJ391" t="s">
        <v>98</v>
      </c>
      <c r="CK391" t="s">
        <v>12324</v>
      </c>
      <c r="CL391" t="s">
        <v>108</v>
      </c>
      <c r="CM391" t="s">
        <v>109</v>
      </c>
      <c r="CN391" t="str">
        <f>"NA"</f>
        <v>NA</v>
      </c>
      <c r="CO391" t="str">
        <f>"NA"</f>
        <v>NA</v>
      </c>
      <c r="CP391" t="str">
        <f>"NA"</f>
        <v>NA</v>
      </c>
      <c r="CQ391" t="str">
        <f>"COMPUNNEL SOFTWARE GROUP, INC"</f>
        <v>COMPUNNEL SOFTWARE GROUP, INC</v>
      </c>
      <c r="CR391" t="s">
        <v>509</v>
      </c>
    </row>
    <row r="392" spans="1:96" x14ac:dyDescent="0.2">
      <c r="A392" t="s">
        <v>9160</v>
      </c>
      <c r="B392" t="s">
        <v>96</v>
      </c>
      <c r="C392" s="1">
        <v>44098</v>
      </c>
      <c r="D392" s="1">
        <v>44105</v>
      </c>
      <c r="F392" t="s">
        <v>97</v>
      </c>
      <c r="G392" t="str">
        <f>"Validation Engineer"</f>
        <v>Validation Engineer</v>
      </c>
      <c r="H392" t="s">
        <v>12217</v>
      </c>
      <c r="I392" t="s">
        <v>778</v>
      </c>
      <c r="J392" t="s">
        <v>98</v>
      </c>
      <c r="K392" s="1">
        <v>44109</v>
      </c>
      <c r="L392" s="1">
        <v>45203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 t="s">
        <v>3180</v>
      </c>
      <c r="U392" t="str">
        <f>"UNICON PHARMA, INC."</f>
        <v>UNICON PHARMA, INC.</v>
      </c>
      <c r="V392" t="s">
        <v>3181</v>
      </c>
      <c r="W392" t="str">
        <f>"SUITE 101"</f>
        <v>SUITE 101</v>
      </c>
      <c r="X392" t="s">
        <v>2341</v>
      </c>
      <c r="Y392" t="s">
        <v>100</v>
      </c>
      <c r="Z392" s="3">
        <v>7080</v>
      </c>
      <c r="AA392" t="s">
        <v>101</v>
      </c>
      <c r="AC392" s="4" t="str">
        <f>"+18486660101"</f>
        <v>+18486660101</v>
      </c>
      <c r="AE392" t="str">
        <f>"541990"</f>
        <v>541990</v>
      </c>
      <c r="AF392" t="s">
        <v>3182</v>
      </c>
      <c r="AG392" t="s">
        <v>3183</v>
      </c>
      <c r="AI392" t="s">
        <v>3184</v>
      </c>
      <c r="AJ392" t="s">
        <v>3181</v>
      </c>
      <c r="AK392" t="str">
        <f>"SUITE 101"</f>
        <v>SUITE 101</v>
      </c>
      <c r="AL392" t="s">
        <v>2341</v>
      </c>
      <c r="AM392" t="s">
        <v>100</v>
      </c>
      <c r="AN392" s="3">
        <v>7080</v>
      </c>
      <c r="AO392" t="s">
        <v>101</v>
      </c>
      <c r="AQ392" t="str">
        <f>"+18486660101"</f>
        <v>+18486660101</v>
      </c>
      <c r="AS392" t="s">
        <v>3185</v>
      </c>
      <c r="AT392" t="s">
        <v>107</v>
      </c>
      <c r="AU392" t="str">
        <f>"Dunn"</f>
        <v>Dunn</v>
      </c>
      <c r="AV392" t="str">
        <f>"Grant"</f>
        <v>Grant</v>
      </c>
      <c r="AW392" t="str">
        <f>"Alan"</f>
        <v>Alan</v>
      </c>
      <c r="AX392" t="str">
        <f>"800 W. Cummings Park"</f>
        <v>800 W. Cummings Park</v>
      </c>
      <c r="AY392" t="str">
        <f>"Suite 2750"</f>
        <v>Suite 2750</v>
      </c>
      <c r="AZ392" t="str">
        <f>"Woburn"</f>
        <v>Woburn</v>
      </c>
      <c r="BA392" t="str">
        <f>"MA"</f>
        <v>MA</v>
      </c>
      <c r="BB392" s="3">
        <v>1801</v>
      </c>
      <c r="BC392" t="str">
        <f>"UNITED STATES OF AMERICA"</f>
        <v>UNITED STATES OF AMERICA</v>
      </c>
      <c r="BD392" t="str">
        <f>""</f>
        <v/>
      </c>
      <c r="BE392" t="str">
        <f>"+16173347909"</f>
        <v>+16173347909</v>
      </c>
      <c r="BF392" t="str">
        <f>""</f>
        <v/>
      </c>
      <c r="BG392" t="str">
        <f>"grant@raminenilaw.com"</f>
        <v>grant@raminenilaw.com</v>
      </c>
      <c r="BH392" t="str">
        <f>"Ramineni &amp; Shepard, LLC"</f>
        <v>Ramineni &amp; Shepard, LLC</v>
      </c>
      <c r="BI392" t="str">
        <f>"MA"</f>
        <v>MA</v>
      </c>
      <c r="BJ392" t="str">
        <f>"MA Judicial Supreme Court"</f>
        <v>MA Judicial Supreme Court</v>
      </c>
      <c r="BK392">
        <v>1</v>
      </c>
      <c r="BL392" t="s">
        <v>107</v>
      </c>
      <c r="BM392" t="str">
        <f>"Iovance Biotherapeutics"</f>
        <v>Iovance Biotherapeutics</v>
      </c>
      <c r="BN392" t="s">
        <v>9161</v>
      </c>
      <c r="BO392" t="s">
        <v>9162</v>
      </c>
      <c r="BP392" t="s">
        <v>218</v>
      </c>
      <c r="BQ392" t="s">
        <v>510</v>
      </c>
      <c r="BR392" t="s">
        <v>127</v>
      </c>
      <c r="BS392" s="5">
        <v>19112</v>
      </c>
      <c r="BT392" s="2">
        <v>83262</v>
      </c>
      <c r="BV392" t="s">
        <v>105</v>
      </c>
      <c r="BW392" s="2">
        <v>83262</v>
      </c>
      <c r="BX392" t="s">
        <v>105</v>
      </c>
      <c r="BZ392" t="s">
        <v>167</v>
      </c>
      <c r="CA392" t="str">
        <f t="shared" si="19"/>
        <v>7/1/2020 - 6/30/2021</v>
      </c>
      <c r="CF392">
        <v>1</v>
      </c>
      <c r="CG392" t="s">
        <v>98</v>
      </c>
      <c r="CH392" t="s">
        <v>98</v>
      </c>
      <c r="CI392" t="s">
        <v>206</v>
      </c>
      <c r="CJ392" t="s">
        <v>98</v>
      </c>
      <c r="CK392" t="s">
        <v>12324</v>
      </c>
      <c r="CL392" t="s">
        <v>108</v>
      </c>
      <c r="CM392" t="s">
        <v>109</v>
      </c>
      <c r="CN392" t="str">
        <f>""</f>
        <v/>
      </c>
      <c r="CO392" t="str">
        <f>""</f>
        <v/>
      </c>
      <c r="CP392" t="str">
        <f>""</f>
        <v/>
      </c>
      <c r="CQ392" t="str">
        <f>""</f>
        <v/>
      </c>
    </row>
    <row r="393" spans="1:96" x14ac:dyDescent="0.2">
      <c r="A393" t="s">
        <v>9240</v>
      </c>
      <c r="B393" t="s">
        <v>96</v>
      </c>
      <c r="C393" s="1">
        <v>44098</v>
      </c>
      <c r="D393" s="1">
        <v>44105</v>
      </c>
      <c r="F393" t="s">
        <v>97</v>
      </c>
      <c r="G393" t="str">
        <f>"Manager JC50"</f>
        <v>Manager JC50</v>
      </c>
      <c r="H393" t="s">
        <v>12181</v>
      </c>
      <c r="I393" t="s">
        <v>110</v>
      </c>
      <c r="J393" t="s">
        <v>98</v>
      </c>
      <c r="K393" s="1">
        <v>44107</v>
      </c>
      <c r="L393" s="1">
        <v>45201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 t="s">
        <v>111</v>
      </c>
      <c r="U393" t="str">
        <f>"CTSUS"</f>
        <v>CTSUS</v>
      </c>
      <c r="V393" t="s">
        <v>112</v>
      </c>
      <c r="W393" t="str">
        <f>""</f>
        <v/>
      </c>
      <c r="X393" t="s">
        <v>113</v>
      </c>
      <c r="Y393" t="s">
        <v>114</v>
      </c>
      <c r="Z393" s="3">
        <v>77845</v>
      </c>
      <c r="AA393" t="s">
        <v>101</v>
      </c>
      <c r="AB393" t="s">
        <v>114</v>
      </c>
      <c r="AC393" s="4" t="str">
        <f>"+19793296682"</f>
        <v>+19793296682</v>
      </c>
      <c r="AE393" t="str">
        <f>"541512"</f>
        <v>541512</v>
      </c>
      <c r="AF393" t="s">
        <v>115</v>
      </c>
      <c r="AG393" t="s">
        <v>116</v>
      </c>
      <c r="AH393" t="s">
        <v>108</v>
      </c>
      <c r="AI393" t="s">
        <v>117</v>
      </c>
      <c r="AJ393" t="s">
        <v>118</v>
      </c>
      <c r="AK393" t="str">
        <f>""</f>
        <v/>
      </c>
      <c r="AL393" t="s">
        <v>119</v>
      </c>
      <c r="AM393" t="s">
        <v>114</v>
      </c>
      <c r="AN393" s="3">
        <v>77845</v>
      </c>
      <c r="AO393" t="s">
        <v>101</v>
      </c>
      <c r="AQ393" t="str">
        <f>"+19793296682"</f>
        <v>+19793296682</v>
      </c>
      <c r="AS393" t="s">
        <v>120</v>
      </c>
      <c r="AT393" t="s">
        <v>102</v>
      </c>
      <c r="AU393" t="str">
        <f>""</f>
        <v/>
      </c>
      <c r="AV393" t="str">
        <f>""</f>
        <v/>
      </c>
      <c r="AW393" t="str">
        <f>""</f>
        <v/>
      </c>
      <c r="AX393" t="str">
        <f>""</f>
        <v/>
      </c>
      <c r="AY393" t="str">
        <f>""</f>
        <v/>
      </c>
      <c r="AZ393" t="str">
        <f>""</f>
        <v/>
      </c>
      <c r="BA393" t="str">
        <f>""</f>
        <v/>
      </c>
      <c r="BC393" t="str">
        <f>""</f>
        <v/>
      </c>
      <c r="BD393" t="str">
        <f>""</f>
        <v/>
      </c>
      <c r="BE393" t="str">
        <f>""</f>
        <v/>
      </c>
      <c r="BF393" t="str">
        <f>""</f>
        <v/>
      </c>
      <c r="BG393" t="str">
        <f>""</f>
        <v/>
      </c>
      <c r="BH393" t="str">
        <f>""</f>
        <v/>
      </c>
      <c r="BI393" t="str">
        <f>""</f>
        <v/>
      </c>
      <c r="BJ393" t="str">
        <f>""</f>
        <v/>
      </c>
      <c r="BK393">
        <v>1</v>
      </c>
      <c r="BL393" t="s">
        <v>102</v>
      </c>
      <c r="BM393" t="str">
        <f>""</f>
        <v/>
      </c>
      <c r="BN393" t="s">
        <v>9241</v>
      </c>
      <c r="BP393" t="s">
        <v>119</v>
      </c>
      <c r="BQ393" t="s">
        <v>3702</v>
      </c>
      <c r="BR393" t="s">
        <v>114</v>
      </c>
      <c r="BS393" s="5">
        <v>77845</v>
      </c>
      <c r="BT393" s="2">
        <v>76170</v>
      </c>
      <c r="BV393" t="s">
        <v>105</v>
      </c>
      <c r="BW393" s="2">
        <v>76170</v>
      </c>
      <c r="BX393" t="s">
        <v>105</v>
      </c>
      <c r="BZ393" t="s">
        <v>123</v>
      </c>
      <c r="CA393" t="str">
        <f t="shared" si="19"/>
        <v>7/1/2020 - 6/30/2021</v>
      </c>
      <c r="CF393">
        <v>1</v>
      </c>
      <c r="CG393" t="s">
        <v>98</v>
      </c>
      <c r="CH393" t="s">
        <v>98</v>
      </c>
      <c r="CI393" t="s">
        <v>206</v>
      </c>
      <c r="CJ393" t="s">
        <v>98</v>
      </c>
      <c r="CK393" t="s">
        <v>12324</v>
      </c>
      <c r="CL393" t="s">
        <v>108</v>
      </c>
      <c r="CM393" t="s">
        <v>109</v>
      </c>
      <c r="CN393" t="str">
        <f>""</f>
        <v/>
      </c>
      <c r="CO393" t="str">
        <f>""</f>
        <v/>
      </c>
      <c r="CP393" t="str">
        <f>""</f>
        <v/>
      </c>
      <c r="CQ393" t="str">
        <f>""</f>
        <v/>
      </c>
    </row>
    <row r="394" spans="1:96" x14ac:dyDescent="0.2">
      <c r="A394" t="s">
        <v>9261</v>
      </c>
      <c r="B394" t="s">
        <v>96</v>
      </c>
      <c r="C394" s="1">
        <v>44098</v>
      </c>
      <c r="D394" s="1">
        <v>44105</v>
      </c>
      <c r="F394" t="s">
        <v>97</v>
      </c>
      <c r="G394" t="str">
        <f>"SOFTWARE DEVELOPER"</f>
        <v>SOFTWARE DEVELOPER</v>
      </c>
      <c r="H394" t="s">
        <v>12169</v>
      </c>
      <c r="I394" t="s">
        <v>124</v>
      </c>
      <c r="J394" t="s">
        <v>98</v>
      </c>
      <c r="K394" s="1">
        <v>44176</v>
      </c>
      <c r="L394" s="1">
        <v>45270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 t="s">
        <v>6931</v>
      </c>
      <c r="U394" t="str">
        <f>""</f>
        <v/>
      </c>
      <c r="V394" t="s">
        <v>2340</v>
      </c>
      <c r="W394" t="str">
        <f>"SUITE 217"</f>
        <v>SUITE 217</v>
      </c>
      <c r="X394" t="s">
        <v>2341</v>
      </c>
      <c r="Y394" t="s">
        <v>100</v>
      </c>
      <c r="Z394" s="3">
        <v>7080</v>
      </c>
      <c r="AA394" t="s">
        <v>101</v>
      </c>
      <c r="AC394" s="4" t="str">
        <f>"+17327348279"</f>
        <v>+17327348279</v>
      </c>
      <c r="AE394" t="str">
        <f>"54151"</f>
        <v>54151</v>
      </c>
      <c r="AF394" t="s">
        <v>6569</v>
      </c>
      <c r="AG394" t="s">
        <v>2401</v>
      </c>
      <c r="AI394" t="s">
        <v>978</v>
      </c>
      <c r="AJ394" t="s">
        <v>2340</v>
      </c>
      <c r="AK394" t="str">
        <f>"SUITE 217"</f>
        <v>SUITE 217</v>
      </c>
      <c r="AL394" t="s">
        <v>2341</v>
      </c>
      <c r="AM394" t="s">
        <v>100</v>
      </c>
      <c r="AN394" s="3">
        <v>7080</v>
      </c>
      <c r="AO394" t="s">
        <v>101</v>
      </c>
      <c r="AQ394" t="str">
        <f>"+17327348279"</f>
        <v>+17327348279</v>
      </c>
      <c r="AS394" t="s">
        <v>6932</v>
      </c>
      <c r="AT394" t="s">
        <v>107</v>
      </c>
      <c r="AU394" t="str">
        <f>"ALLEN"</f>
        <v>ALLEN</v>
      </c>
      <c r="AV394" t="str">
        <f>"THOMAS"</f>
        <v>THOMAS</v>
      </c>
      <c r="AW394" t="str">
        <f>"V."</f>
        <v>V.</v>
      </c>
      <c r="AX394" t="str">
        <f>"50 CRAGWOOD ROAD"</f>
        <v>50 CRAGWOOD ROAD</v>
      </c>
      <c r="AY394" t="str">
        <f>"SUITE 100"</f>
        <v>SUITE 100</v>
      </c>
      <c r="AZ394" t="str">
        <f>"SOUTH PLAINFIELD"</f>
        <v>SOUTH PLAINFIELD</v>
      </c>
      <c r="BA394" t="str">
        <f>"NJ"</f>
        <v>NJ</v>
      </c>
      <c r="BB394" s="3">
        <v>7080</v>
      </c>
      <c r="BC394" t="str">
        <f>"UNITED STATES OF AMERICA"</f>
        <v>UNITED STATES OF AMERICA</v>
      </c>
      <c r="BD394" t="str">
        <f>""</f>
        <v/>
      </c>
      <c r="BE394" t="str">
        <f>"+17328327978"</f>
        <v>+17328327978</v>
      </c>
      <c r="BF394" t="str">
        <f>""</f>
        <v/>
      </c>
      <c r="BG394" t="str">
        <f>"ICERT@THOMASVALLEN.COM"</f>
        <v>ICERT@THOMASVALLEN.COM</v>
      </c>
      <c r="BH394" t="str">
        <f>"LAW OFFICE OF THOMAS V. ALLEN PLLC"</f>
        <v>LAW OFFICE OF THOMAS V. ALLEN PLLC</v>
      </c>
      <c r="BI394" t="str">
        <f>"NY"</f>
        <v>NY</v>
      </c>
      <c r="BJ394" t="str">
        <f>"APPELLATE COURT"</f>
        <v>APPELLATE COURT</v>
      </c>
      <c r="BK394">
        <v>1</v>
      </c>
      <c r="BL394" t="s">
        <v>107</v>
      </c>
      <c r="BM394" t="str">
        <f>"VMWARE, INC."</f>
        <v>VMWARE, INC.</v>
      </c>
      <c r="BN394" t="s">
        <v>9262</v>
      </c>
      <c r="BO394" t="s">
        <v>5914</v>
      </c>
      <c r="BP394" t="s">
        <v>1288</v>
      </c>
      <c r="BQ394" t="s">
        <v>230</v>
      </c>
      <c r="BR394" t="s">
        <v>141</v>
      </c>
      <c r="BS394" s="5">
        <v>94304</v>
      </c>
      <c r="BT394" s="2">
        <v>120578</v>
      </c>
      <c r="BV394" t="s">
        <v>105</v>
      </c>
      <c r="BW394" s="2">
        <v>120578</v>
      </c>
      <c r="BX394" t="s">
        <v>105</v>
      </c>
      <c r="BZ394" t="s">
        <v>167</v>
      </c>
      <c r="CA394" t="str">
        <f t="shared" si="19"/>
        <v>7/1/2020 - 6/30/2021</v>
      </c>
      <c r="CF394">
        <v>2</v>
      </c>
      <c r="CG394" t="s">
        <v>98</v>
      </c>
      <c r="CH394" t="s">
        <v>98</v>
      </c>
      <c r="CI394" t="s">
        <v>206</v>
      </c>
      <c r="CJ394" t="s">
        <v>98</v>
      </c>
      <c r="CK394" t="s">
        <v>12324</v>
      </c>
      <c r="CL394" t="s">
        <v>108</v>
      </c>
      <c r="CM394" t="s">
        <v>109</v>
      </c>
      <c r="CN394" t="str">
        <f>""</f>
        <v/>
      </c>
      <c r="CO394" t="str">
        <f>""</f>
        <v/>
      </c>
      <c r="CP394" t="str">
        <f>""</f>
        <v/>
      </c>
      <c r="CQ394" t="str">
        <f>""</f>
        <v/>
      </c>
    </row>
    <row r="395" spans="1:96" x14ac:dyDescent="0.2">
      <c r="A395" t="s">
        <v>9293</v>
      </c>
      <c r="B395" t="s">
        <v>96</v>
      </c>
      <c r="C395" s="1">
        <v>44098</v>
      </c>
      <c r="D395" s="1">
        <v>44105</v>
      </c>
      <c r="F395" t="s">
        <v>97</v>
      </c>
      <c r="G395" t="str">
        <f>"Software Developer "</f>
        <v xml:space="preserve">Software Developer </v>
      </c>
      <c r="H395" t="s">
        <v>12169</v>
      </c>
      <c r="I395" t="s">
        <v>124</v>
      </c>
      <c r="J395" t="s">
        <v>98</v>
      </c>
      <c r="K395" s="1">
        <v>44098</v>
      </c>
      <c r="L395" s="1">
        <v>45192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 t="s">
        <v>1595</v>
      </c>
      <c r="U395" t="str">
        <f>""</f>
        <v/>
      </c>
      <c r="V395" t="s">
        <v>1596</v>
      </c>
      <c r="W395" t="str">
        <f>"Suite#31"</f>
        <v>Suite#31</v>
      </c>
      <c r="X395" t="s">
        <v>1152</v>
      </c>
      <c r="Y395" t="s">
        <v>641</v>
      </c>
      <c r="Z395" s="3">
        <v>72712</v>
      </c>
      <c r="AA395" t="s">
        <v>101</v>
      </c>
      <c r="AC395" s="4" t="str">
        <f>"+12017169222"</f>
        <v>+12017169222</v>
      </c>
      <c r="AE395" t="str">
        <f>"541511"</f>
        <v>541511</v>
      </c>
      <c r="AF395" t="s">
        <v>1597</v>
      </c>
      <c r="AG395" t="s">
        <v>1598</v>
      </c>
      <c r="AI395" t="s">
        <v>1599</v>
      </c>
      <c r="AJ395" t="s">
        <v>1596</v>
      </c>
      <c r="AK395" t="str">
        <f>"Suite#31"</f>
        <v>Suite#31</v>
      </c>
      <c r="AL395" t="s">
        <v>1152</v>
      </c>
      <c r="AM395" t="s">
        <v>641</v>
      </c>
      <c r="AN395" s="3">
        <v>72712</v>
      </c>
      <c r="AO395" t="s">
        <v>101</v>
      </c>
      <c r="AQ395" t="str">
        <f>"+12017169222"</f>
        <v>+12017169222</v>
      </c>
      <c r="AS395" t="s">
        <v>1600</v>
      </c>
      <c r="AT395" t="s">
        <v>102</v>
      </c>
      <c r="AU395" t="str">
        <f>""</f>
        <v/>
      </c>
      <c r="AV395" t="str">
        <f>""</f>
        <v/>
      </c>
      <c r="AW395" t="str">
        <f>""</f>
        <v/>
      </c>
      <c r="AX395" t="str">
        <f>""</f>
        <v/>
      </c>
      <c r="AY395" t="str">
        <f>""</f>
        <v/>
      </c>
      <c r="AZ395" t="str">
        <f>""</f>
        <v/>
      </c>
      <c r="BA395" t="str">
        <f>""</f>
        <v/>
      </c>
      <c r="BC395" t="str">
        <f>""</f>
        <v/>
      </c>
      <c r="BD395" t="str">
        <f>""</f>
        <v/>
      </c>
      <c r="BE395" t="str">
        <f>""</f>
        <v/>
      </c>
      <c r="BF395" t="str">
        <f>""</f>
        <v/>
      </c>
      <c r="BG395" t="str">
        <f>""</f>
        <v/>
      </c>
      <c r="BH395" t="str">
        <f>""</f>
        <v/>
      </c>
      <c r="BI395" t="str">
        <f>""</f>
        <v/>
      </c>
      <c r="BJ395" t="str">
        <f>""</f>
        <v/>
      </c>
      <c r="BK395">
        <v>1</v>
      </c>
      <c r="BL395" t="s">
        <v>107</v>
      </c>
      <c r="BM395" t="str">
        <f>"American Express"</f>
        <v>American Express</v>
      </c>
      <c r="BN395" t="s">
        <v>5049</v>
      </c>
      <c r="BO395" t="s">
        <v>9294</v>
      </c>
      <c r="BP395" t="s">
        <v>299</v>
      </c>
      <c r="BQ395" t="s">
        <v>257</v>
      </c>
      <c r="BR395" t="s">
        <v>258</v>
      </c>
      <c r="BS395" s="5">
        <v>85027</v>
      </c>
      <c r="BT395" s="2">
        <v>83637</v>
      </c>
      <c r="BU395" s="2">
        <v>84000</v>
      </c>
      <c r="BV395" t="s">
        <v>105</v>
      </c>
      <c r="BW395" s="2">
        <v>83637</v>
      </c>
      <c r="BX395" t="s">
        <v>105</v>
      </c>
      <c r="BZ395" t="s">
        <v>167</v>
      </c>
      <c r="CA395" t="str">
        <f t="shared" si="19"/>
        <v>7/1/2020 - 6/30/2021</v>
      </c>
      <c r="CF395">
        <v>1</v>
      </c>
      <c r="CG395" t="s">
        <v>98</v>
      </c>
      <c r="CH395" t="s">
        <v>98</v>
      </c>
      <c r="CI395" t="s">
        <v>206</v>
      </c>
      <c r="CJ395" t="s">
        <v>98</v>
      </c>
      <c r="CK395" t="s">
        <v>12324</v>
      </c>
      <c r="CL395" t="s">
        <v>108</v>
      </c>
      <c r="CM395" t="s">
        <v>109</v>
      </c>
      <c r="CN395" t="str">
        <f>""</f>
        <v/>
      </c>
      <c r="CO395" t="str">
        <f>""</f>
        <v/>
      </c>
      <c r="CP395" t="str">
        <f>""</f>
        <v/>
      </c>
      <c r="CQ395" t="str">
        <f>""</f>
        <v/>
      </c>
    </row>
    <row r="396" spans="1:96" x14ac:dyDescent="0.2">
      <c r="A396" t="s">
        <v>9310</v>
      </c>
      <c r="B396" t="s">
        <v>96</v>
      </c>
      <c r="C396" s="1">
        <v>44098</v>
      </c>
      <c r="D396" s="1">
        <v>44105</v>
      </c>
      <c r="F396" t="s">
        <v>97</v>
      </c>
      <c r="G396" t="str">
        <f>"SAP Procurement Architect"</f>
        <v>SAP Procurement Architect</v>
      </c>
      <c r="H396" t="s">
        <v>12169</v>
      </c>
      <c r="I396" t="s">
        <v>124</v>
      </c>
      <c r="J396" t="s">
        <v>98</v>
      </c>
      <c r="K396" s="1">
        <v>44102</v>
      </c>
      <c r="L396" s="1">
        <v>45196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 t="s">
        <v>4212</v>
      </c>
      <c r="U396" t="str">
        <f>""</f>
        <v/>
      </c>
      <c r="V396" t="s">
        <v>4213</v>
      </c>
      <c r="W396" t="str">
        <f>"STE 430-S"</f>
        <v>STE 430-S</v>
      </c>
      <c r="X396" t="s">
        <v>805</v>
      </c>
      <c r="Y396" t="s">
        <v>114</v>
      </c>
      <c r="Z396" s="3">
        <v>77036</v>
      </c>
      <c r="AA396" t="s">
        <v>101</v>
      </c>
      <c r="AC396" s="4" t="str">
        <f>"+17324477498"</f>
        <v>+17324477498</v>
      </c>
      <c r="AE396" t="str">
        <f>"541519"</f>
        <v>541519</v>
      </c>
      <c r="AF396" t="s">
        <v>4214</v>
      </c>
      <c r="AG396" t="s">
        <v>4215</v>
      </c>
      <c r="AH396" t="s">
        <v>702</v>
      </c>
      <c r="AI396" t="s">
        <v>1586</v>
      </c>
      <c r="AJ396" t="s">
        <v>4213</v>
      </c>
      <c r="AK396" t="str">
        <f>"STE 430-S"</f>
        <v>STE 430-S</v>
      </c>
      <c r="AL396" t="s">
        <v>805</v>
      </c>
      <c r="AM396" t="s">
        <v>114</v>
      </c>
      <c r="AN396" s="3">
        <v>77036</v>
      </c>
      <c r="AO396" t="s">
        <v>101</v>
      </c>
      <c r="AQ396" t="str">
        <f>"+17324477498"</f>
        <v>+17324477498</v>
      </c>
      <c r="AS396" t="s">
        <v>4216</v>
      </c>
      <c r="AT396" t="s">
        <v>102</v>
      </c>
      <c r="AU396" t="str">
        <f>""</f>
        <v/>
      </c>
      <c r="AV396" t="str">
        <f>""</f>
        <v/>
      </c>
      <c r="AW396" t="str">
        <f>""</f>
        <v/>
      </c>
      <c r="AX396" t="str">
        <f>""</f>
        <v/>
      </c>
      <c r="AY396" t="str">
        <f>""</f>
        <v/>
      </c>
      <c r="AZ396" t="str">
        <f>""</f>
        <v/>
      </c>
      <c r="BA396" t="str">
        <f>""</f>
        <v/>
      </c>
      <c r="BC396" t="str">
        <f>""</f>
        <v/>
      </c>
      <c r="BD396" t="str">
        <f>""</f>
        <v/>
      </c>
      <c r="BE396" t="str">
        <f>""</f>
        <v/>
      </c>
      <c r="BF396" t="str">
        <f>""</f>
        <v/>
      </c>
      <c r="BG396" t="str">
        <f>""</f>
        <v/>
      </c>
      <c r="BH396" t="str">
        <f>""</f>
        <v/>
      </c>
      <c r="BI396" t="str">
        <f>""</f>
        <v/>
      </c>
      <c r="BJ396" t="str">
        <f>""</f>
        <v/>
      </c>
      <c r="BK396">
        <v>1</v>
      </c>
      <c r="BL396" t="s">
        <v>107</v>
      </c>
      <c r="BM396" t="str">
        <f>"Ocean Spray Cranberries Inc"</f>
        <v>Ocean Spray Cranberries Inc</v>
      </c>
      <c r="BN396" t="s">
        <v>4217</v>
      </c>
      <c r="BP396" t="s">
        <v>4218</v>
      </c>
      <c r="BQ396" t="s">
        <v>1594</v>
      </c>
      <c r="BR396" t="s">
        <v>171</v>
      </c>
      <c r="BS396" s="5">
        <v>2347</v>
      </c>
      <c r="BT396" s="2">
        <v>115939</v>
      </c>
      <c r="BU396" s="2">
        <v>116000</v>
      </c>
      <c r="BV396" t="s">
        <v>105</v>
      </c>
      <c r="BW396" s="2">
        <v>115939</v>
      </c>
      <c r="BX396" t="s">
        <v>105</v>
      </c>
      <c r="BZ396" t="s">
        <v>123</v>
      </c>
      <c r="CA396" t="str">
        <f t="shared" si="19"/>
        <v>7/1/2020 - 6/30/2021</v>
      </c>
      <c r="CF396">
        <v>2</v>
      </c>
      <c r="CG396" t="s">
        <v>98</v>
      </c>
      <c r="CH396" t="s">
        <v>98</v>
      </c>
      <c r="CI396" t="s">
        <v>206</v>
      </c>
      <c r="CJ396" t="s">
        <v>98</v>
      </c>
      <c r="CK396" t="s">
        <v>12324</v>
      </c>
      <c r="CL396" t="s">
        <v>108</v>
      </c>
      <c r="CM396" t="s">
        <v>109</v>
      </c>
      <c r="CN396" t="str">
        <f>""</f>
        <v/>
      </c>
      <c r="CO396" t="str">
        <f>""</f>
        <v/>
      </c>
      <c r="CP396" t="str">
        <f>""</f>
        <v/>
      </c>
      <c r="CQ396" t="str">
        <f>""</f>
        <v/>
      </c>
    </row>
    <row r="397" spans="1:96" x14ac:dyDescent="0.2">
      <c r="A397" t="s">
        <v>9427</v>
      </c>
      <c r="B397" t="s">
        <v>96</v>
      </c>
      <c r="C397" s="1">
        <v>44098</v>
      </c>
      <c r="D397" s="1">
        <v>44105</v>
      </c>
      <c r="F397" t="s">
        <v>97</v>
      </c>
      <c r="G397" t="str">
        <f>"Business Analyst"</f>
        <v>Business Analyst</v>
      </c>
      <c r="H397" t="s">
        <v>12214</v>
      </c>
      <c r="I397" t="s">
        <v>276</v>
      </c>
      <c r="J397" t="s">
        <v>98</v>
      </c>
      <c r="K397" s="1">
        <v>44098</v>
      </c>
      <c r="L397" s="1">
        <v>45192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 t="s">
        <v>9399</v>
      </c>
      <c r="U397" t="str">
        <f>""</f>
        <v/>
      </c>
      <c r="V397" t="s">
        <v>9428</v>
      </c>
      <c r="W397" t="str">
        <f>"Suite# F"</f>
        <v>Suite# F</v>
      </c>
      <c r="X397" t="s">
        <v>561</v>
      </c>
      <c r="Y397" t="s">
        <v>100</v>
      </c>
      <c r="Z397" s="3">
        <v>8817</v>
      </c>
      <c r="AA397" t="s">
        <v>101</v>
      </c>
      <c r="AC397" s="4" t="str">
        <f>"+17325728782"</f>
        <v>+17325728782</v>
      </c>
      <c r="AE397" t="str">
        <f>"541511"</f>
        <v>541511</v>
      </c>
      <c r="AF397" t="s">
        <v>9400</v>
      </c>
      <c r="AG397" t="s">
        <v>9401</v>
      </c>
      <c r="AI397" t="s">
        <v>508</v>
      </c>
      <c r="AJ397" t="s">
        <v>9429</v>
      </c>
      <c r="AK397" t="str">
        <f>"Suite # F"</f>
        <v>Suite # F</v>
      </c>
      <c r="AL397" t="s">
        <v>561</v>
      </c>
      <c r="AM397" t="s">
        <v>100</v>
      </c>
      <c r="AN397" s="3">
        <v>8817</v>
      </c>
      <c r="AO397" t="s">
        <v>101</v>
      </c>
      <c r="AQ397" t="str">
        <f>"+17325728782"</f>
        <v>+17325728782</v>
      </c>
      <c r="AS397" t="s">
        <v>9402</v>
      </c>
      <c r="AT397" t="s">
        <v>102</v>
      </c>
      <c r="AU397" t="str">
        <f>""</f>
        <v/>
      </c>
      <c r="AV397" t="str">
        <f>""</f>
        <v/>
      </c>
      <c r="AW397" t="str">
        <f>""</f>
        <v/>
      </c>
      <c r="AX397" t="str">
        <f>""</f>
        <v/>
      </c>
      <c r="AY397" t="str">
        <f>""</f>
        <v/>
      </c>
      <c r="AZ397" t="str">
        <f>""</f>
        <v/>
      </c>
      <c r="BA397" t="str">
        <f>""</f>
        <v/>
      </c>
      <c r="BC397" t="str">
        <f>""</f>
        <v/>
      </c>
      <c r="BD397" t="str">
        <f>""</f>
        <v/>
      </c>
      <c r="BE397" t="str">
        <f>""</f>
        <v/>
      </c>
      <c r="BF397" t="str">
        <f>""</f>
        <v/>
      </c>
      <c r="BG397" t="str">
        <f>""</f>
        <v/>
      </c>
      <c r="BH397" t="str">
        <f>""</f>
        <v/>
      </c>
      <c r="BI397" t="str">
        <f>""</f>
        <v/>
      </c>
      <c r="BJ397" t="str">
        <f>""</f>
        <v/>
      </c>
      <c r="BK397">
        <v>1</v>
      </c>
      <c r="BL397" t="s">
        <v>102</v>
      </c>
      <c r="BM397" t="str">
        <f>""</f>
        <v/>
      </c>
      <c r="BN397" t="s">
        <v>9430</v>
      </c>
      <c r="BP397" t="s">
        <v>1984</v>
      </c>
      <c r="BQ397" t="s">
        <v>1832</v>
      </c>
      <c r="BR397" t="s">
        <v>100</v>
      </c>
      <c r="BS397" s="5">
        <v>8102</v>
      </c>
      <c r="BT397" s="2">
        <v>83000</v>
      </c>
      <c r="BU397" s="2">
        <v>90000</v>
      </c>
      <c r="BV397" t="s">
        <v>105</v>
      </c>
      <c r="BW397" s="2">
        <v>82056</v>
      </c>
      <c r="BX397" t="s">
        <v>105</v>
      </c>
      <c r="BZ397" t="s">
        <v>123</v>
      </c>
      <c r="CA397" t="str">
        <f t="shared" si="19"/>
        <v>7/1/2020 - 6/30/2021</v>
      </c>
      <c r="CF397">
        <v>3</v>
      </c>
      <c r="CG397" t="s">
        <v>98</v>
      </c>
      <c r="CH397" t="s">
        <v>98</v>
      </c>
      <c r="CI397" t="s">
        <v>206</v>
      </c>
      <c r="CJ397" t="s">
        <v>98</v>
      </c>
      <c r="CK397" t="s">
        <v>12324</v>
      </c>
      <c r="CL397" t="s">
        <v>108</v>
      </c>
      <c r="CM397" t="s">
        <v>109</v>
      </c>
      <c r="CN397" t="str">
        <f>""</f>
        <v/>
      </c>
      <c r="CO397" t="str">
        <f>""</f>
        <v/>
      </c>
      <c r="CP397" t="str">
        <f>""</f>
        <v/>
      </c>
      <c r="CQ397" t="str">
        <f>""</f>
        <v/>
      </c>
    </row>
    <row r="398" spans="1:96" x14ac:dyDescent="0.2">
      <c r="A398" t="s">
        <v>9489</v>
      </c>
      <c r="B398" t="s">
        <v>96</v>
      </c>
      <c r="C398" s="1">
        <v>44098</v>
      </c>
      <c r="D398" s="1">
        <v>44105</v>
      </c>
      <c r="F398" t="s">
        <v>97</v>
      </c>
      <c r="G398" t="str">
        <f>"SOFTWARE ENGINEER"</f>
        <v>SOFTWARE ENGINEER</v>
      </c>
      <c r="H398" t="s">
        <v>12169</v>
      </c>
      <c r="I398" t="s">
        <v>124</v>
      </c>
      <c r="J398" t="s">
        <v>98</v>
      </c>
      <c r="K398" s="1">
        <v>44098</v>
      </c>
      <c r="L398" s="1">
        <v>45192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 t="s">
        <v>1588</v>
      </c>
      <c r="U398" t="str">
        <f>""</f>
        <v/>
      </c>
      <c r="V398" t="s">
        <v>1589</v>
      </c>
      <c r="W398" t="str">
        <f>""</f>
        <v/>
      </c>
      <c r="X398" t="s">
        <v>535</v>
      </c>
      <c r="Y398" t="s">
        <v>100</v>
      </c>
      <c r="Z398" s="3">
        <v>8873</v>
      </c>
      <c r="AA398" t="s">
        <v>101</v>
      </c>
      <c r="AC398" s="4" t="str">
        <f>"+17327260593"</f>
        <v>+17327260593</v>
      </c>
      <c r="AE398" t="str">
        <f>"541511"</f>
        <v>541511</v>
      </c>
      <c r="AF398" t="s">
        <v>1590</v>
      </c>
      <c r="AG398" t="s">
        <v>1591</v>
      </c>
      <c r="AI398" t="s">
        <v>1586</v>
      </c>
      <c r="AJ398" t="s">
        <v>1589</v>
      </c>
      <c r="AK398" t="str">
        <f>""</f>
        <v/>
      </c>
      <c r="AL398" t="s">
        <v>535</v>
      </c>
      <c r="AM398" t="s">
        <v>100</v>
      </c>
      <c r="AN398" s="3">
        <v>8873</v>
      </c>
      <c r="AO398" t="s">
        <v>101</v>
      </c>
      <c r="AQ398" t="str">
        <f>"+17327260593"</f>
        <v>+17327260593</v>
      </c>
      <c r="AS398" t="s">
        <v>1592</v>
      </c>
      <c r="AT398" t="s">
        <v>102</v>
      </c>
      <c r="AU398" t="str">
        <f>""</f>
        <v/>
      </c>
      <c r="AV398" t="str">
        <f>""</f>
        <v/>
      </c>
      <c r="AW398" t="str">
        <f>""</f>
        <v/>
      </c>
      <c r="AX398" t="str">
        <f>""</f>
        <v/>
      </c>
      <c r="AY398" t="str">
        <f>""</f>
        <v/>
      </c>
      <c r="AZ398" t="str">
        <f>""</f>
        <v/>
      </c>
      <c r="BA398" t="str">
        <f>""</f>
        <v/>
      </c>
      <c r="BC398" t="str">
        <f>""</f>
        <v/>
      </c>
      <c r="BD398" t="str">
        <f>""</f>
        <v/>
      </c>
      <c r="BE398" t="str">
        <f>""</f>
        <v/>
      </c>
      <c r="BF398" t="str">
        <f>""</f>
        <v/>
      </c>
      <c r="BG398" t="str">
        <f>""</f>
        <v/>
      </c>
      <c r="BH398" t="str">
        <f>""</f>
        <v/>
      </c>
      <c r="BI398" t="str">
        <f>""</f>
        <v/>
      </c>
      <c r="BJ398" t="str">
        <f>""</f>
        <v/>
      </c>
      <c r="BK398">
        <v>1</v>
      </c>
      <c r="BL398" t="s">
        <v>102</v>
      </c>
      <c r="BM398" t="str">
        <f>""</f>
        <v/>
      </c>
      <c r="BN398" t="s">
        <v>9490</v>
      </c>
      <c r="BO398" t="s">
        <v>667</v>
      </c>
      <c r="BP398" t="s">
        <v>103</v>
      </c>
      <c r="BQ398" t="s">
        <v>104</v>
      </c>
      <c r="BR398" t="s">
        <v>100</v>
      </c>
      <c r="BS398" s="5">
        <v>8854</v>
      </c>
      <c r="BT398" s="2">
        <v>100526</v>
      </c>
      <c r="BU398" s="2">
        <v>122221</v>
      </c>
      <c r="BV398" t="s">
        <v>105</v>
      </c>
      <c r="BW398" s="2">
        <v>100526</v>
      </c>
      <c r="BX398" t="s">
        <v>105</v>
      </c>
      <c r="BZ398" t="s">
        <v>167</v>
      </c>
      <c r="CA398" t="str">
        <f t="shared" si="19"/>
        <v>7/1/2020 - 6/30/2021</v>
      </c>
      <c r="CF398">
        <v>2</v>
      </c>
      <c r="CG398" t="s">
        <v>98</v>
      </c>
      <c r="CH398" t="s">
        <v>98</v>
      </c>
      <c r="CI398" t="s">
        <v>206</v>
      </c>
      <c r="CJ398" t="s">
        <v>98</v>
      </c>
      <c r="CK398" t="s">
        <v>12324</v>
      </c>
      <c r="CL398" t="s">
        <v>108</v>
      </c>
      <c r="CM398" t="s">
        <v>109</v>
      </c>
      <c r="CN398" t="str">
        <f>""</f>
        <v/>
      </c>
      <c r="CO398" t="str">
        <f>""</f>
        <v/>
      </c>
      <c r="CP398" t="str">
        <f>""</f>
        <v/>
      </c>
      <c r="CQ398" t="str">
        <f>""</f>
        <v/>
      </c>
    </row>
    <row r="399" spans="1:96" x14ac:dyDescent="0.2">
      <c r="A399" t="s">
        <v>9583</v>
      </c>
      <c r="B399" t="s">
        <v>96</v>
      </c>
      <c r="C399" s="1">
        <v>44098</v>
      </c>
      <c r="D399" s="1">
        <v>44105</v>
      </c>
      <c r="F399" t="s">
        <v>97</v>
      </c>
      <c r="G399" t="str">
        <f>"SOFTWARE QUALITY ASSURANCE ENGINEER AND TESTER"</f>
        <v>SOFTWARE QUALITY ASSURANCE ENGINEER AND TESTER</v>
      </c>
      <c r="H399" t="s">
        <v>12168</v>
      </c>
      <c r="I399" t="s">
        <v>319</v>
      </c>
      <c r="J399" t="s">
        <v>98</v>
      </c>
      <c r="K399" s="1">
        <v>44099</v>
      </c>
      <c r="L399" s="1">
        <v>45192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 t="s">
        <v>503</v>
      </c>
      <c r="U399" t="str">
        <f>""</f>
        <v/>
      </c>
      <c r="V399" t="s">
        <v>504</v>
      </c>
      <c r="W399" t="str">
        <f>"SUITE 102"</f>
        <v>SUITE 102</v>
      </c>
      <c r="X399" t="s">
        <v>162</v>
      </c>
      <c r="Y399" t="s">
        <v>100</v>
      </c>
      <c r="Z399" s="3">
        <v>8536</v>
      </c>
      <c r="AA399" t="s">
        <v>101</v>
      </c>
      <c r="AB399" t="s">
        <v>505</v>
      </c>
      <c r="AC399" s="4" t="str">
        <f>"+16096069010"</f>
        <v>+16096069010</v>
      </c>
      <c r="AE399" t="str">
        <f>"541511"</f>
        <v>541511</v>
      </c>
      <c r="AF399" t="s">
        <v>798</v>
      </c>
      <c r="AG399" t="s">
        <v>507</v>
      </c>
      <c r="AH399" t="s">
        <v>108</v>
      </c>
      <c r="AI399" t="s">
        <v>799</v>
      </c>
      <c r="AJ399" t="s">
        <v>3361</v>
      </c>
      <c r="AK399" t="str">
        <f>"SUITE 102 "</f>
        <v xml:space="preserve">SUITE 102 </v>
      </c>
      <c r="AL399" t="s">
        <v>801</v>
      </c>
      <c r="AM399" t="s">
        <v>100</v>
      </c>
      <c r="AN399" s="3">
        <v>8536</v>
      </c>
      <c r="AO399" t="s">
        <v>101</v>
      </c>
      <c r="AQ399" t="str">
        <f>"+16096069010"</f>
        <v>+16096069010</v>
      </c>
      <c r="AR399">
        <v>1253</v>
      </c>
      <c r="AS399" t="s">
        <v>509</v>
      </c>
      <c r="AT399" t="s">
        <v>102</v>
      </c>
      <c r="AU399" t="str">
        <f>""</f>
        <v/>
      </c>
      <c r="AV399" t="str">
        <f>""</f>
        <v/>
      </c>
      <c r="AW399" t="str">
        <f>""</f>
        <v/>
      </c>
      <c r="AX399" t="str">
        <f>""</f>
        <v/>
      </c>
      <c r="AY399" t="str">
        <f>""</f>
        <v/>
      </c>
      <c r="AZ399" t="str">
        <f>""</f>
        <v/>
      </c>
      <c r="BA399" t="str">
        <f>""</f>
        <v/>
      </c>
      <c r="BC399" t="str">
        <f>""</f>
        <v/>
      </c>
      <c r="BD399" t="str">
        <f>""</f>
        <v/>
      </c>
      <c r="BE399" t="str">
        <f>""</f>
        <v/>
      </c>
      <c r="BF399" t="str">
        <f>""</f>
        <v/>
      </c>
      <c r="BG399" t="str">
        <f>""</f>
        <v/>
      </c>
      <c r="BH399" t="str">
        <f>""</f>
        <v/>
      </c>
      <c r="BI399" t="str">
        <f>""</f>
        <v/>
      </c>
      <c r="BJ399" t="str">
        <f>""</f>
        <v/>
      </c>
      <c r="BK399">
        <v>1</v>
      </c>
      <c r="BL399" t="s">
        <v>107</v>
      </c>
      <c r="BM399" t="str">
        <f>"Fidelity Investments"</f>
        <v>Fidelity Investments</v>
      </c>
      <c r="BN399" t="s">
        <v>1359</v>
      </c>
      <c r="BP399" t="s">
        <v>1113</v>
      </c>
      <c r="BQ399" t="s">
        <v>302</v>
      </c>
      <c r="BR399" t="s">
        <v>122</v>
      </c>
      <c r="BS399" s="5">
        <v>27709</v>
      </c>
      <c r="BT399" s="2">
        <v>99500</v>
      </c>
      <c r="BU399" s="2">
        <v>116000</v>
      </c>
      <c r="BV399" t="s">
        <v>105</v>
      </c>
      <c r="BW399" s="2">
        <v>99362</v>
      </c>
      <c r="BX399" t="s">
        <v>105</v>
      </c>
      <c r="BZ399" t="s">
        <v>123</v>
      </c>
      <c r="CA399" t="str">
        <f t="shared" si="19"/>
        <v>7/1/2020 - 6/30/2021</v>
      </c>
      <c r="CF399">
        <v>2</v>
      </c>
      <c r="CG399" t="s">
        <v>98</v>
      </c>
      <c r="CH399" t="s">
        <v>98</v>
      </c>
      <c r="CI399" t="s">
        <v>206</v>
      </c>
      <c r="CJ399" t="s">
        <v>98</v>
      </c>
      <c r="CK399" t="s">
        <v>12324</v>
      </c>
      <c r="CL399" t="s">
        <v>108</v>
      </c>
      <c r="CM399" t="s">
        <v>109</v>
      </c>
      <c r="CN399" t="str">
        <f>"N/A"</f>
        <v>N/A</v>
      </c>
      <c r="CO399" t="str">
        <f>"N/A"</f>
        <v>N/A</v>
      </c>
      <c r="CP399" t="str">
        <f>"N/A"</f>
        <v>N/A</v>
      </c>
      <c r="CQ399" t="str">
        <f>"COMPUNNEL SOFTWARE GROUP, INC     "</f>
        <v xml:space="preserve">COMPUNNEL SOFTWARE GROUP, INC     </v>
      </c>
      <c r="CR399" t="s">
        <v>509</v>
      </c>
    </row>
    <row r="400" spans="1:96" x14ac:dyDescent="0.2">
      <c r="A400" t="s">
        <v>9633</v>
      </c>
      <c r="B400" t="s">
        <v>96</v>
      </c>
      <c r="C400" s="1">
        <v>44098</v>
      </c>
      <c r="D400" s="1">
        <v>44105</v>
      </c>
      <c r="F400" t="s">
        <v>97</v>
      </c>
      <c r="G400" t="str">
        <f>"Software Developer (Java)"</f>
        <v>Software Developer (Java)</v>
      </c>
      <c r="H400" t="s">
        <v>12169</v>
      </c>
      <c r="I400" t="s">
        <v>124</v>
      </c>
      <c r="J400" t="s">
        <v>98</v>
      </c>
      <c r="K400" s="1">
        <v>44109</v>
      </c>
      <c r="L400" s="1">
        <v>44500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 t="s">
        <v>3113</v>
      </c>
      <c r="U400" t="str">
        <f>""</f>
        <v/>
      </c>
      <c r="V400" t="s">
        <v>3114</v>
      </c>
      <c r="W400" t="str">
        <f>"Suite 207"</f>
        <v>Suite 207</v>
      </c>
      <c r="X400" t="s">
        <v>3115</v>
      </c>
      <c r="Y400" t="s">
        <v>215</v>
      </c>
      <c r="Z400" s="3">
        <v>30092</v>
      </c>
      <c r="AA400" t="s">
        <v>101</v>
      </c>
      <c r="AC400" s="4" t="str">
        <f>"+16786486191"</f>
        <v>+16786486191</v>
      </c>
      <c r="AD400">
        <v>501</v>
      </c>
      <c r="AE400" t="str">
        <f>"541511"</f>
        <v>541511</v>
      </c>
      <c r="AF400" t="s">
        <v>3116</v>
      </c>
      <c r="AG400" t="s">
        <v>3117</v>
      </c>
      <c r="AI400" t="s">
        <v>2916</v>
      </c>
      <c r="AJ400" t="s">
        <v>3114</v>
      </c>
      <c r="AK400" t="str">
        <f>"Suite 207"</f>
        <v>Suite 207</v>
      </c>
      <c r="AL400" t="s">
        <v>3115</v>
      </c>
      <c r="AM400" t="s">
        <v>215</v>
      </c>
      <c r="AN400" s="3">
        <v>30092</v>
      </c>
      <c r="AO400" t="s">
        <v>101</v>
      </c>
      <c r="AQ400" t="str">
        <f>"+16786486191"</f>
        <v>+16786486191</v>
      </c>
      <c r="AR400">
        <v>501</v>
      </c>
      <c r="AS400" t="s">
        <v>3118</v>
      </c>
      <c r="AT400" t="s">
        <v>107</v>
      </c>
      <c r="AU400" t="str">
        <f>"Tripathi"</f>
        <v>Tripathi</v>
      </c>
      <c r="AV400" t="str">
        <f>"Priti"</f>
        <v>Priti</v>
      </c>
      <c r="AW400" t="str">
        <f>""</f>
        <v/>
      </c>
      <c r="AX400" t="str">
        <f>"5655 Peachtree Parkway"</f>
        <v>5655 Peachtree Parkway</v>
      </c>
      <c r="AY400" t="str">
        <f>"Suite 103"</f>
        <v>Suite 103</v>
      </c>
      <c r="AZ400" t="str">
        <f>"Peachtree Corners"</f>
        <v>Peachtree Corners</v>
      </c>
      <c r="BA400" t="str">
        <f>"GA"</f>
        <v>GA</v>
      </c>
      <c r="BB400" s="3">
        <v>30092</v>
      </c>
      <c r="BC400" t="str">
        <f>"UNITED STATES OF AMERICA"</f>
        <v>UNITED STATES OF AMERICA</v>
      </c>
      <c r="BD400" t="str">
        <f>""</f>
        <v/>
      </c>
      <c r="BE400" t="str">
        <f>"+16784586999"</f>
        <v>+16784586999</v>
      </c>
      <c r="BF400" t="str">
        <f>""</f>
        <v/>
      </c>
      <c r="BG400" t="str">
        <f>"priti@tripathilawfirm.com"</f>
        <v>priti@tripathilawfirm.com</v>
      </c>
      <c r="BH400" t="str">
        <f>"Law Offices of Priti Tripathi, PC"</f>
        <v>Law Offices of Priti Tripathi, PC</v>
      </c>
      <c r="BI400" t="str">
        <f>"GA"</f>
        <v>GA</v>
      </c>
      <c r="BJ400" t="str">
        <f>"Superior Court"</f>
        <v>Superior Court</v>
      </c>
      <c r="BK400">
        <v>1</v>
      </c>
      <c r="BL400" t="s">
        <v>107</v>
      </c>
      <c r="BM400" t="str">
        <f>"Prudential Financial"</f>
        <v>Prudential Financial</v>
      </c>
      <c r="BN400" t="s">
        <v>6047</v>
      </c>
      <c r="BP400" t="s">
        <v>2451</v>
      </c>
      <c r="BQ400" t="s">
        <v>309</v>
      </c>
      <c r="BR400" t="s">
        <v>100</v>
      </c>
      <c r="BS400" s="5">
        <v>7068</v>
      </c>
      <c r="BT400" s="2">
        <v>100526</v>
      </c>
      <c r="BV400" t="s">
        <v>105</v>
      </c>
      <c r="BW400" s="2">
        <v>100526</v>
      </c>
      <c r="BX400" t="s">
        <v>105</v>
      </c>
      <c r="BZ400" t="s">
        <v>167</v>
      </c>
      <c r="CA400" t="str">
        <f t="shared" si="19"/>
        <v>7/1/2020 - 6/30/2021</v>
      </c>
      <c r="CF400">
        <v>3</v>
      </c>
      <c r="CG400" t="s">
        <v>98</v>
      </c>
      <c r="CH400" t="s">
        <v>98</v>
      </c>
      <c r="CI400" t="s">
        <v>206</v>
      </c>
      <c r="CJ400" t="s">
        <v>98</v>
      </c>
      <c r="CK400" t="s">
        <v>12324</v>
      </c>
      <c r="CL400" t="s">
        <v>108</v>
      </c>
      <c r="CM400" t="s">
        <v>109</v>
      </c>
      <c r="CN400" t="str">
        <f>""</f>
        <v/>
      </c>
      <c r="CO400" t="str">
        <f>""</f>
        <v/>
      </c>
      <c r="CP400" t="str">
        <f>""</f>
        <v/>
      </c>
      <c r="CQ400" t="str">
        <f>""</f>
        <v/>
      </c>
    </row>
    <row r="401" spans="1:96" x14ac:dyDescent="0.2">
      <c r="A401" t="s">
        <v>9656</v>
      </c>
      <c r="B401" t="s">
        <v>96</v>
      </c>
      <c r="C401" s="1">
        <v>44098</v>
      </c>
      <c r="D401" s="1">
        <v>44105</v>
      </c>
      <c r="F401" t="s">
        <v>97</v>
      </c>
      <c r="G401" t="str">
        <f>"PL/SQL Developer"</f>
        <v>PL/SQL Developer</v>
      </c>
      <c r="H401" t="s">
        <v>12169</v>
      </c>
      <c r="I401" t="s">
        <v>124</v>
      </c>
      <c r="J401" t="s">
        <v>98</v>
      </c>
      <c r="K401" s="1">
        <v>44102</v>
      </c>
      <c r="L401" s="1">
        <v>45196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 t="s">
        <v>5953</v>
      </c>
      <c r="U401" t="str">
        <f>""</f>
        <v/>
      </c>
      <c r="V401" t="s">
        <v>4636</v>
      </c>
      <c r="W401" t="str">
        <f>"Suite 250 "</f>
        <v xml:space="preserve">Suite 250 </v>
      </c>
      <c r="X401" t="s">
        <v>2141</v>
      </c>
      <c r="Y401" t="s">
        <v>190</v>
      </c>
      <c r="Z401" s="3">
        <v>14606</v>
      </c>
      <c r="AA401" t="s">
        <v>101</v>
      </c>
      <c r="AC401" s="4" t="str">
        <f>"+18454731137"</f>
        <v>+18454731137</v>
      </c>
      <c r="AE401" t="str">
        <f>"541511"</f>
        <v>541511</v>
      </c>
      <c r="AF401" t="s">
        <v>4637</v>
      </c>
      <c r="AG401" t="s">
        <v>4638</v>
      </c>
      <c r="AH401" t="s">
        <v>382</v>
      </c>
      <c r="AI401" t="s">
        <v>1342</v>
      </c>
      <c r="AJ401" t="s">
        <v>4636</v>
      </c>
      <c r="AK401" t="str">
        <f>"Suite 250 "</f>
        <v xml:space="preserve">Suite 250 </v>
      </c>
      <c r="AL401" t="s">
        <v>2141</v>
      </c>
      <c r="AM401" t="s">
        <v>190</v>
      </c>
      <c r="AN401" s="3">
        <v>14606</v>
      </c>
      <c r="AO401" t="s">
        <v>101</v>
      </c>
      <c r="AQ401" t="str">
        <f>"+18454731137"</f>
        <v>+18454731137</v>
      </c>
      <c r="AS401" t="s">
        <v>5954</v>
      </c>
      <c r="AT401" t="s">
        <v>102</v>
      </c>
      <c r="AU401" t="str">
        <f>""</f>
        <v/>
      </c>
      <c r="AV401" t="str">
        <f>""</f>
        <v/>
      </c>
      <c r="AW401" t="str">
        <f>""</f>
        <v/>
      </c>
      <c r="AX401" t="str">
        <f>""</f>
        <v/>
      </c>
      <c r="AY401" t="str">
        <f>""</f>
        <v/>
      </c>
      <c r="AZ401" t="str">
        <f>""</f>
        <v/>
      </c>
      <c r="BA401" t="str">
        <f>""</f>
        <v/>
      </c>
      <c r="BC401" t="str">
        <f>""</f>
        <v/>
      </c>
      <c r="BD401" t="str">
        <f>""</f>
        <v/>
      </c>
      <c r="BE401" t="str">
        <f>""</f>
        <v/>
      </c>
      <c r="BF401" t="str">
        <f>""</f>
        <v/>
      </c>
      <c r="BG401" t="str">
        <f>""</f>
        <v/>
      </c>
      <c r="BH401" t="str">
        <f>""</f>
        <v/>
      </c>
      <c r="BI401" t="str">
        <f>""</f>
        <v/>
      </c>
      <c r="BJ401" t="str">
        <f>""</f>
        <v/>
      </c>
      <c r="BK401">
        <v>1</v>
      </c>
      <c r="BL401" t="s">
        <v>107</v>
      </c>
      <c r="BM401" t="str">
        <f>"AT&amp;T Communications"</f>
        <v>AT&amp;T Communications</v>
      </c>
      <c r="BN401" t="s">
        <v>9657</v>
      </c>
      <c r="BP401" t="s">
        <v>595</v>
      </c>
      <c r="BQ401" t="s">
        <v>484</v>
      </c>
      <c r="BR401" t="s">
        <v>114</v>
      </c>
      <c r="BS401" s="5">
        <v>75201</v>
      </c>
      <c r="BT401" s="2">
        <v>47</v>
      </c>
      <c r="BV401" t="s">
        <v>210</v>
      </c>
      <c r="BW401" s="2">
        <v>44.98</v>
      </c>
      <c r="BX401" t="s">
        <v>210</v>
      </c>
      <c r="BZ401" t="s">
        <v>167</v>
      </c>
      <c r="CA401" t="str">
        <f t="shared" si="19"/>
        <v>7/1/2020 - 6/30/2021</v>
      </c>
      <c r="CF401">
        <v>2</v>
      </c>
      <c r="CG401" t="s">
        <v>98</v>
      </c>
      <c r="CH401" t="s">
        <v>98</v>
      </c>
      <c r="CI401" t="s">
        <v>206</v>
      </c>
      <c r="CJ401" t="s">
        <v>98</v>
      </c>
      <c r="CK401" t="s">
        <v>12324</v>
      </c>
      <c r="CL401" t="s">
        <v>108</v>
      </c>
      <c r="CM401" t="s">
        <v>109</v>
      </c>
      <c r="CN401" t="str">
        <f>""</f>
        <v/>
      </c>
      <c r="CO401" t="str">
        <f>""</f>
        <v/>
      </c>
      <c r="CP401" t="str">
        <f>""</f>
        <v/>
      </c>
      <c r="CQ401" t="str">
        <f>""</f>
        <v/>
      </c>
    </row>
    <row r="402" spans="1:96" x14ac:dyDescent="0.2">
      <c r="A402" t="s">
        <v>9718</v>
      </c>
      <c r="B402" t="s">
        <v>96</v>
      </c>
      <c r="C402" s="1">
        <v>44098</v>
      </c>
      <c r="D402" s="1">
        <v>44105</v>
      </c>
      <c r="F402" t="s">
        <v>97</v>
      </c>
      <c r="G402" t="str">
        <f>"Software Engineer"</f>
        <v>Software Engineer</v>
      </c>
      <c r="H402" t="s">
        <v>12176</v>
      </c>
      <c r="I402" t="s">
        <v>246</v>
      </c>
      <c r="J402" t="s">
        <v>98</v>
      </c>
      <c r="K402" s="1">
        <v>44105</v>
      </c>
      <c r="L402" s="1">
        <v>45199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4381</v>
      </c>
      <c r="U402" t="str">
        <f>""</f>
        <v/>
      </c>
      <c r="V402" t="s">
        <v>4382</v>
      </c>
      <c r="W402" t="str">
        <f>""</f>
        <v/>
      </c>
      <c r="X402" t="s">
        <v>3473</v>
      </c>
      <c r="Y402" t="s">
        <v>171</v>
      </c>
      <c r="Z402" s="3">
        <v>1760</v>
      </c>
      <c r="AA402" t="s">
        <v>101</v>
      </c>
      <c r="AB402" t="s">
        <v>952</v>
      </c>
      <c r="AC402" s="4" t="str">
        <f>"+15086477000"</f>
        <v>+15086477000</v>
      </c>
      <c r="AE402" t="str">
        <f>"511210"</f>
        <v>511210</v>
      </c>
      <c r="AF402" t="s">
        <v>4383</v>
      </c>
      <c r="AG402" t="s">
        <v>4384</v>
      </c>
      <c r="AH402" t="s">
        <v>4385</v>
      </c>
      <c r="AI402" t="s">
        <v>4386</v>
      </c>
      <c r="AJ402" t="s">
        <v>4382</v>
      </c>
      <c r="AK402" t="str">
        <f>"N/A"</f>
        <v>N/A</v>
      </c>
      <c r="AL402" t="s">
        <v>3473</v>
      </c>
      <c r="AM402" t="s">
        <v>171</v>
      </c>
      <c r="AN402" s="3">
        <v>1760</v>
      </c>
      <c r="AO402" t="s">
        <v>101</v>
      </c>
      <c r="AQ402" t="str">
        <f>"+15086472792"</f>
        <v>+15086472792</v>
      </c>
      <c r="AS402" t="s">
        <v>4387</v>
      </c>
      <c r="AT402" t="s">
        <v>107</v>
      </c>
      <c r="AU402" t="str">
        <f>"ZYLBER"</f>
        <v>ZYLBER</v>
      </c>
      <c r="AV402" t="str">
        <f>"SAMANTHA"</f>
        <v>SAMANTHA</v>
      </c>
      <c r="AW402" t="str">
        <f>"LOKICH"</f>
        <v>LOKICH</v>
      </c>
      <c r="AX402" t="str">
        <f>"2 SEAPORT LANE- SEAPORT EAST"</f>
        <v>2 SEAPORT LANE- SEAPORT EAST</v>
      </c>
      <c r="AY402" t="str">
        <f>"SUITE 300"</f>
        <v>SUITE 300</v>
      </c>
      <c r="AZ402" t="str">
        <f>"Boston"</f>
        <v>Boston</v>
      </c>
      <c r="BA402" t="str">
        <f>"MA"</f>
        <v>MA</v>
      </c>
      <c r="BB402" s="3">
        <v>2210</v>
      </c>
      <c r="BC402" t="str">
        <f>"UNITED STATES OF AMERICA"</f>
        <v>UNITED STATES OF AMERICA</v>
      </c>
      <c r="BD402" t="str">
        <f>"N/A"</f>
        <v>N/A</v>
      </c>
      <c r="BE402" t="str">
        <f>"+16179464854"</f>
        <v>+16179464854</v>
      </c>
      <c r="BF402" t="str">
        <f>""</f>
        <v/>
      </c>
      <c r="BG402" t="str">
        <f>"ahavican@seyfarth.com"</f>
        <v>ahavican@seyfarth.com</v>
      </c>
      <c r="BH402" t="str">
        <f>"Seyfarth Shaw LLP"</f>
        <v>Seyfarth Shaw LLP</v>
      </c>
      <c r="BI402" t="str">
        <f>"MA"</f>
        <v>MA</v>
      </c>
      <c r="BJ402" t="str">
        <f>"Supreme Judicial Court"</f>
        <v>Supreme Judicial Court</v>
      </c>
      <c r="BK402">
        <v>1</v>
      </c>
      <c r="BL402" t="s">
        <v>102</v>
      </c>
      <c r="BM402" t="str">
        <f>""</f>
        <v/>
      </c>
      <c r="BN402" t="s">
        <v>5510</v>
      </c>
      <c r="BP402" t="s">
        <v>3472</v>
      </c>
      <c r="BQ402" t="s">
        <v>3473</v>
      </c>
      <c r="BR402" t="s">
        <v>171</v>
      </c>
      <c r="BS402" s="5">
        <v>1760</v>
      </c>
      <c r="BT402" s="2">
        <v>96242</v>
      </c>
      <c r="BU402" s="2">
        <v>132000</v>
      </c>
      <c r="BV402" t="s">
        <v>105</v>
      </c>
      <c r="BW402" s="2">
        <v>96242</v>
      </c>
      <c r="BX402" t="s">
        <v>105</v>
      </c>
      <c r="BZ402" t="s">
        <v>167</v>
      </c>
      <c r="CA402" t="str">
        <f t="shared" si="19"/>
        <v>7/1/2020 - 6/30/2021</v>
      </c>
      <c r="CF402">
        <v>2</v>
      </c>
      <c r="CG402" t="s">
        <v>98</v>
      </c>
      <c r="CH402" t="s">
        <v>98</v>
      </c>
      <c r="CI402" t="s">
        <v>206</v>
      </c>
      <c r="CJ402" t="s">
        <v>98</v>
      </c>
      <c r="CK402" t="s">
        <v>12324</v>
      </c>
      <c r="CL402" t="s">
        <v>108</v>
      </c>
      <c r="CM402" t="s">
        <v>109</v>
      </c>
      <c r="CN402" t="str">
        <f>"Havican"</f>
        <v>Havican</v>
      </c>
      <c r="CO402" t="str">
        <f>"Ashley"</f>
        <v>Ashley</v>
      </c>
      <c r="CP402" t="str">
        <f>"S."</f>
        <v>S.</v>
      </c>
      <c r="CQ402" t="str">
        <f>"Seyfarth Shaw LLP"</f>
        <v>Seyfarth Shaw LLP</v>
      </c>
      <c r="CR402" t="s">
        <v>4388</v>
      </c>
    </row>
    <row r="403" spans="1:96" x14ac:dyDescent="0.2">
      <c r="A403" t="s">
        <v>9725</v>
      </c>
      <c r="B403" t="s">
        <v>96</v>
      </c>
      <c r="C403" s="1">
        <v>44098</v>
      </c>
      <c r="D403" s="1">
        <v>44105</v>
      </c>
      <c r="F403" t="s">
        <v>97</v>
      </c>
      <c r="G403" t="str">
        <f>"Lead Business Consultant"</f>
        <v>Lead Business Consultant</v>
      </c>
      <c r="H403" t="s">
        <v>12168</v>
      </c>
      <c r="I403" t="s">
        <v>354</v>
      </c>
      <c r="J403" t="s">
        <v>98</v>
      </c>
      <c r="K403" s="1">
        <v>44113</v>
      </c>
      <c r="L403" s="1">
        <v>45207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3230</v>
      </c>
      <c r="U403" t="str">
        <f>""</f>
        <v/>
      </c>
      <c r="V403" t="s">
        <v>3231</v>
      </c>
      <c r="W403" t="str">
        <f>"SUITE 600"</f>
        <v>SUITE 600</v>
      </c>
      <c r="X403" t="s">
        <v>3232</v>
      </c>
      <c r="Y403" t="s">
        <v>374</v>
      </c>
      <c r="Z403" s="3">
        <v>63141</v>
      </c>
      <c r="AA403" t="s">
        <v>101</v>
      </c>
      <c r="AC403" s="4" t="str">
        <f>"+13149302900"</f>
        <v>+13149302900</v>
      </c>
      <c r="AE403" t="str">
        <f>"541512"</f>
        <v>541512</v>
      </c>
      <c r="AF403" t="s">
        <v>3233</v>
      </c>
      <c r="AG403" t="s">
        <v>3019</v>
      </c>
      <c r="AH403" t="s">
        <v>3234</v>
      </c>
      <c r="AI403" t="s">
        <v>262</v>
      </c>
      <c r="AJ403" t="s">
        <v>3231</v>
      </c>
      <c r="AK403" t="str">
        <f>"SUITE 500"</f>
        <v>SUITE 500</v>
      </c>
      <c r="AL403" t="s">
        <v>3232</v>
      </c>
      <c r="AM403" t="s">
        <v>374</v>
      </c>
      <c r="AN403" s="3">
        <v>63141</v>
      </c>
      <c r="AO403" t="s">
        <v>101</v>
      </c>
      <c r="AQ403" t="str">
        <f>"+13142198835"</f>
        <v>+13142198835</v>
      </c>
      <c r="AS403" t="s">
        <v>3235</v>
      </c>
      <c r="AT403" t="s">
        <v>107</v>
      </c>
      <c r="AU403" t="str">
        <f>"METZGER"</f>
        <v>METZGER</v>
      </c>
      <c r="AV403" t="str">
        <f>"DIANE"</f>
        <v>DIANE</v>
      </c>
      <c r="AW403" t="str">
        <f>"ELIZABETH"</f>
        <v>ELIZABETH</v>
      </c>
      <c r="AX403" t="str">
        <f>"34 N. MERAMEC AVENUE"</f>
        <v>34 N. MERAMEC AVENUE</v>
      </c>
      <c r="AY403" t="str">
        <f>"SUITE 600"</f>
        <v>SUITE 600</v>
      </c>
      <c r="AZ403" t="str">
        <f>"SAINT LOUIS"</f>
        <v>SAINT LOUIS</v>
      </c>
      <c r="BA403" t="str">
        <f>"MO"</f>
        <v>MO</v>
      </c>
      <c r="BB403" s="3">
        <v>63105</v>
      </c>
      <c r="BC403" t="str">
        <f>"UNITED STATES OF AMERICA"</f>
        <v>UNITED STATES OF AMERICA</v>
      </c>
      <c r="BD403" t="str">
        <f>""</f>
        <v/>
      </c>
      <c r="BE403" t="str">
        <f>"+13148803604"</f>
        <v>+13148803604</v>
      </c>
      <c r="BF403" t="str">
        <f>""</f>
        <v/>
      </c>
      <c r="BG403" t="str">
        <f>"DMETZGER@TUETHKEENEY.COM"</f>
        <v>DMETZGER@TUETHKEENEY.COM</v>
      </c>
      <c r="BH403" t="str">
        <f>"TUETH, KEENEY, COOPER, MOHAN &amp; JACKSTADT, P.C."</f>
        <v>TUETH, KEENEY, COOPER, MOHAN &amp; JACKSTADT, P.C.</v>
      </c>
      <c r="BI403" t="str">
        <f>"MO"</f>
        <v>MO</v>
      </c>
      <c r="BJ403" t="str">
        <f>"MISSOURI SUPREME COURT"</f>
        <v>MISSOURI SUPREME COURT</v>
      </c>
      <c r="BK403">
        <v>1</v>
      </c>
      <c r="BL403" t="s">
        <v>102</v>
      </c>
      <c r="BM403" t="str">
        <f>""</f>
        <v/>
      </c>
      <c r="BN403" t="s">
        <v>9726</v>
      </c>
      <c r="BO403" t="s">
        <v>9727</v>
      </c>
      <c r="BP403" t="s">
        <v>833</v>
      </c>
      <c r="BQ403" t="s">
        <v>788</v>
      </c>
      <c r="BR403" t="s">
        <v>345</v>
      </c>
      <c r="BS403" s="5">
        <v>60611</v>
      </c>
      <c r="BT403" s="2">
        <v>150000</v>
      </c>
      <c r="BV403" t="s">
        <v>105</v>
      </c>
      <c r="BW403" s="2">
        <v>95555</v>
      </c>
      <c r="BX403" t="s">
        <v>105</v>
      </c>
      <c r="BZ403" t="s">
        <v>123</v>
      </c>
      <c r="CA403" t="str">
        <f t="shared" si="19"/>
        <v>7/1/2020 - 6/30/2021</v>
      </c>
      <c r="CF403">
        <v>3</v>
      </c>
      <c r="CG403" t="s">
        <v>98</v>
      </c>
      <c r="CH403" t="s">
        <v>98</v>
      </c>
      <c r="CI403" t="s">
        <v>206</v>
      </c>
      <c r="CJ403" t="s">
        <v>98</v>
      </c>
      <c r="CK403" t="s">
        <v>12324</v>
      </c>
      <c r="CL403" t="s">
        <v>108</v>
      </c>
      <c r="CM403" t="s">
        <v>109</v>
      </c>
      <c r="CN403" t="str">
        <f>"Mahale"</f>
        <v>Mahale</v>
      </c>
      <c r="CO403" t="str">
        <f>"Avanti"</f>
        <v>Avanti</v>
      </c>
      <c r="CP403" t="str">
        <f>"P"</f>
        <v>P</v>
      </c>
      <c r="CQ403" t="str">
        <f>"Tueth Keeney Cooper Mohan &amp; Jackstadt P.C."</f>
        <v>Tueth Keeney Cooper Mohan &amp; Jackstadt P.C.</v>
      </c>
      <c r="CR403" t="s">
        <v>3236</v>
      </c>
    </row>
    <row r="404" spans="1:96" x14ac:dyDescent="0.2">
      <c r="A404" t="s">
        <v>9761</v>
      </c>
      <c r="B404" t="s">
        <v>96</v>
      </c>
      <c r="C404" s="1">
        <v>44098</v>
      </c>
      <c r="D404" s="1">
        <v>44105</v>
      </c>
      <c r="F404" t="s">
        <v>97</v>
      </c>
      <c r="G404" t="str">
        <f>"Software Engineer"</f>
        <v>Software Engineer</v>
      </c>
      <c r="H404" t="s">
        <v>12169</v>
      </c>
      <c r="I404" t="s">
        <v>124</v>
      </c>
      <c r="J404" t="s">
        <v>98</v>
      </c>
      <c r="K404" s="1">
        <v>44218</v>
      </c>
      <c r="L404" s="1">
        <v>45312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 t="s">
        <v>5978</v>
      </c>
      <c r="U404" t="str">
        <f>""</f>
        <v/>
      </c>
      <c r="V404" t="s">
        <v>5979</v>
      </c>
      <c r="W404" t="str">
        <f>"Suite 108"</f>
        <v>Suite 108</v>
      </c>
      <c r="X404" t="s">
        <v>1066</v>
      </c>
      <c r="Y404" t="s">
        <v>122</v>
      </c>
      <c r="Z404" s="3">
        <v>27615</v>
      </c>
      <c r="AA404" t="s">
        <v>101</v>
      </c>
      <c r="AC404" s="4" t="str">
        <f>"+19193355511"</f>
        <v>+19193355511</v>
      </c>
      <c r="AE404" t="str">
        <f>"541512"</f>
        <v>541512</v>
      </c>
      <c r="AF404" t="s">
        <v>5980</v>
      </c>
      <c r="AG404" t="s">
        <v>5981</v>
      </c>
      <c r="AI404" t="s">
        <v>5982</v>
      </c>
      <c r="AJ404" t="s">
        <v>5979</v>
      </c>
      <c r="AK404" t="str">
        <f>"Suite 108"</f>
        <v>Suite 108</v>
      </c>
      <c r="AL404" t="s">
        <v>1066</v>
      </c>
      <c r="AM404" t="s">
        <v>122</v>
      </c>
      <c r="AN404" s="3">
        <v>27615</v>
      </c>
      <c r="AO404" t="s">
        <v>101</v>
      </c>
      <c r="AQ404" t="str">
        <f>"+19193355511"</f>
        <v>+19193355511</v>
      </c>
      <c r="AS404" t="s">
        <v>5983</v>
      </c>
      <c r="AT404" t="s">
        <v>107</v>
      </c>
      <c r="AU404" t="str">
        <f>"CHOWDHURY"</f>
        <v>CHOWDHURY</v>
      </c>
      <c r="AV404" t="str">
        <f>"ANINDITA"</f>
        <v>ANINDITA</v>
      </c>
      <c r="AW404" t="str">
        <f>"A."</f>
        <v>A.</v>
      </c>
      <c r="AX404" t="str">
        <f>"6720-B Rockledge Drive"</f>
        <v>6720-B Rockledge Drive</v>
      </c>
      <c r="AY404" t="str">
        <f>"SUITE 430"</f>
        <v>SUITE 430</v>
      </c>
      <c r="AZ404" t="str">
        <f>"Bethesda"</f>
        <v>Bethesda</v>
      </c>
      <c r="BA404" t="str">
        <f>"MD"</f>
        <v>MD</v>
      </c>
      <c r="BB404" s="3">
        <v>20817</v>
      </c>
      <c r="BC404" t="str">
        <f>"UNITED STATES OF AMERICA"</f>
        <v>UNITED STATES OF AMERICA</v>
      </c>
      <c r="BD404" t="str">
        <f>""</f>
        <v/>
      </c>
      <c r="BE404" t="str">
        <f>"+12026184540"</f>
        <v>+12026184540</v>
      </c>
      <c r="BF404" t="str">
        <f>""</f>
        <v/>
      </c>
      <c r="BG404" t="str">
        <f>"ANINDITA@USILAW.COM"</f>
        <v>ANINDITA@USILAW.COM</v>
      </c>
      <c r="BH404" t="str">
        <f>"USILAW, INC"</f>
        <v>USILAW, INC</v>
      </c>
      <c r="BI404" t="str">
        <f>"DC"</f>
        <v>DC</v>
      </c>
      <c r="BJ404" t="str">
        <f>"COURT OF APPEALS"</f>
        <v>COURT OF APPEALS</v>
      </c>
      <c r="BK404">
        <v>1</v>
      </c>
      <c r="BL404" t="s">
        <v>102</v>
      </c>
      <c r="BM404" t="str">
        <f>""</f>
        <v/>
      </c>
      <c r="BN404" t="s">
        <v>5979</v>
      </c>
      <c r="BO404" t="s">
        <v>8532</v>
      </c>
      <c r="BP404" t="s">
        <v>1066</v>
      </c>
      <c r="BQ404" t="s">
        <v>1067</v>
      </c>
      <c r="BR404" t="s">
        <v>122</v>
      </c>
      <c r="BS404" s="5">
        <v>27615</v>
      </c>
      <c r="BT404" s="2">
        <v>120000</v>
      </c>
      <c r="BV404" t="s">
        <v>105</v>
      </c>
      <c r="BW404" s="2">
        <v>91291</v>
      </c>
      <c r="BX404" t="s">
        <v>105</v>
      </c>
      <c r="BZ404" t="s">
        <v>167</v>
      </c>
      <c r="CA404" t="str">
        <f t="shared" si="19"/>
        <v>7/1/2020 - 6/30/2021</v>
      </c>
      <c r="CF404">
        <v>2</v>
      </c>
      <c r="CG404" t="s">
        <v>98</v>
      </c>
      <c r="CH404" t="s">
        <v>98</v>
      </c>
      <c r="CI404" t="s">
        <v>206</v>
      </c>
      <c r="CJ404" t="s">
        <v>98</v>
      </c>
      <c r="CK404" t="s">
        <v>12324</v>
      </c>
      <c r="CL404" t="s">
        <v>108</v>
      </c>
      <c r="CM404" t="s">
        <v>109</v>
      </c>
      <c r="CN404" t="str">
        <f>""</f>
        <v/>
      </c>
      <c r="CO404" t="str">
        <f>""</f>
        <v/>
      </c>
      <c r="CP404" t="str">
        <f>""</f>
        <v/>
      </c>
      <c r="CQ404" t="str">
        <f>""</f>
        <v/>
      </c>
    </row>
    <row r="405" spans="1:96" x14ac:dyDescent="0.2">
      <c r="A405" t="s">
        <v>9763</v>
      </c>
      <c r="B405" t="s">
        <v>96</v>
      </c>
      <c r="C405" s="1">
        <v>44098</v>
      </c>
      <c r="D405" s="1">
        <v>44105</v>
      </c>
      <c r="F405" t="s">
        <v>97</v>
      </c>
      <c r="G405" t="str">
        <f>"Node js Developer"</f>
        <v>Node js Developer</v>
      </c>
      <c r="H405" t="s">
        <v>12169</v>
      </c>
      <c r="I405" t="s">
        <v>124</v>
      </c>
      <c r="J405" t="s">
        <v>98</v>
      </c>
      <c r="K405" s="1">
        <v>44109</v>
      </c>
      <c r="L405" s="1">
        <v>45203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 t="s">
        <v>6121</v>
      </c>
      <c r="U405" t="str">
        <f>""</f>
        <v/>
      </c>
      <c r="V405" t="s">
        <v>9764</v>
      </c>
      <c r="W405" t="str">
        <f>"Suite 200"</f>
        <v>Suite 200</v>
      </c>
      <c r="X405" t="s">
        <v>1498</v>
      </c>
      <c r="Y405" t="s">
        <v>265</v>
      </c>
      <c r="Z405" s="3">
        <v>48335</v>
      </c>
      <c r="AA405" t="s">
        <v>101</v>
      </c>
      <c r="AC405" s="4" t="str">
        <f>"+12484692349"</f>
        <v>+12484692349</v>
      </c>
      <c r="AE405" t="str">
        <f t="shared" ref="AE405:AE410" si="23">"541511"</f>
        <v>541511</v>
      </c>
      <c r="AF405" t="s">
        <v>6122</v>
      </c>
      <c r="AG405" t="s">
        <v>5564</v>
      </c>
      <c r="AH405" t="s">
        <v>1576</v>
      </c>
      <c r="AI405" t="s">
        <v>508</v>
      </c>
      <c r="AJ405" t="s">
        <v>5244</v>
      </c>
      <c r="AK405" t="str">
        <f>"Suite 200"</f>
        <v>Suite 200</v>
      </c>
      <c r="AL405" t="s">
        <v>1498</v>
      </c>
      <c r="AM405" t="s">
        <v>265</v>
      </c>
      <c r="AN405" s="3">
        <v>48335</v>
      </c>
      <c r="AO405" t="s">
        <v>101</v>
      </c>
      <c r="AQ405" t="str">
        <f>"+12484692349"</f>
        <v>+12484692349</v>
      </c>
      <c r="AS405" t="s">
        <v>6123</v>
      </c>
      <c r="AT405" t="s">
        <v>107</v>
      </c>
      <c r="AU405" t="str">
        <f>"Soren"</f>
        <v>Soren</v>
      </c>
      <c r="AV405" t="str">
        <f>"Rachael"</f>
        <v>Rachael</v>
      </c>
      <c r="AW405" t="str">
        <f>"Elizabeth"</f>
        <v>Elizabeth</v>
      </c>
      <c r="AX405" t="str">
        <f>"7031 Orchard Lake Road"</f>
        <v>7031 Orchard Lake Road</v>
      </c>
      <c r="AY405" t="str">
        <f>"Suite 302"</f>
        <v>Suite 302</v>
      </c>
      <c r="AZ405" t="str">
        <f>"West Bloomfield"</f>
        <v>West Bloomfield</v>
      </c>
      <c r="BA405" t="str">
        <f>"MI"</f>
        <v>MI</v>
      </c>
      <c r="BB405" s="3">
        <v>48322</v>
      </c>
      <c r="BC405" t="str">
        <f>"UNITED STATES OF AMERICA"</f>
        <v>UNITED STATES OF AMERICA</v>
      </c>
      <c r="BD405" t="str">
        <f>""</f>
        <v/>
      </c>
      <c r="BE405" t="str">
        <f>"+12488653331"</f>
        <v>+12488653331</v>
      </c>
      <c r="BF405" t="str">
        <f>""</f>
        <v/>
      </c>
      <c r="BG405" t="str">
        <f>"rsoren@insvisa.com"</f>
        <v>rsoren@insvisa.com</v>
      </c>
      <c r="BH405" t="str">
        <f>"Joseph Kallabat &amp; Associates, P.C."</f>
        <v>Joseph Kallabat &amp; Associates, P.C.</v>
      </c>
      <c r="BI405" t="str">
        <f>"IL"</f>
        <v>IL</v>
      </c>
      <c r="BJ405" t="str">
        <f>"Supreme Court of Illinois"</f>
        <v>Supreme Court of Illinois</v>
      </c>
      <c r="BK405">
        <v>1</v>
      </c>
      <c r="BL405" t="s">
        <v>107</v>
      </c>
      <c r="BM405" t="str">
        <f>"Capital One"</f>
        <v>Capital One</v>
      </c>
      <c r="BN405" t="s">
        <v>3777</v>
      </c>
      <c r="BO405" t="s">
        <v>9765</v>
      </c>
      <c r="BP405" t="s">
        <v>693</v>
      </c>
      <c r="BQ405" t="s">
        <v>1319</v>
      </c>
      <c r="BR405" t="s">
        <v>135</v>
      </c>
      <c r="BS405" s="5">
        <v>23238</v>
      </c>
      <c r="BT405" s="2">
        <v>93600</v>
      </c>
      <c r="BV405" t="s">
        <v>105</v>
      </c>
      <c r="BW405" s="2">
        <v>87984</v>
      </c>
      <c r="BX405" t="s">
        <v>105</v>
      </c>
      <c r="BZ405" t="s">
        <v>167</v>
      </c>
      <c r="CA405" t="str">
        <f t="shared" si="19"/>
        <v>7/1/2020 - 6/30/2021</v>
      </c>
      <c r="CF405">
        <v>2</v>
      </c>
      <c r="CG405" t="s">
        <v>98</v>
      </c>
      <c r="CH405" t="s">
        <v>98</v>
      </c>
      <c r="CI405" t="s">
        <v>206</v>
      </c>
      <c r="CJ405" t="s">
        <v>98</v>
      </c>
      <c r="CK405" t="s">
        <v>12324</v>
      </c>
      <c r="CL405" t="s">
        <v>108</v>
      </c>
      <c r="CM405" t="s">
        <v>109</v>
      </c>
      <c r="CN405" t="str">
        <f>""</f>
        <v/>
      </c>
      <c r="CO405" t="str">
        <f>""</f>
        <v/>
      </c>
      <c r="CP405" t="str">
        <f>""</f>
        <v/>
      </c>
      <c r="CQ405" t="str">
        <f>""</f>
        <v/>
      </c>
    </row>
    <row r="406" spans="1:96" x14ac:dyDescent="0.2">
      <c r="A406" t="s">
        <v>9826</v>
      </c>
      <c r="B406" t="s">
        <v>96</v>
      </c>
      <c r="C406" s="1">
        <v>44098</v>
      </c>
      <c r="D406" s="1">
        <v>44105</v>
      </c>
      <c r="F406" t="s">
        <v>97</v>
      </c>
      <c r="G406" t="str">
        <f>"Software DEVELOPER"</f>
        <v>Software DEVELOPER</v>
      </c>
      <c r="H406" t="s">
        <v>12169</v>
      </c>
      <c r="I406" t="s">
        <v>124</v>
      </c>
      <c r="J406" t="s">
        <v>98</v>
      </c>
      <c r="K406" s="1">
        <v>44099</v>
      </c>
      <c r="L406" s="1">
        <v>45193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 t="s">
        <v>4799</v>
      </c>
      <c r="U406" t="str">
        <f>""</f>
        <v/>
      </c>
      <c r="V406" t="s">
        <v>4800</v>
      </c>
      <c r="W406" t="str">
        <f>"Suite #175"</f>
        <v>Suite #175</v>
      </c>
      <c r="X406" t="s">
        <v>755</v>
      </c>
      <c r="Y406" t="s">
        <v>135</v>
      </c>
      <c r="Z406" s="3">
        <v>20170</v>
      </c>
      <c r="AA406" t="s">
        <v>101</v>
      </c>
      <c r="AC406" s="4" t="str">
        <f>"+17036899945"</f>
        <v>+17036899945</v>
      </c>
      <c r="AE406" t="str">
        <f t="shared" si="23"/>
        <v>541511</v>
      </c>
      <c r="AF406" t="s">
        <v>4801</v>
      </c>
      <c r="AG406" t="s">
        <v>4802</v>
      </c>
      <c r="AI406" t="s">
        <v>508</v>
      </c>
      <c r="AJ406" t="s">
        <v>4800</v>
      </c>
      <c r="AK406" t="str">
        <f>"Suite #175"</f>
        <v>Suite #175</v>
      </c>
      <c r="AL406" t="s">
        <v>755</v>
      </c>
      <c r="AM406" t="s">
        <v>135</v>
      </c>
      <c r="AN406" s="3">
        <v>20170</v>
      </c>
      <c r="AO406" t="s">
        <v>101</v>
      </c>
      <c r="AQ406" t="str">
        <f>"+17036899945"</f>
        <v>+17036899945</v>
      </c>
      <c r="AS406" t="s">
        <v>4803</v>
      </c>
      <c r="AT406" t="s">
        <v>107</v>
      </c>
      <c r="AU406" t="str">
        <f>"Ilindra"</f>
        <v>Ilindra</v>
      </c>
      <c r="AV406" t="str">
        <f>"Bhanu"</f>
        <v>Bhanu</v>
      </c>
      <c r="AW406" t="str">
        <f>"Babu"</f>
        <v>Babu</v>
      </c>
      <c r="AX406" t="str">
        <f>"P.O. Box 1114"</f>
        <v>P.O. Box 1114</v>
      </c>
      <c r="AY406" t="str">
        <f>""</f>
        <v/>
      </c>
      <c r="AZ406" t="str">
        <f>"Herndon"</f>
        <v>Herndon</v>
      </c>
      <c r="BA406" t="str">
        <f>"VA"</f>
        <v>VA</v>
      </c>
      <c r="BB406" s="3">
        <v>20170</v>
      </c>
      <c r="BC406" t="str">
        <f>"UNITED STATES OF AMERICA"</f>
        <v>UNITED STATES OF AMERICA</v>
      </c>
      <c r="BD406" t="str">
        <f>""</f>
        <v/>
      </c>
      <c r="BE406" t="str">
        <f>"+17034967722"</f>
        <v>+17034967722</v>
      </c>
      <c r="BF406" t="str">
        <f>""</f>
        <v/>
      </c>
      <c r="BG406" t="str">
        <f>"bhanu@bbilawgroup.com"</f>
        <v>bhanu@bbilawgroup.com</v>
      </c>
      <c r="BH406" t="str">
        <f>"BBI Law Group, P.C."</f>
        <v>BBI Law Group, P.C.</v>
      </c>
      <c r="BI406" t="str">
        <f>"NY"</f>
        <v>NY</v>
      </c>
      <c r="BJ406" t="str">
        <f>"Third Appellate Court"</f>
        <v>Third Appellate Court</v>
      </c>
      <c r="BK406">
        <v>1</v>
      </c>
      <c r="BL406" t="s">
        <v>107</v>
      </c>
      <c r="BM406" t="str">
        <f>"Prysmian Group "</f>
        <v xml:space="preserve">Prysmian Group </v>
      </c>
      <c r="BN406" t="s">
        <v>9827</v>
      </c>
      <c r="BP406" t="s">
        <v>6816</v>
      </c>
      <c r="BQ406" t="s">
        <v>8173</v>
      </c>
      <c r="BR406" t="s">
        <v>370</v>
      </c>
      <c r="BS406" s="5">
        <v>41076</v>
      </c>
      <c r="BT406" s="2">
        <v>87200</v>
      </c>
      <c r="BV406" t="s">
        <v>105</v>
      </c>
      <c r="BW406" s="2">
        <v>87194</v>
      </c>
      <c r="BX406" t="s">
        <v>105</v>
      </c>
      <c r="BZ406" t="s">
        <v>167</v>
      </c>
      <c r="CA406" t="str">
        <f t="shared" si="19"/>
        <v>7/1/2020 - 6/30/2021</v>
      </c>
      <c r="CF406">
        <v>1</v>
      </c>
      <c r="CG406" t="s">
        <v>98</v>
      </c>
      <c r="CH406" t="s">
        <v>98</v>
      </c>
      <c r="CI406" t="s">
        <v>206</v>
      </c>
      <c r="CJ406" t="s">
        <v>98</v>
      </c>
      <c r="CK406" t="s">
        <v>12324</v>
      </c>
      <c r="CL406" t="s">
        <v>108</v>
      </c>
      <c r="CM406" t="s">
        <v>109</v>
      </c>
      <c r="CN406" t="str">
        <f>"Ilindra"</f>
        <v>Ilindra</v>
      </c>
      <c r="CO406" t="str">
        <f>"Bhanu"</f>
        <v>Bhanu</v>
      </c>
      <c r="CP406" t="str">
        <f>"B"</f>
        <v>B</v>
      </c>
      <c r="CQ406" t="str">
        <f>"BBI Law Group, P.C."</f>
        <v>BBI Law Group, P.C.</v>
      </c>
      <c r="CR406" t="s">
        <v>1320</v>
      </c>
    </row>
    <row r="407" spans="1:96" x14ac:dyDescent="0.2">
      <c r="A407" t="s">
        <v>9842</v>
      </c>
      <c r="B407" t="s">
        <v>96</v>
      </c>
      <c r="C407" s="1">
        <v>44098</v>
      </c>
      <c r="D407" s="1">
        <v>44105</v>
      </c>
      <c r="F407" t="s">
        <v>97</v>
      </c>
      <c r="G407" t="str">
        <f>"Mechanical Engineer"</f>
        <v>Mechanical Engineer</v>
      </c>
      <c r="H407" t="s">
        <v>12196</v>
      </c>
      <c r="I407" t="s">
        <v>322</v>
      </c>
      <c r="J407" t="s">
        <v>98</v>
      </c>
      <c r="K407" s="1">
        <v>44102</v>
      </c>
      <c r="L407" s="1">
        <v>45196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 t="s">
        <v>9526</v>
      </c>
      <c r="U407" t="str">
        <f>""</f>
        <v/>
      </c>
      <c r="V407" t="s">
        <v>6178</v>
      </c>
      <c r="W407" t="str">
        <f>""</f>
        <v/>
      </c>
      <c r="X407" t="s">
        <v>348</v>
      </c>
      <c r="Y407" t="s">
        <v>265</v>
      </c>
      <c r="Z407" s="3">
        <v>48084</v>
      </c>
      <c r="AA407" t="s">
        <v>101</v>
      </c>
      <c r="AC407" s="4" t="str">
        <f>"+12486439010"</f>
        <v>+12486439010</v>
      </c>
      <c r="AE407" t="str">
        <f t="shared" si="23"/>
        <v>541511</v>
      </c>
      <c r="AF407" t="s">
        <v>4393</v>
      </c>
      <c r="AG407" t="s">
        <v>4163</v>
      </c>
      <c r="AI407" t="s">
        <v>2976</v>
      </c>
      <c r="AJ407" t="s">
        <v>6178</v>
      </c>
      <c r="AK407" t="str">
        <f>""</f>
        <v/>
      </c>
      <c r="AL407" t="s">
        <v>348</v>
      </c>
      <c r="AM407" t="s">
        <v>265</v>
      </c>
      <c r="AN407" s="3">
        <v>48084</v>
      </c>
      <c r="AO407" t="s">
        <v>101</v>
      </c>
      <c r="AQ407" t="str">
        <f>"+12486439010"</f>
        <v>+12486439010</v>
      </c>
      <c r="AS407" t="s">
        <v>6179</v>
      </c>
      <c r="AT407" t="s">
        <v>102</v>
      </c>
      <c r="AU407" t="str">
        <f>""</f>
        <v/>
      </c>
      <c r="AV407" t="str">
        <f>""</f>
        <v/>
      </c>
      <c r="AW407" t="str">
        <f>""</f>
        <v/>
      </c>
      <c r="AX407" t="str">
        <f>""</f>
        <v/>
      </c>
      <c r="AY407" t="str">
        <f>""</f>
        <v/>
      </c>
      <c r="AZ407" t="str">
        <f>""</f>
        <v/>
      </c>
      <c r="BA407" t="str">
        <f>""</f>
        <v/>
      </c>
      <c r="BC407" t="str">
        <f>""</f>
        <v/>
      </c>
      <c r="BD407" t="str">
        <f>""</f>
        <v/>
      </c>
      <c r="BE407" t="str">
        <f>""</f>
        <v/>
      </c>
      <c r="BF407" t="str">
        <f>""</f>
        <v/>
      </c>
      <c r="BG407" t="str">
        <f>""</f>
        <v/>
      </c>
      <c r="BH407" t="str">
        <f>""</f>
        <v/>
      </c>
      <c r="BI407" t="str">
        <f>""</f>
        <v/>
      </c>
      <c r="BJ407" t="str">
        <f>""</f>
        <v/>
      </c>
      <c r="BK407">
        <v>2</v>
      </c>
      <c r="BL407" t="s">
        <v>107</v>
      </c>
      <c r="BM407" t="str">
        <f>"Fiat Chrysler Automobiles"</f>
        <v>Fiat Chrysler Automobiles</v>
      </c>
      <c r="BN407" t="s">
        <v>9843</v>
      </c>
      <c r="BP407" t="s">
        <v>2185</v>
      </c>
      <c r="BQ407" t="s">
        <v>2050</v>
      </c>
      <c r="BR407" t="s">
        <v>265</v>
      </c>
      <c r="BS407" s="5">
        <v>48118</v>
      </c>
      <c r="BT407" s="2">
        <v>38.72</v>
      </c>
      <c r="BU407" s="2">
        <v>44</v>
      </c>
      <c r="BV407" t="s">
        <v>210</v>
      </c>
      <c r="BW407" s="2">
        <v>38.72</v>
      </c>
      <c r="BX407" t="s">
        <v>210</v>
      </c>
      <c r="BZ407" t="s">
        <v>167</v>
      </c>
      <c r="CA407" t="str">
        <f t="shared" si="19"/>
        <v>7/1/2020 - 6/30/2021</v>
      </c>
      <c r="CF407">
        <v>1</v>
      </c>
      <c r="CG407" t="s">
        <v>98</v>
      </c>
      <c r="CH407" t="s">
        <v>98</v>
      </c>
      <c r="CI407" t="s">
        <v>206</v>
      </c>
      <c r="CJ407" t="s">
        <v>98</v>
      </c>
      <c r="CK407" t="s">
        <v>12324</v>
      </c>
      <c r="CL407" t="s">
        <v>108</v>
      </c>
      <c r="CM407" t="s">
        <v>109</v>
      </c>
      <c r="CN407" t="str">
        <f>""</f>
        <v/>
      </c>
      <c r="CO407" t="str">
        <f>""</f>
        <v/>
      </c>
      <c r="CP407" t="str">
        <f>""</f>
        <v/>
      </c>
      <c r="CQ407" t="str">
        <f>""</f>
        <v/>
      </c>
    </row>
    <row r="408" spans="1:96" x14ac:dyDescent="0.2">
      <c r="A408" t="s">
        <v>9876</v>
      </c>
      <c r="B408" t="s">
        <v>96</v>
      </c>
      <c r="C408" s="1">
        <v>44098</v>
      </c>
      <c r="D408" s="1">
        <v>44105</v>
      </c>
      <c r="F408" t="s">
        <v>97</v>
      </c>
      <c r="G408" t="str">
        <f>"Quality Analyst"</f>
        <v>Quality Analyst</v>
      </c>
      <c r="H408" t="s">
        <v>12169</v>
      </c>
      <c r="I408" t="s">
        <v>124</v>
      </c>
      <c r="J408" t="s">
        <v>98</v>
      </c>
      <c r="K408" s="1">
        <v>44267</v>
      </c>
      <c r="L408" s="1">
        <v>45362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 t="s">
        <v>643</v>
      </c>
      <c r="U408" t="str">
        <f>""</f>
        <v/>
      </c>
      <c r="V408" t="s">
        <v>644</v>
      </c>
      <c r="W408" t="str">
        <f>"Suite 210"</f>
        <v>Suite 210</v>
      </c>
      <c r="X408" t="s">
        <v>421</v>
      </c>
      <c r="Y408" t="s">
        <v>345</v>
      </c>
      <c r="Z408" s="3">
        <v>62704</v>
      </c>
      <c r="AA408" t="s">
        <v>101</v>
      </c>
      <c r="AC408" s="4" t="str">
        <f>"+12177267250"</f>
        <v>+12177267250</v>
      </c>
      <c r="AE408" t="str">
        <f t="shared" si="23"/>
        <v>541511</v>
      </c>
      <c r="AF408" t="s">
        <v>5185</v>
      </c>
      <c r="AG408" t="s">
        <v>645</v>
      </c>
      <c r="AI408" t="s">
        <v>646</v>
      </c>
      <c r="AJ408" t="s">
        <v>644</v>
      </c>
      <c r="AK408" t="str">
        <f>"Suite 210"</f>
        <v>Suite 210</v>
      </c>
      <c r="AL408" t="s">
        <v>421</v>
      </c>
      <c r="AM408" t="s">
        <v>345</v>
      </c>
      <c r="AN408" s="3">
        <v>62704</v>
      </c>
      <c r="AO408" t="s">
        <v>101</v>
      </c>
      <c r="AQ408" t="str">
        <f>"+12177267250"</f>
        <v>+12177267250</v>
      </c>
      <c r="AS408" t="s">
        <v>647</v>
      </c>
      <c r="AT408" t="s">
        <v>102</v>
      </c>
      <c r="AU408" t="str">
        <f>""</f>
        <v/>
      </c>
      <c r="AV408" t="str">
        <f>""</f>
        <v/>
      </c>
      <c r="AW408" t="str">
        <f>""</f>
        <v/>
      </c>
      <c r="AX408" t="str">
        <f>""</f>
        <v/>
      </c>
      <c r="AY408" t="str">
        <f>""</f>
        <v/>
      </c>
      <c r="AZ408" t="str">
        <f>""</f>
        <v/>
      </c>
      <c r="BA408" t="str">
        <f>""</f>
        <v/>
      </c>
      <c r="BC408" t="str">
        <f>""</f>
        <v/>
      </c>
      <c r="BD408" t="str">
        <f>""</f>
        <v/>
      </c>
      <c r="BE408" t="str">
        <f>""</f>
        <v/>
      </c>
      <c r="BF408" t="str">
        <f>""</f>
        <v/>
      </c>
      <c r="BG408" t="str">
        <f>""</f>
        <v/>
      </c>
      <c r="BH408" t="str">
        <f>""</f>
        <v/>
      </c>
      <c r="BI408" t="str">
        <f>""</f>
        <v/>
      </c>
      <c r="BJ408" t="str">
        <f>""</f>
        <v/>
      </c>
      <c r="BK408">
        <v>1</v>
      </c>
      <c r="BL408" t="s">
        <v>107</v>
      </c>
      <c r="BM408" t="str">
        <f>"Western Union"</f>
        <v>Western Union</v>
      </c>
      <c r="BN408" t="s">
        <v>9877</v>
      </c>
      <c r="BP408" t="s">
        <v>911</v>
      </c>
      <c r="BQ408" t="s">
        <v>912</v>
      </c>
      <c r="BR408" t="s">
        <v>166</v>
      </c>
      <c r="BS408" s="5">
        <v>80237</v>
      </c>
      <c r="BT408" s="2">
        <v>92477</v>
      </c>
      <c r="BU408" s="2">
        <v>93000</v>
      </c>
      <c r="BV408" t="s">
        <v>105</v>
      </c>
      <c r="BW408" s="2">
        <v>92477</v>
      </c>
      <c r="BX408" t="s">
        <v>105</v>
      </c>
      <c r="BZ408" t="s">
        <v>167</v>
      </c>
      <c r="CA408" t="str">
        <f t="shared" si="19"/>
        <v>7/1/2020 - 6/30/2021</v>
      </c>
      <c r="CF408">
        <v>1</v>
      </c>
      <c r="CG408" t="s">
        <v>98</v>
      </c>
      <c r="CH408" t="s">
        <v>98</v>
      </c>
      <c r="CI408" t="s">
        <v>206</v>
      </c>
      <c r="CJ408" t="s">
        <v>98</v>
      </c>
      <c r="CK408" t="s">
        <v>12324</v>
      </c>
      <c r="CL408" t="s">
        <v>108</v>
      </c>
      <c r="CM408" t="s">
        <v>109</v>
      </c>
      <c r="CN408" t="str">
        <f>"N/A"</f>
        <v>N/A</v>
      </c>
      <c r="CO408" t="str">
        <f>"N/A"</f>
        <v>N/A</v>
      </c>
      <c r="CP408" t="str">
        <f>"N/A"</f>
        <v>N/A</v>
      </c>
      <c r="CQ408" t="str">
        <f>"Lead IT Corporation"</f>
        <v>Lead IT Corporation</v>
      </c>
      <c r="CR408" t="s">
        <v>647</v>
      </c>
    </row>
    <row r="409" spans="1:96" x14ac:dyDescent="0.2">
      <c r="A409" t="s">
        <v>9880</v>
      </c>
      <c r="B409" t="s">
        <v>96</v>
      </c>
      <c r="C409" s="1">
        <v>44098</v>
      </c>
      <c r="D409" s="1">
        <v>44105</v>
      </c>
      <c r="F409" t="s">
        <v>97</v>
      </c>
      <c r="G409" t="str">
        <f>"DATA ANALYST"</f>
        <v>DATA ANALYST</v>
      </c>
      <c r="H409" t="s">
        <v>12181</v>
      </c>
      <c r="I409" t="s">
        <v>110</v>
      </c>
      <c r="J409" t="s">
        <v>98</v>
      </c>
      <c r="K409" s="1">
        <v>44105</v>
      </c>
      <c r="L409" s="1">
        <v>45199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9881</v>
      </c>
      <c r="U409" t="str">
        <f>""</f>
        <v/>
      </c>
      <c r="V409" t="s">
        <v>9882</v>
      </c>
      <c r="W409" t="str">
        <f>"SUITE 210"</f>
        <v>SUITE 210</v>
      </c>
      <c r="X409" t="s">
        <v>671</v>
      </c>
      <c r="Y409" t="s">
        <v>141</v>
      </c>
      <c r="Z409" s="3">
        <v>94086</v>
      </c>
      <c r="AA409" t="s">
        <v>101</v>
      </c>
      <c r="AC409" s="4" t="str">
        <f>"+17064029011"</f>
        <v>+17064029011</v>
      </c>
      <c r="AE409" t="str">
        <f t="shared" si="23"/>
        <v>541511</v>
      </c>
      <c r="AF409" t="s">
        <v>9883</v>
      </c>
      <c r="AG409" t="s">
        <v>9884</v>
      </c>
      <c r="AI409" t="s">
        <v>425</v>
      </c>
      <c r="AJ409" t="s">
        <v>9882</v>
      </c>
      <c r="AK409" t="str">
        <f>"SUITE 210"</f>
        <v>SUITE 210</v>
      </c>
      <c r="AL409" t="s">
        <v>671</v>
      </c>
      <c r="AM409" t="s">
        <v>141</v>
      </c>
      <c r="AN409" s="3">
        <v>94086</v>
      </c>
      <c r="AO409" t="s">
        <v>101</v>
      </c>
      <c r="AQ409" t="str">
        <f>"+17064029011"</f>
        <v>+17064029011</v>
      </c>
      <c r="AS409" t="s">
        <v>9885</v>
      </c>
      <c r="AT409" t="s">
        <v>107</v>
      </c>
      <c r="AU409" t="str">
        <f>"BASHYAM"</f>
        <v>BASHYAM</v>
      </c>
      <c r="AV409" t="str">
        <f>"MURALI"</f>
        <v>MURALI</v>
      </c>
      <c r="AW409" t="str">
        <f>""</f>
        <v/>
      </c>
      <c r="AX409" t="str">
        <f>"P O BOX 2477"</f>
        <v>P O BOX 2477</v>
      </c>
      <c r="AY409" t="str">
        <f>""</f>
        <v/>
      </c>
      <c r="AZ409" t="str">
        <f>"RALEIGH"</f>
        <v>RALEIGH</v>
      </c>
      <c r="BA409" t="str">
        <f>"NC"</f>
        <v>NC</v>
      </c>
      <c r="BB409" s="3">
        <v>27602</v>
      </c>
      <c r="BC409" t="str">
        <f>"UNITED STATES OF AMERICA"</f>
        <v>UNITED STATES OF AMERICA</v>
      </c>
      <c r="BD409" t="str">
        <f>""</f>
        <v/>
      </c>
      <c r="BE409" t="str">
        <f>"+19198330840"</f>
        <v>+19198330840</v>
      </c>
      <c r="BF409" t="str">
        <f>"28"</f>
        <v>28</v>
      </c>
      <c r="BG409" t="str">
        <f>"MURALI@BASHYAMSHAH.COM"</f>
        <v>MURALI@BASHYAMSHAH.COM</v>
      </c>
      <c r="BH409" t="str">
        <f>"Bashyam Shah LLP"</f>
        <v>Bashyam Shah LLP</v>
      </c>
      <c r="BI409" t="str">
        <f>"NC"</f>
        <v>NC</v>
      </c>
      <c r="BJ409" t="str">
        <f>"SUPREME COURT"</f>
        <v>SUPREME COURT</v>
      </c>
      <c r="BK409">
        <v>1</v>
      </c>
      <c r="BL409" t="s">
        <v>107</v>
      </c>
      <c r="BM409" t="str">
        <f>"First Tech"</f>
        <v>First Tech</v>
      </c>
      <c r="BN409" t="s">
        <v>9886</v>
      </c>
      <c r="BP409" t="s">
        <v>585</v>
      </c>
      <c r="BQ409" t="s">
        <v>230</v>
      </c>
      <c r="BR409" t="s">
        <v>141</v>
      </c>
      <c r="BS409" s="5">
        <v>95134</v>
      </c>
      <c r="BT409" s="2">
        <v>101587</v>
      </c>
      <c r="BV409" t="s">
        <v>105</v>
      </c>
      <c r="BW409" s="2">
        <v>101587</v>
      </c>
      <c r="BX409" t="s">
        <v>105</v>
      </c>
      <c r="BZ409" t="s">
        <v>167</v>
      </c>
      <c r="CA409" t="str">
        <f t="shared" si="19"/>
        <v>7/1/2020 - 6/30/2021</v>
      </c>
      <c r="CF409">
        <v>2</v>
      </c>
      <c r="CG409" t="s">
        <v>98</v>
      </c>
      <c r="CH409" t="s">
        <v>98</v>
      </c>
      <c r="CI409" t="s">
        <v>206</v>
      </c>
      <c r="CJ409" t="s">
        <v>98</v>
      </c>
      <c r="CK409" t="s">
        <v>12324</v>
      </c>
      <c r="CL409" t="s">
        <v>108</v>
      </c>
      <c r="CM409" t="s">
        <v>109</v>
      </c>
      <c r="CN409" t="str">
        <f>""</f>
        <v/>
      </c>
      <c r="CO409" t="str">
        <f>""</f>
        <v/>
      </c>
      <c r="CP409" t="str">
        <f>""</f>
        <v/>
      </c>
      <c r="CQ409" t="str">
        <f>""</f>
        <v/>
      </c>
    </row>
    <row r="410" spans="1:96" x14ac:dyDescent="0.2">
      <c r="A410" t="s">
        <v>9934</v>
      </c>
      <c r="B410" t="s">
        <v>96</v>
      </c>
      <c r="C410" s="1">
        <v>44098</v>
      </c>
      <c r="D410" s="1">
        <v>44105</v>
      </c>
      <c r="F410" t="s">
        <v>97</v>
      </c>
      <c r="G410" t="str">
        <f>"Project Lead"</f>
        <v>Project Lead</v>
      </c>
      <c r="H410" t="s">
        <v>12169</v>
      </c>
      <c r="I410" t="s">
        <v>124</v>
      </c>
      <c r="J410" t="s">
        <v>98</v>
      </c>
      <c r="K410" s="1">
        <v>44102</v>
      </c>
      <c r="L410" s="1">
        <v>45196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3000</v>
      </c>
      <c r="U410" t="str">
        <f>"Mindtree Limited"</f>
        <v>Mindtree Limited</v>
      </c>
      <c r="V410" t="s">
        <v>3001</v>
      </c>
      <c r="W410" t="str">
        <f>"Suite 401"</f>
        <v>Suite 401</v>
      </c>
      <c r="X410" t="s">
        <v>1058</v>
      </c>
      <c r="Y410" t="s">
        <v>100</v>
      </c>
      <c r="Z410" s="3">
        <v>7059</v>
      </c>
      <c r="AA410" t="s">
        <v>101</v>
      </c>
      <c r="AC410" s="4" t="str">
        <f>"+19086048080"</f>
        <v>+19086048080</v>
      </c>
      <c r="AE410" t="str">
        <f t="shared" si="23"/>
        <v>541511</v>
      </c>
      <c r="AF410" t="s">
        <v>1146</v>
      </c>
      <c r="AG410" t="s">
        <v>2585</v>
      </c>
      <c r="AH410" t="s">
        <v>108</v>
      </c>
      <c r="AI410" t="s">
        <v>1085</v>
      </c>
      <c r="AJ410" t="s">
        <v>3001</v>
      </c>
      <c r="AK410" t="str">
        <f>"Ste. 401"</f>
        <v>Ste. 401</v>
      </c>
      <c r="AL410" t="s">
        <v>1058</v>
      </c>
      <c r="AM410" t="s">
        <v>100</v>
      </c>
      <c r="AN410" s="3">
        <v>7059</v>
      </c>
      <c r="AO410" t="s">
        <v>101</v>
      </c>
      <c r="AQ410" t="str">
        <f>"+14254959011"</f>
        <v>+14254959011</v>
      </c>
      <c r="AS410" t="s">
        <v>3002</v>
      </c>
      <c r="AT410" t="s">
        <v>107</v>
      </c>
      <c r="AU410" t="str">
        <f>"RICOTTA"</f>
        <v>RICOTTA</v>
      </c>
      <c r="AV410" t="str">
        <f>"Christopher"</f>
        <v>Christopher</v>
      </c>
      <c r="AW410" t="str">
        <f>""</f>
        <v/>
      </c>
      <c r="AX410" t="str">
        <f>"5250 Corporate Drive"</f>
        <v>5250 Corporate Drive</v>
      </c>
      <c r="AY410" t="str">
        <f>"Suite 300"</f>
        <v>Suite 300</v>
      </c>
      <c r="AZ410" t="str">
        <f>"Troy"</f>
        <v>Troy</v>
      </c>
      <c r="BA410" t="str">
        <f>"MI"</f>
        <v>MI</v>
      </c>
      <c r="BB410" s="3">
        <v>48098</v>
      </c>
      <c r="BC410" t="str">
        <f>"UNITED STATES OF AMERICA"</f>
        <v>UNITED STATES OF AMERICA</v>
      </c>
      <c r="BD410" t="str">
        <f>""</f>
        <v/>
      </c>
      <c r="BE410" t="str">
        <f>"+12486434900"</f>
        <v>+12486434900</v>
      </c>
      <c r="BF410" t="str">
        <f>""</f>
        <v/>
      </c>
      <c r="BG410" t="str">
        <f>"Christopher@employmentimmigration.com"</f>
        <v>Christopher@employmentimmigration.com</v>
      </c>
      <c r="BH410" t="str">
        <f>"Fakhoury Global Immigration, USA PC"</f>
        <v>Fakhoury Global Immigration, USA PC</v>
      </c>
      <c r="BI410" t="str">
        <f>"MI"</f>
        <v>MI</v>
      </c>
      <c r="BJ410" t="str">
        <f>"Supreme Court"</f>
        <v>Supreme Court</v>
      </c>
      <c r="BK410">
        <v>1</v>
      </c>
      <c r="BL410" t="s">
        <v>107</v>
      </c>
      <c r="BM410" t="str">
        <f>"Tower Hill Insurance Group"</f>
        <v>Tower Hill Insurance Group</v>
      </c>
      <c r="BN410" t="s">
        <v>9935</v>
      </c>
      <c r="BP410" t="s">
        <v>9936</v>
      </c>
      <c r="BQ410" t="s">
        <v>4589</v>
      </c>
      <c r="BR410" t="s">
        <v>577</v>
      </c>
      <c r="BS410" s="5">
        <v>32605</v>
      </c>
      <c r="BT410" s="2">
        <v>91812</v>
      </c>
      <c r="BV410" t="s">
        <v>105</v>
      </c>
      <c r="BW410" s="2">
        <v>66165</v>
      </c>
      <c r="BX410" t="s">
        <v>105</v>
      </c>
      <c r="BZ410" t="s">
        <v>167</v>
      </c>
      <c r="CA410" t="str">
        <f t="shared" si="19"/>
        <v>7/1/2020 - 6/30/2021</v>
      </c>
      <c r="CF410">
        <v>2</v>
      </c>
      <c r="CG410" t="s">
        <v>98</v>
      </c>
      <c r="CH410" t="s">
        <v>98</v>
      </c>
      <c r="CI410" t="s">
        <v>206</v>
      </c>
      <c r="CJ410" t="s">
        <v>98</v>
      </c>
      <c r="CK410" t="s">
        <v>12324</v>
      </c>
      <c r="CL410" t="s">
        <v>108</v>
      </c>
      <c r="CM410" t="s">
        <v>109</v>
      </c>
      <c r="CN410" t="str">
        <f>"RICOTTA"</f>
        <v>RICOTTA</v>
      </c>
      <c r="CO410" t="str">
        <f>"CHRISTOPHER"</f>
        <v>CHRISTOPHER</v>
      </c>
      <c r="CP410" t="str">
        <f>""</f>
        <v/>
      </c>
      <c r="CQ410" t="str">
        <f>"FAKHOURY GLOBAL IMMIGRATION, USA PC"</f>
        <v>FAKHOURY GLOBAL IMMIGRATION, USA PC</v>
      </c>
      <c r="CR410" t="s">
        <v>3003</v>
      </c>
    </row>
    <row r="411" spans="1:96" x14ac:dyDescent="0.2">
      <c r="A411" t="s">
        <v>9987</v>
      </c>
      <c r="B411" t="s">
        <v>96</v>
      </c>
      <c r="C411" s="1">
        <v>44098</v>
      </c>
      <c r="D411" s="1">
        <v>44105</v>
      </c>
      <c r="F411" t="s">
        <v>97</v>
      </c>
      <c r="G411" t="str">
        <f>"Software Developer"</f>
        <v>Software Developer</v>
      </c>
      <c r="H411" t="s">
        <v>12169</v>
      </c>
      <c r="I411" t="s">
        <v>124</v>
      </c>
      <c r="J411" t="s">
        <v>98</v>
      </c>
      <c r="K411" s="1">
        <v>44218</v>
      </c>
      <c r="L411" s="1">
        <v>45313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 t="s">
        <v>5223</v>
      </c>
      <c r="U411" t="str">
        <f>""</f>
        <v/>
      </c>
      <c r="V411" t="s">
        <v>5224</v>
      </c>
      <c r="W411" t="str">
        <f>""</f>
        <v/>
      </c>
      <c r="X411" t="s">
        <v>3689</v>
      </c>
      <c r="Y411" t="s">
        <v>122</v>
      </c>
      <c r="Z411" s="3">
        <v>27513</v>
      </c>
      <c r="AA411" t="s">
        <v>101</v>
      </c>
      <c r="AC411" s="4" t="str">
        <f>"+19196550800"</f>
        <v>+19196550800</v>
      </c>
      <c r="AE411" t="str">
        <f>"541519"</f>
        <v>541519</v>
      </c>
      <c r="AF411" t="s">
        <v>3741</v>
      </c>
      <c r="AG411" t="s">
        <v>5225</v>
      </c>
      <c r="AH411" t="s">
        <v>3951</v>
      </c>
      <c r="AI411" t="s">
        <v>5226</v>
      </c>
      <c r="AJ411" t="s">
        <v>5227</v>
      </c>
      <c r="AK411" t="str">
        <f>""</f>
        <v/>
      </c>
      <c r="AL411" t="s">
        <v>2854</v>
      </c>
      <c r="AM411" t="s">
        <v>122</v>
      </c>
      <c r="AN411" s="3">
        <v>27513</v>
      </c>
      <c r="AO411" t="s">
        <v>101</v>
      </c>
      <c r="AQ411" t="str">
        <f>"+19196550800"</f>
        <v>+19196550800</v>
      </c>
      <c r="AS411" t="s">
        <v>5228</v>
      </c>
      <c r="AT411" t="s">
        <v>107</v>
      </c>
      <c r="AU411" t="str">
        <f>"Hope"</f>
        <v>Hope</v>
      </c>
      <c r="AV411" t="str">
        <f>"Shawn"</f>
        <v>Shawn</v>
      </c>
      <c r="AW411" t="str">
        <f>"Thomas"</f>
        <v>Thomas</v>
      </c>
      <c r="AX411" t="str">
        <f>"580 Kirts Blvd."</f>
        <v>580 Kirts Blvd.</v>
      </c>
      <c r="AY411" t="str">
        <f>"Suite 307"</f>
        <v>Suite 307</v>
      </c>
      <c r="AZ411" t="str">
        <f>"Troy"</f>
        <v>Troy</v>
      </c>
      <c r="BA411" t="str">
        <f>"MI"</f>
        <v>MI</v>
      </c>
      <c r="BB411" s="3">
        <v>48084</v>
      </c>
      <c r="BC411" t="str">
        <f>"UNITED STATES OF AMERICA"</f>
        <v>UNITED STATES OF AMERICA</v>
      </c>
      <c r="BD411" t="str">
        <f>""</f>
        <v/>
      </c>
      <c r="BE411" t="str">
        <f>"+12484391595"</f>
        <v>+12484391595</v>
      </c>
      <c r="BF411" t="str">
        <f>""</f>
        <v/>
      </c>
      <c r="BG411" t="str">
        <f>"shawn@sgimmigration.com"</f>
        <v>shawn@sgimmigration.com</v>
      </c>
      <c r="BH411" t="str">
        <f>"Siegel, Gross &amp; Tou, PC"</f>
        <v>Siegel, Gross &amp; Tou, PC</v>
      </c>
      <c r="BI411" t="str">
        <f>"MI"</f>
        <v>MI</v>
      </c>
      <c r="BJ411" t="str">
        <f>"Michigan Supreme Court"</f>
        <v>Michigan Supreme Court</v>
      </c>
      <c r="BK411">
        <v>1</v>
      </c>
      <c r="BL411" t="s">
        <v>107</v>
      </c>
      <c r="BM411" t="str">
        <f>"Fresenius Medical Care North America"</f>
        <v>Fresenius Medical Care North America</v>
      </c>
      <c r="BN411" t="s">
        <v>9988</v>
      </c>
      <c r="BP411" t="s">
        <v>687</v>
      </c>
      <c r="BQ411" t="s">
        <v>593</v>
      </c>
      <c r="BR411" t="s">
        <v>171</v>
      </c>
      <c r="BS411" s="5">
        <v>2421</v>
      </c>
      <c r="BT411" s="2">
        <v>96242</v>
      </c>
      <c r="BV411" t="s">
        <v>105</v>
      </c>
      <c r="BW411" s="2">
        <v>96242</v>
      </c>
      <c r="BX411" t="s">
        <v>105</v>
      </c>
      <c r="BZ411" t="s">
        <v>167</v>
      </c>
      <c r="CA411" t="str">
        <f t="shared" si="19"/>
        <v>7/1/2020 - 6/30/2021</v>
      </c>
      <c r="CF411">
        <v>1</v>
      </c>
      <c r="CG411" t="s">
        <v>98</v>
      </c>
      <c r="CH411" t="s">
        <v>98</v>
      </c>
      <c r="CI411" t="s">
        <v>206</v>
      </c>
      <c r="CJ411" t="s">
        <v>98</v>
      </c>
      <c r="CK411" t="s">
        <v>12324</v>
      </c>
      <c r="CL411" t="s">
        <v>108</v>
      </c>
      <c r="CM411" t="s">
        <v>109</v>
      </c>
      <c r="CN411" t="str">
        <f>"Hope"</f>
        <v>Hope</v>
      </c>
      <c r="CO411" t="str">
        <f>"Shawn"</f>
        <v>Shawn</v>
      </c>
      <c r="CP411" t="str">
        <f>"T."</f>
        <v>T.</v>
      </c>
      <c r="CQ411" t="str">
        <f>"Siegel, Gross &amp; Tou, P.C."</f>
        <v>Siegel, Gross &amp; Tou, P.C.</v>
      </c>
      <c r="CR411" t="s">
        <v>3161</v>
      </c>
    </row>
    <row r="412" spans="1:96" x14ac:dyDescent="0.2">
      <c r="A412" t="s">
        <v>10019</v>
      </c>
      <c r="B412" t="s">
        <v>96</v>
      </c>
      <c r="C412" s="1">
        <v>44098</v>
      </c>
      <c r="D412" s="1">
        <v>44105</v>
      </c>
      <c r="F412" t="s">
        <v>97</v>
      </c>
      <c r="G412" t="str">
        <f>"ELECTRICAL DESIGN ENGINEER"</f>
        <v>ELECTRICAL DESIGN ENGINEER</v>
      </c>
      <c r="H412" t="s">
        <v>12179</v>
      </c>
      <c r="I412" t="s">
        <v>1357</v>
      </c>
      <c r="J412" t="s">
        <v>98</v>
      </c>
      <c r="K412" s="1">
        <v>44105</v>
      </c>
      <c r="L412" s="1">
        <v>45199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 t="s">
        <v>2791</v>
      </c>
      <c r="U412" t="str">
        <f>""</f>
        <v/>
      </c>
      <c r="V412" t="s">
        <v>2792</v>
      </c>
      <c r="W412" t="str">
        <f>""</f>
        <v/>
      </c>
      <c r="X412" t="s">
        <v>1766</v>
      </c>
      <c r="Y412" t="s">
        <v>215</v>
      </c>
      <c r="Z412" s="3">
        <v>30005</v>
      </c>
      <c r="AA412" t="s">
        <v>101</v>
      </c>
      <c r="AC412" s="4" t="str">
        <f>"+14703136259"</f>
        <v>+14703136259</v>
      </c>
      <c r="AE412" t="str">
        <f>"541330"</f>
        <v>541330</v>
      </c>
      <c r="AF412" t="s">
        <v>2793</v>
      </c>
      <c r="AG412" t="s">
        <v>2794</v>
      </c>
      <c r="AH412" t="s">
        <v>108</v>
      </c>
      <c r="AI412" t="s">
        <v>2795</v>
      </c>
      <c r="AJ412" t="s">
        <v>7032</v>
      </c>
      <c r="AK412" t="str">
        <f>""</f>
        <v/>
      </c>
      <c r="AL412" t="s">
        <v>1766</v>
      </c>
      <c r="AM412" t="s">
        <v>215</v>
      </c>
      <c r="AN412" s="3">
        <v>30005</v>
      </c>
      <c r="AO412" t="s">
        <v>101</v>
      </c>
      <c r="AQ412" t="str">
        <f>"+14703136259"</f>
        <v>+14703136259</v>
      </c>
      <c r="AS412" t="s">
        <v>2796</v>
      </c>
      <c r="AT412" t="s">
        <v>102</v>
      </c>
      <c r="AU412" t="str">
        <f>""</f>
        <v/>
      </c>
      <c r="AV412" t="str">
        <f>""</f>
        <v/>
      </c>
      <c r="AW412" t="str">
        <f>""</f>
        <v/>
      </c>
      <c r="AX412" t="str">
        <f>""</f>
        <v/>
      </c>
      <c r="AY412" t="str">
        <f>""</f>
        <v/>
      </c>
      <c r="AZ412" t="str">
        <f>""</f>
        <v/>
      </c>
      <c r="BA412" t="str">
        <f>""</f>
        <v/>
      </c>
      <c r="BC412" t="str">
        <f>""</f>
        <v/>
      </c>
      <c r="BD412" t="str">
        <f>""</f>
        <v/>
      </c>
      <c r="BE412" t="str">
        <f>""</f>
        <v/>
      </c>
      <c r="BF412" t="str">
        <f>""</f>
        <v/>
      </c>
      <c r="BG412" t="str">
        <f>""</f>
        <v/>
      </c>
      <c r="BH412" t="str">
        <f>""</f>
        <v/>
      </c>
      <c r="BI412" t="str">
        <f>""</f>
        <v/>
      </c>
      <c r="BJ412" t="str">
        <f>""</f>
        <v/>
      </c>
      <c r="BK412">
        <v>1</v>
      </c>
      <c r="BL412" t="s">
        <v>107</v>
      </c>
      <c r="BM412" t="str">
        <f>"ABBOTT LABORATORIES"</f>
        <v>ABBOTT LABORATORIES</v>
      </c>
      <c r="BN412" t="s">
        <v>10020</v>
      </c>
      <c r="BP412" t="s">
        <v>10021</v>
      </c>
      <c r="BQ412" t="s">
        <v>365</v>
      </c>
      <c r="BR412" t="s">
        <v>141</v>
      </c>
      <c r="BS412" s="5">
        <v>91342</v>
      </c>
      <c r="BT412" s="2">
        <v>42</v>
      </c>
      <c r="BV412" t="s">
        <v>210</v>
      </c>
      <c r="BW412" s="2">
        <v>32.549999999999997</v>
      </c>
      <c r="BX412" t="s">
        <v>210</v>
      </c>
      <c r="BZ412" t="s">
        <v>167</v>
      </c>
      <c r="CA412" t="str">
        <f t="shared" si="19"/>
        <v>7/1/2020 - 6/30/2021</v>
      </c>
      <c r="CF412">
        <v>1</v>
      </c>
      <c r="CG412" t="s">
        <v>98</v>
      </c>
      <c r="CH412" t="s">
        <v>98</v>
      </c>
      <c r="CI412" t="s">
        <v>206</v>
      </c>
      <c r="CJ412" t="s">
        <v>98</v>
      </c>
      <c r="CK412" t="s">
        <v>12324</v>
      </c>
      <c r="CL412" t="s">
        <v>108</v>
      </c>
      <c r="CM412" t="s">
        <v>109</v>
      </c>
      <c r="CN412" t="str">
        <f>"N/A"</f>
        <v>N/A</v>
      </c>
      <c r="CO412" t="str">
        <f>"N/A"</f>
        <v>N/A</v>
      </c>
      <c r="CP412" t="str">
        <f>"N/A"</f>
        <v>N/A</v>
      </c>
      <c r="CQ412" t="str">
        <f>"FUSION LIFE SCIENCES TECHNOLOGIES LLC"</f>
        <v>FUSION LIFE SCIENCES TECHNOLOGIES LLC</v>
      </c>
      <c r="CR412" t="s">
        <v>2796</v>
      </c>
    </row>
    <row r="413" spans="1:96" x14ac:dyDescent="0.2">
      <c r="A413" t="s">
        <v>10034</v>
      </c>
      <c r="B413" t="s">
        <v>96</v>
      </c>
      <c r="C413" s="1">
        <v>44098</v>
      </c>
      <c r="D413" s="1">
        <v>44105</v>
      </c>
      <c r="F413" t="s">
        <v>97</v>
      </c>
      <c r="G413" t="str">
        <f>"Software Quality Assurance Engineer"</f>
        <v>Software Quality Assurance Engineer</v>
      </c>
      <c r="H413" t="s">
        <v>12169</v>
      </c>
      <c r="I413" t="s">
        <v>124</v>
      </c>
      <c r="J413" t="s">
        <v>98</v>
      </c>
      <c r="K413" s="1">
        <v>44270</v>
      </c>
      <c r="L413" s="1">
        <v>45365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 t="s">
        <v>10035</v>
      </c>
      <c r="U413" t="str">
        <f>""</f>
        <v/>
      </c>
      <c r="V413" t="s">
        <v>10036</v>
      </c>
      <c r="W413" t="str">
        <f>"SUITE# 701"</f>
        <v>SUITE# 701</v>
      </c>
      <c r="X413" t="s">
        <v>1766</v>
      </c>
      <c r="Y413" t="s">
        <v>215</v>
      </c>
      <c r="Z413" s="3">
        <v>30009</v>
      </c>
      <c r="AA413" t="s">
        <v>101</v>
      </c>
      <c r="AC413" s="4" t="str">
        <f>"+16783179600"</f>
        <v>+16783179600</v>
      </c>
      <c r="AE413" t="str">
        <f>"541511"</f>
        <v>541511</v>
      </c>
      <c r="AF413" t="s">
        <v>10037</v>
      </c>
      <c r="AG413" t="s">
        <v>10038</v>
      </c>
      <c r="AH413" t="s">
        <v>3031</v>
      </c>
      <c r="AI413" t="s">
        <v>425</v>
      </c>
      <c r="AJ413" t="s">
        <v>10036</v>
      </c>
      <c r="AK413" t="str">
        <f>"SUITE# 701"</f>
        <v>SUITE# 701</v>
      </c>
      <c r="AL413" t="s">
        <v>1766</v>
      </c>
      <c r="AM413" t="s">
        <v>215</v>
      </c>
      <c r="AN413" s="3">
        <v>30009</v>
      </c>
      <c r="AO413" t="s">
        <v>101</v>
      </c>
      <c r="AQ413" t="str">
        <f>"+16783179600"</f>
        <v>+16783179600</v>
      </c>
      <c r="AS413" t="s">
        <v>10039</v>
      </c>
      <c r="AT413" t="s">
        <v>107</v>
      </c>
      <c r="AU413" t="str">
        <f>"LOOPS"</f>
        <v>LOOPS</v>
      </c>
      <c r="AV413" t="str">
        <f>"ADAM"</f>
        <v>ADAM</v>
      </c>
      <c r="AW413" t="str">
        <f>"ANTHONY"</f>
        <v>ANTHONY</v>
      </c>
      <c r="AX413" t="str">
        <f>"221 BRIARHEATH LANE"</f>
        <v>221 BRIARHEATH LANE</v>
      </c>
      <c r="AY413" t="str">
        <f>""</f>
        <v/>
      </c>
      <c r="AZ413" t="str">
        <f>"NAPERVILLE"</f>
        <v>NAPERVILLE</v>
      </c>
      <c r="BA413" t="str">
        <f>"IL"</f>
        <v>IL</v>
      </c>
      <c r="BB413" s="3">
        <v>60565</v>
      </c>
      <c r="BC413" t="str">
        <f>"UNITED STATES OF AMERICA"</f>
        <v>UNITED STATES OF AMERICA</v>
      </c>
      <c r="BD413" t="str">
        <f>""</f>
        <v/>
      </c>
      <c r="BE413" t="str">
        <f>"+16305485730"</f>
        <v>+16305485730</v>
      </c>
      <c r="BF413" t="str">
        <f>""</f>
        <v/>
      </c>
      <c r="BG413" t="str">
        <f>"SAM@LEGAL-VISA.COM"</f>
        <v>SAM@LEGAL-VISA.COM</v>
      </c>
      <c r="BH413" t="str">
        <f>"LEGAL VISA LAW OFFICES LLC."</f>
        <v>LEGAL VISA LAW OFFICES LLC.</v>
      </c>
      <c r="BI413" t="str">
        <f>"IL"</f>
        <v>IL</v>
      </c>
      <c r="BJ413" t="str">
        <f>"SUPREME COURT"</f>
        <v>SUPREME COURT</v>
      </c>
      <c r="BK413">
        <v>1</v>
      </c>
      <c r="BL413" t="s">
        <v>107</v>
      </c>
      <c r="BM413" t="str">
        <f>"Fresenius Medical Care North America"</f>
        <v>Fresenius Medical Care North America</v>
      </c>
      <c r="BN413" t="s">
        <v>5984</v>
      </c>
      <c r="BP413" t="s">
        <v>687</v>
      </c>
      <c r="BQ413" t="s">
        <v>593</v>
      </c>
      <c r="BR413" t="s">
        <v>171</v>
      </c>
      <c r="BS413" s="5">
        <v>2421</v>
      </c>
      <c r="BT413" s="2">
        <v>96242</v>
      </c>
      <c r="BV413" t="s">
        <v>105</v>
      </c>
      <c r="BW413" s="2">
        <v>96242</v>
      </c>
      <c r="BX413" t="s">
        <v>105</v>
      </c>
      <c r="BZ413" t="s">
        <v>167</v>
      </c>
      <c r="CA413" t="str">
        <f t="shared" si="19"/>
        <v>7/1/2020 - 6/30/2021</v>
      </c>
      <c r="CF413">
        <v>1</v>
      </c>
      <c r="CG413" t="s">
        <v>98</v>
      </c>
      <c r="CH413" t="s">
        <v>98</v>
      </c>
      <c r="CI413" t="s">
        <v>206</v>
      </c>
      <c r="CJ413" t="s">
        <v>98</v>
      </c>
      <c r="CK413" t="s">
        <v>12324</v>
      </c>
      <c r="CL413" t="s">
        <v>108</v>
      </c>
      <c r="CM413" t="s">
        <v>109</v>
      </c>
      <c r="CN413" t="str">
        <f>"Loops"</f>
        <v>Loops</v>
      </c>
      <c r="CO413" t="str">
        <f>"Adam"</f>
        <v>Adam</v>
      </c>
      <c r="CP413" t="str">
        <f>"A"</f>
        <v>A</v>
      </c>
      <c r="CQ413" t="str">
        <f>"Legal Visa Law Offices LLC."</f>
        <v>Legal Visa Law Offices LLC.</v>
      </c>
      <c r="CR413" t="s">
        <v>7071</v>
      </c>
    </row>
    <row r="414" spans="1:96" x14ac:dyDescent="0.2">
      <c r="A414" t="s">
        <v>10172</v>
      </c>
      <c r="B414" t="s">
        <v>96</v>
      </c>
      <c r="C414" s="1">
        <v>44098</v>
      </c>
      <c r="D414" s="1">
        <v>44105</v>
      </c>
      <c r="F414" t="s">
        <v>97</v>
      </c>
      <c r="G414" t="str">
        <f>"Manager JC50"</f>
        <v>Manager JC50</v>
      </c>
      <c r="H414" t="s">
        <v>12181</v>
      </c>
      <c r="I414" t="s">
        <v>110</v>
      </c>
      <c r="J414" t="s">
        <v>98</v>
      </c>
      <c r="K414" s="1">
        <v>44107</v>
      </c>
      <c r="L414" s="1">
        <v>45201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t="s">
        <v>111</v>
      </c>
      <c r="U414" t="str">
        <f>"CTSUS"</f>
        <v>CTSUS</v>
      </c>
      <c r="V414" t="s">
        <v>112</v>
      </c>
      <c r="W414" t="str">
        <f>""</f>
        <v/>
      </c>
      <c r="X414" t="s">
        <v>113</v>
      </c>
      <c r="Y414" t="s">
        <v>114</v>
      </c>
      <c r="Z414" s="3">
        <v>77845</v>
      </c>
      <c r="AA414" t="s">
        <v>101</v>
      </c>
      <c r="AB414" t="s">
        <v>114</v>
      </c>
      <c r="AC414" s="4" t="str">
        <f>"+19793296682"</f>
        <v>+19793296682</v>
      </c>
      <c r="AE414" t="str">
        <f>"541512"</f>
        <v>541512</v>
      </c>
      <c r="AF414" t="s">
        <v>115</v>
      </c>
      <c r="AG414" t="s">
        <v>116</v>
      </c>
      <c r="AH414" t="s">
        <v>108</v>
      </c>
      <c r="AI414" t="s">
        <v>117</v>
      </c>
      <c r="AJ414" t="s">
        <v>118</v>
      </c>
      <c r="AK414" t="str">
        <f>""</f>
        <v/>
      </c>
      <c r="AL414" t="s">
        <v>119</v>
      </c>
      <c r="AM414" t="s">
        <v>114</v>
      </c>
      <c r="AN414" s="3">
        <v>77845</v>
      </c>
      <c r="AO414" t="s">
        <v>101</v>
      </c>
      <c r="AQ414" t="str">
        <f>"+19793296682"</f>
        <v>+19793296682</v>
      </c>
      <c r="AS414" t="s">
        <v>120</v>
      </c>
      <c r="AT414" t="s">
        <v>102</v>
      </c>
      <c r="AU414" t="str">
        <f>""</f>
        <v/>
      </c>
      <c r="AV414" t="str">
        <f>""</f>
        <v/>
      </c>
      <c r="AW414" t="str">
        <f>""</f>
        <v/>
      </c>
      <c r="AX414" t="str">
        <f>""</f>
        <v/>
      </c>
      <c r="AY414" t="str">
        <f>""</f>
        <v/>
      </c>
      <c r="AZ414" t="str">
        <f>""</f>
        <v/>
      </c>
      <c r="BA414" t="str">
        <f>""</f>
        <v/>
      </c>
      <c r="BC414" t="str">
        <f>""</f>
        <v/>
      </c>
      <c r="BD414" t="str">
        <f>""</f>
        <v/>
      </c>
      <c r="BE414" t="str">
        <f>""</f>
        <v/>
      </c>
      <c r="BF414" t="str">
        <f>""</f>
        <v/>
      </c>
      <c r="BG414" t="str">
        <f>""</f>
        <v/>
      </c>
      <c r="BH414" t="str">
        <f>""</f>
        <v/>
      </c>
      <c r="BI414" t="str">
        <f>""</f>
        <v/>
      </c>
      <c r="BJ414" t="str">
        <f>""</f>
        <v/>
      </c>
      <c r="BK414">
        <v>1</v>
      </c>
      <c r="BL414" t="s">
        <v>107</v>
      </c>
      <c r="BM414" t="str">
        <f>"Guidewire Software, Inc"</f>
        <v>Guidewire Software, Inc</v>
      </c>
      <c r="BN414" t="s">
        <v>10173</v>
      </c>
      <c r="BP414" t="s">
        <v>585</v>
      </c>
      <c r="BQ414" t="s">
        <v>230</v>
      </c>
      <c r="BR414" t="s">
        <v>141</v>
      </c>
      <c r="BS414" s="5">
        <v>95119</v>
      </c>
      <c r="BT414" s="2">
        <v>122990</v>
      </c>
      <c r="BV414" t="s">
        <v>105</v>
      </c>
      <c r="BW414" s="2">
        <v>122990</v>
      </c>
      <c r="BX414" t="s">
        <v>105</v>
      </c>
      <c r="BZ414" t="s">
        <v>123</v>
      </c>
      <c r="CA414" t="str">
        <f t="shared" si="19"/>
        <v>7/1/2020 - 6/30/2021</v>
      </c>
      <c r="CF414">
        <v>1</v>
      </c>
      <c r="CG414" t="s">
        <v>98</v>
      </c>
      <c r="CH414" t="s">
        <v>98</v>
      </c>
      <c r="CI414" t="s">
        <v>206</v>
      </c>
      <c r="CJ414" t="s">
        <v>98</v>
      </c>
      <c r="CK414" t="s">
        <v>12324</v>
      </c>
      <c r="CL414" t="s">
        <v>108</v>
      </c>
      <c r="CM414" t="s">
        <v>109</v>
      </c>
      <c r="CN414" t="str">
        <f>""</f>
        <v/>
      </c>
      <c r="CO414" t="str">
        <f>""</f>
        <v/>
      </c>
      <c r="CP414" t="str">
        <f>""</f>
        <v/>
      </c>
      <c r="CQ414" t="str">
        <f>""</f>
        <v/>
      </c>
    </row>
    <row r="415" spans="1:96" x14ac:dyDescent="0.2">
      <c r="A415" t="s">
        <v>10186</v>
      </c>
      <c r="B415" t="s">
        <v>96</v>
      </c>
      <c r="C415" s="1">
        <v>44098</v>
      </c>
      <c r="D415" s="1">
        <v>44105</v>
      </c>
      <c r="F415" t="s">
        <v>97</v>
      </c>
      <c r="G415" t="str">
        <f>"Senior Systems Analyst JC60"</f>
        <v>Senior Systems Analyst JC60</v>
      </c>
      <c r="H415" t="s">
        <v>12181</v>
      </c>
      <c r="I415" t="s">
        <v>110</v>
      </c>
      <c r="J415" t="s">
        <v>98</v>
      </c>
      <c r="K415" s="1">
        <v>44106</v>
      </c>
      <c r="L415" s="1">
        <v>45200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 t="s">
        <v>111</v>
      </c>
      <c r="U415" t="str">
        <f>"CTSUS"</f>
        <v>CTSUS</v>
      </c>
      <c r="V415" t="s">
        <v>112</v>
      </c>
      <c r="W415" t="str">
        <f>""</f>
        <v/>
      </c>
      <c r="X415" t="s">
        <v>113</v>
      </c>
      <c r="Y415" t="s">
        <v>114</v>
      </c>
      <c r="Z415" s="3">
        <v>77845</v>
      </c>
      <c r="AA415" t="s">
        <v>101</v>
      </c>
      <c r="AB415" t="s">
        <v>114</v>
      </c>
      <c r="AC415" s="4" t="str">
        <f>"+19793296682"</f>
        <v>+19793296682</v>
      </c>
      <c r="AE415" t="str">
        <f>"541512"</f>
        <v>541512</v>
      </c>
      <c r="AF415" t="s">
        <v>115</v>
      </c>
      <c r="AG415" t="s">
        <v>116</v>
      </c>
      <c r="AH415" t="s">
        <v>108</v>
      </c>
      <c r="AI415" t="s">
        <v>117</v>
      </c>
      <c r="AJ415" t="s">
        <v>118</v>
      </c>
      <c r="AK415" t="str">
        <f>""</f>
        <v/>
      </c>
      <c r="AL415" t="s">
        <v>119</v>
      </c>
      <c r="AM415" t="s">
        <v>114</v>
      </c>
      <c r="AN415" s="3">
        <v>77845</v>
      </c>
      <c r="AO415" t="s">
        <v>101</v>
      </c>
      <c r="AQ415" t="str">
        <f>"+19793296682"</f>
        <v>+19793296682</v>
      </c>
      <c r="AS415" t="s">
        <v>120</v>
      </c>
      <c r="AT415" t="s">
        <v>102</v>
      </c>
      <c r="AU415" t="str">
        <f>""</f>
        <v/>
      </c>
      <c r="AV415" t="str">
        <f>""</f>
        <v/>
      </c>
      <c r="AW415" t="str">
        <f>""</f>
        <v/>
      </c>
      <c r="AX415" t="str">
        <f>""</f>
        <v/>
      </c>
      <c r="AY415" t="str">
        <f>""</f>
        <v/>
      </c>
      <c r="AZ415" t="str">
        <f>""</f>
        <v/>
      </c>
      <c r="BA415" t="str">
        <f>""</f>
        <v/>
      </c>
      <c r="BC415" t="str">
        <f>""</f>
        <v/>
      </c>
      <c r="BD415" t="str">
        <f>""</f>
        <v/>
      </c>
      <c r="BE415" t="str">
        <f>""</f>
        <v/>
      </c>
      <c r="BF415" t="str">
        <f>""</f>
        <v/>
      </c>
      <c r="BG415" t="str">
        <f>""</f>
        <v/>
      </c>
      <c r="BH415" t="str">
        <f>""</f>
        <v/>
      </c>
      <c r="BI415" t="str">
        <f>""</f>
        <v/>
      </c>
      <c r="BJ415" t="str">
        <f>""</f>
        <v/>
      </c>
      <c r="BK415">
        <v>1</v>
      </c>
      <c r="BL415" t="s">
        <v>102</v>
      </c>
      <c r="BM415" t="str">
        <f>""</f>
        <v/>
      </c>
      <c r="BN415" t="s">
        <v>10187</v>
      </c>
      <c r="BP415" t="s">
        <v>1518</v>
      </c>
      <c r="BQ415" t="s">
        <v>1127</v>
      </c>
      <c r="BR415" t="s">
        <v>122</v>
      </c>
      <c r="BS415" s="5">
        <v>28027</v>
      </c>
      <c r="BT415" s="2">
        <v>80766</v>
      </c>
      <c r="BV415" t="s">
        <v>105</v>
      </c>
      <c r="BW415" s="2">
        <v>80766</v>
      </c>
      <c r="BX415" t="s">
        <v>105</v>
      </c>
      <c r="BZ415" t="s">
        <v>167</v>
      </c>
      <c r="CA415" t="str">
        <f t="shared" ref="CA415:CA478" si="24">"7/1/2020 - 6/30/2021"</f>
        <v>7/1/2020 - 6/30/2021</v>
      </c>
      <c r="CF415">
        <v>1</v>
      </c>
      <c r="CG415" t="s">
        <v>98</v>
      </c>
      <c r="CH415" t="s">
        <v>98</v>
      </c>
      <c r="CI415" t="s">
        <v>206</v>
      </c>
      <c r="CJ415" t="s">
        <v>98</v>
      </c>
      <c r="CK415" t="s">
        <v>12324</v>
      </c>
      <c r="CL415" t="s">
        <v>108</v>
      </c>
      <c r="CM415" t="s">
        <v>109</v>
      </c>
      <c r="CN415" t="str">
        <f>""</f>
        <v/>
      </c>
      <c r="CO415" t="str">
        <f>""</f>
        <v/>
      </c>
      <c r="CP415" t="str">
        <f>""</f>
        <v/>
      </c>
      <c r="CQ415" t="str">
        <f>""</f>
        <v/>
      </c>
    </row>
    <row r="416" spans="1:96" x14ac:dyDescent="0.2">
      <c r="A416" t="s">
        <v>10219</v>
      </c>
      <c r="B416" t="s">
        <v>96</v>
      </c>
      <c r="C416" s="1">
        <v>44098</v>
      </c>
      <c r="D416" s="1">
        <v>44105</v>
      </c>
      <c r="F416" t="s">
        <v>97</v>
      </c>
      <c r="G416" t="str">
        <f>"SDET (SOFTWARE DEVELOPMENT ENGINEER IN TEST)"</f>
        <v>SDET (SOFTWARE DEVELOPMENT ENGINEER IN TEST)</v>
      </c>
      <c r="H416" t="s">
        <v>12168</v>
      </c>
      <c r="I416" t="s">
        <v>319</v>
      </c>
      <c r="J416" t="s">
        <v>98</v>
      </c>
      <c r="K416" s="1">
        <v>44109</v>
      </c>
      <c r="L416" s="1">
        <v>45203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8250</v>
      </c>
      <c r="U416" t="str">
        <f>""</f>
        <v/>
      </c>
      <c r="V416" t="s">
        <v>4123</v>
      </c>
      <c r="W416" t="str">
        <f>"SUITE 12"</f>
        <v>SUITE 12</v>
      </c>
      <c r="X416" t="s">
        <v>211</v>
      </c>
      <c r="Y416" t="s">
        <v>100</v>
      </c>
      <c r="Z416" s="3">
        <v>8817</v>
      </c>
      <c r="AA416" t="s">
        <v>101</v>
      </c>
      <c r="AC416" s="4" t="str">
        <f>"+17325079005"</f>
        <v>+17325079005</v>
      </c>
      <c r="AE416" t="str">
        <f>"541511"</f>
        <v>541511</v>
      </c>
      <c r="AF416" t="s">
        <v>8251</v>
      </c>
      <c r="AG416" t="s">
        <v>8252</v>
      </c>
      <c r="AI416" t="s">
        <v>8253</v>
      </c>
      <c r="AJ416" t="s">
        <v>4123</v>
      </c>
      <c r="AK416" t="str">
        <f>"SUITE 12"</f>
        <v>SUITE 12</v>
      </c>
      <c r="AL416" t="s">
        <v>211</v>
      </c>
      <c r="AM416" t="s">
        <v>100</v>
      </c>
      <c r="AN416" s="3">
        <v>8817</v>
      </c>
      <c r="AO416" t="s">
        <v>101</v>
      </c>
      <c r="AQ416" t="str">
        <f>"+17325079005"</f>
        <v>+17325079005</v>
      </c>
      <c r="AS416" t="s">
        <v>8254</v>
      </c>
      <c r="AT416" t="s">
        <v>107</v>
      </c>
      <c r="AU416" t="str">
        <f>"ALLEN"</f>
        <v>ALLEN</v>
      </c>
      <c r="AV416" t="str">
        <f>"THOMAS"</f>
        <v>THOMAS</v>
      </c>
      <c r="AW416" t="str">
        <f>"V."</f>
        <v>V.</v>
      </c>
      <c r="AX416" t="str">
        <f>"50 CRAGWOOD ROAD"</f>
        <v>50 CRAGWOOD ROAD</v>
      </c>
      <c r="AY416" t="str">
        <f>"SUITE 100"</f>
        <v>SUITE 100</v>
      </c>
      <c r="AZ416" t="str">
        <f>"SOUTH PLAINFIELD"</f>
        <v>SOUTH PLAINFIELD</v>
      </c>
      <c r="BA416" t="str">
        <f>"NJ"</f>
        <v>NJ</v>
      </c>
      <c r="BB416" s="3">
        <v>7080</v>
      </c>
      <c r="BC416" t="str">
        <f>"UNITED STATES OF AMERICA"</f>
        <v>UNITED STATES OF AMERICA</v>
      </c>
      <c r="BD416" t="str">
        <f>""</f>
        <v/>
      </c>
      <c r="BE416" t="str">
        <f>"+17328327978"</f>
        <v>+17328327978</v>
      </c>
      <c r="BF416" t="str">
        <f>""</f>
        <v/>
      </c>
      <c r="BG416" t="str">
        <f>"ICERT@THOMASVALLEN.COM"</f>
        <v>ICERT@THOMASVALLEN.COM</v>
      </c>
      <c r="BH416" t="str">
        <f>"LAW OFFICE OF THOMAS V. ALLEN PLLC"</f>
        <v>LAW OFFICE OF THOMAS V. ALLEN PLLC</v>
      </c>
      <c r="BI416" t="str">
        <f>"NY"</f>
        <v>NY</v>
      </c>
      <c r="BJ416" t="str">
        <f>"APPELLATE COURT"</f>
        <v>APPELLATE COURT</v>
      </c>
      <c r="BK416">
        <v>1</v>
      </c>
      <c r="BL416" t="s">
        <v>107</v>
      </c>
      <c r="BM416" t="str">
        <f>"WALMART STORES, INC."</f>
        <v>WALMART STORES, INC.</v>
      </c>
      <c r="BN416" t="s">
        <v>6574</v>
      </c>
      <c r="BP416" t="s">
        <v>1398</v>
      </c>
      <c r="BQ416" t="s">
        <v>640</v>
      </c>
      <c r="BR416" t="s">
        <v>641</v>
      </c>
      <c r="BS416" s="5">
        <v>72712</v>
      </c>
      <c r="BT416" s="2">
        <v>69098</v>
      </c>
      <c r="BV416" t="s">
        <v>105</v>
      </c>
      <c r="BW416" s="2">
        <v>69098</v>
      </c>
      <c r="BX416" t="s">
        <v>105</v>
      </c>
      <c r="BZ416" t="s">
        <v>123</v>
      </c>
      <c r="CA416" t="str">
        <f t="shared" si="24"/>
        <v>7/1/2020 - 6/30/2021</v>
      </c>
      <c r="CF416">
        <v>1</v>
      </c>
      <c r="CG416" t="s">
        <v>98</v>
      </c>
      <c r="CH416" t="s">
        <v>98</v>
      </c>
      <c r="CI416" t="s">
        <v>206</v>
      </c>
      <c r="CJ416" t="s">
        <v>98</v>
      </c>
      <c r="CK416" t="s">
        <v>12324</v>
      </c>
      <c r="CL416" t="s">
        <v>108</v>
      </c>
      <c r="CM416" t="s">
        <v>109</v>
      </c>
      <c r="CN416" t="str">
        <f>""</f>
        <v/>
      </c>
      <c r="CO416" t="str">
        <f>""</f>
        <v/>
      </c>
      <c r="CP416" t="str">
        <f>""</f>
        <v/>
      </c>
      <c r="CQ416" t="str">
        <f>""</f>
        <v/>
      </c>
    </row>
    <row r="417" spans="1:96" x14ac:dyDescent="0.2">
      <c r="A417" t="s">
        <v>10334</v>
      </c>
      <c r="B417" t="s">
        <v>96</v>
      </c>
      <c r="C417" s="1">
        <v>44098</v>
      </c>
      <c r="D417" s="1">
        <v>44105</v>
      </c>
      <c r="F417" t="s">
        <v>97</v>
      </c>
      <c r="G417" t="str">
        <f>"Software Engineer"</f>
        <v>Software Engineer</v>
      </c>
      <c r="H417" t="s">
        <v>12169</v>
      </c>
      <c r="I417" t="s">
        <v>124</v>
      </c>
      <c r="J417" t="s">
        <v>98</v>
      </c>
      <c r="K417" s="1">
        <v>44191</v>
      </c>
      <c r="L417" s="1">
        <v>45285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 t="s">
        <v>9995</v>
      </c>
      <c r="U417" t="str">
        <f>""</f>
        <v/>
      </c>
      <c r="V417" t="s">
        <v>9996</v>
      </c>
      <c r="W417" t="str">
        <f>"Suite B"</f>
        <v>Suite B</v>
      </c>
      <c r="X417" t="s">
        <v>847</v>
      </c>
      <c r="Y417" t="s">
        <v>215</v>
      </c>
      <c r="Z417" s="3">
        <v>30009</v>
      </c>
      <c r="AA417" t="s">
        <v>101</v>
      </c>
      <c r="AC417" s="4" t="str">
        <f>"+12145616706"</f>
        <v>+12145616706</v>
      </c>
      <c r="AE417" t="str">
        <f>"541511"</f>
        <v>541511</v>
      </c>
      <c r="AF417" t="s">
        <v>4474</v>
      </c>
      <c r="AG417" t="s">
        <v>9997</v>
      </c>
      <c r="AI417" t="s">
        <v>876</v>
      </c>
      <c r="AJ417" t="s">
        <v>9996</v>
      </c>
      <c r="AK417" t="str">
        <f>"Suite B"</f>
        <v>Suite B</v>
      </c>
      <c r="AL417" t="s">
        <v>847</v>
      </c>
      <c r="AM417" t="s">
        <v>215</v>
      </c>
      <c r="AN417" s="3">
        <v>30009</v>
      </c>
      <c r="AO417" t="s">
        <v>101</v>
      </c>
      <c r="AQ417" t="str">
        <f>"+12145616706"</f>
        <v>+12145616706</v>
      </c>
      <c r="AS417" t="s">
        <v>9998</v>
      </c>
      <c r="AT417" t="s">
        <v>107</v>
      </c>
      <c r="AU417" t="str">
        <f>"Sikal"</f>
        <v>Sikal</v>
      </c>
      <c r="AV417" t="str">
        <f>"Sowmiya"</f>
        <v>Sowmiya</v>
      </c>
      <c r="AW417" t="str">
        <f>""</f>
        <v/>
      </c>
      <c r="AX417" t="str">
        <f>"5755 North Point Pkwy"</f>
        <v>5755 North Point Pkwy</v>
      </c>
      <c r="AY417" t="str">
        <f>"Ste 24"</f>
        <v>Ste 24</v>
      </c>
      <c r="AZ417" t="str">
        <f>"Alpharetta"</f>
        <v>Alpharetta</v>
      </c>
      <c r="BA417" t="str">
        <f>"GA"</f>
        <v>GA</v>
      </c>
      <c r="BB417" s="3">
        <v>30022</v>
      </c>
      <c r="BC417" t="str">
        <f>"UNITED STATES OF AMERICA"</f>
        <v>UNITED STATES OF AMERICA</v>
      </c>
      <c r="BD417" t="str">
        <f>"GA"</f>
        <v>GA</v>
      </c>
      <c r="BE417" t="str">
        <f>"+17706192884"</f>
        <v>+17706192884</v>
      </c>
      <c r="BF417" t="str">
        <f>""</f>
        <v/>
      </c>
      <c r="BG417" t="str">
        <f>"lca@sikal.com"</f>
        <v>lca@sikal.com</v>
      </c>
      <c r="BH417" t="str">
        <f>"Sikal, Adhipathi &amp; Rowles, LLC"</f>
        <v>Sikal, Adhipathi &amp; Rowles, LLC</v>
      </c>
      <c r="BI417" t="str">
        <f>"TN"</f>
        <v>TN</v>
      </c>
      <c r="BJ417" t="str">
        <f>"Supreme Court of Tennessee"</f>
        <v>Supreme Court of Tennessee</v>
      </c>
      <c r="BK417">
        <v>1</v>
      </c>
      <c r="BL417" t="s">
        <v>107</v>
      </c>
      <c r="BM417" t="str">
        <f>"Equifax Inc."</f>
        <v>Equifax Inc.</v>
      </c>
      <c r="BN417" t="s">
        <v>10335</v>
      </c>
      <c r="BP417" t="s">
        <v>847</v>
      </c>
      <c r="BQ417" t="s">
        <v>214</v>
      </c>
      <c r="BR417" t="s">
        <v>215</v>
      </c>
      <c r="BS417" s="5">
        <v>30005</v>
      </c>
      <c r="BT417" s="2">
        <v>86000</v>
      </c>
      <c r="BV417" t="s">
        <v>105</v>
      </c>
      <c r="BW417" s="2">
        <v>85842</v>
      </c>
      <c r="BX417" t="s">
        <v>105</v>
      </c>
      <c r="BZ417" t="s">
        <v>167</v>
      </c>
      <c r="CA417" t="str">
        <f t="shared" si="24"/>
        <v>7/1/2020 - 6/30/2021</v>
      </c>
      <c r="CF417">
        <v>1</v>
      </c>
      <c r="CG417" t="s">
        <v>98</v>
      </c>
      <c r="CH417" t="s">
        <v>98</v>
      </c>
      <c r="CI417" t="s">
        <v>206</v>
      </c>
      <c r="CJ417" t="s">
        <v>98</v>
      </c>
      <c r="CK417" t="s">
        <v>12324</v>
      </c>
      <c r="CL417" t="s">
        <v>108</v>
      </c>
      <c r="CM417" t="s">
        <v>109</v>
      </c>
      <c r="CN417" t="str">
        <f>""</f>
        <v/>
      </c>
      <c r="CO417" t="str">
        <f>""</f>
        <v/>
      </c>
      <c r="CP417" t="str">
        <f>""</f>
        <v/>
      </c>
      <c r="CQ417" t="str">
        <f>""</f>
        <v/>
      </c>
    </row>
    <row r="418" spans="1:96" x14ac:dyDescent="0.2">
      <c r="A418" t="s">
        <v>10341</v>
      </c>
      <c r="B418" t="s">
        <v>96</v>
      </c>
      <c r="C418" s="1">
        <v>44098</v>
      </c>
      <c r="D418" s="1">
        <v>44105</v>
      </c>
      <c r="F418" t="s">
        <v>97</v>
      </c>
      <c r="G418" t="str">
        <f>"Software Developer"</f>
        <v>Software Developer</v>
      </c>
      <c r="H418" t="s">
        <v>12169</v>
      </c>
      <c r="I418" t="s">
        <v>124</v>
      </c>
      <c r="J418" t="s">
        <v>98</v>
      </c>
      <c r="K418" s="1">
        <v>44197</v>
      </c>
      <c r="L418" s="1">
        <v>45291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 t="s">
        <v>10342</v>
      </c>
      <c r="U418" t="str">
        <f>""</f>
        <v/>
      </c>
      <c r="V418" t="s">
        <v>10343</v>
      </c>
      <c r="W418" t="str">
        <f>"Suite  745E  "</f>
        <v xml:space="preserve">Suite  745E  </v>
      </c>
      <c r="X418" t="s">
        <v>10344</v>
      </c>
      <c r="Y418" t="s">
        <v>114</v>
      </c>
      <c r="Z418" s="3">
        <v>75039</v>
      </c>
      <c r="AA418" t="s">
        <v>101</v>
      </c>
      <c r="AC418" s="4" t="str">
        <f>"+19726463111"</f>
        <v>+19726463111</v>
      </c>
      <c r="AE418" t="str">
        <f>"541511"</f>
        <v>541511</v>
      </c>
      <c r="AF418" t="s">
        <v>10345</v>
      </c>
      <c r="AG418" t="s">
        <v>5570</v>
      </c>
      <c r="AI418" t="s">
        <v>10346</v>
      </c>
      <c r="AJ418" t="s">
        <v>10347</v>
      </c>
      <c r="AK418" t="str">
        <f>"Suite 745E"</f>
        <v>Suite 745E</v>
      </c>
      <c r="AL418" t="s">
        <v>483</v>
      </c>
      <c r="AM418" t="s">
        <v>114</v>
      </c>
      <c r="AN418" s="3">
        <v>75039</v>
      </c>
      <c r="AO418" t="s">
        <v>101</v>
      </c>
      <c r="AQ418" t="str">
        <f>"+19729578126"</f>
        <v>+19729578126</v>
      </c>
      <c r="AS418" t="s">
        <v>10348</v>
      </c>
      <c r="AT418" t="s">
        <v>107</v>
      </c>
      <c r="AU418" t="str">
        <f>"Minor"</f>
        <v>Minor</v>
      </c>
      <c r="AV418" t="str">
        <f>"Matthew"</f>
        <v>Matthew</v>
      </c>
      <c r="AW418" t="str">
        <f>"David"</f>
        <v>David</v>
      </c>
      <c r="AX418" t="str">
        <f>"441 Vine Street"</f>
        <v>441 Vine Street</v>
      </c>
      <c r="AY418" t="str">
        <f>"3200 Carew Tower"</f>
        <v>3200 Carew Tower</v>
      </c>
      <c r="AZ418" t="str">
        <f>"Cincinnati"</f>
        <v>Cincinnati</v>
      </c>
      <c r="BA418" t="str">
        <f>"OH"</f>
        <v>OH</v>
      </c>
      <c r="BB418" s="3">
        <v>45202</v>
      </c>
      <c r="BC418" t="str">
        <f>"UNITED STATES OF AMERICA"</f>
        <v>UNITED STATES OF AMERICA</v>
      </c>
      <c r="BD418" t="str">
        <f>""</f>
        <v/>
      </c>
      <c r="BE418" t="str">
        <f>"+15133812011"</f>
        <v>+15133812011</v>
      </c>
      <c r="BF418" t="str">
        <f>""</f>
        <v/>
      </c>
      <c r="BG418" t="str">
        <f>"matthew.minor@hammondlawgroup.com"</f>
        <v>matthew.minor@hammondlawgroup.com</v>
      </c>
      <c r="BH418" t="str">
        <f>"Hammond Neal Moore, LLC"</f>
        <v>Hammond Neal Moore, LLC</v>
      </c>
      <c r="BI418" t="str">
        <f>"OH"</f>
        <v>OH</v>
      </c>
      <c r="BJ418" t="str">
        <f>"Supreme Court of Ohio"</f>
        <v>Supreme Court of Ohio</v>
      </c>
      <c r="BK418">
        <v>1</v>
      </c>
      <c r="BL418" t="s">
        <v>107</v>
      </c>
      <c r="BM418" t="str">
        <f>"Omnicell, Inc."</f>
        <v>Omnicell, Inc.</v>
      </c>
      <c r="BN418" t="s">
        <v>10349</v>
      </c>
      <c r="BP418" t="s">
        <v>5386</v>
      </c>
      <c r="BQ418" t="s">
        <v>2968</v>
      </c>
      <c r="BR418" t="s">
        <v>127</v>
      </c>
      <c r="BS418" s="5">
        <v>16066</v>
      </c>
      <c r="BT418" s="2">
        <v>80200</v>
      </c>
      <c r="BV418" t="s">
        <v>105</v>
      </c>
      <c r="BW418" s="2">
        <v>80142</v>
      </c>
      <c r="BX418" t="s">
        <v>105</v>
      </c>
      <c r="BZ418" t="s">
        <v>167</v>
      </c>
      <c r="CA418" t="str">
        <f t="shared" si="24"/>
        <v>7/1/2020 - 6/30/2021</v>
      </c>
      <c r="CF418">
        <v>1</v>
      </c>
      <c r="CG418" t="s">
        <v>98</v>
      </c>
      <c r="CH418" t="s">
        <v>98</v>
      </c>
      <c r="CI418" t="s">
        <v>206</v>
      </c>
      <c r="CJ418" t="s">
        <v>98</v>
      </c>
      <c r="CK418" t="s">
        <v>12324</v>
      </c>
      <c r="CL418" t="s">
        <v>108</v>
      </c>
      <c r="CM418" t="s">
        <v>109</v>
      </c>
      <c r="CN418" t="str">
        <f>"Huff"</f>
        <v>Huff</v>
      </c>
      <c r="CO418" t="str">
        <f>"Kirsten"</f>
        <v>Kirsten</v>
      </c>
      <c r="CP418" t="str">
        <f>""</f>
        <v/>
      </c>
      <c r="CQ418" t="str">
        <f>"Hammond Neal Moore, LLC"</f>
        <v>Hammond Neal Moore, LLC</v>
      </c>
      <c r="CR418" t="s">
        <v>4494</v>
      </c>
    </row>
    <row r="419" spans="1:96" x14ac:dyDescent="0.2">
      <c r="A419" t="s">
        <v>10366</v>
      </c>
      <c r="B419" t="s">
        <v>96</v>
      </c>
      <c r="C419" s="1">
        <v>44098</v>
      </c>
      <c r="D419" s="1">
        <v>44105</v>
      </c>
      <c r="F419" t="s">
        <v>97</v>
      </c>
      <c r="G419" t="str">
        <f>"Software Engineer"</f>
        <v>Software Engineer</v>
      </c>
      <c r="H419" t="s">
        <v>12169</v>
      </c>
      <c r="I419" t="s">
        <v>124</v>
      </c>
      <c r="J419" t="s">
        <v>98</v>
      </c>
      <c r="K419" s="1">
        <v>44102</v>
      </c>
      <c r="L419" s="1">
        <v>45196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10367</v>
      </c>
      <c r="U419" t="str">
        <f>""</f>
        <v/>
      </c>
      <c r="V419" t="s">
        <v>10368</v>
      </c>
      <c r="W419" t="str">
        <f>"Suite 100"</f>
        <v>Suite 100</v>
      </c>
      <c r="X419" t="s">
        <v>1999</v>
      </c>
      <c r="Y419" t="s">
        <v>100</v>
      </c>
      <c r="Z419" s="3">
        <v>8807</v>
      </c>
      <c r="AA419" t="s">
        <v>101</v>
      </c>
      <c r="AC419" s="4" t="str">
        <f>"+17322059777"</f>
        <v>+17322059777</v>
      </c>
      <c r="AE419" t="str">
        <f>"541511"</f>
        <v>541511</v>
      </c>
      <c r="AF419" t="s">
        <v>4631</v>
      </c>
      <c r="AG419" t="s">
        <v>6807</v>
      </c>
      <c r="AI419" t="s">
        <v>508</v>
      </c>
      <c r="AJ419" t="s">
        <v>10368</v>
      </c>
      <c r="AK419" t="str">
        <f>"Suite  100"</f>
        <v>Suite  100</v>
      </c>
      <c r="AL419" t="s">
        <v>1999</v>
      </c>
      <c r="AM419" t="s">
        <v>100</v>
      </c>
      <c r="AN419" s="3">
        <v>8807</v>
      </c>
      <c r="AO419" t="s">
        <v>101</v>
      </c>
      <c r="AQ419" t="str">
        <f>"+17322059777"</f>
        <v>+17322059777</v>
      </c>
      <c r="AS419" t="s">
        <v>10369</v>
      </c>
      <c r="AT419" t="s">
        <v>107</v>
      </c>
      <c r="AU419" t="str">
        <f>"Khanna"</f>
        <v>Khanna</v>
      </c>
      <c r="AV419" t="str">
        <f>"Rajiv"</f>
        <v>Rajiv</v>
      </c>
      <c r="AW419" t="str">
        <f>"S"</f>
        <v>S</v>
      </c>
      <c r="AX419" t="str">
        <f>"5225 Wilson Blvd."</f>
        <v>5225 Wilson Blvd.</v>
      </c>
      <c r="AY419" t="str">
        <f>""</f>
        <v/>
      </c>
      <c r="AZ419" t="str">
        <f>"Arlington"</f>
        <v>Arlington</v>
      </c>
      <c r="BA419" t="str">
        <f>"VA"</f>
        <v>VA</v>
      </c>
      <c r="BB419" s="3">
        <v>22205</v>
      </c>
      <c r="BC419" t="str">
        <f>"UNITED STATES OF AMERICA"</f>
        <v>UNITED STATES OF AMERICA</v>
      </c>
      <c r="BD419" t="str">
        <f>""</f>
        <v/>
      </c>
      <c r="BE419" t="str">
        <f>"+12029091110"</f>
        <v>+12029091110</v>
      </c>
      <c r="BF419" t="str">
        <f>""</f>
        <v/>
      </c>
      <c r="BG419" t="str">
        <f>"mukesh@immigration.com"</f>
        <v>mukesh@immigration.com</v>
      </c>
      <c r="BH419" t="str">
        <f>"Law Offices of Rajiv S. Khanna, PC"</f>
        <v>Law Offices of Rajiv S. Khanna, PC</v>
      </c>
      <c r="BI419" t="str">
        <f>"VA"</f>
        <v>VA</v>
      </c>
      <c r="BJ419" t="str">
        <f>"Supreme Court of Virginia"</f>
        <v>Supreme Court of Virginia</v>
      </c>
      <c r="BK419">
        <v>1</v>
      </c>
      <c r="BL419" t="s">
        <v>107</v>
      </c>
      <c r="BM419" t="str">
        <f>"Beneficiary's Home Office"</f>
        <v>Beneficiary's Home Office</v>
      </c>
      <c r="BN419" t="s">
        <v>10370</v>
      </c>
      <c r="BP419" t="s">
        <v>10371</v>
      </c>
      <c r="BQ419" t="s">
        <v>104</v>
      </c>
      <c r="BR419" t="s">
        <v>100</v>
      </c>
      <c r="BS419" s="5">
        <v>8863</v>
      </c>
      <c r="BT419" s="2">
        <v>102000</v>
      </c>
      <c r="BV419" t="s">
        <v>105</v>
      </c>
      <c r="BW419" s="2">
        <v>100526</v>
      </c>
      <c r="BX419" t="s">
        <v>105</v>
      </c>
      <c r="BZ419" t="s">
        <v>167</v>
      </c>
      <c r="CA419" t="str">
        <f t="shared" si="24"/>
        <v>7/1/2020 - 6/30/2021</v>
      </c>
      <c r="CF419">
        <v>1</v>
      </c>
      <c r="CG419" t="s">
        <v>98</v>
      </c>
      <c r="CH419" t="s">
        <v>98</v>
      </c>
      <c r="CI419" t="s">
        <v>206</v>
      </c>
      <c r="CJ419" t="s">
        <v>98</v>
      </c>
      <c r="CK419" t="s">
        <v>12324</v>
      </c>
      <c r="CL419" t="s">
        <v>108</v>
      </c>
      <c r="CM419" t="s">
        <v>109</v>
      </c>
      <c r="CN419" t="str">
        <f>"Singh"</f>
        <v>Singh</v>
      </c>
      <c r="CO419" t="str">
        <f>"Mukesh"</f>
        <v>Mukesh</v>
      </c>
      <c r="CP419" t="str">
        <f>"K"</f>
        <v>K</v>
      </c>
      <c r="CQ419" t="str">
        <f>"Law Offices of Rajiv S. Khanna, PC"</f>
        <v>Law Offices of Rajiv S. Khanna, PC</v>
      </c>
      <c r="CR419" t="s">
        <v>7484</v>
      </c>
    </row>
    <row r="420" spans="1:96" x14ac:dyDescent="0.2">
      <c r="A420" t="s">
        <v>10406</v>
      </c>
      <c r="B420" t="s">
        <v>96</v>
      </c>
      <c r="C420" s="1">
        <v>44098</v>
      </c>
      <c r="D420" s="1">
        <v>44105</v>
      </c>
      <c r="F420" t="s">
        <v>97</v>
      </c>
      <c r="G420" t="str">
        <f>"JAVA FULL STACK DEVELOPER"</f>
        <v>JAVA FULL STACK DEVELOPER</v>
      </c>
      <c r="H420" t="s">
        <v>12169</v>
      </c>
      <c r="I420" t="s">
        <v>124</v>
      </c>
      <c r="J420" t="s">
        <v>98</v>
      </c>
      <c r="K420" s="1">
        <v>44098</v>
      </c>
      <c r="L420" s="1">
        <v>45192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 t="s">
        <v>2632</v>
      </c>
      <c r="U420" t="str">
        <f>""</f>
        <v/>
      </c>
      <c r="V420" t="s">
        <v>2633</v>
      </c>
      <c r="W420" t="str">
        <f>"SUITE 220"</f>
        <v>SUITE 220</v>
      </c>
      <c r="X420" t="s">
        <v>1497</v>
      </c>
      <c r="Y420" t="s">
        <v>265</v>
      </c>
      <c r="Z420" s="3">
        <v>48335</v>
      </c>
      <c r="AA420" t="s">
        <v>101</v>
      </c>
      <c r="AC420" s="4" t="str">
        <f>"+12484730720"</f>
        <v>+12484730720</v>
      </c>
      <c r="AD420">
        <v>200</v>
      </c>
      <c r="AE420" t="str">
        <f>"54151"</f>
        <v>54151</v>
      </c>
      <c r="AF420" t="s">
        <v>2144</v>
      </c>
      <c r="AG420" t="s">
        <v>2634</v>
      </c>
      <c r="AI420" t="s">
        <v>425</v>
      </c>
      <c r="AJ420" t="s">
        <v>2633</v>
      </c>
      <c r="AK420" t="str">
        <f>"SUITE 220"</f>
        <v>SUITE 220</v>
      </c>
      <c r="AL420" t="s">
        <v>1497</v>
      </c>
      <c r="AM420" t="s">
        <v>265</v>
      </c>
      <c r="AN420" s="3">
        <v>48335</v>
      </c>
      <c r="AO420" t="s">
        <v>101</v>
      </c>
      <c r="AQ420" t="str">
        <f>"+12484730720"</f>
        <v>+12484730720</v>
      </c>
      <c r="AR420">
        <v>200</v>
      </c>
      <c r="AS420" t="s">
        <v>2147</v>
      </c>
      <c r="AT420" t="s">
        <v>102</v>
      </c>
      <c r="AU420" t="str">
        <f>""</f>
        <v/>
      </c>
      <c r="AV420" t="str">
        <f>""</f>
        <v/>
      </c>
      <c r="AW420" t="str">
        <f>""</f>
        <v/>
      </c>
      <c r="AX420" t="str">
        <f>""</f>
        <v/>
      </c>
      <c r="AY420" t="str">
        <f>""</f>
        <v/>
      </c>
      <c r="AZ420" t="str">
        <f>""</f>
        <v/>
      </c>
      <c r="BA420" t="str">
        <f>""</f>
        <v/>
      </c>
      <c r="BC420" t="str">
        <f>""</f>
        <v/>
      </c>
      <c r="BD420" t="str">
        <f>""</f>
        <v/>
      </c>
      <c r="BE420" t="str">
        <f>""</f>
        <v/>
      </c>
      <c r="BF420" t="str">
        <f>""</f>
        <v/>
      </c>
      <c r="BG420" t="str">
        <f>""</f>
        <v/>
      </c>
      <c r="BH420" t="str">
        <f>""</f>
        <v/>
      </c>
      <c r="BI420" t="str">
        <f>""</f>
        <v/>
      </c>
      <c r="BJ420" t="str">
        <f>""</f>
        <v/>
      </c>
      <c r="BK420">
        <v>1</v>
      </c>
      <c r="BL420" t="s">
        <v>107</v>
      </c>
      <c r="BM420" t="str">
        <f>"MARYLAND DEPARTMENT OF HUMAN SERVICES(MD DHS)"</f>
        <v>MARYLAND DEPARTMENT OF HUMAN SERVICES(MD DHS)</v>
      </c>
      <c r="BN420" t="s">
        <v>9731</v>
      </c>
      <c r="BO420" t="s">
        <v>7284</v>
      </c>
      <c r="BP420" t="s">
        <v>10407</v>
      </c>
      <c r="BQ420" t="s">
        <v>2093</v>
      </c>
      <c r="BR420" t="s">
        <v>195</v>
      </c>
      <c r="BS420" s="5">
        <v>21090</v>
      </c>
      <c r="BT420" s="2">
        <v>46.83</v>
      </c>
      <c r="BV420" t="s">
        <v>210</v>
      </c>
      <c r="BW420" s="2">
        <v>45.21</v>
      </c>
      <c r="BX420" t="s">
        <v>210</v>
      </c>
      <c r="BZ420" t="s">
        <v>167</v>
      </c>
      <c r="CA420" t="str">
        <f t="shared" si="24"/>
        <v>7/1/2020 - 6/30/2021</v>
      </c>
      <c r="CF420">
        <v>2</v>
      </c>
      <c r="CG420" t="s">
        <v>98</v>
      </c>
      <c r="CH420" t="s">
        <v>98</v>
      </c>
      <c r="CI420" t="s">
        <v>206</v>
      </c>
      <c r="CJ420" t="s">
        <v>98</v>
      </c>
      <c r="CK420" t="s">
        <v>12324</v>
      </c>
      <c r="CL420" t="s">
        <v>108</v>
      </c>
      <c r="CM420" t="s">
        <v>109</v>
      </c>
      <c r="CN420" t="str">
        <f>""</f>
        <v/>
      </c>
      <c r="CO420" t="str">
        <f>""</f>
        <v/>
      </c>
      <c r="CP420" t="str">
        <f>""</f>
        <v/>
      </c>
      <c r="CQ420" t="str">
        <f>""</f>
        <v/>
      </c>
    </row>
    <row r="421" spans="1:96" x14ac:dyDescent="0.2">
      <c r="A421" t="s">
        <v>10441</v>
      </c>
      <c r="B421" t="s">
        <v>96</v>
      </c>
      <c r="C421" s="1">
        <v>44098</v>
      </c>
      <c r="D421" s="1">
        <v>44105</v>
      </c>
      <c r="F421" t="s">
        <v>97</v>
      </c>
      <c r="G421" t="str">
        <f>"DATA ANALYST"</f>
        <v>DATA ANALYST</v>
      </c>
      <c r="H421" t="s">
        <v>12169</v>
      </c>
      <c r="I421" t="s">
        <v>124</v>
      </c>
      <c r="J421" t="s">
        <v>98</v>
      </c>
      <c r="K421" s="1">
        <v>44105</v>
      </c>
      <c r="L421" s="1">
        <v>45199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9881</v>
      </c>
      <c r="U421" t="str">
        <f>""</f>
        <v/>
      </c>
      <c r="V421" t="s">
        <v>9882</v>
      </c>
      <c r="W421" t="str">
        <f>"SUITE 210"</f>
        <v>SUITE 210</v>
      </c>
      <c r="X421" t="s">
        <v>671</v>
      </c>
      <c r="Y421" t="s">
        <v>141</v>
      </c>
      <c r="Z421" s="3">
        <v>94086</v>
      </c>
      <c r="AA421" t="s">
        <v>101</v>
      </c>
      <c r="AC421" s="4" t="str">
        <f>"+17064029011"</f>
        <v>+17064029011</v>
      </c>
      <c r="AE421" t="str">
        <f>"541511"</f>
        <v>541511</v>
      </c>
      <c r="AF421" t="s">
        <v>9883</v>
      </c>
      <c r="AG421" t="s">
        <v>9884</v>
      </c>
      <c r="AI421" t="s">
        <v>425</v>
      </c>
      <c r="AJ421" t="s">
        <v>9882</v>
      </c>
      <c r="AK421" t="str">
        <f>"SUITE 210"</f>
        <v>SUITE 210</v>
      </c>
      <c r="AL421" t="s">
        <v>671</v>
      </c>
      <c r="AM421" t="s">
        <v>141</v>
      </c>
      <c r="AN421" s="3">
        <v>94086</v>
      </c>
      <c r="AO421" t="s">
        <v>101</v>
      </c>
      <c r="AQ421" t="str">
        <f>"+17064029011"</f>
        <v>+17064029011</v>
      </c>
      <c r="AS421" t="s">
        <v>9885</v>
      </c>
      <c r="AT421" t="s">
        <v>107</v>
      </c>
      <c r="AU421" t="str">
        <f>"BASHYAM"</f>
        <v>BASHYAM</v>
      </c>
      <c r="AV421" t="str">
        <f>"MURALI"</f>
        <v>MURALI</v>
      </c>
      <c r="AW421" t="str">
        <f>""</f>
        <v/>
      </c>
      <c r="AX421" t="str">
        <f>"P O BOX 2477"</f>
        <v>P O BOX 2477</v>
      </c>
      <c r="AY421" t="str">
        <f>""</f>
        <v/>
      </c>
      <c r="AZ421" t="str">
        <f>"RALEIGH"</f>
        <v>RALEIGH</v>
      </c>
      <c r="BA421" t="str">
        <f>"NC"</f>
        <v>NC</v>
      </c>
      <c r="BB421" s="3">
        <v>27602</v>
      </c>
      <c r="BC421" t="str">
        <f>"UNITED STATES OF AMERICA"</f>
        <v>UNITED STATES OF AMERICA</v>
      </c>
      <c r="BD421" t="str">
        <f>""</f>
        <v/>
      </c>
      <c r="BE421" t="str">
        <f>"+19198330840"</f>
        <v>+19198330840</v>
      </c>
      <c r="BF421" t="str">
        <f>"28"</f>
        <v>28</v>
      </c>
      <c r="BG421" t="str">
        <f>"MURALI@BASHYAMSHAH.COM"</f>
        <v>MURALI@BASHYAMSHAH.COM</v>
      </c>
      <c r="BH421" t="str">
        <f>"Bashyam Shah LLP"</f>
        <v>Bashyam Shah LLP</v>
      </c>
      <c r="BI421" t="str">
        <f>"NC"</f>
        <v>NC</v>
      </c>
      <c r="BJ421" t="str">
        <f>"SUPREME COURT"</f>
        <v>SUPREME COURT</v>
      </c>
      <c r="BK421">
        <v>1</v>
      </c>
      <c r="BL421" t="s">
        <v>107</v>
      </c>
      <c r="BM421" t="str">
        <f>"First Tech"</f>
        <v>First Tech</v>
      </c>
      <c r="BN421" t="s">
        <v>9886</v>
      </c>
      <c r="BP421" t="s">
        <v>585</v>
      </c>
      <c r="BQ421" t="s">
        <v>230</v>
      </c>
      <c r="BR421" t="s">
        <v>141</v>
      </c>
      <c r="BS421" s="5">
        <v>95134</v>
      </c>
      <c r="BT421" s="2">
        <v>120578</v>
      </c>
      <c r="BV421" t="s">
        <v>105</v>
      </c>
      <c r="BW421" s="2">
        <v>120578</v>
      </c>
      <c r="BX421" t="s">
        <v>105</v>
      </c>
      <c r="BZ421" t="s">
        <v>167</v>
      </c>
      <c r="CA421" t="str">
        <f t="shared" si="24"/>
        <v>7/1/2020 - 6/30/2021</v>
      </c>
      <c r="CF421">
        <v>2</v>
      </c>
      <c r="CG421" t="s">
        <v>98</v>
      </c>
      <c r="CH421" t="s">
        <v>98</v>
      </c>
      <c r="CI421" t="s">
        <v>206</v>
      </c>
      <c r="CJ421" t="s">
        <v>98</v>
      </c>
      <c r="CK421" t="s">
        <v>12324</v>
      </c>
      <c r="CL421" t="s">
        <v>108</v>
      </c>
      <c r="CM421" t="s">
        <v>109</v>
      </c>
      <c r="CN421" t="str">
        <f>""</f>
        <v/>
      </c>
      <c r="CO421" t="str">
        <f>""</f>
        <v/>
      </c>
      <c r="CP421" t="str">
        <f>""</f>
        <v/>
      </c>
      <c r="CQ421" t="str">
        <f>""</f>
        <v/>
      </c>
    </row>
    <row r="422" spans="1:96" x14ac:dyDescent="0.2">
      <c r="A422" t="s">
        <v>10462</v>
      </c>
      <c r="B422" t="s">
        <v>96</v>
      </c>
      <c r="C422" s="1">
        <v>44098</v>
      </c>
      <c r="D422" s="1">
        <v>44105</v>
      </c>
      <c r="F422" t="s">
        <v>97</v>
      </c>
      <c r="G422" t="str">
        <f>"Sr.Devops Engineer"</f>
        <v>Sr.Devops Engineer</v>
      </c>
      <c r="H422" t="s">
        <v>12169</v>
      </c>
      <c r="I422" t="s">
        <v>124</v>
      </c>
      <c r="J422" t="s">
        <v>98</v>
      </c>
      <c r="K422" s="1">
        <v>44098</v>
      </c>
      <c r="L422" s="1">
        <v>45192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 t="s">
        <v>4019</v>
      </c>
      <c r="U422" t="str">
        <f>""</f>
        <v/>
      </c>
      <c r="V422" t="s">
        <v>3675</v>
      </c>
      <c r="W422" t="str">
        <f>"# 2"</f>
        <v># 2</v>
      </c>
      <c r="X422" t="s">
        <v>3676</v>
      </c>
      <c r="Y422" t="s">
        <v>100</v>
      </c>
      <c r="Z422" s="3">
        <v>8859</v>
      </c>
      <c r="AA422" t="s">
        <v>101</v>
      </c>
      <c r="AC422" s="4" t="str">
        <f>"+17328874646"</f>
        <v>+17328874646</v>
      </c>
      <c r="AE422" t="str">
        <f>"541511"</f>
        <v>541511</v>
      </c>
      <c r="AF422" t="s">
        <v>3677</v>
      </c>
      <c r="AG422" t="s">
        <v>3391</v>
      </c>
      <c r="AI422" t="s">
        <v>646</v>
      </c>
      <c r="AJ422" t="s">
        <v>3675</v>
      </c>
      <c r="AK422" t="str">
        <f>"#2"</f>
        <v>#2</v>
      </c>
      <c r="AL422" t="s">
        <v>3676</v>
      </c>
      <c r="AM422" t="s">
        <v>100</v>
      </c>
      <c r="AN422" s="3">
        <v>8852</v>
      </c>
      <c r="AO422" t="s">
        <v>101</v>
      </c>
      <c r="AQ422" t="str">
        <f>"+17328874646"</f>
        <v>+17328874646</v>
      </c>
      <c r="AS422" t="s">
        <v>4020</v>
      </c>
      <c r="AT422" t="s">
        <v>102</v>
      </c>
      <c r="AU422" t="str">
        <f>""</f>
        <v/>
      </c>
      <c r="AV422" t="str">
        <f>""</f>
        <v/>
      </c>
      <c r="AW422" t="str">
        <f>""</f>
        <v/>
      </c>
      <c r="AX422" t="str">
        <f>""</f>
        <v/>
      </c>
      <c r="AY422" t="str">
        <f>""</f>
        <v/>
      </c>
      <c r="AZ422" t="str">
        <f>""</f>
        <v/>
      </c>
      <c r="BA422" t="str">
        <f>""</f>
        <v/>
      </c>
      <c r="BC422" t="str">
        <f>""</f>
        <v/>
      </c>
      <c r="BD422" t="str">
        <f>""</f>
        <v/>
      </c>
      <c r="BE422" t="str">
        <f>""</f>
        <v/>
      </c>
      <c r="BF422" t="str">
        <f>""</f>
        <v/>
      </c>
      <c r="BG422" t="str">
        <f>""</f>
        <v/>
      </c>
      <c r="BH422" t="str">
        <f>""</f>
        <v/>
      </c>
      <c r="BI422" t="str">
        <f>""</f>
        <v/>
      </c>
      <c r="BJ422" t="str">
        <f>""</f>
        <v/>
      </c>
      <c r="BK422">
        <v>1</v>
      </c>
      <c r="BL422" t="s">
        <v>107</v>
      </c>
      <c r="BM422" t="str">
        <f>"Ohio Department of Developmental Disabilities"</f>
        <v>Ohio Department of Developmental Disabilities</v>
      </c>
      <c r="BN422" t="s">
        <v>5276</v>
      </c>
      <c r="BP422" t="s">
        <v>388</v>
      </c>
      <c r="BQ422" t="s">
        <v>224</v>
      </c>
      <c r="BR422" t="s">
        <v>225</v>
      </c>
      <c r="BS422" s="5">
        <v>43215</v>
      </c>
      <c r="BT422" s="2">
        <v>83075</v>
      </c>
      <c r="BU422" s="2">
        <v>83076</v>
      </c>
      <c r="BV422" t="s">
        <v>105</v>
      </c>
      <c r="BW422" s="2">
        <v>83075</v>
      </c>
      <c r="BX422" t="s">
        <v>105</v>
      </c>
      <c r="BZ422" t="s">
        <v>167</v>
      </c>
      <c r="CA422" t="str">
        <f t="shared" si="24"/>
        <v>7/1/2020 - 6/30/2021</v>
      </c>
      <c r="CF422">
        <v>2</v>
      </c>
      <c r="CG422" t="s">
        <v>98</v>
      </c>
      <c r="CH422" t="s">
        <v>98</v>
      </c>
      <c r="CI422" t="s">
        <v>206</v>
      </c>
      <c r="CJ422" t="s">
        <v>98</v>
      </c>
      <c r="CK422" t="s">
        <v>12324</v>
      </c>
      <c r="CL422" t="s">
        <v>108</v>
      </c>
      <c r="CM422" t="s">
        <v>109</v>
      </c>
      <c r="CN422" t="str">
        <f>""</f>
        <v/>
      </c>
      <c r="CO422" t="str">
        <f>""</f>
        <v/>
      </c>
      <c r="CP422" t="str">
        <f>""</f>
        <v/>
      </c>
      <c r="CQ422" t="str">
        <f>""</f>
        <v/>
      </c>
    </row>
    <row r="423" spans="1:96" x14ac:dyDescent="0.2">
      <c r="A423" t="s">
        <v>10492</v>
      </c>
      <c r="B423" t="s">
        <v>96</v>
      </c>
      <c r="C423" s="1">
        <v>44098</v>
      </c>
      <c r="D423" s="1">
        <v>44105</v>
      </c>
      <c r="F423" t="s">
        <v>97</v>
      </c>
      <c r="G423" t="str">
        <f>"Manager JC50"</f>
        <v>Manager JC50</v>
      </c>
      <c r="H423" t="s">
        <v>12181</v>
      </c>
      <c r="I423" t="s">
        <v>110</v>
      </c>
      <c r="J423" t="s">
        <v>98</v>
      </c>
      <c r="K423" s="1">
        <v>44107</v>
      </c>
      <c r="L423" s="1">
        <v>45201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 t="s">
        <v>111</v>
      </c>
      <c r="U423" t="str">
        <f>"CTSUS"</f>
        <v>CTSUS</v>
      </c>
      <c r="V423" t="s">
        <v>112</v>
      </c>
      <c r="W423" t="str">
        <f>""</f>
        <v/>
      </c>
      <c r="X423" t="s">
        <v>113</v>
      </c>
      <c r="Y423" t="s">
        <v>114</v>
      </c>
      <c r="Z423" s="3">
        <v>77845</v>
      </c>
      <c r="AA423" t="s">
        <v>101</v>
      </c>
      <c r="AB423" t="s">
        <v>114</v>
      </c>
      <c r="AC423" s="4" t="str">
        <f>"+19793296682"</f>
        <v>+19793296682</v>
      </c>
      <c r="AE423" t="str">
        <f>"541512"</f>
        <v>541512</v>
      </c>
      <c r="AF423" t="s">
        <v>115</v>
      </c>
      <c r="AG423" t="s">
        <v>116</v>
      </c>
      <c r="AH423" t="s">
        <v>108</v>
      </c>
      <c r="AI423" t="s">
        <v>117</v>
      </c>
      <c r="AJ423" t="s">
        <v>118</v>
      </c>
      <c r="AK423" t="str">
        <f>""</f>
        <v/>
      </c>
      <c r="AL423" t="s">
        <v>119</v>
      </c>
      <c r="AM423" t="s">
        <v>114</v>
      </c>
      <c r="AN423" s="3">
        <v>77845</v>
      </c>
      <c r="AO423" t="s">
        <v>101</v>
      </c>
      <c r="AQ423" t="str">
        <f>"+19793296682"</f>
        <v>+19793296682</v>
      </c>
      <c r="AS423" t="s">
        <v>120</v>
      </c>
      <c r="AT423" t="s">
        <v>102</v>
      </c>
      <c r="AU423" t="str">
        <f>""</f>
        <v/>
      </c>
      <c r="AV423" t="str">
        <f>""</f>
        <v/>
      </c>
      <c r="AW423" t="str">
        <f>""</f>
        <v/>
      </c>
      <c r="AX423" t="str">
        <f>""</f>
        <v/>
      </c>
      <c r="AY423" t="str">
        <f>""</f>
        <v/>
      </c>
      <c r="AZ423" t="str">
        <f>""</f>
        <v/>
      </c>
      <c r="BA423" t="str">
        <f>""</f>
        <v/>
      </c>
      <c r="BC423" t="str">
        <f>""</f>
        <v/>
      </c>
      <c r="BD423" t="str">
        <f>""</f>
        <v/>
      </c>
      <c r="BE423" t="str">
        <f>""</f>
        <v/>
      </c>
      <c r="BF423" t="str">
        <f>""</f>
        <v/>
      </c>
      <c r="BG423" t="str">
        <f>""</f>
        <v/>
      </c>
      <c r="BH423" t="str">
        <f>""</f>
        <v/>
      </c>
      <c r="BI423" t="str">
        <f>""</f>
        <v/>
      </c>
      <c r="BJ423" t="str">
        <f>""</f>
        <v/>
      </c>
      <c r="BK423">
        <v>1</v>
      </c>
      <c r="BL423" t="s">
        <v>102</v>
      </c>
      <c r="BM423" t="str">
        <f>""</f>
        <v/>
      </c>
      <c r="BN423" t="s">
        <v>10493</v>
      </c>
      <c r="BP423" t="s">
        <v>229</v>
      </c>
      <c r="BQ423" t="s">
        <v>230</v>
      </c>
      <c r="BR423" t="s">
        <v>141</v>
      </c>
      <c r="BS423" s="5">
        <v>94087</v>
      </c>
      <c r="BT423" s="2">
        <v>122990</v>
      </c>
      <c r="BV423" t="s">
        <v>105</v>
      </c>
      <c r="BW423" s="2">
        <v>122990</v>
      </c>
      <c r="BX423" t="s">
        <v>105</v>
      </c>
      <c r="BZ423" t="s">
        <v>123</v>
      </c>
      <c r="CA423" t="str">
        <f t="shared" si="24"/>
        <v>7/1/2020 - 6/30/2021</v>
      </c>
      <c r="CF423">
        <v>1</v>
      </c>
      <c r="CG423" t="s">
        <v>98</v>
      </c>
      <c r="CH423" t="s">
        <v>98</v>
      </c>
      <c r="CI423" t="s">
        <v>206</v>
      </c>
      <c r="CJ423" t="s">
        <v>98</v>
      </c>
      <c r="CK423" t="s">
        <v>12324</v>
      </c>
      <c r="CL423" t="s">
        <v>108</v>
      </c>
      <c r="CM423" t="s">
        <v>109</v>
      </c>
      <c r="CN423" t="str">
        <f>""</f>
        <v/>
      </c>
      <c r="CO423" t="str">
        <f>""</f>
        <v/>
      </c>
      <c r="CP423" t="str">
        <f>""</f>
        <v/>
      </c>
      <c r="CQ423" t="str">
        <f>""</f>
        <v/>
      </c>
    </row>
    <row r="424" spans="1:96" x14ac:dyDescent="0.2">
      <c r="A424" t="s">
        <v>10550</v>
      </c>
      <c r="B424" t="s">
        <v>96</v>
      </c>
      <c r="C424" s="1">
        <v>44098</v>
      </c>
      <c r="D424" s="1">
        <v>44105</v>
      </c>
      <c r="F424" t="s">
        <v>97</v>
      </c>
      <c r="G424" t="str">
        <f>"Data Analyst"</f>
        <v>Data Analyst</v>
      </c>
      <c r="H424" t="s">
        <v>12182</v>
      </c>
      <c r="I424" t="s">
        <v>168</v>
      </c>
      <c r="J424" t="s">
        <v>98</v>
      </c>
      <c r="K424" s="1">
        <v>44098</v>
      </c>
      <c r="L424" s="1">
        <v>45192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 t="s">
        <v>7344</v>
      </c>
      <c r="U424" t="str">
        <f>""</f>
        <v/>
      </c>
      <c r="V424" t="s">
        <v>6130</v>
      </c>
      <c r="W424" t="str">
        <f>"Suite 350B"</f>
        <v>Suite 350B</v>
      </c>
      <c r="X424" t="s">
        <v>2187</v>
      </c>
      <c r="Y424" t="s">
        <v>135</v>
      </c>
      <c r="Z424" s="3">
        <v>20151</v>
      </c>
      <c r="AA424" t="s">
        <v>101</v>
      </c>
      <c r="AC424" s="4" t="str">
        <f>"+15713705100"</f>
        <v>+15713705100</v>
      </c>
      <c r="AE424" t="str">
        <f>"541511"</f>
        <v>541511</v>
      </c>
      <c r="AF424" t="s">
        <v>6131</v>
      </c>
      <c r="AG424" t="s">
        <v>5564</v>
      </c>
      <c r="AI424" t="s">
        <v>7345</v>
      </c>
      <c r="AJ424" t="s">
        <v>6130</v>
      </c>
      <c r="AK424" t="str">
        <f>"Suite 350B"</f>
        <v>Suite 350B</v>
      </c>
      <c r="AL424" t="s">
        <v>2187</v>
      </c>
      <c r="AM424" t="s">
        <v>135</v>
      </c>
      <c r="AN424" s="3">
        <v>20151</v>
      </c>
      <c r="AO424" t="s">
        <v>101</v>
      </c>
      <c r="AQ424" t="str">
        <f>"+15713705100"</f>
        <v>+15713705100</v>
      </c>
      <c r="AS424" t="s">
        <v>7346</v>
      </c>
      <c r="AT424" t="s">
        <v>107</v>
      </c>
      <c r="AU424" t="str">
        <f>"Lamboley"</f>
        <v>Lamboley</v>
      </c>
      <c r="AV424" t="str">
        <f>"Harold"</f>
        <v>Harold</v>
      </c>
      <c r="AW424" t="str">
        <f>"Joseph"</f>
        <v>Joseph</v>
      </c>
      <c r="AX424" t="str">
        <f>"One Evergreen Avenue"</f>
        <v>One Evergreen Avenue</v>
      </c>
      <c r="AY424" t="str">
        <f>"Suite 20"</f>
        <v>Suite 20</v>
      </c>
      <c r="AZ424" t="str">
        <f>"Hamden"</f>
        <v>Hamden</v>
      </c>
      <c r="BA424" t="str">
        <f>"CT"</f>
        <v>CT</v>
      </c>
      <c r="BB424" s="3">
        <v>6518</v>
      </c>
      <c r="BC424" t="str">
        <f>"UNITED STATES OF AMERICA"</f>
        <v>UNITED STATES OF AMERICA</v>
      </c>
      <c r="BD424" t="str">
        <f>""</f>
        <v/>
      </c>
      <c r="BE424" t="str">
        <f>"+12032878042"</f>
        <v>+12032878042</v>
      </c>
      <c r="BF424" t="str">
        <f>"13"</f>
        <v>13</v>
      </c>
      <c r="BG424" t="str">
        <f>"Harold@lamboleylawfirm.com"</f>
        <v>Harold@lamboleylawfirm.com</v>
      </c>
      <c r="BH424" t="str">
        <f>"Lamboley Law FIrm LLC"</f>
        <v>Lamboley Law FIrm LLC</v>
      </c>
      <c r="BI424" t="str">
        <f>"CT"</f>
        <v>CT</v>
      </c>
      <c r="BJ424" t="str">
        <f>"Superior Court"</f>
        <v>Superior Court</v>
      </c>
      <c r="BK424">
        <v>1</v>
      </c>
      <c r="BL424" t="s">
        <v>107</v>
      </c>
      <c r="BM424" t="str">
        <f>"AT &amp; T Mobility"</f>
        <v>AT &amp; T Mobility</v>
      </c>
      <c r="BN424" t="s">
        <v>4720</v>
      </c>
      <c r="BP424" t="s">
        <v>297</v>
      </c>
      <c r="BQ424" t="s">
        <v>556</v>
      </c>
      <c r="BR424" t="s">
        <v>114</v>
      </c>
      <c r="BS424" s="5">
        <v>75075</v>
      </c>
      <c r="BT424" s="2">
        <v>80000</v>
      </c>
      <c r="BV424" t="s">
        <v>105</v>
      </c>
      <c r="BW424" s="2">
        <v>70096</v>
      </c>
      <c r="BX424" t="s">
        <v>105</v>
      </c>
      <c r="BZ424" t="s">
        <v>167</v>
      </c>
      <c r="CA424" t="str">
        <f t="shared" si="24"/>
        <v>7/1/2020 - 6/30/2021</v>
      </c>
      <c r="CF424">
        <v>2</v>
      </c>
      <c r="CG424" t="s">
        <v>98</v>
      </c>
      <c r="CH424" t="s">
        <v>98</v>
      </c>
      <c r="CI424" t="s">
        <v>206</v>
      </c>
      <c r="CJ424" t="s">
        <v>98</v>
      </c>
      <c r="CK424" t="s">
        <v>12324</v>
      </c>
      <c r="CL424" t="s">
        <v>108</v>
      </c>
      <c r="CM424" t="s">
        <v>109</v>
      </c>
      <c r="CN424" t="str">
        <f>"N/A"</f>
        <v>N/A</v>
      </c>
      <c r="CO424" t="str">
        <f>"N/A"</f>
        <v>N/A</v>
      </c>
      <c r="CP424" t="str">
        <f>"N/A"</f>
        <v>N/A</v>
      </c>
      <c r="CQ424" t="str">
        <f>"LAMBOLEY LAW FIRM, LLC"</f>
        <v>LAMBOLEY LAW FIRM, LLC</v>
      </c>
      <c r="CR424" t="s">
        <v>2883</v>
      </c>
    </row>
    <row r="425" spans="1:96" x14ac:dyDescent="0.2">
      <c r="A425" t="s">
        <v>10622</v>
      </c>
      <c r="B425" t="s">
        <v>96</v>
      </c>
      <c r="C425" s="1">
        <v>44098</v>
      </c>
      <c r="D425" s="1">
        <v>44105</v>
      </c>
      <c r="F425" t="s">
        <v>97</v>
      </c>
      <c r="G425" t="str">
        <f>"QA Analyst (SERVLLGX0163)"</f>
        <v>QA Analyst (SERVLLGX0163)</v>
      </c>
      <c r="H425" t="s">
        <v>12168</v>
      </c>
      <c r="I425" t="s">
        <v>319</v>
      </c>
      <c r="J425" t="s">
        <v>98</v>
      </c>
      <c r="K425" s="1">
        <v>44116</v>
      </c>
      <c r="L425" s="1">
        <v>45210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 t="s">
        <v>2482</v>
      </c>
      <c r="U425" t="str">
        <f>"SERVSYS CORPORATION"</f>
        <v>SERVSYS CORPORATION</v>
      </c>
      <c r="V425" t="s">
        <v>2483</v>
      </c>
      <c r="W425" t="str">
        <f>"STE 100"</f>
        <v>STE 100</v>
      </c>
      <c r="X425" t="s">
        <v>1487</v>
      </c>
      <c r="Y425" t="s">
        <v>114</v>
      </c>
      <c r="Z425" s="3">
        <v>75062</v>
      </c>
      <c r="AA425" t="s">
        <v>101</v>
      </c>
      <c r="AB425" t="s">
        <v>114</v>
      </c>
      <c r="AC425" s="4" t="str">
        <f>"+19724459569"</f>
        <v>+19724459569</v>
      </c>
      <c r="AE425" t="str">
        <f>"541513"</f>
        <v>541513</v>
      </c>
      <c r="AF425" t="s">
        <v>2484</v>
      </c>
      <c r="AG425" t="s">
        <v>2485</v>
      </c>
      <c r="AI425" t="s">
        <v>1789</v>
      </c>
      <c r="AJ425" t="s">
        <v>2483</v>
      </c>
      <c r="AK425" t="str">
        <f>"STE 100"</f>
        <v>STE 100</v>
      </c>
      <c r="AL425" t="s">
        <v>1487</v>
      </c>
      <c r="AM425" t="s">
        <v>114</v>
      </c>
      <c r="AN425" s="3">
        <v>75062</v>
      </c>
      <c r="AO425" t="s">
        <v>101</v>
      </c>
      <c r="AQ425" t="str">
        <f>"+19724459569"</f>
        <v>+19724459569</v>
      </c>
      <c r="AS425" t="s">
        <v>3918</v>
      </c>
      <c r="AT425" t="s">
        <v>102</v>
      </c>
      <c r="AU425" t="str">
        <f>""</f>
        <v/>
      </c>
      <c r="AV425" t="str">
        <f>""</f>
        <v/>
      </c>
      <c r="AW425" t="str">
        <f>""</f>
        <v/>
      </c>
      <c r="AX425" t="str">
        <f>""</f>
        <v/>
      </c>
      <c r="AY425" t="str">
        <f>""</f>
        <v/>
      </c>
      <c r="AZ425" t="str">
        <f>""</f>
        <v/>
      </c>
      <c r="BA425" t="str">
        <f>""</f>
        <v/>
      </c>
      <c r="BC425" t="str">
        <f>""</f>
        <v/>
      </c>
      <c r="BD425" t="str">
        <f>""</f>
        <v/>
      </c>
      <c r="BE425" t="str">
        <f>""</f>
        <v/>
      </c>
      <c r="BF425" t="str">
        <f>""</f>
        <v/>
      </c>
      <c r="BG425" t="str">
        <f>""</f>
        <v/>
      </c>
      <c r="BH425" t="str">
        <f>""</f>
        <v/>
      </c>
      <c r="BI425" t="str">
        <f>""</f>
        <v/>
      </c>
      <c r="BJ425" t="str">
        <f>""</f>
        <v/>
      </c>
      <c r="BK425">
        <v>1</v>
      </c>
      <c r="BL425" t="s">
        <v>107</v>
      </c>
      <c r="BM425" t="str">
        <f>"Bank Of America"</f>
        <v>Bank Of America</v>
      </c>
      <c r="BN425" t="s">
        <v>10623</v>
      </c>
      <c r="BP425" t="s">
        <v>1965</v>
      </c>
      <c r="BQ425" t="s">
        <v>3047</v>
      </c>
      <c r="BR425" t="s">
        <v>135</v>
      </c>
      <c r="BS425" s="5">
        <v>20147</v>
      </c>
      <c r="BT425" s="2">
        <v>97594</v>
      </c>
      <c r="BV425" t="s">
        <v>105</v>
      </c>
      <c r="BW425" s="2">
        <v>97594</v>
      </c>
      <c r="BX425" t="s">
        <v>105</v>
      </c>
      <c r="BZ425" t="s">
        <v>167</v>
      </c>
      <c r="CA425" t="str">
        <f t="shared" si="24"/>
        <v>7/1/2020 - 6/30/2021</v>
      </c>
      <c r="CF425">
        <v>1</v>
      </c>
      <c r="CG425" t="s">
        <v>98</v>
      </c>
      <c r="CH425" t="s">
        <v>98</v>
      </c>
      <c r="CI425" t="s">
        <v>206</v>
      </c>
      <c r="CJ425" t="s">
        <v>98</v>
      </c>
      <c r="CK425" t="s">
        <v>12324</v>
      </c>
      <c r="CL425" t="s">
        <v>108</v>
      </c>
      <c r="CM425" t="s">
        <v>109</v>
      </c>
      <c r="CN425" t="str">
        <f>""</f>
        <v/>
      </c>
      <c r="CO425" t="str">
        <f>""</f>
        <v/>
      </c>
      <c r="CP425" t="str">
        <f>""</f>
        <v/>
      </c>
      <c r="CQ425" t="str">
        <f>""</f>
        <v/>
      </c>
    </row>
    <row r="426" spans="1:96" x14ac:dyDescent="0.2">
      <c r="A426" t="s">
        <v>10643</v>
      </c>
      <c r="B426" t="s">
        <v>96</v>
      </c>
      <c r="C426" s="1">
        <v>44098</v>
      </c>
      <c r="D426" s="1">
        <v>44105</v>
      </c>
      <c r="F426" t="s">
        <v>97</v>
      </c>
      <c r="G426" t="str">
        <f>"ITSM Developer"</f>
        <v>ITSM Developer</v>
      </c>
      <c r="H426" t="s">
        <v>12169</v>
      </c>
      <c r="I426" t="s">
        <v>124</v>
      </c>
      <c r="J426" t="s">
        <v>98</v>
      </c>
      <c r="K426" s="1">
        <v>44098</v>
      </c>
      <c r="L426" s="1">
        <v>45192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 t="s">
        <v>4939</v>
      </c>
      <c r="U426" t="str">
        <f>""</f>
        <v/>
      </c>
      <c r="V426" t="s">
        <v>4940</v>
      </c>
      <c r="W426" t="str">
        <f>""</f>
        <v/>
      </c>
      <c r="X426" t="s">
        <v>4941</v>
      </c>
      <c r="Y426" t="s">
        <v>135</v>
      </c>
      <c r="Z426" s="3">
        <v>20176</v>
      </c>
      <c r="AA426" t="s">
        <v>101</v>
      </c>
      <c r="AC426" s="4" t="str">
        <f>"+15712740719"</f>
        <v>+15712740719</v>
      </c>
      <c r="AE426" t="str">
        <f>"541511"</f>
        <v>541511</v>
      </c>
      <c r="AF426" t="s">
        <v>4942</v>
      </c>
      <c r="AG426" t="s">
        <v>4943</v>
      </c>
      <c r="AI426" t="s">
        <v>298</v>
      </c>
      <c r="AJ426" t="s">
        <v>4940</v>
      </c>
      <c r="AK426" t="str">
        <f>""</f>
        <v/>
      </c>
      <c r="AL426" t="s">
        <v>4941</v>
      </c>
      <c r="AM426" t="s">
        <v>135</v>
      </c>
      <c r="AN426" s="3">
        <v>20176</v>
      </c>
      <c r="AO426" t="s">
        <v>101</v>
      </c>
      <c r="AQ426" t="str">
        <f>"+15712740719"</f>
        <v>+15712740719</v>
      </c>
      <c r="AS426" t="s">
        <v>4944</v>
      </c>
      <c r="AT426" t="s">
        <v>107</v>
      </c>
      <c r="AU426" t="str">
        <f>"Mohan"</f>
        <v>Mohan</v>
      </c>
      <c r="AV426" t="str">
        <f>"Thejaswini"</f>
        <v>Thejaswini</v>
      </c>
      <c r="AW426" t="str">
        <f>""</f>
        <v/>
      </c>
      <c r="AX426" t="str">
        <f>"802 E Woodfield Road"</f>
        <v>802 E Woodfield Road</v>
      </c>
      <c r="AY426" t="str">
        <f>"Suite G400"</f>
        <v>Suite G400</v>
      </c>
      <c r="AZ426" t="str">
        <f>"Schaumburg"</f>
        <v>Schaumburg</v>
      </c>
      <c r="BA426" t="str">
        <f>"IL"</f>
        <v>IL</v>
      </c>
      <c r="BB426" s="3">
        <v>60173</v>
      </c>
      <c r="BC426" t="str">
        <f>"UNITED STATES OF AMERICA"</f>
        <v>UNITED STATES OF AMERICA</v>
      </c>
      <c r="BD426" t="str">
        <f>""</f>
        <v/>
      </c>
      <c r="BE426" t="str">
        <f>"+18479951515"</f>
        <v>+18479951515</v>
      </c>
      <c r="BF426" t="str">
        <f>"236"</f>
        <v>236</v>
      </c>
      <c r="BG426" t="str">
        <f>"icert@bizlegalservices.com"</f>
        <v>icert@bizlegalservices.com</v>
      </c>
      <c r="BH426" t="str">
        <f>"International Legal and Business Services Group LLP"</f>
        <v>International Legal and Business Services Group LLP</v>
      </c>
      <c r="BI426" t="str">
        <f>"NY"</f>
        <v>NY</v>
      </c>
      <c r="BJ426" t="str">
        <f>"New York Supreme Court"</f>
        <v>New York Supreme Court</v>
      </c>
      <c r="BK426">
        <v>1</v>
      </c>
      <c r="BL426" t="s">
        <v>107</v>
      </c>
      <c r="BM426" t="str">
        <f>"Land O Lakes"</f>
        <v>Land O Lakes</v>
      </c>
      <c r="BN426" t="s">
        <v>5831</v>
      </c>
      <c r="BP426" t="s">
        <v>7162</v>
      </c>
      <c r="BQ426" t="s">
        <v>837</v>
      </c>
      <c r="BR426" t="s">
        <v>186</v>
      </c>
      <c r="BS426" s="5">
        <v>55126</v>
      </c>
      <c r="BT426" s="2">
        <v>88712</v>
      </c>
      <c r="BU426" s="2">
        <v>88713</v>
      </c>
      <c r="BV426" t="s">
        <v>105</v>
      </c>
      <c r="BW426" s="2">
        <v>88712</v>
      </c>
      <c r="BX426" t="s">
        <v>105</v>
      </c>
      <c r="BZ426" t="s">
        <v>167</v>
      </c>
      <c r="CA426" t="str">
        <f t="shared" si="24"/>
        <v>7/1/2020 - 6/30/2021</v>
      </c>
      <c r="CF426">
        <v>2</v>
      </c>
      <c r="CG426" t="s">
        <v>98</v>
      </c>
      <c r="CH426" t="s">
        <v>98</v>
      </c>
      <c r="CI426" t="s">
        <v>206</v>
      </c>
      <c r="CJ426" t="s">
        <v>98</v>
      </c>
      <c r="CK426" t="s">
        <v>12324</v>
      </c>
      <c r="CL426" t="s">
        <v>108</v>
      </c>
      <c r="CM426" t="s">
        <v>109</v>
      </c>
      <c r="CN426" t="str">
        <f>""</f>
        <v/>
      </c>
      <c r="CO426" t="str">
        <f>""</f>
        <v/>
      </c>
      <c r="CP426" t="str">
        <f>""</f>
        <v/>
      </c>
      <c r="CQ426" t="str">
        <f>""</f>
        <v/>
      </c>
    </row>
    <row r="427" spans="1:96" x14ac:dyDescent="0.2">
      <c r="A427" t="s">
        <v>10651</v>
      </c>
      <c r="B427" t="s">
        <v>96</v>
      </c>
      <c r="C427" s="1">
        <v>44098</v>
      </c>
      <c r="D427" s="1">
        <v>44105</v>
      </c>
      <c r="F427" t="s">
        <v>97</v>
      </c>
      <c r="G427" t="str">
        <f>"Software Developer"</f>
        <v>Software Developer</v>
      </c>
      <c r="H427" t="s">
        <v>12169</v>
      </c>
      <c r="I427" t="s">
        <v>124</v>
      </c>
      <c r="J427" t="s">
        <v>98</v>
      </c>
      <c r="K427" s="1">
        <v>44105</v>
      </c>
      <c r="L427" s="1">
        <v>45199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 t="s">
        <v>4019</v>
      </c>
      <c r="U427" t="str">
        <f>""</f>
        <v/>
      </c>
      <c r="V427" t="s">
        <v>3675</v>
      </c>
      <c r="W427" t="str">
        <f>"# 2"</f>
        <v># 2</v>
      </c>
      <c r="X427" t="s">
        <v>3676</v>
      </c>
      <c r="Y427" t="s">
        <v>100</v>
      </c>
      <c r="Z427" s="3">
        <v>8859</v>
      </c>
      <c r="AA427" t="s">
        <v>101</v>
      </c>
      <c r="AC427" s="4" t="str">
        <f>"+17328874646"</f>
        <v>+17328874646</v>
      </c>
      <c r="AE427" t="str">
        <f>"541511"</f>
        <v>541511</v>
      </c>
      <c r="AF427" t="s">
        <v>3677</v>
      </c>
      <c r="AG427" t="s">
        <v>3391</v>
      </c>
      <c r="AI427" t="s">
        <v>646</v>
      </c>
      <c r="AJ427" t="s">
        <v>3675</v>
      </c>
      <c r="AK427" t="str">
        <f>"#2"</f>
        <v>#2</v>
      </c>
      <c r="AL427" t="s">
        <v>3676</v>
      </c>
      <c r="AM427" t="s">
        <v>100</v>
      </c>
      <c r="AN427" s="3">
        <v>8852</v>
      </c>
      <c r="AO427" t="s">
        <v>101</v>
      </c>
      <c r="AQ427" t="str">
        <f>"+17328874646"</f>
        <v>+17328874646</v>
      </c>
      <c r="AS427" t="s">
        <v>4020</v>
      </c>
      <c r="AT427" t="s">
        <v>102</v>
      </c>
      <c r="AU427" t="str">
        <f>""</f>
        <v/>
      </c>
      <c r="AV427" t="str">
        <f>""</f>
        <v/>
      </c>
      <c r="AW427" t="str">
        <f>""</f>
        <v/>
      </c>
      <c r="AX427" t="str">
        <f>""</f>
        <v/>
      </c>
      <c r="AY427" t="str">
        <f>""</f>
        <v/>
      </c>
      <c r="AZ427" t="str">
        <f>""</f>
        <v/>
      </c>
      <c r="BA427" t="str">
        <f>""</f>
        <v/>
      </c>
      <c r="BC427" t="str">
        <f>""</f>
        <v/>
      </c>
      <c r="BD427" t="str">
        <f>""</f>
        <v/>
      </c>
      <c r="BE427" t="str">
        <f>""</f>
        <v/>
      </c>
      <c r="BF427" t="str">
        <f>""</f>
        <v/>
      </c>
      <c r="BG427" t="str">
        <f>""</f>
        <v/>
      </c>
      <c r="BH427" t="str">
        <f>""</f>
        <v/>
      </c>
      <c r="BI427" t="str">
        <f>""</f>
        <v/>
      </c>
      <c r="BJ427" t="str">
        <f>""</f>
        <v/>
      </c>
      <c r="BK427">
        <v>1</v>
      </c>
      <c r="BL427" t="s">
        <v>107</v>
      </c>
      <c r="BM427" t="str">
        <f>"CVS Health"</f>
        <v>CVS Health</v>
      </c>
      <c r="BN427" t="s">
        <v>7750</v>
      </c>
      <c r="BP427" t="s">
        <v>3746</v>
      </c>
      <c r="BQ427" t="s">
        <v>788</v>
      </c>
      <c r="BR427" t="s">
        <v>345</v>
      </c>
      <c r="BS427" s="5">
        <v>60090</v>
      </c>
      <c r="BT427" s="2">
        <v>87838</v>
      </c>
      <c r="BU427" s="2">
        <v>87839</v>
      </c>
      <c r="BV427" t="s">
        <v>105</v>
      </c>
      <c r="BW427" s="2">
        <v>87838</v>
      </c>
      <c r="BX427" t="s">
        <v>105</v>
      </c>
      <c r="BZ427" t="s">
        <v>167</v>
      </c>
      <c r="CA427" t="str">
        <f t="shared" si="24"/>
        <v>7/1/2020 - 6/30/2021</v>
      </c>
      <c r="CF427">
        <v>2</v>
      </c>
      <c r="CG427" t="s">
        <v>98</v>
      </c>
      <c r="CH427" t="s">
        <v>98</v>
      </c>
      <c r="CI427" t="s">
        <v>206</v>
      </c>
      <c r="CJ427" t="s">
        <v>98</v>
      </c>
      <c r="CK427" t="s">
        <v>12324</v>
      </c>
      <c r="CL427" t="s">
        <v>108</v>
      </c>
      <c r="CM427" t="s">
        <v>109</v>
      </c>
      <c r="CN427" t="str">
        <f>""</f>
        <v/>
      </c>
      <c r="CO427" t="str">
        <f>""</f>
        <v/>
      </c>
      <c r="CP427" t="str">
        <f>""</f>
        <v/>
      </c>
      <c r="CQ427" t="str">
        <f>""</f>
        <v/>
      </c>
    </row>
    <row r="428" spans="1:96" x14ac:dyDescent="0.2">
      <c r="A428" t="s">
        <v>10663</v>
      </c>
      <c r="B428" t="s">
        <v>96</v>
      </c>
      <c r="C428" s="1">
        <v>44098</v>
      </c>
      <c r="D428" s="1">
        <v>44105</v>
      </c>
      <c r="F428" t="s">
        <v>97</v>
      </c>
      <c r="G428" t="str">
        <f>"SOFTWARE DEVELOPER"</f>
        <v>SOFTWARE DEVELOPER</v>
      </c>
      <c r="H428" t="s">
        <v>12169</v>
      </c>
      <c r="I428" t="s">
        <v>124</v>
      </c>
      <c r="J428" t="s">
        <v>98</v>
      </c>
      <c r="K428" s="1">
        <v>44099</v>
      </c>
      <c r="L428" s="1">
        <v>45193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 t="s">
        <v>503</v>
      </c>
      <c r="U428" t="str">
        <f>""</f>
        <v/>
      </c>
      <c r="V428" t="s">
        <v>504</v>
      </c>
      <c r="W428" t="str">
        <f>"SUITE 102"</f>
        <v>SUITE 102</v>
      </c>
      <c r="X428" t="s">
        <v>162</v>
      </c>
      <c r="Y428" t="s">
        <v>100</v>
      </c>
      <c r="Z428" s="3">
        <v>8536</v>
      </c>
      <c r="AA428" t="s">
        <v>101</v>
      </c>
      <c r="AB428" t="s">
        <v>505</v>
      </c>
      <c r="AC428" s="4" t="str">
        <f>"+16096069010"</f>
        <v>+16096069010</v>
      </c>
      <c r="AD428">
        <v>1249</v>
      </c>
      <c r="AE428" t="str">
        <f>"541511"</f>
        <v>541511</v>
      </c>
      <c r="AF428" t="s">
        <v>1030</v>
      </c>
      <c r="AG428" t="s">
        <v>1031</v>
      </c>
      <c r="AH428" t="s">
        <v>108</v>
      </c>
      <c r="AI428" t="s">
        <v>425</v>
      </c>
      <c r="AJ428" t="s">
        <v>504</v>
      </c>
      <c r="AK428" t="str">
        <f>"SUITE 102"</f>
        <v>SUITE 102</v>
      </c>
      <c r="AL428" t="s">
        <v>162</v>
      </c>
      <c r="AM428" t="s">
        <v>100</v>
      </c>
      <c r="AN428" s="3">
        <v>8536</v>
      </c>
      <c r="AO428" t="s">
        <v>101</v>
      </c>
      <c r="AQ428" t="str">
        <f>"+16096069010"</f>
        <v>+16096069010</v>
      </c>
      <c r="AR428">
        <v>1249</v>
      </c>
      <c r="AS428" t="s">
        <v>509</v>
      </c>
      <c r="AT428" t="s">
        <v>102</v>
      </c>
      <c r="AU428" t="str">
        <f>""</f>
        <v/>
      </c>
      <c r="AV428" t="str">
        <f>""</f>
        <v/>
      </c>
      <c r="AW428" t="str">
        <f>""</f>
        <v/>
      </c>
      <c r="AX428" t="str">
        <f>""</f>
        <v/>
      </c>
      <c r="AY428" t="str">
        <f>""</f>
        <v/>
      </c>
      <c r="AZ428" t="str">
        <f>""</f>
        <v/>
      </c>
      <c r="BA428" t="str">
        <f>""</f>
        <v/>
      </c>
      <c r="BC428" t="str">
        <f>""</f>
        <v/>
      </c>
      <c r="BD428" t="str">
        <f>""</f>
        <v/>
      </c>
      <c r="BE428" t="str">
        <f>""</f>
        <v/>
      </c>
      <c r="BF428" t="str">
        <f>""</f>
        <v/>
      </c>
      <c r="BG428" t="str">
        <f>""</f>
        <v/>
      </c>
      <c r="BH428" t="str">
        <f>""</f>
        <v/>
      </c>
      <c r="BI428" t="str">
        <f>""</f>
        <v/>
      </c>
      <c r="BJ428" t="str">
        <f>""</f>
        <v/>
      </c>
      <c r="BK428">
        <v>1</v>
      </c>
      <c r="BL428" t="s">
        <v>107</v>
      </c>
      <c r="BM428" t="str">
        <f>"Cogitativo, Inc"</f>
        <v>Cogitativo, Inc</v>
      </c>
      <c r="BN428" t="s">
        <v>10664</v>
      </c>
      <c r="BO428" t="s">
        <v>10665</v>
      </c>
      <c r="BP428" t="s">
        <v>9567</v>
      </c>
      <c r="BQ428" t="s">
        <v>419</v>
      </c>
      <c r="BR428" t="s">
        <v>141</v>
      </c>
      <c r="BS428" s="5">
        <v>94710</v>
      </c>
      <c r="BT428" s="2">
        <v>121000</v>
      </c>
      <c r="BU428" s="2">
        <v>145250</v>
      </c>
      <c r="BV428" t="s">
        <v>105</v>
      </c>
      <c r="BW428" s="2">
        <v>120931</v>
      </c>
      <c r="BX428" t="s">
        <v>105</v>
      </c>
      <c r="BZ428" t="s">
        <v>167</v>
      </c>
      <c r="CA428" t="str">
        <f t="shared" si="24"/>
        <v>7/1/2020 - 6/30/2021</v>
      </c>
      <c r="CF428">
        <v>2</v>
      </c>
      <c r="CG428" t="s">
        <v>98</v>
      </c>
      <c r="CH428" t="s">
        <v>98</v>
      </c>
      <c r="CI428" t="s">
        <v>206</v>
      </c>
      <c r="CJ428" t="s">
        <v>98</v>
      </c>
      <c r="CK428" t="s">
        <v>12324</v>
      </c>
      <c r="CL428" t="s">
        <v>108</v>
      </c>
      <c r="CM428" t="s">
        <v>109</v>
      </c>
      <c r="CN428" t="str">
        <f>"N/A"</f>
        <v>N/A</v>
      </c>
      <c r="CO428" t="str">
        <f>"N/A"</f>
        <v>N/A</v>
      </c>
      <c r="CP428" t="str">
        <f>"N/A"</f>
        <v>N/A</v>
      </c>
      <c r="CQ428" t="str">
        <f>"COMPUNNEL SOFTWARE GROUP INC"</f>
        <v>COMPUNNEL SOFTWARE GROUP INC</v>
      </c>
      <c r="CR428" t="s">
        <v>509</v>
      </c>
    </row>
    <row r="429" spans="1:96" x14ac:dyDescent="0.2">
      <c r="A429" t="s">
        <v>10698</v>
      </c>
      <c r="B429" t="s">
        <v>96</v>
      </c>
      <c r="C429" s="1">
        <v>44098</v>
      </c>
      <c r="D429" s="1">
        <v>44105</v>
      </c>
      <c r="F429" t="s">
        <v>97</v>
      </c>
      <c r="G429" t="str">
        <f>"SAS Grid Administrator"</f>
        <v>SAS Grid Administrator</v>
      </c>
      <c r="H429" t="s">
        <v>12169</v>
      </c>
      <c r="I429" t="s">
        <v>124</v>
      </c>
      <c r="J429" t="s">
        <v>98</v>
      </c>
      <c r="K429" s="1">
        <v>44105</v>
      </c>
      <c r="L429" s="1">
        <v>45199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9881</v>
      </c>
      <c r="U429" t="str">
        <f>""</f>
        <v/>
      </c>
      <c r="V429" t="s">
        <v>9882</v>
      </c>
      <c r="W429" t="str">
        <f>"SUITE 210"</f>
        <v>SUITE 210</v>
      </c>
      <c r="X429" t="s">
        <v>671</v>
      </c>
      <c r="Y429" t="s">
        <v>141</v>
      </c>
      <c r="Z429" s="3">
        <v>94086</v>
      </c>
      <c r="AA429" t="s">
        <v>101</v>
      </c>
      <c r="AC429" s="4" t="str">
        <f>"+17064029011"</f>
        <v>+17064029011</v>
      </c>
      <c r="AE429" t="str">
        <f>"541511"</f>
        <v>541511</v>
      </c>
      <c r="AF429" t="s">
        <v>9883</v>
      </c>
      <c r="AG429" t="s">
        <v>9884</v>
      </c>
      <c r="AI429" t="s">
        <v>425</v>
      </c>
      <c r="AJ429" t="s">
        <v>9882</v>
      </c>
      <c r="AK429" t="str">
        <f>"SUITE 210"</f>
        <v>SUITE 210</v>
      </c>
      <c r="AL429" t="s">
        <v>671</v>
      </c>
      <c r="AM429" t="s">
        <v>141</v>
      </c>
      <c r="AN429" s="3">
        <v>94086</v>
      </c>
      <c r="AO429" t="s">
        <v>101</v>
      </c>
      <c r="AQ429" t="str">
        <f>"+17064029011"</f>
        <v>+17064029011</v>
      </c>
      <c r="AS429" t="s">
        <v>9885</v>
      </c>
      <c r="AT429" t="s">
        <v>107</v>
      </c>
      <c r="AU429" t="str">
        <f>"BASHYAM"</f>
        <v>BASHYAM</v>
      </c>
      <c r="AV429" t="str">
        <f>"MURALI"</f>
        <v>MURALI</v>
      </c>
      <c r="AW429" t="str">
        <f>""</f>
        <v/>
      </c>
      <c r="AX429" t="str">
        <f>"P O BOX 2477"</f>
        <v>P O BOX 2477</v>
      </c>
      <c r="AY429" t="str">
        <f>""</f>
        <v/>
      </c>
      <c r="AZ429" t="str">
        <f>"RALEIGH"</f>
        <v>RALEIGH</v>
      </c>
      <c r="BA429" t="str">
        <f>"NC"</f>
        <v>NC</v>
      </c>
      <c r="BB429" s="3">
        <v>27602</v>
      </c>
      <c r="BC429" t="str">
        <f>"UNITED STATES OF AMERICA"</f>
        <v>UNITED STATES OF AMERICA</v>
      </c>
      <c r="BD429" t="str">
        <f>""</f>
        <v/>
      </c>
      <c r="BE429" t="str">
        <f>"+19198330840"</f>
        <v>+19198330840</v>
      </c>
      <c r="BF429" t="str">
        <f>"28"</f>
        <v>28</v>
      </c>
      <c r="BG429" t="str">
        <f>"MURALI@BASHYAMSHAH.COM"</f>
        <v>MURALI@BASHYAMSHAH.COM</v>
      </c>
      <c r="BH429" t="str">
        <f>"Bashyam Shah LLP"</f>
        <v>Bashyam Shah LLP</v>
      </c>
      <c r="BI429" t="str">
        <f>"NC"</f>
        <v>NC</v>
      </c>
      <c r="BJ429" t="str">
        <f>"SUPREME COURT"</f>
        <v>SUPREME COURT</v>
      </c>
      <c r="BK429">
        <v>1</v>
      </c>
      <c r="BL429" t="s">
        <v>107</v>
      </c>
      <c r="BM429" t="str">
        <f>"Accenture"</f>
        <v>Accenture</v>
      </c>
      <c r="BN429" t="s">
        <v>10388</v>
      </c>
      <c r="BP429" t="s">
        <v>6165</v>
      </c>
      <c r="BQ429" t="s">
        <v>1087</v>
      </c>
      <c r="BR429" t="s">
        <v>225</v>
      </c>
      <c r="BS429" s="5">
        <v>44143</v>
      </c>
      <c r="BT429" s="2">
        <v>70678</v>
      </c>
      <c r="BV429" t="s">
        <v>105</v>
      </c>
      <c r="BW429" s="2">
        <v>70678</v>
      </c>
      <c r="BX429" t="s">
        <v>105</v>
      </c>
      <c r="BZ429" t="s">
        <v>167</v>
      </c>
      <c r="CA429" t="str">
        <f t="shared" si="24"/>
        <v>7/1/2020 - 6/30/2021</v>
      </c>
      <c r="CF429">
        <v>2</v>
      </c>
      <c r="CG429" t="s">
        <v>98</v>
      </c>
      <c r="CH429" t="s">
        <v>98</v>
      </c>
      <c r="CI429" t="s">
        <v>206</v>
      </c>
      <c r="CJ429" t="s">
        <v>98</v>
      </c>
      <c r="CK429" t="s">
        <v>12324</v>
      </c>
      <c r="CL429" t="s">
        <v>108</v>
      </c>
      <c r="CM429" t="s">
        <v>109</v>
      </c>
      <c r="CN429" t="str">
        <f>""</f>
        <v/>
      </c>
      <c r="CO429" t="str">
        <f>""</f>
        <v/>
      </c>
      <c r="CP429" t="str">
        <f>""</f>
        <v/>
      </c>
      <c r="CQ429" t="str">
        <f>""</f>
        <v/>
      </c>
    </row>
    <row r="430" spans="1:96" x14ac:dyDescent="0.2">
      <c r="A430" t="s">
        <v>10712</v>
      </c>
      <c r="B430" t="s">
        <v>96</v>
      </c>
      <c r="C430" s="1">
        <v>44098</v>
      </c>
      <c r="D430" s="1">
        <v>44105</v>
      </c>
      <c r="F430" t="s">
        <v>97</v>
      </c>
      <c r="G430" t="str">
        <f>"BI/Tableau Developer"</f>
        <v>BI/Tableau Developer</v>
      </c>
      <c r="H430" t="s">
        <v>12169</v>
      </c>
      <c r="I430" t="s">
        <v>124</v>
      </c>
      <c r="J430" t="s">
        <v>98</v>
      </c>
      <c r="K430" s="1">
        <v>44105</v>
      </c>
      <c r="L430" s="1">
        <v>45199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 t="s">
        <v>10713</v>
      </c>
      <c r="U430" t="str">
        <f>""</f>
        <v/>
      </c>
      <c r="V430" t="s">
        <v>10714</v>
      </c>
      <c r="W430" t="str">
        <f>""</f>
        <v/>
      </c>
      <c r="X430" t="s">
        <v>1317</v>
      </c>
      <c r="Y430" t="s">
        <v>135</v>
      </c>
      <c r="Z430" s="3">
        <v>20166</v>
      </c>
      <c r="AA430" t="s">
        <v>101</v>
      </c>
      <c r="AC430" s="4" t="str">
        <f>"+18473480035"</f>
        <v>+18473480035</v>
      </c>
      <c r="AE430" t="str">
        <f>"541511"</f>
        <v>541511</v>
      </c>
      <c r="AF430" t="s">
        <v>10715</v>
      </c>
      <c r="AG430" t="s">
        <v>1341</v>
      </c>
      <c r="AI430" t="s">
        <v>508</v>
      </c>
      <c r="AJ430" t="s">
        <v>10714</v>
      </c>
      <c r="AK430" t="str">
        <f>""</f>
        <v/>
      </c>
      <c r="AL430" t="s">
        <v>1317</v>
      </c>
      <c r="AM430" t="s">
        <v>135</v>
      </c>
      <c r="AN430" s="3">
        <v>20166</v>
      </c>
      <c r="AO430" t="s">
        <v>101</v>
      </c>
      <c r="AQ430" t="str">
        <f>"+18473480035"</f>
        <v>+18473480035</v>
      </c>
      <c r="AS430" t="s">
        <v>10716</v>
      </c>
      <c r="AT430" t="s">
        <v>107</v>
      </c>
      <c r="AU430" t="str">
        <f>"Cordle, Esq."</f>
        <v>Cordle, Esq.</v>
      </c>
      <c r="AV430" t="str">
        <f>"Yiniva"</f>
        <v>Yiniva</v>
      </c>
      <c r="AW430" t="str">
        <f>"Charity"</f>
        <v>Charity</v>
      </c>
      <c r="AX430" t="str">
        <f>"7606 Transit Road"</f>
        <v>7606 Transit Road</v>
      </c>
      <c r="AY430" t="str">
        <f>"Suite 200"</f>
        <v>Suite 200</v>
      </c>
      <c r="AZ430" t="str">
        <f>"Buffalo"</f>
        <v>Buffalo</v>
      </c>
      <c r="BA430" t="str">
        <f>"NY"</f>
        <v>NY</v>
      </c>
      <c r="BB430" s="3">
        <v>14221</v>
      </c>
      <c r="BC430" t="str">
        <f>"UNITED STATES OF AMERICA"</f>
        <v>UNITED STATES OF AMERICA</v>
      </c>
      <c r="BD430" t="str">
        <f>""</f>
        <v/>
      </c>
      <c r="BE430" t="str">
        <f>"+17166897770"</f>
        <v>+17166897770</v>
      </c>
      <c r="BF430" t="str">
        <f>"102"</f>
        <v>102</v>
      </c>
      <c r="BG430" t="str">
        <f>"ccordle@malikpopiel.com"</f>
        <v>ccordle@malikpopiel.com</v>
      </c>
      <c r="BH430" t="str">
        <f>"Malik &amp; Popiel, P.C."</f>
        <v>Malik &amp; Popiel, P.C.</v>
      </c>
      <c r="BI430" t="str">
        <f>"MN"</f>
        <v>MN</v>
      </c>
      <c r="BJ430" t="str">
        <f>"Minnesota Supreme Court"</f>
        <v>Minnesota Supreme Court</v>
      </c>
      <c r="BK430">
        <v>1</v>
      </c>
      <c r="BL430" t="s">
        <v>102</v>
      </c>
      <c r="BM430" t="str">
        <f>""</f>
        <v/>
      </c>
      <c r="BN430" t="s">
        <v>10717</v>
      </c>
      <c r="BO430" t="s">
        <v>10718</v>
      </c>
      <c r="BP430" t="s">
        <v>261</v>
      </c>
      <c r="BQ430" t="s">
        <v>183</v>
      </c>
      <c r="BR430" t="s">
        <v>176</v>
      </c>
      <c r="BS430" s="5">
        <v>98104</v>
      </c>
      <c r="BT430" s="2">
        <v>95000</v>
      </c>
      <c r="BV430" t="s">
        <v>105</v>
      </c>
      <c r="BW430" s="2">
        <v>92102</v>
      </c>
      <c r="BX430" t="s">
        <v>105</v>
      </c>
      <c r="BZ430" t="s">
        <v>191</v>
      </c>
      <c r="CA430" t="str">
        <f t="shared" si="24"/>
        <v>7/1/2020 - 6/30/2021</v>
      </c>
      <c r="CF430">
        <v>2</v>
      </c>
      <c r="CG430" t="s">
        <v>98</v>
      </c>
      <c r="CH430" t="s">
        <v>98</v>
      </c>
      <c r="CI430" t="s">
        <v>206</v>
      </c>
      <c r="CJ430" t="s">
        <v>98</v>
      </c>
      <c r="CK430" t="s">
        <v>12324</v>
      </c>
      <c r="CL430" t="s">
        <v>108</v>
      </c>
      <c r="CM430" t="s">
        <v>109</v>
      </c>
      <c r="CN430" t="str">
        <f>"Cordle, Esq."</f>
        <v>Cordle, Esq.</v>
      </c>
      <c r="CO430" t="str">
        <f>"Yiniva"</f>
        <v>Yiniva</v>
      </c>
      <c r="CP430" t="str">
        <f>"C"</f>
        <v>C</v>
      </c>
      <c r="CQ430" t="str">
        <f>"Malik &amp; Popiel, P.C."</f>
        <v>Malik &amp; Popiel, P.C.</v>
      </c>
      <c r="CR430" t="s">
        <v>10719</v>
      </c>
    </row>
    <row r="431" spans="1:96" x14ac:dyDescent="0.2">
      <c r="A431" t="s">
        <v>10747</v>
      </c>
      <c r="B431" t="s">
        <v>96</v>
      </c>
      <c r="C431" s="1">
        <v>44098</v>
      </c>
      <c r="D431" s="1">
        <v>44105</v>
      </c>
      <c r="F431" t="s">
        <v>97</v>
      </c>
      <c r="G431" t="str">
        <f>"Senior Systems Analyst JC60"</f>
        <v>Senior Systems Analyst JC60</v>
      </c>
      <c r="H431" t="s">
        <v>12181</v>
      </c>
      <c r="I431" t="s">
        <v>110</v>
      </c>
      <c r="J431" t="s">
        <v>98</v>
      </c>
      <c r="K431" s="1">
        <v>44227</v>
      </c>
      <c r="L431" s="1">
        <v>45321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 t="s">
        <v>111</v>
      </c>
      <c r="U431" t="str">
        <f>"CTSUS"</f>
        <v>CTSUS</v>
      </c>
      <c r="V431" t="s">
        <v>112</v>
      </c>
      <c r="W431" t="str">
        <f>""</f>
        <v/>
      </c>
      <c r="X431" t="s">
        <v>113</v>
      </c>
      <c r="Y431" t="s">
        <v>114</v>
      </c>
      <c r="Z431" s="3">
        <v>77845</v>
      </c>
      <c r="AA431" t="s">
        <v>101</v>
      </c>
      <c r="AB431" t="s">
        <v>114</v>
      </c>
      <c r="AC431" s="4" t="str">
        <f>"+19793296682"</f>
        <v>+19793296682</v>
      </c>
      <c r="AE431" t="str">
        <f>"541512"</f>
        <v>541512</v>
      </c>
      <c r="AF431" t="s">
        <v>115</v>
      </c>
      <c r="AG431" t="s">
        <v>116</v>
      </c>
      <c r="AH431" t="s">
        <v>108</v>
      </c>
      <c r="AI431" t="s">
        <v>117</v>
      </c>
      <c r="AJ431" t="s">
        <v>118</v>
      </c>
      <c r="AK431" t="str">
        <f>""</f>
        <v/>
      </c>
      <c r="AL431" t="s">
        <v>119</v>
      </c>
      <c r="AM431" t="s">
        <v>114</v>
      </c>
      <c r="AN431" s="3">
        <v>77845</v>
      </c>
      <c r="AO431" t="s">
        <v>101</v>
      </c>
      <c r="AQ431" t="str">
        <f>"+19793296682"</f>
        <v>+19793296682</v>
      </c>
      <c r="AS431" t="s">
        <v>120</v>
      </c>
      <c r="AT431" t="s">
        <v>102</v>
      </c>
      <c r="AU431" t="str">
        <f>""</f>
        <v/>
      </c>
      <c r="AV431" t="str">
        <f>""</f>
        <v/>
      </c>
      <c r="AW431" t="str">
        <f>""</f>
        <v/>
      </c>
      <c r="AX431" t="str">
        <f>""</f>
        <v/>
      </c>
      <c r="AY431" t="str">
        <f>""</f>
        <v/>
      </c>
      <c r="AZ431" t="str">
        <f>""</f>
        <v/>
      </c>
      <c r="BA431" t="str">
        <f>""</f>
        <v/>
      </c>
      <c r="BC431" t="str">
        <f>""</f>
        <v/>
      </c>
      <c r="BD431" t="str">
        <f>""</f>
        <v/>
      </c>
      <c r="BE431" t="str">
        <f>""</f>
        <v/>
      </c>
      <c r="BF431" t="str">
        <f>""</f>
        <v/>
      </c>
      <c r="BG431" t="str">
        <f>""</f>
        <v/>
      </c>
      <c r="BH431" t="str">
        <f>""</f>
        <v/>
      </c>
      <c r="BI431" t="str">
        <f>""</f>
        <v/>
      </c>
      <c r="BJ431" t="str">
        <f>""</f>
        <v/>
      </c>
      <c r="BK431">
        <v>1</v>
      </c>
      <c r="BL431" t="s">
        <v>102</v>
      </c>
      <c r="BM431" t="str">
        <f>""</f>
        <v/>
      </c>
      <c r="BN431" t="s">
        <v>10748</v>
      </c>
      <c r="BP431" t="s">
        <v>1213</v>
      </c>
      <c r="BQ431" t="s">
        <v>1214</v>
      </c>
      <c r="BR431" t="s">
        <v>100</v>
      </c>
      <c r="BS431" s="5">
        <v>7306</v>
      </c>
      <c r="BT431" s="2">
        <v>92269</v>
      </c>
      <c r="BV431" t="s">
        <v>105</v>
      </c>
      <c r="BW431" s="2">
        <v>92269</v>
      </c>
      <c r="BX431" t="s">
        <v>105</v>
      </c>
      <c r="BZ431" t="s">
        <v>167</v>
      </c>
      <c r="CA431" t="str">
        <f t="shared" si="24"/>
        <v>7/1/2020 - 6/30/2021</v>
      </c>
      <c r="CF431">
        <v>1</v>
      </c>
      <c r="CG431" t="s">
        <v>98</v>
      </c>
      <c r="CH431" t="s">
        <v>98</v>
      </c>
      <c r="CI431" t="s">
        <v>206</v>
      </c>
      <c r="CJ431" t="s">
        <v>98</v>
      </c>
      <c r="CK431" t="s">
        <v>12324</v>
      </c>
      <c r="CL431" t="s">
        <v>108</v>
      </c>
      <c r="CM431" t="s">
        <v>109</v>
      </c>
      <c r="CN431" t="str">
        <f>""</f>
        <v/>
      </c>
      <c r="CO431" t="str">
        <f>""</f>
        <v/>
      </c>
      <c r="CP431" t="str">
        <f>""</f>
        <v/>
      </c>
      <c r="CQ431" t="str">
        <f>""</f>
        <v/>
      </c>
    </row>
    <row r="432" spans="1:96" x14ac:dyDescent="0.2">
      <c r="A432" t="s">
        <v>10772</v>
      </c>
      <c r="B432" t="s">
        <v>96</v>
      </c>
      <c r="C432" s="1">
        <v>44098</v>
      </c>
      <c r="D432" s="1">
        <v>44105</v>
      </c>
      <c r="F432" t="s">
        <v>97</v>
      </c>
      <c r="G432" t="str">
        <f>"IT Project Manager"</f>
        <v>IT Project Manager</v>
      </c>
      <c r="H432" t="s">
        <v>12168</v>
      </c>
      <c r="I432" t="s">
        <v>367</v>
      </c>
      <c r="J432" t="s">
        <v>98</v>
      </c>
      <c r="K432" s="1">
        <v>44105</v>
      </c>
      <c r="L432" s="1">
        <v>45199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 t="s">
        <v>3356</v>
      </c>
      <c r="U432" t="str">
        <f>""</f>
        <v/>
      </c>
      <c r="V432" t="s">
        <v>3357</v>
      </c>
      <c r="W432" t="str">
        <f>""</f>
        <v/>
      </c>
      <c r="X432" t="s">
        <v>947</v>
      </c>
      <c r="Y432" t="s">
        <v>100</v>
      </c>
      <c r="Z432" s="3">
        <v>8540</v>
      </c>
      <c r="AA432" t="s">
        <v>101</v>
      </c>
      <c r="AC432" s="4" t="str">
        <f>"+17325120009"</f>
        <v>+17325120009</v>
      </c>
      <c r="AE432" t="str">
        <f>"541519"</f>
        <v>541519</v>
      </c>
      <c r="AF432" t="s">
        <v>3358</v>
      </c>
      <c r="AG432" t="s">
        <v>3359</v>
      </c>
      <c r="AI432" t="s">
        <v>508</v>
      </c>
      <c r="AJ432" t="s">
        <v>3357</v>
      </c>
      <c r="AK432" t="str">
        <f>""</f>
        <v/>
      </c>
      <c r="AL432" t="s">
        <v>947</v>
      </c>
      <c r="AM432" t="s">
        <v>100</v>
      </c>
      <c r="AN432" s="3">
        <v>8540</v>
      </c>
      <c r="AO432" t="s">
        <v>101</v>
      </c>
      <c r="AQ432" t="str">
        <f>"+17326194710"</f>
        <v>+17326194710</v>
      </c>
      <c r="AS432" t="s">
        <v>3360</v>
      </c>
      <c r="AT432" t="s">
        <v>102</v>
      </c>
      <c r="AU432" t="str">
        <f>""</f>
        <v/>
      </c>
      <c r="AV432" t="str">
        <f>""</f>
        <v/>
      </c>
      <c r="AW432" t="str">
        <f>""</f>
        <v/>
      </c>
      <c r="AX432" t="str">
        <f>""</f>
        <v/>
      </c>
      <c r="AY432" t="str">
        <f>""</f>
        <v/>
      </c>
      <c r="AZ432" t="str">
        <f>""</f>
        <v/>
      </c>
      <c r="BA432" t="str">
        <f>""</f>
        <v/>
      </c>
      <c r="BC432" t="str">
        <f>""</f>
        <v/>
      </c>
      <c r="BD432" t="str">
        <f>""</f>
        <v/>
      </c>
      <c r="BE432" t="str">
        <f>""</f>
        <v/>
      </c>
      <c r="BF432" t="str">
        <f>""</f>
        <v/>
      </c>
      <c r="BG432" t="str">
        <f>""</f>
        <v/>
      </c>
      <c r="BH432" t="str">
        <f>""</f>
        <v/>
      </c>
      <c r="BI432" t="str">
        <f>""</f>
        <v/>
      </c>
      <c r="BJ432" t="str">
        <f>""</f>
        <v/>
      </c>
      <c r="BK432">
        <v>1</v>
      </c>
      <c r="BL432" t="s">
        <v>102</v>
      </c>
      <c r="BM432" t="str">
        <f>""</f>
        <v/>
      </c>
      <c r="BN432" t="s">
        <v>1845</v>
      </c>
      <c r="BP432" t="s">
        <v>403</v>
      </c>
      <c r="BQ432" t="s">
        <v>404</v>
      </c>
      <c r="BR432" t="s">
        <v>100</v>
      </c>
      <c r="BS432" s="5">
        <v>8540</v>
      </c>
      <c r="BT432" s="2">
        <v>70325</v>
      </c>
      <c r="BV432" t="s">
        <v>105</v>
      </c>
      <c r="BW432" s="2">
        <v>58594</v>
      </c>
      <c r="BX432" t="s">
        <v>105</v>
      </c>
      <c r="BZ432" t="s">
        <v>167</v>
      </c>
      <c r="CA432" t="str">
        <f t="shared" si="24"/>
        <v>7/1/2020 - 6/30/2021</v>
      </c>
      <c r="CF432">
        <v>2</v>
      </c>
      <c r="CG432" t="s">
        <v>98</v>
      </c>
      <c r="CH432" t="s">
        <v>98</v>
      </c>
      <c r="CI432" t="s">
        <v>206</v>
      </c>
      <c r="CJ432" t="s">
        <v>98</v>
      </c>
      <c r="CK432" t="s">
        <v>12324</v>
      </c>
      <c r="CL432" t="s">
        <v>108</v>
      </c>
      <c r="CM432" t="s">
        <v>109</v>
      </c>
      <c r="CN432" t="str">
        <f>""</f>
        <v/>
      </c>
      <c r="CO432" t="str">
        <f>""</f>
        <v/>
      </c>
      <c r="CP432" t="str">
        <f>""</f>
        <v/>
      </c>
      <c r="CQ432" t="str">
        <f>""</f>
        <v/>
      </c>
    </row>
    <row r="433" spans="1:96" x14ac:dyDescent="0.2">
      <c r="A433" t="s">
        <v>10783</v>
      </c>
      <c r="B433" t="s">
        <v>96</v>
      </c>
      <c r="C433" s="1">
        <v>44098</v>
      </c>
      <c r="D433" s="1">
        <v>44105</v>
      </c>
      <c r="F433" t="s">
        <v>97</v>
      </c>
      <c r="G433" t="str">
        <f>"Software Developer"</f>
        <v>Software Developer</v>
      </c>
      <c r="H433" t="s">
        <v>12169</v>
      </c>
      <c r="I433" t="s">
        <v>124</v>
      </c>
      <c r="J433" t="s">
        <v>98</v>
      </c>
      <c r="K433" s="1">
        <v>44105</v>
      </c>
      <c r="L433" s="1">
        <v>45199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 t="s">
        <v>9296</v>
      </c>
      <c r="U433" t="str">
        <f>""</f>
        <v/>
      </c>
      <c r="V433" t="s">
        <v>9297</v>
      </c>
      <c r="W433" t="str">
        <f>"Suite 2950"</f>
        <v>Suite 2950</v>
      </c>
      <c r="X433" t="s">
        <v>213</v>
      </c>
      <c r="Y433" t="s">
        <v>215</v>
      </c>
      <c r="Z433" s="3">
        <v>30328</v>
      </c>
      <c r="AA433" t="s">
        <v>101</v>
      </c>
      <c r="AC433" s="4" t="str">
        <f>"+16788055677"</f>
        <v>+16788055677</v>
      </c>
      <c r="AE433" t="str">
        <f>"541511"</f>
        <v>541511</v>
      </c>
      <c r="AF433" t="s">
        <v>9298</v>
      </c>
      <c r="AG433" t="s">
        <v>1554</v>
      </c>
      <c r="AI433" t="s">
        <v>228</v>
      </c>
      <c r="AJ433" t="s">
        <v>9299</v>
      </c>
      <c r="AK433" t="str">
        <f>"SUITE 2950"</f>
        <v>SUITE 2950</v>
      </c>
      <c r="AL433" t="s">
        <v>480</v>
      </c>
      <c r="AM433" t="s">
        <v>215</v>
      </c>
      <c r="AN433" s="3">
        <v>30328</v>
      </c>
      <c r="AO433" t="s">
        <v>101</v>
      </c>
      <c r="AQ433" t="str">
        <f>"+16788055677"</f>
        <v>+16788055677</v>
      </c>
      <c r="AS433" t="s">
        <v>9300</v>
      </c>
      <c r="AT433" t="s">
        <v>102</v>
      </c>
      <c r="AU433" t="str">
        <f>""</f>
        <v/>
      </c>
      <c r="AV433" t="str">
        <f>""</f>
        <v/>
      </c>
      <c r="AW433" t="str">
        <f>""</f>
        <v/>
      </c>
      <c r="AX433" t="str">
        <f>""</f>
        <v/>
      </c>
      <c r="AY433" t="str">
        <f>""</f>
        <v/>
      </c>
      <c r="AZ433" t="str">
        <f>""</f>
        <v/>
      </c>
      <c r="BA433" t="str">
        <f>""</f>
        <v/>
      </c>
      <c r="BC433" t="str">
        <f>""</f>
        <v/>
      </c>
      <c r="BD433" t="str">
        <f>""</f>
        <v/>
      </c>
      <c r="BE433" t="str">
        <f>""</f>
        <v/>
      </c>
      <c r="BF433" t="str">
        <f>""</f>
        <v/>
      </c>
      <c r="BG433" t="str">
        <f>""</f>
        <v/>
      </c>
      <c r="BH433" t="str">
        <f>""</f>
        <v/>
      </c>
      <c r="BI433" t="str">
        <f>""</f>
        <v/>
      </c>
      <c r="BJ433" t="str">
        <f>""</f>
        <v/>
      </c>
      <c r="BK433">
        <v>1</v>
      </c>
      <c r="BL433" t="s">
        <v>107</v>
      </c>
      <c r="BM433" t="str">
        <f>"Invesco Group Services, Inc."</f>
        <v>Invesco Group Services, Inc.</v>
      </c>
      <c r="BN433" t="s">
        <v>10784</v>
      </c>
      <c r="BP433" t="s">
        <v>277</v>
      </c>
      <c r="BQ433" t="s">
        <v>189</v>
      </c>
      <c r="BR433" t="s">
        <v>190</v>
      </c>
      <c r="BS433" s="5" t="s">
        <v>12319</v>
      </c>
      <c r="BT433" s="2">
        <v>110000</v>
      </c>
      <c r="BU433" s="2">
        <v>130000</v>
      </c>
      <c r="BV433" t="s">
        <v>105</v>
      </c>
      <c r="BW433" s="2">
        <v>100526</v>
      </c>
      <c r="BX433" t="s">
        <v>105</v>
      </c>
      <c r="BZ433" t="s">
        <v>167</v>
      </c>
      <c r="CA433" t="str">
        <f t="shared" si="24"/>
        <v>7/1/2020 - 6/30/2021</v>
      </c>
      <c r="CF433">
        <v>2</v>
      </c>
      <c r="CG433" t="s">
        <v>98</v>
      </c>
      <c r="CH433" t="s">
        <v>98</v>
      </c>
      <c r="CI433" t="s">
        <v>206</v>
      </c>
      <c r="CJ433" t="s">
        <v>98</v>
      </c>
      <c r="CK433" t="s">
        <v>12324</v>
      </c>
      <c r="CL433" t="s">
        <v>108</v>
      </c>
      <c r="CM433" t="s">
        <v>109</v>
      </c>
      <c r="CN433" t="str">
        <f>""</f>
        <v/>
      </c>
      <c r="CO433" t="str">
        <f>""</f>
        <v/>
      </c>
      <c r="CP433" t="str">
        <f>""</f>
        <v/>
      </c>
      <c r="CQ433" t="str">
        <f>""</f>
        <v/>
      </c>
    </row>
    <row r="434" spans="1:96" x14ac:dyDescent="0.2">
      <c r="A434" t="s">
        <v>10808</v>
      </c>
      <c r="B434" t="s">
        <v>96</v>
      </c>
      <c r="C434" s="1">
        <v>44098</v>
      </c>
      <c r="D434" s="1">
        <v>44105</v>
      </c>
      <c r="F434" t="s">
        <v>97</v>
      </c>
      <c r="G434" t="str">
        <f>"SAP TECHNICAL DEVELOPER"</f>
        <v>SAP TECHNICAL DEVELOPER</v>
      </c>
      <c r="H434" t="s">
        <v>12169</v>
      </c>
      <c r="I434" t="s">
        <v>124</v>
      </c>
      <c r="J434" t="s">
        <v>98</v>
      </c>
      <c r="K434" s="1">
        <v>44117</v>
      </c>
      <c r="L434" s="1">
        <v>45211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 t="s">
        <v>8319</v>
      </c>
      <c r="U434" t="str">
        <f>"KELLTON TECH SOLUTIONS INC."</f>
        <v>KELLTON TECH SOLUTIONS INC.</v>
      </c>
      <c r="V434" t="s">
        <v>7813</v>
      </c>
      <c r="W434" t="str">
        <f>"STE 209"</f>
        <v>STE 209</v>
      </c>
      <c r="X434" t="s">
        <v>403</v>
      </c>
      <c r="Y434" t="s">
        <v>100</v>
      </c>
      <c r="Z434" s="3">
        <v>8540</v>
      </c>
      <c r="AA434" t="s">
        <v>101</v>
      </c>
      <c r="AB434" t="s">
        <v>100</v>
      </c>
      <c r="AC434" s="4" t="str">
        <f>"+13317717669"</f>
        <v>+13317717669</v>
      </c>
      <c r="AE434" t="str">
        <f>"541511"</f>
        <v>541511</v>
      </c>
      <c r="AF434" t="s">
        <v>8320</v>
      </c>
      <c r="AG434" t="s">
        <v>1509</v>
      </c>
      <c r="AI434" t="s">
        <v>8321</v>
      </c>
      <c r="AJ434" t="s">
        <v>7813</v>
      </c>
      <c r="AK434" t="str">
        <f>"STE 209"</f>
        <v>STE 209</v>
      </c>
      <c r="AL434" t="s">
        <v>403</v>
      </c>
      <c r="AM434" t="s">
        <v>100</v>
      </c>
      <c r="AN434" s="3">
        <v>8540</v>
      </c>
      <c r="AO434" t="s">
        <v>101</v>
      </c>
      <c r="AQ434" t="str">
        <f>"+13317717669"</f>
        <v>+13317717669</v>
      </c>
      <c r="AS434" t="s">
        <v>8322</v>
      </c>
      <c r="AT434" t="s">
        <v>102</v>
      </c>
      <c r="AU434" t="str">
        <f>""</f>
        <v/>
      </c>
      <c r="AV434" t="str">
        <f>""</f>
        <v/>
      </c>
      <c r="AW434" t="str">
        <f>""</f>
        <v/>
      </c>
      <c r="AX434" t="str">
        <f>""</f>
        <v/>
      </c>
      <c r="AY434" t="str">
        <f>""</f>
        <v/>
      </c>
      <c r="AZ434" t="str">
        <f>""</f>
        <v/>
      </c>
      <c r="BA434" t="str">
        <f>""</f>
        <v/>
      </c>
      <c r="BC434" t="str">
        <f>""</f>
        <v/>
      </c>
      <c r="BD434" t="str">
        <f>""</f>
        <v/>
      </c>
      <c r="BE434" t="str">
        <f>""</f>
        <v/>
      </c>
      <c r="BF434" t="str">
        <f>""</f>
        <v/>
      </c>
      <c r="BG434" t="str">
        <f>""</f>
        <v/>
      </c>
      <c r="BH434" t="str">
        <f>""</f>
        <v/>
      </c>
      <c r="BI434" t="str">
        <f>""</f>
        <v/>
      </c>
      <c r="BJ434" t="str">
        <f>""</f>
        <v/>
      </c>
      <c r="BK434">
        <v>1</v>
      </c>
      <c r="BL434" t="s">
        <v>107</v>
      </c>
      <c r="BM434" t="str">
        <f>"C.H. GUENTHER &amp; SON, INC."</f>
        <v>C.H. GUENTHER &amp; SON, INC.</v>
      </c>
      <c r="BN434" t="s">
        <v>10809</v>
      </c>
      <c r="BP434" t="s">
        <v>3985</v>
      </c>
      <c r="BQ434" t="s">
        <v>1513</v>
      </c>
      <c r="BR434" t="s">
        <v>114</v>
      </c>
      <c r="BS434" s="5">
        <v>78215</v>
      </c>
      <c r="BT434" s="2">
        <v>110344</v>
      </c>
      <c r="BV434" t="s">
        <v>105</v>
      </c>
      <c r="BW434" s="2">
        <v>108826</v>
      </c>
      <c r="BX434" t="s">
        <v>105</v>
      </c>
      <c r="BZ434" t="s">
        <v>123</v>
      </c>
      <c r="CA434" t="str">
        <f t="shared" si="24"/>
        <v>7/1/2020 - 6/30/2021</v>
      </c>
      <c r="CF434">
        <v>2</v>
      </c>
      <c r="CG434" t="s">
        <v>98</v>
      </c>
      <c r="CH434" t="s">
        <v>98</v>
      </c>
      <c r="CI434" t="s">
        <v>206</v>
      </c>
      <c r="CJ434" t="s">
        <v>98</v>
      </c>
      <c r="CK434" t="s">
        <v>12324</v>
      </c>
      <c r="CL434" t="s">
        <v>108</v>
      </c>
      <c r="CM434" t="s">
        <v>109</v>
      </c>
      <c r="CN434" t="str">
        <f>""</f>
        <v/>
      </c>
      <c r="CO434" t="str">
        <f>""</f>
        <v/>
      </c>
      <c r="CP434" t="str">
        <f>""</f>
        <v/>
      </c>
      <c r="CQ434" t="str">
        <f>""</f>
        <v/>
      </c>
    </row>
    <row r="435" spans="1:96" x14ac:dyDescent="0.2">
      <c r="A435" t="s">
        <v>10816</v>
      </c>
      <c r="B435" t="s">
        <v>96</v>
      </c>
      <c r="C435" s="1">
        <v>44098</v>
      </c>
      <c r="D435" s="1">
        <v>44105</v>
      </c>
      <c r="F435" t="s">
        <v>97</v>
      </c>
      <c r="G435" t="str">
        <f>"SALESFORCE DEVELOPER/ADMINISTRATOR"</f>
        <v>SALESFORCE DEVELOPER/ADMINISTRATOR</v>
      </c>
      <c r="H435" t="s">
        <v>12169</v>
      </c>
      <c r="I435" t="s">
        <v>124</v>
      </c>
      <c r="J435" t="s">
        <v>98</v>
      </c>
      <c r="K435" s="1">
        <v>44105</v>
      </c>
      <c r="L435" s="1">
        <v>45199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4434</v>
      </c>
      <c r="U435" t="str">
        <f>""</f>
        <v/>
      </c>
      <c r="V435" t="s">
        <v>1722</v>
      </c>
      <c r="W435" t="str">
        <f>"SUITE # 320"</f>
        <v>SUITE # 320</v>
      </c>
      <c r="X435" t="s">
        <v>804</v>
      </c>
      <c r="Y435" t="s">
        <v>100</v>
      </c>
      <c r="Z435" s="3">
        <v>8854</v>
      </c>
      <c r="AA435" t="s">
        <v>101</v>
      </c>
      <c r="AC435" s="4" t="str">
        <f>"+19088180626"</f>
        <v>+19088180626</v>
      </c>
      <c r="AE435" t="str">
        <f>"541511"</f>
        <v>541511</v>
      </c>
      <c r="AF435" t="s">
        <v>4435</v>
      </c>
      <c r="AG435" t="s">
        <v>4436</v>
      </c>
      <c r="AI435" t="s">
        <v>425</v>
      </c>
      <c r="AJ435" t="s">
        <v>1722</v>
      </c>
      <c r="AK435" t="str">
        <f>"SUITE # 320"</f>
        <v>SUITE # 320</v>
      </c>
      <c r="AL435" t="s">
        <v>804</v>
      </c>
      <c r="AM435" t="s">
        <v>100</v>
      </c>
      <c r="AN435" s="3">
        <v>8854</v>
      </c>
      <c r="AO435" t="s">
        <v>101</v>
      </c>
      <c r="AQ435" t="str">
        <f>"+19088180626"</f>
        <v>+19088180626</v>
      </c>
      <c r="AS435" t="s">
        <v>4437</v>
      </c>
      <c r="AT435" t="s">
        <v>107</v>
      </c>
      <c r="AU435" t="str">
        <f>"ALLEN"</f>
        <v>ALLEN</v>
      </c>
      <c r="AV435" t="str">
        <f>"THOMAS"</f>
        <v>THOMAS</v>
      </c>
      <c r="AW435" t="str">
        <f>"V."</f>
        <v>V.</v>
      </c>
      <c r="AX435" t="str">
        <f>"50 CRAGWOOD ROAD"</f>
        <v>50 CRAGWOOD ROAD</v>
      </c>
      <c r="AY435" t="str">
        <f>"SUITE 100"</f>
        <v>SUITE 100</v>
      </c>
      <c r="AZ435" t="str">
        <f>"SOUTH PLAINFIELD"</f>
        <v>SOUTH PLAINFIELD</v>
      </c>
      <c r="BA435" t="str">
        <f>"NJ"</f>
        <v>NJ</v>
      </c>
      <c r="BB435" s="3">
        <v>7080</v>
      </c>
      <c r="BC435" t="str">
        <f>"UNITED STATES OF AMERICA"</f>
        <v>UNITED STATES OF AMERICA</v>
      </c>
      <c r="BD435" t="str">
        <f>""</f>
        <v/>
      </c>
      <c r="BE435" t="str">
        <f>"+17328327978"</f>
        <v>+17328327978</v>
      </c>
      <c r="BF435" t="str">
        <f>""</f>
        <v/>
      </c>
      <c r="BG435" t="str">
        <f>"ICERT@THOMASVALLEN.COM"</f>
        <v>ICERT@THOMASVALLEN.COM</v>
      </c>
      <c r="BH435" t="str">
        <f>"LAW OFFICE OF THOMAS V. ALLEN PLLC"</f>
        <v>LAW OFFICE OF THOMAS V. ALLEN PLLC</v>
      </c>
      <c r="BI435" t="str">
        <f>"NY"</f>
        <v>NY</v>
      </c>
      <c r="BJ435" t="str">
        <f>"APPELLATE COURT"</f>
        <v>APPELLATE COURT</v>
      </c>
      <c r="BK435">
        <v>1</v>
      </c>
      <c r="BL435" t="s">
        <v>107</v>
      </c>
      <c r="BM435" t="str">
        <f>"FANNIE MAE"</f>
        <v>FANNIE MAE</v>
      </c>
      <c r="BN435" t="s">
        <v>10817</v>
      </c>
      <c r="BP435" t="s">
        <v>623</v>
      </c>
      <c r="BQ435" t="s">
        <v>623</v>
      </c>
      <c r="BR435" t="s">
        <v>624</v>
      </c>
      <c r="BS435" s="5">
        <v>20005</v>
      </c>
      <c r="BT435" s="2">
        <v>97406</v>
      </c>
      <c r="BV435" t="s">
        <v>105</v>
      </c>
      <c r="BW435" s="2">
        <v>97406</v>
      </c>
      <c r="BX435" t="s">
        <v>105</v>
      </c>
      <c r="BZ435" t="s">
        <v>167</v>
      </c>
      <c r="CA435" t="str">
        <f t="shared" si="24"/>
        <v>7/1/2020 - 6/30/2021</v>
      </c>
      <c r="CF435">
        <v>2</v>
      </c>
      <c r="CG435" t="s">
        <v>98</v>
      </c>
      <c r="CH435" t="s">
        <v>98</v>
      </c>
      <c r="CI435" t="s">
        <v>206</v>
      </c>
      <c r="CJ435" t="s">
        <v>98</v>
      </c>
      <c r="CK435" t="s">
        <v>12324</v>
      </c>
      <c r="CL435" t="s">
        <v>108</v>
      </c>
      <c r="CM435" t="s">
        <v>109</v>
      </c>
      <c r="CN435" t="str">
        <f>""</f>
        <v/>
      </c>
      <c r="CO435" t="str">
        <f>""</f>
        <v/>
      </c>
      <c r="CP435" t="str">
        <f>""</f>
        <v/>
      </c>
      <c r="CQ435" t="str">
        <f>""</f>
        <v/>
      </c>
    </row>
    <row r="436" spans="1:96" x14ac:dyDescent="0.2">
      <c r="A436" t="s">
        <v>10870</v>
      </c>
      <c r="B436" t="s">
        <v>96</v>
      </c>
      <c r="C436" s="1">
        <v>44098</v>
      </c>
      <c r="D436" s="1">
        <v>44105</v>
      </c>
      <c r="F436" t="s">
        <v>97</v>
      </c>
      <c r="G436" t="str">
        <f>"System Software Engineer"</f>
        <v>System Software Engineer</v>
      </c>
      <c r="H436" t="s">
        <v>12168</v>
      </c>
      <c r="I436" t="s">
        <v>160</v>
      </c>
      <c r="J436" t="s">
        <v>98</v>
      </c>
      <c r="K436" s="1">
        <v>44105</v>
      </c>
      <c r="L436" s="1">
        <v>45198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4569</v>
      </c>
      <c r="U436" t="str">
        <f>""</f>
        <v/>
      </c>
      <c r="V436" t="s">
        <v>4570</v>
      </c>
      <c r="W436" t="str">
        <f>"Ste. 700"</f>
        <v>Ste. 700</v>
      </c>
      <c r="X436" t="s">
        <v>381</v>
      </c>
      <c r="Y436" t="s">
        <v>195</v>
      </c>
      <c r="Z436" s="3">
        <v>20852</v>
      </c>
      <c r="AA436" t="s">
        <v>101</v>
      </c>
      <c r="AC436" s="4" t="str">
        <f>"+13013557766"</f>
        <v>+13013557766</v>
      </c>
      <c r="AE436" t="str">
        <f>"541512"</f>
        <v>541512</v>
      </c>
      <c r="AF436" t="s">
        <v>4571</v>
      </c>
      <c r="AG436" t="s">
        <v>4572</v>
      </c>
      <c r="AI436" t="s">
        <v>201</v>
      </c>
      <c r="AJ436" t="s">
        <v>4570</v>
      </c>
      <c r="AK436" t="str">
        <f>"Ste. 700"</f>
        <v>Ste. 700</v>
      </c>
      <c r="AL436" t="s">
        <v>381</v>
      </c>
      <c r="AM436" t="s">
        <v>195</v>
      </c>
      <c r="AN436" s="3">
        <v>20852</v>
      </c>
      <c r="AO436" t="s">
        <v>101</v>
      </c>
      <c r="AQ436" t="str">
        <f>"+13013557766"</f>
        <v>+13013557766</v>
      </c>
      <c r="AS436" t="s">
        <v>4573</v>
      </c>
      <c r="AT436" t="s">
        <v>107</v>
      </c>
      <c r="AU436" t="str">
        <f>"Shah"</f>
        <v>Shah</v>
      </c>
      <c r="AV436" t="str">
        <f>"Devang"</f>
        <v>Devang</v>
      </c>
      <c r="AW436" t="str">
        <f>"M."</f>
        <v>M.</v>
      </c>
      <c r="AX436" t="str">
        <f>"9201 Corporate Blvd."</f>
        <v>9201 Corporate Blvd.</v>
      </c>
      <c r="AY436" t="str">
        <f>"Ste. 330"</f>
        <v>Ste. 330</v>
      </c>
      <c r="AZ436" t="str">
        <f>"Rockville"</f>
        <v>Rockville</v>
      </c>
      <c r="BA436" t="str">
        <f>"MD"</f>
        <v>MD</v>
      </c>
      <c r="BB436" s="3">
        <v>20850</v>
      </c>
      <c r="BC436" t="str">
        <f>"UNITED STATES OF AMERICA"</f>
        <v>UNITED STATES OF AMERICA</v>
      </c>
      <c r="BD436" t="str">
        <f>""</f>
        <v/>
      </c>
      <c r="BE436" t="str">
        <f>"+13013150001"</f>
        <v>+13013150001</v>
      </c>
      <c r="BF436" t="str">
        <f>""</f>
        <v/>
      </c>
      <c r="BG436" t="str">
        <f>"Shah@shahandkishore.com"</f>
        <v>Shah@shahandkishore.com</v>
      </c>
      <c r="BH436" t="str">
        <f>"Shah and Kishore"</f>
        <v>Shah and Kishore</v>
      </c>
      <c r="BI436" t="str">
        <f>"MD"</f>
        <v>MD</v>
      </c>
      <c r="BJ436" t="str">
        <f>"Court of Appeals"</f>
        <v>Court of Appeals</v>
      </c>
      <c r="BK436">
        <v>1</v>
      </c>
      <c r="BL436" t="s">
        <v>107</v>
      </c>
      <c r="BM436" t="str">
        <f>"Verizon"</f>
        <v>Verizon</v>
      </c>
      <c r="BN436" t="s">
        <v>10871</v>
      </c>
      <c r="BP436" t="s">
        <v>8499</v>
      </c>
      <c r="BQ436" t="s">
        <v>1445</v>
      </c>
      <c r="BR436" t="s">
        <v>190</v>
      </c>
      <c r="BS436" s="5">
        <v>10962</v>
      </c>
      <c r="BT436" s="2">
        <v>97000</v>
      </c>
      <c r="BV436" t="s">
        <v>105</v>
      </c>
      <c r="BW436" s="2">
        <v>67766</v>
      </c>
      <c r="BX436" t="s">
        <v>105</v>
      </c>
      <c r="BZ436" t="s">
        <v>167</v>
      </c>
      <c r="CA436" t="str">
        <f t="shared" si="24"/>
        <v>7/1/2020 - 6/30/2021</v>
      </c>
      <c r="CF436">
        <v>1</v>
      </c>
      <c r="CG436" t="s">
        <v>98</v>
      </c>
      <c r="CH436" t="s">
        <v>98</v>
      </c>
      <c r="CI436" t="s">
        <v>206</v>
      </c>
      <c r="CJ436" t="s">
        <v>98</v>
      </c>
      <c r="CK436" t="s">
        <v>12324</v>
      </c>
      <c r="CL436" t="s">
        <v>108</v>
      </c>
      <c r="CM436" t="s">
        <v>109</v>
      </c>
      <c r="CN436" t="str">
        <f>"Shah"</f>
        <v>Shah</v>
      </c>
      <c r="CO436" t="str">
        <f>"Devang"</f>
        <v>Devang</v>
      </c>
      <c r="CP436" t="str">
        <f>"M."</f>
        <v>M.</v>
      </c>
      <c r="CQ436" t="str">
        <f>"Shah and Kishore"</f>
        <v>Shah and Kishore</v>
      </c>
      <c r="CR436" t="s">
        <v>828</v>
      </c>
    </row>
    <row r="437" spans="1:96" x14ac:dyDescent="0.2">
      <c r="A437" t="s">
        <v>10907</v>
      </c>
      <c r="B437" t="s">
        <v>96</v>
      </c>
      <c r="C437" s="1">
        <v>44098</v>
      </c>
      <c r="D437" s="1">
        <v>44105</v>
      </c>
      <c r="F437" t="s">
        <v>97</v>
      </c>
      <c r="G437" t="str">
        <f>"Senior Software Engineer"</f>
        <v>Senior Software Engineer</v>
      </c>
      <c r="H437" t="s">
        <v>12169</v>
      </c>
      <c r="I437" t="s">
        <v>124</v>
      </c>
      <c r="J437" t="s">
        <v>98</v>
      </c>
      <c r="K437" s="1">
        <v>44116</v>
      </c>
      <c r="L437" s="1">
        <v>45210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1300</v>
      </c>
      <c r="U437" t="str">
        <f>""</f>
        <v/>
      </c>
      <c r="V437" t="s">
        <v>3363</v>
      </c>
      <c r="W437" t="str">
        <f>"4th Floor"</f>
        <v>4th Floor</v>
      </c>
      <c r="X437" t="s">
        <v>585</v>
      </c>
      <c r="Y437" t="s">
        <v>141</v>
      </c>
      <c r="Z437" s="3">
        <v>95110</v>
      </c>
      <c r="AA437" t="s">
        <v>101</v>
      </c>
      <c r="AC437" s="4" t="str">
        <f>"+14082738900"</f>
        <v>+14082738900</v>
      </c>
      <c r="AE437" t="str">
        <f>"541512"</f>
        <v>541512</v>
      </c>
      <c r="AF437" t="s">
        <v>3364</v>
      </c>
      <c r="AG437" t="s">
        <v>3365</v>
      </c>
      <c r="AH437" t="s">
        <v>1126</v>
      </c>
      <c r="AI437" t="s">
        <v>1304</v>
      </c>
      <c r="AJ437" t="s">
        <v>1301</v>
      </c>
      <c r="AK437" t="str">
        <f>"4th FLOOR"</f>
        <v>4th FLOOR</v>
      </c>
      <c r="AL437" t="s">
        <v>585</v>
      </c>
      <c r="AM437" t="s">
        <v>141</v>
      </c>
      <c r="AN437" s="3">
        <v>95110</v>
      </c>
      <c r="AO437" t="s">
        <v>101</v>
      </c>
      <c r="AQ437" t="str">
        <f>"+14082738900"</f>
        <v>+14082738900</v>
      </c>
      <c r="AS437" t="s">
        <v>3366</v>
      </c>
      <c r="AT437" t="s">
        <v>102</v>
      </c>
      <c r="AU437" t="str">
        <f>""</f>
        <v/>
      </c>
      <c r="AV437" t="str">
        <f>""</f>
        <v/>
      </c>
      <c r="AW437" t="str">
        <f>""</f>
        <v/>
      </c>
      <c r="AX437" t="str">
        <f>""</f>
        <v/>
      </c>
      <c r="AY437" t="str">
        <f>""</f>
        <v/>
      </c>
      <c r="AZ437" t="str">
        <f>""</f>
        <v/>
      </c>
      <c r="BA437" t="str">
        <f>""</f>
        <v/>
      </c>
      <c r="BC437" t="str">
        <f>""</f>
        <v/>
      </c>
      <c r="BD437" t="str">
        <f>""</f>
        <v/>
      </c>
      <c r="BE437" t="str">
        <f>""</f>
        <v/>
      </c>
      <c r="BF437" t="str">
        <f>""</f>
        <v/>
      </c>
      <c r="BG437" t="str">
        <f>""</f>
        <v/>
      </c>
      <c r="BH437" t="str">
        <f>""</f>
        <v/>
      </c>
      <c r="BI437" t="str">
        <f>""</f>
        <v/>
      </c>
      <c r="BJ437" t="str">
        <f>""</f>
        <v/>
      </c>
      <c r="BK437">
        <v>1</v>
      </c>
      <c r="BL437" t="s">
        <v>107</v>
      </c>
      <c r="BM437" t="str">
        <f>"Google LLC"</f>
        <v>Google LLC</v>
      </c>
      <c r="BN437" t="s">
        <v>10908</v>
      </c>
      <c r="BP437" t="s">
        <v>155</v>
      </c>
      <c r="BQ437" t="s">
        <v>230</v>
      </c>
      <c r="BR437" t="s">
        <v>141</v>
      </c>
      <c r="BS437" s="5">
        <v>94043</v>
      </c>
      <c r="BT437" s="2">
        <v>145725</v>
      </c>
      <c r="BU437" s="2">
        <v>160000</v>
      </c>
      <c r="BV437" t="s">
        <v>105</v>
      </c>
      <c r="BW437" s="2">
        <v>145725</v>
      </c>
      <c r="BX437" t="s">
        <v>105</v>
      </c>
      <c r="BZ437" t="s">
        <v>123</v>
      </c>
      <c r="CA437" t="str">
        <f t="shared" si="24"/>
        <v>7/1/2020 - 6/30/2021</v>
      </c>
      <c r="CF437">
        <v>2</v>
      </c>
      <c r="CG437" t="s">
        <v>98</v>
      </c>
      <c r="CH437" t="s">
        <v>98</v>
      </c>
      <c r="CI437" t="s">
        <v>206</v>
      </c>
      <c r="CJ437" t="s">
        <v>98</v>
      </c>
      <c r="CK437" t="s">
        <v>12324</v>
      </c>
      <c r="CL437" t="s">
        <v>108</v>
      </c>
      <c r="CM437" t="s">
        <v>109</v>
      </c>
      <c r="CN437" t="str">
        <f>"N/A"</f>
        <v>N/A</v>
      </c>
      <c r="CO437" t="str">
        <f>"N/A"</f>
        <v>N/A</v>
      </c>
      <c r="CP437" t="str">
        <f>"N/A"</f>
        <v>N/A</v>
      </c>
      <c r="CQ437" t="str">
        <f>"Not Applicable"</f>
        <v>Not Applicable</v>
      </c>
      <c r="CR437" t="s">
        <v>108</v>
      </c>
    </row>
    <row r="438" spans="1:96" x14ac:dyDescent="0.2">
      <c r="A438" t="s">
        <v>10909</v>
      </c>
      <c r="B438" t="s">
        <v>96</v>
      </c>
      <c r="C438" s="1">
        <v>44098</v>
      </c>
      <c r="D438" s="1">
        <v>44105</v>
      </c>
      <c r="F438" t="s">
        <v>97</v>
      </c>
      <c r="G438" t="str">
        <f>"Manager JC50"</f>
        <v>Manager JC50</v>
      </c>
      <c r="H438" t="s">
        <v>12181</v>
      </c>
      <c r="I438" t="s">
        <v>110</v>
      </c>
      <c r="J438" t="s">
        <v>98</v>
      </c>
      <c r="K438" s="1">
        <v>44107</v>
      </c>
      <c r="L438" s="1">
        <v>45201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 t="s">
        <v>111</v>
      </c>
      <c r="U438" t="str">
        <f>"CTSUS"</f>
        <v>CTSUS</v>
      </c>
      <c r="V438" t="s">
        <v>112</v>
      </c>
      <c r="W438" t="str">
        <f>""</f>
        <v/>
      </c>
      <c r="X438" t="s">
        <v>113</v>
      </c>
      <c r="Y438" t="s">
        <v>114</v>
      </c>
      <c r="Z438" s="3">
        <v>77845</v>
      </c>
      <c r="AA438" t="s">
        <v>101</v>
      </c>
      <c r="AB438" t="s">
        <v>114</v>
      </c>
      <c r="AC438" s="4" t="str">
        <f>"+19793296682"</f>
        <v>+19793296682</v>
      </c>
      <c r="AE438" t="str">
        <f>"541512"</f>
        <v>541512</v>
      </c>
      <c r="AF438" t="s">
        <v>115</v>
      </c>
      <c r="AG438" t="s">
        <v>116</v>
      </c>
      <c r="AH438" t="s">
        <v>108</v>
      </c>
      <c r="AI438" t="s">
        <v>117</v>
      </c>
      <c r="AJ438" t="s">
        <v>118</v>
      </c>
      <c r="AK438" t="str">
        <f>""</f>
        <v/>
      </c>
      <c r="AL438" t="s">
        <v>119</v>
      </c>
      <c r="AM438" t="s">
        <v>114</v>
      </c>
      <c r="AN438" s="3">
        <v>77845</v>
      </c>
      <c r="AO438" t="s">
        <v>101</v>
      </c>
      <c r="AQ438" t="str">
        <f>"+19793296682"</f>
        <v>+19793296682</v>
      </c>
      <c r="AS438" t="s">
        <v>120</v>
      </c>
      <c r="AT438" t="s">
        <v>102</v>
      </c>
      <c r="AU438" t="str">
        <f>""</f>
        <v/>
      </c>
      <c r="AV438" t="str">
        <f>""</f>
        <v/>
      </c>
      <c r="AW438" t="str">
        <f>""</f>
        <v/>
      </c>
      <c r="AX438" t="str">
        <f>""</f>
        <v/>
      </c>
      <c r="AY438" t="str">
        <f>""</f>
        <v/>
      </c>
      <c r="AZ438" t="str">
        <f>""</f>
        <v/>
      </c>
      <c r="BA438" t="str">
        <f>""</f>
        <v/>
      </c>
      <c r="BC438" t="str">
        <f>""</f>
        <v/>
      </c>
      <c r="BD438" t="str">
        <f>""</f>
        <v/>
      </c>
      <c r="BE438" t="str">
        <f>""</f>
        <v/>
      </c>
      <c r="BF438" t="str">
        <f>""</f>
        <v/>
      </c>
      <c r="BG438" t="str">
        <f>""</f>
        <v/>
      </c>
      <c r="BH438" t="str">
        <f>""</f>
        <v/>
      </c>
      <c r="BI438" t="str">
        <f>""</f>
        <v/>
      </c>
      <c r="BJ438" t="str">
        <f>""</f>
        <v/>
      </c>
      <c r="BK438">
        <v>1</v>
      </c>
      <c r="BL438" t="s">
        <v>107</v>
      </c>
      <c r="BM438" t="str">
        <f>"Apple Corporation"</f>
        <v>Apple Corporation</v>
      </c>
      <c r="BN438" t="s">
        <v>10910</v>
      </c>
      <c r="BP438" t="s">
        <v>229</v>
      </c>
      <c r="BQ438" t="s">
        <v>230</v>
      </c>
      <c r="BR438" t="s">
        <v>141</v>
      </c>
      <c r="BS438" s="5">
        <v>94085</v>
      </c>
      <c r="BT438" s="2">
        <v>122990</v>
      </c>
      <c r="BV438" t="s">
        <v>105</v>
      </c>
      <c r="BW438" s="2">
        <v>122990</v>
      </c>
      <c r="BX438" t="s">
        <v>105</v>
      </c>
      <c r="BZ438" t="s">
        <v>123</v>
      </c>
      <c r="CA438" t="str">
        <f t="shared" si="24"/>
        <v>7/1/2020 - 6/30/2021</v>
      </c>
      <c r="CF438">
        <v>1</v>
      </c>
      <c r="CG438" t="s">
        <v>98</v>
      </c>
      <c r="CH438" t="s">
        <v>98</v>
      </c>
      <c r="CI438" t="s">
        <v>206</v>
      </c>
      <c r="CJ438" t="s">
        <v>98</v>
      </c>
      <c r="CK438" t="s">
        <v>12324</v>
      </c>
      <c r="CL438" t="s">
        <v>108</v>
      </c>
      <c r="CM438" t="s">
        <v>109</v>
      </c>
      <c r="CN438" t="str">
        <f>""</f>
        <v/>
      </c>
      <c r="CO438" t="str">
        <f>""</f>
        <v/>
      </c>
      <c r="CP438" t="str">
        <f>""</f>
        <v/>
      </c>
      <c r="CQ438" t="str">
        <f>""</f>
        <v/>
      </c>
    </row>
    <row r="439" spans="1:96" x14ac:dyDescent="0.2">
      <c r="A439" t="s">
        <v>10966</v>
      </c>
      <c r="B439" t="s">
        <v>96</v>
      </c>
      <c r="C439" s="1">
        <v>44098</v>
      </c>
      <c r="D439" s="1">
        <v>44105</v>
      </c>
      <c r="F439" t="s">
        <v>97</v>
      </c>
      <c r="G439" t="str">
        <f>"Software Developer"</f>
        <v>Software Developer</v>
      </c>
      <c r="H439" t="s">
        <v>12169</v>
      </c>
      <c r="I439" t="s">
        <v>124</v>
      </c>
      <c r="J439" t="s">
        <v>98</v>
      </c>
      <c r="K439" s="1">
        <v>44105</v>
      </c>
      <c r="L439" s="1">
        <v>45199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 t="s">
        <v>9141</v>
      </c>
      <c r="U439" t="str">
        <f>""</f>
        <v/>
      </c>
      <c r="V439" t="s">
        <v>10967</v>
      </c>
      <c r="W439" t="str">
        <f>"Suite 368"</f>
        <v>Suite 368</v>
      </c>
      <c r="X439" t="s">
        <v>755</v>
      </c>
      <c r="Y439" t="s">
        <v>135</v>
      </c>
      <c r="Z439" s="3">
        <v>20171</v>
      </c>
      <c r="AA439" t="s">
        <v>101</v>
      </c>
      <c r="AC439" s="4" t="str">
        <f>"+15717339300"</f>
        <v>+15717339300</v>
      </c>
      <c r="AE439" t="str">
        <f>"561320"</f>
        <v>561320</v>
      </c>
      <c r="AF439" t="s">
        <v>4785</v>
      </c>
      <c r="AG439" t="s">
        <v>3678</v>
      </c>
      <c r="AI439" t="s">
        <v>596</v>
      </c>
      <c r="AJ439" t="s">
        <v>2269</v>
      </c>
      <c r="AK439" t="str">
        <f>"Suite 268"</f>
        <v>Suite 268</v>
      </c>
      <c r="AL439" t="s">
        <v>755</v>
      </c>
      <c r="AM439" t="s">
        <v>135</v>
      </c>
      <c r="AN439" s="3">
        <v>20171</v>
      </c>
      <c r="AO439" t="s">
        <v>101</v>
      </c>
      <c r="AQ439" t="str">
        <f>"+15717339300"</f>
        <v>+15717339300</v>
      </c>
      <c r="AS439" t="s">
        <v>4786</v>
      </c>
      <c r="AT439" t="s">
        <v>107</v>
      </c>
      <c r="AU439" t="str">
        <f>"Sumner"</f>
        <v>Sumner</v>
      </c>
      <c r="AV439" t="str">
        <f>"Emily"</f>
        <v>Emily</v>
      </c>
      <c r="AW439" t="str">
        <f>""</f>
        <v/>
      </c>
      <c r="AX439" t="str">
        <f>"7229 Forest Avenue"</f>
        <v>7229 Forest Avenue</v>
      </c>
      <c r="AY439" t="str">
        <f>"Suite 103"</f>
        <v>Suite 103</v>
      </c>
      <c r="AZ439" t="str">
        <f>"Richmond"</f>
        <v>Richmond</v>
      </c>
      <c r="BA439" t="str">
        <f>"VA"</f>
        <v>VA</v>
      </c>
      <c r="BB439" s="3">
        <v>23226</v>
      </c>
      <c r="BC439" t="str">
        <f>"UNITED STATES OF AMERICA"</f>
        <v>UNITED STATES OF AMERICA</v>
      </c>
      <c r="BD439" t="str">
        <f>""</f>
        <v/>
      </c>
      <c r="BE439" t="str">
        <f>"+18043963412"</f>
        <v>+18043963412</v>
      </c>
      <c r="BF439" t="str">
        <f>""</f>
        <v/>
      </c>
      <c r="BG439" t="str">
        <f>"esumner@sumnerimmigration.com"</f>
        <v>esumner@sumnerimmigration.com</v>
      </c>
      <c r="BH439" t="str">
        <f>"Sumner Immigration Law PLLC"</f>
        <v>Sumner Immigration Law PLLC</v>
      </c>
      <c r="BI439" t="str">
        <f>"VA"</f>
        <v>VA</v>
      </c>
      <c r="BJ439" t="str">
        <f>"Supreme Court"</f>
        <v>Supreme Court</v>
      </c>
      <c r="BK439">
        <v>1</v>
      </c>
      <c r="BL439" t="s">
        <v>102</v>
      </c>
      <c r="BM439" t="str">
        <f>""</f>
        <v/>
      </c>
      <c r="BN439" t="s">
        <v>10968</v>
      </c>
      <c r="BO439" t="s">
        <v>8198</v>
      </c>
      <c r="BP439" t="s">
        <v>755</v>
      </c>
      <c r="BQ439" t="s">
        <v>454</v>
      </c>
      <c r="BR439" t="s">
        <v>135</v>
      </c>
      <c r="BS439" s="5">
        <v>20171</v>
      </c>
      <c r="BT439" s="2">
        <v>97406</v>
      </c>
      <c r="BV439" t="s">
        <v>105</v>
      </c>
      <c r="BW439" s="2">
        <v>97406</v>
      </c>
      <c r="BX439" t="s">
        <v>105</v>
      </c>
      <c r="BZ439" t="s">
        <v>167</v>
      </c>
      <c r="CA439" t="str">
        <f t="shared" si="24"/>
        <v>7/1/2020 - 6/30/2021</v>
      </c>
      <c r="CF439">
        <v>2</v>
      </c>
      <c r="CG439" t="s">
        <v>98</v>
      </c>
      <c r="CH439" t="s">
        <v>98</v>
      </c>
      <c r="CI439" t="s">
        <v>206</v>
      </c>
      <c r="CJ439" t="s">
        <v>98</v>
      </c>
      <c r="CK439" t="s">
        <v>12324</v>
      </c>
      <c r="CL439" t="s">
        <v>108</v>
      </c>
      <c r="CM439" t="s">
        <v>109</v>
      </c>
      <c r="CN439" t="str">
        <f>"Sumner"</f>
        <v>Sumner</v>
      </c>
      <c r="CO439" t="str">
        <f>"Emily"</f>
        <v>Emily</v>
      </c>
      <c r="CP439" t="str">
        <f>""</f>
        <v/>
      </c>
      <c r="CQ439" t="str">
        <f>"Sumner Immigration Law PLLC"</f>
        <v>Sumner Immigration Law PLLC</v>
      </c>
      <c r="CR439" t="s">
        <v>4787</v>
      </c>
    </row>
    <row r="440" spans="1:96" x14ac:dyDescent="0.2">
      <c r="A440" t="s">
        <v>10980</v>
      </c>
      <c r="B440" t="s">
        <v>96</v>
      </c>
      <c r="C440" s="1">
        <v>44098</v>
      </c>
      <c r="D440" s="1">
        <v>44105</v>
      </c>
      <c r="F440" t="s">
        <v>97</v>
      </c>
      <c r="G440" t="str">
        <f>"Associate Dentist"</f>
        <v>Associate Dentist</v>
      </c>
      <c r="H440" t="s">
        <v>12175</v>
      </c>
      <c r="I440" t="s">
        <v>420</v>
      </c>
      <c r="J440" t="s">
        <v>98</v>
      </c>
      <c r="K440" s="1">
        <v>44105</v>
      </c>
      <c r="L440" s="1">
        <v>45199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10981</v>
      </c>
      <c r="U440" t="str">
        <f>"Jefferson Dental &amp; Orthodontics"</f>
        <v>Jefferson Dental &amp; Orthodontics</v>
      </c>
      <c r="V440" t="s">
        <v>10982</v>
      </c>
      <c r="W440" t="str">
        <f>""</f>
        <v/>
      </c>
      <c r="X440" t="s">
        <v>595</v>
      </c>
      <c r="Y440" t="s">
        <v>114</v>
      </c>
      <c r="Z440" s="3">
        <v>75234</v>
      </c>
      <c r="AA440" t="s">
        <v>101</v>
      </c>
      <c r="AC440" s="4" t="str">
        <f>"+16822257530"</f>
        <v>+16822257530</v>
      </c>
      <c r="AE440" t="str">
        <f>"621210"</f>
        <v>621210</v>
      </c>
      <c r="AF440" t="s">
        <v>958</v>
      </c>
      <c r="AG440" t="s">
        <v>7175</v>
      </c>
      <c r="AI440" t="s">
        <v>4950</v>
      </c>
      <c r="AJ440" t="s">
        <v>10983</v>
      </c>
      <c r="AK440" t="str">
        <f>"STE 1440"</f>
        <v>STE 1440</v>
      </c>
      <c r="AL440" t="s">
        <v>5357</v>
      </c>
      <c r="AM440" t="s">
        <v>114</v>
      </c>
      <c r="AN440" s="3">
        <v>75234</v>
      </c>
      <c r="AO440" t="s">
        <v>101</v>
      </c>
      <c r="AQ440" t="str">
        <f>"+16822257530"</f>
        <v>+16822257530</v>
      </c>
      <c r="AS440" t="s">
        <v>10984</v>
      </c>
      <c r="AT440" t="s">
        <v>107</v>
      </c>
      <c r="AU440" t="str">
        <f>"Sethi-Wadhwa"</f>
        <v>Sethi-Wadhwa</v>
      </c>
      <c r="AV440" t="str">
        <f>"Princy"</f>
        <v>Princy</v>
      </c>
      <c r="AW440" t="str">
        <f>""</f>
        <v/>
      </c>
      <c r="AX440" t="str">
        <f>"2234 Emery Down Dr."</f>
        <v>2234 Emery Down Dr.</v>
      </c>
      <c r="AY440" t="str">
        <f>""</f>
        <v/>
      </c>
      <c r="AZ440" t="str">
        <f>"Allen"</f>
        <v>Allen</v>
      </c>
      <c r="BA440" t="str">
        <f>"TX"</f>
        <v>TX</v>
      </c>
      <c r="BB440" s="3">
        <v>75013</v>
      </c>
      <c r="BC440" t="str">
        <f>"UNITED STATES OF AMERICA"</f>
        <v>UNITED STATES OF AMERICA</v>
      </c>
      <c r="BD440" t="str">
        <f>""</f>
        <v/>
      </c>
      <c r="BE440" t="str">
        <f>"+14698881604"</f>
        <v>+14698881604</v>
      </c>
      <c r="BF440" t="str">
        <f>""</f>
        <v/>
      </c>
      <c r="BG440" t="str">
        <f>"princy@princylaw.com"</f>
        <v>princy@princylaw.com</v>
      </c>
      <c r="BH440" t="str">
        <f>"Sethi-Wadhwa Law PLLC"</f>
        <v>Sethi-Wadhwa Law PLLC</v>
      </c>
      <c r="BI440" t="str">
        <f>"TX"</f>
        <v>TX</v>
      </c>
      <c r="BJ440" t="str">
        <f>"Supreme"</f>
        <v>Supreme</v>
      </c>
      <c r="BK440">
        <v>1</v>
      </c>
      <c r="BL440" t="s">
        <v>102</v>
      </c>
      <c r="BM440" t="str">
        <f>""</f>
        <v/>
      </c>
      <c r="BN440" t="s">
        <v>10985</v>
      </c>
      <c r="BP440" t="s">
        <v>394</v>
      </c>
      <c r="BQ440" t="s">
        <v>395</v>
      </c>
      <c r="BR440" t="s">
        <v>114</v>
      </c>
      <c r="BS440" s="5">
        <v>77081</v>
      </c>
      <c r="BT440" s="2">
        <v>144000</v>
      </c>
      <c r="BV440" t="s">
        <v>105</v>
      </c>
      <c r="BW440" s="2">
        <v>118227</v>
      </c>
      <c r="BX440" t="s">
        <v>105</v>
      </c>
      <c r="BZ440" t="s">
        <v>167</v>
      </c>
      <c r="CA440" t="str">
        <f t="shared" si="24"/>
        <v>7/1/2020 - 6/30/2021</v>
      </c>
      <c r="CF440">
        <v>1</v>
      </c>
      <c r="CG440" t="s">
        <v>98</v>
      </c>
      <c r="CH440" t="s">
        <v>98</v>
      </c>
      <c r="CI440" t="s">
        <v>206</v>
      </c>
      <c r="CJ440" t="s">
        <v>98</v>
      </c>
      <c r="CK440" t="s">
        <v>12324</v>
      </c>
      <c r="CL440" t="s">
        <v>108</v>
      </c>
      <c r="CM440" t="s">
        <v>109</v>
      </c>
      <c r="CN440" t="str">
        <f>"Sethi-Wadhwa"</f>
        <v>Sethi-Wadhwa</v>
      </c>
      <c r="CO440" t="str">
        <f>"Princy"</f>
        <v>Princy</v>
      </c>
      <c r="CP440" t="str">
        <f>""</f>
        <v/>
      </c>
      <c r="CQ440" t="str">
        <f>"Sethi-Wadhwa Law PLLC"</f>
        <v>Sethi-Wadhwa Law PLLC</v>
      </c>
      <c r="CR440" t="s">
        <v>3558</v>
      </c>
    </row>
    <row r="441" spans="1:96" x14ac:dyDescent="0.2">
      <c r="A441" t="s">
        <v>11007</v>
      </c>
      <c r="B441" t="s">
        <v>96</v>
      </c>
      <c r="C441" s="1">
        <v>44098</v>
      </c>
      <c r="D441" s="1">
        <v>44105</v>
      </c>
      <c r="F441" t="s">
        <v>97</v>
      </c>
      <c r="G441" t="str">
        <f>"Senior Product Manager"</f>
        <v>Senior Product Manager</v>
      </c>
      <c r="H441" t="s">
        <v>12169</v>
      </c>
      <c r="I441" t="s">
        <v>124</v>
      </c>
      <c r="J441" t="s">
        <v>98</v>
      </c>
      <c r="K441" s="1">
        <v>44281</v>
      </c>
      <c r="L441" s="1">
        <v>45376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 t="s">
        <v>11008</v>
      </c>
      <c r="U441" t="str">
        <f>""</f>
        <v/>
      </c>
      <c r="V441" t="s">
        <v>7357</v>
      </c>
      <c r="W441" t="str">
        <f>""</f>
        <v/>
      </c>
      <c r="X441" t="s">
        <v>140</v>
      </c>
      <c r="Y441" t="s">
        <v>141</v>
      </c>
      <c r="Z441" s="3">
        <v>94107</v>
      </c>
      <c r="AA441" t="s">
        <v>101</v>
      </c>
      <c r="AC441" s="4" t="str">
        <f>"+14157429970"</f>
        <v>+14157429970</v>
      </c>
      <c r="AE441" t="str">
        <f>"511210"</f>
        <v>511210</v>
      </c>
      <c r="AF441" t="s">
        <v>7356</v>
      </c>
      <c r="AG441" t="s">
        <v>1208</v>
      </c>
      <c r="AI441" t="s">
        <v>3867</v>
      </c>
      <c r="AJ441" t="s">
        <v>7357</v>
      </c>
      <c r="AK441" t="str">
        <f>""</f>
        <v/>
      </c>
      <c r="AL441" t="s">
        <v>147</v>
      </c>
      <c r="AM441" t="s">
        <v>141</v>
      </c>
      <c r="AN441" s="3">
        <v>94107</v>
      </c>
      <c r="AO441" t="s">
        <v>101</v>
      </c>
      <c r="AQ441" t="str">
        <f>"+14157429970"</f>
        <v>+14157429970</v>
      </c>
      <c r="AS441" t="s">
        <v>7358</v>
      </c>
      <c r="AT441" t="s">
        <v>107</v>
      </c>
      <c r="AU441" t="str">
        <f>"Nagahori"</f>
        <v>Nagahori</v>
      </c>
      <c r="AV441" t="str">
        <f>"Randi"</f>
        <v>Randi</v>
      </c>
      <c r="AW441" t="str">
        <f>""</f>
        <v/>
      </c>
      <c r="AX441" t="str">
        <f>"235 Montgomery Street"</f>
        <v>235 Montgomery Street</v>
      </c>
      <c r="AY441" t="str">
        <f>"Suite 629"</f>
        <v>Suite 629</v>
      </c>
      <c r="AZ441" t="str">
        <f>"San Francisco"</f>
        <v>San Francisco</v>
      </c>
      <c r="BA441" t="str">
        <f>"CA"</f>
        <v>CA</v>
      </c>
      <c r="BB441" s="3">
        <v>94104</v>
      </c>
      <c r="BC441" t="str">
        <f>"UNITED STATES OF AMERICA"</f>
        <v>UNITED STATES OF AMERICA</v>
      </c>
      <c r="BD441" t="str">
        <f>""</f>
        <v/>
      </c>
      <c r="BE441" t="str">
        <f>"+14158053900"</f>
        <v>+14158053900</v>
      </c>
      <c r="BF441" t="str">
        <f>""</f>
        <v/>
      </c>
      <c r="BG441" t="str">
        <f>"LCA@golawcorp.com"</f>
        <v>LCA@golawcorp.com</v>
      </c>
      <c r="BH441" t="str">
        <f>"Goeschl Law Corporation"</f>
        <v>Goeschl Law Corporation</v>
      </c>
      <c r="BI441" t="str">
        <f>"CA"</f>
        <v>CA</v>
      </c>
      <c r="BJ441" t="str">
        <f>"SUPREME COURT"</f>
        <v>SUPREME COURT</v>
      </c>
      <c r="BK441">
        <v>1</v>
      </c>
      <c r="BL441" t="s">
        <v>102</v>
      </c>
      <c r="BM441" t="str">
        <f>""</f>
        <v/>
      </c>
      <c r="BN441" t="s">
        <v>7355</v>
      </c>
      <c r="BP441" t="s">
        <v>140</v>
      </c>
      <c r="BQ441" t="s">
        <v>147</v>
      </c>
      <c r="BR441" t="s">
        <v>141</v>
      </c>
      <c r="BS441" s="5">
        <v>94107</v>
      </c>
      <c r="BT441" s="2">
        <v>160000</v>
      </c>
      <c r="BV441" t="s">
        <v>105</v>
      </c>
      <c r="BW441" s="2">
        <v>145246</v>
      </c>
      <c r="BX441" t="s">
        <v>105</v>
      </c>
      <c r="BZ441" t="s">
        <v>123</v>
      </c>
      <c r="CA441" t="str">
        <f t="shared" si="24"/>
        <v>7/1/2020 - 6/30/2021</v>
      </c>
      <c r="CF441">
        <v>1</v>
      </c>
      <c r="CG441" t="s">
        <v>98</v>
      </c>
      <c r="CH441" t="s">
        <v>98</v>
      </c>
      <c r="CI441" t="s">
        <v>206</v>
      </c>
      <c r="CJ441" t="s">
        <v>98</v>
      </c>
      <c r="CK441" t="s">
        <v>12324</v>
      </c>
      <c r="CL441" t="s">
        <v>108</v>
      </c>
      <c r="CM441" t="s">
        <v>109</v>
      </c>
      <c r="CN441" t="str">
        <f>""</f>
        <v/>
      </c>
      <c r="CO441" t="str">
        <f>""</f>
        <v/>
      </c>
      <c r="CP441" t="str">
        <f>""</f>
        <v/>
      </c>
      <c r="CQ441" t="str">
        <f>""</f>
        <v/>
      </c>
    </row>
    <row r="442" spans="1:96" x14ac:dyDescent="0.2">
      <c r="A442" t="s">
        <v>11049</v>
      </c>
      <c r="B442" t="s">
        <v>96</v>
      </c>
      <c r="C442" s="1">
        <v>44098</v>
      </c>
      <c r="D442" s="1">
        <v>44105</v>
      </c>
      <c r="F442" t="s">
        <v>97</v>
      </c>
      <c r="G442" t="str">
        <f>"Technical Manager"</f>
        <v>Technical Manager</v>
      </c>
      <c r="H442" t="s">
        <v>12168</v>
      </c>
      <c r="I442" t="s">
        <v>367</v>
      </c>
      <c r="J442" t="s">
        <v>98</v>
      </c>
      <c r="K442" s="1">
        <v>44098</v>
      </c>
      <c r="L442" s="1">
        <v>45192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 t="s">
        <v>310</v>
      </c>
      <c r="U442" t="str">
        <f>""</f>
        <v/>
      </c>
      <c r="V442" t="s">
        <v>311</v>
      </c>
      <c r="W442" t="str">
        <f>"SUITE 300"</f>
        <v>SUITE 300</v>
      </c>
      <c r="X442" t="s">
        <v>312</v>
      </c>
      <c r="Y442" t="s">
        <v>265</v>
      </c>
      <c r="Z442" s="3">
        <v>48083</v>
      </c>
      <c r="AA442" t="s">
        <v>101</v>
      </c>
      <c r="AC442" s="4" t="str">
        <f>"+12486193580"</f>
        <v>+12486193580</v>
      </c>
      <c r="AE442" t="str">
        <f t="shared" ref="AE442:AE448" si="25">"541511"</f>
        <v>541511</v>
      </c>
      <c r="AF442" t="s">
        <v>313</v>
      </c>
      <c r="AG442" t="s">
        <v>314</v>
      </c>
      <c r="AI442" t="s">
        <v>315</v>
      </c>
      <c r="AJ442" t="s">
        <v>311</v>
      </c>
      <c r="AK442" t="str">
        <f>"SUITE 300"</f>
        <v>SUITE 300</v>
      </c>
      <c r="AL442" t="s">
        <v>312</v>
      </c>
      <c r="AM442" t="s">
        <v>265</v>
      </c>
      <c r="AN442" s="3">
        <v>48083</v>
      </c>
      <c r="AO442" t="s">
        <v>101</v>
      </c>
      <c r="AQ442" t="str">
        <f>"+12486193580"</f>
        <v>+12486193580</v>
      </c>
      <c r="AS442" t="s">
        <v>316</v>
      </c>
      <c r="AT442" t="s">
        <v>102</v>
      </c>
      <c r="AU442" t="str">
        <f>""</f>
        <v/>
      </c>
      <c r="AV442" t="str">
        <f>""</f>
        <v/>
      </c>
      <c r="AW442" t="str">
        <f>""</f>
        <v/>
      </c>
      <c r="AX442" t="str">
        <f>""</f>
        <v/>
      </c>
      <c r="AY442" t="str">
        <f>""</f>
        <v/>
      </c>
      <c r="AZ442" t="str">
        <f>""</f>
        <v/>
      </c>
      <c r="BA442" t="str">
        <f>""</f>
        <v/>
      </c>
      <c r="BC442" t="str">
        <f>""</f>
        <v/>
      </c>
      <c r="BD442" t="str">
        <f>""</f>
        <v/>
      </c>
      <c r="BE442" t="str">
        <f>""</f>
        <v/>
      </c>
      <c r="BF442" t="str">
        <f>""</f>
        <v/>
      </c>
      <c r="BG442" t="str">
        <f>""</f>
        <v/>
      </c>
      <c r="BH442" t="str">
        <f>""</f>
        <v/>
      </c>
      <c r="BI442" t="str">
        <f>""</f>
        <v/>
      </c>
      <c r="BJ442" t="str">
        <f>""</f>
        <v/>
      </c>
      <c r="BK442">
        <v>1</v>
      </c>
      <c r="BL442" t="s">
        <v>107</v>
      </c>
      <c r="BM442" t="str">
        <f>"FedEx Corporate Services, Inc."</f>
        <v>FedEx Corporate Services, Inc.</v>
      </c>
      <c r="BN442" t="s">
        <v>5729</v>
      </c>
      <c r="BO442" t="s">
        <v>108</v>
      </c>
      <c r="BP442" t="s">
        <v>5730</v>
      </c>
      <c r="BQ442" t="s">
        <v>5068</v>
      </c>
      <c r="BR442" t="s">
        <v>166</v>
      </c>
      <c r="BS442" s="5">
        <v>80921</v>
      </c>
      <c r="BT442" s="2">
        <v>86195</v>
      </c>
      <c r="BV442" t="s">
        <v>105</v>
      </c>
      <c r="BW442" s="2">
        <v>80101</v>
      </c>
      <c r="BX442" t="s">
        <v>105</v>
      </c>
      <c r="BZ442" t="s">
        <v>167</v>
      </c>
      <c r="CA442" t="str">
        <f t="shared" si="24"/>
        <v>7/1/2020 - 6/30/2021</v>
      </c>
      <c r="CF442">
        <v>2</v>
      </c>
      <c r="CG442" t="s">
        <v>98</v>
      </c>
      <c r="CH442" t="s">
        <v>98</v>
      </c>
      <c r="CI442" t="s">
        <v>206</v>
      </c>
      <c r="CJ442" t="s">
        <v>98</v>
      </c>
      <c r="CK442" t="s">
        <v>12324</v>
      </c>
      <c r="CL442" t="s">
        <v>108</v>
      </c>
      <c r="CM442" t="s">
        <v>109</v>
      </c>
      <c r="CN442" t="str">
        <f>"Fernandes"</f>
        <v>Fernandes</v>
      </c>
      <c r="CO442" t="str">
        <f>"Samson"</f>
        <v>Samson</v>
      </c>
      <c r="CP442" t="str">
        <f>"D"</f>
        <v>D</v>
      </c>
      <c r="CQ442" t="str">
        <f>"Atos Syntel Inc"</f>
        <v>Atos Syntel Inc</v>
      </c>
      <c r="CR442" t="s">
        <v>318</v>
      </c>
    </row>
    <row r="443" spans="1:96" x14ac:dyDescent="0.2">
      <c r="A443" t="s">
        <v>11053</v>
      </c>
      <c r="B443" t="s">
        <v>96</v>
      </c>
      <c r="C443" s="1">
        <v>44098</v>
      </c>
      <c r="D443" s="1">
        <v>44105</v>
      </c>
      <c r="F443" t="s">
        <v>97</v>
      </c>
      <c r="G443" t="str">
        <f>"SOFTWARE DATA ANALYST"</f>
        <v>SOFTWARE DATA ANALYST</v>
      </c>
      <c r="H443" t="s">
        <v>12169</v>
      </c>
      <c r="I443" t="s">
        <v>124</v>
      </c>
      <c r="J443" t="s">
        <v>98</v>
      </c>
      <c r="K443" s="1">
        <v>44109</v>
      </c>
      <c r="L443" s="1">
        <v>45203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 t="s">
        <v>8207</v>
      </c>
      <c r="U443" t="str">
        <f>""</f>
        <v/>
      </c>
      <c r="V443" t="s">
        <v>8208</v>
      </c>
      <c r="W443" t="str">
        <f>"SUITE 200"</f>
        <v>SUITE 200</v>
      </c>
      <c r="X443" t="s">
        <v>804</v>
      </c>
      <c r="Y443" t="s">
        <v>100</v>
      </c>
      <c r="Z443" s="3">
        <v>8854</v>
      </c>
      <c r="AA443" t="s">
        <v>101</v>
      </c>
      <c r="AC443" s="4" t="str">
        <f>"+17327902934"</f>
        <v>+17327902934</v>
      </c>
      <c r="AE443" t="str">
        <f t="shared" si="25"/>
        <v>541511</v>
      </c>
      <c r="AF443" t="s">
        <v>8209</v>
      </c>
      <c r="AG443" t="s">
        <v>8210</v>
      </c>
      <c r="AI443" t="s">
        <v>3573</v>
      </c>
      <c r="AJ443" t="s">
        <v>8208</v>
      </c>
      <c r="AK443" t="str">
        <f>"SUITE 200"</f>
        <v>SUITE 200</v>
      </c>
      <c r="AL443" t="s">
        <v>804</v>
      </c>
      <c r="AM443" t="s">
        <v>100</v>
      </c>
      <c r="AN443" s="3">
        <v>8854</v>
      </c>
      <c r="AO443" t="s">
        <v>101</v>
      </c>
      <c r="AQ443" t="str">
        <f>"+17327902934"</f>
        <v>+17327902934</v>
      </c>
      <c r="AS443" t="s">
        <v>8211</v>
      </c>
      <c r="AT443" t="s">
        <v>107</v>
      </c>
      <c r="AU443" t="str">
        <f>"ALLEN"</f>
        <v>ALLEN</v>
      </c>
      <c r="AV443" t="str">
        <f>"THOMAS"</f>
        <v>THOMAS</v>
      </c>
      <c r="AW443" t="str">
        <f>"V."</f>
        <v>V.</v>
      </c>
      <c r="AX443" t="str">
        <f>"50 CRAGWOOD ROAD"</f>
        <v>50 CRAGWOOD ROAD</v>
      </c>
      <c r="AY443" t="str">
        <f>"SUITE 100"</f>
        <v>SUITE 100</v>
      </c>
      <c r="AZ443" t="str">
        <f>"SOUTH PLAINFIELD"</f>
        <v>SOUTH PLAINFIELD</v>
      </c>
      <c r="BA443" t="str">
        <f>"NJ"</f>
        <v>NJ</v>
      </c>
      <c r="BB443" s="3">
        <v>7080</v>
      </c>
      <c r="BC443" t="str">
        <f>"UNITED STATES OF AMERICA"</f>
        <v>UNITED STATES OF AMERICA</v>
      </c>
      <c r="BD443" t="str">
        <f>""</f>
        <v/>
      </c>
      <c r="BE443" t="str">
        <f>"+17328327978"</f>
        <v>+17328327978</v>
      </c>
      <c r="BF443" t="str">
        <f>""</f>
        <v/>
      </c>
      <c r="BG443" t="str">
        <f>"ICERT@THOMASVALLEN.COM"</f>
        <v>ICERT@THOMASVALLEN.COM</v>
      </c>
      <c r="BH443" t="str">
        <f>"LAW OFFICE OF THOMAS V. ALLEN PLLC"</f>
        <v>LAW OFFICE OF THOMAS V. ALLEN PLLC</v>
      </c>
      <c r="BI443" t="str">
        <f>"NY"</f>
        <v>NY</v>
      </c>
      <c r="BJ443" t="str">
        <f>"APPELLATE COURT"</f>
        <v>APPELLATE COURT</v>
      </c>
      <c r="BK443">
        <v>1</v>
      </c>
      <c r="BL443" t="s">
        <v>107</v>
      </c>
      <c r="BM443" t="str">
        <f>"CIGNA INSURANCE COMPANY"</f>
        <v>CIGNA INSURANCE COMPANY</v>
      </c>
      <c r="BN443" t="s">
        <v>11054</v>
      </c>
      <c r="BO443" t="s">
        <v>11055</v>
      </c>
      <c r="BP443" t="s">
        <v>843</v>
      </c>
      <c r="BQ443" t="s">
        <v>788</v>
      </c>
      <c r="BR443" t="s">
        <v>345</v>
      </c>
      <c r="BS443" s="5">
        <v>60661</v>
      </c>
      <c r="BT443" s="2">
        <v>91790</v>
      </c>
      <c r="BV443" t="s">
        <v>105</v>
      </c>
      <c r="BW443" s="2">
        <v>87838</v>
      </c>
      <c r="BX443" t="s">
        <v>105</v>
      </c>
      <c r="BZ443" t="s">
        <v>167</v>
      </c>
      <c r="CA443" t="str">
        <f t="shared" si="24"/>
        <v>7/1/2020 - 6/30/2021</v>
      </c>
      <c r="CF443">
        <v>2</v>
      </c>
      <c r="CG443" t="s">
        <v>98</v>
      </c>
      <c r="CH443" t="s">
        <v>98</v>
      </c>
      <c r="CI443" t="s">
        <v>206</v>
      </c>
      <c r="CJ443" t="s">
        <v>98</v>
      </c>
      <c r="CK443" t="s">
        <v>12324</v>
      </c>
      <c r="CL443" t="s">
        <v>108</v>
      </c>
      <c r="CM443" t="s">
        <v>109</v>
      </c>
      <c r="CN443" t="str">
        <f>""</f>
        <v/>
      </c>
      <c r="CO443" t="str">
        <f>""</f>
        <v/>
      </c>
      <c r="CP443" t="str">
        <f>""</f>
        <v/>
      </c>
      <c r="CQ443" t="str">
        <f>""</f>
        <v/>
      </c>
    </row>
    <row r="444" spans="1:96" x14ac:dyDescent="0.2">
      <c r="A444" t="s">
        <v>11087</v>
      </c>
      <c r="B444" t="s">
        <v>96</v>
      </c>
      <c r="C444" s="1">
        <v>44098</v>
      </c>
      <c r="D444" s="1">
        <v>44105</v>
      </c>
      <c r="F444" t="s">
        <v>97</v>
      </c>
      <c r="G444" t="str">
        <f>"Front End UI Developer "</f>
        <v xml:space="preserve">Front End UI Developer </v>
      </c>
      <c r="H444" t="s">
        <v>12169</v>
      </c>
      <c r="I444" t="s">
        <v>124</v>
      </c>
      <c r="J444" t="s">
        <v>98</v>
      </c>
      <c r="K444" s="1">
        <v>44105</v>
      </c>
      <c r="L444" s="1">
        <v>45199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8495</v>
      </c>
      <c r="U444" t="str">
        <f>""</f>
        <v/>
      </c>
      <c r="V444" t="s">
        <v>7751</v>
      </c>
      <c r="W444" t="str">
        <f>"STE 109"</f>
        <v>STE 109</v>
      </c>
      <c r="X444" t="s">
        <v>720</v>
      </c>
      <c r="Y444" t="s">
        <v>114</v>
      </c>
      <c r="Z444" s="3">
        <v>78750</v>
      </c>
      <c r="AA444" t="s">
        <v>101</v>
      </c>
      <c r="AC444" s="4" t="str">
        <f>"+15126991502"</f>
        <v>+15126991502</v>
      </c>
      <c r="AE444" t="str">
        <f t="shared" si="25"/>
        <v>541511</v>
      </c>
      <c r="AF444" t="s">
        <v>8496</v>
      </c>
      <c r="AG444" t="s">
        <v>8497</v>
      </c>
      <c r="AI444" t="s">
        <v>629</v>
      </c>
      <c r="AJ444" t="s">
        <v>7751</v>
      </c>
      <c r="AK444" t="str">
        <f>"STE 109"</f>
        <v>STE 109</v>
      </c>
      <c r="AL444" t="s">
        <v>720</v>
      </c>
      <c r="AM444" t="s">
        <v>114</v>
      </c>
      <c r="AN444" s="3">
        <v>78750</v>
      </c>
      <c r="AO444" t="s">
        <v>101</v>
      </c>
      <c r="AQ444" t="str">
        <f>"+15126991502"</f>
        <v>+15126991502</v>
      </c>
      <c r="AS444" t="s">
        <v>8498</v>
      </c>
      <c r="AT444" t="s">
        <v>107</v>
      </c>
      <c r="AU444" t="str">
        <f>"Akula"</f>
        <v>Akula</v>
      </c>
      <c r="AV444" t="str">
        <f>"Kavitha"</f>
        <v>Kavitha</v>
      </c>
      <c r="AW444" t="str">
        <f>""</f>
        <v/>
      </c>
      <c r="AX444" t="str">
        <f>"17400 DALLAS PKWY"</f>
        <v>17400 DALLAS PKWY</v>
      </c>
      <c r="AY444" t="str">
        <f>"SUITE 216"</f>
        <v>SUITE 216</v>
      </c>
      <c r="AZ444" t="str">
        <f>"DALLAS"</f>
        <v>DALLAS</v>
      </c>
      <c r="BA444" t="str">
        <f>"TX"</f>
        <v>TX</v>
      </c>
      <c r="BB444" s="3">
        <v>75287</v>
      </c>
      <c r="BC444" t="str">
        <f>"UNITED STATES OF AMERICA"</f>
        <v>UNITED STATES OF AMERICA</v>
      </c>
      <c r="BD444" t="str">
        <f>""</f>
        <v/>
      </c>
      <c r="BE444" t="str">
        <f>"+19722414698"</f>
        <v>+19722414698</v>
      </c>
      <c r="BF444" t="str">
        <f>""</f>
        <v/>
      </c>
      <c r="BG444" t="str">
        <f>"ambreen.ghelani@akulalaw.com"</f>
        <v>ambreen.ghelani@akulalaw.com</v>
      </c>
      <c r="BH444" t="str">
        <f>"Akula &amp; Associates, P.C."</f>
        <v>Akula &amp; Associates, P.C.</v>
      </c>
      <c r="BI444" t="str">
        <f>"TX"</f>
        <v>TX</v>
      </c>
      <c r="BJ444" t="str">
        <f>"SUPREME COURT"</f>
        <v>SUPREME COURT</v>
      </c>
      <c r="BK444">
        <v>1</v>
      </c>
      <c r="BL444" t="s">
        <v>107</v>
      </c>
      <c r="BM444" t="str">
        <f>"DFPS (Department of Family and Protective Services)"</f>
        <v>DFPS (Department of Family and Protective Services)</v>
      </c>
      <c r="BN444" t="s">
        <v>11088</v>
      </c>
      <c r="BP444" t="s">
        <v>765</v>
      </c>
      <c r="BQ444" t="s">
        <v>721</v>
      </c>
      <c r="BR444" t="s">
        <v>114</v>
      </c>
      <c r="BS444" s="5">
        <v>78754</v>
      </c>
      <c r="BT444" s="2">
        <v>87589</v>
      </c>
      <c r="BU444" s="2">
        <v>88000</v>
      </c>
      <c r="BV444" t="s">
        <v>105</v>
      </c>
      <c r="BW444" s="2">
        <v>87589</v>
      </c>
      <c r="BX444" t="s">
        <v>105</v>
      </c>
      <c r="BZ444" t="s">
        <v>167</v>
      </c>
      <c r="CA444" t="str">
        <f t="shared" si="24"/>
        <v>7/1/2020 - 6/30/2021</v>
      </c>
      <c r="CF444">
        <v>1</v>
      </c>
      <c r="CG444" t="s">
        <v>98</v>
      </c>
      <c r="CH444" t="s">
        <v>98</v>
      </c>
      <c r="CI444" t="s">
        <v>206</v>
      </c>
      <c r="CJ444" t="s">
        <v>98</v>
      </c>
      <c r="CK444" t="s">
        <v>12324</v>
      </c>
      <c r="CL444" t="s">
        <v>108</v>
      </c>
      <c r="CM444" t="s">
        <v>109</v>
      </c>
      <c r="CN444" t="str">
        <f>""</f>
        <v/>
      </c>
      <c r="CO444" t="str">
        <f>""</f>
        <v/>
      </c>
      <c r="CP444" t="str">
        <f>""</f>
        <v/>
      </c>
      <c r="CQ444" t="str">
        <f>""</f>
        <v/>
      </c>
    </row>
    <row r="445" spans="1:96" x14ac:dyDescent="0.2">
      <c r="A445" t="s">
        <v>11091</v>
      </c>
      <c r="B445" t="s">
        <v>96</v>
      </c>
      <c r="C445" s="1">
        <v>44098</v>
      </c>
      <c r="D445" s="1">
        <v>44105</v>
      </c>
      <c r="F445" t="s">
        <v>97</v>
      </c>
      <c r="G445" t="str">
        <f>"SR. APPLICATION ARCHITECT"</f>
        <v>SR. APPLICATION ARCHITECT</v>
      </c>
      <c r="H445" t="s">
        <v>12176</v>
      </c>
      <c r="I445" t="s">
        <v>246</v>
      </c>
      <c r="J445" t="s">
        <v>98</v>
      </c>
      <c r="K445" s="1">
        <v>44105</v>
      </c>
      <c r="L445" s="1">
        <v>45199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 t="s">
        <v>9484</v>
      </c>
      <c r="U445" t="str">
        <f>""</f>
        <v/>
      </c>
      <c r="V445" t="s">
        <v>9485</v>
      </c>
      <c r="W445" t="str">
        <f>"2nd Floor"</f>
        <v>2nd Floor</v>
      </c>
      <c r="X445" t="s">
        <v>447</v>
      </c>
      <c r="Y445" t="s">
        <v>100</v>
      </c>
      <c r="Z445" s="3">
        <v>8830</v>
      </c>
      <c r="AA445" t="s">
        <v>101</v>
      </c>
      <c r="AC445" s="4" t="str">
        <f>"+17327104495"</f>
        <v>+17327104495</v>
      </c>
      <c r="AE445" t="str">
        <f t="shared" si="25"/>
        <v>541511</v>
      </c>
      <c r="AF445" t="s">
        <v>9486</v>
      </c>
      <c r="AG445" t="s">
        <v>4022</v>
      </c>
      <c r="AI445" t="s">
        <v>508</v>
      </c>
      <c r="AJ445" t="s">
        <v>9485</v>
      </c>
      <c r="AK445" t="str">
        <f>"2nd Floor"</f>
        <v>2nd Floor</v>
      </c>
      <c r="AL445" t="s">
        <v>447</v>
      </c>
      <c r="AM445" t="s">
        <v>100</v>
      </c>
      <c r="AN445" s="3">
        <v>8830</v>
      </c>
      <c r="AO445" t="s">
        <v>101</v>
      </c>
      <c r="AQ445" t="str">
        <f>"+17327104495"</f>
        <v>+17327104495</v>
      </c>
      <c r="AR445">
        <v>1</v>
      </c>
      <c r="AS445" t="s">
        <v>9487</v>
      </c>
      <c r="AT445" t="s">
        <v>107</v>
      </c>
      <c r="AU445" t="str">
        <f>"Senanayake"</f>
        <v>Senanayake</v>
      </c>
      <c r="AV445" t="str">
        <f>"Dakshini"</f>
        <v>Dakshini</v>
      </c>
      <c r="AW445" t="str">
        <f>"R"</f>
        <v>R</v>
      </c>
      <c r="AX445" t="str">
        <f>"P.O. Box 770278"</f>
        <v>P.O. Box 770278</v>
      </c>
      <c r="AY445" t="str">
        <f>""</f>
        <v/>
      </c>
      <c r="AZ445" t="str">
        <f>"Houston"</f>
        <v>Houston</v>
      </c>
      <c r="BA445" t="str">
        <f>"TX"</f>
        <v>TX</v>
      </c>
      <c r="BB445" s="3">
        <v>77215</v>
      </c>
      <c r="BC445" t="str">
        <f>"UNITED STATES OF AMERICA"</f>
        <v>UNITED STATES OF AMERICA</v>
      </c>
      <c r="BD445" t="str">
        <f>""</f>
        <v/>
      </c>
      <c r="BE445" t="str">
        <f>"+17133372532"</f>
        <v>+17133372532</v>
      </c>
      <c r="BF445" t="str">
        <f>"108"</f>
        <v>108</v>
      </c>
      <c r="BG445" t="str">
        <f>"dakshini@dakshinisen.com"</f>
        <v>dakshini@dakshinisen.com</v>
      </c>
      <c r="BH445" t="str">
        <f>"Law Offices of Dakshini R. Sen P.C."</f>
        <v>Law Offices of Dakshini R. Sen P.C.</v>
      </c>
      <c r="BI445" t="str">
        <f>"NY"</f>
        <v>NY</v>
      </c>
      <c r="BJ445" t="str">
        <f>"Supreme Court of New York"</f>
        <v>Supreme Court of New York</v>
      </c>
      <c r="BK445">
        <v>1</v>
      </c>
      <c r="BL445" t="s">
        <v>102</v>
      </c>
      <c r="BM445" t="str">
        <f>""</f>
        <v/>
      </c>
      <c r="BN445" t="s">
        <v>11092</v>
      </c>
      <c r="BO445" t="s">
        <v>10749</v>
      </c>
      <c r="BP445" t="s">
        <v>5249</v>
      </c>
      <c r="BQ445" t="s">
        <v>4399</v>
      </c>
      <c r="BR445" t="s">
        <v>265</v>
      </c>
      <c r="BS445" s="5">
        <v>48823</v>
      </c>
      <c r="BT445" s="2">
        <v>110000</v>
      </c>
      <c r="BV445" t="s">
        <v>105</v>
      </c>
      <c r="BW445" s="2">
        <v>90667</v>
      </c>
      <c r="BX445" t="s">
        <v>105</v>
      </c>
      <c r="BZ445" t="s">
        <v>159</v>
      </c>
      <c r="CA445" t="str">
        <f t="shared" si="24"/>
        <v>7/1/2020 - 6/30/2021</v>
      </c>
      <c r="CF445">
        <v>2</v>
      </c>
      <c r="CG445" t="s">
        <v>98</v>
      </c>
      <c r="CH445" t="s">
        <v>98</v>
      </c>
      <c r="CI445" t="s">
        <v>206</v>
      </c>
      <c r="CJ445" t="s">
        <v>98</v>
      </c>
      <c r="CK445" t="s">
        <v>12324</v>
      </c>
      <c r="CL445" t="s">
        <v>108</v>
      </c>
      <c r="CM445" t="s">
        <v>109</v>
      </c>
      <c r="CN445" t="str">
        <f>"SENANAYAKE"</f>
        <v>SENANAYAKE</v>
      </c>
      <c r="CO445" t="str">
        <f>"DAKSHINI"</f>
        <v>DAKSHINI</v>
      </c>
      <c r="CP445" t="str">
        <f>"R"</f>
        <v>R</v>
      </c>
      <c r="CQ445" t="str">
        <f>"LAW OFFICES OF DAKSHINI R SEN, P.C."</f>
        <v>LAW OFFICES OF DAKSHINI R SEN, P.C.</v>
      </c>
      <c r="CR445" t="s">
        <v>4061</v>
      </c>
    </row>
    <row r="446" spans="1:96" x14ac:dyDescent="0.2">
      <c r="A446" t="s">
        <v>11104</v>
      </c>
      <c r="B446" t="s">
        <v>96</v>
      </c>
      <c r="C446" s="1">
        <v>44098</v>
      </c>
      <c r="D446" s="1">
        <v>44105</v>
      </c>
      <c r="F446" t="s">
        <v>97</v>
      </c>
      <c r="G446" t="str">
        <f>"Software Developer II"</f>
        <v>Software Developer II</v>
      </c>
      <c r="H446" t="s">
        <v>12169</v>
      </c>
      <c r="I446" t="s">
        <v>124</v>
      </c>
      <c r="J446" t="s">
        <v>98</v>
      </c>
      <c r="K446" s="1">
        <v>44254</v>
      </c>
      <c r="L446" s="1">
        <v>45349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 t="s">
        <v>11105</v>
      </c>
      <c r="U446" t="str">
        <f>""</f>
        <v/>
      </c>
      <c r="V446" t="s">
        <v>11106</v>
      </c>
      <c r="W446" t="str">
        <f>"Suite 1100"</f>
        <v>Suite 1100</v>
      </c>
      <c r="X446" t="s">
        <v>2432</v>
      </c>
      <c r="Y446" t="s">
        <v>100</v>
      </c>
      <c r="Z446" s="3">
        <v>8619</v>
      </c>
      <c r="AA446" t="s">
        <v>101</v>
      </c>
      <c r="AC446" s="4" t="str">
        <f>"+16098485700"</f>
        <v>+16098485700</v>
      </c>
      <c r="AE446" t="str">
        <f t="shared" si="25"/>
        <v>541511</v>
      </c>
      <c r="AF446" t="s">
        <v>11107</v>
      </c>
      <c r="AG446" t="s">
        <v>11108</v>
      </c>
      <c r="AI446" t="s">
        <v>508</v>
      </c>
      <c r="AJ446" t="s">
        <v>11109</v>
      </c>
      <c r="AK446" t="str">
        <f>"Suite 1100"</f>
        <v>Suite 1100</v>
      </c>
      <c r="AL446" t="s">
        <v>2432</v>
      </c>
      <c r="AM446" t="s">
        <v>100</v>
      </c>
      <c r="AN446" s="3">
        <v>8619</v>
      </c>
      <c r="AO446" t="s">
        <v>101</v>
      </c>
      <c r="AQ446" t="str">
        <f>"+16098485702"</f>
        <v>+16098485702</v>
      </c>
      <c r="AS446" t="s">
        <v>11110</v>
      </c>
      <c r="AT446" t="s">
        <v>102</v>
      </c>
      <c r="AU446" t="str">
        <f>""</f>
        <v/>
      </c>
      <c r="AV446" t="str">
        <f>""</f>
        <v/>
      </c>
      <c r="AW446" t="str">
        <f>""</f>
        <v/>
      </c>
      <c r="AX446" t="str">
        <f>""</f>
        <v/>
      </c>
      <c r="AY446" t="str">
        <f>""</f>
        <v/>
      </c>
      <c r="AZ446" t="str">
        <f>""</f>
        <v/>
      </c>
      <c r="BA446" t="str">
        <f>""</f>
        <v/>
      </c>
      <c r="BC446" t="str">
        <f>""</f>
        <v/>
      </c>
      <c r="BD446" t="str">
        <f>""</f>
        <v/>
      </c>
      <c r="BE446" t="str">
        <f>""</f>
        <v/>
      </c>
      <c r="BF446" t="str">
        <f>""</f>
        <v/>
      </c>
      <c r="BG446" t="str">
        <f>""</f>
        <v/>
      </c>
      <c r="BH446" t="str">
        <f>""</f>
        <v/>
      </c>
      <c r="BI446" t="str">
        <f>""</f>
        <v/>
      </c>
      <c r="BJ446" t="str">
        <f>""</f>
        <v/>
      </c>
      <c r="BK446">
        <v>1</v>
      </c>
      <c r="BL446" t="s">
        <v>107</v>
      </c>
      <c r="BM446" t="str">
        <f>"Merck &amp; Co, Inc"</f>
        <v>Merck &amp; Co, Inc</v>
      </c>
      <c r="BN446" t="s">
        <v>2948</v>
      </c>
      <c r="BP446" t="s">
        <v>2949</v>
      </c>
      <c r="BQ446" t="s">
        <v>529</v>
      </c>
      <c r="BR446" t="s">
        <v>127</v>
      </c>
      <c r="BS446" s="5">
        <v>19446</v>
      </c>
      <c r="BT446" s="2">
        <v>89773</v>
      </c>
      <c r="BV446" t="s">
        <v>105</v>
      </c>
      <c r="BW446" s="2">
        <v>89773</v>
      </c>
      <c r="BX446" t="s">
        <v>105</v>
      </c>
      <c r="BZ446" t="s">
        <v>167</v>
      </c>
      <c r="CA446" t="str">
        <f t="shared" si="24"/>
        <v>7/1/2020 - 6/30/2021</v>
      </c>
      <c r="CF446">
        <v>2</v>
      </c>
      <c r="CG446" t="s">
        <v>98</v>
      </c>
      <c r="CH446" t="s">
        <v>98</v>
      </c>
      <c r="CI446" t="s">
        <v>206</v>
      </c>
      <c r="CJ446" t="s">
        <v>98</v>
      </c>
      <c r="CK446" t="s">
        <v>12324</v>
      </c>
      <c r="CL446" t="s">
        <v>108</v>
      </c>
      <c r="CM446" t="s">
        <v>109</v>
      </c>
      <c r="CN446" t="str">
        <f>""</f>
        <v/>
      </c>
      <c r="CO446" t="str">
        <f>""</f>
        <v/>
      </c>
      <c r="CP446" t="str">
        <f>""</f>
        <v/>
      </c>
      <c r="CQ446" t="str">
        <f>""</f>
        <v/>
      </c>
    </row>
    <row r="447" spans="1:96" x14ac:dyDescent="0.2">
      <c r="A447" t="s">
        <v>11116</v>
      </c>
      <c r="B447" t="s">
        <v>96</v>
      </c>
      <c r="C447" s="1">
        <v>44098</v>
      </c>
      <c r="D447" s="1">
        <v>44105</v>
      </c>
      <c r="F447" t="s">
        <v>97</v>
      </c>
      <c r="G447" t="str">
        <f>"Software Developer"</f>
        <v>Software Developer</v>
      </c>
      <c r="H447" t="s">
        <v>12169</v>
      </c>
      <c r="I447" t="s">
        <v>124</v>
      </c>
      <c r="J447" t="s">
        <v>98</v>
      </c>
      <c r="K447" s="1">
        <v>44098</v>
      </c>
      <c r="L447" s="1">
        <v>45192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 t="s">
        <v>2284</v>
      </c>
      <c r="U447" t="str">
        <f>""</f>
        <v/>
      </c>
      <c r="V447" t="s">
        <v>2196</v>
      </c>
      <c r="W447" t="str">
        <f>"Suite 103"</f>
        <v>Suite 103</v>
      </c>
      <c r="X447" t="s">
        <v>2197</v>
      </c>
      <c r="Y447" t="s">
        <v>100</v>
      </c>
      <c r="Z447" s="3">
        <v>8520</v>
      </c>
      <c r="AA447" t="s">
        <v>101</v>
      </c>
      <c r="AC447" s="4" t="str">
        <f>"+14086540400"</f>
        <v>+14086540400</v>
      </c>
      <c r="AE447" t="str">
        <f t="shared" si="25"/>
        <v>541511</v>
      </c>
      <c r="AF447" t="s">
        <v>2198</v>
      </c>
      <c r="AG447" t="s">
        <v>2199</v>
      </c>
      <c r="AH447" t="s">
        <v>477</v>
      </c>
      <c r="AI447" t="s">
        <v>508</v>
      </c>
      <c r="AJ447" t="s">
        <v>2196</v>
      </c>
      <c r="AK447" t="str">
        <f>"Suite 103"</f>
        <v>Suite 103</v>
      </c>
      <c r="AL447" t="s">
        <v>2197</v>
      </c>
      <c r="AM447" t="s">
        <v>100</v>
      </c>
      <c r="AN447" s="3">
        <v>8520</v>
      </c>
      <c r="AO447" t="s">
        <v>101</v>
      </c>
      <c r="AQ447" t="str">
        <f>"+14086540400"</f>
        <v>+14086540400</v>
      </c>
      <c r="AS447" t="s">
        <v>2285</v>
      </c>
      <c r="AT447" t="s">
        <v>102</v>
      </c>
      <c r="AU447" t="str">
        <f>""</f>
        <v/>
      </c>
      <c r="AV447" t="str">
        <f>""</f>
        <v/>
      </c>
      <c r="AW447" t="str">
        <f>""</f>
        <v/>
      </c>
      <c r="AX447" t="str">
        <f>""</f>
        <v/>
      </c>
      <c r="AY447" t="str">
        <f>""</f>
        <v/>
      </c>
      <c r="AZ447" t="str">
        <f>""</f>
        <v/>
      </c>
      <c r="BA447" t="str">
        <f>""</f>
        <v/>
      </c>
      <c r="BC447" t="str">
        <f>""</f>
        <v/>
      </c>
      <c r="BD447" t="str">
        <f>""</f>
        <v/>
      </c>
      <c r="BE447" t="str">
        <f>""</f>
        <v/>
      </c>
      <c r="BF447" t="str">
        <f>""</f>
        <v/>
      </c>
      <c r="BG447" t="str">
        <f>""</f>
        <v/>
      </c>
      <c r="BH447" t="str">
        <f>""</f>
        <v/>
      </c>
      <c r="BI447" t="str">
        <f>""</f>
        <v/>
      </c>
      <c r="BJ447" t="str">
        <f>""</f>
        <v/>
      </c>
      <c r="BK447">
        <v>1</v>
      </c>
      <c r="BL447" t="s">
        <v>107</v>
      </c>
      <c r="BM447" t="str">
        <f>"Reyes Holdings"</f>
        <v>Reyes Holdings</v>
      </c>
      <c r="BN447" t="s">
        <v>11117</v>
      </c>
      <c r="BP447" t="s">
        <v>833</v>
      </c>
      <c r="BQ447" t="s">
        <v>788</v>
      </c>
      <c r="BR447" t="s">
        <v>345</v>
      </c>
      <c r="BS447" s="5">
        <v>60642</v>
      </c>
      <c r="BT447" s="2">
        <v>87838</v>
      </c>
      <c r="BU447" s="2">
        <v>88000</v>
      </c>
      <c r="BV447" t="s">
        <v>105</v>
      </c>
      <c r="BW447" s="2">
        <v>87838</v>
      </c>
      <c r="BX447" t="s">
        <v>105</v>
      </c>
      <c r="BZ447" t="s">
        <v>167</v>
      </c>
      <c r="CA447" t="str">
        <f t="shared" si="24"/>
        <v>7/1/2020 - 6/30/2021</v>
      </c>
      <c r="CF447">
        <v>2</v>
      </c>
      <c r="CG447" t="s">
        <v>98</v>
      </c>
      <c r="CH447" t="s">
        <v>98</v>
      </c>
      <c r="CI447" t="s">
        <v>206</v>
      </c>
      <c r="CJ447" t="s">
        <v>98</v>
      </c>
      <c r="CK447" t="s">
        <v>12324</v>
      </c>
      <c r="CL447" t="s">
        <v>108</v>
      </c>
      <c r="CM447" t="s">
        <v>109</v>
      </c>
      <c r="CN447" t="str">
        <f>""</f>
        <v/>
      </c>
      <c r="CO447" t="str">
        <f>""</f>
        <v/>
      </c>
      <c r="CP447" t="str">
        <f>""</f>
        <v/>
      </c>
      <c r="CQ447" t="str">
        <f>""</f>
        <v/>
      </c>
    </row>
    <row r="448" spans="1:96" x14ac:dyDescent="0.2">
      <c r="A448" t="s">
        <v>11130</v>
      </c>
      <c r="B448" t="s">
        <v>96</v>
      </c>
      <c r="C448" s="1">
        <v>44098</v>
      </c>
      <c r="D448" s="1">
        <v>44105</v>
      </c>
      <c r="F448" t="s">
        <v>97</v>
      </c>
      <c r="G448" t="str">
        <f>"Software Developer "</f>
        <v xml:space="preserve">Software Developer </v>
      </c>
      <c r="H448" t="s">
        <v>12169</v>
      </c>
      <c r="I448" t="s">
        <v>124</v>
      </c>
      <c r="J448" t="s">
        <v>98</v>
      </c>
      <c r="K448" s="1">
        <v>44105</v>
      </c>
      <c r="L448" s="1">
        <v>45199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8037</v>
      </c>
      <c r="U448" t="str">
        <f>""</f>
        <v/>
      </c>
      <c r="V448" t="s">
        <v>8038</v>
      </c>
      <c r="W448" t="str">
        <f>"SUITE 121"</f>
        <v>SUITE 121</v>
      </c>
      <c r="X448" t="s">
        <v>1487</v>
      </c>
      <c r="Y448" t="s">
        <v>114</v>
      </c>
      <c r="Z448" s="3">
        <v>75038</v>
      </c>
      <c r="AA448" t="s">
        <v>101</v>
      </c>
      <c r="AC448" s="4" t="str">
        <f>"+19794460022"</f>
        <v>+19794460022</v>
      </c>
      <c r="AE448" t="str">
        <f t="shared" si="25"/>
        <v>541511</v>
      </c>
      <c r="AF448" t="s">
        <v>8039</v>
      </c>
      <c r="AG448" t="s">
        <v>1638</v>
      </c>
      <c r="AI448" t="s">
        <v>629</v>
      </c>
      <c r="AJ448" t="s">
        <v>8038</v>
      </c>
      <c r="AK448" t="str">
        <f>"SUITE 121"</f>
        <v>SUITE 121</v>
      </c>
      <c r="AL448" t="s">
        <v>1487</v>
      </c>
      <c r="AM448" t="s">
        <v>114</v>
      </c>
      <c r="AN448" s="3">
        <v>75038</v>
      </c>
      <c r="AO448" t="s">
        <v>101</v>
      </c>
      <c r="AQ448" t="str">
        <f>"+19794460022"</f>
        <v>+19794460022</v>
      </c>
      <c r="AS448" t="s">
        <v>8040</v>
      </c>
      <c r="AT448" t="s">
        <v>107</v>
      </c>
      <c r="AU448" t="str">
        <f>"Akula"</f>
        <v>Akula</v>
      </c>
      <c r="AV448" t="str">
        <f>"Kavitha"</f>
        <v>Kavitha</v>
      </c>
      <c r="AW448" t="str">
        <f>""</f>
        <v/>
      </c>
      <c r="AX448" t="str">
        <f>"17400 DALLAS PKWY"</f>
        <v>17400 DALLAS PKWY</v>
      </c>
      <c r="AY448" t="str">
        <f>"SUITE 216"</f>
        <v>SUITE 216</v>
      </c>
      <c r="AZ448" t="str">
        <f>"DALLAS"</f>
        <v>DALLAS</v>
      </c>
      <c r="BA448" t="str">
        <f>"TX"</f>
        <v>TX</v>
      </c>
      <c r="BB448" s="3">
        <v>75287</v>
      </c>
      <c r="BC448" t="str">
        <f>"UNITED STATES OF AMERICA"</f>
        <v>UNITED STATES OF AMERICA</v>
      </c>
      <c r="BD448" t="str">
        <f>""</f>
        <v/>
      </c>
      <c r="BE448" t="str">
        <f>"+19722414698"</f>
        <v>+19722414698</v>
      </c>
      <c r="BF448" t="str">
        <f>""</f>
        <v/>
      </c>
      <c r="BG448" t="str">
        <f>"ali.elhorr@akulalaw.com"</f>
        <v>ali.elhorr@akulalaw.com</v>
      </c>
      <c r="BH448" t="str">
        <f>"Akula &amp; Associates, P.C."</f>
        <v>Akula &amp; Associates, P.C.</v>
      </c>
      <c r="BI448" t="str">
        <f>"TX"</f>
        <v>TX</v>
      </c>
      <c r="BJ448" t="str">
        <f>"SUPREME COURT"</f>
        <v>SUPREME COURT</v>
      </c>
      <c r="BK448">
        <v>1</v>
      </c>
      <c r="BL448" t="s">
        <v>102</v>
      </c>
      <c r="BM448" t="str">
        <f>""</f>
        <v/>
      </c>
      <c r="BN448" t="s">
        <v>11074</v>
      </c>
      <c r="BP448" t="s">
        <v>483</v>
      </c>
      <c r="BQ448" t="s">
        <v>484</v>
      </c>
      <c r="BR448" t="s">
        <v>114</v>
      </c>
      <c r="BS448" s="5">
        <v>75038</v>
      </c>
      <c r="BT448" s="2">
        <v>93558</v>
      </c>
      <c r="BU448" s="2">
        <v>93560</v>
      </c>
      <c r="BV448" t="s">
        <v>105</v>
      </c>
      <c r="BW448" s="2">
        <v>93558</v>
      </c>
      <c r="BX448" t="s">
        <v>105</v>
      </c>
      <c r="BZ448" t="s">
        <v>167</v>
      </c>
      <c r="CA448" t="str">
        <f t="shared" si="24"/>
        <v>7/1/2020 - 6/30/2021</v>
      </c>
      <c r="CF448">
        <v>1</v>
      </c>
      <c r="CG448" t="s">
        <v>98</v>
      </c>
      <c r="CH448" t="s">
        <v>98</v>
      </c>
      <c r="CI448" t="s">
        <v>206</v>
      </c>
      <c r="CJ448" t="s">
        <v>98</v>
      </c>
      <c r="CK448" t="s">
        <v>12324</v>
      </c>
      <c r="CL448" t="s">
        <v>108</v>
      </c>
      <c r="CM448" t="s">
        <v>109</v>
      </c>
      <c r="CN448" t="str">
        <f>""</f>
        <v/>
      </c>
      <c r="CO448" t="str">
        <f>""</f>
        <v/>
      </c>
      <c r="CP448" t="str">
        <f>""</f>
        <v/>
      </c>
      <c r="CQ448" t="str">
        <f>""</f>
        <v/>
      </c>
    </row>
    <row r="449" spans="1:96" x14ac:dyDescent="0.2">
      <c r="A449" t="s">
        <v>11149</v>
      </c>
      <c r="B449" t="s">
        <v>96</v>
      </c>
      <c r="C449" s="1">
        <v>44098</v>
      </c>
      <c r="D449" s="1">
        <v>44105</v>
      </c>
      <c r="F449" t="s">
        <v>97</v>
      </c>
      <c r="G449" t="str">
        <f>"Design Release Engineer"</f>
        <v>Design Release Engineer</v>
      </c>
      <c r="H449" t="s">
        <v>12196</v>
      </c>
      <c r="I449" t="s">
        <v>322</v>
      </c>
      <c r="J449" t="s">
        <v>206</v>
      </c>
      <c r="K449" s="1">
        <v>44109</v>
      </c>
      <c r="L449" s="1">
        <v>45203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 t="s">
        <v>3447</v>
      </c>
      <c r="U449" t="str">
        <f>"ALTAIR PRODUCTDESIGN, INC."</f>
        <v>ALTAIR PRODUCTDESIGN, INC.</v>
      </c>
      <c r="V449" t="s">
        <v>3448</v>
      </c>
      <c r="W449" t="str">
        <f>""</f>
        <v/>
      </c>
      <c r="X449" t="s">
        <v>312</v>
      </c>
      <c r="Y449" t="s">
        <v>265</v>
      </c>
      <c r="Z449" s="3">
        <v>48083</v>
      </c>
      <c r="AA449" t="s">
        <v>101</v>
      </c>
      <c r="AC449" s="4" t="str">
        <f>"+12486142400"</f>
        <v>+12486142400</v>
      </c>
      <c r="AD449">
        <v>275</v>
      </c>
      <c r="AE449" t="str">
        <f>"54133"</f>
        <v>54133</v>
      </c>
      <c r="AF449" t="s">
        <v>489</v>
      </c>
      <c r="AG449" t="s">
        <v>2092</v>
      </c>
      <c r="AH449" t="s">
        <v>5511</v>
      </c>
      <c r="AI449" t="s">
        <v>3449</v>
      </c>
      <c r="AJ449" t="s">
        <v>3448</v>
      </c>
      <c r="AK449" t="str">
        <f>""</f>
        <v/>
      </c>
      <c r="AL449" t="s">
        <v>312</v>
      </c>
      <c r="AM449" t="s">
        <v>265</v>
      </c>
      <c r="AN449" s="3">
        <v>48083</v>
      </c>
      <c r="AO449" t="s">
        <v>101</v>
      </c>
      <c r="AQ449" t="str">
        <f>"+12486142400"</f>
        <v>+12486142400</v>
      </c>
      <c r="AR449">
        <v>275</v>
      </c>
      <c r="AS449" t="s">
        <v>3450</v>
      </c>
      <c r="AT449" t="s">
        <v>107</v>
      </c>
      <c r="AU449" t="str">
        <f>"Freijy"</f>
        <v>Freijy</v>
      </c>
      <c r="AV449" t="str">
        <f>"Leila"</f>
        <v>Leila</v>
      </c>
      <c r="AW449" t="str">
        <f>""</f>
        <v/>
      </c>
      <c r="AX449" t="str">
        <f>"3150 Livernois Rd."</f>
        <v>3150 Livernois Rd.</v>
      </c>
      <c r="AY449" t="str">
        <f>"Ste 103"</f>
        <v>Ste 103</v>
      </c>
      <c r="AZ449" t="str">
        <f>"Troy"</f>
        <v>Troy</v>
      </c>
      <c r="BA449" t="str">
        <f>"MI"</f>
        <v>MI</v>
      </c>
      <c r="BB449" s="3">
        <v>48083</v>
      </c>
      <c r="BC449" t="str">
        <f>"UNITED STATES OF AMERICA"</f>
        <v>UNITED STATES OF AMERICA</v>
      </c>
      <c r="BD449" t="str">
        <f>""</f>
        <v/>
      </c>
      <c r="BE449" t="str">
        <f>"+12488178280"</f>
        <v>+12488178280</v>
      </c>
      <c r="BF449" t="str">
        <f>""</f>
        <v/>
      </c>
      <c r="BG449" t="str">
        <f>"leila@freijylaw.com"</f>
        <v>leila@freijylaw.com</v>
      </c>
      <c r="BH449" t="str">
        <f>"Law Office of Leila Freijy PLLC"</f>
        <v>Law Office of Leila Freijy PLLC</v>
      </c>
      <c r="BI449" t="str">
        <f>"MI"</f>
        <v>MI</v>
      </c>
      <c r="BJ449" t="str">
        <f>"Supreme Court"</f>
        <v>Supreme Court</v>
      </c>
      <c r="BK449">
        <v>1</v>
      </c>
      <c r="BL449" t="s">
        <v>107</v>
      </c>
      <c r="BM449" t="str">
        <f>"Lear,"</f>
        <v>Lear,</v>
      </c>
      <c r="BN449" t="s">
        <v>11150</v>
      </c>
      <c r="BP449" t="s">
        <v>4551</v>
      </c>
      <c r="BQ449" t="s">
        <v>484</v>
      </c>
      <c r="BR449" t="s">
        <v>114</v>
      </c>
      <c r="BS449" s="5">
        <v>75050</v>
      </c>
      <c r="BT449" s="2">
        <v>41.48</v>
      </c>
      <c r="BV449" t="s">
        <v>210</v>
      </c>
      <c r="BW449" s="2">
        <v>41.48</v>
      </c>
      <c r="BX449" t="s">
        <v>210</v>
      </c>
      <c r="BZ449" t="s">
        <v>167</v>
      </c>
      <c r="CA449" t="str">
        <f t="shared" si="24"/>
        <v>7/1/2020 - 6/30/2021</v>
      </c>
      <c r="CF449">
        <v>2</v>
      </c>
      <c r="CG449" t="s">
        <v>98</v>
      </c>
      <c r="CH449" t="s">
        <v>98</v>
      </c>
      <c r="CI449" t="s">
        <v>206</v>
      </c>
      <c r="CJ449" t="s">
        <v>98</v>
      </c>
      <c r="CK449" t="s">
        <v>12324</v>
      </c>
      <c r="CL449" t="s">
        <v>108</v>
      </c>
      <c r="CM449" t="s">
        <v>109</v>
      </c>
      <c r="CN449" t="str">
        <f>""</f>
        <v/>
      </c>
      <c r="CO449" t="str">
        <f>""</f>
        <v/>
      </c>
      <c r="CP449" t="str">
        <f>""</f>
        <v/>
      </c>
      <c r="CQ449" t="str">
        <f>""</f>
        <v/>
      </c>
    </row>
    <row r="450" spans="1:96" x14ac:dyDescent="0.2">
      <c r="A450" t="s">
        <v>11235</v>
      </c>
      <c r="B450" t="s">
        <v>96</v>
      </c>
      <c r="C450" s="1">
        <v>44098</v>
      </c>
      <c r="D450" s="1">
        <v>44105</v>
      </c>
      <c r="F450" t="s">
        <v>97</v>
      </c>
      <c r="G450" t="str">
        <f>"Software Engineer"</f>
        <v>Software Engineer</v>
      </c>
      <c r="H450" t="s">
        <v>12169</v>
      </c>
      <c r="I450" t="s">
        <v>124</v>
      </c>
      <c r="J450" t="s">
        <v>98</v>
      </c>
      <c r="K450" s="1">
        <v>44105</v>
      </c>
      <c r="L450" s="1">
        <v>45199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 t="s">
        <v>6526</v>
      </c>
      <c r="U450" t="str">
        <f>""</f>
        <v/>
      </c>
      <c r="V450" t="s">
        <v>6527</v>
      </c>
      <c r="W450" t="str">
        <f>"Ste. 200"</f>
        <v>Ste. 200</v>
      </c>
      <c r="X450" t="s">
        <v>348</v>
      </c>
      <c r="Y450" t="s">
        <v>265</v>
      </c>
      <c r="Z450" s="3">
        <v>48083</v>
      </c>
      <c r="AA450" t="s">
        <v>101</v>
      </c>
      <c r="AC450" s="4" t="str">
        <f>"+12485776050"</f>
        <v>+12485776050</v>
      </c>
      <c r="AE450" t="str">
        <f>"5613"</f>
        <v>5613</v>
      </c>
      <c r="AF450" t="s">
        <v>6528</v>
      </c>
      <c r="AG450" t="s">
        <v>4227</v>
      </c>
      <c r="AI450" t="s">
        <v>508</v>
      </c>
      <c r="AJ450" t="s">
        <v>6529</v>
      </c>
      <c r="AK450" t="str">
        <f>"Ste. 200"</f>
        <v>Ste. 200</v>
      </c>
      <c r="AL450" t="s">
        <v>348</v>
      </c>
      <c r="AM450" t="s">
        <v>265</v>
      </c>
      <c r="AN450" s="3">
        <v>48083</v>
      </c>
      <c r="AO450" t="s">
        <v>101</v>
      </c>
      <c r="AQ450" t="str">
        <f>"+12485776050"</f>
        <v>+12485776050</v>
      </c>
      <c r="AR450">
        <v>3</v>
      </c>
      <c r="AS450" t="s">
        <v>6530</v>
      </c>
      <c r="AT450" t="s">
        <v>107</v>
      </c>
      <c r="AU450" t="str">
        <f>"Judge"</f>
        <v>Judge</v>
      </c>
      <c r="AV450" t="str">
        <f>"Sartaj"</f>
        <v>Sartaj</v>
      </c>
      <c r="AW450" t="str">
        <f>""</f>
        <v/>
      </c>
      <c r="AX450" t="str">
        <f>"7031 Orchard Lake Road"</f>
        <v>7031 Orchard Lake Road</v>
      </c>
      <c r="AY450" t="str">
        <f>"Suite 302"</f>
        <v>Suite 302</v>
      </c>
      <c r="AZ450" t="str">
        <f>"West Bloomfield"</f>
        <v>West Bloomfield</v>
      </c>
      <c r="BA450" t="str">
        <f>"MI"</f>
        <v>MI</v>
      </c>
      <c r="BB450" s="3">
        <v>48322</v>
      </c>
      <c r="BC450" t="str">
        <f>"UNITED STATES OF AMERICA"</f>
        <v>UNITED STATES OF AMERICA</v>
      </c>
      <c r="BD450" t="str">
        <f>""</f>
        <v/>
      </c>
      <c r="BE450" t="str">
        <f>"+12488653331"</f>
        <v>+12488653331</v>
      </c>
      <c r="BF450" t="str">
        <f>""</f>
        <v/>
      </c>
      <c r="BG450" t="str">
        <f>"sjudge@insvisa.com"</f>
        <v>sjudge@insvisa.com</v>
      </c>
      <c r="BH450" t="str">
        <f>"Joseph Kallabat &amp; Associates, P.C."</f>
        <v>Joseph Kallabat &amp; Associates, P.C.</v>
      </c>
      <c r="BI450" t="str">
        <f>"MI"</f>
        <v>MI</v>
      </c>
      <c r="BJ450" t="str">
        <f>"Michigan Supreme Court"</f>
        <v>Michigan Supreme Court</v>
      </c>
      <c r="BK450">
        <v>1</v>
      </c>
      <c r="BL450" t="s">
        <v>107</v>
      </c>
      <c r="BM450" t="str">
        <f>"United Services Automobile Association (USAA)"</f>
        <v>United Services Automobile Association (USAA)</v>
      </c>
      <c r="BN450" t="s">
        <v>11236</v>
      </c>
      <c r="BP450" t="s">
        <v>297</v>
      </c>
      <c r="BQ450" t="s">
        <v>556</v>
      </c>
      <c r="BR450" t="s">
        <v>114</v>
      </c>
      <c r="BS450" s="5">
        <v>75024</v>
      </c>
      <c r="BT450" s="2">
        <v>95000</v>
      </c>
      <c r="BV450" t="s">
        <v>105</v>
      </c>
      <c r="BW450" s="2">
        <v>93558</v>
      </c>
      <c r="BX450" t="s">
        <v>105</v>
      </c>
      <c r="BZ450" t="s">
        <v>167</v>
      </c>
      <c r="CA450" t="str">
        <f t="shared" si="24"/>
        <v>7/1/2020 - 6/30/2021</v>
      </c>
      <c r="CF450">
        <v>2</v>
      </c>
      <c r="CG450" t="s">
        <v>98</v>
      </c>
      <c r="CH450" t="s">
        <v>98</v>
      </c>
      <c r="CI450" t="s">
        <v>206</v>
      </c>
      <c r="CJ450" t="s">
        <v>98</v>
      </c>
      <c r="CK450" t="s">
        <v>12324</v>
      </c>
      <c r="CL450" t="s">
        <v>108</v>
      </c>
      <c r="CM450" t="s">
        <v>109</v>
      </c>
      <c r="CN450" t="str">
        <f>""</f>
        <v/>
      </c>
      <c r="CO450" t="str">
        <f>""</f>
        <v/>
      </c>
      <c r="CP450" t="str">
        <f>""</f>
        <v/>
      </c>
      <c r="CQ450" t="str">
        <f>""</f>
        <v/>
      </c>
    </row>
    <row r="451" spans="1:96" x14ac:dyDescent="0.2">
      <c r="A451" t="s">
        <v>11256</v>
      </c>
      <c r="B451" t="s">
        <v>96</v>
      </c>
      <c r="C451" s="1">
        <v>44098</v>
      </c>
      <c r="D451" s="1">
        <v>44105</v>
      </c>
      <c r="F451" t="s">
        <v>97</v>
      </c>
      <c r="G451" t="str">
        <f>"SALESFORCE DEVELOPER"</f>
        <v>SALESFORCE DEVELOPER</v>
      </c>
      <c r="H451" t="s">
        <v>12169</v>
      </c>
      <c r="I451" t="s">
        <v>124</v>
      </c>
      <c r="J451" t="s">
        <v>98</v>
      </c>
      <c r="K451" s="1">
        <v>44105</v>
      </c>
      <c r="L451" s="1">
        <v>45194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 t="s">
        <v>4283</v>
      </c>
      <c r="U451" t="str">
        <f>""</f>
        <v/>
      </c>
      <c r="V451" t="s">
        <v>4284</v>
      </c>
      <c r="W451" t="str">
        <f>"Suite 132"</f>
        <v>Suite 132</v>
      </c>
      <c r="X451" t="s">
        <v>1498</v>
      </c>
      <c r="Y451" t="s">
        <v>265</v>
      </c>
      <c r="Z451" s="3">
        <v>48335</v>
      </c>
      <c r="AA451" t="s">
        <v>101</v>
      </c>
      <c r="AC451" s="4" t="str">
        <f>"+12489875713"</f>
        <v>+12489875713</v>
      </c>
      <c r="AE451" t="str">
        <f>"541511"</f>
        <v>541511</v>
      </c>
      <c r="AF451" t="s">
        <v>407</v>
      </c>
      <c r="AG451" t="s">
        <v>3290</v>
      </c>
      <c r="AI451" t="s">
        <v>2384</v>
      </c>
      <c r="AJ451" t="s">
        <v>4284</v>
      </c>
      <c r="AK451" t="str">
        <f>"Suite 132"</f>
        <v>Suite 132</v>
      </c>
      <c r="AL451" t="s">
        <v>1498</v>
      </c>
      <c r="AM451" t="s">
        <v>265</v>
      </c>
      <c r="AN451" s="3">
        <v>48335</v>
      </c>
      <c r="AO451" t="s">
        <v>101</v>
      </c>
      <c r="AQ451" t="str">
        <f>"+12489875713"</f>
        <v>+12489875713</v>
      </c>
      <c r="AS451" t="s">
        <v>11257</v>
      </c>
      <c r="AT451" t="s">
        <v>102</v>
      </c>
      <c r="AU451" t="str">
        <f>""</f>
        <v/>
      </c>
      <c r="AV451" t="str">
        <f>""</f>
        <v/>
      </c>
      <c r="AW451" t="str">
        <f>""</f>
        <v/>
      </c>
      <c r="AX451" t="str">
        <f>""</f>
        <v/>
      </c>
      <c r="AY451" t="str">
        <f>""</f>
        <v/>
      </c>
      <c r="AZ451" t="str">
        <f>""</f>
        <v/>
      </c>
      <c r="BA451" t="str">
        <f>""</f>
        <v/>
      </c>
      <c r="BC451" t="str">
        <f>""</f>
        <v/>
      </c>
      <c r="BD451" t="str">
        <f>""</f>
        <v/>
      </c>
      <c r="BE451" t="str">
        <f>""</f>
        <v/>
      </c>
      <c r="BF451" t="str">
        <f>""</f>
        <v/>
      </c>
      <c r="BG451" t="str">
        <f>""</f>
        <v/>
      </c>
      <c r="BH451" t="str">
        <f>""</f>
        <v/>
      </c>
      <c r="BI451" t="str">
        <f>""</f>
        <v/>
      </c>
      <c r="BJ451" t="str">
        <f>""</f>
        <v/>
      </c>
      <c r="BK451">
        <v>1</v>
      </c>
      <c r="BL451" t="s">
        <v>107</v>
      </c>
      <c r="BM451" t="str">
        <f>"QUEST"</f>
        <v>QUEST</v>
      </c>
      <c r="BN451" t="s">
        <v>11258</v>
      </c>
      <c r="BP451" t="s">
        <v>11259</v>
      </c>
      <c r="BQ451" t="s">
        <v>529</v>
      </c>
      <c r="BR451" t="s">
        <v>127</v>
      </c>
      <c r="BS451" s="5">
        <v>19403</v>
      </c>
      <c r="BT451" s="2">
        <v>89800</v>
      </c>
      <c r="BV451" t="s">
        <v>105</v>
      </c>
      <c r="BW451" s="2">
        <v>89773</v>
      </c>
      <c r="BX451" t="s">
        <v>105</v>
      </c>
      <c r="BZ451" t="s">
        <v>167</v>
      </c>
      <c r="CA451" t="str">
        <f t="shared" si="24"/>
        <v>7/1/2020 - 6/30/2021</v>
      </c>
      <c r="CF451">
        <v>2</v>
      </c>
      <c r="CG451" t="s">
        <v>98</v>
      </c>
      <c r="CH451" t="s">
        <v>98</v>
      </c>
      <c r="CI451" t="s">
        <v>206</v>
      </c>
      <c r="CJ451" t="s">
        <v>98</v>
      </c>
      <c r="CK451" t="s">
        <v>12324</v>
      </c>
      <c r="CL451" t="s">
        <v>108</v>
      </c>
      <c r="CM451" t="s">
        <v>109</v>
      </c>
      <c r="CN451" t="str">
        <f>""</f>
        <v/>
      </c>
      <c r="CO451" t="str">
        <f>""</f>
        <v/>
      </c>
      <c r="CP451" t="str">
        <f>""</f>
        <v/>
      </c>
      <c r="CQ451" t="str">
        <f>""</f>
        <v/>
      </c>
    </row>
    <row r="452" spans="1:96" x14ac:dyDescent="0.2">
      <c r="A452" t="s">
        <v>11279</v>
      </c>
      <c r="B452" t="s">
        <v>96</v>
      </c>
      <c r="C452" s="1">
        <v>44098</v>
      </c>
      <c r="D452" s="1">
        <v>44105</v>
      </c>
      <c r="F452" t="s">
        <v>97</v>
      </c>
      <c r="G452" t="str">
        <f>"Software Developer"</f>
        <v>Software Developer</v>
      </c>
      <c r="H452" t="s">
        <v>12169</v>
      </c>
      <c r="I452" t="s">
        <v>124</v>
      </c>
      <c r="J452" t="s">
        <v>98</v>
      </c>
      <c r="K452" s="1">
        <v>44098</v>
      </c>
      <c r="L452" s="1">
        <v>45192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 t="s">
        <v>2284</v>
      </c>
      <c r="U452" t="str">
        <f>""</f>
        <v/>
      </c>
      <c r="V452" t="s">
        <v>2196</v>
      </c>
      <c r="W452" t="str">
        <f>"Suite 103"</f>
        <v>Suite 103</v>
      </c>
      <c r="X452" t="s">
        <v>2197</v>
      </c>
      <c r="Y452" t="s">
        <v>100</v>
      </c>
      <c r="Z452" s="3">
        <v>8520</v>
      </c>
      <c r="AA452" t="s">
        <v>101</v>
      </c>
      <c r="AC452" s="4" t="str">
        <f>"+14086540400"</f>
        <v>+14086540400</v>
      </c>
      <c r="AE452" t="str">
        <f>"541511"</f>
        <v>541511</v>
      </c>
      <c r="AF452" t="s">
        <v>2198</v>
      </c>
      <c r="AG452" t="s">
        <v>2199</v>
      </c>
      <c r="AH452" t="s">
        <v>477</v>
      </c>
      <c r="AI452" t="s">
        <v>508</v>
      </c>
      <c r="AJ452" t="s">
        <v>2196</v>
      </c>
      <c r="AK452" t="str">
        <f>"Suite 103"</f>
        <v>Suite 103</v>
      </c>
      <c r="AL452" t="s">
        <v>2197</v>
      </c>
      <c r="AM452" t="s">
        <v>100</v>
      </c>
      <c r="AN452" s="3">
        <v>8520</v>
      </c>
      <c r="AO452" t="s">
        <v>101</v>
      </c>
      <c r="AQ452" t="str">
        <f>"+14086540400"</f>
        <v>+14086540400</v>
      </c>
      <c r="AS452" t="s">
        <v>2285</v>
      </c>
      <c r="AT452" t="s">
        <v>102</v>
      </c>
      <c r="AU452" t="str">
        <f>""</f>
        <v/>
      </c>
      <c r="AV452" t="str">
        <f>""</f>
        <v/>
      </c>
      <c r="AW452" t="str">
        <f>""</f>
        <v/>
      </c>
      <c r="AX452" t="str">
        <f>""</f>
        <v/>
      </c>
      <c r="AY452" t="str">
        <f>""</f>
        <v/>
      </c>
      <c r="AZ452" t="str">
        <f>""</f>
        <v/>
      </c>
      <c r="BA452" t="str">
        <f>""</f>
        <v/>
      </c>
      <c r="BC452" t="str">
        <f>""</f>
        <v/>
      </c>
      <c r="BD452" t="str">
        <f>""</f>
        <v/>
      </c>
      <c r="BE452" t="str">
        <f>""</f>
        <v/>
      </c>
      <c r="BF452" t="str">
        <f>""</f>
        <v/>
      </c>
      <c r="BG452" t="str">
        <f>""</f>
        <v/>
      </c>
      <c r="BH452" t="str">
        <f>""</f>
        <v/>
      </c>
      <c r="BI452" t="str">
        <f>""</f>
        <v/>
      </c>
      <c r="BJ452" t="str">
        <f>""</f>
        <v/>
      </c>
      <c r="BK452">
        <v>1</v>
      </c>
      <c r="BL452" t="s">
        <v>107</v>
      </c>
      <c r="BM452" t="str">
        <f>"Reyes Holdings"</f>
        <v>Reyes Holdings</v>
      </c>
      <c r="BN452" t="s">
        <v>11117</v>
      </c>
      <c r="BP452" t="s">
        <v>833</v>
      </c>
      <c r="BQ452" t="s">
        <v>788</v>
      </c>
      <c r="BR452" t="s">
        <v>345</v>
      </c>
      <c r="BS452" s="5">
        <v>60642</v>
      </c>
      <c r="BT452" s="2">
        <v>87838</v>
      </c>
      <c r="BU452" s="2">
        <v>88000</v>
      </c>
      <c r="BV452" t="s">
        <v>105</v>
      </c>
      <c r="BW452" s="2">
        <v>87838</v>
      </c>
      <c r="BX452" t="s">
        <v>105</v>
      </c>
      <c r="BZ452" t="s">
        <v>167</v>
      </c>
      <c r="CA452" t="str">
        <f t="shared" si="24"/>
        <v>7/1/2020 - 6/30/2021</v>
      </c>
      <c r="CF452">
        <v>2</v>
      </c>
      <c r="CG452" t="s">
        <v>98</v>
      </c>
      <c r="CH452" t="s">
        <v>98</v>
      </c>
      <c r="CI452" t="s">
        <v>206</v>
      </c>
      <c r="CJ452" t="s">
        <v>98</v>
      </c>
      <c r="CK452" t="s">
        <v>12324</v>
      </c>
      <c r="CL452" t="s">
        <v>108</v>
      </c>
      <c r="CM452" t="s">
        <v>109</v>
      </c>
      <c r="CN452" t="str">
        <f>""</f>
        <v/>
      </c>
      <c r="CO452" t="str">
        <f>""</f>
        <v/>
      </c>
      <c r="CP452" t="str">
        <f>""</f>
        <v/>
      </c>
      <c r="CQ452" t="str">
        <f>""</f>
        <v/>
      </c>
    </row>
    <row r="453" spans="1:96" x14ac:dyDescent="0.2">
      <c r="A453" t="s">
        <v>11290</v>
      </c>
      <c r="B453" t="s">
        <v>96</v>
      </c>
      <c r="C453" s="1">
        <v>44098</v>
      </c>
      <c r="D453" s="1">
        <v>44105</v>
      </c>
      <c r="F453" t="s">
        <v>97</v>
      </c>
      <c r="G453" t="str">
        <f>"Software Developer"</f>
        <v>Software Developer</v>
      </c>
      <c r="H453" t="s">
        <v>12169</v>
      </c>
      <c r="I453" t="s">
        <v>124</v>
      </c>
      <c r="J453" t="s">
        <v>98</v>
      </c>
      <c r="K453" s="1">
        <v>44105</v>
      </c>
      <c r="L453" s="1">
        <v>45199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4019</v>
      </c>
      <c r="U453" t="str">
        <f>""</f>
        <v/>
      </c>
      <c r="V453" t="s">
        <v>3675</v>
      </c>
      <c r="W453" t="str">
        <f>"# 2"</f>
        <v># 2</v>
      </c>
      <c r="X453" t="s">
        <v>3676</v>
      </c>
      <c r="Y453" t="s">
        <v>100</v>
      </c>
      <c r="Z453" s="3">
        <v>8859</v>
      </c>
      <c r="AA453" t="s">
        <v>101</v>
      </c>
      <c r="AC453" s="4" t="str">
        <f>"+17328874646"</f>
        <v>+17328874646</v>
      </c>
      <c r="AE453" t="str">
        <f>"541511"</f>
        <v>541511</v>
      </c>
      <c r="AF453" t="s">
        <v>3677</v>
      </c>
      <c r="AG453" t="s">
        <v>3391</v>
      </c>
      <c r="AI453" t="s">
        <v>646</v>
      </c>
      <c r="AJ453" t="s">
        <v>3675</v>
      </c>
      <c r="AK453" t="str">
        <f>"#2"</f>
        <v>#2</v>
      </c>
      <c r="AL453" t="s">
        <v>3676</v>
      </c>
      <c r="AM453" t="s">
        <v>100</v>
      </c>
      <c r="AN453" s="3">
        <v>8852</v>
      </c>
      <c r="AO453" t="s">
        <v>101</v>
      </c>
      <c r="AQ453" t="str">
        <f>"+17328874646"</f>
        <v>+17328874646</v>
      </c>
      <c r="AS453" t="s">
        <v>4020</v>
      </c>
      <c r="AT453" t="s">
        <v>102</v>
      </c>
      <c r="AU453" t="str">
        <f>""</f>
        <v/>
      </c>
      <c r="AV453" t="str">
        <f>""</f>
        <v/>
      </c>
      <c r="AW453" t="str">
        <f>""</f>
        <v/>
      </c>
      <c r="AX453" t="str">
        <f>""</f>
        <v/>
      </c>
      <c r="AY453" t="str">
        <f>""</f>
        <v/>
      </c>
      <c r="AZ453" t="str">
        <f>""</f>
        <v/>
      </c>
      <c r="BA453" t="str">
        <f>""</f>
        <v/>
      </c>
      <c r="BC453" t="str">
        <f>""</f>
        <v/>
      </c>
      <c r="BD453" t="str">
        <f>""</f>
        <v/>
      </c>
      <c r="BE453" t="str">
        <f>""</f>
        <v/>
      </c>
      <c r="BF453" t="str">
        <f>""</f>
        <v/>
      </c>
      <c r="BG453" t="str">
        <f>""</f>
        <v/>
      </c>
      <c r="BH453" t="str">
        <f>""</f>
        <v/>
      </c>
      <c r="BI453" t="str">
        <f>""</f>
        <v/>
      </c>
      <c r="BJ453" t="str">
        <f>""</f>
        <v/>
      </c>
      <c r="BK453">
        <v>1</v>
      </c>
      <c r="BL453" t="s">
        <v>107</v>
      </c>
      <c r="BM453" t="str">
        <f>"Freedom Mortgage"</f>
        <v>Freedom Mortgage</v>
      </c>
      <c r="BN453" t="s">
        <v>3740</v>
      </c>
      <c r="BO453" t="s">
        <v>6199</v>
      </c>
      <c r="BP453" t="s">
        <v>3012</v>
      </c>
      <c r="BQ453" t="s">
        <v>682</v>
      </c>
      <c r="BR453" t="s">
        <v>100</v>
      </c>
      <c r="BS453" s="5">
        <v>8054</v>
      </c>
      <c r="BT453" s="2">
        <v>89773</v>
      </c>
      <c r="BU453" s="2">
        <v>89774</v>
      </c>
      <c r="BV453" t="s">
        <v>105</v>
      </c>
      <c r="BW453" s="2">
        <v>89773</v>
      </c>
      <c r="BX453" t="s">
        <v>105</v>
      </c>
      <c r="BZ453" t="s">
        <v>167</v>
      </c>
      <c r="CA453" t="str">
        <f t="shared" si="24"/>
        <v>7/1/2020 - 6/30/2021</v>
      </c>
      <c r="CF453">
        <v>2</v>
      </c>
      <c r="CG453" t="s">
        <v>98</v>
      </c>
      <c r="CH453" t="s">
        <v>98</v>
      </c>
      <c r="CI453" t="s">
        <v>206</v>
      </c>
      <c r="CJ453" t="s">
        <v>98</v>
      </c>
      <c r="CK453" t="s">
        <v>12324</v>
      </c>
      <c r="CL453" t="s">
        <v>108</v>
      </c>
      <c r="CM453" t="s">
        <v>109</v>
      </c>
      <c r="CN453" t="str">
        <f>""</f>
        <v/>
      </c>
      <c r="CO453" t="str">
        <f>""</f>
        <v/>
      </c>
      <c r="CP453" t="str">
        <f>""</f>
        <v/>
      </c>
      <c r="CQ453" t="str">
        <f>""</f>
        <v/>
      </c>
    </row>
    <row r="454" spans="1:96" x14ac:dyDescent="0.2">
      <c r="A454" t="s">
        <v>11297</v>
      </c>
      <c r="B454" t="s">
        <v>96</v>
      </c>
      <c r="C454" s="1">
        <v>44098</v>
      </c>
      <c r="D454" s="1">
        <v>44105</v>
      </c>
      <c r="F454" t="s">
        <v>97</v>
      </c>
      <c r="G454" t="str">
        <f>"Software Developers, Applications"</f>
        <v>Software Developers, Applications</v>
      </c>
      <c r="H454" t="s">
        <v>12169</v>
      </c>
      <c r="I454" t="s">
        <v>124</v>
      </c>
      <c r="J454" t="s">
        <v>98</v>
      </c>
      <c r="K454" s="1">
        <v>44105</v>
      </c>
      <c r="L454" s="1">
        <v>45194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1649</v>
      </c>
      <c r="U454" t="str">
        <f>""</f>
        <v/>
      </c>
      <c r="V454" t="s">
        <v>3936</v>
      </c>
      <c r="W454" t="str">
        <f>"Suite 3000"</f>
        <v>Suite 3000</v>
      </c>
      <c r="X454" t="s">
        <v>561</v>
      </c>
      <c r="Y454" t="s">
        <v>100</v>
      </c>
      <c r="Z454" s="3">
        <v>8817</v>
      </c>
      <c r="AA454" t="s">
        <v>101</v>
      </c>
      <c r="AC454" s="4" t="str">
        <f>"+17322486189"</f>
        <v>+17322486189</v>
      </c>
      <c r="AE454" t="str">
        <f>"541511"</f>
        <v>541511</v>
      </c>
      <c r="AF454" t="s">
        <v>2271</v>
      </c>
      <c r="AG454" t="s">
        <v>663</v>
      </c>
      <c r="AI454" t="s">
        <v>3937</v>
      </c>
      <c r="AJ454" t="s">
        <v>3936</v>
      </c>
      <c r="AK454" t="str">
        <f>"Suite 3000"</f>
        <v>Suite 3000</v>
      </c>
      <c r="AL454" t="s">
        <v>561</v>
      </c>
      <c r="AM454" t="s">
        <v>100</v>
      </c>
      <c r="AN454" s="3">
        <v>8817</v>
      </c>
      <c r="AO454" t="s">
        <v>101</v>
      </c>
      <c r="AQ454" t="str">
        <f>"+17322486189"</f>
        <v>+17322486189</v>
      </c>
      <c r="AS454" t="s">
        <v>3938</v>
      </c>
      <c r="AT454" t="s">
        <v>102</v>
      </c>
      <c r="AU454" t="str">
        <f>""</f>
        <v/>
      </c>
      <c r="AV454" t="str">
        <f>""</f>
        <v/>
      </c>
      <c r="AW454" t="str">
        <f>""</f>
        <v/>
      </c>
      <c r="AX454" t="str">
        <f>""</f>
        <v/>
      </c>
      <c r="AY454" t="str">
        <f>""</f>
        <v/>
      </c>
      <c r="AZ454" t="str">
        <f>""</f>
        <v/>
      </c>
      <c r="BA454" t="str">
        <f>""</f>
        <v/>
      </c>
      <c r="BC454" t="str">
        <f>""</f>
        <v/>
      </c>
      <c r="BD454" t="str">
        <f>""</f>
        <v/>
      </c>
      <c r="BE454" t="str">
        <f>""</f>
        <v/>
      </c>
      <c r="BF454" t="str">
        <f>""</f>
        <v/>
      </c>
      <c r="BG454" t="str">
        <f>""</f>
        <v/>
      </c>
      <c r="BH454" t="str">
        <f>""</f>
        <v/>
      </c>
      <c r="BI454" t="str">
        <f>""</f>
        <v/>
      </c>
      <c r="BJ454" t="str">
        <f>""</f>
        <v/>
      </c>
      <c r="BK454">
        <v>1</v>
      </c>
      <c r="BL454" t="s">
        <v>107</v>
      </c>
      <c r="BM454" t="str">
        <f>"Convo Relay"</f>
        <v>Convo Relay</v>
      </c>
      <c r="BN454" t="s">
        <v>9239</v>
      </c>
      <c r="BP454" t="s">
        <v>765</v>
      </c>
      <c r="BQ454" t="s">
        <v>721</v>
      </c>
      <c r="BR454" t="s">
        <v>114</v>
      </c>
      <c r="BS454" s="5">
        <v>78704</v>
      </c>
      <c r="BT454" s="2">
        <v>87589</v>
      </c>
      <c r="BU454" s="2">
        <v>92920</v>
      </c>
      <c r="BV454" t="s">
        <v>105</v>
      </c>
      <c r="BW454" s="2">
        <v>87589</v>
      </c>
      <c r="BX454" t="s">
        <v>105</v>
      </c>
      <c r="BZ454" t="s">
        <v>167</v>
      </c>
      <c r="CA454" t="str">
        <f t="shared" si="24"/>
        <v>7/1/2020 - 6/30/2021</v>
      </c>
      <c r="CF454">
        <v>1</v>
      </c>
      <c r="CG454" t="s">
        <v>98</v>
      </c>
      <c r="CH454" t="s">
        <v>98</v>
      </c>
      <c r="CI454" t="s">
        <v>206</v>
      </c>
      <c r="CJ454" t="s">
        <v>98</v>
      </c>
      <c r="CK454" t="s">
        <v>12324</v>
      </c>
      <c r="CL454" t="s">
        <v>108</v>
      </c>
      <c r="CM454" t="s">
        <v>109</v>
      </c>
      <c r="CN454" t="str">
        <f>"Venugopalan"</f>
        <v>Venugopalan</v>
      </c>
      <c r="CO454" t="str">
        <f>"Raghuraman"</f>
        <v>Raghuraman</v>
      </c>
      <c r="CP454" t="str">
        <f>""</f>
        <v/>
      </c>
      <c r="CQ454" t="str">
        <f>"Larsen &amp; Toubro Infotech Limited"</f>
        <v>Larsen &amp; Toubro Infotech Limited</v>
      </c>
      <c r="CR454" t="s">
        <v>3939</v>
      </c>
    </row>
    <row r="455" spans="1:96" x14ac:dyDescent="0.2">
      <c r="A455" t="s">
        <v>11298</v>
      </c>
      <c r="B455" t="s">
        <v>96</v>
      </c>
      <c r="C455" s="1">
        <v>44098</v>
      </c>
      <c r="D455" s="1">
        <v>44105</v>
      </c>
      <c r="F455" t="s">
        <v>97</v>
      </c>
      <c r="G455" t="str">
        <f>"Azure Data Engineer"</f>
        <v>Azure Data Engineer</v>
      </c>
      <c r="H455" t="s">
        <v>12169</v>
      </c>
      <c r="I455" t="s">
        <v>124</v>
      </c>
      <c r="J455" t="s">
        <v>98</v>
      </c>
      <c r="K455" s="1">
        <v>44105</v>
      </c>
      <c r="L455" s="1">
        <v>45199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 t="s">
        <v>6933</v>
      </c>
      <c r="U455" t="str">
        <f>"LIGHTNING MINDS"</f>
        <v>LIGHTNING MINDS</v>
      </c>
      <c r="V455" t="s">
        <v>6934</v>
      </c>
      <c r="W455" t="str">
        <f>"SUITE 203"</f>
        <v>SUITE 203</v>
      </c>
      <c r="X455" t="s">
        <v>2854</v>
      </c>
      <c r="Y455" t="s">
        <v>122</v>
      </c>
      <c r="Z455" s="3">
        <v>27519</v>
      </c>
      <c r="AA455" t="s">
        <v>101</v>
      </c>
      <c r="AC455" s="4" t="str">
        <f>"+19192477890"</f>
        <v>+19192477890</v>
      </c>
      <c r="AE455" t="str">
        <f>"541511"</f>
        <v>541511</v>
      </c>
      <c r="AF455" t="s">
        <v>6935</v>
      </c>
      <c r="AG455" t="s">
        <v>6936</v>
      </c>
      <c r="AI455" t="s">
        <v>497</v>
      </c>
      <c r="AJ455" t="s">
        <v>6934</v>
      </c>
      <c r="AK455" t="str">
        <f>"SUITE 203"</f>
        <v>SUITE 203</v>
      </c>
      <c r="AL455" t="s">
        <v>2854</v>
      </c>
      <c r="AM455" t="s">
        <v>122</v>
      </c>
      <c r="AN455" s="3">
        <v>27519</v>
      </c>
      <c r="AO455" t="s">
        <v>101</v>
      </c>
      <c r="AQ455" t="str">
        <f>"+19192477890"</f>
        <v>+19192477890</v>
      </c>
      <c r="AS455" t="s">
        <v>11299</v>
      </c>
      <c r="AT455" t="s">
        <v>102</v>
      </c>
      <c r="AU455" t="str">
        <f>""</f>
        <v/>
      </c>
      <c r="AV455" t="str">
        <f>""</f>
        <v/>
      </c>
      <c r="AW455" t="str">
        <f>""</f>
        <v/>
      </c>
      <c r="AX455" t="str">
        <f>""</f>
        <v/>
      </c>
      <c r="AY455" t="str">
        <f>""</f>
        <v/>
      </c>
      <c r="AZ455" t="str">
        <f>""</f>
        <v/>
      </c>
      <c r="BA455" t="str">
        <f>""</f>
        <v/>
      </c>
      <c r="BC455" t="str">
        <f>""</f>
        <v/>
      </c>
      <c r="BD455" t="str">
        <f>""</f>
        <v/>
      </c>
      <c r="BE455" t="str">
        <f>""</f>
        <v/>
      </c>
      <c r="BF455" t="str">
        <f>""</f>
        <v/>
      </c>
      <c r="BG455" t="str">
        <f>""</f>
        <v/>
      </c>
      <c r="BH455" t="str">
        <f>""</f>
        <v/>
      </c>
      <c r="BI455" t="str">
        <f>""</f>
        <v/>
      </c>
      <c r="BJ455" t="str">
        <f>""</f>
        <v/>
      </c>
      <c r="BK455">
        <v>1</v>
      </c>
      <c r="BL455" t="s">
        <v>107</v>
      </c>
      <c r="BM455" t="str">
        <f>"UPS Innovation Center"</f>
        <v>UPS Innovation Center</v>
      </c>
      <c r="BN455" t="s">
        <v>7587</v>
      </c>
      <c r="BP455" t="s">
        <v>1045</v>
      </c>
      <c r="BQ455" t="s">
        <v>1029</v>
      </c>
      <c r="BR455" t="s">
        <v>100</v>
      </c>
      <c r="BS455" s="5">
        <v>7054</v>
      </c>
      <c r="BT455" s="2">
        <v>100526</v>
      </c>
      <c r="BV455" t="s">
        <v>105</v>
      </c>
      <c r="BW455" s="2">
        <v>100526</v>
      </c>
      <c r="BX455" t="s">
        <v>105</v>
      </c>
      <c r="BZ455" t="s">
        <v>167</v>
      </c>
      <c r="CA455" t="str">
        <f t="shared" si="24"/>
        <v>7/1/2020 - 6/30/2021</v>
      </c>
      <c r="CF455">
        <v>2</v>
      </c>
      <c r="CG455" t="s">
        <v>98</v>
      </c>
      <c r="CH455" t="s">
        <v>98</v>
      </c>
      <c r="CI455" t="s">
        <v>206</v>
      </c>
      <c r="CJ455" t="s">
        <v>98</v>
      </c>
      <c r="CK455" t="s">
        <v>12324</v>
      </c>
      <c r="CL455" t="s">
        <v>108</v>
      </c>
      <c r="CM455" t="s">
        <v>109</v>
      </c>
      <c r="CN455" t="str">
        <f>""</f>
        <v/>
      </c>
      <c r="CO455" t="str">
        <f>""</f>
        <v/>
      </c>
      <c r="CP455" t="str">
        <f>""</f>
        <v/>
      </c>
      <c r="CQ455" t="str">
        <f>""</f>
        <v/>
      </c>
    </row>
    <row r="456" spans="1:96" x14ac:dyDescent="0.2">
      <c r="A456" t="s">
        <v>11307</v>
      </c>
      <c r="B456" t="s">
        <v>96</v>
      </c>
      <c r="C456" s="1">
        <v>44098</v>
      </c>
      <c r="D456" s="1">
        <v>44105</v>
      </c>
      <c r="F456" t="s">
        <v>97</v>
      </c>
      <c r="G456" t="str">
        <f>"Senior Systems Analyst JC60"</f>
        <v>Senior Systems Analyst JC60</v>
      </c>
      <c r="H456" t="s">
        <v>12181</v>
      </c>
      <c r="I456" t="s">
        <v>110</v>
      </c>
      <c r="J456" t="s">
        <v>98</v>
      </c>
      <c r="K456" s="1">
        <v>44107</v>
      </c>
      <c r="L456" s="1">
        <v>45201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 t="s">
        <v>111</v>
      </c>
      <c r="U456" t="str">
        <f>"CTSUS"</f>
        <v>CTSUS</v>
      </c>
      <c r="V456" t="s">
        <v>112</v>
      </c>
      <c r="W456" t="str">
        <f>""</f>
        <v/>
      </c>
      <c r="X456" t="s">
        <v>113</v>
      </c>
      <c r="Y456" t="s">
        <v>114</v>
      </c>
      <c r="Z456" s="3">
        <v>77845</v>
      </c>
      <c r="AA456" t="s">
        <v>101</v>
      </c>
      <c r="AB456" t="s">
        <v>114</v>
      </c>
      <c r="AC456" s="4" t="str">
        <f>"+19793296682"</f>
        <v>+19793296682</v>
      </c>
      <c r="AE456" t="str">
        <f>"541512"</f>
        <v>541512</v>
      </c>
      <c r="AF456" t="s">
        <v>115</v>
      </c>
      <c r="AG456" t="s">
        <v>116</v>
      </c>
      <c r="AH456" t="s">
        <v>108</v>
      </c>
      <c r="AI456" t="s">
        <v>117</v>
      </c>
      <c r="AJ456" t="s">
        <v>118</v>
      </c>
      <c r="AK456" t="str">
        <f>""</f>
        <v/>
      </c>
      <c r="AL456" t="s">
        <v>119</v>
      </c>
      <c r="AM456" t="s">
        <v>114</v>
      </c>
      <c r="AN456" s="3">
        <v>77845</v>
      </c>
      <c r="AO456" t="s">
        <v>101</v>
      </c>
      <c r="AQ456" t="str">
        <f>"+19793296682"</f>
        <v>+19793296682</v>
      </c>
      <c r="AS456" t="s">
        <v>120</v>
      </c>
      <c r="AT456" t="s">
        <v>102</v>
      </c>
      <c r="AU456" t="str">
        <f>""</f>
        <v/>
      </c>
      <c r="AV456" t="str">
        <f>""</f>
        <v/>
      </c>
      <c r="AW456" t="str">
        <f>""</f>
        <v/>
      </c>
      <c r="AX456" t="str">
        <f>""</f>
        <v/>
      </c>
      <c r="AY456" t="str">
        <f>""</f>
        <v/>
      </c>
      <c r="AZ456" t="str">
        <f>""</f>
        <v/>
      </c>
      <c r="BA456" t="str">
        <f>""</f>
        <v/>
      </c>
      <c r="BC456" t="str">
        <f>""</f>
        <v/>
      </c>
      <c r="BD456" t="str">
        <f>""</f>
        <v/>
      </c>
      <c r="BE456" t="str">
        <f>""</f>
        <v/>
      </c>
      <c r="BF456" t="str">
        <f>""</f>
        <v/>
      </c>
      <c r="BG456" t="str">
        <f>""</f>
        <v/>
      </c>
      <c r="BH456" t="str">
        <f>""</f>
        <v/>
      </c>
      <c r="BI456" t="str">
        <f>""</f>
        <v/>
      </c>
      <c r="BJ456" t="str">
        <f>""</f>
        <v/>
      </c>
      <c r="BK456">
        <v>1</v>
      </c>
      <c r="BL456" t="s">
        <v>102</v>
      </c>
      <c r="BM456" t="str">
        <f>""</f>
        <v/>
      </c>
      <c r="BN456" t="s">
        <v>11308</v>
      </c>
      <c r="BP456" t="s">
        <v>2337</v>
      </c>
      <c r="BQ456" t="s">
        <v>547</v>
      </c>
      <c r="BR456" t="s">
        <v>280</v>
      </c>
      <c r="BS456" s="5">
        <v>6067</v>
      </c>
      <c r="BT456" s="2">
        <v>81453</v>
      </c>
      <c r="BV456" t="s">
        <v>105</v>
      </c>
      <c r="BW456" s="2">
        <v>81453</v>
      </c>
      <c r="BX456" t="s">
        <v>105</v>
      </c>
      <c r="BZ456" t="s">
        <v>167</v>
      </c>
      <c r="CA456" t="str">
        <f t="shared" si="24"/>
        <v>7/1/2020 - 6/30/2021</v>
      </c>
      <c r="CF456">
        <v>1</v>
      </c>
      <c r="CG456" t="s">
        <v>98</v>
      </c>
      <c r="CH456" t="s">
        <v>98</v>
      </c>
      <c r="CI456" t="s">
        <v>206</v>
      </c>
      <c r="CJ456" t="s">
        <v>98</v>
      </c>
      <c r="CK456" t="s">
        <v>12324</v>
      </c>
      <c r="CL456" t="s">
        <v>108</v>
      </c>
      <c r="CM456" t="s">
        <v>109</v>
      </c>
      <c r="CN456" t="str">
        <f>""</f>
        <v/>
      </c>
      <c r="CO456" t="str">
        <f>""</f>
        <v/>
      </c>
      <c r="CP456" t="str">
        <f>""</f>
        <v/>
      </c>
      <c r="CQ456" t="str">
        <f>""</f>
        <v/>
      </c>
    </row>
    <row r="457" spans="1:96" x14ac:dyDescent="0.2">
      <c r="A457" t="s">
        <v>11324</v>
      </c>
      <c r="B457" t="s">
        <v>96</v>
      </c>
      <c r="C457" s="1">
        <v>44098</v>
      </c>
      <c r="D457" s="1">
        <v>44105</v>
      </c>
      <c r="F457" t="s">
        <v>97</v>
      </c>
      <c r="G457" t="str">
        <f>"Healthcare Analyst"</f>
        <v>Healthcare Analyst</v>
      </c>
      <c r="H457" t="s">
        <v>12214</v>
      </c>
      <c r="I457" t="s">
        <v>276</v>
      </c>
      <c r="J457" t="s">
        <v>98</v>
      </c>
      <c r="K457" s="1">
        <v>44098</v>
      </c>
      <c r="L457" s="1">
        <v>45192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 t="s">
        <v>4569</v>
      </c>
      <c r="U457" t="str">
        <f>""</f>
        <v/>
      </c>
      <c r="V457" t="s">
        <v>4570</v>
      </c>
      <c r="W457" t="str">
        <f>"Suite 700"</f>
        <v>Suite 700</v>
      </c>
      <c r="X457" t="s">
        <v>381</v>
      </c>
      <c r="Y457" t="s">
        <v>195</v>
      </c>
      <c r="Z457" s="3">
        <v>20852</v>
      </c>
      <c r="AA457" t="s">
        <v>101</v>
      </c>
      <c r="AC457" s="4" t="str">
        <f>"+13013557766"</f>
        <v>+13013557766</v>
      </c>
      <c r="AE457" t="str">
        <f>"541519"</f>
        <v>541519</v>
      </c>
      <c r="AF457" t="s">
        <v>4571</v>
      </c>
      <c r="AG457" t="s">
        <v>4572</v>
      </c>
      <c r="AI457" t="s">
        <v>201</v>
      </c>
      <c r="AJ457" t="s">
        <v>4570</v>
      </c>
      <c r="AK457" t="str">
        <f>"Suite 700"</f>
        <v>Suite 700</v>
      </c>
      <c r="AL457" t="s">
        <v>381</v>
      </c>
      <c r="AM457" t="s">
        <v>195</v>
      </c>
      <c r="AN457" s="3">
        <v>20852</v>
      </c>
      <c r="AO457" t="s">
        <v>101</v>
      </c>
      <c r="AQ457" t="str">
        <f>"+13013557766"</f>
        <v>+13013557766</v>
      </c>
      <c r="AS457" t="s">
        <v>4573</v>
      </c>
      <c r="AT457" t="s">
        <v>107</v>
      </c>
      <c r="AU457" t="str">
        <f>"Shah"</f>
        <v>Shah</v>
      </c>
      <c r="AV457" t="str">
        <f>"Devang"</f>
        <v>Devang</v>
      </c>
      <c r="AW457" t="str">
        <f>""</f>
        <v/>
      </c>
      <c r="AX457" t="str">
        <f>"9201 Corporate Blvd."</f>
        <v>9201 Corporate Blvd.</v>
      </c>
      <c r="AY457" t="str">
        <f>"Suite 330"</f>
        <v>Suite 330</v>
      </c>
      <c r="AZ457" t="str">
        <f>"Rockville"</f>
        <v>Rockville</v>
      </c>
      <c r="BA457" t="str">
        <f>"MD"</f>
        <v>MD</v>
      </c>
      <c r="BB457" s="3">
        <v>20850</v>
      </c>
      <c r="BC457" t="str">
        <f>"UNITED STATES OF AMERICA"</f>
        <v>UNITED STATES OF AMERICA</v>
      </c>
      <c r="BD457" t="str">
        <f>""</f>
        <v/>
      </c>
      <c r="BE457" t="str">
        <f>"+13013150001"</f>
        <v>+13013150001</v>
      </c>
      <c r="BF457" t="str">
        <f>""</f>
        <v/>
      </c>
      <c r="BG457" t="str">
        <f>"Shah@shahandkishore.com"</f>
        <v>Shah@shahandkishore.com</v>
      </c>
      <c r="BH457" t="str">
        <f>"Shah and Kishore"</f>
        <v>Shah and Kishore</v>
      </c>
      <c r="BI457" t="str">
        <f>"MD"</f>
        <v>MD</v>
      </c>
      <c r="BJ457" t="str">
        <f>"Court of Appeals"</f>
        <v>Court of Appeals</v>
      </c>
      <c r="BK457">
        <v>1</v>
      </c>
      <c r="BL457" t="s">
        <v>107</v>
      </c>
      <c r="BM457" t="str">
        <f>"PROSPECT MEDICAL HOLDINGS, INC."</f>
        <v>PROSPECT MEDICAL HOLDINGS, INC.</v>
      </c>
      <c r="BN457" t="s">
        <v>11325</v>
      </c>
      <c r="BP457" t="s">
        <v>1495</v>
      </c>
      <c r="BQ457" t="s">
        <v>365</v>
      </c>
      <c r="BR457" t="s">
        <v>141</v>
      </c>
      <c r="BS457" s="5">
        <v>90650</v>
      </c>
      <c r="BT457" s="2">
        <v>82500</v>
      </c>
      <c r="BV457" t="s">
        <v>105</v>
      </c>
      <c r="BW457" s="2">
        <v>82264</v>
      </c>
      <c r="BX457" t="s">
        <v>105</v>
      </c>
      <c r="BZ457" t="s">
        <v>167</v>
      </c>
      <c r="CA457" t="str">
        <f t="shared" si="24"/>
        <v>7/1/2020 - 6/30/2021</v>
      </c>
      <c r="CF457">
        <v>1</v>
      </c>
      <c r="CG457" t="s">
        <v>98</v>
      </c>
      <c r="CH457" t="s">
        <v>98</v>
      </c>
      <c r="CI457" t="s">
        <v>206</v>
      </c>
      <c r="CJ457" t="s">
        <v>98</v>
      </c>
      <c r="CK457" t="s">
        <v>12324</v>
      </c>
      <c r="CL457" t="s">
        <v>108</v>
      </c>
      <c r="CM457" t="s">
        <v>109</v>
      </c>
      <c r="CN457" t="str">
        <f>"Shah"</f>
        <v>Shah</v>
      </c>
      <c r="CO457" t="str">
        <f>"Devang"</f>
        <v>Devang</v>
      </c>
      <c r="CP457" t="str">
        <f>"M"</f>
        <v>M</v>
      </c>
      <c r="CQ457" t="str">
        <f>"Shah and Kishore"</f>
        <v>Shah and Kishore</v>
      </c>
      <c r="CR457" t="s">
        <v>828</v>
      </c>
    </row>
    <row r="458" spans="1:96" x14ac:dyDescent="0.2">
      <c r="A458" t="s">
        <v>11374</v>
      </c>
      <c r="B458" t="s">
        <v>96</v>
      </c>
      <c r="C458" s="1">
        <v>44098</v>
      </c>
      <c r="D458" s="1">
        <v>44105</v>
      </c>
      <c r="F458" t="s">
        <v>97</v>
      </c>
      <c r="G458" t="str">
        <f>"Manager JC50"</f>
        <v>Manager JC50</v>
      </c>
      <c r="H458" t="s">
        <v>12181</v>
      </c>
      <c r="I458" t="s">
        <v>110</v>
      </c>
      <c r="J458" t="s">
        <v>98</v>
      </c>
      <c r="K458" s="1">
        <v>44245</v>
      </c>
      <c r="L458" s="1">
        <v>45339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 t="s">
        <v>111</v>
      </c>
      <c r="U458" t="str">
        <f>"CTSUS"</f>
        <v>CTSUS</v>
      </c>
      <c r="V458" t="s">
        <v>112</v>
      </c>
      <c r="W458" t="str">
        <f>""</f>
        <v/>
      </c>
      <c r="X458" t="s">
        <v>113</v>
      </c>
      <c r="Y458" t="s">
        <v>114</v>
      </c>
      <c r="Z458" s="3">
        <v>77845</v>
      </c>
      <c r="AA458" t="s">
        <v>101</v>
      </c>
      <c r="AB458" t="s">
        <v>114</v>
      </c>
      <c r="AC458" s="4" t="str">
        <f>"+19793296682"</f>
        <v>+19793296682</v>
      </c>
      <c r="AE458" t="str">
        <f>"541512"</f>
        <v>541512</v>
      </c>
      <c r="AF458" t="s">
        <v>115</v>
      </c>
      <c r="AG458" t="s">
        <v>116</v>
      </c>
      <c r="AH458" t="s">
        <v>108</v>
      </c>
      <c r="AI458" t="s">
        <v>117</v>
      </c>
      <c r="AJ458" t="s">
        <v>118</v>
      </c>
      <c r="AK458" t="str">
        <f>""</f>
        <v/>
      </c>
      <c r="AL458" t="s">
        <v>119</v>
      </c>
      <c r="AM458" t="s">
        <v>114</v>
      </c>
      <c r="AN458" s="3">
        <v>77845</v>
      </c>
      <c r="AO458" t="s">
        <v>101</v>
      </c>
      <c r="AQ458" t="str">
        <f>"+19793296682"</f>
        <v>+19793296682</v>
      </c>
      <c r="AS458" t="s">
        <v>120</v>
      </c>
      <c r="AT458" t="s">
        <v>102</v>
      </c>
      <c r="AU458" t="str">
        <f>""</f>
        <v/>
      </c>
      <c r="AV458" t="str">
        <f>""</f>
        <v/>
      </c>
      <c r="AW458" t="str">
        <f>""</f>
        <v/>
      </c>
      <c r="AX458" t="str">
        <f>""</f>
        <v/>
      </c>
      <c r="AY458" t="str">
        <f>""</f>
        <v/>
      </c>
      <c r="AZ458" t="str">
        <f>""</f>
        <v/>
      </c>
      <c r="BA458" t="str">
        <f>""</f>
        <v/>
      </c>
      <c r="BC458" t="str">
        <f>""</f>
        <v/>
      </c>
      <c r="BD458" t="str">
        <f>""</f>
        <v/>
      </c>
      <c r="BE458" t="str">
        <f>""</f>
        <v/>
      </c>
      <c r="BF458" t="str">
        <f>""</f>
        <v/>
      </c>
      <c r="BG458" t="str">
        <f>""</f>
        <v/>
      </c>
      <c r="BH458" t="str">
        <f>""</f>
        <v/>
      </c>
      <c r="BI458" t="str">
        <f>""</f>
        <v/>
      </c>
      <c r="BJ458" t="str">
        <f>""</f>
        <v/>
      </c>
      <c r="BK458">
        <v>1</v>
      </c>
      <c r="BL458" t="s">
        <v>102</v>
      </c>
      <c r="BM458" t="str">
        <f>""</f>
        <v/>
      </c>
      <c r="BN458" t="s">
        <v>11375</v>
      </c>
      <c r="BP458" t="s">
        <v>483</v>
      </c>
      <c r="BQ458" t="s">
        <v>484</v>
      </c>
      <c r="BR458" t="s">
        <v>114</v>
      </c>
      <c r="BS458" s="5">
        <v>75063</v>
      </c>
      <c r="BT458" s="2">
        <v>97240</v>
      </c>
      <c r="BV458" t="s">
        <v>105</v>
      </c>
      <c r="BW458" s="2">
        <v>97240</v>
      </c>
      <c r="BX458" t="s">
        <v>105</v>
      </c>
      <c r="BZ458" t="s">
        <v>123</v>
      </c>
      <c r="CA458" t="str">
        <f t="shared" si="24"/>
        <v>7/1/2020 - 6/30/2021</v>
      </c>
      <c r="CF458">
        <v>1</v>
      </c>
      <c r="CG458" t="s">
        <v>98</v>
      </c>
      <c r="CH458" t="s">
        <v>98</v>
      </c>
      <c r="CI458" t="s">
        <v>206</v>
      </c>
      <c r="CJ458" t="s">
        <v>98</v>
      </c>
      <c r="CK458" t="s">
        <v>12324</v>
      </c>
      <c r="CL458" t="s">
        <v>108</v>
      </c>
      <c r="CM458" t="s">
        <v>109</v>
      </c>
      <c r="CN458" t="str">
        <f>""</f>
        <v/>
      </c>
      <c r="CO458" t="str">
        <f>""</f>
        <v/>
      </c>
      <c r="CP458" t="str">
        <f>""</f>
        <v/>
      </c>
      <c r="CQ458" t="str">
        <f>""</f>
        <v/>
      </c>
    </row>
    <row r="459" spans="1:96" x14ac:dyDescent="0.2">
      <c r="A459" t="s">
        <v>11455</v>
      </c>
      <c r="B459" t="s">
        <v>96</v>
      </c>
      <c r="C459" s="1">
        <v>44098</v>
      </c>
      <c r="D459" s="1">
        <v>44105</v>
      </c>
      <c r="F459" t="s">
        <v>97</v>
      </c>
      <c r="G459" t="str">
        <f>"Software Engineer I"</f>
        <v>Software Engineer I</v>
      </c>
      <c r="H459" t="s">
        <v>12169</v>
      </c>
      <c r="I459" t="s">
        <v>124</v>
      </c>
      <c r="J459" t="s">
        <v>98</v>
      </c>
      <c r="K459" s="1">
        <v>44098</v>
      </c>
      <c r="L459" s="1">
        <v>44926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4774</v>
      </c>
      <c r="U459" t="str">
        <f>"Prime Consulting LLC"</f>
        <v>Prime Consulting LLC</v>
      </c>
      <c r="V459" t="s">
        <v>4775</v>
      </c>
      <c r="W459" t="str">
        <f>""</f>
        <v/>
      </c>
      <c r="X459" t="s">
        <v>211</v>
      </c>
      <c r="Y459" t="s">
        <v>100</v>
      </c>
      <c r="Z459" s="3">
        <v>8817</v>
      </c>
      <c r="AA459" t="s">
        <v>101</v>
      </c>
      <c r="AC459" s="4" t="str">
        <f>"+19199517900"</f>
        <v>+19199517900</v>
      </c>
      <c r="AE459" t="str">
        <f>"541511"</f>
        <v>541511</v>
      </c>
      <c r="AF459" t="s">
        <v>4776</v>
      </c>
      <c r="AG459" t="s">
        <v>4777</v>
      </c>
      <c r="AI459" t="s">
        <v>1586</v>
      </c>
      <c r="AJ459" t="s">
        <v>4775</v>
      </c>
      <c r="AK459" t="str">
        <f>""</f>
        <v/>
      </c>
      <c r="AL459" t="s">
        <v>211</v>
      </c>
      <c r="AM459" t="s">
        <v>100</v>
      </c>
      <c r="AN459" s="3">
        <v>8817</v>
      </c>
      <c r="AO459" t="s">
        <v>101</v>
      </c>
      <c r="AQ459" t="str">
        <f>"+19199517900"</f>
        <v>+19199517900</v>
      </c>
      <c r="AS459" t="s">
        <v>4778</v>
      </c>
      <c r="AT459" t="s">
        <v>102</v>
      </c>
      <c r="AU459" t="str">
        <f>""</f>
        <v/>
      </c>
      <c r="AV459" t="str">
        <f>""</f>
        <v/>
      </c>
      <c r="AW459" t="str">
        <f>""</f>
        <v/>
      </c>
      <c r="AX459" t="str">
        <f>""</f>
        <v/>
      </c>
      <c r="AY459" t="str">
        <f>""</f>
        <v/>
      </c>
      <c r="AZ459" t="str">
        <f>""</f>
        <v/>
      </c>
      <c r="BA459" t="str">
        <f>""</f>
        <v/>
      </c>
      <c r="BC459" t="str">
        <f>""</f>
        <v/>
      </c>
      <c r="BD459" t="str">
        <f>""</f>
        <v/>
      </c>
      <c r="BE459" t="str">
        <f>""</f>
        <v/>
      </c>
      <c r="BF459" t="str">
        <f>""</f>
        <v/>
      </c>
      <c r="BG459" t="str">
        <f>""</f>
        <v/>
      </c>
      <c r="BH459" t="str">
        <f>""</f>
        <v/>
      </c>
      <c r="BI459" t="str">
        <f>""</f>
        <v/>
      </c>
      <c r="BJ459" t="str">
        <f>""</f>
        <v/>
      </c>
      <c r="BK459">
        <v>1</v>
      </c>
      <c r="BL459" t="s">
        <v>107</v>
      </c>
      <c r="BM459" t="str">
        <f>"SYNGENTA"</f>
        <v>SYNGENTA</v>
      </c>
      <c r="BN459" t="s">
        <v>11456</v>
      </c>
      <c r="BO459" t="s">
        <v>11457</v>
      </c>
      <c r="BP459" t="s">
        <v>6129</v>
      </c>
      <c r="BQ459" t="s">
        <v>302</v>
      </c>
      <c r="BR459" t="s">
        <v>122</v>
      </c>
      <c r="BS459" s="5">
        <v>27703</v>
      </c>
      <c r="BT459" s="2">
        <v>90147</v>
      </c>
      <c r="BU459" s="2">
        <v>95000</v>
      </c>
      <c r="BV459" t="s">
        <v>105</v>
      </c>
      <c r="BW459" s="2">
        <v>90147</v>
      </c>
      <c r="BX459" t="s">
        <v>105</v>
      </c>
      <c r="BZ459" t="s">
        <v>167</v>
      </c>
      <c r="CA459" t="str">
        <f t="shared" si="24"/>
        <v>7/1/2020 - 6/30/2021</v>
      </c>
      <c r="CF459">
        <v>1</v>
      </c>
      <c r="CG459" t="s">
        <v>98</v>
      </c>
      <c r="CH459" t="s">
        <v>98</v>
      </c>
      <c r="CI459" t="s">
        <v>206</v>
      </c>
      <c r="CJ459" t="s">
        <v>98</v>
      </c>
      <c r="CK459" t="s">
        <v>12324</v>
      </c>
      <c r="CL459" t="s">
        <v>108</v>
      </c>
      <c r="CM459" t="s">
        <v>109</v>
      </c>
      <c r="CN459" t="str">
        <f>"Dubewar"</f>
        <v>Dubewar</v>
      </c>
      <c r="CO459" t="str">
        <f>"Abhijit"</f>
        <v>Abhijit</v>
      </c>
      <c r="CP459" t="str">
        <f>""</f>
        <v/>
      </c>
      <c r="CQ459" t="str">
        <f>"Prime Consulting LLC"</f>
        <v>Prime Consulting LLC</v>
      </c>
      <c r="CR459" t="s">
        <v>4778</v>
      </c>
    </row>
    <row r="460" spans="1:96" x14ac:dyDescent="0.2">
      <c r="A460" t="s">
        <v>11479</v>
      </c>
      <c r="B460" t="s">
        <v>96</v>
      </c>
      <c r="C460" s="1">
        <v>44098</v>
      </c>
      <c r="D460" s="1">
        <v>44105</v>
      </c>
      <c r="F460" t="s">
        <v>97</v>
      </c>
      <c r="G460" t="str">
        <f>"Software Developer II"</f>
        <v>Software Developer II</v>
      </c>
      <c r="H460" t="s">
        <v>12169</v>
      </c>
      <c r="I460" t="s">
        <v>124</v>
      </c>
      <c r="J460" t="s">
        <v>98</v>
      </c>
      <c r="K460" s="1">
        <v>44254</v>
      </c>
      <c r="L460" s="1">
        <v>45349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 t="s">
        <v>11105</v>
      </c>
      <c r="U460" t="str">
        <f>""</f>
        <v/>
      </c>
      <c r="V460" t="s">
        <v>11106</v>
      </c>
      <c r="W460" t="str">
        <f>"Suite 1100"</f>
        <v>Suite 1100</v>
      </c>
      <c r="X460" t="s">
        <v>2432</v>
      </c>
      <c r="Y460" t="s">
        <v>100</v>
      </c>
      <c r="Z460" s="3">
        <v>8619</v>
      </c>
      <c r="AA460" t="s">
        <v>101</v>
      </c>
      <c r="AC460" s="4" t="str">
        <f>"+16098485700"</f>
        <v>+16098485700</v>
      </c>
      <c r="AE460" t="str">
        <f>"541511"</f>
        <v>541511</v>
      </c>
      <c r="AF460" t="s">
        <v>11107</v>
      </c>
      <c r="AG460" t="s">
        <v>11108</v>
      </c>
      <c r="AI460" t="s">
        <v>508</v>
      </c>
      <c r="AJ460" t="s">
        <v>11109</v>
      </c>
      <c r="AK460" t="str">
        <f>"Suite 1100"</f>
        <v>Suite 1100</v>
      </c>
      <c r="AL460" t="s">
        <v>2432</v>
      </c>
      <c r="AM460" t="s">
        <v>100</v>
      </c>
      <c r="AN460" s="3">
        <v>8619</v>
      </c>
      <c r="AO460" t="s">
        <v>101</v>
      </c>
      <c r="AQ460" t="str">
        <f>"+16098485702"</f>
        <v>+16098485702</v>
      </c>
      <c r="AS460" t="s">
        <v>11110</v>
      </c>
      <c r="AT460" t="s">
        <v>102</v>
      </c>
      <c r="AU460" t="str">
        <f>""</f>
        <v/>
      </c>
      <c r="AV460" t="str">
        <f>""</f>
        <v/>
      </c>
      <c r="AW460" t="str">
        <f>""</f>
        <v/>
      </c>
      <c r="AX460" t="str">
        <f>""</f>
        <v/>
      </c>
      <c r="AY460" t="str">
        <f>""</f>
        <v/>
      </c>
      <c r="AZ460" t="str">
        <f>""</f>
        <v/>
      </c>
      <c r="BA460" t="str">
        <f>""</f>
        <v/>
      </c>
      <c r="BC460" t="str">
        <f>""</f>
        <v/>
      </c>
      <c r="BD460" t="str">
        <f>""</f>
        <v/>
      </c>
      <c r="BE460" t="str">
        <f>""</f>
        <v/>
      </c>
      <c r="BF460" t="str">
        <f>""</f>
        <v/>
      </c>
      <c r="BG460" t="str">
        <f>""</f>
        <v/>
      </c>
      <c r="BH460" t="str">
        <f>""</f>
        <v/>
      </c>
      <c r="BI460" t="str">
        <f>""</f>
        <v/>
      </c>
      <c r="BJ460" t="str">
        <f>""</f>
        <v/>
      </c>
      <c r="BK460">
        <v>1</v>
      </c>
      <c r="BL460" t="s">
        <v>107</v>
      </c>
      <c r="BM460" t="str">
        <f>"Merck &amp; Co, Inc"</f>
        <v>Merck &amp; Co, Inc</v>
      </c>
      <c r="BN460" t="s">
        <v>11480</v>
      </c>
      <c r="BP460" t="s">
        <v>2949</v>
      </c>
      <c r="BQ460" t="s">
        <v>529</v>
      </c>
      <c r="BR460" t="s">
        <v>127</v>
      </c>
      <c r="BS460" s="5">
        <v>19486</v>
      </c>
      <c r="BT460" s="2">
        <v>89773</v>
      </c>
      <c r="BV460" t="s">
        <v>105</v>
      </c>
      <c r="BW460" s="2">
        <v>89773</v>
      </c>
      <c r="BX460" t="s">
        <v>105</v>
      </c>
      <c r="BZ460" t="s">
        <v>167</v>
      </c>
      <c r="CA460" t="str">
        <f t="shared" si="24"/>
        <v>7/1/2020 - 6/30/2021</v>
      </c>
      <c r="CF460">
        <v>2</v>
      </c>
      <c r="CG460" t="s">
        <v>98</v>
      </c>
      <c r="CH460" t="s">
        <v>98</v>
      </c>
      <c r="CI460" t="s">
        <v>206</v>
      </c>
      <c r="CJ460" t="s">
        <v>98</v>
      </c>
      <c r="CK460" t="s">
        <v>12324</v>
      </c>
      <c r="CL460" t="s">
        <v>108</v>
      </c>
      <c r="CM460" t="s">
        <v>109</v>
      </c>
      <c r="CN460" t="str">
        <f>""</f>
        <v/>
      </c>
      <c r="CO460" t="str">
        <f>""</f>
        <v/>
      </c>
      <c r="CP460" t="str">
        <f>""</f>
        <v/>
      </c>
      <c r="CQ460" t="str">
        <f>""</f>
        <v/>
      </c>
    </row>
    <row r="461" spans="1:96" x14ac:dyDescent="0.2">
      <c r="A461" t="s">
        <v>11516</v>
      </c>
      <c r="B461" t="s">
        <v>96</v>
      </c>
      <c r="C461" s="1">
        <v>44098</v>
      </c>
      <c r="D461" s="1">
        <v>44105</v>
      </c>
      <c r="F461" t="s">
        <v>97</v>
      </c>
      <c r="G461" t="str">
        <f>"Manager JC50"</f>
        <v>Manager JC50</v>
      </c>
      <c r="H461" t="s">
        <v>12181</v>
      </c>
      <c r="I461" t="s">
        <v>110</v>
      </c>
      <c r="J461" t="s">
        <v>98</v>
      </c>
      <c r="K461" s="1">
        <v>44106</v>
      </c>
      <c r="L461" s="1">
        <v>45200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 t="s">
        <v>111</v>
      </c>
      <c r="U461" t="str">
        <f>"CTSUS"</f>
        <v>CTSUS</v>
      </c>
      <c r="V461" t="s">
        <v>112</v>
      </c>
      <c r="W461" t="str">
        <f>""</f>
        <v/>
      </c>
      <c r="X461" t="s">
        <v>113</v>
      </c>
      <c r="Y461" t="s">
        <v>114</v>
      </c>
      <c r="Z461" s="3">
        <v>77845</v>
      </c>
      <c r="AA461" t="s">
        <v>101</v>
      </c>
      <c r="AB461" t="s">
        <v>114</v>
      </c>
      <c r="AC461" s="4" t="str">
        <f>"+19793296682"</f>
        <v>+19793296682</v>
      </c>
      <c r="AE461" t="str">
        <f>"541512"</f>
        <v>541512</v>
      </c>
      <c r="AF461" t="s">
        <v>115</v>
      </c>
      <c r="AG461" t="s">
        <v>116</v>
      </c>
      <c r="AH461" t="s">
        <v>108</v>
      </c>
      <c r="AI461" t="s">
        <v>117</v>
      </c>
      <c r="AJ461" t="s">
        <v>118</v>
      </c>
      <c r="AK461" t="str">
        <f>""</f>
        <v/>
      </c>
      <c r="AL461" t="s">
        <v>119</v>
      </c>
      <c r="AM461" t="s">
        <v>114</v>
      </c>
      <c r="AN461" s="3">
        <v>77845</v>
      </c>
      <c r="AO461" t="s">
        <v>101</v>
      </c>
      <c r="AQ461" t="str">
        <f>"+19793296682"</f>
        <v>+19793296682</v>
      </c>
      <c r="AS461" t="s">
        <v>120</v>
      </c>
      <c r="AT461" t="s">
        <v>102</v>
      </c>
      <c r="AU461" t="str">
        <f>""</f>
        <v/>
      </c>
      <c r="AV461" t="str">
        <f>""</f>
        <v/>
      </c>
      <c r="AW461" t="str">
        <f>""</f>
        <v/>
      </c>
      <c r="AX461" t="str">
        <f>""</f>
        <v/>
      </c>
      <c r="AY461" t="str">
        <f>""</f>
        <v/>
      </c>
      <c r="AZ461" t="str">
        <f>""</f>
        <v/>
      </c>
      <c r="BA461" t="str">
        <f>""</f>
        <v/>
      </c>
      <c r="BC461" t="str">
        <f>""</f>
        <v/>
      </c>
      <c r="BD461" t="str">
        <f>""</f>
        <v/>
      </c>
      <c r="BE461" t="str">
        <f>""</f>
        <v/>
      </c>
      <c r="BF461" t="str">
        <f>""</f>
        <v/>
      </c>
      <c r="BG461" t="str">
        <f>""</f>
        <v/>
      </c>
      <c r="BH461" t="str">
        <f>""</f>
        <v/>
      </c>
      <c r="BI461" t="str">
        <f>""</f>
        <v/>
      </c>
      <c r="BJ461" t="str">
        <f>""</f>
        <v/>
      </c>
      <c r="BK461">
        <v>1</v>
      </c>
      <c r="BL461" t="s">
        <v>102</v>
      </c>
      <c r="BM461" t="str">
        <f>""</f>
        <v/>
      </c>
      <c r="BN461" t="s">
        <v>11517</v>
      </c>
      <c r="BP461" t="s">
        <v>2337</v>
      </c>
      <c r="BQ461" t="s">
        <v>547</v>
      </c>
      <c r="BR461" t="s">
        <v>280</v>
      </c>
      <c r="BS461" s="5">
        <v>6067</v>
      </c>
      <c r="BT461" s="2">
        <v>93309</v>
      </c>
      <c r="BV461" t="s">
        <v>105</v>
      </c>
      <c r="BW461" s="2">
        <v>93309</v>
      </c>
      <c r="BX461" t="s">
        <v>105</v>
      </c>
      <c r="BZ461" t="s">
        <v>123</v>
      </c>
      <c r="CA461" t="str">
        <f t="shared" si="24"/>
        <v>7/1/2020 - 6/30/2021</v>
      </c>
      <c r="CF461">
        <v>1</v>
      </c>
      <c r="CG461" t="s">
        <v>98</v>
      </c>
      <c r="CH461" t="s">
        <v>98</v>
      </c>
      <c r="CI461" t="s">
        <v>206</v>
      </c>
      <c r="CJ461" t="s">
        <v>98</v>
      </c>
      <c r="CK461" t="s">
        <v>12324</v>
      </c>
      <c r="CL461" t="s">
        <v>108</v>
      </c>
      <c r="CM461" t="s">
        <v>109</v>
      </c>
      <c r="CN461" t="str">
        <f>""</f>
        <v/>
      </c>
      <c r="CO461" t="str">
        <f>""</f>
        <v/>
      </c>
      <c r="CP461" t="str">
        <f>""</f>
        <v/>
      </c>
      <c r="CQ461" t="str">
        <f>""</f>
        <v/>
      </c>
    </row>
    <row r="462" spans="1:96" x14ac:dyDescent="0.2">
      <c r="A462" t="s">
        <v>11525</v>
      </c>
      <c r="B462" t="s">
        <v>96</v>
      </c>
      <c r="C462" s="1">
        <v>44098</v>
      </c>
      <c r="D462" s="1">
        <v>44105</v>
      </c>
      <c r="F462" t="s">
        <v>97</v>
      </c>
      <c r="G462" t="str">
        <f>"Technical Lead"</f>
        <v>Technical Lead</v>
      </c>
      <c r="H462" t="s">
        <v>12169</v>
      </c>
      <c r="I462" t="s">
        <v>124</v>
      </c>
      <c r="J462" t="s">
        <v>98</v>
      </c>
      <c r="K462" s="1">
        <v>44098</v>
      </c>
      <c r="L462" s="1">
        <v>45192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 t="s">
        <v>310</v>
      </c>
      <c r="U462" t="str">
        <f>""</f>
        <v/>
      </c>
      <c r="V462" t="s">
        <v>311</v>
      </c>
      <c r="W462" t="str">
        <f>"SUITE 300"</f>
        <v>SUITE 300</v>
      </c>
      <c r="X462" t="s">
        <v>312</v>
      </c>
      <c r="Y462" t="s">
        <v>265</v>
      </c>
      <c r="Z462" s="3">
        <v>48083</v>
      </c>
      <c r="AA462" t="s">
        <v>101</v>
      </c>
      <c r="AC462" s="4" t="str">
        <f>"+12486193580"</f>
        <v>+12486193580</v>
      </c>
      <c r="AE462" t="str">
        <f>"541511"</f>
        <v>541511</v>
      </c>
      <c r="AF462" t="s">
        <v>313</v>
      </c>
      <c r="AG462" t="s">
        <v>314</v>
      </c>
      <c r="AI462" t="s">
        <v>315</v>
      </c>
      <c r="AJ462" t="s">
        <v>311</v>
      </c>
      <c r="AK462" t="str">
        <f>"SUITE 300"</f>
        <v>SUITE 300</v>
      </c>
      <c r="AL462" t="s">
        <v>312</v>
      </c>
      <c r="AM462" t="s">
        <v>265</v>
      </c>
      <c r="AN462" s="3">
        <v>48083</v>
      </c>
      <c r="AO462" t="s">
        <v>101</v>
      </c>
      <c r="AQ462" t="str">
        <f>"+12486193580"</f>
        <v>+12486193580</v>
      </c>
      <c r="AS462" t="s">
        <v>316</v>
      </c>
      <c r="AT462" t="s">
        <v>102</v>
      </c>
      <c r="AU462" t="str">
        <f>""</f>
        <v/>
      </c>
      <c r="AV462" t="str">
        <f>""</f>
        <v/>
      </c>
      <c r="AW462" t="str">
        <f>""</f>
        <v/>
      </c>
      <c r="AX462" t="str">
        <f>""</f>
        <v/>
      </c>
      <c r="AY462" t="str">
        <f>""</f>
        <v/>
      </c>
      <c r="AZ462" t="str">
        <f>""</f>
        <v/>
      </c>
      <c r="BA462" t="str">
        <f>""</f>
        <v/>
      </c>
      <c r="BC462" t="str">
        <f>""</f>
        <v/>
      </c>
      <c r="BD462" t="str">
        <f>""</f>
        <v/>
      </c>
      <c r="BE462" t="str">
        <f>""</f>
        <v/>
      </c>
      <c r="BF462" t="str">
        <f>""</f>
        <v/>
      </c>
      <c r="BG462" t="str">
        <f>""</f>
        <v/>
      </c>
      <c r="BH462" t="str">
        <f>""</f>
        <v/>
      </c>
      <c r="BI462" t="str">
        <f>""</f>
        <v/>
      </c>
      <c r="BJ462" t="str">
        <f>""</f>
        <v/>
      </c>
      <c r="BK462">
        <v>1</v>
      </c>
      <c r="BL462" t="s">
        <v>107</v>
      </c>
      <c r="BM462" t="str">
        <f>"Humana Inc."</f>
        <v>Humana Inc.</v>
      </c>
      <c r="BN462" t="s">
        <v>5504</v>
      </c>
      <c r="BO462" t="s">
        <v>108</v>
      </c>
      <c r="BP462" t="s">
        <v>368</v>
      </c>
      <c r="BQ462" t="s">
        <v>369</v>
      </c>
      <c r="BR462" t="s">
        <v>370</v>
      </c>
      <c r="BS462" s="5">
        <v>40202</v>
      </c>
      <c r="BT462" s="2">
        <v>122000</v>
      </c>
      <c r="BV462" t="s">
        <v>105</v>
      </c>
      <c r="BW462" s="2">
        <v>73757</v>
      </c>
      <c r="BX462" t="s">
        <v>105</v>
      </c>
      <c r="BZ462" t="s">
        <v>167</v>
      </c>
      <c r="CA462" t="str">
        <f t="shared" si="24"/>
        <v>7/1/2020 - 6/30/2021</v>
      </c>
      <c r="CF462">
        <v>2</v>
      </c>
      <c r="CG462" t="s">
        <v>98</v>
      </c>
      <c r="CH462" t="s">
        <v>98</v>
      </c>
      <c r="CI462" t="s">
        <v>206</v>
      </c>
      <c r="CJ462" t="s">
        <v>98</v>
      </c>
      <c r="CK462" t="s">
        <v>12324</v>
      </c>
      <c r="CL462" t="s">
        <v>108</v>
      </c>
      <c r="CM462" t="s">
        <v>109</v>
      </c>
      <c r="CN462" t="str">
        <f>"Fernandes"</f>
        <v>Fernandes</v>
      </c>
      <c r="CO462" t="str">
        <f>"Samson"</f>
        <v>Samson</v>
      </c>
      <c r="CP462" t="str">
        <f>"D"</f>
        <v>D</v>
      </c>
      <c r="CQ462" t="str">
        <f>"Atos Syntel Inc"</f>
        <v>Atos Syntel Inc</v>
      </c>
      <c r="CR462" t="s">
        <v>318</v>
      </c>
    </row>
    <row r="463" spans="1:96" x14ac:dyDescent="0.2">
      <c r="A463" t="s">
        <v>11570</v>
      </c>
      <c r="B463" t="s">
        <v>96</v>
      </c>
      <c r="C463" s="1">
        <v>44098</v>
      </c>
      <c r="D463" s="1">
        <v>44105</v>
      </c>
      <c r="F463" t="s">
        <v>97</v>
      </c>
      <c r="G463" t="str">
        <f>"Lead, Learned Driving Team"</f>
        <v>Lead, Learned Driving Team</v>
      </c>
      <c r="H463" t="s">
        <v>12176</v>
      </c>
      <c r="I463" t="s">
        <v>246</v>
      </c>
      <c r="J463" t="s">
        <v>98</v>
      </c>
      <c r="K463" s="1">
        <v>44265</v>
      </c>
      <c r="L463" s="1">
        <v>45360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 t="s">
        <v>11008</v>
      </c>
      <c r="U463" t="str">
        <f>""</f>
        <v/>
      </c>
      <c r="V463" t="s">
        <v>7357</v>
      </c>
      <c r="W463" t="str">
        <f>""</f>
        <v/>
      </c>
      <c r="X463" t="s">
        <v>147</v>
      </c>
      <c r="Y463" t="s">
        <v>141</v>
      </c>
      <c r="Z463" s="3">
        <v>94107</v>
      </c>
      <c r="AA463" t="s">
        <v>101</v>
      </c>
      <c r="AC463" s="4" t="str">
        <f>"+14157429970"</f>
        <v>+14157429970</v>
      </c>
      <c r="AE463" t="str">
        <f>"511210"</f>
        <v>511210</v>
      </c>
      <c r="AF463" t="s">
        <v>7356</v>
      </c>
      <c r="AG463" t="s">
        <v>1208</v>
      </c>
      <c r="AI463" t="s">
        <v>3867</v>
      </c>
      <c r="AJ463" t="s">
        <v>7357</v>
      </c>
      <c r="AK463" t="str">
        <f>""</f>
        <v/>
      </c>
      <c r="AL463" t="s">
        <v>147</v>
      </c>
      <c r="AM463" t="s">
        <v>141</v>
      </c>
      <c r="AN463" s="3">
        <v>94107</v>
      </c>
      <c r="AO463" t="s">
        <v>101</v>
      </c>
      <c r="AQ463" t="str">
        <f>"+14157429970"</f>
        <v>+14157429970</v>
      </c>
      <c r="AS463" t="s">
        <v>11571</v>
      </c>
      <c r="AT463" t="s">
        <v>107</v>
      </c>
      <c r="AU463" t="str">
        <f>"Nagahori"</f>
        <v>Nagahori</v>
      </c>
      <c r="AV463" t="str">
        <f>"Randi"</f>
        <v>Randi</v>
      </c>
      <c r="AW463" t="str">
        <f>""</f>
        <v/>
      </c>
      <c r="AX463" t="str">
        <f>"235 Montgomery Street"</f>
        <v>235 Montgomery Street</v>
      </c>
      <c r="AY463" t="str">
        <f>"Suite 629"</f>
        <v>Suite 629</v>
      </c>
      <c r="AZ463" t="str">
        <f>"San Francisco"</f>
        <v>San Francisco</v>
      </c>
      <c r="BA463" t="str">
        <f>"CA"</f>
        <v>CA</v>
      </c>
      <c r="BB463" s="3">
        <v>94104</v>
      </c>
      <c r="BC463" t="str">
        <f>"UNITED STATES OF AMERICA"</f>
        <v>UNITED STATES OF AMERICA</v>
      </c>
      <c r="BD463" t="str">
        <f>""</f>
        <v/>
      </c>
      <c r="BE463" t="str">
        <f>"+14158053900"</f>
        <v>+14158053900</v>
      </c>
      <c r="BF463" t="str">
        <f>""</f>
        <v/>
      </c>
      <c r="BG463" t="str">
        <f>"LCA@golawcorp.com"</f>
        <v>LCA@golawcorp.com</v>
      </c>
      <c r="BH463" t="str">
        <f>"GOESCHL LAW CORPORATION"</f>
        <v>GOESCHL LAW CORPORATION</v>
      </c>
      <c r="BI463" t="str">
        <f>"CA"</f>
        <v>CA</v>
      </c>
      <c r="BJ463" t="str">
        <f>"SUPREME COURT"</f>
        <v>SUPREME COURT</v>
      </c>
      <c r="BK463">
        <v>1</v>
      </c>
      <c r="BL463" t="s">
        <v>102</v>
      </c>
      <c r="BM463" t="str">
        <f>""</f>
        <v/>
      </c>
      <c r="BN463" t="s">
        <v>7355</v>
      </c>
      <c r="BP463" t="s">
        <v>147</v>
      </c>
      <c r="BQ463" t="s">
        <v>147</v>
      </c>
      <c r="BR463" t="s">
        <v>141</v>
      </c>
      <c r="BS463" s="5">
        <v>94107</v>
      </c>
      <c r="BT463" s="2">
        <v>171000</v>
      </c>
      <c r="BV463" t="s">
        <v>105</v>
      </c>
      <c r="BW463" s="2">
        <v>169562</v>
      </c>
      <c r="BX463" t="s">
        <v>105</v>
      </c>
      <c r="BZ463" t="s">
        <v>159</v>
      </c>
      <c r="CA463" t="str">
        <f t="shared" si="24"/>
        <v>7/1/2020 - 6/30/2021</v>
      </c>
      <c r="CF463">
        <v>1</v>
      </c>
      <c r="CG463" t="s">
        <v>98</v>
      </c>
      <c r="CH463" t="s">
        <v>98</v>
      </c>
      <c r="CI463" t="s">
        <v>206</v>
      </c>
      <c r="CJ463" t="s">
        <v>98</v>
      </c>
      <c r="CK463" t="s">
        <v>12324</v>
      </c>
      <c r="CL463" t="s">
        <v>108</v>
      </c>
      <c r="CM463" t="s">
        <v>109</v>
      </c>
      <c r="CN463" t="str">
        <f>""</f>
        <v/>
      </c>
      <c r="CO463" t="str">
        <f>""</f>
        <v/>
      </c>
      <c r="CP463" t="str">
        <f>""</f>
        <v/>
      </c>
      <c r="CQ463" t="str">
        <f>""</f>
        <v/>
      </c>
    </row>
    <row r="464" spans="1:96" x14ac:dyDescent="0.2">
      <c r="A464" t="s">
        <v>11597</v>
      </c>
      <c r="B464" t="s">
        <v>96</v>
      </c>
      <c r="C464" s="1">
        <v>44098</v>
      </c>
      <c r="D464" s="1">
        <v>44105</v>
      </c>
      <c r="F464" t="s">
        <v>97</v>
      </c>
      <c r="G464" t="str">
        <f>"Senior Systems Analyst JC60"</f>
        <v>Senior Systems Analyst JC60</v>
      </c>
      <c r="H464" t="s">
        <v>12181</v>
      </c>
      <c r="I464" t="s">
        <v>110</v>
      </c>
      <c r="J464" t="s">
        <v>98</v>
      </c>
      <c r="K464" s="1">
        <v>44107</v>
      </c>
      <c r="L464" s="1">
        <v>45201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 t="s">
        <v>111</v>
      </c>
      <c r="U464" t="str">
        <f>"CTSUS"</f>
        <v>CTSUS</v>
      </c>
      <c r="V464" t="s">
        <v>112</v>
      </c>
      <c r="W464" t="str">
        <f>""</f>
        <v/>
      </c>
      <c r="X464" t="s">
        <v>113</v>
      </c>
      <c r="Y464" t="s">
        <v>114</v>
      </c>
      <c r="Z464" s="3">
        <v>77845</v>
      </c>
      <c r="AA464" t="s">
        <v>101</v>
      </c>
      <c r="AB464" t="s">
        <v>114</v>
      </c>
      <c r="AC464" s="4" t="str">
        <f>"+19793296682"</f>
        <v>+19793296682</v>
      </c>
      <c r="AE464" t="str">
        <f>"541512"</f>
        <v>541512</v>
      </c>
      <c r="AF464" t="s">
        <v>115</v>
      </c>
      <c r="AG464" t="s">
        <v>116</v>
      </c>
      <c r="AH464" t="s">
        <v>108</v>
      </c>
      <c r="AI464" t="s">
        <v>117</v>
      </c>
      <c r="AJ464" t="s">
        <v>118</v>
      </c>
      <c r="AK464" t="str">
        <f>""</f>
        <v/>
      </c>
      <c r="AL464" t="s">
        <v>119</v>
      </c>
      <c r="AM464" t="s">
        <v>114</v>
      </c>
      <c r="AN464" s="3">
        <v>77845</v>
      </c>
      <c r="AO464" t="s">
        <v>101</v>
      </c>
      <c r="AQ464" t="str">
        <f>"+19793296682"</f>
        <v>+19793296682</v>
      </c>
      <c r="AS464" t="s">
        <v>120</v>
      </c>
      <c r="AT464" t="s">
        <v>102</v>
      </c>
      <c r="AU464" t="str">
        <f>""</f>
        <v/>
      </c>
      <c r="AV464" t="str">
        <f>""</f>
        <v/>
      </c>
      <c r="AW464" t="str">
        <f>""</f>
        <v/>
      </c>
      <c r="AX464" t="str">
        <f>""</f>
        <v/>
      </c>
      <c r="AY464" t="str">
        <f>""</f>
        <v/>
      </c>
      <c r="AZ464" t="str">
        <f>""</f>
        <v/>
      </c>
      <c r="BA464" t="str">
        <f>""</f>
        <v/>
      </c>
      <c r="BC464" t="str">
        <f>""</f>
        <v/>
      </c>
      <c r="BD464" t="str">
        <f>""</f>
        <v/>
      </c>
      <c r="BE464" t="str">
        <f>""</f>
        <v/>
      </c>
      <c r="BF464" t="str">
        <f>""</f>
        <v/>
      </c>
      <c r="BG464" t="str">
        <f>""</f>
        <v/>
      </c>
      <c r="BH464" t="str">
        <f>""</f>
        <v/>
      </c>
      <c r="BI464" t="str">
        <f>""</f>
        <v/>
      </c>
      <c r="BJ464" t="str">
        <f>""</f>
        <v/>
      </c>
      <c r="BK464">
        <v>1</v>
      </c>
      <c r="BL464" t="s">
        <v>107</v>
      </c>
      <c r="BM464" t="str">
        <f>"The Hartford"</f>
        <v>The Hartford</v>
      </c>
      <c r="BN464" t="s">
        <v>8286</v>
      </c>
      <c r="BP464" t="s">
        <v>4872</v>
      </c>
      <c r="BQ464" t="s">
        <v>547</v>
      </c>
      <c r="BR464" t="s">
        <v>280</v>
      </c>
      <c r="BS464" s="5">
        <v>6095</v>
      </c>
      <c r="BT464" s="2">
        <v>81453</v>
      </c>
      <c r="BV464" t="s">
        <v>105</v>
      </c>
      <c r="BW464" s="2">
        <v>81453</v>
      </c>
      <c r="BX464" t="s">
        <v>105</v>
      </c>
      <c r="BZ464" t="s">
        <v>167</v>
      </c>
      <c r="CA464" t="str">
        <f t="shared" si="24"/>
        <v>7/1/2020 - 6/30/2021</v>
      </c>
      <c r="CF464">
        <v>1</v>
      </c>
      <c r="CG464" t="s">
        <v>98</v>
      </c>
      <c r="CH464" t="s">
        <v>98</v>
      </c>
      <c r="CI464" t="s">
        <v>206</v>
      </c>
      <c r="CJ464" t="s">
        <v>98</v>
      </c>
      <c r="CK464" t="s">
        <v>12324</v>
      </c>
      <c r="CL464" t="s">
        <v>108</v>
      </c>
      <c r="CM464" t="s">
        <v>109</v>
      </c>
      <c r="CN464" t="str">
        <f>""</f>
        <v/>
      </c>
      <c r="CO464" t="str">
        <f>""</f>
        <v/>
      </c>
      <c r="CP464" t="str">
        <f>""</f>
        <v/>
      </c>
      <c r="CQ464" t="str">
        <f>""</f>
        <v/>
      </c>
    </row>
    <row r="465" spans="1:96" x14ac:dyDescent="0.2">
      <c r="A465" t="s">
        <v>11605</v>
      </c>
      <c r="B465" t="s">
        <v>96</v>
      </c>
      <c r="C465" s="1">
        <v>44098</v>
      </c>
      <c r="D465" s="1">
        <v>44105</v>
      </c>
      <c r="F465" t="s">
        <v>97</v>
      </c>
      <c r="G465" t="str">
        <f>"Manager JC50"</f>
        <v>Manager JC50</v>
      </c>
      <c r="H465" t="s">
        <v>12181</v>
      </c>
      <c r="I465" t="s">
        <v>110</v>
      </c>
      <c r="J465" t="s">
        <v>98</v>
      </c>
      <c r="K465" s="1">
        <v>44106</v>
      </c>
      <c r="L465" s="1">
        <v>45200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 t="s">
        <v>111</v>
      </c>
      <c r="U465" t="str">
        <f>"CTSUS"</f>
        <v>CTSUS</v>
      </c>
      <c r="V465" t="s">
        <v>112</v>
      </c>
      <c r="W465" t="str">
        <f>""</f>
        <v/>
      </c>
      <c r="X465" t="s">
        <v>113</v>
      </c>
      <c r="Y465" t="s">
        <v>114</v>
      </c>
      <c r="Z465" s="3">
        <v>77845</v>
      </c>
      <c r="AA465" t="s">
        <v>101</v>
      </c>
      <c r="AB465" t="s">
        <v>114</v>
      </c>
      <c r="AC465" s="4" t="str">
        <f>"+19793296682"</f>
        <v>+19793296682</v>
      </c>
      <c r="AE465" t="str">
        <f>"541512"</f>
        <v>541512</v>
      </c>
      <c r="AF465" t="s">
        <v>115</v>
      </c>
      <c r="AG465" t="s">
        <v>116</v>
      </c>
      <c r="AH465" t="s">
        <v>108</v>
      </c>
      <c r="AI465" t="s">
        <v>117</v>
      </c>
      <c r="AJ465" t="s">
        <v>118</v>
      </c>
      <c r="AK465" t="str">
        <f>""</f>
        <v/>
      </c>
      <c r="AL465" t="s">
        <v>119</v>
      </c>
      <c r="AM465" t="s">
        <v>114</v>
      </c>
      <c r="AN465" s="3">
        <v>77845</v>
      </c>
      <c r="AO465" t="s">
        <v>101</v>
      </c>
      <c r="AQ465" t="str">
        <f>"+19793296682"</f>
        <v>+19793296682</v>
      </c>
      <c r="AS465" t="s">
        <v>120</v>
      </c>
      <c r="AT465" t="s">
        <v>102</v>
      </c>
      <c r="AU465" t="str">
        <f>""</f>
        <v/>
      </c>
      <c r="AV465" t="str">
        <f>""</f>
        <v/>
      </c>
      <c r="AW465" t="str">
        <f>""</f>
        <v/>
      </c>
      <c r="AX465" t="str">
        <f>""</f>
        <v/>
      </c>
      <c r="AY465" t="str">
        <f>""</f>
        <v/>
      </c>
      <c r="AZ465" t="str">
        <f>""</f>
        <v/>
      </c>
      <c r="BA465" t="str">
        <f>""</f>
        <v/>
      </c>
      <c r="BC465" t="str">
        <f>""</f>
        <v/>
      </c>
      <c r="BD465" t="str">
        <f>""</f>
        <v/>
      </c>
      <c r="BE465" t="str">
        <f>""</f>
        <v/>
      </c>
      <c r="BF465" t="str">
        <f>""</f>
        <v/>
      </c>
      <c r="BG465" t="str">
        <f>""</f>
        <v/>
      </c>
      <c r="BH465" t="str">
        <f>""</f>
        <v/>
      </c>
      <c r="BI465" t="str">
        <f>""</f>
        <v/>
      </c>
      <c r="BJ465" t="str">
        <f>""</f>
        <v/>
      </c>
      <c r="BK465">
        <v>1</v>
      </c>
      <c r="BL465" t="s">
        <v>107</v>
      </c>
      <c r="BM465" t="str">
        <f>"CoreLogic Real Estate Solutions, LLC"</f>
        <v>CoreLogic Real Estate Solutions, LLC</v>
      </c>
      <c r="BN465" t="s">
        <v>1132</v>
      </c>
      <c r="BP465" t="s">
        <v>483</v>
      </c>
      <c r="BQ465" t="s">
        <v>484</v>
      </c>
      <c r="BR465" t="s">
        <v>114</v>
      </c>
      <c r="BS465" s="5">
        <v>75063</v>
      </c>
      <c r="BT465" s="2">
        <v>97240</v>
      </c>
      <c r="BV465" t="s">
        <v>105</v>
      </c>
      <c r="BW465" s="2">
        <v>97240</v>
      </c>
      <c r="BX465" t="s">
        <v>105</v>
      </c>
      <c r="BZ465" t="s">
        <v>123</v>
      </c>
      <c r="CA465" t="str">
        <f t="shared" si="24"/>
        <v>7/1/2020 - 6/30/2021</v>
      </c>
      <c r="CF465">
        <v>1</v>
      </c>
      <c r="CG465" t="s">
        <v>98</v>
      </c>
      <c r="CH465" t="s">
        <v>98</v>
      </c>
      <c r="CI465" t="s">
        <v>206</v>
      </c>
      <c r="CJ465" t="s">
        <v>98</v>
      </c>
      <c r="CK465" t="s">
        <v>12324</v>
      </c>
      <c r="CL465" t="s">
        <v>108</v>
      </c>
      <c r="CM465" t="s">
        <v>109</v>
      </c>
      <c r="CN465" t="str">
        <f>""</f>
        <v/>
      </c>
      <c r="CO465" t="str">
        <f>""</f>
        <v/>
      </c>
      <c r="CP465" t="str">
        <f>""</f>
        <v/>
      </c>
      <c r="CQ465" t="str">
        <f>""</f>
        <v/>
      </c>
    </row>
    <row r="466" spans="1:96" x14ac:dyDescent="0.2">
      <c r="A466" t="s">
        <v>11609</v>
      </c>
      <c r="B466" t="s">
        <v>96</v>
      </c>
      <c r="C466" s="1">
        <v>44098</v>
      </c>
      <c r="D466" s="1">
        <v>44105</v>
      </c>
      <c r="F466" t="s">
        <v>97</v>
      </c>
      <c r="G466" t="str">
        <f>"DATA ENGINEER"</f>
        <v>DATA ENGINEER</v>
      </c>
      <c r="H466" t="s">
        <v>12169</v>
      </c>
      <c r="I466" t="s">
        <v>124</v>
      </c>
      <c r="J466" t="s">
        <v>98</v>
      </c>
      <c r="K466" s="1">
        <v>44106</v>
      </c>
      <c r="L466" s="1">
        <v>45200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 t="s">
        <v>3493</v>
      </c>
      <c r="U466" t="str">
        <f>""</f>
        <v/>
      </c>
      <c r="V466" t="s">
        <v>3494</v>
      </c>
      <c r="W466" t="str">
        <f>"SUITE 1116"</f>
        <v>SUITE 1116</v>
      </c>
      <c r="X466" t="s">
        <v>683</v>
      </c>
      <c r="Y466" t="s">
        <v>100</v>
      </c>
      <c r="Z466" s="3">
        <v>8830</v>
      </c>
      <c r="AA466" t="s">
        <v>101</v>
      </c>
      <c r="AC466" s="4" t="str">
        <f>"+17325270567"</f>
        <v>+17325270567</v>
      </c>
      <c r="AE466" t="str">
        <f>"541519"</f>
        <v>541519</v>
      </c>
      <c r="AF466" t="s">
        <v>3495</v>
      </c>
      <c r="AG466" t="s">
        <v>3496</v>
      </c>
      <c r="AI466" t="s">
        <v>228</v>
      </c>
      <c r="AJ466" t="s">
        <v>3494</v>
      </c>
      <c r="AK466" t="str">
        <f>"SUITE 1116"</f>
        <v>SUITE 1116</v>
      </c>
      <c r="AL466" t="s">
        <v>683</v>
      </c>
      <c r="AM466" t="s">
        <v>100</v>
      </c>
      <c r="AN466" s="3">
        <v>8830</v>
      </c>
      <c r="AO466" t="s">
        <v>101</v>
      </c>
      <c r="AQ466" t="str">
        <f>"+17325270567"</f>
        <v>+17325270567</v>
      </c>
      <c r="AS466" t="s">
        <v>3497</v>
      </c>
      <c r="AT466" t="s">
        <v>107</v>
      </c>
      <c r="AU466" t="str">
        <f>"ALLEN"</f>
        <v>ALLEN</v>
      </c>
      <c r="AV466" t="str">
        <f>"THOMAS"</f>
        <v>THOMAS</v>
      </c>
      <c r="AW466" t="str">
        <f>"V."</f>
        <v>V.</v>
      </c>
      <c r="AX466" t="str">
        <f>"50 CRAGWOOD ROAD"</f>
        <v>50 CRAGWOOD ROAD</v>
      </c>
      <c r="AY466" t="str">
        <f>"SUITE 100"</f>
        <v>SUITE 100</v>
      </c>
      <c r="AZ466" t="str">
        <f>"SOUTH PLAINFIELD"</f>
        <v>SOUTH PLAINFIELD</v>
      </c>
      <c r="BA466" t="str">
        <f>"NJ"</f>
        <v>NJ</v>
      </c>
      <c r="BB466" s="3">
        <v>7080</v>
      </c>
      <c r="BC466" t="str">
        <f>"UNITED STATES OF AMERICA"</f>
        <v>UNITED STATES OF AMERICA</v>
      </c>
      <c r="BD466" t="str">
        <f>""</f>
        <v/>
      </c>
      <c r="BE466" t="str">
        <f>"+17328327978"</f>
        <v>+17328327978</v>
      </c>
      <c r="BF466" t="str">
        <f>""</f>
        <v/>
      </c>
      <c r="BG466" t="str">
        <f>"ICERT@THOMASVALLEN.COM"</f>
        <v>ICERT@THOMASVALLEN.COM</v>
      </c>
      <c r="BH466" t="str">
        <f>"LAW OFFICE OF THOMAS V. ALLEN PLLC"</f>
        <v>LAW OFFICE OF THOMAS V. ALLEN PLLC</v>
      </c>
      <c r="BI466" t="str">
        <f>"NY"</f>
        <v>NY</v>
      </c>
      <c r="BJ466" t="str">
        <f>"APPELLATE COURT"</f>
        <v>APPELLATE COURT</v>
      </c>
      <c r="BK466">
        <v>1</v>
      </c>
      <c r="BL466" t="s">
        <v>107</v>
      </c>
      <c r="BM466" t="str">
        <f>"CATERPILLAR"</f>
        <v>CATERPILLAR</v>
      </c>
      <c r="BN466" t="s">
        <v>7282</v>
      </c>
      <c r="BP466" t="s">
        <v>1637</v>
      </c>
      <c r="BQ466" t="s">
        <v>1637</v>
      </c>
      <c r="BR466" t="s">
        <v>345</v>
      </c>
      <c r="BS466" s="5">
        <v>61630</v>
      </c>
      <c r="BT466" s="2">
        <v>81806</v>
      </c>
      <c r="BV466" t="s">
        <v>105</v>
      </c>
      <c r="BW466" s="2">
        <v>81578</v>
      </c>
      <c r="BX466" t="s">
        <v>105</v>
      </c>
      <c r="BZ466" t="s">
        <v>167</v>
      </c>
      <c r="CA466" t="str">
        <f t="shared" si="24"/>
        <v>7/1/2020 - 6/30/2021</v>
      </c>
      <c r="CF466">
        <v>2</v>
      </c>
      <c r="CG466" t="s">
        <v>98</v>
      </c>
      <c r="CH466" t="s">
        <v>98</v>
      </c>
      <c r="CI466" t="s">
        <v>206</v>
      </c>
      <c r="CJ466" t="s">
        <v>98</v>
      </c>
      <c r="CK466" t="s">
        <v>12324</v>
      </c>
      <c r="CL466" t="s">
        <v>108</v>
      </c>
      <c r="CM466" t="s">
        <v>109</v>
      </c>
      <c r="CN466" t="str">
        <f>""</f>
        <v/>
      </c>
      <c r="CO466" t="str">
        <f>""</f>
        <v/>
      </c>
      <c r="CP466" t="str">
        <f>""</f>
        <v/>
      </c>
      <c r="CQ466" t="str">
        <f>""</f>
        <v/>
      </c>
    </row>
    <row r="467" spans="1:96" x14ac:dyDescent="0.2">
      <c r="A467" t="s">
        <v>11623</v>
      </c>
      <c r="B467" t="s">
        <v>96</v>
      </c>
      <c r="C467" s="1">
        <v>44098</v>
      </c>
      <c r="D467" s="1">
        <v>44105</v>
      </c>
      <c r="F467" t="s">
        <v>97</v>
      </c>
      <c r="G467" t="str">
        <f>"UI Developer"</f>
        <v>UI Developer</v>
      </c>
      <c r="H467" t="s">
        <v>12169</v>
      </c>
      <c r="I467" t="s">
        <v>124</v>
      </c>
      <c r="J467" t="s">
        <v>98</v>
      </c>
      <c r="K467" s="1">
        <v>44098</v>
      </c>
      <c r="L467" s="1">
        <v>44773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 t="s">
        <v>7925</v>
      </c>
      <c r="U467" t="str">
        <f>""</f>
        <v/>
      </c>
      <c r="V467" t="s">
        <v>7926</v>
      </c>
      <c r="W467" t="str">
        <f>"Suite 402"</f>
        <v>Suite 402</v>
      </c>
      <c r="X467" t="s">
        <v>555</v>
      </c>
      <c r="Y467" t="s">
        <v>114</v>
      </c>
      <c r="Z467" s="3">
        <v>75034</v>
      </c>
      <c r="AA467" t="s">
        <v>101</v>
      </c>
      <c r="AC467" s="4" t="str">
        <f>"+15103943994"</f>
        <v>+15103943994</v>
      </c>
      <c r="AE467" t="str">
        <f t="shared" ref="AE467:AE473" si="26">"541511"</f>
        <v>541511</v>
      </c>
      <c r="AF467" t="s">
        <v>4474</v>
      </c>
      <c r="AG467" t="s">
        <v>7927</v>
      </c>
      <c r="AH467" t="s">
        <v>108</v>
      </c>
      <c r="AI467" t="s">
        <v>298</v>
      </c>
      <c r="AJ467" t="s">
        <v>7926</v>
      </c>
      <c r="AK467" t="str">
        <f>"Suite 402"</f>
        <v>Suite 402</v>
      </c>
      <c r="AL467" t="s">
        <v>2400</v>
      </c>
      <c r="AM467" t="s">
        <v>114</v>
      </c>
      <c r="AN467" s="3">
        <v>75034</v>
      </c>
      <c r="AO467" t="s">
        <v>101</v>
      </c>
      <c r="AQ467" t="str">
        <f>"+15103943994"</f>
        <v>+15103943994</v>
      </c>
      <c r="AS467" t="s">
        <v>7928</v>
      </c>
      <c r="AT467" t="s">
        <v>102</v>
      </c>
      <c r="AU467" t="str">
        <f>""</f>
        <v/>
      </c>
      <c r="AV467" t="str">
        <f>""</f>
        <v/>
      </c>
      <c r="AW467" t="str">
        <f>""</f>
        <v/>
      </c>
      <c r="AX467" t="str">
        <f>""</f>
        <v/>
      </c>
      <c r="AY467" t="str">
        <f>""</f>
        <v/>
      </c>
      <c r="AZ467" t="str">
        <f>""</f>
        <v/>
      </c>
      <c r="BA467" t="str">
        <f>""</f>
        <v/>
      </c>
      <c r="BC467" t="str">
        <f>""</f>
        <v/>
      </c>
      <c r="BD467" t="str">
        <f>""</f>
        <v/>
      </c>
      <c r="BE467" t="str">
        <f>""</f>
        <v/>
      </c>
      <c r="BF467" t="str">
        <f>""</f>
        <v/>
      </c>
      <c r="BG467" t="str">
        <f>""</f>
        <v/>
      </c>
      <c r="BH467" t="str">
        <f>""</f>
        <v/>
      </c>
      <c r="BI467" t="str">
        <f>""</f>
        <v/>
      </c>
      <c r="BJ467" t="str">
        <f>""</f>
        <v/>
      </c>
      <c r="BK467">
        <v>1</v>
      </c>
      <c r="BL467" t="s">
        <v>107</v>
      </c>
      <c r="BM467" t="str">
        <f>"US Bank"</f>
        <v>US Bank</v>
      </c>
      <c r="BN467" t="s">
        <v>11624</v>
      </c>
      <c r="BP467" t="s">
        <v>1339</v>
      </c>
      <c r="BQ467" t="s">
        <v>185</v>
      </c>
      <c r="BR467" t="s">
        <v>186</v>
      </c>
      <c r="BS467" s="5">
        <v>55402</v>
      </c>
      <c r="BT467" s="2">
        <v>88712</v>
      </c>
      <c r="BV467" t="s">
        <v>105</v>
      </c>
      <c r="BW467" s="2">
        <v>88712</v>
      </c>
      <c r="BX467" t="s">
        <v>105</v>
      </c>
      <c r="BZ467" t="s">
        <v>167</v>
      </c>
      <c r="CA467" t="str">
        <f t="shared" si="24"/>
        <v>7/1/2020 - 6/30/2021</v>
      </c>
      <c r="CF467">
        <v>1</v>
      </c>
      <c r="CG467" t="s">
        <v>98</v>
      </c>
      <c r="CH467" t="s">
        <v>98</v>
      </c>
      <c r="CI467" t="s">
        <v>206</v>
      </c>
      <c r="CJ467" t="s">
        <v>98</v>
      </c>
      <c r="CK467" t="s">
        <v>12324</v>
      </c>
      <c r="CL467" t="s">
        <v>108</v>
      </c>
      <c r="CM467" t="s">
        <v>109</v>
      </c>
      <c r="CN467" t="str">
        <f>"N/A"</f>
        <v>N/A</v>
      </c>
      <c r="CO467" t="str">
        <f>"N/A"</f>
        <v>N/A</v>
      </c>
      <c r="CP467" t="str">
        <f>"N/A"</f>
        <v>N/A</v>
      </c>
      <c r="CQ467" t="str">
        <f>"Mythri Consulting LLC"</f>
        <v>Mythri Consulting LLC</v>
      </c>
      <c r="CR467" t="s">
        <v>7928</v>
      </c>
    </row>
    <row r="468" spans="1:96" x14ac:dyDescent="0.2">
      <c r="A468" t="s">
        <v>11640</v>
      </c>
      <c r="B468" t="s">
        <v>96</v>
      </c>
      <c r="C468" s="1">
        <v>44098</v>
      </c>
      <c r="D468" s="1">
        <v>44105</v>
      </c>
      <c r="F468" t="s">
        <v>97</v>
      </c>
      <c r="G468" t="str">
        <f>"Systems Engineer"</f>
        <v>Systems Engineer</v>
      </c>
      <c r="H468" t="s">
        <v>12176</v>
      </c>
      <c r="I468" t="s">
        <v>246</v>
      </c>
      <c r="J468" t="s">
        <v>98</v>
      </c>
      <c r="K468" s="1">
        <v>44105</v>
      </c>
      <c r="L468" s="1">
        <v>45199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9290</v>
      </c>
      <c r="U468" t="str">
        <f>""</f>
        <v/>
      </c>
      <c r="V468" t="s">
        <v>7529</v>
      </c>
      <c r="W468" t="str">
        <f>"SUITE 130"</f>
        <v>SUITE 130</v>
      </c>
      <c r="X468" t="s">
        <v>1487</v>
      </c>
      <c r="Y468" t="s">
        <v>114</v>
      </c>
      <c r="Z468" s="3">
        <v>75038</v>
      </c>
      <c r="AA468" t="s">
        <v>101</v>
      </c>
      <c r="AC468" s="4" t="str">
        <f>"+19727523424"</f>
        <v>+19727523424</v>
      </c>
      <c r="AE468" t="str">
        <f t="shared" si="26"/>
        <v>541511</v>
      </c>
      <c r="AF468" t="s">
        <v>6553</v>
      </c>
      <c r="AG468" t="s">
        <v>9291</v>
      </c>
      <c r="AI468" t="s">
        <v>425</v>
      </c>
      <c r="AJ468" t="s">
        <v>7529</v>
      </c>
      <c r="AK468" t="str">
        <f>"SUITE 130"</f>
        <v>SUITE 130</v>
      </c>
      <c r="AL468" t="s">
        <v>1487</v>
      </c>
      <c r="AM468" t="s">
        <v>114</v>
      </c>
      <c r="AN468" s="3">
        <v>75038</v>
      </c>
      <c r="AO468" t="s">
        <v>101</v>
      </c>
      <c r="AQ468" t="str">
        <f>"+19727523424"</f>
        <v>+19727523424</v>
      </c>
      <c r="AS468" t="s">
        <v>9292</v>
      </c>
      <c r="AT468" t="s">
        <v>107</v>
      </c>
      <c r="AU468" t="str">
        <f>"Akula"</f>
        <v>Akula</v>
      </c>
      <c r="AV468" t="str">
        <f>"Kavitha"</f>
        <v>Kavitha</v>
      </c>
      <c r="AW468" t="str">
        <f>""</f>
        <v/>
      </c>
      <c r="AX468" t="str">
        <f>"17400 DALLAS PKWY"</f>
        <v>17400 DALLAS PKWY</v>
      </c>
      <c r="AY468" t="str">
        <f>"SUITE 216"</f>
        <v>SUITE 216</v>
      </c>
      <c r="AZ468" t="str">
        <f>"DALLAS"</f>
        <v>DALLAS</v>
      </c>
      <c r="BA468" t="str">
        <f>"TX"</f>
        <v>TX</v>
      </c>
      <c r="BB468" s="3">
        <v>75287</v>
      </c>
      <c r="BC468" t="str">
        <f>"UNITED STATES OF AMERICA"</f>
        <v>UNITED STATES OF AMERICA</v>
      </c>
      <c r="BD468" t="str">
        <f>""</f>
        <v/>
      </c>
      <c r="BE468" t="str">
        <f>"+19722414698"</f>
        <v>+19722414698</v>
      </c>
      <c r="BF468" t="str">
        <f>""</f>
        <v/>
      </c>
      <c r="BG468" t="str">
        <f>"trupti.sinari@akulalaw.com"</f>
        <v>trupti.sinari@akulalaw.com</v>
      </c>
      <c r="BH468" t="str">
        <f>"Akula &amp; Associates, P.C."</f>
        <v>Akula &amp; Associates, P.C.</v>
      </c>
      <c r="BI468" t="str">
        <f>"TX"</f>
        <v>TX</v>
      </c>
      <c r="BJ468" t="str">
        <f>"SUPREME COURT"</f>
        <v>SUPREME COURT</v>
      </c>
      <c r="BK468">
        <v>1</v>
      </c>
      <c r="BL468" t="s">
        <v>102</v>
      </c>
      <c r="BM468" t="str">
        <f>""</f>
        <v/>
      </c>
      <c r="BN468" t="s">
        <v>11641</v>
      </c>
      <c r="BP468" t="s">
        <v>5918</v>
      </c>
      <c r="BQ468" t="s">
        <v>484</v>
      </c>
      <c r="BR468" t="s">
        <v>114</v>
      </c>
      <c r="BS468" s="5">
        <v>75038</v>
      </c>
      <c r="BT468" s="2">
        <v>93558</v>
      </c>
      <c r="BU468" s="2">
        <v>93560</v>
      </c>
      <c r="BV468" t="s">
        <v>105</v>
      </c>
      <c r="BW468" s="2">
        <v>93558</v>
      </c>
      <c r="BX468" t="s">
        <v>105</v>
      </c>
      <c r="BZ468" t="s">
        <v>167</v>
      </c>
      <c r="CA468" t="str">
        <f t="shared" si="24"/>
        <v>7/1/2020 - 6/30/2021</v>
      </c>
      <c r="CF468">
        <v>1</v>
      </c>
      <c r="CG468" t="s">
        <v>98</v>
      </c>
      <c r="CH468" t="s">
        <v>98</v>
      </c>
      <c r="CI468" t="s">
        <v>206</v>
      </c>
      <c r="CJ468" t="s">
        <v>98</v>
      </c>
      <c r="CK468" t="s">
        <v>12324</v>
      </c>
      <c r="CL468" t="s">
        <v>108</v>
      </c>
      <c r="CM468" t="s">
        <v>109</v>
      </c>
      <c r="CN468" t="str">
        <f>""</f>
        <v/>
      </c>
      <c r="CO468" t="str">
        <f>""</f>
        <v/>
      </c>
      <c r="CP468" t="str">
        <f>""</f>
        <v/>
      </c>
      <c r="CQ468" t="str">
        <f>""</f>
        <v/>
      </c>
    </row>
    <row r="469" spans="1:96" x14ac:dyDescent="0.2">
      <c r="A469" t="s">
        <v>11656</v>
      </c>
      <c r="B469" t="s">
        <v>96</v>
      </c>
      <c r="C469" s="1">
        <v>44098</v>
      </c>
      <c r="D469" s="1">
        <v>44105</v>
      </c>
      <c r="F469" t="s">
        <v>97</v>
      </c>
      <c r="G469" t="str">
        <f>"Network Engineer "</f>
        <v xml:space="preserve">Network Engineer </v>
      </c>
      <c r="H469" t="s">
        <v>12258</v>
      </c>
      <c r="I469" t="s">
        <v>863</v>
      </c>
      <c r="J469" t="s">
        <v>98</v>
      </c>
      <c r="K469" s="1">
        <v>44105</v>
      </c>
      <c r="L469" s="1">
        <v>45199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 t="s">
        <v>11657</v>
      </c>
      <c r="U469" t="str">
        <f>""</f>
        <v/>
      </c>
      <c r="V469" t="s">
        <v>11658</v>
      </c>
      <c r="W469" t="str">
        <f>""</f>
        <v/>
      </c>
      <c r="X469" t="s">
        <v>4162</v>
      </c>
      <c r="Y469" t="s">
        <v>127</v>
      </c>
      <c r="Z469" s="3">
        <v>15146</v>
      </c>
      <c r="AA469" t="s">
        <v>101</v>
      </c>
      <c r="AC469" s="4" t="str">
        <f>"+12012205211"</f>
        <v>+12012205211</v>
      </c>
      <c r="AE469" t="str">
        <f t="shared" si="26"/>
        <v>541511</v>
      </c>
      <c r="AF469" t="s">
        <v>11659</v>
      </c>
      <c r="AG469" t="s">
        <v>11009</v>
      </c>
      <c r="AI469" t="s">
        <v>228</v>
      </c>
      <c r="AJ469" t="s">
        <v>11658</v>
      </c>
      <c r="AK469" t="str">
        <f>""</f>
        <v/>
      </c>
      <c r="AL469" t="s">
        <v>4162</v>
      </c>
      <c r="AM469" t="s">
        <v>127</v>
      </c>
      <c r="AN469" s="3">
        <v>15146</v>
      </c>
      <c r="AO469" t="s">
        <v>101</v>
      </c>
      <c r="AQ469" t="str">
        <f>"+12012205211"</f>
        <v>+12012205211</v>
      </c>
      <c r="AS469" t="s">
        <v>5486</v>
      </c>
      <c r="AT469" t="s">
        <v>107</v>
      </c>
      <c r="AU469" t="str">
        <f>"Akula"</f>
        <v>Akula</v>
      </c>
      <c r="AV469" t="str">
        <f>"Kavitha"</f>
        <v>Kavitha</v>
      </c>
      <c r="AW469" t="str">
        <f>""</f>
        <v/>
      </c>
      <c r="AX469" t="str">
        <f>"17400 DALLAS PKWY"</f>
        <v>17400 DALLAS PKWY</v>
      </c>
      <c r="AY469" t="str">
        <f>"SUITE 216"</f>
        <v>SUITE 216</v>
      </c>
      <c r="AZ469" t="str">
        <f>"DALLAS"</f>
        <v>DALLAS</v>
      </c>
      <c r="BA469" t="str">
        <f>"TX"</f>
        <v>TX</v>
      </c>
      <c r="BB469" s="3">
        <v>75287</v>
      </c>
      <c r="BC469" t="str">
        <f>"UNITED STATES OF AMERICA"</f>
        <v>UNITED STATES OF AMERICA</v>
      </c>
      <c r="BD469" t="str">
        <f>""</f>
        <v/>
      </c>
      <c r="BE469" t="str">
        <f>"+19722414698"</f>
        <v>+19722414698</v>
      </c>
      <c r="BF469" t="str">
        <f>""</f>
        <v/>
      </c>
      <c r="BG469" t="str">
        <f>"maggie.bannon@akulalaw.com"</f>
        <v>maggie.bannon@akulalaw.com</v>
      </c>
      <c r="BH469" t="str">
        <f>"Akula &amp; Associates, P.C."</f>
        <v>Akula &amp; Associates, P.C.</v>
      </c>
      <c r="BI469" t="str">
        <f>"TX"</f>
        <v>TX</v>
      </c>
      <c r="BJ469" t="str">
        <f>"SUPREME COURT"</f>
        <v>SUPREME COURT</v>
      </c>
      <c r="BK469">
        <v>1</v>
      </c>
      <c r="BL469" t="s">
        <v>107</v>
      </c>
      <c r="BM469" t="str">
        <f>"HCL America Inc"</f>
        <v>HCL America Inc</v>
      </c>
      <c r="BN469" t="s">
        <v>11660</v>
      </c>
      <c r="BP469" t="s">
        <v>2614</v>
      </c>
      <c r="BQ469" t="s">
        <v>535</v>
      </c>
      <c r="BR469" t="s">
        <v>100</v>
      </c>
      <c r="BS469" s="5">
        <v>7921</v>
      </c>
      <c r="BT469" s="2">
        <v>103272</v>
      </c>
      <c r="BU469" s="2">
        <v>103275</v>
      </c>
      <c r="BV469" t="s">
        <v>105</v>
      </c>
      <c r="BW469" s="2">
        <v>103272</v>
      </c>
      <c r="BX469" t="s">
        <v>105</v>
      </c>
      <c r="BZ469" t="s">
        <v>167</v>
      </c>
      <c r="CA469" t="str">
        <f t="shared" si="24"/>
        <v>7/1/2020 - 6/30/2021</v>
      </c>
      <c r="CF469">
        <v>1</v>
      </c>
      <c r="CG469" t="s">
        <v>98</v>
      </c>
      <c r="CH469" t="s">
        <v>98</v>
      </c>
      <c r="CI469" t="s">
        <v>206</v>
      </c>
      <c r="CJ469" t="s">
        <v>98</v>
      </c>
      <c r="CK469" t="s">
        <v>12324</v>
      </c>
      <c r="CL469" t="s">
        <v>108</v>
      </c>
      <c r="CM469" t="s">
        <v>109</v>
      </c>
      <c r="CN469" t="str">
        <f>""</f>
        <v/>
      </c>
      <c r="CO469" t="str">
        <f>""</f>
        <v/>
      </c>
      <c r="CP469" t="str">
        <f>""</f>
        <v/>
      </c>
      <c r="CQ469" t="str">
        <f>""</f>
        <v/>
      </c>
    </row>
    <row r="470" spans="1:96" x14ac:dyDescent="0.2">
      <c r="A470" t="s">
        <v>11661</v>
      </c>
      <c r="B470" t="s">
        <v>96</v>
      </c>
      <c r="C470" s="1">
        <v>44098</v>
      </c>
      <c r="D470" s="1">
        <v>44105</v>
      </c>
      <c r="F470" t="s">
        <v>97</v>
      </c>
      <c r="G470" t="str">
        <f>".NET developer"</f>
        <v>.NET developer</v>
      </c>
      <c r="H470" t="s">
        <v>12169</v>
      </c>
      <c r="I470" t="s">
        <v>124</v>
      </c>
      <c r="J470" t="s">
        <v>98</v>
      </c>
      <c r="K470" s="1">
        <v>44197</v>
      </c>
      <c r="L470" s="1">
        <v>45292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 t="s">
        <v>11662</v>
      </c>
      <c r="U470" t="str">
        <f>""</f>
        <v/>
      </c>
      <c r="V470" t="s">
        <v>11663</v>
      </c>
      <c r="W470" t="str">
        <f>"STE # 304&amp; 411"</f>
        <v>STE # 304&amp; 411</v>
      </c>
      <c r="X470" t="s">
        <v>11664</v>
      </c>
      <c r="Y470" t="s">
        <v>100</v>
      </c>
      <c r="Z470" s="3">
        <v>8077</v>
      </c>
      <c r="AA470" t="s">
        <v>101</v>
      </c>
      <c r="AC470" s="4" t="str">
        <f>"+18563123001"</f>
        <v>+18563123001</v>
      </c>
      <c r="AE470" t="str">
        <f t="shared" si="26"/>
        <v>541511</v>
      </c>
      <c r="AF470" t="s">
        <v>11665</v>
      </c>
      <c r="AG470" t="s">
        <v>10531</v>
      </c>
      <c r="AI470" t="s">
        <v>629</v>
      </c>
      <c r="AJ470" t="s">
        <v>11663</v>
      </c>
      <c r="AK470" t="str">
        <f>"STE # 304&amp; 411 "</f>
        <v xml:space="preserve">STE # 304&amp; 411 </v>
      </c>
      <c r="AL470" t="s">
        <v>11664</v>
      </c>
      <c r="AM470" t="s">
        <v>100</v>
      </c>
      <c r="AN470" s="3">
        <v>8077</v>
      </c>
      <c r="AO470" t="s">
        <v>101</v>
      </c>
      <c r="AQ470" t="str">
        <f>"+18563123001"</f>
        <v>+18563123001</v>
      </c>
      <c r="AS470" t="s">
        <v>10532</v>
      </c>
      <c r="AT470" t="s">
        <v>107</v>
      </c>
      <c r="AU470" t="str">
        <f>"RAMASAMI"</f>
        <v>RAMASAMI</v>
      </c>
      <c r="AV470" t="str">
        <f>"KAVITHA"</f>
        <v>KAVITHA</v>
      </c>
      <c r="AW470" t="str">
        <f>""</f>
        <v/>
      </c>
      <c r="AX470" t="str">
        <f>"55 CARTER DRIVE"</f>
        <v>55 CARTER DRIVE</v>
      </c>
      <c r="AY470" t="str">
        <f>"SUITE 207"</f>
        <v>SUITE 207</v>
      </c>
      <c r="AZ470" t="str">
        <f>"EDISON"</f>
        <v>EDISON</v>
      </c>
      <c r="BA470" t="str">
        <f>"NJ"</f>
        <v>NJ</v>
      </c>
      <c r="BB470" s="3">
        <v>8817</v>
      </c>
      <c r="BC470" t="str">
        <f>"UNITED STATES OF AMERICA"</f>
        <v>UNITED STATES OF AMERICA</v>
      </c>
      <c r="BD470" t="str">
        <f>""</f>
        <v/>
      </c>
      <c r="BE470" t="str">
        <f>"+17323939557"</f>
        <v>+17323939557</v>
      </c>
      <c r="BF470" t="str">
        <f>""</f>
        <v/>
      </c>
      <c r="BG470" t="str">
        <f>"HEMA@USIMMIGRATIONESQ.COM"</f>
        <v>HEMA@USIMMIGRATIONESQ.COM</v>
      </c>
      <c r="BH470" t="str">
        <f>"LAW OFFICES OF KAVITHA RAMASAMI"</f>
        <v>LAW OFFICES OF KAVITHA RAMASAMI</v>
      </c>
      <c r="BI470" t="str">
        <f>"NY"</f>
        <v>NY</v>
      </c>
      <c r="BJ470" t="str">
        <f>"SUPREME COURT, APPELLATE   DIVISION"</f>
        <v>SUPREME COURT, APPELLATE   DIVISION</v>
      </c>
      <c r="BK470">
        <v>1</v>
      </c>
      <c r="BL470" t="s">
        <v>107</v>
      </c>
      <c r="BM470" t="str">
        <f>"HCS (Horizon Casuality Services)"</f>
        <v>HCS (Horizon Casuality Services)</v>
      </c>
      <c r="BN470" t="s">
        <v>11666</v>
      </c>
      <c r="BO470" t="s">
        <v>307</v>
      </c>
      <c r="BP470" t="s">
        <v>308</v>
      </c>
      <c r="BQ470" t="s">
        <v>309</v>
      </c>
      <c r="BR470" t="s">
        <v>100</v>
      </c>
      <c r="BS470" s="5">
        <v>7105</v>
      </c>
      <c r="BT470" s="2">
        <v>48.5</v>
      </c>
      <c r="BV470" t="s">
        <v>210</v>
      </c>
      <c r="BW470" s="2">
        <v>48.33</v>
      </c>
      <c r="BX470" t="s">
        <v>210</v>
      </c>
      <c r="BZ470" t="s">
        <v>167</v>
      </c>
      <c r="CA470" t="str">
        <f t="shared" si="24"/>
        <v>7/1/2020 - 6/30/2021</v>
      </c>
      <c r="CF470">
        <v>1</v>
      </c>
      <c r="CG470" t="s">
        <v>98</v>
      </c>
      <c r="CH470" t="s">
        <v>98</v>
      </c>
      <c r="CI470" t="s">
        <v>206</v>
      </c>
      <c r="CJ470" t="s">
        <v>98</v>
      </c>
      <c r="CK470" t="s">
        <v>12324</v>
      </c>
      <c r="CL470" t="s">
        <v>108</v>
      </c>
      <c r="CM470" t="s">
        <v>109</v>
      </c>
      <c r="CN470" t="str">
        <f>"RAMASAMI"</f>
        <v>RAMASAMI</v>
      </c>
      <c r="CO470" t="str">
        <f>"KAVITHA"</f>
        <v>KAVITHA</v>
      </c>
      <c r="CP470" t="str">
        <f>""</f>
        <v/>
      </c>
      <c r="CQ470" t="str">
        <f>"LAW OFFICES OF KAVITHA RAMASAMI"</f>
        <v>LAW OFFICES OF KAVITHA RAMASAMI</v>
      </c>
      <c r="CR470" t="s">
        <v>4175</v>
      </c>
    </row>
    <row r="471" spans="1:96" x14ac:dyDescent="0.2">
      <c r="A471" t="s">
        <v>11703</v>
      </c>
      <c r="B471" t="s">
        <v>96</v>
      </c>
      <c r="C471" s="1">
        <v>44098</v>
      </c>
      <c r="D471" s="1">
        <v>44105</v>
      </c>
      <c r="F471" t="s">
        <v>97</v>
      </c>
      <c r="G471" t="str">
        <f>"Software Developer"</f>
        <v>Software Developer</v>
      </c>
      <c r="H471" t="s">
        <v>12169</v>
      </c>
      <c r="I471" t="s">
        <v>124</v>
      </c>
      <c r="J471" t="s">
        <v>98</v>
      </c>
      <c r="K471" s="1">
        <v>44104</v>
      </c>
      <c r="L471" s="1">
        <v>45198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 t="s">
        <v>9959</v>
      </c>
      <c r="U471" t="str">
        <f>""</f>
        <v/>
      </c>
      <c r="V471" t="s">
        <v>9960</v>
      </c>
      <c r="W471" t="str">
        <f>"SUITE # 235"</f>
        <v>SUITE # 235</v>
      </c>
      <c r="X471" t="s">
        <v>604</v>
      </c>
      <c r="Y471" t="s">
        <v>122</v>
      </c>
      <c r="Z471" s="3">
        <v>28262</v>
      </c>
      <c r="AA471" t="s">
        <v>101</v>
      </c>
      <c r="AC471" s="4" t="str">
        <f>"+19802922224"</f>
        <v>+19802922224</v>
      </c>
      <c r="AE471" t="str">
        <f t="shared" si="26"/>
        <v>541511</v>
      </c>
      <c r="AF471" t="s">
        <v>9961</v>
      </c>
      <c r="AG471" t="s">
        <v>9962</v>
      </c>
      <c r="AI471" t="s">
        <v>3573</v>
      </c>
      <c r="AJ471" t="s">
        <v>9960</v>
      </c>
      <c r="AK471" t="str">
        <f>"SUITE # 235"</f>
        <v>SUITE # 235</v>
      </c>
      <c r="AL471" t="s">
        <v>604</v>
      </c>
      <c r="AM471" t="s">
        <v>122</v>
      </c>
      <c r="AN471" s="3">
        <v>28262</v>
      </c>
      <c r="AO471" t="s">
        <v>101</v>
      </c>
      <c r="AQ471" t="str">
        <f>"+19802922224"</f>
        <v>+19802922224</v>
      </c>
      <c r="AS471" t="s">
        <v>9963</v>
      </c>
      <c r="AT471" t="s">
        <v>102</v>
      </c>
      <c r="AU471" t="str">
        <f>""</f>
        <v/>
      </c>
      <c r="AV471" t="str">
        <f>""</f>
        <v/>
      </c>
      <c r="AW471" t="str">
        <f>""</f>
        <v/>
      </c>
      <c r="AX471" t="str">
        <f>""</f>
        <v/>
      </c>
      <c r="AY471" t="str">
        <f>""</f>
        <v/>
      </c>
      <c r="AZ471" t="str">
        <f>""</f>
        <v/>
      </c>
      <c r="BA471" t="str">
        <f>""</f>
        <v/>
      </c>
      <c r="BC471" t="str">
        <f>""</f>
        <v/>
      </c>
      <c r="BD471" t="str">
        <f>""</f>
        <v/>
      </c>
      <c r="BE471" t="str">
        <f>""</f>
        <v/>
      </c>
      <c r="BF471" t="str">
        <f>""</f>
        <v/>
      </c>
      <c r="BG471" t="str">
        <f>""</f>
        <v/>
      </c>
      <c r="BH471" t="str">
        <f>""</f>
        <v/>
      </c>
      <c r="BI471" t="str">
        <f>""</f>
        <v/>
      </c>
      <c r="BJ471" t="str">
        <f>""</f>
        <v/>
      </c>
      <c r="BK471">
        <v>1</v>
      </c>
      <c r="BL471" t="s">
        <v>107</v>
      </c>
      <c r="BM471" t="str">
        <f>"United Services Automobile Association"</f>
        <v>United Services Automobile Association</v>
      </c>
      <c r="BN471" t="s">
        <v>2308</v>
      </c>
      <c r="BP471" t="s">
        <v>1512</v>
      </c>
      <c r="BQ471" t="s">
        <v>1513</v>
      </c>
      <c r="BR471" t="s">
        <v>114</v>
      </c>
      <c r="BS471" s="5">
        <v>78288</v>
      </c>
      <c r="BT471" s="2">
        <v>91562</v>
      </c>
      <c r="BV471" t="s">
        <v>105</v>
      </c>
      <c r="BW471" s="2">
        <v>91562</v>
      </c>
      <c r="BX471" t="s">
        <v>105</v>
      </c>
      <c r="BZ471" t="s">
        <v>167</v>
      </c>
      <c r="CA471" t="str">
        <f t="shared" si="24"/>
        <v>7/1/2020 - 6/30/2021</v>
      </c>
      <c r="CF471">
        <v>1</v>
      </c>
      <c r="CG471" t="s">
        <v>98</v>
      </c>
      <c r="CH471" t="s">
        <v>98</v>
      </c>
      <c r="CI471" t="s">
        <v>206</v>
      </c>
      <c r="CJ471" t="s">
        <v>98</v>
      </c>
      <c r="CK471" t="s">
        <v>12324</v>
      </c>
      <c r="CL471" t="s">
        <v>108</v>
      </c>
      <c r="CM471" t="s">
        <v>109</v>
      </c>
      <c r="CN471" t="str">
        <f>""</f>
        <v/>
      </c>
      <c r="CO471" t="str">
        <f>""</f>
        <v/>
      </c>
      <c r="CP471" t="str">
        <f>""</f>
        <v/>
      </c>
      <c r="CQ471" t="str">
        <f>""</f>
        <v/>
      </c>
    </row>
    <row r="472" spans="1:96" x14ac:dyDescent="0.2">
      <c r="A472" t="s">
        <v>11752</v>
      </c>
      <c r="B472" t="s">
        <v>96</v>
      </c>
      <c r="C472" s="1">
        <v>44098</v>
      </c>
      <c r="D472" s="1">
        <v>44105</v>
      </c>
      <c r="F472" t="s">
        <v>97</v>
      </c>
      <c r="G472" t="str">
        <f>"SOFTWARE DEVELOPER"</f>
        <v>SOFTWARE DEVELOPER</v>
      </c>
      <c r="H472" t="s">
        <v>12169</v>
      </c>
      <c r="I472" t="s">
        <v>124</v>
      </c>
      <c r="J472" t="s">
        <v>98</v>
      </c>
      <c r="K472" s="1">
        <v>44106</v>
      </c>
      <c r="L472" s="1">
        <v>45200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 t="s">
        <v>2111</v>
      </c>
      <c r="U472" t="str">
        <f>""</f>
        <v/>
      </c>
      <c r="V472" t="s">
        <v>2112</v>
      </c>
      <c r="W472" t="str">
        <f>"SUITE 9"</f>
        <v>SUITE 9</v>
      </c>
      <c r="X472" t="s">
        <v>104</v>
      </c>
      <c r="Y472" t="s">
        <v>100</v>
      </c>
      <c r="Z472" s="3">
        <v>8846</v>
      </c>
      <c r="AA472" t="s">
        <v>101</v>
      </c>
      <c r="AC472" s="4" t="str">
        <f>"+19085163006"</f>
        <v>+19085163006</v>
      </c>
      <c r="AE472" t="str">
        <f t="shared" si="26"/>
        <v>541511</v>
      </c>
      <c r="AF472" t="s">
        <v>2113</v>
      </c>
      <c r="AG472" t="s">
        <v>2114</v>
      </c>
      <c r="AI472" t="s">
        <v>978</v>
      </c>
      <c r="AJ472" t="s">
        <v>2112</v>
      </c>
      <c r="AK472" t="str">
        <f>"SUITE 9"</f>
        <v>SUITE 9</v>
      </c>
      <c r="AL472" t="s">
        <v>104</v>
      </c>
      <c r="AM472" t="s">
        <v>100</v>
      </c>
      <c r="AN472" s="3">
        <v>8846</v>
      </c>
      <c r="AO472" t="s">
        <v>101</v>
      </c>
      <c r="AQ472" t="str">
        <f>"+19085163006"</f>
        <v>+19085163006</v>
      </c>
      <c r="AS472" t="s">
        <v>2115</v>
      </c>
      <c r="AT472" t="s">
        <v>107</v>
      </c>
      <c r="AU472" t="str">
        <f>"ALLEN"</f>
        <v>ALLEN</v>
      </c>
      <c r="AV472" t="str">
        <f>"THOMAS"</f>
        <v>THOMAS</v>
      </c>
      <c r="AW472" t="str">
        <f>"V."</f>
        <v>V.</v>
      </c>
      <c r="AX472" t="str">
        <f>"50 CRAGWOOD ROAD"</f>
        <v>50 CRAGWOOD ROAD</v>
      </c>
      <c r="AY472" t="str">
        <f>"SUITE 100"</f>
        <v>SUITE 100</v>
      </c>
      <c r="AZ472" t="str">
        <f>"SOUTH PLAINFIELD"</f>
        <v>SOUTH PLAINFIELD</v>
      </c>
      <c r="BA472" t="str">
        <f>"NJ"</f>
        <v>NJ</v>
      </c>
      <c r="BB472" s="3">
        <v>7080</v>
      </c>
      <c r="BC472" t="str">
        <f>"UNITED STATES OF AMERICA"</f>
        <v>UNITED STATES OF AMERICA</v>
      </c>
      <c r="BD472" t="str">
        <f>""</f>
        <v/>
      </c>
      <c r="BE472" t="str">
        <f>"+17328327978"</f>
        <v>+17328327978</v>
      </c>
      <c r="BF472" t="str">
        <f>""</f>
        <v/>
      </c>
      <c r="BG472" t="str">
        <f>"ICERT@THOMASVALLEN.COM"</f>
        <v>ICERT@THOMASVALLEN.COM</v>
      </c>
      <c r="BH472" t="str">
        <f>"LAW OFFICE OF THOMAS V. ALLEN PLLC"</f>
        <v>LAW OFFICE OF THOMAS V. ALLEN PLLC</v>
      </c>
      <c r="BI472" t="str">
        <f>"NY"</f>
        <v>NY</v>
      </c>
      <c r="BJ472" t="str">
        <f>"APPELLATE COURT"</f>
        <v>APPELLATE COURT</v>
      </c>
      <c r="BK472">
        <v>1</v>
      </c>
      <c r="BL472" t="s">
        <v>107</v>
      </c>
      <c r="BM472" t="str">
        <f>"VERIZON"</f>
        <v>VERIZON</v>
      </c>
      <c r="BN472" t="s">
        <v>11753</v>
      </c>
      <c r="BP472" t="s">
        <v>725</v>
      </c>
      <c r="BQ472" t="s">
        <v>484</v>
      </c>
      <c r="BR472" t="s">
        <v>114</v>
      </c>
      <c r="BS472" s="5">
        <v>75081</v>
      </c>
      <c r="BT472" s="2">
        <v>44.98</v>
      </c>
      <c r="BV472" t="s">
        <v>210</v>
      </c>
      <c r="BW472" s="2">
        <v>44.98</v>
      </c>
      <c r="BX472" t="s">
        <v>210</v>
      </c>
      <c r="BZ472" t="s">
        <v>167</v>
      </c>
      <c r="CA472" t="str">
        <f t="shared" si="24"/>
        <v>7/1/2020 - 6/30/2021</v>
      </c>
      <c r="CF472">
        <v>2</v>
      </c>
      <c r="CG472" t="s">
        <v>98</v>
      </c>
      <c r="CH472" t="s">
        <v>98</v>
      </c>
      <c r="CI472" t="s">
        <v>206</v>
      </c>
      <c r="CJ472" t="s">
        <v>98</v>
      </c>
      <c r="CK472" t="s">
        <v>12324</v>
      </c>
      <c r="CL472" t="s">
        <v>108</v>
      </c>
      <c r="CM472" t="s">
        <v>109</v>
      </c>
      <c r="CN472" t="str">
        <f>""</f>
        <v/>
      </c>
      <c r="CO472" t="str">
        <f>""</f>
        <v/>
      </c>
      <c r="CP472" t="str">
        <f>""</f>
        <v/>
      </c>
      <c r="CQ472" t="str">
        <f>""</f>
        <v/>
      </c>
    </row>
    <row r="473" spans="1:96" x14ac:dyDescent="0.2">
      <c r="A473" t="s">
        <v>11774</v>
      </c>
      <c r="B473" t="s">
        <v>96</v>
      </c>
      <c r="C473" s="1">
        <v>44098</v>
      </c>
      <c r="D473" s="1">
        <v>44105</v>
      </c>
      <c r="F473" t="s">
        <v>97</v>
      </c>
      <c r="G473" t="str">
        <f>"Senior Business Analyst"</f>
        <v>Senior Business Analyst</v>
      </c>
      <c r="H473" t="s">
        <v>12214</v>
      </c>
      <c r="I473" t="s">
        <v>276</v>
      </c>
      <c r="J473" t="s">
        <v>98</v>
      </c>
      <c r="K473" s="1">
        <v>44105</v>
      </c>
      <c r="L473" s="1">
        <v>45199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 t="s">
        <v>1438</v>
      </c>
      <c r="U473" t="str">
        <f>"IB Technology Solutions Inc"</f>
        <v>IB Technology Solutions Inc</v>
      </c>
      <c r="V473" t="s">
        <v>1439</v>
      </c>
      <c r="W473" t="str">
        <f>""</f>
        <v/>
      </c>
      <c r="X473" t="s">
        <v>447</v>
      </c>
      <c r="Y473" t="s">
        <v>100</v>
      </c>
      <c r="Z473" s="3">
        <v>8830</v>
      </c>
      <c r="AA473" t="s">
        <v>101</v>
      </c>
      <c r="AC473" s="4" t="str">
        <f>"+17322761555"</f>
        <v>+17322761555</v>
      </c>
      <c r="AD473">
        <v>307</v>
      </c>
      <c r="AE473" t="str">
        <f t="shared" si="26"/>
        <v>541511</v>
      </c>
      <c r="AF473" t="s">
        <v>1440</v>
      </c>
      <c r="AG473" t="s">
        <v>1441</v>
      </c>
      <c r="AH473" t="s">
        <v>1442</v>
      </c>
      <c r="AI473" t="s">
        <v>1443</v>
      </c>
      <c r="AJ473" t="s">
        <v>1439</v>
      </c>
      <c r="AK473" t="str">
        <f>""</f>
        <v/>
      </c>
      <c r="AL473" t="s">
        <v>447</v>
      </c>
      <c r="AM473" t="s">
        <v>100</v>
      </c>
      <c r="AN473" s="3">
        <v>8830</v>
      </c>
      <c r="AO473" t="s">
        <v>101</v>
      </c>
      <c r="AQ473" t="str">
        <f>"+17322761555"</f>
        <v>+17322761555</v>
      </c>
      <c r="AR473">
        <v>307</v>
      </c>
      <c r="AS473" t="s">
        <v>1444</v>
      </c>
      <c r="AT473" t="s">
        <v>102</v>
      </c>
      <c r="AU473" t="str">
        <f>""</f>
        <v/>
      </c>
      <c r="AV473" t="str">
        <f>""</f>
        <v/>
      </c>
      <c r="AW473" t="str">
        <f>""</f>
        <v/>
      </c>
      <c r="AX473" t="str">
        <f>""</f>
        <v/>
      </c>
      <c r="AY473" t="str">
        <f>""</f>
        <v/>
      </c>
      <c r="AZ473" t="str">
        <f>""</f>
        <v/>
      </c>
      <c r="BA473" t="str">
        <f>""</f>
        <v/>
      </c>
      <c r="BC473" t="str">
        <f>""</f>
        <v/>
      </c>
      <c r="BD473" t="str">
        <f>""</f>
        <v/>
      </c>
      <c r="BE473" t="str">
        <f>""</f>
        <v/>
      </c>
      <c r="BF473" t="str">
        <f>""</f>
        <v/>
      </c>
      <c r="BG473" t="str">
        <f>""</f>
        <v/>
      </c>
      <c r="BH473" t="str">
        <f>""</f>
        <v/>
      </c>
      <c r="BI473" t="str">
        <f>""</f>
        <v/>
      </c>
      <c r="BJ473" t="str">
        <f>""</f>
        <v/>
      </c>
      <c r="BK473">
        <v>1</v>
      </c>
      <c r="BL473" t="s">
        <v>107</v>
      </c>
      <c r="BM473" t="str">
        <f>"PNC Bank, National Association"</f>
        <v>PNC Bank, National Association</v>
      </c>
      <c r="BN473" t="s">
        <v>11775</v>
      </c>
      <c r="BO473" t="s">
        <v>11776</v>
      </c>
      <c r="BP473" t="s">
        <v>333</v>
      </c>
      <c r="BQ473" t="s">
        <v>861</v>
      </c>
      <c r="BR473" t="s">
        <v>127</v>
      </c>
      <c r="BS473" s="5">
        <v>15222</v>
      </c>
      <c r="BT473" s="2">
        <v>98010</v>
      </c>
      <c r="BV473" t="s">
        <v>105</v>
      </c>
      <c r="BW473" s="2">
        <v>98010</v>
      </c>
      <c r="BX473" t="s">
        <v>105</v>
      </c>
      <c r="BZ473" t="s">
        <v>159</v>
      </c>
      <c r="CA473" t="str">
        <f t="shared" si="24"/>
        <v>7/1/2020 - 6/30/2021</v>
      </c>
      <c r="CF473">
        <v>2</v>
      </c>
      <c r="CG473" t="s">
        <v>98</v>
      </c>
      <c r="CH473" t="s">
        <v>98</v>
      </c>
      <c r="CI473" t="s">
        <v>206</v>
      </c>
      <c r="CJ473" t="s">
        <v>98</v>
      </c>
      <c r="CK473" t="s">
        <v>12324</v>
      </c>
      <c r="CL473" t="s">
        <v>108</v>
      </c>
      <c r="CM473" t="s">
        <v>109</v>
      </c>
      <c r="CN473" t="str">
        <f>""</f>
        <v/>
      </c>
      <c r="CO473" t="str">
        <f>""</f>
        <v/>
      </c>
      <c r="CP473" t="str">
        <f>""</f>
        <v/>
      </c>
      <c r="CQ473" t="str">
        <f>""</f>
        <v/>
      </c>
    </row>
    <row r="474" spans="1:96" x14ac:dyDescent="0.2">
      <c r="A474" t="s">
        <v>11791</v>
      </c>
      <c r="B474" t="s">
        <v>96</v>
      </c>
      <c r="C474" s="1">
        <v>44098</v>
      </c>
      <c r="D474" s="1">
        <v>44105</v>
      </c>
      <c r="F474" t="s">
        <v>97</v>
      </c>
      <c r="G474" t="str">
        <f>"Clinical Data Manager"</f>
        <v>Clinical Data Manager</v>
      </c>
      <c r="H474" t="s">
        <v>12180</v>
      </c>
      <c r="I474" t="s">
        <v>390</v>
      </c>
      <c r="J474" t="s">
        <v>98</v>
      </c>
      <c r="K474" s="1">
        <v>44098</v>
      </c>
      <c r="L474" s="1">
        <v>45192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7283</v>
      </c>
      <c r="U474" t="str">
        <f>""</f>
        <v/>
      </c>
      <c r="V474" t="s">
        <v>11792</v>
      </c>
      <c r="W474" t="str">
        <f>"Suite 201"</f>
        <v>Suite 201</v>
      </c>
      <c r="X474" t="s">
        <v>3415</v>
      </c>
      <c r="Y474" t="s">
        <v>127</v>
      </c>
      <c r="Z474" s="3">
        <v>19406</v>
      </c>
      <c r="AA474" t="s">
        <v>101</v>
      </c>
      <c r="AC474" s="4" t="str">
        <f>"+16103371935"</f>
        <v>+16103371935</v>
      </c>
      <c r="AE474" t="str">
        <f>"5416"</f>
        <v>5416</v>
      </c>
      <c r="AF474" t="s">
        <v>10745</v>
      </c>
      <c r="AG474" t="s">
        <v>6414</v>
      </c>
      <c r="AI474" t="s">
        <v>4565</v>
      </c>
      <c r="AJ474" t="s">
        <v>11792</v>
      </c>
      <c r="AK474" t="str">
        <f>"Suite 201"</f>
        <v>Suite 201</v>
      </c>
      <c r="AL474" t="s">
        <v>3415</v>
      </c>
      <c r="AM474" t="s">
        <v>127</v>
      </c>
      <c r="AN474" s="3">
        <v>19406</v>
      </c>
      <c r="AO474" t="s">
        <v>101</v>
      </c>
      <c r="AQ474" t="str">
        <f>"+16103371935"</f>
        <v>+16103371935</v>
      </c>
      <c r="AS474" t="s">
        <v>11793</v>
      </c>
      <c r="AT474" t="s">
        <v>107</v>
      </c>
      <c r="AU474" t="str">
        <f>"Luciano"</f>
        <v>Luciano</v>
      </c>
      <c r="AV474" t="str">
        <f>"Christine"</f>
        <v>Christine</v>
      </c>
      <c r="AW474" t="str">
        <f>""</f>
        <v/>
      </c>
      <c r="AX474" t="str">
        <f>"800 W. Cummings Park"</f>
        <v>800 W. Cummings Park</v>
      </c>
      <c r="AY474" t="str">
        <f>"Suite 2750"</f>
        <v>Suite 2750</v>
      </c>
      <c r="AZ474" t="str">
        <f>"Woburn"</f>
        <v>Woburn</v>
      </c>
      <c r="BA474" t="str">
        <f>"MA"</f>
        <v>MA</v>
      </c>
      <c r="BB474" s="3">
        <v>1801</v>
      </c>
      <c r="BC474" t="str">
        <f>"UNITED STATES OF AMERICA"</f>
        <v>UNITED STATES OF AMERICA</v>
      </c>
      <c r="BD474" t="str">
        <f>""</f>
        <v/>
      </c>
      <c r="BE474" t="str">
        <f>"+16175009978"</f>
        <v>+16175009978</v>
      </c>
      <c r="BF474" t="str">
        <f>""</f>
        <v/>
      </c>
      <c r="BG474" t="str">
        <f>"christinel@raminenilaw.com"</f>
        <v>christinel@raminenilaw.com</v>
      </c>
      <c r="BH474" t="str">
        <f>"Ramineni &amp; Shepard, LLC"</f>
        <v>Ramineni &amp; Shepard, LLC</v>
      </c>
      <c r="BI474" t="str">
        <f>"MA"</f>
        <v>MA</v>
      </c>
      <c r="BJ474" t="str">
        <f>"MA Judicial Supreme Court"</f>
        <v>MA Judicial Supreme Court</v>
      </c>
      <c r="BK474">
        <v>1</v>
      </c>
      <c r="BL474" t="s">
        <v>107</v>
      </c>
      <c r="BM474" t="str">
        <f>"PUMA Biotechnology, Inc."</f>
        <v>PUMA Biotechnology, Inc.</v>
      </c>
      <c r="BN474" t="s">
        <v>9989</v>
      </c>
      <c r="BO474" t="s">
        <v>8256</v>
      </c>
      <c r="BP474" t="s">
        <v>888</v>
      </c>
      <c r="BQ474" t="s">
        <v>994</v>
      </c>
      <c r="BR474" t="s">
        <v>141</v>
      </c>
      <c r="BS474" s="5">
        <v>94080</v>
      </c>
      <c r="BT474" s="2">
        <v>103002</v>
      </c>
      <c r="BV474" t="s">
        <v>105</v>
      </c>
      <c r="BW474" s="2">
        <v>103002</v>
      </c>
      <c r="BX474" t="s">
        <v>105</v>
      </c>
      <c r="BZ474" t="s">
        <v>167</v>
      </c>
      <c r="CA474" t="str">
        <f t="shared" si="24"/>
        <v>7/1/2020 - 6/30/2021</v>
      </c>
      <c r="CF474">
        <v>1</v>
      </c>
      <c r="CG474" t="s">
        <v>98</v>
      </c>
      <c r="CH474" t="s">
        <v>98</v>
      </c>
      <c r="CI474" t="s">
        <v>206</v>
      </c>
      <c r="CJ474" t="s">
        <v>98</v>
      </c>
      <c r="CK474" t="s">
        <v>12324</v>
      </c>
      <c r="CL474" t="s">
        <v>108</v>
      </c>
      <c r="CM474" t="s">
        <v>353</v>
      </c>
      <c r="CN474" t="str">
        <f>""</f>
        <v/>
      </c>
      <c r="CO474" t="str">
        <f>""</f>
        <v/>
      </c>
      <c r="CP474" t="str">
        <f>""</f>
        <v/>
      </c>
      <c r="CQ474" t="str">
        <f>""</f>
        <v/>
      </c>
    </row>
    <row r="475" spans="1:96" x14ac:dyDescent="0.2">
      <c r="A475" t="s">
        <v>11810</v>
      </c>
      <c r="B475" t="s">
        <v>96</v>
      </c>
      <c r="C475" s="1">
        <v>44098</v>
      </c>
      <c r="D475" s="1">
        <v>44105</v>
      </c>
      <c r="F475" t="s">
        <v>97</v>
      </c>
      <c r="G475" t="str">
        <f>"Software Application Developer"</f>
        <v>Software Application Developer</v>
      </c>
      <c r="H475" t="s">
        <v>12169</v>
      </c>
      <c r="I475" t="s">
        <v>124</v>
      </c>
      <c r="J475" t="s">
        <v>98</v>
      </c>
      <c r="K475" s="1">
        <v>44109</v>
      </c>
      <c r="L475" s="1">
        <v>45203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8873</v>
      </c>
      <c r="U475" t="str">
        <f>""</f>
        <v/>
      </c>
      <c r="V475" t="s">
        <v>8874</v>
      </c>
      <c r="W475" t="str">
        <f>"Suite 101"</f>
        <v>Suite 101</v>
      </c>
      <c r="X475" t="s">
        <v>348</v>
      </c>
      <c r="Y475" t="s">
        <v>265</v>
      </c>
      <c r="Z475" s="3">
        <v>48083</v>
      </c>
      <c r="AA475" t="s">
        <v>101</v>
      </c>
      <c r="AC475" s="4" t="str">
        <f>"+12485280227"</f>
        <v>+12485280227</v>
      </c>
      <c r="AE475" t="str">
        <f>"541511"</f>
        <v>541511</v>
      </c>
      <c r="AF475" t="s">
        <v>8875</v>
      </c>
      <c r="AG475" t="s">
        <v>3382</v>
      </c>
      <c r="AI475" t="s">
        <v>508</v>
      </c>
      <c r="AJ475" t="s">
        <v>8874</v>
      </c>
      <c r="AK475" t="str">
        <f>"Suite 101"</f>
        <v>Suite 101</v>
      </c>
      <c r="AL475" t="s">
        <v>348</v>
      </c>
      <c r="AM475" t="s">
        <v>265</v>
      </c>
      <c r="AN475" s="3">
        <v>48083</v>
      </c>
      <c r="AO475" t="s">
        <v>101</v>
      </c>
      <c r="AQ475" t="str">
        <f>"+12485280227"</f>
        <v>+12485280227</v>
      </c>
      <c r="AS475" t="s">
        <v>8876</v>
      </c>
      <c r="AT475" t="s">
        <v>102</v>
      </c>
      <c r="AU475" t="str">
        <f>""</f>
        <v/>
      </c>
      <c r="AV475" t="str">
        <f>""</f>
        <v/>
      </c>
      <c r="AW475" t="str">
        <f>""</f>
        <v/>
      </c>
      <c r="AX475" t="str">
        <f>""</f>
        <v/>
      </c>
      <c r="AY475" t="str">
        <f>""</f>
        <v/>
      </c>
      <c r="AZ475" t="str">
        <f>""</f>
        <v/>
      </c>
      <c r="BA475" t="str">
        <f>""</f>
        <v/>
      </c>
      <c r="BC475" t="str">
        <f>""</f>
        <v/>
      </c>
      <c r="BD475" t="str">
        <f>""</f>
        <v/>
      </c>
      <c r="BE475" t="str">
        <f>""</f>
        <v/>
      </c>
      <c r="BF475" t="str">
        <f>""</f>
        <v/>
      </c>
      <c r="BG475" t="str">
        <f>""</f>
        <v/>
      </c>
      <c r="BH475" t="str">
        <f>""</f>
        <v/>
      </c>
      <c r="BI475" t="str">
        <f>""</f>
        <v/>
      </c>
      <c r="BJ475" t="str">
        <f>""</f>
        <v/>
      </c>
      <c r="BK475">
        <v>1</v>
      </c>
      <c r="BL475" t="s">
        <v>107</v>
      </c>
      <c r="BM475" t="str">
        <f>"US DOL-OSHA"</f>
        <v>US DOL-OSHA</v>
      </c>
      <c r="BN475" t="s">
        <v>11550</v>
      </c>
      <c r="BP475" t="s">
        <v>3804</v>
      </c>
      <c r="BQ475" t="s">
        <v>1095</v>
      </c>
      <c r="BR475" t="s">
        <v>169</v>
      </c>
      <c r="BS475" s="5">
        <v>84070</v>
      </c>
      <c r="BT475" s="2">
        <v>89000</v>
      </c>
      <c r="BU475" s="2">
        <v>105000</v>
      </c>
      <c r="BV475" t="s">
        <v>105</v>
      </c>
      <c r="BW475" s="2">
        <v>88504</v>
      </c>
      <c r="BX475" t="s">
        <v>105</v>
      </c>
      <c r="BZ475" t="s">
        <v>167</v>
      </c>
      <c r="CA475" t="str">
        <f t="shared" si="24"/>
        <v>7/1/2020 - 6/30/2021</v>
      </c>
      <c r="CF475">
        <v>1</v>
      </c>
      <c r="CG475" t="s">
        <v>98</v>
      </c>
      <c r="CH475" t="s">
        <v>98</v>
      </c>
      <c r="CI475" t="s">
        <v>206</v>
      </c>
      <c r="CJ475" t="s">
        <v>98</v>
      </c>
      <c r="CK475" t="s">
        <v>12324</v>
      </c>
      <c r="CL475" t="s">
        <v>108</v>
      </c>
      <c r="CM475" t="s">
        <v>109</v>
      </c>
      <c r="CN475" t="str">
        <f>""</f>
        <v/>
      </c>
      <c r="CO475" t="str">
        <f>""</f>
        <v/>
      </c>
      <c r="CP475" t="str">
        <f>""</f>
        <v/>
      </c>
      <c r="CQ475" t="str">
        <f>""</f>
        <v/>
      </c>
    </row>
    <row r="476" spans="1:96" x14ac:dyDescent="0.2">
      <c r="A476" t="s">
        <v>11853</v>
      </c>
      <c r="B476" t="s">
        <v>96</v>
      </c>
      <c r="C476" s="1">
        <v>44098</v>
      </c>
      <c r="D476" s="1">
        <v>44105</v>
      </c>
      <c r="F476" t="s">
        <v>97</v>
      </c>
      <c r="G476" t="str">
        <f>"Senior QA Engineer"</f>
        <v>Senior QA Engineer</v>
      </c>
      <c r="H476" t="s">
        <v>12169</v>
      </c>
      <c r="I476" t="s">
        <v>124</v>
      </c>
      <c r="J476" t="s">
        <v>98</v>
      </c>
      <c r="K476" s="1">
        <v>44246</v>
      </c>
      <c r="L476" s="1">
        <v>45340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 t="s">
        <v>11008</v>
      </c>
      <c r="U476" t="str">
        <f>""</f>
        <v/>
      </c>
      <c r="V476" t="s">
        <v>7357</v>
      </c>
      <c r="W476" t="str">
        <f>""</f>
        <v/>
      </c>
      <c r="X476" t="s">
        <v>147</v>
      </c>
      <c r="Y476" t="s">
        <v>141</v>
      </c>
      <c r="Z476" s="3">
        <v>94107</v>
      </c>
      <c r="AA476" t="s">
        <v>101</v>
      </c>
      <c r="AC476" s="4" t="str">
        <f>"+14157429970"</f>
        <v>+14157429970</v>
      </c>
      <c r="AE476" t="str">
        <f>"511210"</f>
        <v>511210</v>
      </c>
      <c r="AF476" t="s">
        <v>7356</v>
      </c>
      <c r="AG476" t="s">
        <v>1208</v>
      </c>
      <c r="AI476" t="s">
        <v>3867</v>
      </c>
      <c r="AJ476" t="s">
        <v>7357</v>
      </c>
      <c r="AK476" t="str">
        <f>""</f>
        <v/>
      </c>
      <c r="AL476" t="s">
        <v>140</v>
      </c>
      <c r="AM476" t="s">
        <v>141</v>
      </c>
      <c r="AN476" s="3">
        <v>94107</v>
      </c>
      <c r="AO476" t="s">
        <v>101</v>
      </c>
      <c r="AQ476" t="str">
        <f>"+14157429970"</f>
        <v>+14157429970</v>
      </c>
      <c r="AS476" t="s">
        <v>7358</v>
      </c>
      <c r="AT476" t="s">
        <v>107</v>
      </c>
      <c r="AU476" t="str">
        <f>"Nagahori"</f>
        <v>Nagahori</v>
      </c>
      <c r="AV476" t="str">
        <f>"Randi"</f>
        <v>Randi</v>
      </c>
      <c r="AW476" t="str">
        <f>""</f>
        <v/>
      </c>
      <c r="AX476" t="str">
        <f>"235 Montgomery Street"</f>
        <v>235 Montgomery Street</v>
      </c>
      <c r="AY476" t="str">
        <f>"Suite 629"</f>
        <v>Suite 629</v>
      </c>
      <c r="AZ476" t="str">
        <f>"San Francisco"</f>
        <v>San Francisco</v>
      </c>
      <c r="BA476" t="str">
        <f>"CA"</f>
        <v>CA</v>
      </c>
      <c r="BB476" s="3">
        <v>94104</v>
      </c>
      <c r="BC476" t="str">
        <f>"UNITED STATES OF AMERICA"</f>
        <v>UNITED STATES OF AMERICA</v>
      </c>
      <c r="BD476" t="str">
        <f>""</f>
        <v/>
      </c>
      <c r="BE476" t="str">
        <f>"+14158053900"</f>
        <v>+14158053900</v>
      </c>
      <c r="BF476" t="str">
        <f>""</f>
        <v/>
      </c>
      <c r="BG476" t="str">
        <f>"LCA@GOLAWCORP.COM"</f>
        <v>LCA@GOLAWCORP.COM</v>
      </c>
      <c r="BH476" t="str">
        <f>"GOESCHL LAW CORPORATION"</f>
        <v>GOESCHL LAW CORPORATION</v>
      </c>
      <c r="BI476" t="str">
        <f>"CA"</f>
        <v>CA</v>
      </c>
      <c r="BJ476" t="str">
        <f>"SUPREME COURT"</f>
        <v>SUPREME COURT</v>
      </c>
      <c r="BK476">
        <v>1</v>
      </c>
      <c r="BL476" t="s">
        <v>102</v>
      </c>
      <c r="BM476" t="str">
        <f>""</f>
        <v/>
      </c>
      <c r="BN476" t="s">
        <v>7355</v>
      </c>
      <c r="BP476" t="s">
        <v>147</v>
      </c>
      <c r="BQ476" t="s">
        <v>147</v>
      </c>
      <c r="BR476" t="s">
        <v>141</v>
      </c>
      <c r="BS476" s="5">
        <v>94107</v>
      </c>
      <c r="BT476" s="2">
        <v>126000</v>
      </c>
      <c r="BV476" t="s">
        <v>105</v>
      </c>
      <c r="BW476" s="2">
        <v>120931</v>
      </c>
      <c r="BX476" t="s">
        <v>105</v>
      </c>
      <c r="BZ476" t="s">
        <v>167</v>
      </c>
      <c r="CA476" t="str">
        <f t="shared" si="24"/>
        <v>7/1/2020 - 6/30/2021</v>
      </c>
      <c r="CF476">
        <v>1</v>
      </c>
      <c r="CG476" t="s">
        <v>98</v>
      </c>
      <c r="CH476" t="s">
        <v>98</v>
      </c>
      <c r="CI476" t="s">
        <v>206</v>
      </c>
      <c r="CJ476" t="s">
        <v>98</v>
      </c>
      <c r="CK476" t="s">
        <v>12324</v>
      </c>
      <c r="CL476" t="s">
        <v>108</v>
      </c>
      <c r="CM476" t="s">
        <v>109</v>
      </c>
      <c r="CN476" t="str">
        <f>""</f>
        <v/>
      </c>
      <c r="CO476" t="str">
        <f>""</f>
        <v/>
      </c>
      <c r="CP476" t="str">
        <f>""</f>
        <v/>
      </c>
      <c r="CQ476" t="str">
        <f>""</f>
        <v/>
      </c>
    </row>
    <row r="477" spans="1:96" x14ac:dyDescent="0.2">
      <c r="A477" t="s">
        <v>11872</v>
      </c>
      <c r="B477" t="s">
        <v>96</v>
      </c>
      <c r="C477" s="1">
        <v>44098</v>
      </c>
      <c r="D477" s="1">
        <v>44105</v>
      </c>
      <c r="F477" t="s">
        <v>97</v>
      </c>
      <c r="G477" t="str">
        <f>"System Analyst JC65"</f>
        <v>System Analyst JC65</v>
      </c>
      <c r="H477" t="s">
        <v>12181</v>
      </c>
      <c r="I477" t="s">
        <v>110</v>
      </c>
      <c r="J477" t="s">
        <v>98</v>
      </c>
      <c r="K477" s="1">
        <v>44276</v>
      </c>
      <c r="L477" s="1">
        <v>45371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 t="s">
        <v>111</v>
      </c>
      <c r="U477" t="str">
        <f>"CTSUS"</f>
        <v>CTSUS</v>
      </c>
      <c r="V477" t="s">
        <v>112</v>
      </c>
      <c r="W477" t="str">
        <f>""</f>
        <v/>
      </c>
      <c r="X477" t="s">
        <v>113</v>
      </c>
      <c r="Y477" t="s">
        <v>114</v>
      </c>
      <c r="Z477" s="3">
        <v>77845</v>
      </c>
      <c r="AA477" t="s">
        <v>101</v>
      </c>
      <c r="AB477" t="s">
        <v>114</v>
      </c>
      <c r="AC477" s="4" t="str">
        <f>"+19793296682"</f>
        <v>+19793296682</v>
      </c>
      <c r="AE477" t="str">
        <f>"541512"</f>
        <v>541512</v>
      </c>
      <c r="AF477" t="s">
        <v>115</v>
      </c>
      <c r="AG477" t="s">
        <v>116</v>
      </c>
      <c r="AH477" t="s">
        <v>108</v>
      </c>
      <c r="AI477" t="s">
        <v>117</v>
      </c>
      <c r="AJ477" t="s">
        <v>118</v>
      </c>
      <c r="AK477" t="str">
        <f>""</f>
        <v/>
      </c>
      <c r="AL477" t="s">
        <v>119</v>
      </c>
      <c r="AM477" t="s">
        <v>114</v>
      </c>
      <c r="AN477" s="3">
        <v>77845</v>
      </c>
      <c r="AO477" t="s">
        <v>101</v>
      </c>
      <c r="AQ477" t="str">
        <f>"+19793296682"</f>
        <v>+19793296682</v>
      </c>
      <c r="AS477" t="s">
        <v>120</v>
      </c>
      <c r="AT477" t="s">
        <v>102</v>
      </c>
      <c r="AU477" t="str">
        <f>""</f>
        <v/>
      </c>
      <c r="AV477" t="str">
        <f>""</f>
        <v/>
      </c>
      <c r="AW477" t="str">
        <f>""</f>
        <v/>
      </c>
      <c r="AX477" t="str">
        <f>""</f>
        <v/>
      </c>
      <c r="AY477" t="str">
        <f>""</f>
        <v/>
      </c>
      <c r="AZ477" t="str">
        <f>""</f>
        <v/>
      </c>
      <c r="BA477" t="str">
        <f>""</f>
        <v/>
      </c>
      <c r="BC477" t="str">
        <f>""</f>
        <v/>
      </c>
      <c r="BD477" t="str">
        <f>""</f>
        <v/>
      </c>
      <c r="BE477" t="str">
        <f>""</f>
        <v/>
      </c>
      <c r="BF477" t="str">
        <f>""</f>
        <v/>
      </c>
      <c r="BG477" t="str">
        <f>""</f>
        <v/>
      </c>
      <c r="BH477" t="str">
        <f>""</f>
        <v/>
      </c>
      <c r="BI477" t="str">
        <f>""</f>
        <v/>
      </c>
      <c r="BJ477" t="str">
        <f>""</f>
        <v/>
      </c>
      <c r="BK477">
        <v>1</v>
      </c>
      <c r="BL477" t="s">
        <v>102</v>
      </c>
      <c r="BM477" t="str">
        <f>""</f>
        <v/>
      </c>
      <c r="BN477" t="s">
        <v>7270</v>
      </c>
      <c r="BP477" t="s">
        <v>297</v>
      </c>
      <c r="BQ477" t="s">
        <v>556</v>
      </c>
      <c r="BR477" t="s">
        <v>114</v>
      </c>
      <c r="BS477" s="5">
        <v>75024</v>
      </c>
      <c r="BT477" s="2">
        <v>80475</v>
      </c>
      <c r="BV477" t="s">
        <v>105</v>
      </c>
      <c r="BW477" s="2">
        <v>80475</v>
      </c>
      <c r="BX477" t="s">
        <v>105</v>
      </c>
      <c r="BZ477" t="s">
        <v>167</v>
      </c>
      <c r="CA477" t="str">
        <f t="shared" si="24"/>
        <v>7/1/2020 - 6/30/2021</v>
      </c>
      <c r="CF477">
        <v>1</v>
      </c>
      <c r="CG477" t="s">
        <v>98</v>
      </c>
      <c r="CH477" t="s">
        <v>98</v>
      </c>
      <c r="CI477" t="s">
        <v>206</v>
      </c>
      <c r="CJ477" t="s">
        <v>98</v>
      </c>
      <c r="CK477" t="s">
        <v>12324</v>
      </c>
      <c r="CL477" t="s">
        <v>108</v>
      </c>
      <c r="CM477" t="s">
        <v>109</v>
      </c>
      <c r="CN477" t="str">
        <f>""</f>
        <v/>
      </c>
      <c r="CO477" t="str">
        <f>""</f>
        <v/>
      </c>
      <c r="CP477" t="str">
        <f>""</f>
        <v/>
      </c>
      <c r="CQ477" t="str">
        <f>""</f>
        <v/>
      </c>
    </row>
    <row r="478" spans="1:96" x14ac:dyDescent="0.2">
      <c r="A478" t="s">
        <v>11906</v>
      </c>
      <c r="B478" t="s">
        <v>96</v>
      </c>
      <c r="C478" s="1">
        <v>44098</v>
      </c>
      <c r="D478" s="1">
        <v>44105</v>
      </c>
      <c r="F478" t="s">
        <v>97</v>
      </c>
      <c r="G478" t="str">
        <f>"Senior Studio Engineer"</f>
        <v>Senior Studio Engineer</v>
      </c>
      <c r="H478" t="s">
        <v>12196</v>
      </c>
      <c r="I478" t="s">
        <v>322</v>
      </c>
      <c r="J478" t="s">
        <v>98</v>
      </c>
      <c r="K478" s="1">
        <v>44191</v>
      </c>
      <c r="L478" s="1">
        <v>45285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 t="s">
        <v>11673</v>
      </c>
      <c r="U478" t="str">
        <f>""</f>
        <v/>
      </c>
      <c r="V478" t="s">
        <v>11674</v>
      </c>
      <c r="W478" t="str">
        <f>""</f>
        <v/>
      </c>
      <c r="X478" t="s">
        <v>5578</v>
      </c>
      <c r="Y478" t="s">
        <v>141</v>
      </c>
      <c r="Z478" s="3">
        <v>90248</v>
      </c>
      <c r="AA478" t="s">
        <v>101</v>
      </c>
      <c r="AC478" s="4" t="str">
        <f>"+13109538249"</f>
        <v>+13109538249</v>
      </c>
      <c r="AE478" t="str">
        <f>"336111"</f>
        <v>336111</v>
      </c>
      <c r="AF478" t="s">
        <v>11675</v>
      </c>
      <c r="AG478" t="s">
        <v>11676</v>
      </c>
      <c r="AI478" t="s">
        <v>11321</v>
      </c>
      <c r="AJ478" t="s">
        <v>11674</v>
      </c>
      <c r="AK478" t="str">
        <f>""</f>
        <v/>
      </c>
      <c r="AL478" t="s">
        <v>5578</v>
      </c>
      <c r="AM478" t="s">
        <v>141</v>
      </c>
      <c r="AN478" s="3">
        <v>90248</v>
      </c>
      <c r="AO478" t="s">
        <v>101</v>
      </c>
      <c r="AQ478" t="str">
        <f>"+13109538249"</f>
        <v>+13109538249</v>
      </c>
      <c r="AS478" t="s">
        <v>11677</v>
      </c>
      <c r="AT478" t="s">
        <v>107</v>
      </c>
      <c r="AU478" t="str">
        <f>"Pack"</f>
        <v>Pack</v>
      </c>
      <c r="AV478" t="str">
        <f>"James"</f>
        <v>James</v>
      </c>
      <c r="AW478" t="str">
        <f>"Young Ho"</f>
        <v>Young Ho</v>
      </c>
      <c r="AX478" t="str">
        <f>"18401 Von Karman Avenue"</f>
        <v>18401 Von Karman Avenue</v>
      </c>
      <c r="AY478" t="str">
        <f>"Suite 255"</f>
        <v>Suite 255</v>
      </c>
      <c r="AZ478" t="str">
        <f>"Irvine"</f>
        <v>Irvine</v>
      </c>
      <c r="BA478" t="str">
        <f>"CA"</f>
        <v>CA</v>
      </c>
      <c r="BB478" s="3">
        <v>92612</v>
      </c>
      <c r="BC478" t="str">
        <f>"UNITED STATES OF AMERICA"</f>
        <v>UNITED STATES OF AMERICA</v>
      </c>
      <c r="BD478" t="str">
        <f>"N/A"</f>
        <v>N/A</v>
      </c>
      <c r="BE478" t="str">
        <f>"+19492610209"</f>
        <v>+19492610209</v>
      </c>
      <c r="BF478" t="str">
        <f>"9443"</f>
        <v>9443</v>
      </c>
      <c r="BG478" t="str">
        <f>"DOLIRVINE@fragomen.com"</f>
        <v>DOLIRVINE@fragomen.com</v>
      </c>
      <c r="BH478" t="str">
        <f>"Fragomen, Del Rey, Bernsen &amp; Loewy, LLP"</f>
        <v>Fragomen, Del Rey, Bernsen &amp; Loewy, LLP</v>
      </c>
      <c r="BI478" t="str">
        <f>"CA"</f>
        <v>CA</v>
      </c>
      <c r="BJ478" t="str">
        <f>"Supreme"</f>
        <v>Supreme</v>
      </c>
      <c r="BK478">
        <v>1</v>
      </c>
      <c r="BL478" t="s">
        <v>102</v>
      </c>
      <c r="BM478" t="str">
        <f>""</f>
        <v/>
      </c>
      <c r="BN478" t="s">
        <v>11674</v>
      </c>
      <c r="BP478" t="s">
        <v>5578</v>
      </c>
      <c r="BQ478" t="s">
        <v>365</v>
      </c>
      <c r="BR478" t="s">
        <v>141</v>
      </c>
      <c r="BS478" s="5">
        <v>90248</v>
      </c>
      <c r="BT478" s="2">
        <v>124072</v>
      </c>
      <c r="BV478" t="s">
        <v>105</v>
      </c>
      <c r="BW478" s="2">
        <v>124072</v>
      </c>
      <c r="BX478" t="s">
        <v>105</v>
      </c>
      <c r="BZ478" t="s">
        <v>159</v>
      </c>
      <c r="CA478" t="str">
        <f t="shared" si="24"/>
        <v>7/1/2020 - 6/30/2021</v>
      </c>
      <c r="CF478">
        <v>2</v>
      </c>
      <c r="CG478" t="s">
        <v>98</v>
      </c>
      <c r="CH478" t="s">
        <v>98</v>
      </c>
      <c r="CI478" t="s">
        <v>206</v>
      </c>
      <c r="CJ478" t="s">
        <v>98</v>
      </c>
      <c r="CK478" t="s">
        <v>12324</v>
      </c>
      <c r="CL478" t="s">
        <v>108</v>
      </c>
      <c r="CM478" t="s">
        <v>109</v>
      </c>
      <c r="CN478" t="str">
        <f>"Flores"</f>
        <v>Flores</v>
      </c>
      <c r="CO478" t="str">
        <f>"Ivan"</f>
        <v>Ivan</v>
      </c>
      <c r="CP478" t="str">
        <f>""</f>
        <v/>
      </c>
      <c r="CQ478" t="str">
        <f>"Fragomen"</f>
        <v>Fragomen</v>
      </c>
      <c r="CR478" t="s">
        <v>1316</v>
      </c>
    </row>
    <row r="479" spans="1:96" x14ac:dyDescent="0.2">
      <c r="A479" t="s">
        <v>11927</v>
      </c>
      <c r="B479" t="s">
        <v>96</v>
      </c>
      <c r="C479" s="1">
        <v>44098</v>
      </c>
      <c r="D479" s="1">
        <v>44105</v>
      </c>
      <c r="F479" t="s">
        <v>97</v>
      </c>
      <c r="G479" t="str">
        <f>"SR. TABLEAU DEVELOPER"</f>
        <v>SR. TABLEAU DEVELOPER</v>
      </c>
      <c r="H479" t="s">
        <v>12169</v>
      </c>
      <c r="I479" t="s">
        <v>124</v>
      </c>
      <c r="J479" t="s">
        <v>98</v>
      </c>
      <c r="K479" s="1">
        <v>44113</v>
      </c>
      <c r="L479" s="1">
        <v>45207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 t="s">
        <v>3976</v>
      </c>
      <c r="U479" t="str">
        <f>""</f>
        <v/>
      </c>
      <c r="V479" t="s">
        <v>3977</v>
      </c>
      <c r="W479" t="str">
        <f>"SUITE 403"</f>
        <v>SUITE 403</v>
      </c>
      <c r="X479" t="s">
        <v>1507</v>
      </c>
      <c r="Y479" t="s">
        <v>135</v>
      </c>
      <c r="Z479" s="3">
        <v>20170</v>
      </c>
      <c r="AA479" t="s">
        <v>101</v>
      </c>
      <c r="AC479" s="4" t="str">
        <f>"+15715100080"</f>
        <v>+15715100080</v>
      </c>
      <c r="AE479" t="str">
        <f>"541511"</f>
        <v>541511</v>
      </c>
      <c r="AF479" t="s">
        <v>680</v>
      </c>
      <c r="AG479" t="s">
        <v>3978</v>
      </c>
      <c r="AI479" t="s">
        <v>298</v>
      </c>
      <c r="AJ479" t="s">
        <v>3977</v>
      </c>
      <c r="AK479" t="str">
        <f>"SUITE 403"</f>
        <v>SUITE 403</v>
      </c>
      <c r="AL479" t="s">
        <v>1507</v>
      </c>
      <c r="AM479" t="s">
        <v>135</v>
      </c>
      <c r="AN479" s="3">
        <v>20170</v>
      </c>
      <c r="AO479" t="s">
        <v>101</v>
      </c>
      <c r="AQ479" t="str">
        <f>"+15715100080"</f>
        <v>+15715100080</v>
      </c>
      <c r="AS479" t="s">
        <v>3979</v>
      </c>
      <c r="AT479" t="s">
        <v>102</v>
      </c>
      <c r="AU479" t="str">
        <f>""</f>
        <v/>
      </c>
      <c r="AV479" t="str">
        <f>""</f>
        <v/>
      </c>
      <c r="AW479" t="str">
        <f>""</f>
        <v/>
      </c>
      <c r="AX479" t="str">
        <f>""</f>
        <v/>
      </c>
      <c r="AY479" t="str">
        <f>""</f>
        <v/>
      </c>
      <c r="AZ479" t="str">
        <f>""</f>
        <v/>
      </c>
      <c r="BA479" t="str">
        <f>""</f>
        <v/>
      </c>
      <c r="BC479" t="str">
        <f>""</f>
        <v/>
      </c>
      <c r="BD479" t="str">
        <f>""</f>
        <v/>
      </c>
      <c r="BE479" t="str">
        <f>""</f>
        <v/>
      </c>
      <c r="BF479" t="str">
        <f>""</f>
        <v/>
      </c>
      <c r="BG479" t="str">
        <f>""</f>
        <v/>
      </c>
      <c r="BH479" t="str">
        <f>""</f>
        <v/>
      </c>
      <c r="BI479" t="str">
        <f>""</f>
        <v/>
      </c>
      <c r="BJ479" t="str">
        <f>""</f>
        <v/>
      </c>
      <c r="BK479">
        <v>1</v>
      </c>
      <c r="BL479" t="s">
        <v>107</v>
      </c>
      <c r="BM479" t="str">
        <f>"Gilead Science Inc"</f>
        <v>Gilead Science Inc</v>
      </c>
      <c r="BN479" t="s">
        <v>2751</v>
      </c>
      <c r="BP479" t="s">
        <v>988</v>
      </c>
      <c r="BQ479" t="s">
        <v>994</v>
      </c>
      <c r="BR479" t="s">
        <v>141</v>
      </c>
      <c r="BS479" s="5">
        <v>94404</v>
      </c>
      <c r="BT479" s="2">
        <v>120931</v>
      </c>
      <c r="BV479" t="s">
        <v>105</v>
      </c>
      <c r="BW479" s="2">
        <v>120931</v>
      </c>
      <c r="BX479" t="s">
        <v>105</v>
      </c>
      <c r="BZ479" t="s">
        <v>167</v>
      </c>
      <c r="CA479" t="str">
        <f t="shared" ref="CA479:CA495" si="27">"7/1/2020 - 6/30/2021"</f>
        <v>7/1/2020 - 6/30/2021</v>
      </c>
      <c r="CF479">
        <v>2</v>
      </c>
      <c r="CG479" t="s">
        <v>98</v>
      </c>
      <c r="CH479" t="s">
        <v>98</v>
      </c>
      <c r="CI479" t="s">
        <v>206</v>
      </c>
      <c r="CJ479" t="s">
        <v>98</v>
      </c>
      <c r="CK479" t="s">
        <v>12324</v>
      </c>
      <c r="CL479" t="s">
        <v>108</v>
      </c>
      <c r="CM479" t="s">
        <v>109</v>
      </c>
      <c r="CN479" t="str">
        <f>"Singh"</f>
        <v>Singh</v>
      </c>
      <c r="CO479" t="str">
        <f>"Sushmita"</f>
        <v>Sushmita</v>
      </c>
      <c r="CP479" t="str">
        <f>""</f>
        <v/>
      </c>
      <c r="CQ479" t="str">
        <f>"Numero Data LLC"</f>
        <v>Numero Data LLC</v>
      </c>
      <c r="CR479" t="s">
        <v>3980</v>
      </c>
    </row>
    <row r="480" spans="1:96" x14ac:dyDescent="0.2">
      <c r="A480" t="s">
        <v>11932</v>
      </c>
      <c r="B480" t="s">
        <v>96</v>
      </c>
      <c r="C480" s="1">
        <v>44098</v>
      </c>
      <c r="D480" s="1">
        <v>44105</v>
      </c>
      <c r="F480" t="s">
        <v>97</v>
      </c>
      <c r="G480" t="str">
        <f>"System Analyst JC65"</f>
        <v>System Analyst JC65</v>
      </c>
      <c r="H480" t="s">
        <v>12181</v>
      </c>
      <c r="I480" t="s">
        <v>110</v>
      </c>
      <c r="J480" t="s">
        <v>98</v>
      </c>
      <c r="K480" s="1">
        <v>44107</v>
      </c>
      <c r="L480" s="1">
        <v>45201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 t="s">
        <v>111</v>
      </c>
      <c r="U480" t="str">
        <f>"CTSUS"</f>
        <v>CTSUS</v>
      </c>
      <c r="V480" t="s">
        <v>112</v>
      </c>
      <c r="W480" t="str">
        <f>""</f>
        <v/>
      </c>
      <c r="X480" t="s">
        <v>113</v>
      </c>
      <c r="Y480" t="s">
        <v>114</v>
      </c>
      <c r="Z480" s="3">
        <v>77845</v>
      </c>
      <c r="AA480" t="s">
        <v>101</v>
      </c>
      <c r="AB480" t="s">
        <v>114</v>
      </c>
      <c r="AC480" s="4" t="str">
        <f>"+19793296682"</f>
        <v>+19793296682</v>
      </c>
      <c r="AE480" t="str">
        <f>"541512"</f>
        <v>541512</v>
      </c>
      <c r="AF480" t="s">
        <v>115</v>
      </c>
      <c r="AG480" t="s">
        <v>116</v>
      </c>
      <c r="AH480" t="s">
        <v>108</v>
      </c>
      <c r="AI480" t="s">
        <v>117</v>
      </c>
      <c r="AJ480" t="s">
        <v>118</v>
      </c>
      <c r="AK480" t="str">
        <f>""</f>
        <v/>
      </c>
      <c r="AL480" t="s">
        <v>119</v>
      </c>
      <c r="AM480" t="s">
        <v>114</v>
      </c>
      <c r="AN480" s="3">
        <v>77845</v>
      </c>
      <c r="AO480" t="s">
        <v>101</v>
      </c>
      <c r="AQ480" t="str">
        <f>"+19793296682"</f>
        <v>+19793296682</v>
      </c>
      <c r="AS480" t="s">
        <v>120</v>
      </c>
      <c r="AT480" t="s">
        <v>102</v>
      </c>
      <c r="AU480" t="str">
        <f>""</f>
        <v/>
      </c>
      <c r="AV480" t="str">
        <f>""</f>
        <v/>
      </c>
      <c r="AW480" t="str">
        <f>""</f>
        <v/>
      </c>
      <c r="AX480" t="str">
        <f>""</f>
        <v/>
      </c>
      <c r="AY480" t="str">
        <f>""</f>
        <v/>
      </c>
      <c r="AZ480" t="str">
        <f>""</f>
        <v/>
      </c>
      <c r="BA480" t="str">
        <f>""</f>
        <v/>
      </c>
      <c r="BC480" t="str">
        <f>""</f>
        <v/>
      </c>
      <c r="BD480" t="str">
        <f>""</f>
        <v/>
      </c>
      <c r="BE480" t="str">
        <f>""</f>
        <v/>
      </c>
      <c r="BF480" t="str">
        <f>""</f>
        <v/>
      </c>
      <c r="BG480" t="str">
        <f>""</f>
        <v/>
      </c>
      <c r="BH480" t="str">
        <f>""</f>
        <v/>
      </c>
      <c r="BI480" t="str">
        <f>""</f>
        <v/>
      </c>
      <c r="BJ480" t="str">
        <f>""</f>
        <v/>
      </c>
      <c r="BK480">
        <v>1</v>
      </c>
      <c r="BL480" t="s">
        <v>107</v>
      </c>
      <c r="BM480" t="str">
        <f>"Metropolitan Life Insurance Company"</f>
        <v>Metropolitan Life Insurance Company</v>
      </c>
      <c r="BN480" t="s">
        <v>11852</v>
      </c>
      <c r="BP480" t="s">
        <v>1775</v>
      </c>
      <c r="BQ480" t="s">
        <v>1777</v>
      </c>
      <c r="BR480" t="s">
        <v>1776</v>
      </c>
      <c r="BS480" s="5">
        <v>19801</v>
      </c>
      <c r="BT480" s="2">
        <v>88421</v>
      </c>
      <c r="BV480" t="s">
        <v>105</v>
      </c>
      <c r="BW480" s="2">
        <v>88421</v>
      </c>
      <c r="BX480" t="s">
        <v>105</v>
      </c>
      <c r="BZ480" t="s">
        <v>167</v>
      </c>
      <c r="CA480" t="str">
        <f t="shared" si="27"/>
        <v>7/1/2020 - 6/30/2021</v>
      </c>
      <c r="CF480">
        <v>1</v>
      </c>
      <c r="CG480" t="s">
        <v>98</v>
      </c>
      <c r="CH480" t="s">
        <v>98</v>
      </c>
      <c r="CI480" t="s">
        <v>206</v>
      </c>
      <c r="CJ480" t="s">
        <v>98</v>
      </c>
      <c r="CK480" t="s">
        <v>12324</v>
      </c>
      <c r="CL480" t="s">
        <v>108</v>
      </c>
      <c r="CM480" t="s">
        <v>109</v>
      </c>
      <c r="CN480" t="str">
        <f>""</f>
        <v/>
      </c>
      <c r="CO480" t="str">
        <f>""</f>
        <v/>
      </c>
      <c r="CP480" t="str">
        <f>""</f>
        <v/>
      </c>
      <c r="CQ480" t="str">
        <f>""</f>
        <v/>
      </c>
    </row>
    <row r="481" spans="1:96" x14ac:dyDescent="0.2">
      <c r="A481" t="s">
        <v>11935</v>
      </c>
      <c r="B481" t="s">
        <v>96</v>
      </c>
      <c r="C481" s="1">
        <v>44098</v>
      </c>
      <c r="D481" s="1">
        <v>44105</v>
      </c>
      <c r="F481" t="s">
        <v>97</v>
      </c>
      <c r="G481" t="str">
        <f>"QC Analytical Development Specialist"</f>
        <v>QC Analytical Development Specialist</v>
      </c>
      <c r="H481" t="s">
        <v>12198</v>
      </c>
      <c r="I481" t="s">
        <v>402</v>
      </c>
      <c r="J481" t="s">
        <v>98</v>
      </c>
      <c r="K481" s="1">
        <v>44116</v>
      </c>
      <c r="L481" s="1">
        <v>45210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 t="s">
        <v>8786</v>
      </c>
      <c r="U481" t="str">
        <f>""</f>
        <v/>
      </c>
      <c r="V481" t="s">
        <v>8787</v>
      </c>
      <c r="W481" t="str">
        <f>""</f>
        <v/>
      </c>
      <c r="X481" t="s">
        <v>1666</v>
      </c>
      <c r="Y481" t="s">
        <v>100</v>
      </c>
      <c r="Z481" s="3">
        <v>7080</v>
      </c>
      <c r="AA481" t="s">
        <v>101</v>
      </c>
      <c r="AC481" s="4" t="str">
        <f>"+17323437492"</f>
        <v>+17323437492</v>
      </c>
      <c r="AE481" t="str">
        <f>"54199"</f>
        <v>54199</v>
      </c>
      <c r="AF481" t="s">
        <v>4631</v>
      </c>
      <c r="AG481" t="s">
        <v>4653</v>
      </c>
      <c r="AI481" t="s">
        <v>6451</v>
      </c>
      <c r="AJ481" t="s">
        <v>8787</v>
      </c>
      <c r="AK481" t="str">
        <f>""</f>
        <v/>
      </c>
      <c r="AL481" t="s">
        <v>1666</v>
      </c>
      <c r="AM481" t="s">
        <v>100</v>
      </c>
      <c r="AN481" s="3">
        <v>7080</v>
      </c>
      <c r="AO481" t="s">
        <v>101</v>
      </c>
      <c r="AQ481" t="str">
        <f>"+17323437492"</f>
        <v>+17323437492</v>
      </c>
      <c r="AS481" t="s">
        <v>8788</v>
      </c>
      <c r="AT481" t="s">
        <v>102</v>
      </c>
      <c r="AU481" t="str">
        <f>""</f>
        <v/>
      </c>
      <c r="AV481" t="str">
        <f>""</f>
        <v/>
      </c>
      <c r="AW481" t="str">
        <f>""</f>
        <v/>
      </c>
      <c r="AX481" t="str">
        <f>""</f>
        <v/>
      </c>
      <c r="AY481" t="str">
        <f>""</f>
        <v/>
      </c>
      <c r="AZ481" t="str">
        <f>""</f>
        <v/>
      </c>
      <c r="BA481" t="str">
        <f>""</f>
        <v/>
      </c>
      <c r="BC481" t="str">
        <f>""</f>
        <v/>
      </c>
      <c r="BD481" t="str">
        <f>""</f>
        <v/>
      </c>
      <c r="BE481" t="str">
        <f>""</f>
        <v/>
      </c>
      <c r="BF481" t="str">
        <f>""</f>
        <v/>
      </c>
      <c r="BG481" t="str">
        <f>""</f>
        <v/>
      </c>
      <c r="BH481" t="str">
        <f>""</f>
        <v/>
      </c>
      <c r="BI481" t="str">
        <f>""</f>
        <v/>
      </c>
      <c r="BJ481" t="str">
        <f>""</f>
        <v/>
      </c>
      <c r="BK481">
        <v>1</v>
      </c>
      <c r="BL481" t="s">
        <v>107</v>
      </c>
      <c r="BM481" t="str">
        <f>"Rentschler Biopharma"</f>
        <v>Rentschler Biopharma</v>
      </c>
      <c r="BN481" t="s">
        <v>11936</v>
      </c>
      <c r="BP481" t="s">
        <v>3604</v>
      </c>
      <c r="BQ481" t="s">
        <v>5372</v>
      </c>
      <c r="BR481" t="s">
        <v>171</v>
      </c>
      <c r="BS481" s="5">
        <v>1757</v>
      </c>
      <c r="BT481" s="2">
        <v>76000</v>
      </c>
      <c r="BU481" s="2">
        <v>76500</v>
      </c>
      <c r="BV481" t="s">
        <v>105</v>
      </c>
      <c r="BW481" s="2">
        <v>75504</v>
      </c>
      <c r="BX481" t="s">
        <v>105</v>
      </c>
      <c r="BZ481" t="s">
        <v>167</v>
      </c>
      <c r="CA481" t="str">
        <f t="shared" si="27"/>
        <v>7/1/2020 - 6/30/2021</v>
      </c>
      <c r="CF481">
        <v>1</v>
      </c>
      <c r="CG481" t="s">
        <v>98</v>
      </c>
      <c r="CH481" t="s">
        <v>98</v>
      </c>
      <c r="CI481" t="s">
        <v>206</v>
      </c>
      <c r="CJ481" t="s">
        <v>98</v>
      </c>
      <c r="CK481" t="s">
        <v>12324</v>
      </c>
      <c r="CL481" t="s">
        <v>108</v>
      </c>
      <c r="CM481" t="s">
        <v>109</v>
      </c>
      <c r="CN481" t="str">
        <f>""</f>
        <v/>
      </c>
      <c r="CO481" t="str">
        <f>""</f>
        <v/>
      </c>
      <c r="CP481" t="str">
        <f>""</f>
        <v/>
      </c>
      <c r="CQ481" t="str">
        <f>""</f>
        <v/>
      </c>
    </row>
    <row r="482" spans="1:96" x14ac:dyDescent="0.2">
      <c r="A482" t="s">
        <v>11938</v>
      </c>
      <c r="B482" t="s">
        <v>96</v>
      </c>
      <c r="C482" s="1">
        <v>44098</v>
      </c>
      <c r="D482" s="1">
        <v>44105</v>
      </c>
      <c r="F482" t="s">
        <v>97</v>
      </c>
      <c r="G482" t="str">
        <f>"JAVA DEVELOPER"</f>
        <v>JAVA DEVELOPER</v>
      </c>
      <c r="H482" t="s">
        <v>12169</v>
      </c>
      <c r="I482" t="s">
        <v>124</v>
      </c>
      <c r="J482" t="s">
        <v>98</v>
      </c>
      <c r="K482" s="1">
        <v>44098</v>
      </c>
      <c r="L482" s="1">
        <v>45192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 t="s">
        <v>6837</v>
      </c>
      <c r="U482" t="str">
        <f>""</f>
        <v/>
      </c>
      <c r="V482" t="s">
        <v>6838</v>
      </c>
      <c r="W482" t="str">
        <f>"SUITE 140"</f>
        <v>SUITE 140</v>
      </c>
      <c r="X482" t="s">
        <v>3997</v>
      </c>
      <c r="Y482" t="s">
        <v>135</v>
      </c>
      <c r="Z482" s="3">
        <v>20164</v>
      </c>
      <c r="AA482" t="s">
        <v>101</v>
      </c>
      <c r="AC482" s="4" t="str">
        <f>"+17036655373"</f>
        <v>+17036655373</v>
      </c>
      <c r="AE482" t="str">
        <f>"541511"</f>
        <v>541511</v>
      </c>
      <c r="AF482" t="s">
        <v>6839</v>
      </c>
      <c r="AG482" t="s">
        <v>2651</v>
      </c>
      <c r="AI482" t="s">
        <v>1789</v>
      </c>
      <c r="AJ482" t="s">
        <v>6838</v>
      </c>
      <c r="AK482" t="str">
        <f>"SUITE 140"</f>
        <v>SUITE 140</v>
      </c>
      <c r="AL482" t="s">
        <v>3997</v>
      </c>
      <c r="AM482" t="s">
        <v>135</v>
      </c>
      <c r="AN482" s="3">
        <v>20164</v>
      </c>
      <c r="AO482" t="s">
        <v>101</v>
      </c>
      <c r="AQ482" t="str">
        <f>"+17036655373"</f>
        <v>+17036655373</v>
      </c>
      <c r="AS482" t="s">
        <v>6840</v>
      </c>
      <c r="AT482" t="s">
        <v>107</v>
      </c>
      <c r="AU482" t="str">
        <f>"JI"</f>
        <v>JI</v>
      </c>
      <c r="AV482" t="str">
        <f>"ELIZABETH"</f>
        <v>ELIZABETH</v>
      </c>
      <c r="AW482" t="str">
        <f>""</f>
        <v/>
      </c>
      <c r="AX482" t="str">
        <f>"1325 SATELLITE BLVD., NW"</f>
        <v>1325 SATELLITE BLVD., NW</v>
      </c>
      <c r="AY482" t="str">
        <f>"SUITE 204"</f>
        <v>SUITE 204</v>
      </c>
      <c r="AZ482" t="str">
        <f>"SUWANEE"</f>
        <v>SUWANEE</v>
      </c>
      <c r="BA482" t="str">
        <f>"GA"</f>
        <v>GA</v>
      </c>
      <c r="BB482" s="3">
        <v>30024</v>
      </c>
      <c r="BC482" t="str">
        <f>"UNITED STATES OF AMERICA"</f>
        <v>UNITED STATES OF AMERICA</v>
      </c>
      <c r="BD482" t="str">
        <f>""</f>
        <v/>
      </c>
      <c r="BE482" t="str">
        <f>"+14049478048"</f>
        <v>+14049478048</v>
      </c>
      <c r="BF482" t="str">
        <f>""</f>
        <v/>
      </c>
      <c r="BG482" t="str">
        <f>"EJI@MYJILAW.COM"</f>
        <v>EJI@MYJILAW.COM</v>
      </c>
      <c r="BH482" t="str">
        <f>"THE JI LAW FIRM"</f>
        <v>THE JI LAW FIRM</v>
      </c>
      <c r="BI482" t="str">
        <f>"GA"</f>
        <v>GA</v>
      </c>
      <c r="BJ482" t="str">
        <f>"THE SUPREME COURT OF GEORGIA"</f>
        <v>THE SUPREME COURT OF GEORGIA</v>
      </c>
      <c r="BK482">
        <v>1</v>
      </c>
      <c r="BL482" t="s">
        <v>107</v>
      </c>
      <c r="BM482" t="str">
        <f>"CAPITAL ONE"</f>
        <v>CAPITAL ONE</v>
      </c>
      <c r="BN482" t="s">
        <v>11939</v>
      </c>
      <c r="BP482" t="s">
        <v>6054</v>
      </c>
      <c r="BQ482" t="s">
        <v>454</v>
      </c>
      <c r="BR482" t="s">
        <v>135</v>
      </c>
      <c r="BS482" s="5">
        <v>22182</v>
      </c>
      <c r="BT482" s="2">
        <v>93500</v>
      </c>
      <c r="BV482" t="s">
        <v>105</v>
      </c>
      <c r="BW482" s="2">
        <v>76690</v>
      </c>
      <c r="BX482" t="s">
        <v>105</v>
      </c>
      <c r="BZ482" t="s">
        <v>191</v>
      </c>
      <c r="CA482" t="str">
        <f t="shared" si="27"/>
        <v>7/1/2020 - 6/30/2021</v>
      </c>
      <c r="CF482">
        <v>1</v>
      </c>
      <c r="CG482" t="s">
        <v>98</v>
      </c>
      <c r="CH482" t="s">
        <v>98</v>
      </c>
      <c r="CI482" t="s">
        <v>206</v>
      </c>
      <c r="CJ482" t="s">
        <v>98</v>
      </c>
      <c r="CK482" t="s">
        <v>12324</v>
      </c>
      <c r="CL482" t="s">
        <v>108</v>
      </c>
      <c r="CM482" t="s">
        <v>109</v>
      </c>
      <c r="CN482" t="str">
        <f>"JI"</f>
        <v>JI</v>
      </c>
      <c r="CO482" t="str">
        <f>"ELIZABETH"</f>
        <v>ELIZABETH</v>
      </c>
      <c r="CP482" t="str">
        <f>""</f>
        <v/>
      </c>
      <c r="CQ482" t="str">
        <f>"THE JI LAW FIRM"</f>
        <v>THE JI LAW FIRM</v>
      </c>
      <c r="CR482" t="s">
        <v>6842</v>
      </c>
    </row>
    <row r="483" spans="1:96" x14ac:dyDescent="0.2">
      <c r="A483" t="s">
        <v>12013</v>
      </c>
      <c r="B483" t="s">
        <v>96</v>
      </c>
      <c r="C483" s="1">
        <v>44098</v>
      </c>
      <c r="D483" s="1">
        <v>44105</v>
      </c>
      <c r="F483" t="s">
        <v>97</v>
      </c>
      <c r="G483" t="str">
        <f>"Software Developer"</f>
        <v>Software Developer</v>
      </c>
      <c r="H483" t="s">
        <v>12169</v>
      </c>
      <c r="I483" t="s">
        <v>124</v>
      </c>
      <c r="J483" t="s">
        <v>98</v>
      </c>
      <c r="K483" s="1">
        <v>44098</v>
      </c>
      <c r="L483" s="1">
        <v>45192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 t="s">
        <v>3964</v>
      </c>
      <c r="U483" t="str">
        <f>""</f>
        <v/>
      </c>
      <c r="V483" t="s">
        <v>3965</v>
      </c>
      <c r="W483" t="str">
        <f>"Floor 2"</f>
        <v>Floor 2</v>
      </c>
      <c r="X483" t="s">
        <v>3966</v>
      </c>
      <c r="Y483" t="s">
        <v>374</v>
      </c>
      <c r="Z483" s="3">
        <v>63132</v>
      </c>
      <c r="AA483" t="s">
        <v>101</v>
      </c>
      <c r="AC483" s="4" t="str">
        <f>"+13145464863"</f>
        <v>+13145464863</v>
      </c>
      <c r="AE483" t="str">
        <f>"541511"</f>
        <v>541511</v>
      </c>
      <c r="AF483" t="s">
        <v>3967</v>
      </c>
      <c r="AG483" t="s">
        <v>12014</v>
      </c>
      <c r="AI483" t="s">
        <v>629</v>
      </c>
      <c r="AJ483" t="s">
        <v>3965</v>
      </c>
      <c r="AK483" t="str">
        <f>"Floor 2"</f>
        <v>Floor 2</v>
      </c>
      <c r="AL483" t="s">
        <v>3966</v>
      </c>
      <c r="AM483" t="s">
        <v>374</v>
      </c>
      <c r="AN483" s="3">
        <v>63132</v>
      </c>
      <c r="AO483" t="s">
        <v>101</v>
      </c>
      <c r="AQ483" t="str">
        <f>"+13145464863"</f>
        <v>+13145464863</v>
      </c>
      <c r="AS483" t="s">
        <v>3969</v>
      </c>
      <c r="AT483" t="s">
        <v>107</v>
      </c>
      <c r="AU483" t="str">
        <f>"Leuleseged"</f>
        <v>Leuleseged</v>
      </c>
      <c r="AV483" t="str">
        <f>"Aiemero"</f>
        <v>Aiemero</v>
      </c>
      <c r="AW483" t="str">
        <f>"Sefiw"</f>
        <v>Sefiw</v>
      </c>
      <c r="AX483" t="str">
        <f>"802 E Woodfield Road"</f>
        <v>802 E Woodfield Road</v>
      </c>
      <c r="AY483" t="str">
        <f>"Suite G 400"</f>
        <v>Suite G 400</v>
      </c>
      <c r="AZ483" t="str">
        <f>"Schaumburg"</f>
        <v>Schaumburg</v>
      </c>
      <c r="BA483" t="str">
        <f>"IL"</f>
        <v>IL</v>
      </c>
      <c r="BB483" s="3">
        <v>60173</v>
      </c>
      <c r="BC483" t="str">
        <f>"UNITED STATES OF AMERICA"</f>
        <v>UNITED STATES OF AMERICA</v>
      </c>
      <c r="BD483" t="str">
        <f>""</f>
        <v/>
      </c>
      <c r="BE483" t="str">
        <f>"+18479951515"</f>
        <v>+18479951515</v>
      </c>
      <c r="BF483" t="str">
        <f>"230"</f>
        <v>230</v>
      </c>
      <c r="BG483" t="str">
        <f>"icert@bizlegalservices.com"</f>
        <v>icert@bizlegalservices.com</v>
      </c>
      <c r="BH483" t="str">
        <f>"International Legal and Business Services Group LLP"</f>
        <v>International Legal and Business Services Group LLP</v>
      </c>
      <c r="BI483" t="str">
        <f>"CA"</f>
        <v>CA</v>
      </c>
      <c r="BJ483" t="str">
        <f>"California Supreme Court"</f>
        <v>California Supreme Court</v>
      </c>
      <c r="BK483">
        <v>1</v>
      </c>
      <c r="BL483" t="s">
        <v>107</v>
      </c>
      <c r="BM483" t="str">
        <f>"USAA (United Services Automobile Association)"</f>
        <v>USAA (United Services Automobile Association)</v>
      </c>
      <c r="BN483" t="s">
        <v>7389</v>
      </c>
      <c r="BP483" t="s">
        <v>297</v>
      </c>
      <c r="BQ483" t="s">
        <v>556</v>
      </c>
      <c r="BR483" t="s">
        <v>114</v>
      </c>
      <c r="BS483" s="5">
        <v>75024</v>
      </c>
      <c r="BT483" s="2">
        <v>93558</v>
      </c>
      <c r="BU483" s="2">
        <v>93559</v>
      </c>
      <c r="BV483" t="s">
        <v>105</v>
      </c>
      <c r="BW483" s="2">
        <v>93558</v>
      </c>
      <c r="BX483" t="s">
        <v>105</v>
      </c>
      <c r="BZ483" t="s">
        <v>167</v>
      </c>
      <c r="CA483" t="str">
        <f t="shared" si="27"/>
        <v>7/1/2020 - 6/30/2021</v>
      </c>
      <c r="CF483">
        <v>2</v>
      </c>
      <c r="CG483" t="s">
        <v>98</v>
      </c>
      <c r="CH483" t="s">
        <v>98</v>
      </c>
      <c r="CI483" t="s">
        <v>206</v>
      </c>
      <c r="CJ483" t="s">
        <v>98</v>
      </c>
      <c r="CK483" t="s">
        <v>12324</v>
      </c>
      <c r="CL483" t="s">
        <v>108</v>
      </c>
      <c r="CM483" t="s">
        <v>109</v>
      </c>
      <c r="CN483" t="str">
        <f>""</f>
        <v/>
      </c>
      <c r="CO483" t="str">
        <f>""</f>
        <v/>
      </c>
      <c r="CP483" t="str">
        <f>""</f>
        <v/>
      </c>
      <c r="CQ483" t="str">
        <f>""</f>
        <v/>
      </c>
    </row>
    <row r="484" spans="1:96" x14ac:dyDescent="0.2">
      <c r="A484" t="s">
        <v>12022</v>
      </c>
      <c r="B484" t="s">
        <v>96</v>
      </c>
      <c r="C484" s="1">
        <v>44098</v>
      </c>
      <c r="D484" s="1">
        <v>44105</v>
      </c>
      <c r="F484" t="s">
        <v>97</v>
      </c>
      <c r="G484" t="str">
        <f>"Software Developer"</f>
        <v>Software Developer</v>
      </c>
      <c r="H484" t="s">
        <v>12169</v>
      </c>
      <c r="I484" t="s">
        <v>124</v>
      </c>
      <c r="J484" t="s">
        <v>98</v>
      </c>
      <c r="K484" s="1">
        <v>44109</v>
      </c>
      <c r="L484" s="1">
        <v>45203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 t="s">
        <v>5375</v>
      </c>
      <c r="U484" t="str">
        <f>""</f>
        <v/>
      </c>
      <c r="V484" t="s">
        <v>916</v>
      </c>
      <c r="W484" t="str">
        <f>"Suite 300"</f>
        <v>Suite 300</v>
      </c>
      <c r="X484" t="s">
        <v>561</v>
      </c>
      <c r="Y484" t="s">
        <v>100</v>
      </c>
      <c r="Z484" s="3">
        <v>8817</v>
      </c>
      <c r="AA484" t="s">
        <v>101</v>
      </c>
      <c r="AC484" s="4" t="str">
        <f>"+17323930034"</f>
        <v>+17323930034</v>
      </c>
      <c r="AE484" t="str">
        <f>"541511"</f>
        <v>541511</v>
      </c>
      <c r="AF484" t="s">
        <v>4790</v>
      </c>
      <c r="AG484" t="s">
        <v>4791</v>
      </c>
      <c r="AI484" t="s">
        <v>1318</v>
      </c>
      <c r="AJ484" t="s">
        <v>916</v>
      </c>
      <c r="AK484" t="str">
        <f>"Suite 300"</f>
        <v>Suite 300</v>
      </c>
      <c r="AL484" t="s">
        <v>561</v>
      </c>
      <c r="AM484" t="s">
        <v>100</v>
      </c>
      <c r="AN484" s="3">
        <v>8817</v>
      </c>
      <c r="AO484" t="s">
        <v>101</v>
      </c>
      <c r="AQ484" t="str">
        <f>"+17323930034"</f>
        <v>+17323930034</v>
      </c>
      <c r="AS484" t="s">
        <v>915</v>
      </c>
      <c r="AT484" t="s">
        <v>107</v>
      </c>
      <c r="AU484" t="str">
        <f>"Malik"</f>
        <v>Malik</v>
      </c>
      <c r="AV484" t="str">
        <f>"Vinay"</f>
        <v>Vinay</v>
      </c>
      <c r="AW484" t="str">
        <f>""</f>
        <v/>
      </c>
      <c r="AX484" t="str">
        <f>"300 Carnegie Center"</f>
        <v>300 Carnegie Center</v>
      </c>
      <c r="AY484" t="str">
        <f>"Suite 150"</f>
        <v>Suite 150</v>
      </c>
      <c r="AZ484" t="str">
        <f>"Princeton"</f>
        <v>Princeton</v>
      </c>
      <c r="BA484" t="str">
        <f>"NJ"</f>
        <v>NJ</v>
      </c>
      <c r="BB484" s="3">
        <v>8540</v>
      </c>
      <c r="BC484" t="str">
        <f>"UNITED STATES OF AMERICA"</f>
        <v>UNITED STATES OF AMERICA</v>
      </c>
      <c r="BD484" t="str">
        <f>""</f>
        <v/>
      </c>
      <c r="BE484" t="str">
        <f>"+16092792761"</f>
        <v>+16092792761</v>
      </c>
      <c r="BF484" t="str">
        <f>""</f>
        <v/>
      </c>
      <c r="BG484" t="str">
        <f>"vmalik@vkmlawgroup.com"</f>
        <v>vmalik@vkmlawgroup.com</v>
      </c>
      <c r="BH484" t="str">
        <f>"VKM Law Group"</f>
        <v>VKM Law Group</v>
      </c>
      <c r="BI484" t="str">
        <f>"VA"</f>
        <v>VA</v>
      </c>
      <c r="BJ484" t="str">
        <f>"Supreme Court of Virginia"</f>
        <v>Supreme Court of Virginia</v>
      </c>
      <c r="BK484">
        <v>1</v>
      </c>
      <c r="BL484" t="s">
        <v>107</v>
      </c>
      <c r="BM484" t="str">
        <f>"CitiGroup"</f>
        <v>CitiGroup</v>
      </c>
      <c r="BN484" t="s">
        <v>3519</v>
      </c>
      <c r="BP484" t="s">
        <v>483</v>
      </c>
      <c r="BQ484" t="s">
        <v>484</v>
      </c>
      <c r="BR484" t="s">
        <v>114</v>
      </c>
      <c r="BS484" s="5">
        <v>75063</v>
      </c>
      <c r="BT484" s="2">
        <v>110000</v>
      </c>
      <c r="BV484" t="s">
        <v>105</v>
      </c>
      <c r="BW484" s="2">
        <v>93558</v>
      </c>
      <c r="BX484" t="s">
        <v>105</v>
      </c>
      <c r="BZ484" t="s">
        <v>167</v>
      </c>
      <c r="CA484" t="str">
        <f t="shared" si="27"/>
        <v>7/1/2020 - 6/30/2021</v>
      </c>
      <c r="CF484">
        <v>2</v>
      </c>
      <c r="CG484" t="s">
        <v>98</v>
      </c>
      <c r="CH484" t="s">
        <v>98</v>
      </c>
      <c r="CI484" t="s">
        <v>206</v>
      </c>
      <c r="CJ484" t="s">
        <v>98</v>
      </c>
      <c r="CK484" t="s">
        <v>12324</v>
      </c>
      <c r="CL484" t="s">
        <v>108</v>
      </c>
      <c r="CM484" t="s">
        <v>109</v>
      </c>
      <c r="CN484" t="str">
        <f>""</f>
        <v/>
      </c>
      <c r="CO484" t="str">
        <f>""</f>
        <v/>
      </c>
      <c r="CP484" t="str">
        <f>""</f>
        <v/>
      </c>
      <c r="CQ484" t="str">
        <f>""</f>
        <v/>
      </c>
    </row>
    <row r="485" spans="1:96" x14ac:dyDescent="0.2">
      <c r="A485" t="s">
        <v>12061</v>
      </c>
      <c r="B485" t="s">
        <v>96</v>
      </c>
      <c r="C485" s="1">
        <v>44098</v>
      </c>
      <c r="D485" s="1">
        <v>44105</v>
      </c>
      <c r="F485" t="s">
        <v>97</v>
      </c>
      <c r="G485" t="str">
        <f>"Software Engineer"</f>
        <v>Software Engineer</v>
      </c>
      <c r="H485" t="s">
        <v>12169</v>
      </c>
      <c r="I485" t="s">
        <v>124</v>
      </c>
      <c r="J485" t="s">
        <v>98</v>
      </c>
      <c r="K485" s="1">
        <v>44197</v>
      </c>
      <c r="L485" s="1">
        <v>45291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 t="s">
        <v>5953</v>
      </c>
      <c r="U485" t="str">
        <f>""</f>
        <v/>
      </c>
      <c r="V485" t="s">
        <v>4636</v>
      </c>
      <c r="W485" t="str">
        <f>"Suite 250 "</f>
        <v xml:space="preserve">Suite 250 </v>
      </c>
      <c r="X485" t="s">
        <v>2141</v>
      </c>
      <c r="Y485" t="s">
        <v>190</v>
      </c>
      <c r="Z485" s="3">
        <v>14606</v>
      </c>
      <c r="AA485" t="s">
        <v>101</v>
      </c>
      <c r="AC485" s="4" t="str">
        <f>"+18454731137"</f>
        <v>+18454731137</v>
      </c>
      <c r="AE485" t="str">
        <f>"541511"</f>
        <v>541511</v>
      </c>
      <c r="AF485" t="s">
        <v>4637</v>
      </c>
      <c r="AG485" t="s">
        <v>4638</v>
      </c>
      <c r="AH485" t="s">
        <v>382</v>
      </c>
      <c r="AI485" t="s">
        <v>1342</v>
      </c>
      <c r="AJ485" t="s">
        <v>4636</v>
      </c>
      <c r="AK485" t="str">
        <f>"Suite 250 "</f>
        <v xml:space="preserve">Suite 250 </v>
      </c>
      <c r="AL485" t="s">
        <v>2141</v>
      </c>
      <c r="AM485" t="s">
        <v>190</v>
      </c>
      <c r="AN485" s="3">
        <v>14606</v>
      </c>
      <c r="AO485" t="s">
        <v>101</v>
      </c>
      <c r="AQ485" t="str">
        <f>"+18454731137"</f>
        <v>+18454731137</v>
      </c>
      <c r="AS485" t="s">
        <v>5954</v>
      </c>
      <c r="AT485" t="s">
        <v>102</v>
      </c>
      <c r="AU485" t="str">
        <f>""</f>
        <v/>
      </c>
      <c r="AV485" t="str">
        <f>""</f>
        <v/>
      </c>
      <c r="AW485" t="str">
        <f>""</f>
        <v/>
      </c>
      <c r="AX485" t="str">
        <f>""</f>
        <v/>
      </c>
      <c r="AY485" t="str">
        <f>""</f>
        <v/>
      </c>
      <c r="AZ485" t="str">
        <f>""</f>
        <v/>
      </c>
      <c r="BA485" t="str">
        <f>""</f>
        <v/>
      </c>
      <c r="BC485" t="str">
        <f>""</f>
        <v/>
      </c>
      <c r="BD485" t="str">
        <f>""</f>
        <v/>
      </c>
      <c r="BE485" t="str">
        <f>""</f>
        <v/>
      </c>
      <c r="BF485" t="str">
        <f>""</f>
        <v/>
      </c>
      <c r="BG485" t="str">
        <f>""</f>
        <v/>
      </c>
      <c r="BH485" t="str">
        <f>""</f>
        <v/>
      </c>
      <c r="BI485" t="str">
        <f>""</f>
        <v/>
      </c>
      <c r="BJ485" t="str">
        <f>""</f>
        <v/>
      </c>
      <c r="BK485">
        <v>1</v>
      </c>
      <c r="BL485" t="s">
        <v>107</v>
      </c>
      <c r="BM485" t="str">
        <f>"PNC Bank"</f>
        <v>PNC Bank</v>
      </c>
      <c r="BN485" t="s">
        <v>2571</v>
      </c>
      <c r="BP485" t="s">
        <v>333</v>
      </c>
      <c r="BQ485" t="s">
        <v>861</v>
      </c>
      <c r="BR485" t="s">
        <v>127</v>
      </c>
      <c r="BS485" s="5">
        <v>15219</v>
      </c>
      <c r="BT485" s="2">
        <v>40</v>
      </c>
      <c r="BV485" t="s">
        <v>210</v>
      </c>
      <c r="BW485" s="2">
        <v>38.53</v>
      </c>
      <c r="BX485" t="s">
        <v>210</v>
      </c>
      <c r="BZ485" t="s">
        <v>167</v>
      </c>
      <c r="CA485" t="str">
        <f t="shared" si="27"/>
        <v>7/1/2020 - 6/30/2021</v>
      </c>
      <c r="CF485">
        <v>2</v>
      </c>
      <c r="CG485" t="s">
        <v>98</v>
      </c>
      <c r="CH485" t="s">
        <v>98</v>
      </c>
      <c r="CI485" t="s">
        <v>206</v>
      </c>
      <c r="CJ485" t="s">
        <v>98</v>
      </c>
      <c r="CK485" t="s">
        <v>12324</v>
      </c>
      <c r="CL485" t="s">
        <v>108</v>
      </c>
      <c r="CM485" t="s">
        <v>109</v>
      </c>
      <c r="CN485" t="str">
        <f>""</f>
        <v/>
      </c>
      <c r="CO485" t="str">
        <f>""</f>
        <v/>
      </c>
      <c r="CP485" t="str">
        <f>""</f>
        <v/>
      </c>
      <c r="CQ485" t="str">
        <f>""</f>
        <v/>
      </c>
    </row>
    <row r="486" spans="1:96" x14ac:dyDescent="0.2">
      <c r="A486" t="s">
        <v>12079</v>
      </c>
      <c r="B486" t="s">
        <v>96</v>
      </c>
      <c r="C486" s="1">
        <v>44098</v>
      </c>
      <c r="D486" s="1">
        <v>44105</v>
      </c>
      <c r="F486" t="s">
        <v>97</v>
      </c>
      <c r="G486" t="str">
        <f>"SENIOR SALESFORCE DEVELOPER"</f>
        <v>SENIOR SALESFORCE DEVELOPER</v>
      </c>
      <c r="H486" t="s">
        <v>12169</v>
      </c>
      <c r="I486" t="s">
        <v>124</v>
      </c>
      <c r="J486" t="s">
        <v>98</v>
      </c>
      <c r="K486" s="1">
        <v>44109</v>
      </c>
      <c r="L486" s="1">
        <v>45203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6072</v>
      </c>
      <c r="U486" t="str">
        <f>""</f>
        <v/>
      </c>
      <c r="V486" t="s">
        <v>6073</v>
      </c>
      <c r="W486" t="str">
        <f>"Fl 4"</f>
        <v>Fl 4</v>
      </c>
      <c r="X486" t="s">
        <v>4158</v>
      </c>
      <c r="Y486" t="s">
        <v>171</v>
      </c>
      <c r="Z486" s="3">
        <v>1608</v>
      </c>
      <c r="AA486" t="s">
        <v>101</v>
      </c>
      <c r="AC486" s="4" t="str">
        <f>"+15087522040"</f>
        <v>+15087522040</v>
      </c>
      <c r="AE486" t="str">
        <f>"541511"</f>
        <v>541511</v>
      </c>
      <c r="AF486" t="s">
        <v>11078</v>
      </c>
      <c r="AG486" t="s">
        <v>4307</v>
      </c>
      <c r="AI486" t="s">
        <v>646</v>
      </c>
      <c r="AJ486" t="s">
        <v>6073</v>
      </c>
      <c r="AK486" t="str">
        <f>"Fl 4"</f>
        <v>Fl 4</v>
      </c>
      <c r="AL486" t="s">
        <v>4158</v>
      </c>
      <c r="AM486" t="s">
        <v>171</v>
      </c>
      <c r="AN486" s="3">
        <v>1608</v>
      </c>
      <c r="AO486" t="s">
        <v>101</v>
      </c>
      <c r="AQ486" t="str">
        <f>"+15087522040"</f>
        <v>+15087522040</v>
      </c>
      <c r="AS486" t="s">
        <v>9713</v>
      </c>
      <c r="AT486" t="s">
        <v>107</v>
      </c>
      <c r="AU486" t="str">
        <f>"Leuleseged"</f>
        <v>Leuleseged</v>
      </c>
      <c r="AV486" t="str">
        <f>"Aiemero"</f>
        <v>Aiemero</v>
      </c>
      <c r="AW486" t="str">
        <f>"Sefiw"</f>
        <v>Sefiw</v>
      </c>
      <c r="AX486" t="str">
        <f>"802 E Woodfield Road"</f>
        <v>802 E Woodfield Road</v>
      </c>
      <c r="AY486" t="str">
        <f>"Suite G400"</f>
        <v>Suite G400</v>
      </c>
      <c r="AZ486" t="str">
        <f>"Schaumburg"</f>
        <v>Schaumburg</v>
      </c>
      <c r="BA486" t="str">
        <f>"IL"</f>
        <v>IL</v>
      </c>
      <c r="BB486" s="3">
        <v>60173</v>
      </c>
      <c r="BC486" t="str">
        <f>"UNITED STATES OF AMERICA"</f>
        <v>UNITED STATES OF AMERICA</v>
      </c>
      <c r="BD486" t="str">
        <f>""</f>
        <v/>
      </c>
      <c r="BE486" t="str">
        <f>"+18479951515"</f>
        <v>+18479951515</v>
      </c>
      <c r="BF486" t="str">
        <f>""</f>
        <v/>
      </c>
      <c r="BG486" t="str">
        <f>"icert@bizlegalservices.com"</f>
        <v>icert@bizlegalservices.com</v>
      </c>
      <c r="BH486" t="str">
        <f>"International Legal and Business Services Group LLP"</f>
        <v>International Legal and Business Services Group LLP</v>
      </c>
      <c r="BI486" t="str">
        <f>"CA"</f>
        <v>CA</v>
      </c>
      <c r="BJ486" t="str">
        <f>"California Supreme Court"</f>
        <v>California Supreme Court</v>
      </c>
      <c r="BK486">
        <v>1</v>
      </c>
      <c r="BL486" t="s">
        <v>107</v>
      </c>
      <c r="BM486" t="str">
        <f>"INSULET CORPORATION "</f>
        <v xml:space="preserve">INSULET CORPORATION </v>
      </c>
      <c r="BN486" t="s">
        <v>6781</v>
      </c>
      <c r="BP486" t="s">
        <v>2629</v>
      </c>
      <c r="BQ486" t="s">
        <v>2629</v>
      </c>
      <c r="BR486" t="s">
        <v>171</v>
      </c>
      <c r="BS486" s="5">
        <v>1720</v>
      </c>
      <c r="BT486" s="2">
        <v>115939</v>
      </c>
      <c r="BU486" s="2">
        <v>115940</v>
      </c>
      <c r="BV486" t="s">
        <v>105</v>
      </c>
      <c r="BW486" s="2">
        <v>115939</v>
      </c>
      <c r="BX486" t="s">
        <v>105</v>
      </c>
      <c r="BZ486" t="s">
        <v>123</v>
      </c>
      <c r="CA486" t="str">
        <f t="shared" si="27"/>
        <v>7/1/2020 - 6/30/2021</v>
      </c>
      <c r="CF486">
        <v>1</v>
      </c>
      <c r="CG486" t="s">
        <v>98</v>
      </c>
      <c r="CH486" t="s">
        <v>98</v>
      </c>
      <c r="CI486" t="s">
        <v>206</v>
      </c>
      <c r="CJ486" t="s">
        <v>98</v>
      </c>
      <c r="CK486" t="s">
        <v>12324</v>
      </c>
      <c r="CL486" t="s">
        <v>108</v>
      </c>
      <c r="CM486" t="s">
        <v>109</v>
      </c>
      <c r="CN486" t="str">
        <f>""</f>
        <v/>
      </c>
      <c r="CO486" t="str">
        <f>""</f>
        <v/>
      </c>
      <c r="CP486" t="str">
        <f>""</f>
        <v/>
      </c>
      <c r="CQ486" t="str">
        <f>""</f>
        <v/>
      </c>
    </row>
    <row r="487" spans="1:96" x14ac:dyDescent="0.2">
      <c r="A487" t="s">
        <v>12116</v>
      </c>
      <c r="B487" t="s">
        <v>96</v>
      </c>
      <c r="C487" s="1">
        <v>44098</v>
      </c>
      <c r="D487" s="1">
        <v>44105</v>
      </c>
      <c r="F487" t="s">
        <v>97</v>
      </c>
      <c r="G487" t="str">
        <f>"Manager JC50"</f>
        <v>Manager JC50</v>
      </c>
      <c r="H487" t="s">
        <v>12181</v>
      </c>
      <c r="I487" t="s">
        <v>110</v>
      </c>
      <c r="J487" t="s">
        <v>98</v>
      </c>
      <c r="K487" s="1">
        <v>44106</v>
      </c>
      <c r="L487" s="1">
        <v>45200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 t="s">
        <v>111</v>
      </c>
      <c r="U487" t="str">
        <f>"CTSUS"</f>
        <v>CTSUS</v>
      </c>
      <c r="V487" t="s">
        <v>112</v>
      </c>
      <c r="W487" t="str">
        <f>""</f>
        <v/>
      </c>
      <c r="X487" t="s">
        <v>113</v>
      </c>
      <c r="Y487" t="s">
        <v>114</v>
      </c>
      <c r="Z487" s="3">
        <v>77845</v>
      </c>
      <c r="AA487" t="s">
        <v>101</v>
      </c>
      <c r="AB487" t="s">
        <v>114</v>
      </c>
      <c r="AC487" s="4" t="str">
        <f>"+19793296682"</f>
        <v>+19793296682</v>
      </c>
      <c r="AE487" t="str">
        <f>"541512"</f>
        <v>541512</v>
      </c>
      <c r="AF487" t="s">
        <v>115</v>
      </c>
      <c r="AG487" t="s">
        <v>116</v>
      </c>
      <c r="AH487" t="s">
        <v>108</v>
      </c>
      <c r="AI487" t="s">
        <v>117</v>
      </c>
      <c r="AJ487" t="s">
        <v>118</v>
      </c>
      <c r="AK487" t="str">
        <f>""</f>
        <v/>
      </c>
      <c r="AL487" t="s">
        <v>119</v>
      </c>
      <c r="AM487" t="s">
        <v>114</v>
      </c>
      <c r="AN487" s="3">
        <v>77845</v>
      </c>
      <c r="AO487" t="s">
        <v>101</v>
      </c>
      <c r="AQ487" t="str">
        <f>"+19793296682"</f>
        <v>+19793296682</v>
      </c>
      <c r="AS487" t="s">
        <v>120</v>
      </c>
      <c r="AT487" t="s">
        <v>102</v>
      </c>
      <c r="AU487" t="str">
        <f>""</f>
        <v/>
      </c>
      <c r="AV487" t="str">
        <f>""</f>
        <v/>
      </c>
      <c r="AW487" t="str">
        <f>""</f>
        <v/>
      </c>
      <c r="AX487" t="str">
        <f>""</f>
        <v/>
      </c>
      <c r="AY487" t="str">
        <f>""</f>
        <v/>
      </c>
      <c r="AZ487" t="str">
        <f>""</f>
        <v/>
      </c>
      <c r="BA487" t="str">
        <f>""</f>
        <v/>
      </c>
      <c r="BC487" t="str">
        <f>""</f>
        <v/>
      </c>
      <c r="BD487" t="str">
        <f>""</f>
        <v/>
      </c>
      <c r="BE487" t="str">
        <f>""</f>
        <v/>
      </c>
      <c r="BF487" t="str">
        <f>""</f>
        <v/>
      </c>
      <c r="BG487" t="str">
        <f>""</f>
        <v/>
      </c>
      <c r="BH487" t="str">
        <f>""</f>
        <v/>
      </c>
      <c r="BI487" t="str">
        <f>""</f>
        <v/>
      </c>
      <c r="BJ487" t="str">
        <f>""</f>
        <v/>
      </c>
      <c r="BK487">
        <v>1</v>
      </c>
      <c r="BL487" t="s">
        <v>102</v>
      </c>
      <c r="BM487" t="str">
        <f>""</f>
        <v/>
      </c>
      <c r="BN487" t="s">
        <v>11375</v>
      </c>
      <c r="BP487" t="s">
        <v>483</v>
      </c>
      <c r="BQ487" t="s">
        <v>484</v>
      </c>
      <c r="BR487" t="s">
        <v>114</v>
      </c>
      <c r="BS487" s="5">
        <v>75063</v>
      </c>
      <c r="BT487" s="2">
        <v>97240</v>
      </c>
      <c r="BV487" t="s">
        <v>105</v>
      </c>
      <c r="BW487" s="2">
        <v>97240</v>
      </c>
      <c r="BX487" t="s">
        <v>105</v>
      </c>
      <c r="BZ487" t="s">
        <v>123</v>
      </c>
      <c r="CA487" t="str">
        <f t="shared" si="27"/>
        <v>7/1/2020 - 6/30/2021</v>
      </c>
      <c r="CF487">
        <v>1</v>
      </c>
      <c r="CG487" t="s">
        <v>98</v>
      </c>
      <c r="CH487" t="s">
        <v>98</v>
      </c>
      <c r="CI487" t="s">
        <v>206</v>
      </c>
      <c r="CJ487" t="s">
        <v>98</v>
      </c>
      <c r="CK487" t="s">
        <v>12324</v>
      </c>
      <c r="CL487" t="s">
        <v>108</v>
      </c>
      <c r="CM487" t="s">
        <v>109</v>
      </c>
      <c r="CN487" t="str">
        <f>""</f>
        <v/>
      </c>
      <c r="CO487" t="str">
        <f>""</f>
        <v/>
      </c>
      <c r="CP487" t="str">
        <f>""</f>
        <v/>
      </c>
      <c r="CQ487" t="str">
        <f>""</f>
        <v/>
      </c>
    </row>
    <row r="488" spans="1:96" x14ac:dyDescent="0.2">
      <c r="A488" t="s">
        <v>736</v>
      </c>
      <c r="B488" t="s">
        <v>96</v>
      </c>
      <c r="C488" s="1">
        <v>44098</v>
      </c>
      <c r="D488" s="1">
        <v>44105</v>
      </c>
      <c r="F488" t="s">
        <v>97</v>
      </c>
      <c r="G488" t="str">
        <f>"Staff 2"</f>
        <v>Staff 2</v>
      </c>
      <c r="H488" t="s">
        <v>12225</v>
      </c>
      <c r="I488" t="s">
        <v>628</v>
      </c>
      <c r="J488" t="s">
        <v>98</v>
      </c>
      <c r="K488" s="1">
        <v>44276</v>
      </c>
      <c r="L488" s="1">
        <v>45371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 t="s">
        <v>737</v>
      </c>
      <c r="U488" t="str">
        <f>""</f>
        <v/>
      </c>
      <c r="V488" t="s">
        <v>738</v>
      </c>
      <c r="W488" t="str">
        <f>""</f>
        <v/>
      </c>
      <c r="X488" t="s">
        <v>510</v>
      </c>
      <c r="Y488" t="s">
        <v>127</v>
      </c>
      <c r="Z488" s="3">
        <v>19103</v>
      </c>
      <c r="AA488" t="s">
        <v>101</v>
      </c>
      <c r="AC488" s="4" t="str">
        <f>"+16179608170"</f>
        <v>+16179608170</v>
      </c>
      <c r="AE488" t="str">
        <f>"541611"</f>
        <v>541611</v>
      </c>
      <c r="AF488" t="s">
        <v>739</v>
      </c>
      <c r="AG488" t="s">
        <v>740</v>
      </c>
      <c r="AI488" t="s">
        <v>392</v>
      </c>
      <c r="AJ488" t="s">
        <v>738</v>
      </c>
      <c r="AK488" t="str">
        <f>""</f>
        <v/>
      </c>
      <c r="AL488" t="s">
        <v>510</v>
      </c>
      <c r="AM488" t="s">
        <v>127</v>
      </c>
      <c r="AN488" s="3">
        <v>19103</v>
      </c>
      <c r="AO488" t="s">
        <v>101</v>
      </c>
      <c r="AQ488" t="str">
        <f>"+16179608170"</f>
        <v>+16179608170</v>
      </c>
      <c r="AS488" t="s">
        <v>222</v>
      </c>
      <c r="AT488" t="s">
        <v>107</v>
      </c>
      <c r="AU488" t="str">
        <f>"GANDHI"</f>
        <v>GANDHI</v>
      </c>
      <c r="AV488" t="str">
        <f>"JESSICA"</f>
        <v>JESSICA</v>
      </c>
      <c r="AW488" t="str">
        <f>""</f>
        <v/>
      </c>
      <c r="AX488" t="str">
        <f>"2400 NORTH GLENVILLE DRIVE"</f>
        <v>2400 NORTH GLENVILLE DRIVE</v>
      </c>
      <c r="AY488" t="str">
        <f>"Building A, SUITE 100"</f>
        <v>Building A, SUITE 100</v>
      </c>
      <c r="AZ488" t="str">
        <f>"RICHARDSON"</f>
        <v>RICHARDSON</v>
      </c>
      <c r="BA488" t="str">
        <f>"TX"</f>
        <v>TX</v>
      </c>
      <c r="BB488" s="3">
        <v>75082</v>
      </c>
      <c r="BC488" t="str">
        <f t="shared" ref="BC488:BC495" si="28">"UNITED STATES OF AMERICA"</f>
        <v>UNITED STATES OF AMERICA</v>
      </c>
      <c r="BD488" t="str">
        <f>""</f>
        <v/>
      </c>
      <c r="BE488" t="str">
        <f>"+14693003253"</f>
        <v>+14693003253</v>
      </c>
      <c r="BF488" t="str">
        <f>""</f>
        <v/>
      </c>
      <c r="BG488" t="str">
        <f>"JEGANDHI@BALGLOBAL.COM"</f>
        <v>JEGANDHI@BALGLOBAL.COM</v>
      </c>
      <c r="BH488" t="str">
        <f>"BERRY APPLEMAN &amp; LEIDEN LLP"</f>
        <v>BERRY APPLEMAN &amp; LEIDEN LLP</v>
      </c>
      <c r="BI488" t="str">
        <f>"IL"</f>
        <v>IL</v>
      </c>
      <c r="BJ488" t="str">
        <f>"SUPREME COURT OF ILLINOIS"</f>
        <v>SUPREME COURT OF ILLINOIS</v>
      </c>
      <c r="BK488">
        <v>1</v>
      </c>
      <c r="BL488" t="s">
        <v>102</v>
      </c>
      <c r="BM488" t="str">
        <f>""</f>
        <v/>
      </c>
      <c r="BN488" t="s">
        <v>741</v>
      </c>
      <c r="BP488" t="s">
        <v>218</v>
      </c>
      <c r="BQ488" t="s">
        <v>510</v>
      </c>
      <c r="BR488" t="s">
        <v>127</v>
      </c>
      <c r="BS488" s="5">
        <v>19103</v>
      </c>
      <c r="BT488" s="2">
        <v>76200</v>
      </c>
      <c r="BV488" t="s">
        <v>105</v>
      </c>
      <c r="BW488" s="2">
        <v>74859</v>
      </c>
      <c r="BX488" t="s">
        <v>105</v>
      </c>
      <c r="BZ488" t="s">
        <v>167</v>
      </c>
      <c r="CA488" t="str">
        <f t="shared" si="27"/>
        <v>7/1/2020 - 6/30/2021</v>
      </c>
      <c r="CF488">
        <v>2</v>
      </c>
      <c r="CG488" t="s">
        <v>98</v>
      </c>
      <c r="CH488" t="s">
        <v>206</v>
      </c>
      <c r="CI488" t="s">
        <v>206</v>
      </c>
      <c r="CL488" t="s">
        <v>108</v>
      </c>
      <c r="CM488" t="s">
        <v>109</v>
      </c>
      <c r="CN488" t="str">
        <f>"Hamm"</f>
        <v>Hamm</v>
      </c>
      <c r="CO488" t="str">
        <f>"Ana "</f>
        <v xml:space="preserve">Ana </v>
      </c>
      <c r="CP488" t="str">
        <f>"K "</f>
        <v xml:space="preserve">K </v>
      </c>
      <c r="CQ488" t="str">
        <f>"Berry Appleman &amp; Leiden LLP"</f>
        <v>Berry Appleman &amp; Leiden LLP</v>
      </c>
      <c r="CR488" t="s">
        <v>742</v>
      </c>
    </row>
    <row r="489" spans="1:96" x14ac:dyDescent="0.2">
      <c r="A489" t="s">
        <v>743</v>
      </c>
      <c r="B489" t="s">
        <v>96</v>
      </c>
      <c r="C489" s="1">
        <v>44098</v>
      </c>
      <c r="D489" s="1">
        <v>44105</v>
      </c>
      <c r="F489" t="s">
        <v>97</v>
      </c>
      <c r="G489" t="str">
        <f>"Software Engineer - SGS"</f>
        <v>Software Engineer - SGS</v>
      </c>
      <c r="H489" t="s">
        <v>12169</v>
      </c>
      <c r="I489" t="s">
        <v>124</v>
      </c>
      <c r="J489" t="s">
        <v>98</v>
      </c>
      <c r="K489" s="1">
        <v>44261</v>
      </c>
      <c r="L489" s="1">
        <v>45356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 t="s">
        <v>744</v>
      </c>
      <c r="U489" t="str">
        <f>""</f>
        <v/>
      </c>
      <c r="V489" t="s">
        <v>745</v>
      </c>
      <c r="W489" t="str">
        <f>""</f>
        <v/>
      </c>
      <c r="X489" t="s">
        <v>746</v>
      </c>
      <c r="Y489" t="s">
        <v>374</v>
      </c>
      <c r="Z489" s="3" t="s">
        <v>12293</v>
      </c>
      <c r="AA489" t="s">
        <v>101</v>
      </c>
      <c r="AC489" s="4" t="str">
        <f>"+14405287204"</f>
        <v>+14405287204</v>
      </c>
      <c r="AE489" t="str">
        <f>"334412"</f>
        <v>334412</v>
      </c>
      <c r="AF489" t="s">
        <v>747</v>
      </c>
      <c r="AG489" t="s">
        <v>748</v>
      </c>
      <c r="AI489" t="s">
        <v>749</v>
      </c>
      <c r="AJ489" t="s">
        <v>750</v>
      </c>
      <c r="AK489" t="str">
        <f>""</f>
        <v/>
      </c>
      <c r="AL489" t="s">
        <v>751</v>
      </c>
      <c r="AM489" t="s">
        <v>225</v>
      </c>
      <c r="AN489" s="3">
        <v>44139</v>
      </c>
      <c r="AO489" t="s">
        <v>101</v>
      </c>
      <c r="AQ489" t="str">
        <f>"+14405287204"</f>
        <v>+14405287204</v>
      </c>
      <c r="AS489" t="s">
        <v>752</v>
      </c>
      <c r="AT489" t="s">
        <v>107</v>
      </c>
      <c r="AU489" t="str">
        <f>"Sigg"</f>
        <v>Sigg</v>
      </c>
      <c r="AV489" t="str">
        <f>"Lauren"</f>
        <v>Lauren</v>
      </c>
      <c r="AW489" t="str">
        <f>"M"</f>
        <v>M</v>
      </c>
      <c r="AX489" t="str">
        <f>"280 Trumbull Street"</f>
        <v>280 Trumbull Street</v>
      </c>
      <c r="AY489" t="str">
        <f>"Floor 28"</f>
        <v>Floor 28</v>
      </c>
      <c r="AZ489" t="str">
        <f>"Hartford"</f>
        <v>Hartford</v>
      </c>
      <c r="BA489" t="str">
        <f>"CT"</f>
        <v>CT</v>
      </c>
      <c r="BB489" s="3">
        <v>6103</v>
      </c>
      <c r="BC489" t="str">
        <f t="shared" si="28"/>
        <v>UNITED STATES OF AMERICA</v>
      </c>
      <c r="BD489" t="str">
        <f>""</f>
        <v/>
      </c>
      <c r="BE489" t="str">
        <f>"+18602758341"</f>
        <v>+18602758341</v>
      </c>
      <c r="BF489" t="str">
        <f>""</f>
        <v/>
      </c>
      <c r="BG489" t="str">
        <f>"lsigg@rc.com"</f>
        <v>lsigg@rc.com</v>
      </c>
      <c r="BH489" t="str">
        <f>"Robinson &amp; Cole LLP"</f>
        <v>Robinson &amp; Cole LLP</v>
      </c>
      <c r="BI489" t="str">
        <f>"CT"</f>
        <v>CT</v>
      </c>
      <c r="BJ489" t="str">
        <f>"Connecticut Superior Court"</f>
        <v>Connecticut Superior Court</v>
      </c>
      <c r="BK489">
        <v>1</v>
      </c>
      <c r="BL489" t="s">
        <v>102</v>
      </c>
      <c r="BM489" t="str">
        <f>""</f>
        <v/>
      </c>
      <c r="BN489" t="s">
        <v>753</v>
      </c>
      <c r="BO489" t="s">
        <v>754</v>
      </c>
      <c r="BP489" t="s">
        <v>755</v>
      </c>
      <c r="BQ489" t="s">
        <v>454</v>
      </c>
      <c r="BR489" t="s">
        <v>135</v>
      </c>
      <c r="BS489" s="5">
        <v>20171</v>
      </c>
      <c r="BT489" s="2">
        <v>118102</v>
      </c>
      <c r="BU489" s="2">
        <v>124000</v>
      </c>
      <c r="BV489" t="s">
        <v>105</v>
      </c>
      <c r="BW489" s="2">
        <v>118102</v>
      </c>
      <c r="BX489" t="s">
        <v>105</v>
      </c>
      <c r="BZ489" t="s">
        <v>123</v>
      </c>
      <c r="CA489" t="str">
        <f t="shared" si="27"/>
        <v>7/1/2020 - 6/30/2021</v>
      </c>
      <c r="CF489">
        <v>1</v>
      </c>
      <c r="CG489" t="s">
        <v>98</v>
      </c>
      <c r="CH489" t="s">
        <v>206</v>
      </c>
      <c r="CI489" t="s">
        <v>206</v>
      </c>
      <c r="CL489" t="s">
        <v>108</v>
      </c>
      <c r="CM489" t="s">
        <v>109</v>
      </c>
      <c r="CN489" t="str">
        <f>""</f>
        <v/>
      </c>
      <c r="CO489" t="str">
        <f>""</f>
        <v/>
      </c>
      <c r="CP489" t="str">
        <f>""</f>
        <v/>
      </c>
      <c r="CQ489" t="str">
        <f>""</f>
        <v/>
      </c>
    </row>
    <row r="490" spans="1:96" x14ac:dyDescent="0.2">
      <c r="A490" t="s">
        <v>877</v>
      </c>
      <c r="B490" t="s">
        <v>96</v>
      </c>
      <c r="C490" s="1">
        <v>44098</v>
      </c>
      <c r="D490" s="1">
        <v>44105</v>
      </c>
      <c r="F490" t="s">
        <v>97</v>
      </c>
      <c r="G490" t="str">
        <f>"PRINCIPAL ENGINEER-SOFTWARE "</f>
        <v xml:space="preserve">PRINCIPAL ENGINEER-SOFTWARE </v>
      </c>
      <c r="H490" t="s">
        <v>12169</v>
      </c>
      <c r="I490" t="s">
        <v>124</v>
      </c>
      <c r="J490" t="s">
        <v>98</v>
      </c>
      <c r="K490" s="1">
        <v>44218</v>
      </c>
      <c r="L490" s="1">
        <v>45312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 t="s">
        <v>878</v>
      </c>
      <c r="U490" t="str">
        <f>""</f>
        <v/>
      </c>
      <c r="V490" t="s">
        <v>266</v>
      </c>
      <c r="W490" t="str">
        <f>""</f>
        <v/>
      </c>
      <c r="X490" t="s">
        <v>267</v>
      </c>
      <c r="Y490" t="s">
        <v>166</v>
      </c>
      <c r="Z490" s="3">
        <v>80112</v>
      </c>
      <c r="AA490" t="s">
        <v>101</v>
      </c>
      <c r="AC490" s="4" t="str">
        <f>"+13037232171"</f>
        <v>+13037232171</v>
      </c>
      <c r="AE490" t="str">
        <f>"517311"</f>
        <v>517311</v>
      </c>
      <c r="AF490" t="s">
        <v>268</v>
      </c>
      <c r="AG490" t="s">
        <v>879</v>
      </c>
      <c r="AH490" t="s">
        <v>269</v>
      </c>
      <c r="AI490" t="s">
        <v>270</v>
      </c>
      <c r="AJ490" t="s">
        <v>266</v>
      </c>
      <c r="AK490" t="str">
        <f>""</f>
        <v/>
      </c>
      <c r="AL490" t="s">
        <v>267</v>
      </c>
      <c r="AM490" t="s">
        <v>166</v>
      </c>
      <c r="AN490" s="3">
        <v>80112</v>
      </c>
      <c r="AO490" t="s">
        <v>101</v>
      </c>
      <c r="AQ490" t="str">
        <f>"+13037233298"</f>
        <v>+13037233298</v>
      </c>
      <c r="AS490" t="s">
        <v>272</v>
      </c>
      <c r="AT490" t="s">
        <v>107</v>
      </c>
      <c r="AU490" t="str">
        <f>"OMBOK"</f>
        <v>OMBOK</v>
      </c>
      <c r="AV490" t="str">
        <f>"OTIENO"</f>
        <v>OTIENO</v>
      </c>
      <c r="AW490" t="str">
        <f>"B"</f>
        <v>B</v>
      </c>
      <c r="AX490" t="str">
        <f>"44 SOUTH BROADWAY "</f>
        <v xml:space="preserve">44 SOUTH BROADWAY </v>
      </c>
      <c r="AY490" t="str">
        <f>"14TH FLOOR "</f>
        <v xml:space="preserve">14TH FLOOR </v>
      </c>
      <c r="AZ490" t="str">
        <f>"WHITE PLAINS "</f>
        <v xml:space="preserve">WHITE PLAINS </v>
      </c>
      <c r="BA490" t="str">
        <f>"NY"</f>
        <v>NY</v>
      </c>
      <c r="BB490" s="3">
        <v>10601</v>
      </c>
      <c r="BC490" t="str">
        <f t="shared" si="28"/>
        <v>UNITED STATES OF AMERICA</v>
      </c>
      <c r="BD490" t="str">
        <f>""</f>
        <v/>
      </c>
      <c r="BE490" t="str">
        <f>"+19148726895"</f>
        <v>+19148726895</v>
      </c>
      <c r="BF490" t="str">
        <f>""</f>
        <v/>
      </c>
      <c r="BG490" t="str">
        <f>"OMBOKO@JACKSONLEWIS.COM"</f>
        <v>OMBOKO@JACKSONLEWIS.COM</v>
      </c>
      <c r="BH490" t="str">
        <f>"JACKSON LEWIS PC "</f>
        <v xml:space="preserve">JACKSON LEWIS PC </v>
      </c>
      <c r="BI490" t="str">
        <f>"NY"</f>
        <v>NY</v>
      </c>
      <c r="BJ490" t="str">
        <f>"SUPREME COURT "</f>
        <v xml:space="preserve">SUPREME COURT </v>
      </c>
      <c r="BK490">
        <v>1</v>
      </c>
      <c r="BL490" t="s">
        <v>102</v>
      </c>
      <c r="BM490" t="str">
        <f>""</f>
        <v/>
      </c>
      <c r="BN490" t="s">
        <v>266</v>
      </c>
      <c r="BP490" t="s">
        <v>880</v>
      </c>
      <c r="BQ490" t="s">
        <v>165</v>
      </c>
      <c r="BR490" t="s">
        <v>166</v>
      </c>
      <c r="BS490" s="5">
        <v>80112</v>
      </c>
      <c r="BT490" s="2">
        <v>128898</v>
      </c>
      <c r="BU490" s="2">
        <v>170000.22</v>
      </c>
      <c r="BV490" t="s">
        <v>105</v>
      </c>
      <c r="BW490" s="2">
        <v>128898</v>
      </c>
      <c r="BX490" t="s">
        <v>105</v>
      </c>
      <c r="BZ490" t="s">
        <v>159</v>
      </c>
      <c r="CA490" t="str">
        <f t="shared" si="27"/>
        <v>7/1/2020 - 6/30/2021</v>
      </c>
      <c r="CF490">
        <v>1</v>
      </c>
      <c r="CG490" t="s">
        <v>98</v>
      </c>
      <c r="CH490" t="s">
        <v>206</v>
      </c>
      <c r="CI490" t="s">
        <v>206</v>
      </c>
      <c r="CL490" t="s">
        <v>108</v>
      </c>
      <c r="CM490" t="s">
        <v>109</v>
      </c>
      <c r="CN490" t="str">
        <f>"DE JESUS"</f>
        <v>DE JESUS</v>
      </c>
      <c r="CO490" t="str">
        <f>"ANGIE "</f>
        <v xml:space="preserve">ANGIE </v>
      </c>
      <c r="CP490" t="str">
        <f>"F"</f>
        <v>F</v>
      </c>
      <c r="CQ490" t="str">
        <f>"JACKSON LEWIS PC "</f>
        <v xml:space="preserve">JACKSON LEWIS PC </v>
      </c>
      <c r="CR490" t="s">
        <v>275</v>
      </c>
    </row>
    <row r="491" spans="1:96" x14ac:dyDescent="0.2">
      <c r="A491" t="s">
        <v>1345</v>
      </c>
      <c r="B491" t="s">
        <v>96</v>
      </c>
      <c r="C491" s="1">
        <v>44098</v>
      </c>
      <c r="D491" s="1">
        <v>44105</v>
      </c>
      <c r="F491" t="s">
        <v>97</v>
      </c>
      <c r="G491" t="str">
        <f>"Architectural Designer"</f>
        <v>Architectural Designer</v>
      </c>
      <c r="H491" t="s">
        <v>12237</v>
      </c>
      <c r="I491" t="s">
        <v>1346</v>
      </c>
      <c r="J491" t="s">
        <v>98</v>
      </c>
      <c r="K491" s="1">
        <v>44105</v>
      </c>
      <c r="L491" s="1">
        <v>45199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 t="s">
        <v>1347</v>
      </c>
      <c r="U491" t="str">
        <f>""</f>
        <v/>
      </c>
      <c r="V491" t="s">
        <v>1348</v>
      </c>
      <c r="W491" t="str">
        <f>"Suite 4"</f>
        <v>Suite 4</v>
      </c>
      <c r="X491" t="s">
        <v>1349</v>
      </c>
      <c r="Y491" t="s">
        <v>190</v>
      </c>
      <c r="Z491" s="3">
        <v>11932</v>
      </c>
      <c r="AA491" t="s">
        <v>101</v>
      </c>
      <c r="AC491" s="4" t="str">
        <f>"+16315377277"</f>
        <v>+16315377277</v>
      </c>
      <c r="AE491" t="str">
        <f>"541310"</f>
        <v>541310</v>
      </c>
      <c r="AF491" t="s">
        <v>337</v>
      </c>
      <c r="AG491" t="s">
        <v>1350</v>
      </c>
      <c r="AH491" t="s">
        <v>592</v>
      </c>
      <c r="AI491" t="s">
        <v>1351</v>
      </c>
      <c r="AJ491" t="s">
        <v>1348</v>
      </c>
      <c r="AK491" t="str">
        <f>"Suite 4"</f>
        <v>Suite 4</v>
      </c>
      <c r="AL491" t="s">
        <v>1349</v>
      </c>
      <c r="AM491" t="s">
        <v>190</v>
      </c>
      <c r="AN491" s="3">
        <v>11932</v>
      </c>
      <c r="AO491" t="s">
        <v>101</v>
      </c>
      <c r="AQ491" t="str">
        <f>"+16315377277"</f>
        <v>+16315377277</v>
      </c>
      <c r="AS491" t="s">
        <v>1352</v>
      </c>
      <c r="AT491" t="s">
        <v>107</v>
      </c>
      <c r="AU491" t="str">
        <f>"FANG"</f>
        <v>FANG</v>
      </c>
      <c r="AV491" t="str">
        <f>"PENG"</f>
        <v>PENG</v>
      </c>
      <c r="AW491" t="str">
        <f>""</f>
        <v/>
      </c>
      <c r="AX491" t="str">
        <f>"11 BROADWAY"</f>
        <v>11 BROADWAY</v>
      </c>
      <c r="AY491" t="str">
        <f>"SUITE 463"</f>
        <v>SUITE 463</v>
      </c>
      <c r="AZ491" t="str">
        <f>"NEW YORK"</f>
        <v>NEW YORK</v>
      </c>
      <c r="BA491" t="str">
        <f>"NY"</f>
        <v>NY</v>
      </c>
      <c r="BB491" s="3">
        <v>10004</v>
      </c>
      <c r="BC491" t="str">
        <f t="shared" si="28"/>
        <v>UNITED STATES OF AMERICA</v>
      </c>
      <c r="BD491" t="str">
        <f>""</f>
        <v/>
      </c>
      <c r="BE491" t="str">
        <f>"+12122198869"</f>
        <v>+12122198869</v>
      </c>
      <c r="BF491" t="str">
        <f>""</f>
        <v/>
      </c>
      <c r="BG491" t="str">
        <f>"ATTORNEYPENGFANG@FANGLAWOFFICES.COM"</f>
        <v>ATTORNEYPENGFANG@FANGLAWOFFICES.COM</v>
      </c>
      <c r="BH491" t="str">
        <f>"LAW OFFICES OF PENG FANG PC"</f>
        <v>LAW OFFICES OF PENG FANG PC</v>
      </c>
      <c r="BI491" t="str">
        <f>"NY"</f>
        <v>NY</v>
      </c>
      <c r="BJ491" t="str">
        <f>"NEW YORK STATE COURT OF APPEALS"</f>
        <v>NEW YORK STATE COURT OF APPEALS</v>
      </c>
      <c r="BK491">
        <v>1</v>
      </c>
      <c r="BL491" t="s">
        <v>102</v>
      </c>
      <c r="BM491" t="str">
        <f>""</f>
        <v/>
      </c>
      <c r="BN491" t="s">
        <v>1348</v>
      </c>
      <c r="BO491" t="s">
        <v>1353</v>
      </c>
      <c r="BP491" t="s">
        <v>1349</v>
      </c>
      <c r="BQ491" t="s">
        <v>1354</v>
      </c>
      <c r="BR491" t="s">
        <v>190</v>
      </c>
      <c r="BS491" s="5">
        <v>11932</v>
      </c>
      <c r="BT491" s="2">
        <v>65000</v>
      </c>
      <c r="BV491" t="s">
        <v>105</v>
      </c>
      <c r="BW491" s="2">
        <v>63960</v>
      </c>
      <c r="BX491" t="s">
        <v>105</v>
      </c>
      <c r="BZ491" t="s">
        <v>123</v>
      </c>
      <c r="CA491" t="str">
        <f t="shared" si="27"/>
        <v>7/1/2020 - 6/30/2021</v>
      </c>
      <c r="CF491">
        <v>1</v>
      </c>
      <c r="CG491" t="s">
        <v>98</v>
      </c>
      <c r="CH491" t="s">
        <v>206</v>
      </c>
      <c r="CI491" t="s">
        <v>206</v>
      </c>
      <c r="CL491" t="s">
        <v>108</v>
      </c>
      <c r="CM491" t="s">
        <v>109</v>
      </c>
      <c r="CN491" t="str">
        <f>""</f>
        <v/>
      </c>
      <c r="CO491" t="str">
        <f>""</f>
        <v/>
      </c>
      <c r="CP491" t="str">
        <f>""</f>
        <v/>
      </c>
      <c r="CQ491" t="str">
        <f>""</f>
        <v/>
      </c>
    </row>
    <row r="492" spans="1:96" x14ac:dyDescent="0.2">
      <c r="A492" t="s">
        <v>1448</v>
      </c>
      <c r="B492" t="s">
        <v>96</v>
      </c>
      <c r="C492" s="1">
        <v>44098</v>
      </c>
      <c r="D492" s="1">
        <v>44105</v>
      </c>
      <c r="F492" t="s">
        <v>97</v>
      </c>
      <c r="G492" t="str">
        <f>"Manager, Information Technology"</f>
        <v>Manager, Information Technology</v>
      </c>
      <c r="H492" t="s">
        <v>12178</v>
      </c>
      <c r="I492" t="s">
        <v>582</v>
      </c>
      <c r="J492" t="s">
        <v>98</v>
      </c>
      <c r="K492" s="1">
        <v>44255</v>
      </c>
      <c r="L492" s="1">
        <v>45349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 t="s">
        <v>1449</v>
      </c>
      <c r="U492" t="str">
        <f>""</f>
        <v/>
      </c>
      <c r="V492" t="s">
        <v>1450</v>
      </c>
      <c r="W492" t="str">
        <f>""</f>
        <v/>
      </c>
      <c r="X492" t="s">
        <v>951</v>
      </c>
      <c r="Y492" t="s">
        <v>171</v>
      </c>
      <c r="Z492" s="3">
        <v>2210</v>
      </c>
      <c r="AA492" t="s">
        <v>101</v>
      </c>
      <c r="AC492" s="4" t="str">
        <f>"+16179515000"</f>
        <v>+16179515000</v>
      </c>
      <c r="AE492" t="str">
        <f>"523920"</f>
        <v>523920</v>
      </c>
      <c r="AF492" t="s">
        <v>1451</v>
      </c>
      <c r="AG492" t="s">
        <v>1452</v>
      </c>
      <c r="AI492" t="s">
        <v>1453</v>
      </c>
      <c r="AJ492" t="s">
        <v>1450</v>
      </c>
      <c r="AK492" t="str">
        <f>""</f>
        <v/>
      </c>
      <c r="AL492" t="s">
        <v>951</v>
      </c>
      <c r="AM492" t="s">
        <v>171</v>
      </c>
      <c r="AN492" s="3">
        <v>2210</v>
      </c>
      <c r="AO492" t="s">
        <v>101</v>
      </c>
      <c r="AQ492" t="str">
        <f>"+16179515000"</f>
        <v>+16179515000</v>
      </c>
      <c r="AS492" t="s">
        <v>1454</v>
      </c>
      <c r="AT492" t="s">
        <v>107</v>
      </c>
      <c r="AU492" t="str">
        <f>"ROSKOM"</f>
        <v>ROSKOM</v>
      </c>
      <c r="AV492" t="str">
        <f>"ANNE"</f>
        <v>ANNE</v>
      </c>
      <c r="AW492" t="str">
        <f>"R"</f>
        <v>R</v>
      </c>
      <c r="AX492" t="str">
        <f>"100 HIGH STREET"</f>
        <v>100 HIGH STREET</v>
      </c>
      <c r="AY492" t="str">
        <f>"3RD FLOOR"</f>
        <v>3RD FLOOR</v>
      </c>
      <c r="AZ492" t="str">
        <f>"BOSTON"</f>
        <v>BOSTON</v>
      </c>
      <c r="BA492" t="str">
        <f>"MA"</f>
        <v>MA</v>
      </c>
      <c r="BB492" s="3">
        <v>2110</v>
      </c>
      <c r="BC492" t="str">
        <f t="shared" si="28"/>
        <v>UNITED STATES OF AMERICA</v>
      </c>
      <c r="BD492" t="str">
        <f>""</f>
        <v/>
      </c>
      <c r="BE492" t="str">
        <f>"+16175740400"</f>
        <v>+16175740400</v>
      </c>
      <c r="BF492" t="str">
        <f>""</f>
        <v/>
      </c>
      <c r="BG492" t="str">
        <f>"EMMA.HOWARD@FRAGOMEN.COM"</f>
        <v>EMMA.HOWARD@FRAGOMEN.COM</v>
      </c>
      <c r="BH492" t="str">
        <f>"FRAGOMEN, DEL REY, BERNSEN &amp; LOEWY, LLP"</f>
        <v>FRAGOMEN, DEL REY, BERNSEN &amp; LOEWY, LLP</v>
      </c>
      <c r="BI492" t="str">
        <f>"CA"</f>
        <v>CA</v>
      </c>
      <c r="BJ492" t="str">
        <f>"SUPREME COURT "</f>
        <v xml:space="preserve">SUPREME COURT </v>
      </c>
      <c r="BK492">
        <v>1</v>
      </c>
      <c r="BL492" t="s">
        <v>102</v>
      </c>
      <c r="BM492" t="str">
        <f>""</f>
        <v/>
      </c>
      <c r="BN492" t="s">
        <v>1455</v>
      </c>
      <c r="BP492" t="s">
        <v>951</v>
      </c>
      <c r="BQ492" t="s">
        <v>209</v>
      </c>
      <c r="BR492" t="s">
        <v>171</v>
      </c>
      <c r="BS492" s="5">
        <v>2210</v>
      </c>
      <c r="BT492" s="2">
        <v>153000</v>
      </c>
      <c r="BV492" t="s">
        <v>105</v>
      </c>
      <c r="BW492" s="2">
        <v>132995</v>
      </c>
      <c r="BX492" t="s">
        <v>105</v>
      </c>
      <c r="BZ492" t="s">
        <v>167</v>
      </c>
      <c r="CA492" t="str">
        <f t="shared" si="27"/>
        <v>7/1/2020 - 6/30/2021</v>
      </c>
      <c r="CF492">
        <v>3</v>
      </c>
      <c r="CG492" t="s">
        <v>98</v>
      </c>
      <c r="CH492" t="s">
        <v>206</v>
      </c>
      <c r="CI492" t="s">
        <v>206</v>
      </c>
      <c r="CL492" t="s">
        <v>108</v>
      </c>
      <c r="CM492" t="s">
        <v>109</v>
      </c>
      <c r="CN492" t="str">
        <f>"HOWARD "</f>
        <v xml:space="preserve">HOWARD </v>
      </c>
      <c r="CO492" t="str">
        <f>"EMMA"</f>
        <v>EMMA</v>
      </c>
      <c r="CP492" t="str">
        <f>"R"</f>
        <v>R</v>
      </c>
      <c r="CQ492" t="str">
        <f>"FRAGOMEN, DEL REY, BERNSEN &amp; LOEWY, LLP"</f>
        <v>FRAGOMEN, DEL REY, BERNSEN &amp; LOEWY, LLP</v>
      </c>
      <c r="CR492" t="s">
        <v>1456</v>
      </c>
    </row>
    <row r="493" spans="1:96" x14ac:dyDescent="0.2">
      <c r="A493" t="s">
        <v>1688</v>
      </c>
      <c r="B493" t="s">
        <v>96</v>
      </c>
      <c r="C493" s="1">
        <v>44098</v>
      </c>
      <c r="D493" s="1">
        <v>44105</v>
      </c>
      <c r="F493" t="s">
        <v>97</v>
      </c>
      <c r="G493" t="str">
        <f>"Interventional Cardiologist"</f>
        <v>Interventional Cardiologist</v>
      </c>
      <c r="H493" t="s">
        <v>12207</v>
      </c>
      <c r="I493" t="s">
        <v>997</v>
      </c>
      <c r="J493" t="s">
        <v>98</v>
      </c>
      <c r="K493" s="1">
        <v>44105</v>
      </c>
      <c r="L493" s="1">
        <v>45199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 t="s">
        <v>1689</v>
      </c>
      <c r="U493" t="str">
        <f>""</f>
        <v/>
      </c>
      <c r="V493" t="s">
        <v>1690</v>
      </c>
      <c r="W493" t="str">
        <f>""</f>
        <v/>
      </c>
      <c r="X493" t="s">
        <v>1636</v>
      </c>
      <c r="Y493" t="s">
        <v>345</v>
      </c>
      <c r="Z493" s="3">
        <v>61603</v>
      </c>
      <c r="AA493" t="s">
        <v>101</v>
      </c>
      <c r="AB493" t="s">
        <v>345</v>
      </c>
      <c r="AC493" s="4" t="str">
        <f>"+13093084710"</f>
        <v>+13093084710</v>
      </c>
      <c r="AE493" t="str">
        <f>"622110"</f>
        <v>622110</v>
      </c>
      <c r="AF493" t="s">
        <v>1691</v>
      </c>
      <c r="AG493" t="s">
        <v>194</v>
      </c>
      <c r="AH493" t="s">
        <v>1474</v>
      </c>
      <c r="AI493" t="s">
        <v>1692</v>
      </c>
      <c r="AJ493" t="s">
        <v>1693</v>
      </c>
      <c r="AK493" t="str">
        <f>""</f>
        <v/>
      </c>
      <c r="AL493" t="s">
        <v>1636</v>
      </c>
      <c r="AM493" t="s">
        <v>345</v>
      </c>
      <c r="AN493" s="3">
        <v>61615</v>
      </c>
      <c r="AO493" t="s">
        <v>101</v>
      </c>
      <c r="AQ493" t="str">
        <f>"+13093084710"</f>
        <v>+13093084710</v>
      </c>
      <c r="AS493" t="s">
        <v>1694</v>
      </c>
      <c r="AT493" t="s">
        <v>107</v>
      </c>
      <c r="AU493" t="str">
        <f>"Zneimer"</f>
        <v>Zneimer</v>
      </c>
      <c r="AV493" t="str">
        <f>"Sofia"</f>
        <v>Sofia</v>
      </c>
      <c r="AW493" t="str">
        <f>"M."</f>
        <v>M.</v>
      </c>
      <c r="AX493" t="str">
        <f>"4141 N. Western Avenue"</f>
        <v>4141 N. Western Avenue</v>
      </c>
      <c r="AY493" t="str">
        <f>""</f>
        <v/>
      </c>
      <c r="AZ493" t="str">
        <f>"Chicago"</f>
        <v>Chicago</v>
      </c>
      <c r="BA493" t="str">
        <f>"IL"</f>
        <v>IL</v>
      </c>
      <c r="BB493" s="3">
        <v>60618</v>
      </c>
      <c r="BC493" t="str">
        <f t="shared" si="28"/>
        <v>UNITED STATES OF AMERICA</v>
      </c>
      <c r="BD493" t="str">
        <f>""</f>
        <v/>
      </c>
      <c r="BE493" t="str">
        <f>"+17735164100"</f>
        <v>+17735164100</v>
      </c>
      <c r="BF493" t="str">
        <f>""</f>
        <v/>
      </c>
      <c r="BG493" t="str">
        <f>"sofia@zneimerlaw.com"</f>
        <v>sofia@zneimerlaw.com</v>
      </c>
      <c r="BH493" t="str">
        <f>"Zneimer &amp; Zneimer PC"</f>
        <v>Zneimer &amp; Zneimer PC</v>
      </c>
      <c r="BI493" t="str">
        <f>"IL"</f>
        <v>IL</v>
      </c>
      <c r="BJ493" t="str">
        <f>"Supreme Court "</f>
        <v xml:space="preserve">Supreme Court </v>
      </c>
      <c r="BK493">
        <v>1</v>
      </c>
      <c r="BL493" t="s">
        <v>102</v>
      </c>
      <c r="BM493" t="str">
        <f>""</f>
        <v/>
      </c>
      <c r="BN493" t="s">
        <v>1695</v>
      </c>
      <c r="BP493" t="s">
        <v>1636</v>
      </c>
      <c r="BQ493" t="s">
        <v>1637</v>
      </c>
      <c r="BR493" t="s">
        <v>345</v>
      </c>
      <c r="BS493" s="5">
        <v>61614</v>
      </c>
      <c r="BT493" s="2">
        <v>520000</v>
      </c>
      <c r="BV493" t="s">
        <v>105</v>
      </c>
      <c r="BW493" s="2">
        <v>208000</v>
      </c>
      <c r="BX493" t="s">
        <v>105</v>
      </c>
      <c r="BZ493" t="s">
        <v>108</v>
      </c>
      <c r="CA493" t="str">
        <f t="shared" si="27"/>
        <v>7/1/2020 - 6/30/2021</v>
      </c>
      <c r="CF493">
        <v>2</v>
      </c>
      <c r="CG493" t="s">
        <v>98</v>
      </c>
      <c r="CH493" t="s">
        <v>206</v>
      </c>
      <c r="CI493" t="s">
        <v>206</v>
      </c>
      <c r="CL493" t="s">
        <v>108</v>
      </c>
      <c r="CM493" t="s">
        <v>109</v>
      </c>
      <c r="CN493" t="str">
        <f>""</f>
        <v/>
      </c>
      <c r="CO493" t="str">
        <f>""</f>
        <v/>
      </c>
      <c r="CP493" t="str">
        <f>""</f>
        <v/>
      </c>
      <c r="CQ493" t="str">
        <f>""</f>
        <v/>
      </c>
    </row>
    <row r="494" spans="1:96" x14ac:dyDescent="0.2">
      <c r="A494" t="s">
        <v>1710</v>
      </c>
      <c r="B494" t="s">
        <v>96</v>
      </c>
      <c r="C494" s="1">
        <v>44098</v>
      </c>
      <c r="D494" s="1">
        <v>44105</v>
      </c>
      <c r="F494" t="s">
        <v>97</v>
      </c>
      <c r="G494" t="str">
        <f>"Software Engineer"</f>
        <v>Software Engineer</v>
      </c>
      <c r="H494" t="s">
        <v>12176</v>
      </c>
      <c r="I494" t="s">
        <v>246</v>
      </c>
      <c r="J494" t="s">
        <v>98</v>
      </c>
      <c r="K494" s="1">
        <v>44105</v>
      </c>
      <c r="L494" s="1">
        <v>45199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 t="s">
        <v>1711</v>
      </c>
      <c r="U494" t="str">
        <f>""</f>
        <v/>
      </c>
      <c r="V494" t="s">
        <v>1712</v>
      </c>
      <c r="W494" t="str">
        <f>""</f>
        <v/>
      </c>
      <c r="X494" t="s">
        <v>1428</v>
      </c>
      <c r="Y494" t="s">
        <v>577</v>
      </c>
      <c r="Z494" s="3">
        <v>33169</v>
      </c>
      <c r="AA494" t="s">
        <v>101</v>
      </c>
      <c r="AC494" s="4" t="str">
        <f>"+13056286117"</f>
        <v>+13056286117</v>
      </c>
      <c r="AE494" t="str">
        <f>"621112"</f>
        <v>621112</v>
      </c>
      <c r="AF494" t="s">
        <v>1713</v>
      </c>
      <c r="AG494" t="s">
        <v>1714</v>
      </c>
      <c r="AI494" t="s">
        <v>1715</v>
      </c>
      <c r="AJ494" t="s">
        <v>1712</v>
      </c>
      <c r="AK494" t="str">
        <f>""</f>
        <v/>
      </c>
      <c r="AL494" t="s">
        <v>1428</v>
      </c>
      <c r="AM494" t="s">
        <v>577</v>
      </c>
      <c r="AN494" s="3">
        <v>33169</v>
      </c>
      <c r="AO494" t="s">
        <v>101</v>
      </c>
      <c r="AQ494" t="str">
        <f>"+13056286117"</f>
        <v>+13056286117</v>
      </c>
      <c r="AS494" t="s">
        <v>1716</v>
      </c>
      <c r="AT494" t="s">
        <v>107</v>
      </c>
      <c r="AU494" t="str">
        <f>"Spiegel"</f>
        <v>Spiegel</v>
      </c>
      <c r="AV494" t="str">
        <f>"Lisa"</f>
        <v>Lisa</v>
      </c>
      <c r="AW494" t="str">
        <f>""</f>
        <v/>
      </c>
      <c r="AX494" t="str">
        <f>"One Market Plaza, Spear Tower"</f>
        <v>One Market Plaza, Spear Tower</v>
      </c>
      <c r="AY494" t="str">
        <f>"Suite 2200"</f>
        <v>Suite 2200</v>
      </c>
      <c r="AZ494" t="str">
        <f>"San Francisco"</f>
        <v>San Francisco</v>
      </c>
      <c r="BA494" t="str">
        <f>"CA"</f>
        <v>CA</v>
      </c>
      <c r="BB494" s="3">
        <v>94105</v>
      </c>
      <c r="BC494" t="str">
        <f t="shared" si="28"/>
        <v>UNITED STATES OF AMERICA</v>
      </c>
      <c r="BD494" t="str">
        <f>""</f>
        <v/>
      </c>
      <c r="BE494" t="str">
        <f>"+14159573069"</f>
        <v>+14159573069</v>
      </c>
      <c r="BF494" t="str">
        <f>""</f>
        <v/>
      </c>
      <c r="BG494" t="str">
        <f>"lspiegel@duanemorris.com"</f>
        <v>lspiegel@duanemorris.com</v>
      </c>
      <c r="BH494" t="str">
        <f>"Duane Morris LLP"</f>
        <v>Duane Morris LLP</v>
      </c>
      <c r="BI494" t="str">
        <f>"CA"</f>
        <v>CA</v>
      </c>
      <c r="BJ494" t="str">
        <f>"California Supreme Court"</f>
        <v>California Supreme Court</v>
      </c>
      <c r="BK494">
        <v>1</v>
      </c>
      <c r="BL494" t="s">
        <v>102</v>
      </c>
      <c r="BM494" t="str">
        <f>""</f>
        <v/>
      </c>
      <c r="BN494" t="s">
        <v>1717</v>
      </c>
      <c r="BP494" t="s">
        <v>1708</v>
      </c>
      <c r="BQ494" t="s">
        <v>257</v>
      </c>
      <c r="BR494" t="s">
        <v>258</v>
      </c>
      <c r="BS494" s="5">
        <v>85254</v>
      </c>
      <c r="BT494" s="2">
        <v>115000</v>
      </c>
      <c r="BV494" t="s">
        <v>105</v>
      </c>
      <c r="BW494" s="2">
        <v>83637</v>
      </c>
      <c r="BX494" t="s">
        <v>105</v>
      </c>
      <c r="BZ494" t="s">
        <v>167</v>
      </c>
      <c r="CA494" t="str">
        <f t="shared" si="27"/>
        <v>7/1/2020 - 6/30/2021</v>
      </c>
      <c r="CF494">
        <v>1</v>
      </c>
      <c r="CG494" t="s">
        <v>98</v>
      </c>
      <c r="CH494" t="s">
        <v>206</v>
      </c>
      <c r="CI494" t="s">
        <v>206</v>
      </c>
      <c r="CL494" t="s">
        <v>108</v>
      </c>
      <c r="CM494" t="s">
        <v>109</v>
      </c>
      <c r="CN494" t="str">
        <f>"Kondrashuk"</f>
        <v>Kondrashuk</v>
      </c>
      <c r="CO494" t="str">
        <f>"Tatyana"</f>
        <v>Tatyana</v>
      </c>
      <c r="CP494" t="str">
        <f>""</f>
        <v/>
      </c>
      <c r="CQ494" t="str">
        <f>"Duane Morris LLP"</f>
        <v>Duane Morris LLP</v>
      </c>
      <c r="CR494" t="s">
        <v>1718</v>
      </c>
    </row>
    <row r="495" spans="1:96" x14ac:dyDescent="0.2">
      <c r="A495" t="s">
        <v>2131</v>
      </c>
      <c r="B495" t="s">
        <v>96</v>
      </c>
      <c r="C495" s="1">
        <v>44098</v>
      </c>
      <c r="D495" s="1">
        <v>44105</v>
      </c>
      <c r="F495" t="s">
        <v>97</v>
      </c>
      <c r="G495" t="str">
        <f>"Software Applications Developer (Software Engineer II)"</f>
        <v>Software Applications Developer (Software Engineer II)</v>
      </c>
      <c r="H495" t="s">
        <v>12169</v>
      </c>
      <c r="I495" t="s">
        <v>124</v>
      </c>
      <c r="J495" t="s">
        <v>98</v>
      </c>
      <c r="K495" s="1">
        <v>44197</v>
      </c>
      <c r="L495" s="1">
        <v>45292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 t="s">
        <v>2132</v>
      </c>
      <c r="U495" t="str">
        <f>""</f>
        <v/>
      </c>
      <c r="V495" t="s">
        <v>2133</v>
      </c>
      <c r="W495" t="str">
        <f>"3rd Floor"</f>
        <v>3rd Floor</v>
      </c>
      <c r="X495" t="s">
        <v>207</v>
      </c>
      <c r="Y495" t="s">
        <v>171</v>
      </c>
      <c r="Z495" s="3">
        <v>2114</v>
      </c>
      <c r="AA495" t="s">
        <v>101</v>
      </c>
      <c r="AC495" s="4" t="str">
        <f>"+18577568110"</f>
        <v>+18577568110</v>
      </c>
      <c r="AE495" t="str">
        <f>"5419"</f>
        <v>5419</v>
      </c>
      <c r="AF495" t="s">
        <v>1868</v>
      </c>
      <c r="AG495" t="s">
        <v>2134</v>
      </c>
      <c r="AI495" t="s">
        <v>2135</v>
      </c>
      <c r="AJ495" t="s">
        <v>2133</v>
      </c>
      <c r="AK495" t="str">
        <f>"3rd Floor"</f>
        <v>3rd Floor</v>
      </c>
      <c r="AL495" t="s">
        <v>207</v>
      </c>
      <c r="AM495" t="s">
        <v>171</v>
      </c>
      <c r="AN495" s="3">
        <v>2114</v>
      </c>
      <c r="AO495" t="s">
        <v>101</v>
      </c>
      <c r="AQ495" t="str">
        <f>"+18577568110"</f>
        <v>+18577568110</v>
      </c>
      <c r="AS495" t="s">
        <v>2136</v>
      </c>
      <c r="AT495" t="s">
        <v>107</v>
      </c>
      <c r="AU495" t="str">
        <f>"O'NEILL JR "</f>
        <v xml:space="preserve">O'NEILL JR </v>
      </c>
      <c r="AV495" t="str">
        <f>"BRIAN"</f>
        <v>BRIAN</v>
      </c>
      <c r="AW495" t="str">
        <f>"THOMAS"</f>
        <v>THOMAS</v>
      </c>
      <c r="AX495" t="str">
        <f>"201 Main Street"</f>
        <v>201 Main Street</v>
      </c>
      <c r="AY495" t="str">
        <f>"2nd Floor"</f>
        <v>2nd Floor</v>
      </c>
      <c r="AZ495" t="str">
        <f>"North Easton"</f>
        <v>North Easton</v>
      </c>
      <c r="BA495" t="str">
        <f>"MA"</f>
        <v>MA</v>
      </c>
      <c r="BB495" s="3">
        <v>2356</v>
      </c>
      <c r="BC495" t="str">
        <f t="shared" si="28"/>
        <v>UNITED STATES OF AMERICA</v>
      </c>
      <c r="BD495" t="str">
        <f>""</f>
        <v/>
      </c>
      <c r="BE495" t="str">
        <f>"+15082970876"</f>
        <v>+15082970876</v>
      </c>
      <c r="BF495" t="str">
        <f>""</f>
        <v/>
      </c>
      <c r="BG495" t="str">
        <f>"BONEILL@BTOLAWPC.COM"</f>
        <v>BONEILL@BTOLAWPC.COM</v>
      </c>
      <c r="BH495" t="str">
        <f>"Law Office of Brian T. O'Neill, P.C."</f>
        <v>Law Office of Brian T. O'Neill, P.C.</v>
      </c>
      <c r="BI495" t="str">
        <f>"MA"</f>
        <v>MA</v>
      </c>
      <c r="BJ495" t="str">
        <f>"Massachusetts"</f>
        <v>Massachusetts</v>
      </c>
      <c r="BK495">
        <v>1</v>
      </c>
      <c r="BL495" t="s">
        <v>102</v>
      </c>
      <c r="BM495" t="str">
        <f>""</f>
        <v/>
      </c>
      <c r="BN495" t="s">
        <v>2133</v>
      </c>
      <c r="BO495" t="s">
        <v>2137</v>
      </c>
      <c r="BP495" t="s">
        <v>207</v>
      </c>
      <c r="BQ495" t="s">
        <v>209</v>
      </c>
      <c r="BR495" t="s">
        <v>171</v>
      </c>
      <c r="BS495" s="5">
        <v>2114</v>
      </c>
      <c r="BT495" s="2">
        <v>100000</v>
      </c>
      <c r="BV495" t="s">
        <v>105</v>
      </c>
      <c r="BW495" s="2">
        <v>96242</v>
      </c>
      <c r="BX495" t="s">
        <v>105</v>
      </c>
      <c r="BZ495" t="s">
        <v>167</v>
      </c>
      <c r="CA495" t="str">
        <f t="shared" si="27"/>
        <v>7/1/2020 - 6/30/2021</v>
      </c>
      <c r="CF495">
        <v>1</v>
      </c>
      <c r="CG495" t="s">
        <v>98</v>
      </c>
      <c r="CH495" t="s">
        <v>206</v>
      </c>
      <c r="CI495" t="s">
        <v>206</v>
      </c>
      <c r="CL495" t="s">
        <v>108</v>
      </c>
      <c r="CM495" t="s">
        <v>718</v>
      </c>
      <c r="CN495" t="str">
        <f>""</f>
        <v/>
      </c>
      <c r="CO495" t="str">
        <f>""</f>
        <v/>
      </c>
      <c r="CP495" t="str">
        <f>""</f>
        <v/>
      </c>
      <c r="CQ495" t="str">
        <f>""</f>
        <v/>
      </c>
    </row>
    <row r="496" spans="1:96" x14ac:dyDescent="0.2">
      <c r="A496" t="s">
        <v>2154</v>
      </c>
      <c r="B496" t="s">
        <v>96</v>
      </c>
      <c r="C496" s="1">
        <v>44098</v>
      </c>
      <c r="D496" s="1">
        <v>44105</v>
      </c>
      <c r="F496" t="s">
        <v>97</v>
      </c>
      <c r="G496" t="str">
        <f>"ASSISTANT PROFESSOR"</f>
        <v>ASSISTANT PROFESSOR</v>
      </c>
      <c r="H496" t="s">
        <v>12207</v>
      </c>
      <c r="I496" t="s">
        <v>997</v>
      </c>
      <c r="J496" t="s">
        <v>98</v>
      </c>
      <c r="K496" s="1">
        <v>44105</v>
      </c>
      <c r="L496" s="1">
        <v>45199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2155</v>
      </c>
      <c r="U496" t="str">
        <f>""</f>
        <v/>
      </c>
      <c r="V496" t="s">
        <v>2156</v>
      </c>
      <c r="W496" t="str">
        <f>"GA72"</f>
        <v>GA72</v>
      </c>
      <c r="X496" t="s">
        <v>308</v>
      </c>
      <c r="Y496" t="s">
        <v>100</v>
      </c>
      <c r="Z496" s="3">
        <v>7103</v>
      </c>
      <c r="AA496" t="s">
        <v>101</v>
      </c>
      <c r="AC496" s="4" t="str">
        <f>"+19739726138"</f>
        <v>+19739726138</v>
      </c>
      <c r="AE496" t="str">
        <f>"611310"</f>
        <v>611310</v>
      </c>
      <c r="AF496" t="s">
        <v>2157</v>
      </c>
      <c r="AG496" t="s">
        <v>1865</v>
      </c>
      <c r="AI496" t="s">
        <v>2158</v>
      </c>
      <c r="AJ496" t="s">
        <v>2159</v>
      </c>
      <c r="AK496" t="str">
        <f>""</f>
        <v/>
      </c>
      <c r="AL496" t="s">
        <v>308</v>
      </c>
      <c r="AM496" t="s">
        <v>100</v>
      </c>
      <c r="AN496" s="3">
        <v>7103</v>
      </c>
      <c r="AO496" t="s">
        <v>101</v>
      </c>
      <c r="AQ496" t="str">
        <f>"+19739726138"</f>
        <v>+19739726138</v>
      </c>
      <c r="AS496" t="s">
        <v>2160</v>
      </c>
      <c r="AT496" t="s">
        <v>102</v>
      </c>
      <c r="AU496" t="str">
        <f>""</f>
        <v/>
      </c>
      <c r="AV496" t="str">
        <f>""</f>
        <v/>
      </c>
      <c r="AW496" t="str">
        <f>""</f>
        <v/>
      </c>
      <c r="AX496" t="str">
        <f>""</f>
        <v/>
      </c>
      <c r="AY496" t="str">
        <f>""</f>
        <v/>
      </c>
      <c r="AZ496" t="str">
        <f>""</f>
        <v/>
      </c>
      <c r="BA496" t="str">
        <f>""</f>
        <v/>
      </c>
      <c r="BC496" t="str">
        <f>""</f>
        <v/>
      </c>
      <c r="BD496" t="str">
        <f>""</f>
        <v/>
      </c>
      <c r="BE496" t="str">
        <f>""</f>
        <v/>
      </c>
      <c r="BF496" t="str">
        <f>""</f>
        <v/>
      </c>
      <c r="BG496" t="str">
        <f>""</f>
        <v/>
      </c>
      <c r="BH496" t="str">
        <f>""</f>
        <v/>
      </c>
      <c r="BI496" t="str">
        <f>""</f>
        <v/>
      </c>
      <c r="BJ496" t="str">
        <f>""</f>
        <v/>
      </c>
      <c r="BK496">
        <v>1</v>
      </c>
      <c r="BL496" t="s">
        <v>102</v>
      </c>
      <c r="BM496" t="str">
        <f>""</f>
        <v/>
      </c>
      <c r="BN496" t="s">
        <v>2161</v>
      </c>
      <c r="BP496" t="s">
        <v>99</v>
      </c>
      <c r="BQ496" t="s">
        <v>104</v>
      </c>
      <c r="BR496" t="s">
        <v>100</v>
      </c>
      <c r="BS496" s="5">
        <v>8901</v>
      </c>
      <c r="BT496" s="2">
        <v>156000</v>
      </c>
      <c r="BV496" t="s">
        <v>105</v>
      </c>
      <c r="BW496" s="2">
        <v>112079</v>
      </c>
      <c r="BX496" t="s">
        <v>105</v>
      </c>
      <c r="CA496" t="str">
        <f>""</f>
        <v/>
      </c>
      <c r="CB496" t="s">
        <v>106</v>
      </c>
      <c r="CC496">
        <v>2015</v>
      </c>
      <c r="CF496">
        <v>2</v>
      </c>
      <c r="CG496" t="s">
        <v>98</v>
      </c>
      <c r="CH496" t="s">
        <v>206</v>
      </c>
      <c r="CI496" t="s">
        <v>206</v>
      </c>
      <c r="CL496" t="s">
        <v>108</v>
      </c>
      <c r="CM496" t="s">
        <v>109</v>
      </c>
      <c r="CN496" t="str">
        <f>""</f>
        <v/>
      </c>
      <c r="CO496" t="str">
        <f>""</f>
        <v/>
      </c>
      <c r="CP496" t="str">
        <f>""</f>
        <v/>
      </c>
      <c r="CQ496" t="str">
        <f>""</f>
        <v/>
      </c>
    </row>
    <row r="497" spans="1:96" x14ac:dyDescent="0.2">
      <c r="A497" t="s">
        <v>2391</v>
      </c>
      <c r="B497" t="s">
        <v>96</v>
      </c>
      <c r="C497" s="1">
        <v>44098</v>
      </c>
      <c r="D497" s="1">
        <v>44105</v>
      </c>
      <c r="F497" t="s">
        <v>97</v>
      </c>
      <c r="G497" t="str">
        <f>"SOFTWARE ENGINEER"</f>
        <v>SOFTWARE ENGINEER</v>
      </c>
      <c r="H497" t="s">
        <v>12169</v>
      </c>
      <c r="I497" t="s">
        <v>124</v>
      </c>
      <c r="J497" t="s">
        <v>98</v>
      </c>
      <c r="K497" s="1">
        <v>44105</v>
      </c>
      <c r="L497" s="1">
        <v>45040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2392</v>
      </c>
      <c r="U497" t="str">
        <f>""</f>
        <v/>
      </c>
      <c r="V497" t="s">
        <v>2393</v>
      </c>
      <c r="W497" t="str">
        <f>"SUITE 600"</f>
        <v>SUITE 600</v>
      </c>
      <c r="X497" t="s">
        <v>147</v>
      </c>
      <c r="Y497" t="s">
        <v>141</v>
      </c>
      <c r="Z497" s="3">
        <v>94104</v>
      </c>
      <c r="AA497" t="s">
        <v>101</v>
      </c>
      <c r="AC497" s="4" t="str">
        <f>"+14086663476"</f>
        <v>+14086663476</v>
      </c>
      <c r="AE497" t="str">
        <f>"511210"</f>
        <v>511210</v>
      </c>
      <c r="AF497" t="s">
        <v>2394</v>
      </c>
      <c r="AG497" t="s">
        <v>2395</v>
      </c>
      <c r="AI497" t="s">
        <v>2396</v>
      </c>
      <c r="AJ497" t="s">
        <v>2393</v>
      </c>
      <c r="AK497" t="str">
        <f>"SUITE 600"</f>
        <v>SUITE 600</v>
      </c>
      <c r="AL497" t="s">
        <v>147</v>
      </c>
      <c r="AM497" t="s">
        <v>141</v>
      </c>
      <c r="AN497" s="3">
        <v>94104</v>
      </c>
      <c r="AO497" t="s">
        <v>101</v>
      </c>
      <c r="AQ497" t="str">
        <f>"+14086663476"</f>
        <v>+14086663476</v>
      </c>
      <c r="AS497" t="s">
        <v>2397</v>
      </c>
      <c r="AT497" t="s">
        <v>107</v>
      </c>
      <c r="AU497" t="str">
        <f>"Koizumi"</f>
        <v>Koizumi</v>
      </c>
      <c r="AV497" t="str">
        <f>"Suhi"</f>
        <v>Suhi</v>
      </c>
      <c r="AW497" t="str">
        <f>""</f>
        <v/>
      </c>
      <c r="AX497" t="str">
        <f>"360 Post Street"</f>
        <v>360 Post Street</v>
      </c>
      <c r="AY497" t="str">
        <f>"8th Floor"</f>
        <v>8th Floor</v>
      </c>
      <c r="AZ497" t="str">
        <f>"San Francisco"</f>
        <v>San Francisco</v>
      </c>
      <c r="BA497" t="str">
        <f>"CA"</f>
        <v>CA</v>
      </c>
      <c r="BB497" s="3">
        <v>94108</v>
      </c>
      <c r="BC497" t="str">
        <f>"UNITED STATES OF AMERICA"</f>
        <v>UNITED STATES OF AMERICA</v>
      </c>
      <c r="BD497" t="str">
        <f>""</f>
        <v/>
      </c>
      <c r="BE497" t="str">
        <f>"+14157889000"</f>
        <v>+14157889000</v>
      </c>
      <c r="BF497" t="str">
        <f>"125"</f>
        <v>125</v>
      </c>
      <c r="BG497" t="str">
        <f>"lteofilo@minamitamaki.com"</f>
        <v>lteofilo@minamitamaki.com</v>
      </c>
      <c r="BH497" t="str">
        <f>"Minami Tamaki LLP"</f>
        <v>Minami Tamaki LLP</v>
      </c>
      <c r="BI497" t="str">
        <f>"CA"</f>
        <v>CA</v>
      </c>
      <c r="BJ497" t="str">
        <f>"Supreme"</f>
        <v>Supreme</v>
      </c>
      <c r="BK497">
        <v>1</v>
      </c>
      <c r="BL497" t="s">
        <v>102</v>
      </c>
      <c r="BM497" t="str">
        <f>""</f>
        <v/>
      </c>
      <c r="BN497" t="s">
        <v>2398</v>
      </c>
      <c r="BP497" t="s">
        <v>140</v>
      </c>
      <c r="BQ497" t="s">
        <v>147</v>
      </c>
      <c r="BR497" t="s">
        <v>141</v>
      </c>
      <c r="BS497" s="5">
        <v>94110</v>
      </c>
      <c r="BT497" s="2">
        <v>113400</v>
      </c>
      <c r="BU497" s="2">
        <v>120000</v>
      </c>
      <c r="BV497" t="s">
        <v>105</v>
      </c>
      <c r="BW497" s="2">
        <v>96616</v>
      </c>
      <c r="BX497" t="s">
        <v>105</v>
      </c>
      <c r="BZ497" t="s">
        <v>191</v>
      </c>
      <c r="CA497" t="str">
        <f t="shared" ref="CA497:CA502" si="29">"7/1/2020 - 6/30/2021"</f>
        <v>7/1/2020 - 6/30/2021</v>
      </c>
      <c r="CF497">
        <v>1</v>
      </c>
      <c r="CG497" t="s">
        <v>98</v>
      </c>
      <c r="CH497" t="s">
        <v>206</v>
      </c>
      <c r="CI497" t="s">
        <v>206</v>
      </c>
      <c r="CL497" t="s">
        <v>108</v>
      </c>
      <c r="CM497" t="s">
        <v>109</v>
      </c>
      <c r="CN497" t="str">
        <f>""</f>
        <v/>
      </c>
      <c r="CO497" t="str">
        <f>""</f>
        <v/>
      </c>
      <c r="CP497" t="str">
        <f>""</f>
        <v/>
      </c>
      <c r="CQ497" t="str">
        <f>""</f>
        <v/>
      </c>
    </row>
    <row r="498" spans="1:96" x14ac:dyDescent="0.2">
      <c r="A498" t="s">
        <v>2497</v>
      </c>
      <c r="B498" t="s">
        <v>96</v>
      </c>
      <c r="C498" s="1">
        <v>44098</v>
      </c>
      <c r="D498" s="1">
        <v>44105</v>
      </c>
      <c r="F498" t="s">
        <v>97</v>
      </c>
      <c r="G498" t="str">
        <f>"Database Administration Sr. Specialist"</f>
        <v>Database Administration Sr. Specialist</v>
      </c>
      <c r="H498" t="s">
        <v>12225</v>
      </c>
      <c r="I498" t="s">
        <v>628</v>
      </c>
      <c r="J498" t="s">
        <v>98</v>
      </c>
      <c r="K498" s="1">
        <v>44197</v>
      </c>
      <c r="L498" s="1">
        <v>45291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 t="s">
        <v>1360</v>
      </c>
      <c r="U498" t="str">
        <f>""</f>
        <v/>
      </c>
      <c r="V498" t="s">
        <v>1361</v>
      </c>
      <c r="W498" t="str">
        <f>""</f>
        <v/>
      </c>
      <c r="X498" t="s">
        <v>207</v>
      </c>
      <c r="Y498" t="s">
        <v>171</v>
      </c>
      <c r="Z498" s="3">
        <v>2129</v>
      </c>
      <c r="AA498" t="s">
        <v>101</v>
      </c>
      <c r="AC498" s="4" t="str">
        <f>"+16175171483"</f>
        <v>+16175171483</v>
      </c>
      <c r="AE498" t="str">
        <f>"541511"</f>
        <v>541511</v>
      </c>
      <c r="AF498" t="s">
        <v>1362</v>
      </c>
      <c r="AG498" t="s">
        <v>1363</v>
      </c>
      <c r="AI498" t="s">
        <v>1364</v>
      </c>
      <c r="AJ498" t="s">
        <v>1361</v>
      </c>
      <c r="AK498" t="str">
        <f>""</f>
        <v/>
      </c>
      <c r="AL498" t="s">
        <v>207</v>
      </c>
      <c r="AM498" t="s">
        <v>171</v>
      </c>
      <c r="AN498" s="3">
        <v>2129</v>
      </c>
      <c r="AO498" t="s">
        <v>101</v>
      </c>
      <c r="AQ498" t="str">
        <f>"+16175171483"</f>
        <v>+16175171483</v>
      </c>
      <c r="AS498" t="s">
        <v>1365</v>
      </c>
      <c r="AT498" t="s">
        <v>107</v>
      </c>
      <c r="AU498" t="str">
        <f>"Drozdowski"</f>
        <v>Drozdowski</v>
      </c>
      <c r="AV498" t="str">
        <f>"Andrew"</f>
        <v>Andrew</v>
      </c>
      <c r="AW498" t="str">
        <f>"G."</f>
        <v>G.</v>
      </c>
      <c r="AX498" t="str">
        <f>"P.O. Box 31608"</f>
        <v>P.O. Box 31608</v>
      </c>
      <c r="AY498" t="str">
        <f>""</f>
        <v/>
      </c>
      <c r="AZ498" t="str">
        <f>"Raleigh"</f>
        <v>Raleigh</v>
      </c>
      <c r="BA498" t="str">
        <f>"NC"</f>
        <v>NC</v>
      </c>
      <c r="BB498" s="3">
        <v>27622</v>
      </c>
      <c r="BC498" t="str">
        <f>"UNITED STATES OF AMERICA"</f>
        <v>UNITED STATES OF AMERICA</v>
      </c>
      <c r="BD498" t="str">
        <f>""</f>
        <v/>
      </c>
      <c r="BE498" t="str">
        <f>"+19197879700"</f>
        <v>+19197879700</v>
      </c>
      <c r="BF498" t="str">
        <f>""</f>
        <v/>
      </c>
      <c r="BG498" t="str">
        <f>"torrance.smith@odnss.com"</f>
        <v>torrance.smith@odnss.com</v>
      </c>
      <c r="BH498" t="str">
        <f>"Ogletree, Deakins, Nash, Smoak &amp; Stewart, P.C."</f>
        <v>Ogletree, Deakins, Nash, Smoak &amp; Stewart, P.C.</v>
      </c>
      <c r="BI498" t="str">
        <f>"NY"</f>
        <v>NY</v>
      </c>
      <c r="BJ498" t="str">
        <f>"NY Supreme Court"</f>
        <v>NY Supreme Court</v>
      </c>
      <c r="BK498">
        <v>1</v>
      </c>
      <c r="BL498" t="s">
        <v>107</v>
      </c>
      <c r="BM498" t="str">
        <f>"SE2, LLC"</f>
        <v>SE2, LLC</v>
      </c>
      <c r="BN498" t="s">
        <v>2498</v>
      </c>
      <c r="BP498" t="s">
        <v>1768</v>
      </c>
      <c r="BQ498" t="s">
        <v>1769</v>
      </c>
      <c r="BR498" t="s">
        <v>193</v>
      </c>
      <c r="BS498" s="5">
        <v>66636</v>
      </c>
      <c r="BT498" s="2">
        <v>77064</v>
      </c>
      <c r="BU498" s="2">
        <v>107064</v>
      </c>
      <c r="BV498" t="s">
        <v>105</v>
      </c>
      <c r="BW498" s="2">
        <v>77064</v>
      </c>
      <c r="BX498" t="s">
        <v>105</v>
      </c>
      <c r="BZ498" t="s">
        <v>159</v>
      </c>
      <c r="CA498" t="str">
        <f t="shared" si="29"/>
        <v>7/1/2020 - 6/30/2021</v>
      </c>
      <c r="CF498">
        <v>2</v>
      </c>
      <c r="CG498" t="s">
        <v>98</v>
      </c>
      <c r="CH498" t="s">
        <v>206</v>
      </c>
      <c r="CI498" t="s">
        <v>206</v>
      </c>
      <c r="CL498" t="s">
        <v>108</v>
      </c>
      <c r="CM498" t="s">
        <v>109</v>
      </c>
      <c r="CN498" t="str">
        <f>"Drozdowski"</f>
        <v>Drozdowski</v>
      </c>
      <c r="CO498" t="str">
        <f>"Andrew"</f>
        <v>Andrew</v>
      </c>
      <c r="CP498" t="str">
        <f>"G."</f>
        <v>G.</v>
      </c>
      <c r="CQ498" t="str">
        <f>"Ogletree, Deakins, Nash, Smoak &amp; Stewart, P.C."</f>
        <v>Ogletree, Deakins, Nash, Smoak &amp; Stewart, P.C.</v>
      </c>
      <c r="CR498" t="s">
        <v>1367</v>
      </c>
    </row>
    <row r="499" spans="1:96" x14ac:dyDescent="0.2">
      <c r="A499" t="s">
        <v>2708</v>
      </c>
      <c r="B499" t="s">
        <v>96</v>
      </c>
      <c r="C499" s="1">
        <v>44098</v>
      </c>
      <c r="D499" s="1">
        <v>44105</v>
      </c>
      <c r="F499" t="s">
        <v>97</v>
      </c>
      <c r="G499" t="str">
        <f>"IFS Director"</f>
        <v>IFS Director</v>
      </c>
      <c r="H499" t="s">
        <v>12178</v>
      </c>
      <c r="I499" t="s">
        <v>582</v>
      </c>
      <c r="J499" t="s">
        <v>98</v>
      </c>
      <c r="K499" s="1">
        <v>44109</v>
      </c>
      <c r="L499" s="1">
        <v>45203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 t="s">
        <v>1157</v>
      </c>
      <c r="U499" t="str">
        <f>""</f>
        <v/>
      </c>
      <c r="V499" t="s">
        <v>1024</v>
      </c>
      <c r="W499" t="str">
        <f>""</f>
        <v/>
      </c>
      <c r="X499" t="s">
        <v>1025</v>
      </c>
      <c r="Y499" t="s">
        <v>577</v>
      </c>
      <c r="Z499" s="3">
        <v>33607</v>
      </c>
      <c r="AA499" t="s">
        <v>101</v>
      </c>
      <c r="AC499" s="4" t="str">
        <f>"+18133487000"</f>
        <v>+18133487000</v>
      </c>
      <c r="AE499" t="str">
        <f>"541611"</f>
        <v>541611</v>
      </c>
      <c r="AF499" t="s">
        <v>2709</v>
      </c>
      <c r="AG499" t="s">
        <v>1159</v>
      </c>
      <c r="AI499" t="s">
        <v>910</v>
      </c>
      <c r="AJ499" t="s">
        <v>1160</v>
      </c>
      <c r="AK499" t="str">
        <f>""</f>
        <v/>
      </c>
      <c r="AL499" t="s">
        <v>1107</v>
      </c>
      <c r="AM499" t="s">
        <v>577</v>
      </c>
      <c r="AN499" s="3">
        <v>33607</v>
      </c>
      <c r="AO499" t="s">
        <v>101</v>
      </c>
      <c r="AQ499" t="str">
        <f>"+19084512046"</f>
        <v>+19084512046</v>
      </c>
      <c r="AS499" t="s">
        <v>1161</v>
      </c>
      <c r="AT499" t="s">
        <v>102</v>
      </c>
      <c r="AU499" t="str">
        <f>""</f>
        <v/>
      </c>
      <c r="AV499" t="str">
        <f>""</f>
        <v/>
      </c>
      <c r="AW499" t="str">
        <f>""</f>
        <v/>
      </c>
      <c r="AX499" t="str">
        <f>""</f>
        <v/>
      </c>
      <c r="AY499" t="str">
        <f>""</f>
        <v/>
      </c>
      <c r="AZ499" t="str">
        <f>""</f>
        <v/>
      </c>
      <c r="BA499" t="str">
        <f>""</f>
        <v/>
      </c>
      <c r="BC499" t="str">
        <f>""</f>
        <v/>
      </c>
      <c r="BD499" t="str">
        <f>""</f>
        <v/>
      </c>
      <c r="BE499" t="str">
        <f>""</f>
        <v/>
      </c>
      <c r="BF499" t="str">
        <f>""</f>
        <v/>
      </c>
      <c r="BG499" t="str">
        <f>""</f>
        <v/>
      </c>
      <c r="BH499" t="str">
        <f>""</f>
        <v/>
      </c>
      <c r="BI499" t="str">
        <f>""</f>
        <v/>
      </c>
      <c r="BJ499" t="str">
        <f>""</f>
        <v/>
      </c>
      <c r="BK499">
        <v>1</v>
      </c>
      <c r="BL499" t="s">
        <v>102</v>
      </c>
      <c r="BM499" t="str">
        <f>""</f>
        <v/>
      </c>
      <c r="BN499" t="s">
        <v>2710</v>
      </c>
      <c r="BP499" t="s">
        <v>1107</v>
      </c>
      <c r="BQ499" t="s">
        <v>1034</v>
      </c>
      <c r="BR499" t="s">
        <v>577</v>
      </c>
      <c r="BS499" s="5">
        <v>33607</v>
      </c>
      <c r="BT499" s="2">
        <v>150000</v>
      </c>
      <c r="BU499" s="2">
        <v>349999</v>
      </c>
      <c r="BV499" t="s">
        <v>105</v>
      </c>
      <c r="BW499" s="2">
        <v>143770</v>
      </c>
      <c r="BX499" t="s">
        <v>105</v>
      </c>
      <c r="BZ499" t="s">
        <v>123</v>
      </c>
      <c r="CA499" t="str">
        <f t="shared" si="29"/>
        <v>7/1/2020 - 6/30/2021</v>
      </c>
      <c r="CF499">
        <v>2</v>
      </c>
      <c r="CG499" t="s">
        <v>98</v>
      </c>
      <c r="CH499" t="s">
        <v>206</v>
      </c>
      <c r="CI499" t="s">
        <v>206</v>
      </c>
      <c r="CL499" t="s">
        <v>108</v>
      </c>
      <c r="CM499" t="s">
        <v>109</v>
      </c>
      <c r="CN499" t="str">
        <f>"Ozmen"</f>
        <v>Ozmen</v>
      </c>
      <c r="CO499" t="str">
        <f>"Ertugrul"</f>
        <v>Ertugrul</v>
      </c>
      <c r="CP499" t="str">
        <f>""</f>
        <v/>
      </c>
      <c r="CQ499" t="str">
        <f>"PwC Law LLP"</f>
        <v>PwC Law LLP</v>
      </c>
      <c r="CR499" t="s">
        <v>2711</v>
      </c>
    </row>
    <row r="500" spans="1:96" x14ac:dyDescent="0.2">
      <c r="A500" t="s">
        <v>2772</v>
      </c>
      <c r="B500" t="s">
        <v>96</v>
      </c>
      <c r="C500" s="1">
        <v>44098</v>
      </c>
      <c r="D500" s="1">
        <v>44105</v>
      </c>
      <c r="F500" t="s">
        <v>97</v>
      </c>
      <c r="G500" t="str">
        <f>"SR. ENGINEER, IT NETWORK SECURITY"</f>
        <v>SR. ENGINEER, IT NETWORK SECURITY</v>
      </c>
      <c r="H500" t="s">
        <v>12183</v>
      </c>
      <c r="I500" t="s">
        <v>2335</v>
      </c>
      <c r="J500" t="s">
        <v>98</v>
      </c>
      <c r="K500" s="1">
        <v>44105</v>
      </c>
      <c r="L500" s="1">
        <v>45199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2773</v>
      </c>
      <c r="U500" t="str">
        <f>"AMERICAN AIRLINES, INC."</f>
        <v>AMERICAN AIRLINES, INC.</v>
      </c>
      <c r="V500" t="s">
        <v>2774</v>
      </c>
      <c r="W500" t="str">
        <f>"MD 8B503"</f>
        <v>MD 8B503</v>
      </c>
      <c r="X500" t="s">
        <v>2775</v>
      </c>
      <c r="Y500" t="s">
        <v>114</v>
      </c>
      <c r="Z500" s="3">
        <v>76155</v>
      </c>
      <c r="AA500" t="s">
        <v>101</v>
      </c>
      <c r="AB500" t="s">
        <v>2776</v>
      </c>
      <c r="AC500" s="4" t="str">
        <f>"+16822780639"</f>
        <v>+16822780639</v>
      </c>
      <c r="AE500" t="str">
        <f>"481111"</f>
        <v>481111</v>
      </c>
      <c r="AF500" t="s">
        <v>2777</v>
      </c>
      <c r="AG500" t="s">
        <v>2778</v>
      </c>
      <c r="AH500" t="s">
        <v>269</v>
      </c>
      <c r="AI500" t="s">
        <v>2779</v>
      </c>
      <c r="AJ500" t="s">
        <v>2774</v>
      </c>
      <c r="AK500" t="str">
        <f>"MD 8B503"</f>
        <v>MD 8B503</v>
      </c>
      <c r="AL500" t="s">
        <v>1001</v>
      </c>
      <c r="AM500" t="s">
        <v>114</v>
      </c>
      <c r="AN500" s="3">
        <v>76155</v>
      </c>
      <c r="AO500" t="s">
        <v>101</v>
      </c>
      <c r="AQ500" t="str">
        <f>"+16822780639"</f>
        <v>+16822780639</v>
      </c>
      <c r="AS500" t="s">
        <v>2780</v>
      </c>
      <c r="AT500" t="s">
        <v>107</v>
      </c>
      <c r="AU500" t="str">
        <f>"Mueller"</f>
        <v>Mueller</v>
      </c>
      <c r="AV500" t="str">
        <f>"Bernhard"</f>
        <v>Bernhard</v>
      </c>
      <c r="AW500" t="str">
        <f>"Walter"</f>
        <v>Walter</v>
      </c>
      <c r="AX500" t="str">
        <f>"2142 Boyce Street"</f>
        <v>2142 Boyce Street</v>
      </c>
      <c r="AY500" t="str">
        <f>"Ste. 401"</f>
        <v>Ste. 401</v>
      </c>
      <c r="AZ500" t="str">
        <f>"Columbia"</f>
        <v>Columbia</v>
      </c>
      <c r="BA500" t="str">
        <f>"SC"</f>
        <v>SC</v>
      </c>
      <c r="BB500" s="3">
        <v>29201</v>
      </c>
      <c r="BC500" t="str">
        <f>"UNITED STATES OF AMERICA"</f>
        <v>UNITED STATES OF AMERICA</v>
      </c>
      <c r="BD500" t="str">
        <f>"SOUTH CAROLINA"</f>
        <v>SOUTH CAROLINA</v>
      </c>
      <c r="BE500" t="str">
        <f>"+18032521300"</f>
        <v>+18032521300</v>
      </c>
      <c r="BF500" t="str">
        <f>""</f>
        <v/>
      </c>
      <c r="BG500" t="str">
        <f>"bernhard.mueller@ogletree.com"</f>
        <v>bernhard.mueller@ogletree.com</v>
      </c>
      <c r="BH500" t="str">
        <f>"Ogletree, Deakins, Nash, Smoak &amp; Stewart, P.C."</f>
        <v>Ogletree, Deakins, Nash, Smoak &amp; Stewart, P.C.</v>
      </c>
      <c r="BI500" t="str">
        <f>"SC"</f>
        <v>SC</v>
      </c>
      <c r="BJ500" t="str">
        <f>"SC"</f>
        <v>SC</v>
      </c>
      <c r="BK500">
        <v>1</v>
      </c>
      <c r="BL500" t="s">
        <v>102</v>
      </c>
      <c r="BM500" t="str">
        <f>""</f>
        <v/>
      </c>
      <c r="BN500" t="s">
        <v>2781</v>
      </c>
      <c r="BP500" t="s">
        <v>2687</v>
      </c>
      <c r="BQ500" t="s">
        <v>257</v>
      </c>
      <c r="BR500" t="s">
        <v>258</v>
      </c>
      <c r="BS500" s="5">
        <v>85281</v>
      </c>
      <c r="BT500" s="2">
        <v>89710</v>
      </c>
      <c r="BU500" s="2">
        <v>154706</v>
      </c>
      <c r="BV500" t="s">
        <v>105</v>
      </c>
      <c r="BW500" s="2">
        <v>89710</v>
      </c>
      <c r="BX500" t="s">
        <v>105</v>
      </c>
      <c r="BZ500" t="s">
        <v>167</v>
      </c>
      <c r="CA500" t="str">
        <f t="shared" si="29"/>
        <v>7/1/2020 - 6/30/2021</v>
      </c>
      <c r="CF500">
        <v>1</v>
      </c>
      <c r="CG500" t="s">
        <v>98</v>
      </c>
      <c r="CH500" t="s">
        <v>206</v>
      </c>
      <c r="CI500" t="s">
        <v>206</v>
      </c>
      <c r="CL500" t="s">
        <v>108</v>
      </c>
      <c r="CM500" t="s">
        <v>109</v>
      </c>
      <c r="CN500" t="str">
        <f>""</f>
        <v/>
      </c>
      <c r="CO500" t="str">
        <f>""</f>
        <v/>
      </c>
      <c r="CP500" t="str">
        <f>""</f>
        <v/>
      </c>
      <c r="CQ500" t="str">
        <f>""</f>
        <v/>
      </c>
    </row>
    <row r="501" spans="1:96" x14ac:dyDescent="0.2">
      <c r="A501" t="s">
        <v>2884</v>
      </c>
      <c r="B501" t="s">
        <v>96</v>
      </c>
      <c r="C501" s="1">
        <v>44098</v>
      </c>
      <c r="D501" s="1">
        <v>44105</v>
      </c>
      <c r="F501" t="s">
        <v>97</v>
      </c>
      <c r="G501" t="str">
        <f>"NLP Data Scientist"</f>
        <v>NLP Data Scientist</v>
      </c>
      <c r="H501" t="s">
        <v>12191</v>
      </c>
      <c r="I501" t="s">
        <v>649</v>
      </c>
      <c r="J501" t="s">
        <v>98</v>
      </c>
      <c r="K501" s="1">
        <v>44105</v>
      </c>
      <c r="L501" s="1">
        <v>45200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2885</v>
      </c>
      <c r="U501" t="str">
        <f>""</f>
        <v/>
      </c>
      <c r="V501" t="s">
        <v>2886</v>
      </c>
      <c r="W501" t="str">
        <f>"Suite 300"</f>
        <v>Suite 300</v>
      </c>
      <c r="X501" t="s">
        <v>1315</v>
      </c>
      <c r="Y501" t="s">
        <v>141</v>
      </c>
      <c r="Z501" s="3">
        <v>95002</v>
      </c>
      <c r="AA501" t="s">
        <v>101</v>
      </c>
      <c r="AC501" s="4" t="str">
        <f>"+14086233090"</f>
        <v>+14086233090</v>
      </c>
      <c r="AE501" t="str">
        <f>"541511"</f>
        <v>541511</v>
      </c>
      <c r="AF501" t="s">
        <v>2887</v>
      </c>
      <c r="AG501" t="s">
        <v>2888</v>
      </c>
      <c r="AI501" t="s">
        <v>298</v>
      </c>
      <c r="AJ501" t="s">
        <v>2889</v>
      </c>
      <c r="AK501" t="str">
        <f>"Suite 300"</f>
        <v>Suite 300</v>
      </c>
      <c r="AL501" t="s">
        <v>585</v>
      </c>
      <c r="AM501" t="s">
        <v>141</v>
      </c>
      <c r="AN501" s="3">
        <v>95002</v>
      </c>
      <c r="AO501" t="s">
        <v>101</v>
      </c>
      <c r="AQ501" t="str">
        <f>"+14086233090"</f>
        <v>+14086233090</v>
      </c>
      <c r="AS501" t="s">
        <v>2890</v>
      </c>
      <c r="AT501" t="s">
        <v>107</v>
      </c>
      <c r="AU501" t="str">
        <f>"Ryvin"</f>
        <v>Ryvin</v>
      </c>
      <c r="AV501" t="str">
        <f>"Michael"</f>
        <v>Michael</v>
      </c>
      <c r="AW501" t="str">
        <f>""</f>
        <v/>
      </c>
      <c r="AX501" t="str">
        <f>"1500 Quail St. "</f>
        <v xml:space="preserve">1500 Quail St. </v>
      </c>
      <c r="AY501" t="str">
        <f>"Suite 260"</f>
        <v>Suite 260</v>
      </c>
      <c r="AZ501" t="str">
        <f>"Newport Beach"</f>
        <v>Newport Beach</v>
      </c>
      <c r="BA501" t="str">
        <f>"CA"</f>
        <v>CA</v>
      </c>
      <c r="BB501" s="3">
        <v>92660</v>
      </c>
      <c r="BC501" t="str">
        <f>"UNITED STATES OF AMERICA"</f>
        <v>UNITED STATES OF AMERICA</v>
      </c>
      <c r="BD501" t="str">
        <f>""</f>
        <v/>
      </c>
      <c r="BE501" t="str">
        <f>"+14152156883"</f>
        <v>+14152156883</v>
      </c>
      <c r="BF501" t="str">
        <f>""</f>
        <v/>
      </c>
      <c r="BG501" t="str">
        <f>"michael@ryvinlaw.com"</f>
        <v>michael@ryvinlaw.com</v>
      </c>
      <c r="BH501" t="str">
        <f>"Law Offices of Michael Ryvin "</f>
        <v xml:space="preserve">Law Offices of Michael Ryvin </v>
      </c>
      <c r="BI501" t="str">
        <f>"NY"</f>
        <v>NY</v>
      </c>
      <c r="BJ501" t="str">
        <f>"Court of Appeals"</f>
        <v>Court of Appeals</v>
      </c>
      <c r="BK501">
        <v>1</v>
      </c>
      <c r="BL501" t="s">
        <v>102</v>
      </c>
      <c r="BM501" t="str">
        <f>""</f>
        <v/>
      </c>
      <c r="BN501" t="s">
        <v>2889</v>
      </c>
      <c r="BO501" t="s">
        <v>754</v>
      </c>
      <c r="BP501" t="s">
        <v>1315</v>
      </c>
      <c r="BQ501" t="s">
        <v>230</v>
      </c>
      <c r="BR501" t="s">
        <v>141</v>
      </c>
      <c r="BS501" s="5">
        <v>95002</v>
      </c>
      <c r="BT501" s="2">
        <v>125000</v>
      </c>
      <c r="BV501" t="s">
        <v>105</v>
      </c>
      <c r="BW501" s="2">
        <v>117083</v>
      </c>
      <c r="BX501" t="s">
        <v>105</v>
      </c>
      <c r="BZ501" t="s">
        <v>191</v>
      </c>
      <c r="CA501" t="str">
        <f t="shared" si="29"/>
        <v>7/1/2020 - 6/30/2021</v>
      </c>
      <c r="CF501">
        <v>1</v>
      </c>
      <c r="CG501" t="s">
        <v>98</v>
      </c>
      <c r="CH501" t="s">
        <v>206</v>
      </c>
      <c r="CI501" t="s">
        <v>206</v>
      </c>
      <c r="CL501" t="s">
        <v>108</v>
      </c>
      <c r="CM501" t="s">
        <v>109</v>
      </c>
      <c r="CN501" t="str">
        <f>"N/A"</f>
        <v>N/A</v>
      </c>
      <c r="CO501" t="str">
        <f>"N/A"</f>
        <v>N/A</v>
      </c>
      <c r="CP501" t="str">
        <f>"N/A"</f>
        <v>N/A</v>
      </c>
      <c r="CQ501" t="str">
        <f>"Law Offices of Michael Ryvin "</f>
        <v xml:space="preserve">Law Offices of Michael Ryvin </v>
      </c>
      <c r="CR501" t="s">
        <v>2891</v>
      </c>
    </row>
    <row r="502" spans="1:96" x14ac:dyDescent="0.2">
      <c r="A502" t="s">
        <v>3162</v>
      </c>
      <c r="B502" t="s">
        <v>96</v>
      </c>
      <c r="C502" s="1">
        <v>44098</v>
      </c>
      <c r="D502" s="1">
        <v>44105</v>
      </c>
      <c r="F502" t="s">
        <v>97</v>
      </c>
      <c r="G502" t="str">
        <f>"Production Supervisor"</f>
        <v>Production Supervisor</v>
      </c>
      <c r="H502" t="s">
        <v>12224</v>
      </c>
      <c r="I502" t="s">
        <v>198</v>
      </c>
      <c r="J502" t="s">
        <v>98</v>
      </c>
      <c r="K502" s="1">
        <v>44105</v>
      </c>
      <c r="L502" s="1">
        <v>45199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 t="s">
        <v>3163</v>
      </c>
      <c r="U502" t="str">
        <f>""</f>
        <v/>
      </c>
      <c r="V502" t="s">
        <v>3164</v>
      </c>
      <c r="W502" t="str">
        <f>""</f>
        <v/>
      </c>
      <c r="X502" t="s">
        <v>1741</v>
      </c>
      <c r="Y502" t="s">
        <v>1776</v>
      </c>
      <c r="Z502" s="3">
        <v>19850</v>
      </c>
      <c r="AA502" t="s">
        <v>101</v>
      </c>
      <c r="AC502" s="4" t="str">
        <f>"+13013980209"</f>
        <v>+13013980209</v>
      </c>
      <c r="AE502" t="str">
        <f>"32541"</f>
        <v>32541</v>
      </c>
      <c r="AF502" t="s">
        <v>3165</v>
      </c>
      <c r="AG502" t="s">
        <v>3166</v>
      </c>
      <c r="AI502" t="s">
        <v>3167</v>
      </c>
      <c r="AJ502" t="s">
        <v>3168</v>
      </c>
      <c r="AK502" t="str">
        <f>""</f>
        <v/>
      </c>
      <c r="AL502" t="s">
        <v>3169</v>
      </c>
      <c r="AM502" t="s">
        <v>195</v>
      </c>
      <c r="AN502" s="3">
        <v>20878</v>
      </c>
      <c r="AO502" t="s">
        <v>101</v>
      </c>
      <c r="AQ502" t="str">
        <f>"+13013980209"</f>
        <v>+13013980209</v>
      </c>
      <c r="AS502" t="s">
        <v>3170</v>
      </c>
      <c r="AT502" t="s">
        <v>107</v>
      </c>
      <c r="AU502" t="str">
        <f>"ROSENBERG"</f>
        <v>ROSENBERG</v>
      </c>
      <c r="AV502" t="str">
        <f>"HYLA"</f>
        <v>HYLA</v>
      </c>
      <c r="AW502" t="str">
        <f>"KAPLAN"</f>
        <v>KAPLAN</v>
      </c>
      <c r="AX502" t="str">
        <f>"1400 BROADWAY"</f>
        <v>1400 BROADWAY</v>
      </c>
      <c r="AY502" t="str">
        <f>""</f>
        <v/>
      </c>
      <c r="AZ502" t="str">
        <f>"NEW YORK"</f>
        <v>NEW YORK</v>
      </c>
      <c r="BA502" t="str">
        <f>"NY"</f>
        <v>NY</v>
      </c>
      <c r="BB502" s="3">
        <v>10018</v>
      </c>
      <c r="BC502" t="str">
        <f>"UNITED STATES OF AMERICA"</f>
        <v>UNITED STATES OF AMERICA</v>
      </c>
      <c r="BD502" t="str">
        <f>""</f>
        <v/>
      </c>
      <c r="BE502" t="str">
        <f>"+12126888555"</f>
        <v>+12126888555</v>
      </c>
      <c r="BF502" t="str">
        <f>""</f>
        <v/>
      </c>
      <c r="BG502" t="str">
        <f>"FZAMAN@FRAGOMEN.COM"</f>
        <v>FZAMAN@FRAGOMEN.COM</v>
      </c>
      <c r="BH502" t="str">
        <f>"Fragomen, Del Rey, Bernsen &amp; Loewy LLP"</f>
        <v>Fragomen, Del Rey, Bernsen &amp; Loewy LLP</v>
      </c>
      <c r="BI502" t="str">
        <f>"NY"</f>
        <v>NY</v>
      </c>
      <c r="BJ502" t="str">
        <f>"NEW YORK SUPREME COURT"</f>
        <v>NEW YORK SUPREME COURT</v>
      </c>
      <c r="BK502">
        <v>1</v>
      </c>
      <c r="BL502" t="s">
        <v>102</v>
      </c>
      <c r="BM502" t="str">
        <f>""</f>
        <v/>
      </c>
      <c r="BN502" t="s">
        <v>3171</v>
      </c>
      <c r="BP502" t="s">
        <v>2894</v>
      </c>
      <c r="BQ502" t="s">
        <v>2894</v>
      </c>
      <c r="BR502" t="s">
        <v>195</v>
      </c>
      <c r="BS502" s="5">
        <v>21703</v>
      </c>
      <c r="BT502" s="2">
        <v>108000</v>
      </c>
      <c r="BV502" t="s">
        <v>105</v>
      </c>
      <c r="BW502" s="2">
        <v>107536</v>
      </c>
      <c r="BX502" t="s">
        <v>105</v>
      </c>
      <c r="BZ502" t="s">
        <v>123</v>
      </c>
      <c r="CA502" t="str">
        <f t="shared" si="29"/>
        <v>7/1/2020 - 6/30/2021</v>
      </c>
      <c r="CF502">
        <v>1</v>
      </c>
      <c r="CG502" t="s">
        <v>98</v>
      </c>
      <c r="CH502" t="s">
        <v>206</v>
      </c>
      <c r="CI502" t="s">
        <v>206</v>
      </c>
      <c r="CL502" t="s">
        <v>108</v>
      </c>
      <c r="CM502" t="s">
        <v>109</v>
      </c>
      <c r="CN502" t="str">
        <f>"ZAMAN"</f>
        <v>ZAMAN</v>
      </c>
      <c r="CO502" t="str">
        <f>"FARAH"</f>
        <v>FARAH</v>
      </c>
      <c r="CP502" t="str">
        <f>""</f>
        <v/>
      </c>
      <c r="CQ502" t="str">
        <f>"Fragomen, Del Rey, Bernsen &amp; Loewy LLP"</f>
        <v>Fragomen, Del Rey, Bernsen &amp; Loewy LLP</v>
      </c>
      <c r="CR502" t="s">
        <v>3172</v>
      </c>
    </row>
    <row r="503" spans="1:96" x14ac:dyDescent="0.2">
      <c r="A503" t="s">
        <v>3186</v>
      </c>
      <c r="B503" t="s">
        <v>96</v>
      </c>
      <c r="C503" s="1">
        <v>44098</v>
      </c>
      <c r="D503" s="1">
        <v>44105</v>
      </c>
      <c r="F503" t="s">
        <v>97</v>
      </c>
      <c r="G503" t="str">
        <f>"Postdoctoral Scholar"</f>
        <v>Postdoctoral Scholar</v>
      </c>
      <c r="H503" t="s">
        <v>12170</v>
      </c>
      <c r="I503" t="s">
        <v>685</v>
      </c>
      <c r="J503" t="s">
        <v>98</v>
      </c>
      <c r="K503" s="1">
        <v>44181</v>
      </c>
      <c r="L503" s="1">
        <v>44545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t="s">
        <v>3187</v>
      </c>
      <c r="U503" t="str">
        <f>"University of Washington Seattle/Tacoma/Bothell"</f>
        <v>University of Washington Seattle/Tacoma/Bothell</v>
      </c>
      <c r="V503" t="s">
        <v>3188</v>
      </c>
      <c r="W503" t="str">
        <f>"Box 351245"</f>
        <v>Box 351245</v>
      </c>
      <c r="X503" t="s">
        <v>261</v>
      </c>
      <c r="Y503" t="s">
        <v>176</v>
      </c>
      <c r="Z503" s="3">
        <v>98195</v>
      </c>
      <c r="AA503" t="s">
        <v>101</v>
      </c>
      <c r="AC503" s="4" t="str">
        <f>"+12062218927"</f>
        <v>+12062218927</v>
      </c>
      <c r="AE503" t="str">
        <f>"611310"</f>
        <v>611310</v>
      </c>
      <c r="AF503" t="s">
        <v>3189</v>
      </c>
      <c r="AG503" t="s">
        <v>3070</v>
      </c>
      <c r="AH503" t="s">
        <v>3190</v>
      </c>
      <c r="AI503" t="s">
        <v>3191</v>
      </c>
      <c r="AJ503" t="s">
        <v>3192</v>
      </c>
      <c r="AK503" t="str">
        <f>"UW International Scholars Operations"</f>
        <v>UW International Scholars Operations</v>
      </c>
      <c r="AL503" t="s">
        <v>261</v>
      </c>
      <c r="AM503" t="s">
        <v>176</v>
      </c>
      <c r="AN503" s="3">
        <v>98195</v>
      </c>
      <c r="AO503" t="s">
        <v>101</v>
      </c>
      <c r="AQ503" t="str">
        <f>"+12066859022"</f>
        <v>+12066859022</v>
      </c>
      <c r="AS503" t="s">
        <v>3193</v>
      </c>
      <c r="AT503" t="s">
        <v>102</v>
      </c>
      <c r="AU503" t="str">
        <f>""</f>
        <v/>
      </c>
      <c r="AV503" t="str">
        <f>""</f>
        <v/>
      </c>
      <c r="AW503" t="str">
        <f>""</f>
        <v/>
      </c>
      <c r="AX503" t="str">
        <f>""</f>
        <v/>
      </c>
      <c r="AY503" t="str">
        <f>""</f>
        <v/>
      </c>
      <c r="AZ503" t="str">
        <f>""</f>
        <v/>
      </c>
      <c r="BA503" t="str">
        <f>""</f>
        <v/>
      </c>
      <c r="BC503" t="str">
        <f>""</f>
        <v/>
      </c>
      <c r="BD503" t="str">
        <f>""</f>
        <v/>
      </c>
      <c r="BE503" t="str">
        <f>""</f>
        <v/>
      </c>
      <c r="BF503" t="str">
        <f>""</f>
        <v/>
      </c>
      <c r="BG503" t="str">
        <f>""</f>
        <v/>
      </c>
      <c r="BH503" t="str">
        <f>""</f>
        <v/>
      </c>
      <c r="BI503" t="str">
        <f>""</f>
        <v/>
      </c>
      <c r="BJ503" t="str">
        <f>""</f>
        <v/>
      </c>
      <c r="BK503">
        <v>1</v>
      </c>
      <c r="BL503" t="s">
        <v>102</v>
      </c>
      <c r="BM503" t="str">
        <f>""</f>
        <v/>
      </c>
      <c r="BN503" t="s">
        <v>3194</v>
      </c>
      <c r="BP503" t="s">
        <v>261</v>
      </c>
      <c r="BQ503" t="s">
        <v>183</v>
      </c>
      <c r="BR503" t="s">
        <v>176</v>
      </c>
      <c r="BS503" s="5">
        <v>98195</v>
      </c>
      <c r="BT503" s="2">
        <v>51012</v>
      </c>
      <c r="BV503" t="s">
        <v>105</v>
      </c>
      <c r="BW503" s="2">
        <v>51004</v>
      </c>
      <c r="BX503" t="s">
        <v>105</v>
      </c>
      <c r="CA503" t="str">
        <f>""</f>
        <v/>
      </c>
      <c r="CB503" t="s">
        <v>106</v>
      </c>
      <c r="CC503">
        <v>2019</v>
      </c>
      <c r="CF503">
        <v>2</v>
      </c>
      <c r="CG503" t="s">
        <v>98</v>
      </c>
      <c r="CH503" t="s">
        <v>206</v>
      </c>
      <c r="CI503" t="s">
        <v>206</v>
      </c>
      <c r="CL503" t="s">
        <v>108</v>
      </c>
      <c r="CM503" t="s">
        <v>109</v>
      </c>
      <c r="CN503" t="str">
        <f>""</f>
        <v/>
      </c>
      <c r="CO503" t="str">
        <f>""</f>
        <v/>
      </c>
      <c r="CP503" t="str">
        <f>""</f>
        <v/>
      </c>
      <c r="CQ503" t="str">
        <f>""</f>
        <v/>
      </c>
    </row>
    <row r="504" spans="1:96" x14ac:dyDescent="0.2">
      <c r="A504" t="s">
        <v>3237</v>
      </c>
      <c r="B504" t="s">
        <v>96</v>
      </c>
      <c r="C504" s="1">
        <v>44098</v>
      </c>
      <c r="D504" s="1">
        <v>44105</v>
      </c>
      <c r="F504" t="s">
        <v>97</v>
      </c>
      <c r="G504" t="str">
        <f>"Senior IT Systems Test Engineer "</f>
        <v xml:space="preserve">Senior IT Systems Test Engineer </v>
      </c>
      <c r="H504" t="s">
        <v>12168</v>
      </c>
      <c r="I504" t="s">
        <v>319</v>
      </c>
      <c r="J504" t="s">
        <v>98</v>
      </c>
      <c r="K504" s="1">
        <v>44104</v>
      </c>
      <c r="L504" s="1">
        <v>45198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 t="s">
        <v>1189</v>
      </c>
      <c r="U504" t="str">
        <f>""</f>
        <v/>
      </c>
      <c r="V504" t="s">
        <v>1190</v>
      </c>
      <c r="W504" t="str">
        <f>"THIRD FLOOR"</f>
        <v>THIRD FLOOR</v>
      </c>
      <c r="X504" t="s">
        <v>1191</v>
      </c>
      <c r="Y504" t="s">
        <v>171</v>
      </c>
      <c r="Z504" s="3">
        <v>1801</v>
      </c>
      <c r="AA504" t="s">
        <v>101</v>
      </c>
      <c r="AC504" s="4" t="str">
        <f>"+17819391720"</f>
        <v>+17819391720</v>
      </c>
      <c r="AE504" t="str">
        <f>"541511"</f>
        <v>541511</v>
      </c>
      <c r="AF504" t="s">
        <v>1192</v>
      </c>
      <c r="AG504" t="s">
        <v>1193</v>
      </c>
      <c r="AH504" t="s">
        <v>1080</v>
      </c>
      <c r="AI504" t="s">
        <v>1194</v>
      </c>
      <c r="AJ504" t="s">
        <v>1195</v>
      </c>
      <c r="AK504" t="str">
        <f>"Third Floor"</f>
        <v>Third Floor</v>
      </c>
      <c r="AL504" t="s">
        <v>1196</v>
      </c>
      <c r="AM504" t="s">
        <v>171</v>
      </c>
      <c r="AN504" s="3">
        <v>1801</v>
      </c>
      <c r="AO504" t="s">
        <v>101</v>
      </c>
      <c r="AQ504" t="str">
        <f>"+17819391720"</f>
        <v>+17819391720</v>
      </c>
      <c r="AS504" t="s">
        <v>1197</v>
      </c>
      <c r="AT504" t="s">
        <v>107</v>
      </c>
      <c r="AU504" t="str">
        <f>"Tadmor"</f>
        <v>Tadmor</v>
      </c>
      <c r="AV504" t="str">
        <f>"Yoav"</f>
        <v>Yoav</v>
      </c>
      <c r="AW504" t="str">
        <f>""</f>
        <v/>
      </c>
      <c r="AX504" t="str">
        <f>"340 Main Street "</f>
        <v xml:space="preserve">340 Main Street </v>
      </c>
      <c r="AY504" t="str">
        <f>"Suite 610"</f>
        <v>Suite 610</v>
      </c>
      <c r="AZ504" t="str">
        <f>"Worcester "</f>
        <v xml:space="preserve">Worcester </v>
      </c>
      <c r="BA504" t="str">
        <f>"MA"</f>
        <v>MA</v>
      </c>
      <c r="BB504" s="3">
        <v>1608</v>
      </c>
      <c r="BC504" t="str">
        <f t="shared" ref="BC504:BC514" si="30">"UNITED STATES OF AMERICA"</f>
        <v>UNITED STATES OF AMERICA</v>
      </c>
      <c r="BD504" t="str">
        <f>""</f>
        <v/>
      </c>
      <c r="BE504" t="str">
        <f>"+15087919400"</f>
        <v>+15087919400</v>
      </c>
      <c r="BF504" t="str">
        <f>""</f>
        <v/>
      </c>
      <c r="BG504" t="str">
        <f>"yoav@tadmorlaw.com"</f>
        <v>yoav@tadmorlaw.com</v>
      </c>
      <c r="BH504" t="str">
        <f>"Tadmor &amp; Tadmor LLP"</f>
        <v>Tadmor &amp; Tadmor LLP</v>
      </c>
      <c r="BI504" t="str">
        <f>"MA"</f>
        <v>MA</v>
      </c>
      <c r="BJ504" t="str">
        <f>"Supreme Judicial Court"</f>
        <v>Supreme Judicial Court</v>
      </c>
      <c r="BK504">
        <v>1</v>
      </c>
      <c r="BL504" t="s">
        <v>107</v>
      </c>
      <c r="BM504" t="str">
        <f>"Progressive"</f>
        <v>Progressive</v>
      </c>
      <c r="BN504" t="s">
        <v>3238</v>
      </c>
      <c r="BP504" t="s">
        <v>812</v>
      </c>
      <c r="BQ504" t="s">
        <v>813</v>
      </c>
      <c r="BR504" t="s">
        <v>814</v>
      </c>
      <c r="BS504" s="5">
        <v>97123</v>
      </c>
      <c r="BT504" s="2">
        <v>110000</v>
      </c>
      <c r="BV504" t="s">
        <v>105</v>
      </c>
      <c r="BW504" s="2">
        <v>68578</v>
      </c>
      <c r="BX504" t="s">
        <v>105</v>
      </c>
      <c r="BZ504" t="s">
        <v>167</v>
      </c>
      <c r="CA504" t="str">
        <f>"7/1/2020 - 6/30/2021"</f>
        <v>7/1/2020 - 6/30/2021</v>
      </c>
      <c r="CF504">
        <v>2</v>
      </c>
      <c r="CG504" t="s">
        <v>98</v>
      </c>
      <c r="CH504" t="s">
        <v>206</v>
      </c>
      <c r="CI504" t="s">
        <v>206</v>
      </c>
      <c r="CL504" t="s">
        <v>108</v>
      </c>
      <c r="CM504" t="s">
        <v>109</v>
      </c>
      <c r="CN504" t="str">
        <f>""</f>
        <v/>
      </c>
      <c r="CO504" t="str">
        <f>""</f>
        <v/>
      </c>
      <c r="CP504" t="str">
        <f>""</f>
        <v/>
      </c>
      <c r="CQ504" t="str">
        <f>""</f>
        <v/>
      </c>
    </row>
    <row r="505" spans="1:96" x14ac:dyDescent="0.2">
      <c r="A505" t="s">
        <v>3277</v>
      </c>
      <c r="B505" t="s">
        <v>96</v>
      </c>
      <c r="C505" s="1">
        <v>44098</v>
      </c>
      <c r="D505" s="1">
        <v>44105</v>
      </c>
      <c r="F505" t="s">
        <v>97</v>
      </c>
      <c r="G505" t="str">
        <f>"Master Software Engineer"</f>
        <v>Master Software Engineer</v>
      </c>
      <c r="H505" t="s">
        <v>12169</v>
      </c>
      <c r="I505" t="s">
        <v>124</v>
      </c>
      <c r="J505" t="s">
        <v>98</v>
      </c>
      <c r="K505" s="1">
        <v>44279</v>
      </c>
      <c r="L505" s="1">
        <v>45374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 t="s">
        <v>1198</v>
      </c>
      <c r="U505" t="str">
        <f>""</f>
        <v/>
      </c>
      <c r="V505" t="s">
        <v>1199</v>
      </c>
      <c r="W505" t="str">
        <f>""</f>
        <v/>
      </c>
      <c r="X505" t="s">
        <v>693</v>
      </c>
      <c r="Y505" t="s">
        <v>135</v>
      </c>
      <c r="Z505" s="3">
        <v>23238</v>
      </c>
      <c r="AA505" t="s">
        <v>101</v>
      </c>
      <c r="AC505" s="4" t="str">
        <f>"+18042841000"</f>
        <v>+18042841000</v>
      </c>
      <c r="AE505" t="str">
        <f>"522210"</f>
        <v>522210</v>
      </c>
      <c r="AF505" t="s">
        <v>1200</v>
      </c>
      <c r="AG505" t="s">
        <v>709</v>
      </c>
      <c r="AH505" t="s">
        <v>269</v>
      </c>
      <c r="AI505" t="s">
        <v>1201</v>
      </c>
      <c r="AJ505" t="s">
        <v>1199</v>
      </c>
      <c r="AK505" t="str">
        <f>""</f>
        <v/>
      </c>
      <c r="AL505" t="s">
        <v>693</v>
      </c>
      <c r="AM505" t="s">
        <v>135</v>
      </c>
      <c r="AN505" s="3">
        <v>23238</v>
      </c>
      <c r="AO505" t="s">
        <v>101</v>
      </c>
      <c r="AQ505" t="str">
        <f>"+18042841000"</f>
        <v>+18042841000</v>
      </c>
      <c r="AS505" t="s">
        <v>1202</v>
      </c>
      <c r="AT505" t="s">
        <v>107</v>
      </c>
      <c r="AU505" t="str">
        <f>"Russo"</f>
        <v>Russo</v>
      </c>
      <c r="AV505" t="str">
        <f>"Justin"</f>
        <v>Justin</v>
      </c>
      <c r="AW505" t="str">
        <f>"5261512_5f4ebb1e504166001b40f61b"</f>
        <v>5261512_5f4ebb1e504166001b40f61b</v>
      </c>
      <c r="AX505" t="str">
        <f>"1355 Peachtree Street NE"</f>
        <v>1355 Peachtree Street NE</v>
      </c>
      <c r="AY505" t="str">
        <f>"Suite 900"</f>
        <v>Suite 900</v>
      </c>
      <c r="AZ505" t="str">
        <f>"Atlanta"</f>
        <v>Atlanta</v>
      </c>
      <c r="BA505" t="str">
        <f>"GA"</f>
        <v>GA</v>
      </c>
      <c r="BB505" s="3">
        <v>30309</v>
      </c>
      <c r="BC505" t="str">
        <f t="shared" si="30"/>
        <v>UNITED STATES OF AMERICA</v>
      </c>
      <c r="BD505" t="str">
        <f>""</f>
        <v/>
      </c>
      <c r="BE505" t="str">
        <f>"+14048565526"</f>
        <v>+14048565526</v>
      </c>
      <c r="BF505" t="str">
        <f>""</f>
        <v/>
      </c>
      <c r="BG505" t="str">
        <f>"mackenzie.miller@fragomen.com"</f>
        <v>mackenzie.miller@fragomen.com</v>
      </c>
      <c r="BH505" t="str">
        <f>"Fragomen, Del Rey, Bernsen &amp; Loewy LLP"</f>
        <v>Fragomen, Del Rey, Bernsen &amp; Loewy LLP</v>
      </c>
      <c r="BI505" t="str">
        <f>"GA"</f>
        <v>GA</v>
      </c>
      <c r="BJ505" t="str">
        <f>"Georgia Supreme Court"</f>
        <v>Georgia Supreme Court</v>
      </c>
      <c r="BK505">
        <v>1</v>
      </c>
      <c r="BL505" t="s">
        <v>102</v>
      </c>
      <c r="BM505" t="str">
        <f>""</f>
        <v/>
      </c>
      <c r="BN505" t="s">
        <v>1790</v>
      </c>
      <c r="BP505" t="s">
        <v>297</v>
      </c>
      <c r="BQ505" t="s">
        <v>556</v>
      </c>
      <c r="BR505" t="s">
        <v>114</v>
      </c>
      <c r="BS505" s="5">
        <v>75024</v>
      </c>
      <c r="BT505" s="2">
        <v>93558</v>
      </c>
      <c r="BU505" s="2">
        <v>158200</v>
      </c>
      <c r="BV505" t="s">
        <v>105</v>
      </c>
      <c r="BW505" s="2">
        <v>93558</v>
      </c>
      <c r="BX505" t="s">
        <v>105</v>
      </c>
      <c r="BZ505" t="s">
        <v>167</v>
      </c>
      <c r="CA505" t="str">
        <f>"7/1/2020 - 6/30/2021"</f>
        <v>7/1/2020 - 6/30/2021</v>
      </c>
      <c r="CF505">
        <v>1</v>
      </c>
      <c r="CG505" t="s">
        <v>98</v>
      </c>
      <c r="CH505" t="s">
        <v>206</v>
      </c>
      <c r="CI505" t="s">
        <v>206</v>
      </c>
      <c r="CL505" t="s">
        <v>108</v>
      </c>
      <c r="CM505" t="s">
        <v>109</v>
      </c>
      <c r="CN505" t="str">
        <f>""</f>
        <v/>
      </c>
      <c r="CO505" t="str">
        <f>""</f>
        <v/>
      </c>
      <c r="CP505" t="str">
        <f>""</f>
        <v/>
      </c>
      <c r="CQ505" t="str">
        <f>""</f>
        <v/>
      </c>
    </row>
    <row r="506" spans="1:96" x14ac:dyDescent="0.2">
      <c r="A506" t="s">
        <v>3279</v>
      </c>
      <c r="B506" t="s">
        <v>96</v>
      </c>
      <c r="C506" s="1">
        <v>44098</v>
      </c>
      <c r="D506" s="1">
        <v>44105</v>
      </c>
      <c r="F506" t="s">
        <v>97</v>
      </c>
      <c r="G506" t="str">
        <f>"ADVANCED SOFTWARE DEVELOPER"</f>
        <v>ADVANCED SOFTWARE DEVELOPER</v>
      </c>
      <c r="H506" t="s">
        <v>12169</v>
      </c>
      <c r="I506" t="s">
        <v>124</v>
      </c>
      <c r="J506" t="s">
        <v>98</v>
      </c>
      <c r="K506" s="1">
        <v>44099</v>
      </c>
      <c r="L506" s="1">
        <v>45193</v>
      </c>
      <c r="M506">
        <v>10</v>
      </c>
      <c r="N506">
        <v>2</v>
      </c>
      <c r="O506">
        <v>2</v>
      </c>
      <c r="P506">
        <v>2</v>
      </c>
      <c r="Q506">
        <v>0</v>
      </c>
      <c r="R506">
        <v>2</v>
      </c>
      <c r="S506">
        <v>2</v>
      </c>
      <c r="T506" t="s">
        <v>2068</v>
      </c>
      <c r="U506" t="str">
        <f>""</f>
        <v/>
      </c>
      <c r="V506" t="s">
        <v>2069</v>
      </c>
      <c r="W506" t="str">
        <f>""</f>
        <v/>
      </c>
      <c r="X506" t="s">
        <v>1025</v>
      </c>
      <c r="Y506" t="s">
        <v>577</v>
      </c>
      <c r="Z506" s="3">
        <v>33605</v>
      </c>
      <c r="AA506" t="s">
        <v>101</v>
      </c>
      <c r="AC506" s="4" t="str">
        <f>"+18135525000"</f>
        <v>+18135525000</v>
      </c>
      <c r="AE506" t="str">
        <f>"5416"</f>
        <v>5416</v>
      </c>
      <c r="AF506" t="s">
        <v>2070</v>
      </c>
      <c r="AG506" t="s">
        <v>2071</v>
      </c>
      <c r="AI506" t="s">
        <v>497</v>
      </c>
      <c r="AJ506" t="s">
        <v>2072</v>
      </c>
      <c r="AK506" t="str">
        <f>""</f>
        <v/>
      </c>
      <c r="AL506" t="s">
        <v>1025</v>
      </c>
      <c r="AM506" t="s">
        <v>577</v>
      </c>
      <c r="AN506" s="3">
        <v>33605</v>
      </c>
      <c r="AO506" t="s">
        <v>101</v>
      </c>
      <c r="AQ506" t="str">
        <f>"+18135525000"</f>
        <v>+18135525000</v>
      </c>
      <c r="AS506" t="s">
        <v>2073</v>
      </c>
      <c r="AT506" t="s">
        <v>107</v>
      </c>
      <c r="AU506" t="str">
        <f>"WHITE "</f>
        <v xml:space="preserve">WHITE </v>
      </c>
      <c r="AV506" t="str">
        <f>"ROBERT"</f>
        <v>ROBERT</v>
      </c>
      <c r="AW506" t="str">
        <f>"SAMUEL"</f>
        <v>SAMUEL</v>
      </c>
      <c r="AX506" t="str">
        <f>"200 N MARTINGALE ROAD"</f>
        <v>200 N MARTINGALE ROAD</v>
      </c>
      <c r="AY506" t="str">
        <f>"SUITE 800"</f>
        <v>SUITE 800</v>
      </c>
      <c r="AZ506" t="str">
        <f>"SCHAUMBURG"</f>
        <v>SCHAUMBURG</v>
      </c>
      <c r="BA506" t="str">
        <f>"IL"</f>
        <v>IL</v>
      </c>
      <c r="BB506" s="3">
        <v>60173</v>
      </c>
      <c r="BC506" t="str">
        <f t="shared" si="30"/>
        <v>UNITED STATES OF AMERICA</v>
      </c>
      <c r="BD506" t="str">
        <f>""</f>
        <v/>
      </c>
      <c r="BE506" t="str">
        <f>"+18477348811"</f>
        <v>+18477348811</v>
      </c>
      <c r="BF506" t="str">
        <f>""</f>
        <v/>
      </c>
      <c r="BG506" t="str">
        <f>"RWHITE@MASUDAFUNAI.COM"</f>
        <v>RWHITE@MASUDAFUNAI.COM</v>
      </c>
      <c r="BH506" t="str">
        <f>"Masuda Funai Eifert &amp; Mitchell, Ltd."</f>
        <v>Masuda Funai Eifert &amp; Mitchell, Ltd.</v>
      </c>
      <c r="BI506" t="str">
        <f>"IL"</f>
        <v>IL</v>
      </c>
      <c r="BJ506" t="str">
        <f>"SUPREME COURT"</f>
        <v>SUPREME COURT</v>
      </c>
      <c r="BK506">
        <v>10</v>
      </c>
      <c r="BL506" t="s">
        <v>107</v>
      </c>
      <c r="BM506" t="str">
        <f>"CHARTER COMMUNICATIONS, INC."</f>
        <v>CHARTER COMMUNICATIONS, INC.</v>
      </c>
      <c r="BN506" t="s">
        <v>3280</v>
      </c>
      <c r="BP506" t="s">
        <v>998</v>
      </c>
      <c r="BQ506" t="s">
        <v>121</v>
      </c>
      <c r="BR506" t="s">
        <v>122</v>
      </c>
      <c r="BS506" s="5">
        <v>28217</v>
      </c>
      <c r="BT506" s="2">
        <v>50.02</v>
      </c>
      <c r="BU506" s="2">
        <v>90</v>
      </c>
      <c r="BV506" t="s">
        <v>210</v>
      </c>
      <c r="BW506" s="2">
        <v>50.02</v>
      </c>
      <c r="BX506" t="s">
        <v>210</v>
      </c>
      <c r="BZ506" t="s">
        <v>123</v>
      </c>
      <c r="CA506" t="str">
        <f>"7/1/2020 - 6/30/2021"</f>
        <v>7/1/2020 - 6/30/2021</v>
      </c>
      <c r="CF506">
        <v>2</v>
      </c>
      <c r="CG506" t="s">
        <v>98</v>
      </c>
      <c r="CH506" t="s">
        <v>206</v>
      </c>
      <c r="CI506" t="s">
        <v>206</v>
      </c>
      <c r="CL506" t="s">
        <v>108</v>
      </c>
      <c r="CM506" t="s">
        <v>109</v>
      </c>
      <c r="CN506" t="str">
        <f>""</f>
        <v/>
      </c>
      <c r="CO506" t="str">
        <f>""</f>
        <v/>
      </c>
      <c r="CP506" t="str">
        <f>""</f>
        <v/>
      </c>
      <c r="CQ506" t="str">
        <f>""</f>
        <v/>
      </c>
    </row>
    <row r="507" spans="1:96" x14ac:dyDescent="0.2">
      <c r="A507" t="s">
        <v>3285</v>
      </c>
      <c r="B507" t="s">
        <v>96</v>
      </c>
      <c r="C507" s="1">
        <v>44098</v>
      </c>
      <c r="D507" s="1">
        <v>44105</v>
      </c>
      <c r="F507" t="s">
        <v>97</v>
      </c>
      <c r="G507" t="str">
        <f>"Senior Manager, Development"</f>
        <v>Senior Manager, Development</v>
      </c>
      <c r="H507" t="s">
        <v>12178</v>
      </c>
      <c r="I507" t="s">
        <v>582</v>
      </c>
      <c r="J507" t="s">
        <v>98</v>
      </c>
      <c r="K507" s="1">
        <v>44166</v>
      </c>
      <c r="L507" s="1">
        <v>45260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 t="s">
        <v>3286</v>
      </c>
      <c r="U507" t="str">
        <f>""</f>
        <v/>
      </c>
      <c r="V507" t="s">
        <v>3287</v>
      </c>
      <c r="W507" t="str">
        <f>""</f>
        <v/>
      </c>
      <c r="X507" t="s">
        <v>3288</v>
      </c>
      <c r="Y507" t="s">
        <v>215</v>
      </c>
      <c r="Z507" s="3">
        <v>30097</v>
      </c>
      <c r="AA507" t="s">
        <v>101</v>
      </c>
      <c r="AC507" s="4" t="str">
        <f>"+15135737766"</f>
        <v>+15135737766</v>
      </c>
      <c r="AE507" t="str">
        <f>"45411"</f>
        <v>45411</v>
      </c>
      <c r="AF507" t="s">
        <v>3289</v>
      </c>
      <c r="AG507" t="s">
        <v>3290</v>
      </c>
      <c r="AH507" t="s">
        <v>108</v>
      </c>
      <c r="AI507" t="s">
        <v>221</v>
      </c>
      <c r="AJ507" t="s">
        <v>3291</v>
      </c>
      <c r="AK507" t="str">
        <f>""</f>
        <v/>
      </c>
      <c r="AL507" t="s">
        <v>2599</v>
      </c>
      <c r="AM507" t="s">
        <v>215</v>
      </c>
      <c r="AN507" s="3">
        <v>30097</v>
      </c>
      <c r="AO507" t="s">
        <v>101</v>
      </c>
      <c r="AQ507" t="str">
        <f>"+15135737766"</f>
        <v>+15135737766</v>
      </c>
      <c r="AS507" t="s">
        <v>3292</v>
      </c>
      <c r="AT507" t="s">
        <v>107</v>
      </c>
      <c r="AU507" t="str">
        <f>"CHAPMAN"</f>
        <v>CHAPMAN</v>
      </c>
      <c r="AV507" t="str">
        <f>"TAYLOR"</f>
        <v>TAYLOR</v>
      </c>
      <c r="AW507" t="str">
        <f>"P."</f>
        <v>P.</v>
      </c>
      <c r="AX507" t="str">
        <f>"10100 Katy Freeway, Suite 600"</f>
        <v>10100 Katy Freeway, Suite 600</v>
      </c>
      <c r="AY507" t="str">
        <f>""</f>
        <v/>
      </c>
      <c r="AZ507" t="str">
        <f>"Houston"</f>
        <v>Houston</v>
      </c>
      <c r="BA507" t="str">
        <f>"TX"</f>
        <v>TX</v>
      </c>
      <c r="BB507" s="3">
        <v>77043</v>
      </c>
      <c r="BC507" t="str">
        <f t="shared" si="30"/>
        <v>UNITED STATES OF AMERICA</v>
      </c>
      <c r="BD507" t="str">
        <f>""</f>
        <v/>
      </c>
      <c r="BE507" t="str">
        <f>"+14692909369"</f>
        <v>+14692909369</v>
      </c>
      <c r="BF507" t="str">
        <f>""</f>
        <v/>
      </c>
      <c r="BG507" t="str">
        <f>"NJANI@BALGLOBAL.COM"</f>
        <v>NJANI@BALGLOBAL.COM</v>
      </c>
      <c r="BH507" t="str">
        <f>"Berry Appleman &amp; Leiden LLP"</f>
        <v>Berry Appleman &amp; Leiden LLP</v>
      </c>
      <c r="BI507" t="str">
        <f>"TX"</f>
        <v>TX</v>
      </c>
      <c r="BJ507" t="str">
        <f>"Supreme Court of Texas"</f>
        <v>Supreme Court of Texas</v>
      </c>
      <c r="BK507">
        <v>1</v>
      </c>
      <c r="BL507" t="s">
        <v>102</v>
      </c>
      <c r="BM507" t="str">
        <f>""</f>
        <v/>
      </c>
      <c r="BN507" t="s">
        <v>3293</v>
      </c>
      <c r="BO507" t="s">
        <v>3294</v>
      </c>
      <c r="BP507" t="s">
        <v>398</v>
      </c>
      <c r="BQ507" t="s">
        <v>419</v>
      </c>
      <c r="BR507" t="s">
        <v>141</v>
      </c>
      <c r="BS507" s="5">
        <v>94538</v>
      </c>
      <c r="BT507" s="2">
        <v>187800</v>
      </c>
      <c r="BV507" t="s">
        <v>105</v>
      </c>
      <c r="BW507" s="2">
        <v>151348</v>
      </c>
      <c r="BX507" t="s">
        <v>105</v>
      </c>
      <c r="CA507" t="str">
        <f>""</f>
        <v/>
      </c>
      <c r="CB507" t="s">
        <v>244</v>
      </c>
      <c r="CC507">
        <v>2019</v>
      </c>
      <c r="CD507" t="s">
        <v>785</v>
      </c>
      <c r="CE507" t="s">
        <v>3295</v>
      </c>
      <c r="CF507">
        <v>1</v>
      </c>
      <c r="CG507" t="s">
        <v>98</v>
      </c>
      <c r="CH507" t="s">
        <v>206</v>
      </c>
      <c r="CI507" t="s">
        <v>206</v>
      </c>
      <c r="CL507" t="s">
        <v>108</v>
      </c>
      <c r="CM507" t="s">
        <v>109</v>
      </c>
      <c r="CN507" t="str">
        <f>""</f>
        <v/>
      </c>
      <c r="CO507" t="str">
        <f>""</f>
        <v/>
      </c>
      <c r="CP507" t="str">
        <f>""</f>
        <v/>
      </c>
      <c r="CQ507" t="str">
        <f>""</f>
        <v/>
      </c>
    </row>
    <row r="508" spans="1:96" x14ac:dyDescent="0.2">
      <c r="A508" t="s">
        <v>3324</v>
      </c>
      <c r="B508" t="s">
        <v>96</v>
      </c>
      <c r="C508" s="1">
        <v>44098</v>
      </c>
      <c r="D508" s="1">
        <v>44105</v>
      </c>
      <c r="F508" t="s">
        <v>97</v>
      </c>
      <c r="G508" t="str">
        <f>"Electrical Senior Engineer"</f>
        <v>Electrical Senior Engineer</v>
      </c>
      <c r="H508" t="s">
        <v>12186</v>
      </c>
      <c r="I508" t="s">
        <v>232</v>
      </c>
      <c r="J508" t="s">
        <v>98</v>
      </c>
      <c r="K508" s="1">
        <v>44256</v>
      </c>
      <c r="L508" s="1">
        <v>45350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 t="s">
        <v>3325</v>
      </c>
      <c r="U508" t="str">
        <f>""</f>
        <v/>
      </c>
      <c r="V508" t="s">
        <v>3326</v>
      </c>
      <c r="W508" t="str">
        <f>""</f>
        <v/>
      </c>
      <c r="X508" t="s">
        <v>2078</v>
      </c>
      <c r="Y508" t="s">
        <v>141</v>
      </c>
      <c r="Z508" s="3">
        <v>92617</v>
      </c>
      <c r="AA508" t="s">
        <v>101</v>
      </c>
      <c r="AC508" s="4" t="str">
        <f>"+19492314506"</f>
        <v>+19492314506</v>
      </c>
      <c r="AE508" t="str">
        <f>"33441"</f>
        <v>33441</v>
      </c>
      <c r="AF508" t="s">
        <v>3327</v>
      </c>
      <c r="AG508" t="s">
        <v>1910</v>
      </c>
      <c r="AI508" t="s">
        <v>221</v>
      </c>
      <c r="AJ508" t="s">
        <v>3326</v>
      </c>
      <c r="AK508" t="str">
        <f>""</f>
        <v/>
      </c>
      <c r="AL508" t="s">
        <v>2078</v>
      </c>
      <c r="AM508" t="s">
        <v>141</v>
      </c>
      <c r="AN508" s="3">
        <v>92617</v>
      </c>
      <c r="AO508" t="s">
        <v>101</v>
      </c>
      <c r="AQ508" t="str">
        <f>"+19492314506"</f>
        <v>+19492314506</v>
      </c>
      <c r="AS508" t="s">
        <v>3328</v>
      </c>
      <c r="AT508" t="s">
        <v>107</v>
      </c>
      <c r="AU508" t="str">
        <f>"Robinson"</f>
        <v>Robinson</v>
      </c>
      <c r="AV508" t="str">
        <f>"Jenna"</f>
        <v>Jenna</v>
      </c>
      <c r="AW508" t="str">
        <f>"JOANNE"</f>
        <v>JOANNE</v>
      </c>
      <c r="AX508" t="str">
        <f>"18401 Von Karman Avenue"</f>
        <v>18401 Von Karman Avenue</v>
      </c>
      <c r="AY508" t="str">
        <f>""</f>
        <v/>
      </c>
      <c r="AZ508" t="str">
        <f>"Irvine"</f>
        <v>Irvine</v>
      </c>
      <c r="BA508" t="str">
        <f>"CA"</f>
        <v>CA</v>
      </c>
      <c r="BB508" s="3">
        <v>92612</v>
      </c>
      <c r="BC508" t="str">
        <f t="shared" si="30"/>
        <v>UNITED STATES OF AMERICA</v>
      </c>
      <c r="BD508" t="str">
        <f>"N/A"</f>
        <v>N/A</v>
      </c>
      <c r="BE508" t="str">
        <f>"+19492610209"</f>
        <v>+19492610209</v>
      </c>
      <c r="BF508" t="str">
        <f>""</f>
        <v/>
      </c>
      <c r="BG508" t="str">
        <f>"JRobinson@fragomen.com"</f>
        <v>JRobinson@fragomen.com</v>
      </c>
      <c r="BH508" t="str">
        <f>"Fragomen, Del Rey, Bernsen &amp; Loewy, LLP"</f>
        <v>Fragomen, Del Rey, Bernsen &amp; Loewy, LLP</v>
      </c>
      <c r="BI508" t="str">
        <f>"CA"</f>
        <v>CA</v>
      </c>
      <c r="BJ508" t="str">
        <f>"Supreme"</f>
        <v>Supreme</v>
      </c>
      <c r="BK508">
        <v>1</v>
      </c>
      <c r="BL508" t="s">
        <v>102</v>
      </c>
      <c r="BM508" t="str">
        <f>""</f>
        <v/>
      </c>
      <c r="BN508" t="s">
        <v>3329</v>
      </c>
      <c r="BP508" t="s">
        <v>2078</v>
      </c>
      <c r="BQ508" t="s">
        <v>377</v>
      </c>
      <c r="BR508" t="s">
        <v>141</v>
      </c>
      <c r="BS508" s="5">
        <v>92617</v>
      </c>
      <c r="BT508" s="2">
        <v>119060</v>
      </c>
      <c r="BV508" t="s">
        <v>105</v>
      </c>
      <c r="BW508" s="2">
        <v>118822</v>
      </c>
      <c r="BX508" t="s">
        <v>105</v>
      </c>
      <c r="CA508" t="str">
        <f>""</f>
        <v/>
      </c>
      <c r="CB508" t="s">
        <v>244</v>
      </c>
      <c r="CC508">
        <v>2019</v>
      </c>
      <c r="CD508" t="s">
        <v>355</v>
      </c>
      <c r="CE508" t="s">
        <v>3330</v>
      </c>
      <c r="CF508">
        <v>2</v>
      </c>
      <c r="CG508" t="s">
        <v>98</v>
      </c>
      <c r="CH508" t="s">
        <v>206</v>
      </c>
      <c r="CI508" t="s">
        <v>206</v>
      </c>
      <c r="CL508" t="s">
        <v>108</v>
      </c>
      <c r="CM508" t="s">
        <v>109</v>
      </c>
      <c r="CN508" t="str">
        <f>"Henderson"</f>
        <v>Henderson</v>
      </c>
      <c r="CO508" t="str">
        <f>"Corrie"</f>
        <v>Corrie</v>
      </c>
      <c r="CP508" t="str">
        <f>""</f>
        <v/>
      </c>
      <c r="CQ508" t="str">
        <f>"Fragomen, Del Rey, Bernsen &amp; Loewy LLP"</f>
        <v>Fragomen, Del Rey, Bernsen &amp; Loewy LLP</v>
      </c>
      <c r="CR508" t="s">
        <v>2300</v>
      </c>
    </row>
    <row r="509" spans="1:96" x14ac:dyDescent="0.2">
      <c r="A509" t="s">
        <v>3372</v>
      </c>
      <c r="B509" t="s">
        <v>96</v>
      </c>
      <c r="C509" s="1">
        <v>44098</v>
      </c>
      <c r="D509" s="1">
        <v>44105</v>
      </c>
      <c r="F509" t="s">
        <v>97</v>
      </c>
      <c r="G509" t="str">
        <f>"Senior Engineer-Software "</f>
        <v xml:space="preserve">Senior Engineer-Software </v>
      </c>
      <c r="H509" t="s">
        <v>12169</v>
      </c>
      <c r="I509" t="s">
        <v>124</v>
      </c>
      <c r="J509" t="s">
        <v>98</v>
      </c>
      <c r="K509" s="1">
        <v>44274</v>
      </c>
      <c r="L509" s="1">
        <v>45369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 t="s">
        <v>3373</v>
      </c>
      <c r="U509" t="str">
        <f>""</f>
        <v/>
      </c>
      <c r="V509" t="s">
        <v>3374</v>
      </c>
      <c r="W509" t="str">
        <f>""</f>
        <v/>
      </c>
      <c r="X509" t="s">
        <v>2291</v>
      </c>
      <c r="Y509" t="s">
        <v>166</v>
      </c>
      <c r="Z509" s="3">
        <v>80112</v>
      </c>
      <c r="AA509" t="s">
        <v>101</v>
      </c>
      <c r="AC509" s="4" t="str">
        <f>"+13037231115"</f>
        <v>+13037231115</v>
      </c>
      <c r="AE509" t="str">
        <f>"517311"</f>
        <v>517311</v>
      </c>
      <c r="AF509" t="s">
        <v>858</v>
      </c>
      <c r="AG509" t="s">
        <v>3375</v>
      </c>
      <c r="AH509" t="s">
        <v>2280</v>
      </c>
      <c r="AI509" t="s">
        <v>3376</v>
      </c>
      <c r="AJ509" t="s">
        <v>273</v>
      </c>
      <c r="AK509" t="str">
        <f>""</f>
        <v/>
      </c>
      <c r="AL509" t="s">
        <v>2291</v>
      </c>
      <c r="AM509" t="s">
        <v>166</v>
      </c>
      <c r="AN509" s="3">
        <v>80112</v>
      </c>
      <c r="AO509" t="s">
        <v>101</v>
      </c>
      <c r="AQ509" t="str">
        <f>"+13037233298"</f>
        <v>+13037233298</v>
      </c>
      <c r="AS509" t="s">
        <v>3377</v>
      </c>
      <c r="AT509" t="s">
        <v>107</v>
      </c>
      <c r="AU509" t="str">
        <f>"Maglich"</f>
        <v>Maglich</v>
      </c>
      <c r="AV509" t="str">
        <f>"Marko"</f>
        <v>Marko</v>
      </c>
      <c r="AW509" t="str">
        <f>"C."</f>
        <v>C.</v>
      </c>
      <c r="AX509" t="str">
        <f>"44 South Broadway"</f>
        <v>44 South Broadway</v>
      </c>
      <c r="AY509" t="str">
        <f>"14th Floor"</f>
        <v>14th Floor</v>
      </c>
      <c r="AZ509" t="str">
        <f>"White Plains"</f>
        <v>White Plains</v>
      </c>
      <c r="BA509" t="str">
        <f>"NY"</f>
        <v>NY</v>
      </c>
      <c r="BB509" s="3">
        <v>10601</v>
      </c>
      <c r="BC509" t="str">
        <f t="shared" si="30"/>
        <v>UNITED STATES OF AMERICA</v>
      </c>
      <c r="BD509" t="str">
        <f>""</f>
        <v/>
      </c>
      <c r="BE509" t="str">
        <f>"+19148726889"</f>
        <v>+19148726889</v>
      </c>
      <c r="BF509" t="str">
        <f>""</f>
        <v/>
      </c>
      <c r="BG509" t="str">
        <f>"marko.maglich@jacksonlewis.com"</f>
        <v>marko.maglich@jacksonlewis.com</v>
      </c>
      <c r="BH509" t="str">
        <f>"Jackson Lewis P.C."</f>
        <v>Jackson Lewis P.C.</v>
      </c>
      <c r="BI509" t="str">
        <f>"NY"</f>
        <v>NY</v>
      </c>
      <c r="BJ509" t="str">
        <f>"Supreme Court"</f>
        <v>Supreme Court</v>
      </c>
      <c r="BK509">
        <v>1</v>
      </c>
      <c r="BL509" t="s">
        <v>102</v>
      </c>
      <c r="BM509" t="str">
        <f>""</f>
        <v/>
      </c>
      <c r="BN509" t="s">
        <v>273</v>
      </c>
      <c r="BP509" t="s">
        <v>2291</v>
      </c>
      <c r="BQ509" t="s">
        <v>165</v>
      </c>
      <c r="BR509" t="s">
        <v>166</v>
      </c>
      <c r="BS509" s="5">
        <v>80112</v>
      </c>
      <c r="BT509" s="2">
        <v>92477</v>
      </c>
      <c r="BU509" s="2">
        <v>139355.34</v>
      </c>
      <c r="BV509" t="s">
        <v>105</v>
      </c>
      <c r="BW509" s="2">
        <v>92477</v>
      </c>
      <c r="BX509" t="s">
        <v>105</v>
      </c>
      <c r="BZ509" t="s">
        <v>167</v>
      </c>
      <c r="CA509" t="str">
        <f t="shared" ref="CA509:CA520" si="31">"7/1/2020 - 6/30/2021"</f>
        <v>7/1/2020 - 6/30/2021</v>
      </c>
      <c r="CF509">
        <v>1</v>
      </c>
      <c r="CG509" t="s">
        <v>98</v>
      </c>
      <c r="CH509" t="s">
        <v>206</v>
      </c>
      <c r="CI509" t="s">
        <v>206</v>
      </c>
      <c r="CL509" t="s">
        <v>108</v>
      </c>
      <c r="CM509" t="s">
        <v>109</v>
      </c>
      <c r="CN509" t="str">
        <f>"Gomez Flores"</f>
        <v>Gomez Flores</v>
      </c>
      <c r="CO509" t="str">
        <f>"Malena"</f>
        <v>Malena</v>
      </c>
      <c r="CP509" t="str">
        <f>""</f>
        <v/>
      </c>
      <c r="CQ509" t="str">
        <f>"Jackson Lewis P.C."</f>
        <v>Jackson Lewis P.C.</v>
      </c>
      <c r="CR509" t="s">
        <v>3378</v>
      </c>
    </row>
    <row r="510" spans="1:96" x14ac:dyDescent="0.2">
      <c r="A510" t="s">
        <v>3468</v>
      </c>
      <c r="B510" t="s">
        <v>96</v>
      </c>
      <c r="C510" s="1">
        <v>44098</v>
      </c>
      <c r="D510" s="1">
        <v>44105</v>
      </c>
      <c r="F510" t="s">
        <v>97</v>
      </c>
      <c r="G510" t="str">
        <f>"DVT Product Engineer"</f>
        <v>DVT Product Engineer</v>
      </c>
      <c r="H510" t="s">
        <v>12258</v>
      </c>
      <c r="I510" t="s">
        <v>863</v>
      </c>
      <c r="J510" t="s">
        <v>98</v>
      </c>
      <c r="K510" s="1">
        <v>44112</v>
      </c>
      <c r="L510" s="1">
        <v>45206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 t="s">
        <v>3251</v>
      </c>
      <c r="U510" t="str">
        <f>""</f>
        <v/>
      </c>
      <c r="V510" t="s">
        <v>3252</v>
      </c>
      <c r="W510" t="str">
        <f>""</f>
        <v/>
      </c>
      <c r="X510" t="s">
        <v>3253</v>
      </c>
      <c r="Y510" t="s">
        <v>814</v>
      </c>
      <c r="Z510" s="3">
        <v>97070</v>
      </c>
      <c r="AA510" t="s">
        <v>101</v>
      </c>
      <c r="AC510" s="4" t="str">
        <f>"+15036851357"</f>
        <v>+15036851357</v>
      </c>
      <c r="AE510" t="str">
        <f>"541512"</f>
        <v>541512</v>
      </c>
      <c r="AF510" t="s">
        <v>2495</v>
      </c>
      <c r="AG510" t="s">
        <v>196</v>
      </c>
      <c r="AI510" t="s">
        <v>3254</v>
      </c>
      <c r="AJ510" t="s">
        <v>3255</v>
      </c>
      <c r="AK510" t="str">
        <f>""</f>
        <v/>
      </c>
      <c r="AL510" t="s">
        <v>3253</v>
      </c>
      <c r="AM510" t="s">
        <v>814</v>
      </c>
      <c r="AN510" s="3">
        <v>97070</v>
      </c>
      <c r="AO510" t="s">
        <v>101</v>
      </c>
      <c r="AQ510" t="str">
        <f>"+15036851357"</f>
        <v>+15036851357</v>
      </c>
      <c r="AS510" t="s">
        <v>3256</v>
      </c>
      <c r="AT510" t="s">
        <v>107</v>
      </c>
      <c r="AU510" t="str">
        <f>"Faure Wenger"</f>
        <v>Faure Wenger</v>
      </c>
      <c r="AV510" t="str">
        <f>"Karine"</f>
        <v>Karine</v>
      </c>
      <c r="AW510" t="str">
        <f>"Isabelle"</f>
        <v>Isabelle</v>
      </c>
      <c r="AX510" t="str">
        <f>"P.O. Box 910129"</f>
        <v>P.O. Box 910129</v>
      </c>
      <c r="AY510" t="str">
        <f>""</f>
        <v/>
      </c>
      <c r="AZ510" t="str">
        <f>"San Diego"</f>
        <v>San Diego</v>
      </c>
      <c r="BA510" t="str">
        <f>"CA"</f>
        <v>CA</v>
      </c>
      <c r="BB510" s="3">
        <v>92191</v>
      </c>
      <c r="BC510" t="str">
        <f t="shared" si="30"/>
        <v>UNITED STATES OF AMERICA</v>
      </c>
      <c r="BD510" t="str">
        <f>""</f>
        <v/>
      </c>
      <c r="BE510" t="str">
        <f>"+18587931600"</f>
        <v>+18587931600</v>
      </c>
      <c r="BF510" t="str">
        <f>""</f>
        <v/>
      </c>
      <c r="BG510" t="str">
        <f>"lcraske@fragomen.com"</f>
        <v>lcraske@fragomen.com</v>
      </c>
      <c r="BH510" t="str">
        <f>"FRAGOMEN, DEL REY, BERNSEN &amp; LOEWY, LLP"</f>
        <v>FRAGOMEN, DEL REY, BERNSEN &amp; LOEWY, LLP</v>
      </c>
      <c r="BI510" t="str">
        <f>"CA"</f>
        <v>CA</v>
      </c>
      <c r="BJ510" t="str">
        <f>"SUPREME COURT"</f>
        <v>SUPREME COURT</v>
      </c>
      <c r="BK510">
        <v>1</v>
      </c>
      <c r="BL510" t="s">
        <v>102</v>
      </c>
      <c r="BM510" t="str">
        <f>""</f>
        <v/>
      </c>
      <c r="BN510" t="s">
        <v>3469</v>
      </c>
      <c r="BO510" t="s">
        <v>3470</v>
      </c>
      <c r="BP510" t="s">
        <v>3471</v>
      </c>
      <c r="BQ510" t="s">
        <v>813</v>
      </c>
      <c r="BR510" t="s">
        <v>814</v>
      </c>
      <c r="BS510" s="5">
        <v>97062</v>
      </c>
      <c r="BT510" s="2">
        <v>103106</v>
      </c>
      <c r="BU510" s="2">
        <v>140800</v>
      </c>
      <c r="BV510" t="s">
        <v>105</v>
      </c>
      <c r="BW510" s="2">
        <v>92997</v>
      </c>
      <c r="BX510" t="s">
        <v>105</v>
      </c>
      <c r="BZ510" t="s">
        <v>167</v>
      </c>
      <c r="CA510" t="str">
        <f t="shared" si="31"/>
        <v>7/1/2020 - 6/30/2021</v>
      </c>
      <c r="CF510">
        <v>1</v>
      </c>
      <c r="CG510" t="s">
        <v>98</v>
      </c>
      <c r="CH510" t="s">
        <v>206</v>
      </c>
      <c r="CI510" t="s">
        <v>206</v>
      </c>
      <c r="CL510" t="s">
        <v>108</v>
      </c>
      <c r="CM510" t="s">
        <v>109</v>
      </c>
      <c r="CN510" t="str">
        <f>""</f>
        <v/>
      </c>
      <c r="CO510" t="str">
        <f>""</f>
        <v/>
      </c>
      <c r="CP510" t="str">
        <f>""</f>
        <v/>
      </c>
      <c r="CQ510" t="str">
        <f>""</f>
        <v/>
      </c>
    </row>
    <row r="511" spans="1:96" x14ac:dyDescent="0.2">
      <c r="A511" t="s">
        <v>3498</v>
      </c>
      <c r="B511" t="s">
        <v>96</v>
      </c>
      <c r="C511" s="1">
        <v>44098</v>
      </c>
      <c r="D511" s="1">
        <v>44105</v>
      </c>
      <c r="F511" t="s">
        <v>97</v>
      </c>
      <c r="G511" t="str">
        <f>"Supplier Quality Engineer"</f>
        <v>Supplier Quality Engineer</v>
      </c>
      <c r="H511" t="s">
        <v>12224</v>
      </c>
      <c r="I511" t="s">
        <v>198</v>
      </c>
      <c r="J511" t="s">
        <v>98</v>
      </c>
      <c r="K511" s="1">
        <v>44130</v>
      </c>
      <c r="L511" s="1">
        <v>45224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 t="s">
        <v>3499</v>
      </c>
      <c r="U511" t="str">
        <f>"Lucid Motors USA, Inc."</f>
        <v>Lucid Motors USA, Inc.</v>
      </c>
      <c r="V511" t="s">
        <v>3402</v>
      </c>
      <c r="W511" t="str">
        <f>""</f>
        <v/>
      </c>
      <c r="X511" t="s">
        <v>308</v>
      </c>
      <c r="Y511" t="s">
        <v>141</v>
      </c>
      <c r="Z511" s="3">
        <v>94560</v>
      </c>
      <c r="AA511" t="s">
        <v>101</v>
      </c>
      <c r="AC511" s="4" t="str">
        <f>"+16508028181"</f>
        <v>+16508028181</v>
      </c>
      <c r="AE511" t="str">
        <f>"33611"</f>
        <v>33611</v>
      </c>
      <c r="AF511" t="s">
        <v>3500</v>
      </c>
      <c r="AG511" t="s">
        <v>3501</v>
      </c>
      <c r="AH511" t="s">
        <v>1663</v>
      </c>
      <c r="AI511" t="s">
        <v>3502</v>
      </c>
      <c r="AJ511" t="s">
        <v>3503</v>
      </c>
      <c r="AK511" t="str">
        <f>""</f>
        <v/>
      </c>
      <c r="AL511" t="s">
        <v>308</v>
      </c>
      <c r="AM511" t="s">
        <v>141</v>
      </c>
      <c r="AN511" s="3">
        <v>94560</v>
      </c>
      <c r="AO511" t="s">
        <v>101</v>
      </c>
      <c r="AQ511" t="str">
        <f>"+16508028181"</f>
        <v>+16508028181</v>
      </c>
      <c r="AS511" t="s">
        <v>3504</v>
      </c>
      <c r="AT511" t="s">
        <v>107</v>
      </c>
      <c r="AU511" t="str">
        <f>"Gammon"</f>
        <v>Gammon</v>
      </c>
      <c r="AV511" t="str">
        <f>"Juli"</f>
        <v>Juli</v>
      </c>
      <c r="AW511" t="str">
        <f>"A. "</f>
        <v xml:space="preserve">A. </v>
      </c>
      <c r="AX511" t="str">
        <f>"90 New Montgomery Street"</f>
        <v>90 New Montgomery Street</v>
      </c>
      <c r="AY511" t="str">
        <f>"8th Floor"</f>
        <v>8th Floor</v>
      </c>
      <c r="AZ511" t="str">
        <f>"San Francisco"</f>
        <v>San Francisco</v>
      </c>
      <c r="BA511" t="str">
        <f>"CA"</f>
        <v>CA</v>
      </c>
      <c r="BB511" s="3">
        <v>94105</v>
      </c>
      <c r="BC511" t="str">
        <f t="shared" si="30"/>
        <v>UNITED STATES OF AMERICA</v>
      </c>
      <c r="BD511" t="str">
        <f>""</f>
        <v/>
      </c>
      <c r="BE511" t="str">
        <f>"+14159759800"</f>
        <v>+14159759800</v>
      </c>
      <c r="BF511" t="str">
        <f>""</f>
        <v/>
      </c>
      <c r="BG511" t="str">
        <f>"flag-SF1@tsmimmigration.com"</f>
        <v>flag-SF1@tsmimmigration.com</v>
      </c>
      <c r="BH511" t="str">
        <f>"Tafapolsky Smith Mehlman LLP"</f>
        <v>Tafapolsky Smith Mehlman LLP</v>
      </c>
      <c r="BI511" t="str">
        <f>"CA"</f>
        <v>CA</v>
      </c>
      <c r="BJ511" t="str">
        <f>"Supreme Court"</f>
        <v>Supreme Court</v>
      </c>
      <c r="BK511">
        <v>1</v>
      </c>
      <c r="BL511" t="s">
        <v>102</v>
      </c>
      <c r="BM511" t="str">
        <f>""</f>
        <v/>
      </c>
      <c r="BN511" t="s">
        <v>3505</v>
      </c>
      <c r="BP511" t="s">
        <v>308</v>
      </c>
      <c r="BQ511" t="s">
        <v>419</v>
      </c>
      <c r="BR511" t="s">
        <v>141</v>
      </c>
      <c r="BS511" s="5">
        <v>94560</v>
      </c>
      <c r="BT511" s="2">
        <v>125000</v>
      </c>
      <c r="BV511" t="s">
        <v>105</v>
      </c>
      <c r="BW511" s="2">
        <v>113922</v>
      </c>
      <c r="BX511" t="s">
        <v>105</v>
      </c>
      <c r="BZ511" t="s">
        <v>123</v>
      </c>
      <c r="CA511" t="str">
        <f t="shared" si="31"/>
        <v>7/1/2020 - 6/30/2021</v>
      </c>
      <c r="CF511">
        <v>1</v>
      </c>
      <c r="CG511" t="s">
        <v>98</v>
      </c>
      <c r="CH511" t="s">
        <v>206</v>
      </c>
      <c r="CI511" t="s">
        <v>206</v>
      </c>
      <c r="CL511" t="s">
        <v>108</v>
      </c>
      <c r="CM511" t="s">
        <v>109</v>
      </c>
      <c r="CN511" t="str">
        <f>"Mei [A518-P406]"</f>
        <v>Mei [A518-P406]</v>
      </c>
      <c r="CO511" t="str">
        <f>"Kimberley"</f>
        <v>Kimberley</v>
      </c>
      <c r="CP511" t="str">
        <f>""</f>
        <v/>
      </c>
      <c r="CQ511" t="str">
        <f>"Tafapolsky Smith Mehlman LLP"</f>
        <v>Tafapolsky Smith Mehlman LLP</v>
      </c>
      <c r="CR511" t="s">
        <v>3506</v>
      </c>
    </row>
    <row r="512" spans="1:96" x14ac:dyDescent="0.2">
      <c r="A512" t="s">
        <v>3637</v>
      </c>
      <c r="B512" t="s">
        <v>96</v>
      </c>
      <c r="C512" s="1">
        <v>44098</v>
      </c>
      <c r="D512" s="1">
        <v>44105</v>
      </c>
      <c r="F512" t="s">
        <v>97</v>
      </c>
      <c r="G512" t="str">
        <f>"Vice President, Software Engineer"</f>
        <v>Vice President, Software Engineer</v>
      </c>
      <c r="H512" t="s">
        <v>12169</v>
      </c>
      <c r="I512" t="s">
        <v>124</v>
      </c>
      <c r="J512" t="s">
        <v>98</v>
      </c>
      <c r="K512" s="1">
        <v>44269</v>
      </c>
      <c r="L512" s="1">
        <v>45364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 t="s">
        <v>1401</v>
      </c>
      <c r="U512" t="str">
        <f>""</f>
        <v/>
      </c>
      <c r="V512" t="s">
        <v>3046</v>
      </c>
      <c r="W512" t="str">
        <f>"20TH FLR., IL 1-0043"</f>
        <v>20TH FLR., IL 1-0043</v>
      </c>
      <c r="X512" t="s">
        <v>843</v>
      </c>
      <c r="Y512" t="s">
        <v>345</v>
      </c>
      <c r="Z512" s="3">
        <v>60603</v>
      </c>
      <c r="AA512" t="s">
        <v>101</v>
      </c>
      <c r="AC512" s="4" t="str">
        <f>"+13127321994"</f>
        <v>+13127321994</v>
      </c>
      <c r="AE512" t="str">
        <f>"551112"</f>
        <v>551112</v>
      </c>
      <c r="AF512" t="s">
        <v>1403</v>
      </c>
      <c r="AG512" t="s">
        <v>1404</v>
      </c>
      <c r="AI512" t="s">
        <v>1405</v>
      </c>
      <c r="AJ512" t="s">
        <v>3046</v>
      </c>
      <c r="AK512" t="str">
        <f>"20TH FLR., IL 1-0043"</f>
        <v>20TH FLR., IL 1-0043</v>
      </c>
      <c r="AL512" t="s">
        <v>843</v>
      </c>
      <c r="AM512" t="s">
        <v>345</v>
      </c>
      <c r="AN512" s="3">
        <v>60603</v>
      </c>
      <c r="AO512" t="s">
        <v>101</v>
      </c>
      <c r="AQ512" t="str">
        <f>"+13127321994"</f>
        <v>+13127321994</v>
      </c>
      <c r="AS512" t="s">
        <v>1406</v>
      </c>
      <c r="AT512" t="s">
        <v>107</v>
      </c>
      <c r="AU512" t="str">
        <f>"MARTINEZ"</f>
        <v>MARTINEZ</v>
      </c>
      <c r="AV512" t="str">
        <f>"TIFFANY"</f>
        <v>TIFFANY</v>
      </c>
      <c r="AW512" t="str">
        <f>""</f>
        <v/>
      </c>
      <c r="AX512" t="str">
        <f>"100 PRINGLE AVENUE"</f>
        <v>100 PRINGLE AVENUE</v>
      </c>
      <c r="AY512" t="str">
        <f>"SUITE 300"</f>
        <v>SUITE 300</v>
      </c>
      <c r="AZ512" t="str">
        <f>"WALNUT CREEK"</f>
        <v>WALNUT CREEK</v>
      </c>
      <c r="BA512" t="str">
        <f>"CA"</f>
        <v>CA</v>
      </c>
      <c r="BB512" s="3">
        <v>94596</v>
      </c>
      <c r="BC512" t="str">
        <f t="shared" si="30"/>
        <v>UNITED STATES OF AMERICA</v>
      </c>
      <c r="BD512" t="str">
        <f>""</f>
        <v/>
      </c>
      <c r="BE512" t="str">
        <f>"+14692909403"</f>
        <v>+14692909403</v>
      </c>
      <c r="BF512" t="str">
        <f>""</f>
        <v/>
      </c>
      <c r="BG512" t="str">
        <f>"LSIMANTO@BALGLOBAL.COM"</f>
        <v>LSIMANTO@BALGLOBAL.COM</v>
      </c>
      <c r="BH512" t="str">
        <f>"Berry Appleman &amp; Leiden LLP"</f>
        <v>Berry Appleman &amp; Leiden LLP</v>
      </c>
      <c r="BI512" t="str">
        <f>"CA"</f>
        <v>CA</v>
      </c>
      <c r="BJ512" t="str">
        <f>"SUPREME COURT"</f>
        <v>SUPREME COURT</v>
      </c>
      <c r="BK512">
        <v>1</v>
      </c>
      <c r="BL512" t="s">
        <v>102</v>
      </c>
      <c r="BM512" t="str">
        <f>""</f>
        <v/>
      </c>
      <c r="BN512" t="s">
        <v>3638</v>
      </c>
      <c r="BP512" t="s">
        <v>394</v>
      </c>
      <c r="BQ512" t="s">
        <v>395</v>
      </c>
      <c r="BR512" t="s">
        <v>114</v>
      </c>
      <c r="BS512" s="5">
        <v>77002</v>
      </c>
      <c r="BT512" s="2">
        <v>145000</v>
      </c>
      <c r="BV512" t="s">
        <v>105</v>
      </c>
      <c r="BW512" s="2">
        <v>123323</v>
      </c>
      <c r="BX512" t="s">
        <v>105</v>
      </c>
      <c r="BZ512" t="s">
        <v>159</v>
      </c>
      <c r="CA512" t="str">
        <f t="shared" si="31"/>
        <v>7/1/2020 - 6/30/2021</v>
      </c>
      <c r="CF512">
        <v>1</v>
      </c>
      <c r="CG512" t="s">
        <v>98</v>
      </c>
      <c r="CH512" t="s">
        <v>206</v>
      </c>
      <c r="CI512" t="s">
        <v>206</v>
      </c>
      <c r="CL512" t="s">
        <v>108</v>
      </c>
      <c r="CM512" t="s">
        <v>109</v>
      </c>
      <c r="CN512" t="str">
        <f>""</f>
        <v/>
      </c>
      <c r="CO512" t="str">
        <f>""</f>
        <v/>
      </c>
      <c r="CP512" t="str">
        <f>""</f>
        <v/>
      </c>
      <c r="CQ512" t="str">
        <f>""</f>
        <v/>
      </c>
    </row>
    <row r="513" spans="1:96" x14ac:dyDescent="0.2">
      <c r="A513" t="s">
        <v>3768</v>
      </c>
      <c r="B513" t="s">
        <v>96</v>
      </c>
      <c r="C513" s="1">
        <v>44098</v>
      </c>
      <c r="D513" s="1">
        <v>44105</v>
      </c>
      <c r="F513" t="s">
        <v>97</v>
      </c>
      <c r="G513" t="str">
        <f>"Physical Therapist (Assistant Director of Rehab)"</f>
        <v>Physical Therapist (Assistant Director of Rehab)</v>
      </c>
      <c r="H513" t="s">
        <v>12202</v>
      </c>
      <c r="I513" t="s">
        <v>1740</v>
      </c>
      <c r="J513" t="s">
        <v>98</v>
      </c>
      <c r="K513" s="1">
        <v>44105</v>
      </c>
      <c r="L513" s="1">
        <v>45199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 t="s">
        <v>3769</v>
      </c>
      <c r="U513" t="str">
        <f>"Consonus Rehab Services"</f>
        <v>Consonus Rehab Services</v>
      </c>
      <c r="V513" t="s">
        <v>3770</v>
      </c>
      <c r="W513" t="str">
        <f>"Ste 100"</f>
        <v>Ste 100</v>
      </c>
      <c r="X513" t="s">
        <v>3771</v>
      </c>
      <c r="Y513" t="s">
        <v>814</v>
      </c>
      <c r="Z513" s="3">
        <v>97222</v>
      </c>
      <c r="AA513" t="s">
        <v>101</v>
      </c>
      <c r="AC513" s="4" t="str">
        <f>"+19712065202"</f>
        <v>+19712065202</v>
      </c>
      <c r="AE513" t="str">
        <f>"621340"</f>
        <v>621340</v>
      </c>
      <c r="AF513" t="s">
        <v>3772</v>
      </c>
      <c r="AG513" t="s">
        <v>3526</v>
      </c>
      <c r="AI513" t="s">
        <v>1560</v>
      </c>
      <c r="AJ513" t="s">
        <v>3773</v>
      </c>
      <c r="AK513" t="str">
        <f>"Ste. 100"</f>
        <v>Ste. 100</v>
      </c>
      <c r="AL513" t="s">
        <v>3771</v>
      </c>
      <c r="AM513" t="s">
        <v>814</v>
      </c>
      <c r="AN513" s="3">
        <v>97222</v>
      </c>
      <c r="AO513" t="s">
        <v>101</v>
      </c>
      <c r="AQ513" t="str">
        <f>"+19712062324"</f>
        <v>+19712062324</v>
      </c>
      <c r="AS513" t="s">
        <v>3774</v>
      </c>
      <c r="AT513" t="s">
        <v>107</v>
      </c>
      <c r="AU513" t="str">
        <f>"Borja"</f>
        <v>Borja</v>
      </c>
      <c r="AV513" t="str">
        <f>"Carlo Franco"</f>
        <v>Carlo Franco</v>
      </c>
      <c r="AW513" t="str">
        <f>""</f>
        <v/>
      </c>
      <c r="AX513" t="str">
        <f>"20955 Pathfinder Rd. "</f>
        <v xml:space="preserve">20955 Pathfinder Rd. </v>
      </c>
      <c r="AY513" t="str">
        <f>"Ste. 100"</f>
        <v>Ste. 100</v>
      </c>
      <c r="AZ513" t="str">
        <f>"Diamond Bar"</f>
        <v>Diamond Bar</v>
      </c>
      <c r="BA513" t="str">
        <f>"CA"</f>
        <v>CA</v>
      </c>
      <c r="BB513" s="3">
        <v>91765</v>
      </c>
      <c r="BC513" t="str">
        <f t="shared" si="30"/>
        <v>UNITED STATES OF AMERICA</v>
      </c>
      <c r="BD513" t="str">
        <f>""</f>
        <v/>
      </c>
      <c r="BE513" t="str">
        <f>"+19093780318"</f>
        <v>+19093780318</v>
      </c>
      <c r="BF513" t="str">
        <f>""</f>
        <v/>
      </c>
      <c r="BG513" t="str">
        <f>"info@cborjalaw.com"</f>
        <v>info@cborjalaw.com</v>
      </c>
      <c r="BH513" t="str">
        <f>"Law Office of Carlo Borja"</f>
        <v>Law Office of Carlo Borja</v>
      </c>
      <c r="BI513" t="str">
        <f>"CA"</f>
        <v>CA</v>
      </c>
      <c r="BJ513" t="str">
        <f>"Supreme Court of California"</f>
        <v>Supreme Court of California</v>
      </c>
      <c r="BK513">
        <v>1</v>
      </c>
      <c r="BL513" t="s">
        <v>107</v>
      </c>
      <c r="BM513" t="str">
        <f>"Las Colinas Post Acute"</f>
        <v>Las Colinas Post Acute</v>
      </c>
      <c r="BN513" t="s">
        <v>3775</v>
      </c>
      <c r="BP513" t="s">
        <v>3776</v>
      </c>
      <c r="BQ513" t="s">
        <v>3581</v>
      </c>
      <c r="BR513" t="s">
        <v>141</v>
      </c>
      <c r="BS513" s="5">
        <v>91764</v>
      </c>
      <c r="BT513" s="2">
        <v>91790</v>
      </c>
      <c r="BV513" t="s">
        <v>105</v>
      </c>
      <c r="BW513" s="2">
        <v>91790</v>
      </c>
      <c r="BX513" t="s">
        <v>105</v>
      </c>
      <c r="BZ513" t="s">
        <v>167</v>
      </c>
      <c r="CA513" t="str">
        <f t="shared" si="31"/>
        <v>7/1/2020 - 6/30/2021</v>
      </c>
      <c r="CF513">
        <v>1</v>
      </c>
      <c r="CG513" t="s">
        <v>98</v>
      </c>
      <c r="CH513" t="s">
        <v>206</v>
      </c>
      <c r="CI513" t="s">
        <v>206</v>
      </c>
      <c r="CL513" t="s">
        <v>108</v>
      </c>
      <c r="CM513" t="s">
        <v>718</v>
      </c>
      <c r="CN513" t="str">
        <f>""</f>
        <v/>
      </c>
      <c r="CO513" t="str">
        <f>""</f>
        <v/>
      </c>
      <c r="CP513" t="str">
        <f>""</f>
        <v/>
      </c>
      <c r="CQ513" t="str">
        <f>""</f>
        <v/>
      </c>
    </row>
    <row r="514" spans="1:96" x14ac:dyDescent="0.2">
      <c r="A514" t="s">
        <v>3784</v>
      </c>
      <c r="B514" t="s">
        <v>96</v>
      </c>
      <c r="C514" s="1">
        <v>44098</v>
      </c>
      <c r="D514" s="1">
        <v>44105</v>
      </c>
      <c r="F514" t="s">
        <v>97</v>
      </c>
      <c r="G514" t="str">
        <f>"SOFTWARE DEVELOPMENT ENGINEER II"</f>
        <v>SOFTWARE DEVELOPMENT ENGINEER II</v>
      </c>
      <c r="H514" t="s">
        <v>12169</v>
      </c>
      <c r="I514" t="s">
        <v>124</v>
      </c>
      <c r="J514" t="s">
        <v>98</v>
      </c>
      <c r="K514" s="1">
        <v>44105</v>
      </c>
      <c r="L514" s="1">
        <v>45199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 t="s">
        <v>440</v>
      </c>
      <c r="U514" t="str">
        <f>""</f>
        <v/>
      </c>
      <c r="V514" t="s">
        <v>809</v>
      </c>
      <c r="W514" t="str">
        <f>"SUITE 500"</f>
        <v>SUITE 500</v>
      </c>
      <c r="X514" t="s">
        <v>433</v>
      </c>
      <c r="Y514" t="s">
        <v>176</v>
      </c>
      <c r="Z514" s="3">
        <v>98121</v>
      </c>
      <c r="AA514" t="s">
        <v>101</v>
      </c>
      <c r="AC514" s="4" t="str">
        <f>"+12062661000"</f>
        <v>+12062661000</v>
      </c>
      <c r="AE514" t="str">
        <f>"454110"</f>
        <v>454110</v>
      </c>
      <c r="AF514" t="s">
        <v>442</v>
      </c>
      <c r="AG514" t="s">
        <v>443</v>
      </c>
      <c r="AH514" t="s">
        <v>108</v>
      </c>
      <c r="AI514" t="s">
        <v>434</v>
      </c>
      <c r="AJ514" t="s">
        <v>809</v>
      </c>
      <c r="AK514" t="str">
        <f>"SUITE 500"</f>
        <v>SUITE 500</v>
      </c>
      <c r="AL514" t="s">
        <v>433</v>
      </c>
      <c r="AM514" t="s">
        <v>176</v>
      </c>
      <c r="AN514" s="3">
        <v>98121</v>
      </c>
      <c r="AO514" t="s">
        <v>101</v>
      </c>
      <c r="AQ514" t="str">
        <f>"+12062661000"</f>
        <v>+12062661000</v>
      </c>
      <c r="AS514" t="s">
        <v>263</v>
      </c>
      <c r="AT514" t="s">
        <v>107</v>
      </c>
      <c r="AU514" t="str">
        <f>"MARANCI"</f>
        <v>MARANCI</v>
      </c>
      <c r="AV514" t="str">
        <f>"DANIEL"</f>
        <v>DANIEL</v>
      </c>
      <c r="AW514" t="str">
        <f>"N/A"</f>
        <v>N/A</v>
      </c>
      <c r="AX514" t="str">
        <f>"100 HIGH STREET"</f>
        <v>100 HIGH STREET</v>
      </c>
      <c r="AY514" t="str">
        <f>"3RD FLOOR C#5293423"</f>
        <v>3RD FLOOR C#5293423</v>
      </c>
      <c r="AZ514" t="str">
        <f>"BOSTON"</f>
        <v>BOSTON</v>
      </c>
      <c r="BA514" t="str">
        <f>"MA"</f>
        <v>MA</v>
      </c>
      <c r="BB514" s="3">
        <v>2110</v>
      </c>
      <c r="BC514" t="str">
        <f t="shared" si="30"/>
        <v>UNITED STATES OF AMERICA</v>
      </c>
      <c r="BD514" t="str">
        <f>""</f>
        <v/>
      </c>
      <c r="BE514" t="str">
        <f>"+16175740400"</f>
        <v>+16175740400</v>
      </c>
      <c r="BF514" t="str">
        <f>""</f>
        <v/>
      </c>
      <c r="BG514" t="str">
        <f>"AMAZONINDIA@FRAGOMEN.COM"</f>
        <v>AMAZONINDIA@FRAGOMEN.COM</v>
      </c>
      <c r="BH514" t="str">
        <f>"FRAGOMEN, DEL REY, BERNSEN &amp; LOEWY, LLP"</f>
        <v>FRAGOMEN, DEL REY, BERNSEN &amp; LOEWY, LLP</v>
      </c>
      <c r="BI514" t="str">
        <f>"MA"</f>
        <v>MA</v>
      </c>
      <c r="BJ514" t="str">
        <f>"SUPREME JUDICIAL COURT"</f>
        <v>SUPREME JUDICIAL COURT</v>
      </c>
      <c r="BK514">
        <v>1</v>
      </c>
      <c r="BL514" t="s">
        <v>102</v>
      </c>
      <c r="BM514" t="str">
        <f>""</f>
        <v/>
      </c>
      <c r="BN514" t="s">
        <v>3785</v>
      </c>
      <c r="BO514" t="s">
        <v>3786</v>
      </c>
      <c r="BP514" t="s">
        <v>433</v>
      </c>
      <c r="BQ514" t="s">
        <v>183</v>
      </c>
      <c r="BR514" t="s">
        <v>176</v>
      </c>
      <c r="BS514" s="5">
        <v>98101</v>
      </c>
      <c r="BT514" s="2">
        <v>146500</v>
      </c>
      <c r="BV514" t="s">
        <v>105</v>
      </c>
      <c r="BW514" s="2">
        <v>113110</v>
      </c>
      <c r="BX514" t="s">
        <v>105</v>
      </c>
      <c r="BZ514" t="s">
        <v>167</v>
      </c>
      <c r="CA514" t="str">
        <f t="shared" si="31"/>
        <v>7/1/2020 - 6/30/2021</v>
      </c>
      <c r="CF514">
        <v>1</v>
      </c>
      <c r="CG514" t="s">
        <v>98</v>
      </c>
      <c r="CH514" t="s">
        <v>206</v>
      </c>
      <c r="CI514" t="s">
        <v>206</v>
      </c>
      <c r="CL514" t="s">
        <v>108</v>
      </c>
      <c r="CM514" t="s">
        <v>109</v>
      </c>
      <c r="CN514" t="str">
        <f>"SUNNY"</f>
        <v>SUNNY</v>
      </c>
      <c r="CO514" t="str">
        <f>"JASMIN"</f>
        <v>JASMIN</v>
      </c>
      <c r="CP514" t="str">
        <f>"N/A"</f>
        <v>N/A</v>
      </c>
      <c r="CQ514" t="str">
        <f>"FRAGOMEN, DEL REY, BERNSEN &amp; LOEWY, LLP"</f>
        <v>FRAGOMEN, DEL REY, BERNSEN &amp; LOEWY, LLP</v>
      </c>
      <c r="CR514" t="s">
        <v>650</v>
      </c>
    </row>
    <row r="515" spans="1:96" x14ac:dyDescent="0.2">
      <c r="A515" t="s">
        <v>3819</v>
      </c>
      <c r="B515" t="s">
        <v>96</v>
      </c>
      <c r="C515" s="1">
        <v>44098</v>
      </c>
      <c r="D515" s="1">
        <v>44105</v>
      </c>
      <c r="F515" t="s">
        <v>97</v>
      </c>
      <c r="G515" t="str">
        <f>"POSTDOCTORAL RESEARCH ASSOCIATE"</f>
        <v>POSTDOCTORAL RESEARCH ASSOCIATE</v>
      </c>
      <c r="H515" t="s">
        <v>12173</v>
      </c>
      <c r="I515" t="s">
        <v>917</v>
      </c>
      <c r="J515" t="s">
        <v>98</v>
      </c>
      <c r="K515" s="1">
        <v>44119</v>
      </c>
      <c r="L515" s="1">
        <v>44483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3820</v>
      </c>
      <c r="U515" t="str">
        <f>""</f>
        <v/>
      </c>
      <c r="V515" t="s">
        <v>3821</v>
      </c>
      <c r="W515" t="str">
        <f>""</f>
        <v/>
      </c>
      <c r="X515" t="s">
        <v>113</v>
      </c>
      <c r="Y515" t="s">
        <v>114</v>
      </c>
      <c r="Z515" s="3">
        <v>77843</v>
      </c>
      <c r="AA515" t="s">
        <v>101</v>
      </c>
      <c r="AC515" s="4" t="str">
        <f>"+19798621719"</f>
        <v>+19798621719</v>
      </c>
      <c r="AE515" t="str">
        <f>"611310"</f>
        <v>611310</v>
      </c>
      <c r="AF515" t="s">
        <v>3822</v>
      </c>
      <c r="AG515" t="s">
        <v>3823</v>
      </c>
      <c r="AH515" t="s">
        <v>320</v>
      </c>
      <c r="AI515" t="s">
        <v>3824</v>
      </c>
      <c r="AJ515" t="s">
        <v>3821</v>
      </c>
      <c r="AK515" t="str">
        <f>""</f>
        <v/>
      </c>
      <c r="AL515" t="s">
        <v>113</v>
      </c>
      <c r="AM515" t="s">
        <v>114</v>
      </c>
      <c r="AN515" s="3">
        <v>77843</v>
      </c>
      <c r="AO515" t="s">
        <v>101</v>
      </c>
      <c r="AQ515" t="str">
        <f>"+19798621719"</f>
        <v>+19798621719</v>
      </c>
      <c r="AS515" t="s">
        <v>3825</v>
      </c>
      <c r="AT515" t="s">
        <v>102</v>
      </c>
      <c r="AU515" t="str">
        <f>""</f>
        <v/>
      </c>
      <c r="AV515" t="str">
        <f>""</f>
        <v/>
      </c>
      <c r="AW515" t="str">
        <f>""</f>
        <v/>
      </c>
      <c r="AX515" t="str">
        <f>""</f>
        <v/>
      </c>
      <c r="AY515" t="str">
        <f>""</f>
        <v/>
      </c>
      <c r="AZ515" t="str">
        <f>""</f>
        <v/>
      </c>
      <c r="BA515" t="str">
        <f>""</f>
        <v/>
      </c>
      <c r="BC515" t="str">
        <f>""</f>
        <v/>
      </c>
      <c r="BD515" t="str">
        <f>""</f>
        <v/>
      </c>
      <c r="BE515" t="str">
        <f>""</f>
        <v/>
      </c>
      <c r="BF515" t="str">
        <f>""</f>
        <v/>
      </c>
      <c r="BG515" t="str">
        <f>""</f>
        <v/>
      </c>
      <c r="BH515" t="str">
        <f>""</f>
        <v/>
      </c>
      <c r="BI515" t="str">
        <f>""</f>
        <v/>
      </c>
      <c r="BJ515" t="str">
        <f>""</f>
        <v/>
      </c>
      <c r="BK515">
        <v>1</v>
      </c>
      <c r="BL515" t="s">
        <v>102</v>
      </c>
      <c r="BM515" t="str">
        <f>""</f>
        <v/>
      </c>
      <c r="BN515" t="s">
        <v>3826</v>
      </c>
      <c r="BP515" t="s">
        <v>113</v>
      </c>
      <c r="BQ515" t="s">
        <v>3702</v>
      </c>
      <c r="BR515" t="s">
        <v>114</v>
      </c>
      <c r="BS515" s="5">
        <v>77843</v>
      </c>
      <c r="BT515" s="2">
        <v>48000</v>
      </c>
      <c r="BV515" t="s">
        <v>105</v>
      </c>
      <c r="BW515" s="2">
        <v>46259</v>
      </c>
      <c r="BX515" t="s">
        <v>105</v>
      </c>
      <c r="BZ515" t="s">
        <v>191</v>
      </c>
      <c r="CA515" t="str">
        <f t="shared" si="31"/>
        <v>7/1/2020 - 6/30/2021</v>
      </c>
      <c r="CF515">
        <v>1</v>
      </c>
      <c r="CG515" t="s">
        <v>98</v>
      </c>
      <c r="CH515" t="s">
        <v>206</v>
      </c>
      <c r="CI515" t="s">
        <v>206</v>
      </c>
      <c r="CL515" t="s">
        <v>108</v>
      </c>
      <c r="CM515" t="s">
        <v>109</v>
      </c>
      <c r="CN515" t="str">
        <f>""</f>
        <v/>
      </c>
      <c r="CO515" t="str">
        <f>""</f>
        <v/>
      </c>
      <c r="CP515" t="str">
        <f>""</f>
        <v/>
      </c>
      <c r="CQ515" t="str">
        <f>""</f>
        <v/>
      </c>
    </row>
    <row r="516" spans="1:96" x14ac:dyDescent="0.2">
      <c r="A516" t="s">
        <v>3946</v>
      </c>
      <c r="B516" t="s">
        <v>96</v>
      </c>
      <c r="C516" s="1">
        <v>44098</v>
      </c>
      <c r="D516" s="1">
        <v>44105</v>
      </c>
      <c r="F516" t="s">
        <v>97</v>
      </c>
      <c r="G516" t="str">
        <f>"Application Administrator IV"</f>
        <v>Application Administrator IV</v>
      </c>
      <c r="H516" t="s">
        <v>12169</v>
      </c>
      <c r="I516" t="s">
        <v>124</v>
      </c>
      <c r="J516" t="s">
        <v>98</v>
      </c>
      <c r="K516" s="1">
        <v>44105</v>
      </c>
      <c r="L516" s="1">
        <v>45199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 t="s">
        <v>3947</v>
      </c>
      <c r="U516" t="str">
        <f>""</f>
        <v/>
      </c>
      <c r="V516" t="s">
        <v>3948</v>
      </c>
      <c r="W516" t="str">
        <f>"One AMC Way"</f>
        <v>One AMC Way</v>
      </c>
      <c r="X516" t="s">
        <v>3949</v>
      </c>
      <c r="Y516" t="s">
        <v>193</v>
      </c>
      <c r="Z516" s="3">
        <v>66211</v>
      </c>
      <c r="AA516" t="s">
        <v>101</v>
      </c>
      <c r="AC516" s="4" t="str">
        <f>"+19132132243"</f>
        <v>+19132132243</v>
      </c>
      <c r="AE516" t="str">
        <f>"512131"</f>
        <v>512131</v>
      </c>
      <c r="AF516" t="s">
        <v>3950</v>
      </c>
      <c r="AG516" t="s">
        <v>200</v>
      </c>
      <c r="AH516" t="s">
        <v>3951</v>
      </c>
      <c r="AI516" t="s">
        <v>3952</v>
      </c>
      <c r="AJ516" t="s">
        <v>3953</v>
      </c>
      <c r="AK516" t="str">
        <f>"One AMC Way"</f>
        <v>One AMC Way</v>
      </c>
      <c r="AL516" t="s">
        <v>3949</v>
      </c>
      <c r="AM516" t="s">
        <v>193</v>
      </c>
      <c r="AN516" s="3">
        <v>66211</v>
      </c>
      <c r="AO516" t="s">
        <v>101</v>
      </c>
      <c r="AQ516" t="str">
        <f>"+19132132243"</f>
        <v>+19132132243</v>
      </c>
      <c r="AS516" t="s">
        <v>3954</v>
      </c>
      <c r="AT516" t="s">
        <v>107</v>
      </c>
      <c r="AU516" t="str">
        <f>"Benet"</f>
        <v>Benet</v>
      </c>
      <c r="AV516" t="str">
        <f>"William"</f>
        <v>William</v>
      </c>
      <c r="AW516" t="str">
        <f>"N."</f>
        <v>N.</v>
      </c>
      <c r="AX516" t="str">
        <f>"2000 S Colorado Blvd."</f>
        <v>2000 S Colorado Blvd.</v>
      </c>
      <c r="AY516" t="str">
        <f>"Tower 3, Suite 900"</f>
        <v>Tower 3, Suite 900</v>
      </c>
      <c r="AZ516" t="str">
        <f>"Denver"</f>
        <v>Denver</v>
      </c>
      <c r="BA516" t="str">
        <f>"CO"</f>
        <v>CO</v>
      </c>
      <c r="BB516" s="3">
        <v>80222</v>
      </c>
      <c r="BC516" t="str">
        <f>"UNITED STATES OF AMERICA"</f>
        <v>UNITED STATES OF AMERICA</v>
      </c>
      <c r="BD516" t="str">
        <f>""</f>
        <v/>
      </c>
      <c r="BE516" t="str">
        <f>"+13037646800"</f>
        <v>+13037646800</v>
      </c>
      <c r="BF516" t="str">
        <f>""</f>
        <v/>
      </c>
      <c r="BG516" t="str">
        <f>"william.benet@ogletreedeakins.com"</f>
        <v>william.benet@ogletreedeakins.com</v>
      </c>
      <c r="BH516" t="str">
        <f>"Ogletree Deakins"</f>
        <v>Ogletree Deakins</v>
      </c>
      <c r="BI516" t="str">
        <f>"MN"</f>
        <v>MN</v>
      </c>
      <c r="BJ516" t="str">
        <f>"Minnesota Supreme Court"</f>
        <v>Minnesota Supreme Court</v>
      </c>
      <c r="BK516">
        <v>1</v>
      </c>
      <c r="BL516" t="s">
        <v>102</v>
      </c>
      <c r="BM516" t="str">
        <f>""</f>
        <v/>
      </c>
      <c r="BN516" t="s">
        <v>3955</v>
      </c>
      <c r="BP516" t="s">
        <v>3956</v>
      </c>
      <c r="BQ516" t="s">
        <v>1372</v>
      </c>
      <c r="BR516" t="s">
        <v>193</v>
      </c>
      <c r="BS516" s="5">
        <v>66211</v>
      </c>
      <c r="BT516" s="2">
        <v>44.49</v>
      </c>
      <c r="BU516" s="2">
        <v>48.08</v>
      </c>
      <c r="BV516" t="s">
        <v>210</v>
      </c>
      <c r="BW516" s="2">
        <v>44.49</v>
      </c>
      <c r="BX516" t="s">
        <v>210</v>
      </c>
      <c r="BZ516" t="s">
        <v>123</v>
      </c>
      <c r="CA516" t="str">
        <f t="shared" si="31"/>
        <v>7/1/2020 - 6/30/2021</v>
      </c>
      <c r="CF516">
        <v>2</v>
      </c>
      <c r="CG516" t="s">
        <v>98</v>
      </c>
      <c r="CH516" t="s">
        <v>206</v>
      </c>
      <c r="CI516" t="s">
        <v>206</v>
      </c>
      <c r="CL516" t="s">
        <v>108</v>
      </c>
      <c r="CM516" t="s">
        <v>109</v>
      </c>
      <c r="CN516" t="str">
        <f>"Windhausen"</f>
        <v>Windhausen</v>
      </c>
      <c r="CO516" t="str">
        <f>"Michelle"</f>
        <v>Michelle</v>
      </c>
      <c r="CP516" t="str">
        <f>"A"</f>
        <v>A</v>
      </c>
      <c r="CQ516" t="str">
        <f>"Ogletree Deakins"</f>
        <v>Ogletree Deakins</v>
      </c>
      <c r="CR516" t="s">
        <v>1785</v>
      </c>
    </row>
    <row r="517" spans="1:96" x14ac:dyDescent="0.2">
      <c r="A517" t="s">
        <v>4004</v>
      </c>
      <c r="B517" t="s">
        <v>96</v>
      </c>
      <c r="C517" s="1">
        <v>44098</v>
      </c>
      <c r="D517" s="1">
        <v>44105</v>
      </c>
      <c r="F517" t="s">
        <v>97</v>
      </c>
      <c r="G517" t="str">
        <f>"Sr. Developer, IT Mobile"</f>
        <v>Sr. Developer, IT Mobile</v>
      </c>
      <c r="H517" t="s">
        <v>12169</v>
      </c>
      <c r="I517" t="s">
        <v>124</v>
      </c>
      <c r="J517" t="s">
        <v>98</v>
      </c>
      <c r="K517" s="1">
        <v>44137</v>
      </c>
      <c r="L517" s="1">
        <v>45231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 t="s">
        <v>3021</v>
      </c>
      <c r="U517" t="str">
        <f>""</f>
        <v/>
      </c>
      <c r="V517" t="s">
        <v>3022</v>
      </c>
      <c r="W517" t="str">
        <f>""</f>
        <v/>
      </c>
      <c r="X517" t="s">
        <v>1248</v>
      </c>
      <c r="Y517" t="s">
        <v>545</v>
      </c>
      <c r="Z517" s="3">
        <v>37027</v>
      </c>
      <c r="AA517" t="s">
        <v>101</v>
      </c>
      <c r="AC517" s="4" t="str">
        <f>"+16154404848"</f>
        <v>+16154404848</v>
      </c>
      <c r="AE517" t="str">
        <f>"44422"</f>
        <v>44422</v>
      </c>
      <c r="AF517" t="s">
        <v>3023</v>
      </c>
      <c r="AG517" t="s">
        <v>3024</v>
      </c>
      <c r="AH517" t="s">
        <v>3025</v>
      </c>
      <c r="AI517" t="s">
        <v>3026</v>
      </c>
      <c r="AJ517" t="s">
        <v>3022</v>
      </c>
      <c r="AK517" t="str">
        <f>""</f>
        <v/>
      </c>
      <c r="AL517" t="s">
        <v>1248</v>
      </c>
      <c r="AM517" t="s">
        <v>545</v>
      </c>
      <c r="AN517" s="3">
        <v>37027</v>
      </c>
      <c r="AO517" t="s">
        <v>101</v>
      </c>
      <c r="AQ517" t="str">
        <f>"+16154404848"</f>
        <v>+16154404848</v>
      </c>
      <c r="AS517" t="s">
        <v>3027</v>
      </c>
      <c r="AT517" t="s">
        <v>107</v>
      </c>
      <c r="AU517" t="str">
        <f>"Russo"</f>
        <v>Russo</v>
      </c>
      <c r="AV517" t="str">
        <f>"Douglas"</f>
        <v>Douglas</v>
      </c>
      <c r="AW517" t="str">
        <f>"Michael"</f>
        <v>Michael</v>
      </c>
      <c r="AX517" t="str">
        <f>"2100 West End Avenue"</f>
        <v>2100 West End Avenue</v>
      </c>
      <c r="AY517" t="str">
        <f>"Suite 935"</f>
        <v>Suite 935</v>
      </c>
      <c r="AZ517" t="str">
        <f>"Nashville"</f>
        <v>Nashville</v>
      </c>
      <c r="BA517" t="str">
        <f>"TN"</f>
        <v>TN</v>
      </c>
      <c r="BB517" s="3">
        <v>37203</v>
      </c>
      <c r="BC517" t="str">
        <f>"UNITED STATES OF AMERICA"</f>
        <v>UNITED STATES OF AMERICA</v>
      </c>
      <c r="BD517" t="str">
        <f>""</f>
        <v/>
      </c>
      <c r="BE517" t="str">
        <f>"+16153212256"</f>
        <v>+16153212256</v>
      </c>
      <c r="BF517" t="str">
        <f>""</f>
        <v/>
      </c>
      <c r="BG517" t="str">
        <f>"lroselaw@roseimmigration.com"</f>
        <v>lroselaw@roseimmigration.com</v>
      </c>
      <c r="BH517" t="str">
        <f>"Rose Immigration Law Firm, PLC"</f>
        <v>Rose Immigration Law Firm, PLC</v>
      </c>
      <c r="BI517" t="str">
        <f>"TN"</f>
        <v>TN</v>
      </c>
      <c r="BJ517" t="str">
        <f>"Tennessee Supreme Court"</f>
        <v>Tennessee Supreme Court</v>
      </c>
      <c r="BK517">
        <v>1</v>
      </c>
      <c r="BL517" t="s">
        <v>102</v>
      </c>
      <c r="BM517" t="str">
        <f>""</f>
        <v/>
      </c>
      <c r="BN517" t="s">
        <v>3022</v>
      </c>
      <c r="BP517" t="s">
        <v>1248</v>
      </c>
      <c r="BQ517" t="s">
        <v>668</v>
      </c>
      <c r="BR517" t="s">
        <v>545</v>
      </c>
      <c r="BS517" s="5">
        <v>37027</v>
      </c>
      <c r="BT517" s="2">
        <v>110573</v>
      </c>
      <c r="BU517" s="2">
        <v>154440</v>
      </c>
      <c r="BV517" t="s">
        <v>105</v>
      </c>
      <c r="BW517" s="2">
        <v>110573</v>
      </c>
      <c r="BX517" t="s">
        <v>105</v>
      </c>
      <c r="BZ517" t="s">
        <v>159</v>
      </c>
      <c r="CA517" t="str">
        <f t="shared" si="31"/>
        <v>7/1/2020 - 6/30/2021</v>
      </c>
      <c r="CF517">
        <v>2</v>
      </c>
      <c r="CG517" t="s">
        <v>98</v>
      </c>
      <c r="CH517" t="s">
        <v>206</v>
      </c>
      <c r="CI517" t="s">
        <v>206</v>
      </c>
      <c r="CL517" t="s">
        <v>108</v>
      </c>
      <c r="CM517" t="s">
        <v>109</v>
      </c>
      <c r="CN517" t="str">
        <f>""</f>
        <v/>
      </c>
      <c r="CO517" t="str">
        <f>""</f>
        <v/>
      </c>
      <c r="CP517" t="str">
        <f>""</f>
        <v/>
      </c>
      <c r="CQ517" t="str">
        <f>""</f>
        <v/>
      </c>
    </row>
    <row r="518" spans="1:96" x14ac:dyDescent="0.2">
      <c r="A518" t="s">
        <v>4040</v>
      </c>
      <c r="B518" t="s">
        <v>96</v>
      </c>
      <c r="C518" s="1">
        <v>44098</v>
      </c>
      <c r="D518" s="1">
        <v>44105</v>
      </c>
      <c r="F518" t="s">
        <v>97</v>
      </c>
      <c r="G518" t="str">
        <f>"Consultant"</f>
        <v>Consultant</v>
      </c>
      <c r="H518" t="s">
        <v>12214</v>
      </c>
      <c r="I518" t="s">
        <v>276</v>
      </c>
      <c r="J518" t="s">
        <v>98</v>
      </c>
      <c r="K518" s="1">
        <v>44105</v>
      </c>
      <c r="L518" s="1">
        <v>45199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838</v>
      </c>
      <c r="U518" t="str">
        <f>""</f>
        <v/>
      </c>
      <c r="V518" t="s">
        <v>839</v>
      </c>
      <c r="W518" t="str">
        <f>""</f>
        <v/>
      </c>
      <c r="X518" t="s">
        <v>833</v>
      </c>
      <c r="Y518" t="s">
        <v>345</v>
      </c>
      <c r="Z518" s="3">
        <v>60601</v>
      </c>
      <c r="AA518" t="s">
        <v>101</v>
      </c>
      <c r="AC518" s="4" t="str">
        <f>"+13126930161"</f>
        <v>+13126930161</v>
      </c>
      <c r="AE518" t="str">
        <f>"5416"</f>
        <v>5416</v>
      </c>
      <c r="AF518" t="s">
        <v>840</v>
      </c>
      <c r="AG518" t="s">
        <v>841</v>
      </c>
      <c r="AI518" t="s">
        <v>417</v>
      </c>
      <c r="AJ518" t="s">
        <v>842</v>
      </c>
      <c r="AK518" t="str">
        <f>""</f>
        <v/>
      </c>
      <c r="AL518" t="s">
        <v>843</v>
      </c>
      <c r="AM518" t="s">
        <v>345</v>
      </c>
      <c r="AN518" s="3">
        <v>60601</v>
      </c>
      <c r="AO518" t="s">
        <v>101</v>
      </c>
      <c r="AQ518" t="str">
        <f>"+13126932825"</f>
        <v>+13126932825</v>
      </c>
      <c r="AS518" t="s">
        <v>844</v>
      </c>
      <c r="AT518" t="s">
        <v>102</v>
      </c>
      <c r="AU518" t="str">
        <f>""</f>
        <v/>
      </c>
      <c r="AV518" t="str">
        <f>""</f>
        <v/>
      </c>
      <c r="AW518" t="str">
        <f>""</f>
        <v/>
      </c>
      <c r="AX518" t="str">
        <f>""</f>
        <v/>
      </c>
      <c r="AY518" t="str">
        <f>""</f>
        <v/>
      </c>
      <c r="AZ518" t="str">
        <f>""</f>
        <v/>
      </c>
      <c r="BA518" t="str">
        <f>""</f>
        <v/>
      </c>
      <c r="BC518" t="str">
        <f>""</f>
        <v/>
      </c>
      <c r="BD518" t="str">
        <f>""</f>
        <v/>
      </c>
      <c r="BE518" t="str">
        <f>""</f>
        <v/>
      </c>
      <c r="BF518" t="str">
        <f>""</f>
        <v/>
      </c>
      <c r="BG518" t="str">
        <f>""</f>
        <v/>
      </c>
      <c r="BH518" t="str">
        <f>""</f>
        <v/>
      </c>
      <c r="BI518" t="str">
        <f>""</f>
        <v/>
      </c>
      <c r="BJ518" t="str">
        <f>""</f>
        <v/>
      </c>
      <c r="BK518">
        <v>1</v>
      </c>
      <c r="BL518" t="s">
        <v>107</v>
      </c>
      <c r="BM518" t="str">
        <f>"Walmart Stores, Inc."</f>
        <v>Walmart Stores, Inc.</v>
      </c>
      <c r="BN518" t="s">
        <v>4041</v>
      </c>
      <c r="BP518" t="s">
        <v>1152</v>
      </c>
      <c r="BQ518" t="s">
        <v>640</v>
      </c>
      <c r="BR518" t="s">
        <v>641</v>
      </c>
      <c r="BS518" s="5">
        <v>72716</v>
      </c>
      <c r="BT518" s="2">
        <v>90000</v>
      </c>
      <c r="BU518" s="2">
        <v>120000</v>
      </c>
      <c r="BV518" t="s">
        <v>105</v>
      </c>
      <c r="BW518" s="2">
        <v>78166</v>
      </c>
      <c r="BX518" t="s">
        <v>105</v>
      </c>
      <c r="BZ518" t="s">
        <v>167</v>
      </c>
      <c r="CA518" t="str">
        <f t="shared" si="31"/>
        <v>7/1/2020 - 6/30/2021</v>
      </c>
      <c r="CF518">
        <v>1</v>
      </c>
      <c r="CG518" t="s">
        <v>98</v>
      </c>
      <c r="CH518" t="s">
        <v>206</v>
      </c>
      <c r="CI518" t="s">
        <v>206</v>
      </c>
      <c r="CL518" t="s">
        <v>108</v>
      </c>
      <c r="CM518" t="s">
        <v>109</v>
      </c>
      <c r="CN518" t="str">
        <f>""</f>
        <v/>
      </c>
      <c r="CO518" t="str">
        <f>""</f>
        <v/>
      </c>
      <c r="CP518" t="str">
        <f>""</f>
        <v/>
      </c>
      <c r="CQ518" t="str">
        <f>""</f>
        <v/>
      </c>
    </row>
    <row r="519" spans="1:96" x14ac:dyDescent="0.2">
      <c r="A519" t="s">
        <v>4050</v>
      </c>
      <c r="B519" t="s">
        <v>96</v>
      </c>
      <c r="C519" s="1">
        <v>44098</v>
      </c>
      <c r="D519" s="1">
        <v>44105</v>
      </c>
      <c r="F519" t="s">
        <v>97</v>
      </c>
      <c r="G519" t="str">
        <f>"Assistant Academic Research Scientist "</f>
        <v xml:space="preserve">Assistant Academic Research Scientist </v>
      </c>
      <c r="H519" t="s">
        <v>12172</v>
      </c>
      <c r="I519" t="s">
        <v>279</v>
      </c>
      <c r="J519" t="s">
        <v>98</v>
      </c>
      <c r="K519" s="1">
        <v>44136</v>
      </c>
      <c r="L519" s="1">
        <v>45230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4051</v>
      </c>
      <c r="U519" t="str">
        <f>""</f>
        <v/>
      </c>
      <c r="V519" t="s">
        <v>4052</v>
      </c>
      <c r="W519" t="str">
        <f>""</f>
        <v/>
      </c>
      <c r="X519" t="s">
        <v>213</v>
      </c>
      <c r="Y519" t="s">
        <v>215</v>
      </c>
      <c r="Z519" s="3">
        <v>30322</v>
      </c>
      <c r="AA519" t="s">
        <v>101</v>
      </c>
      <c r="AC519" s="4" t="str">
        <f>"+14047273300"</f>
        <v>+14047273300</v>
      </c>
      <c r="AE519" t="str">
        <f>"611310"</f>
        <v>611310</v>
      </c>
      <c r="AF519" t="s">
        <v>4053</v>
      </c>
      <c r="AG519" t="s">
        <v>278</v>
      </c>
      <c r="AI519" t="s">
        <v>2555</v>
      </c>
      <c r="AJ519" t="s">
        <v>4054</v>
      </c>
      <c r="AK519" t="str">
        <f>"Suite 130 "</f>
        <v xml:space="preserve">Suite 130 </v>
      </c>
      <c r="AL519" t="s">
        <v>213</v>
      </c>
      <c r="AM519" t="s">
        <v>215</v>
      </c>
      <c r="AN519" s="3">
        <v>30322</v>
      </c>
      <c r="AO519" t="s">
        <v>101</v>
      </c>
      <c r="AQ519" t="str">
        <f>"+14047276205"</f>
        <v>+14047276205</v>
      </c>
      <c r="AS519" t="s">
        <v>4055</v>
      </c>
      <c r="AT519" t="s">
        <v>102</v>
      </c>
      <c r="AU519" t="str">
        <f>""</f>
        <v/>
      </c>
      <c r="AV519" t="str">
        <f>""</f>
        <v/>
      </c>
      <c r="AW519" t="str">
        <f>""</f>
        <v/>
      </c>
      <c r="AX519" t="str">
        <f>""</f>
        <v/>
      </c>
      <c r="AY519" t="str">
        <f>""</f>
        <v/>
      </c>
      <c r="AZ519" t="str">
        <f>""</f>
        <v/>
      </c>
      <c r="BA519" t="str">
        <f>""</f>
        <v/>
      </c>
      <c r="BC519" t="str">
        <f>""</f>
        <v/>
      </c>
      <c r="BD519" t="str">
        <f>""</f>
        <v/>
      </c>
      <c r="BE519" t="str">
        <f>""</f>
        <v/>
      </c>
      <c r="BF519" t="str">
        <f>""</f>
        <v/>
      </c>
      <c r="BG519" t="str">
        <f>""</f>
        <v/>
      </c>
      <c r="BH519" t="str">
        <f>""</f>
        <v/>
      </c>
      <c r="BI519" t="str">
        <f>""</f>
        <v/>
      </c>
      <c r="BJ519" t="str">
        <f>""</f>
        <v/>
      </c>
      <c r="BK519">
        <v>1</v>
      </c>
      <c r="BL519" t="s">
        <v>102</v>
      </c>
      <c r="BM519" t="str">
        <f>""</f>
        <v/>
      </c>
      <c r="BN519" t="s">
        <v>4056</v>
      </c>
      <c r="BP519" t="s">
        <v>213</v>
      </c>
      <c r="BQ519" t="s">
        <v>481</v>
      </c>
      <c r="BR519" t="s">
        <v>215</v>
      </c>
      <c r="BS519" s="5">
        <v>30322</v>
      </c>
      <c r="BT519" s="2">
        <v>55000</v>
      </c>
      <c r="BV519" t="s">
        <v>105</v>
      </c>
      <c r="BW519" s="2">
        <v>44138</v>
      </c>
      <c r="BX519" t="s">
        <v>105</v>
      </c>
      <c r="BZ519" t="s">
        <v>191</v>
      </c>
      <c r="CA519" t="str">
        <f t="shared" si="31"/>
        <v>7/1/2020 - 6/30/2021</v>
      </c>
      <c r="CF519">
        <v>1</v>
      </c>
      <c r="CG519" t="s">
        <v>98</v>
      </c>
      <c r="CH519" t="s">
        <v>206</v>
      </c>
      <c r="CI519" t="s">
        <v>206</v>
      </c>
      <c r="CL519" t="s">
        <v>108</v>
      </c>
      <c r="CM519" t="s">
        <v>109</v>
      </c>
      <c r="CN519" t="str">
        <f>""</f>
        <v/>
      </c>
      <c r="CO519" t="str">
        <f>""</f>
        <v/>
      </c>
      <c r="CP519" t="str">
        <f>""</f>
        <v/>
      </c>
      <c r="CQ519" t="str">
        <f>""</f>
        <v/>
      </c>
    </row>
    <row r="520" spans="1:96" x14ac:dyDescent="0.2">
      <c r="A520" t="s">
        <v>4063</v>
      </c>
      <c r="B520" t="s">
        <v>96</v>
      </c>
      <c r="C520" s="1">
        <v>44098</v>
      </c>
      <c r="D520" s="1">
        <v>44105</v>
      </c>
      <c r="F520" t="s">
        <v>97</v>
      </c>
      <c r="G520" t="str">
        <f>"Editor"</f>
        <v>Editor</v>
      </c>
      <c r="H520" t="s">
        <v>12276</v>
      </c>
      <c r="I520" t="s">
        <v>2139</v>
      </c>
      <c r="J520" t="s">
        <v>98</v>
      </c>
      <c r="K520" s="1">
        <v>44105</v>
      </c>
      <c r="L520" s="1">
        <v>45199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4064</v>
      </c>
      <c r="U520" t="str">
        <f>"Digital Media Rights"</f>
        <v>Digital Media Rights</v>
      </c>
      <c r="V520" t="s">
        <v>4065</v>
      </c>
      <c r="W520" t="str">
        <f>"15th Floor"</f>
        <v>15th Floor</v>
      </c>
      <c r="X520" t="s">
        <v>277</v>
      </c>
      <c r="Y520" t="s">
        <v>190</v>
      </c>
      <c r="Z520" s="3">
        <v>10018</v>
      </c>
      <c r="AA520" t="s">
        <v>101</v>
      </c>
      <c r="AC520" s="4" t="str">
        <f>"+12128048143"</f>
        <v>+12128048143</v>
      </c>
      <c r="AE520" t="str">
        <f>"512110"</f>
        <v>512110</v>
      </c>
      <c r="AF520" t="s">
        <v>1079</v>
      </c>
      <c r="AG520" t="s">
        <v>4066</v>
      </c>
      <c r="AI520" t="s">
        <v>1057</v>
      </c>
      <c r="AJ520" t="s">
        <v>4065</v>
      </c>
      <c r="AK520" t="str">
        <f>"15th Floor"</f>
        <v>15th Floor</v>
      </c>
      <c r="AL520" t="s">
        <v>277</v>
      </c>
      <c r="AM520" t="s">
        <v>190</v>
      </c>
      <c r="AN520" s="3">
        <v>10018</v>
      </c>
      <c r="AO520" t="s">
        <v>101</v>
      </c>
      <c r="AQ520" t="str">
        <f>"+12132466553"</f>
        <v>+12132466553</v>
      </c>
      <c r="AS520" t="s">
        <v>4067</v>
      </c>
      <c r="AT520" t="s">
        <v>107</v>
      </c>
      <c r="AU520" t="str">
        <f>"Sun"</f>
        <v>Sun</v>
      </c>
      <c r="AV520" t="str">
        <f>"Wenjie"</f>
        <v>Wenjie</v>
      </c>
      <c r="AW520" t="str">
        <f>""</f>
        <v/>
      </c>
      <c r="AX520" t="str">
        <f>"14 Penn Plaza"</f>
        <v>14 Penn Plaza</v>
      </c>
      <c r="AY520" t="str">
        <f>"Suite 1517"</f>
        <v>Suite 1517</v>
      </c>
      <c r="AZ520" t="str">
        <f>"New York"</f>
        <v>New York</v>
      </c>
      <c r="BA520" t="str">
        <f>"NY"</f>
        <v>NY</v>
      </c>
      <c r="BB520" s="3">
        <v>10122</v>
      </c>
      <c r="BC520" t="str">
        <f>"UNITED STATES OF AMERICA"</f>
        <v>UNITED STATES OF AMERICA</v>
      </c>
      <c r="BD520" t="str">
        <f>""</f>
        <v/>
      </c>
      <c r="BE520" t="str">
        <f>"+16318883636"</f>
        <v>+16318883636</v>
      </c>
      <c r="BF520" t="str">
        <f>""</f>
        <v/>
      </c>
      <c r="BG520" t="str">
        <f>"wenjie@sunrenlaw.com"</f>
        <v>wenjie@sunrenlaw.com</v>
      </c>
      <c r="BH520" t="str">
        <f>"Sun &amp; Ren PLLC"</f>
        <v>Sun &amp; Ren PLLC</v>
      </c>
      <c r="BI520" t="str">
        <f>"NY"</f>
        <v>NY</v>
      </c>
      <c r="BJ520" t="str">
        <f>"Court of Appeals"</f>
        <v>Court of Appeals</v>
      </c>
      <c r="BK520">
        <v>1</v>
      </c>
      <c r="BL520" t="s">
        <v>102</v>
      </c>
      <c r="BM520" t="str">
        <f>""</f>
        <v/>
      </c>
      <c r="BN520" t="s">
        <v>4065</v>
      </c>
      <c r="BO520" t="s">
        <v>3312</v>
      </c>
      <c r="BP520" t="s">
        <v>277</v>
      </c>
      <c r="BQ520" t="s">
        <v>189</v>
      </c>
      <c r="BR520" t="s">
        <v>190</v>
      </c>
      <c r="BS520" s="5">
        <v>10018</v>
      </c>
      <c r="BT520" s="2">
        <v>22.35</v>
      </c>
      <c r="BV520" t="s">
        <v>210</v>
      </c>
      <c r="BW520" s="2">
        <v>22.35</v>
      </c>
      <c r="BX520" t="s">
        <v>210</v>
      </c>
      <c r="BZ520" t="s">
        <v>191</v>
      </c>
      <c r="CA520" t="str">
        <f t="shared" si="31"/>
        <v>7/1/2020 - 6/30/2021</v>
      </c>
      <c r="CF520">
        <v>1</v>
      </c>
      <c r="CG520" t="s">
        <v>98</v>
      </c>
      <c r="CH520" t="s">
        <v>206</v>
      </c>
      <c r="CI520" t="s">
        <v>206</v>
      </c>
      <c r="CL520" t="s">
        <v>108</v>
      </c>
      <c r="CM520" t="s">
        <v>109</v>
      </c>
      <c r="CN520" t="str">
        <f>""</f>
        <v/>
      </c>
      <c r="CO520" t="str">
        <f>""</f>
        <v/>
      </c>
      <c r="CP520" t="str">
        <f>""</f>
        <v/>
      </c>
      <c r="CQ520" t="str">
        <f>""</f>
        <v/>
      </c>
    </row>
    <row r="521" spans="1:96" x14ac:dyDescent="0.2">
      <c r="A521" t="s">
        <v>4074</v>
      </c>
      <c r="B521" t="s">
        <v>96</v>
      </c>
      <c r="C521" s="1">
        <v>44098</v>
      </c>
      <c r="D521" s="1">
        <v>44105</v>
      </c>
      <c r="F521" t="s">
        <v>97</v>
      </c>
      <c r="G521" t="str">
        <f>"Software Quality Assurance Lead"</f>
        <v>Software Quality Assurance Lead</v>
      </c>
      <c r="H521" t="s">
        <v>12168</v>
      </c>
      <c r="I521" t="s">
        <v>319</v>
      </c>
      <c r="J521" t="s">
        <v>98</v>
      </c>
      <c r="K521" s="1">
        <v>44098</v>
      </c>
      <c r="L521" s="1">
        <v>45186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4075</v>
      </c>
      <c r="U521" t="str">
        <f>"Bloomberg Industry Group"</f>
        <v>Bloomberg Industry Group</v>
      </c>
      <c r="V521" t="s">
        <v>4076</v>
      </c>
      <c r="W521" t="str">
        <f>""</f>
        <v/>
      </c>
      <c r="X521" t="s">
        <v>1005</v>
      </c>
      <c r="Y521" t="s">
        <v>135</v>
      </c>
      <c r="Z521" s="3">
        <v>22202</v>
      </c>
      <c r="AA521" t="s">
        <v>101</v>
      </c>
      <c r="AC521" s="4" t="str">
        <f>"+17033412027"</f>
        <v>+17033412027</v>
      </c>
      <c r="AE521" t="str">
        <f>"511199"</f>
        <v>511199</v>
      </c>
      <c r="AF521" t="s">
        <v>4077</v>
      </c>
      <c r="AG521" t="s">
        <v>927</v>
      </c>
      <c r="AH521" t="s">
        <v>1060</v>
      </c>
      <c r="AI521" t="s">
        <v>4078</v>
      </c>
      <c r="AJ521" t="s">
        <v>4076</v>
      </c>
      <c r="AK521" t="str">
        <f>""</f>
        <v/>
      </c>
      <c r="AL521" t="s">
        <v>1005</v>
      </c>
      <c r="AM521" t="s">
        <v>135</v>
      </c>
      <c r="AN521" s="3">
        <v>22202</v>
      </c>
      <c r="AO521" t="s">
        <v>101</v>
      </c>
      <c r="AQ521" t="str">
        <f>"+17033412027"</f>
        <v>+17033412027</v>
      </c>
      <c r="AS521" t="s">
        <v>4079</v>
      </c>
      <c r="AT521" t="s">
        <v>107</v>
      </c>
      <c r="AU521" t="str">
        <f>"Dramesi"</f>
        <v>Dramesi</v>
      </c>
      <c r="AV521" t="str">
        <f>"Rochelle"</f>
        <v>Rochelle</v>
      </c>
      <c r="AW521" t="str">
        <f>"A."</f>
        <v>A.</v>
      </c>
      <c r="AX521" t="str">
        <f>"1800 Massachusetts Ave NW"</f>
        <v>1800 Massachusetts Ave NW</v>
      </c>
      <c r="AY521" t="str">
        <f>"Ste. # 300"</f>
        <v>Ste. # 300</v>
      </c>
      <c r="AZ521" t="str">
        <f>"Washington"</f>
        <v>Washington</v>
      </c>
      <c r="BA521" t="str">
        <f>"DC"</f>
        <v>DC</v>
      </c>
      <c r="BB521" s="3">
        <v>20036</v>
      </c>
      <c r="BC521" t="str">
        <f>"UNITED STATES OF AMERICA"</f>
        <v>UNITED STATES OF AMERICA</v>
      </c>
      <c r="BD521" t="str">
        <f>""</f>
        <v/>
      </c>
      <c r="BE521" t="str">
        <f>"+12024830053"</f>
        <v>+12024830053</v>
      </c>
      <c r="BF521" t="str">
        <f>""</f>
        <v/>
      </c>
      <c r="BG521" t="str">
        <f>"rdramesi@maggio-kattar.com"</f>
        <v>rdramesi@maggio-kattar.com</v>
      </c>
      <c r="BH521" t="str">
        <f>"Maggio Kattar"</f>
        <v>Maggio Kattar</v>
      </c>
      <c r="BI521" t="str">
        <f>"DC"</f>
        <v>DC</v>
      </c>
      <c r="BJ521" t="str">
        <f>"DC Court of Appeals"</f>
        <v>DC Court of Appeals</v>
      </c>
      <c r="BK521">
        <v>1</v>
      </c>
      <c r="BL521" t="s">
        <v>102</v>
      </c>
      <c r="BM521" t="str">
        <f>""</f>
        <v/>
      </c>
      <c r="BN521" t="s">
        <v>4076</v>
      </c>
      <c r="BP521" t="s">
        <v>1005</v>
      </c>
      <c r="BQ521" t="s">
        <v>2575</v>
      </c>
      <c r="BR521" t="s">
        <v>135</v>
      </c>
      <c r="BS521" s="5">
        <v>22202</v>
      </c>
      <c r="BT521" s="2">
        <v>109000</v>
      </c>
      <c r="BV521" t="s">
        <v>105</v>
      </c>
      <c r="BW521" s="2">
        <v>102300</v>
      </c>
      <c r="BX521" t="s">
        <v>105</v>
      </c>
      <c r="CA521" t="str">
        <f>""</f>
        <v/>
      </c>
      <c r="CB521" t="s">
        <v>244</v>
      </c>
      <c r="CC521">
        <v>2020</v>
      </c>
      <c r="CD521" t="s">
        <v>4080</v>
      </c>
      <c r="CE521" t="s">
        <v>4081</v>
      </c>
      <c r="CF521">
        <v>2</v>
      </c>
      <c r="CG521" t="s">
        <v>98</v>
      </c>
      <c r="CH521" t="s">
        <v>206</v>
      </c>
      <c r="CI521" t="s">
        <v>206</v>
      </c>
      <c r="CL521" t="s">
        <v>108</v>
      </c>
      <c r="CM521" t="s">
        <v>109</v>
      </c>
      <c r="CN521" t="str">
        <f>"Anik"</f>
        <v>Anik</v>
      </c>
      <c r="CO521" t="str">
        <f>"Savanah"</f>
        <v>Savanah</v>
      </c>
      <c r="CP521" t="str">
        <f>"S"</f>
        <v>S</v>
      </c>
      <c r="CQ521" t="str">
        <f>"Maggio Kattar"</f>
        <v>Maggio Kattar</v>
      </c>
      <c r="CR521" t="s">
        <v>4082</v>
      </c>
    </row>
    <row r="522" spans="1:96" x14ac:dyDescent="0.2">
      <c r="A522" t="s">
        <v>4198</v>
      </c>
      <c r="B522" t="s">
        <v>96</v>
      </c>
      <c r="C522" s="1">
        <v>44098</v>
      </c>
      <c r="D522" s="1">
        <v>44105</v>
      </c>
      <c r="F522" t="s">
        <v>97</v>
      </c>
      <c r="G522" t="str">
        <f>"Mobile/Automation Tester"</f>
        <v>Mobile/Automation Tester</v>
      </c>
      <c r="H522" t="s">
        <v>12168</v>
      </c>
      <c r="I522" t="s">
        <v>722</v>
      </c>
      <c r="J522" t="s">
        <v>98</v>
      </c>
      <c r="K522" s="1">
        <v>44105</v>
      </c>
      <c r="L522" s="1">
        <v>45199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4199</v>
      </c>
      <c r="U522" t="str">
        <f>""</f>
        <v/>
      </c>
      <c r="V522" t="s">
        <v>4200</v>
      </c>
      <c r="W522" t="str">
        <f>"Suite 1030"</f>
        <v>Suite 1030</v>
      </c>
      <c r="X522" t="s">
        <v>483</v>
      </c>
      <c r="Y522" t="s">
        <v>114</v>
      </c>
      <c r="Z522" s="3">
        <v>75063</v>
      </c>
      <c r="AA522" t="s">
        <v>101</v>
      </c>
      <c r="AC522" s="4" t="str">
        <f>"+19725145067"</f>
        <v>+19725145067</v>
      </c>
      <c r="AE522" t="str">
        <f>"541511"</f>
        <v>541511</v>
      </c>
      <c r="AF522" t="s">
        <v>4201</v>
      </c>
      <c r="AG522" t="s">
        <v>4202</v>
      </c>
      <c r="AI522" t="s">
        <v>629</v>
      </c>
      <c r="AJ522" t="s">
        <v>4200</v>
      </c>
      <c r="AK522" t="str">
        <f>"Suite 1030"</f>
        <v>Suite 1030</v>
      </c>
      <c r="AL522" t="s">
        <v>483</v>
      </c>
      <c r="AM522" t="s">
        <v>114</v>
      </c>
      <c r="AN522" s="3">
        <v>75063</v>
      </c>
      <c r="AO522" t="s">
        <v>101</v>
      </c>
      <c r="AQ522" t="str">
        <f>"+19725145067"</f>
        <v>+19725145067</v>
      </c>
      <c r="AS522" t="s">
        <v>4203</v>
      </c>
      <c r="AT522" t="s">
        <v>102</v>
      </c>
      <c r="AU522" t="str">
        <f>""</f>
        <v/>
      </c>
      <c r="AV522" t="str">
        <f>""</f>
        <v/>
      </c>
      <c r="AW522" t="str">
        <f>""</f>
        <v/>
      </c>
      <c r="AX522" t="str">
        <f>""</f>
        <v/>
      </c>
      <c r="AY522" t="str">
        <f>""</f>
        <v/>
      </c>
      <c r="AZ522" t="str">
        <f>""</f>
        <v/>
      </c>
      <c r="BA522" t="str">
        <f>""</f>
        <v/>
      </c>
      <c r="BC522" t="str">
        <f>""</f>
        <v/>
      </c>
      <c r="BD522" t="str">
        <f>""</f>
        <v/>
      </c>
      <c r="BE522" t="str">
        <f>""</f>
        <v/>
      </c>
      <c r="BF522" t="str">
        <f>""</f>
        <v/>
      </c>
      <c r="BG522" t="str">
        <f>""</f>
        <v/>
      </c>
      <c r="BH522" t="str">
        <f>""</f>
        <v/>
      </c>
      <c r="BI522" t="str">
        <f>""</f>
        <v/>
      </c>
      <c r="BJ522" t="str">
        <f>""</f>
        <v/>
      </c>
      <c r="BK522">
        <v>1</v>
      </c>
      <c r="BL522" t="s">
        <v>107</v>
      </c>
      <c r="BM522" t="str">
        <f>"Eli Lilly"</f>
        <v>Eli Lilly</v>
      </c>
      <c r="BN522" t="s">
        <v>4204</v>
      </c>
      <c r="BP522" t="s">
        <v>794</v>
      </c>
      <c r="BQ522" t="s">
        <v>795</v>
      </c>
      <c r="BR522" t="s">
        <v>352</v>
      </c>
      <c r="BS522" s="5">
        <v>46225</v>
      </c>
      <c r="BT522" s="2">
        <v>63000</v>
      </c>
      <c r="BV522" t="s">
        <v>105</v>
      </c>
      <c r="BW522" s="2">
        <v>60611</v>
      </c>
      <c r="BX522" t="s">
        <v>105</v>
      </c>
      <c r="BZ522" t="s">
        <v>167</v>
      </c>
      <c r="CA522" t="str">
        <f t="shared" ref="CA522:CA544" si="32">"7/1/2020 - 6/30/2021"</f>
        <v>7/1/2020 - 6/30/2021</v>
      </c>
      <c r="CF522">
        <v>1</v>
      </c>
      <c r="CG522" t="s">
        <v>98</v>
      </c>
      <c r="CH522" t="s">
        <v>206</v>
      </c>
      <c r="CI522" t="s">
        <v>206</v>
      </c>
      <c r="CL522" t="s">
        <v>108</v>
      </c>
      <c r="CM522" t="s">
        <v>109</v>
      </c>
      <c r="CN522" t="str">
        <f>""</f>
        <v/>
      </c>
      <c r="CO522" t="str">
        <f>""</f>
        <v/>
      </c>
      <c r="CP522" t="str">
        <f>""</f>
        <v/>
      </c>
      <c r="CQ522" t="str">
        <f>""</f>
        <v/>
      </c>
    </row>
    <row r="523" spans="1:96" x14ac:dyDescent="0.2">
      <c r="A523" t="s">
        <v>4248</v>
      </c>
      <c r="B523" t="s">
        <v>96</v>
      </c>
      <c r="C523" s="1">
        <v>44098</v>
      </c>
      <c r="D523" s="1">
        <v>44105</v>
      </c>
      <c r="F523" t="s">
        <v>97</v>
      </c>
      <c r="G523" t="str">
        <f>"Research Technician"</f>
        <v>Research Technician</v>
      </c>
      <c r="H523" t="s">
        <v>12223</v>
      </c>
      <c r="I523" t="s">
        <v>486</v>
      </c>
      <c r="J523" t="s">
        <v>98</v>
      </c>
      <c r="K523" s="1">
        <v>44105</v>
      </c>
      <c r="L523" s="1">
        <v>45199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4249</v>
      </c>
      <c r="U523" t="str">
        <f>""</f>
        <v/>
      </c>
      <c r="V523" t="s">
        <v>4250</v>
      </c>
      <c r="W523" t="str">
        <f>""</f>
        <v/>
      </c>
      <c r="X523" t="s">
        <v>2588</v>
      </c>
      <c r="Y523" t="s">
        <v>374</v>
      </c>
      <c r="Z523" s="3">
        <v>64110</v>
      </c>
      <c r="AA523" t="s">
        <v>101</v>
      </c>
      <c r="AC523" s="4" t="str">
        <f>"+18169264370"</f>
        <v>+18169264370</v>
      </c>
      <c r="AE523" t="str">
        <f>"541714"</f>
        <v>541714</v>
      </c>
      <c r="AF523" t="s">
        <v>4251</v>
      </c>
      <c r="AG523" t="s">
        <v>278</v>
      </c>
      <c r="AH523" t="s">
        <v>477</v>
      </c>
      <c r="AI523" t="s">
        <v>4252</v>
      </c>
      <c r="AJ523" t="s">
        <v>4250</v>
      </c>
      <c r="AK523" t="str">
        <f>""</f>
        <v/>
      </c>
      <c r="AL523" t="s">
        <v>2588</v>
      </c>
      <c r="AM523" t="s">
        <v>374</v>
      </c>
      <c r="AN523" s="3">
        <v>64110</v>
      </c>
      <c r="AO523" t="s">
        <v>101</v>
      </c>
      <c r="AQ523" t="str">
        <f>"+18169264370"</f>
        <v>+18169264370</v>
      </c>
      <c r="AS523" t="s">
        <v>4253</v>
      </c>
      <c r="AT523" t="s">
        <v>102</v>
      </c>
      <c r="AU523" t="str">
        <f>""</f>
        <v/>
      </c>
      <c r="AV523" t="str">
        <f>""</f>
        <v/>
      </c>
      <c r="AW523" t="str">
        <f>""</f>
        <v/>
      </c>
      <c r="AX523" t="str">
        <f>""</f>
        <v/>
      </c>
      <c r="AY523" t="str">
        <f>""</f>
        <v/>
      </c>
      <c r="AZ523" t="str">
        <f>""</f>
        <v/>
      </c>
      <c r="BA523" t="str">
        <f>""</f>
        <v/>
      </c>
      <c r="BC523" t="str">
        <f>""</f>
        <v/>
      </c>
      <c r="BD523" t="str">
        <f>""</f>
        <v/>
      </c>
      <c r="BE523" t="str">
        <f>""</f>
        <v/>
      </c>
      <c r="BF523" t="str">
        <f>""</f>
        <v/>
      </c>
      <c r="BG523" t="str">
        <f>""</f>
        <v/>
      </c>
      <c r="BH523" t="str">
        <f>""</f>
        <v/>
      </c>
      <c r="BI523" t="str">
        <f>""</f>
        <v/>
      </c>
      <c r="BJ523" t="str">
        <f>""</f>
        <v/>
      </c>
      <c r="BK523">
        <v>1</v>
      </c>
      <c r="BL523" t="s">
        <v>102</v>
      </c>
      <c r="BM523" t="str">
        <f>""</f>
        <v/>
      </c>
      <c r="BN523" t="s">
        <v>4254</v>
      </c>
      <c r="BP523" t="s">
        <v>2588</v>
      </c>
      <c r="BQ523" t="s">
        <v>2941</v>
      </c>
      <c r="BR523" t="s">
        <v>374</v>
      </c>
      <c r="BS523" s="5">
        <v>64110</v>
      </c>
      <c r="BT523" s="2">
        <v>18</v>
      </c>
      <c r="BV523" t="s">
        <v>210</v>
      </c>
      <c r="BW523" s="2">
        <v>18</v>
      </c>
      <c r="BX523" t="s">
        <v>210</v>
      </c>
      <c r="BZ523" t="s">
        <v>167</v>
      </c>
      <c r="CA523" t="str">
        <f t="shared" si="32"/>
        <v>7/1/2020 - 6/30/2021</v>
      </c>
      <c r="CF523">
        <v>1</v>
      </c>
      <c r="CG523" t="s">
        <v>98</v>
      </c>
      <c r="CH523" t="s">
        <v>206</v>
      </c>
      <c r="CI523" t="s">
        <v>206</v>
      </c>
      <c r="CL523" t="s">
        <v>108</v>
      </c>
      <c r="CM523" t="s">
        <v>353</v>
      </c>
      <c r="CN523" t="str">
        <f>""</f>
        <v/>
      </c>
      <c r="CO523" t="str">
        <f>""</f>
        <v/>
      </c>
      <c r="CP523" t="str">
        <f>""</f>
        <v/>
      </c>
      <c r="CQ523" t="str">
        <f>""</f>
        <v/>
      </c>
    </row>
    <row r="524" spans="1:96" x14ac:dyDescent="0.2">
      <c r="A524" t="s">
        <v>4410</v>
      </c>
      <c r="B524" t="s">
        <v>96</v>
      </c>
      <c r="C524" s="1">
        <v>44098</v>
      </c>
      <c r="D524" s="1">
        <v>44105</v>
      </c>
      <c r="F524" t="s">
        <v>97</v>
      </c>
      <c r="G524" t="str">
        <f>"Staff SW Test Engineer"</f>
        <v>Staff SW Test Engineer</v>
      </c>
      <c r="H524" t="s">
        <v>12168</v>
      </c>
      <c r="I524" t="s">
        <v>319</v>
      </c>
      <c r="J524" t="s">
        <v>98</v>
      </c>
      <c r="K524" s="1">
        <v>44277</v>
      </c>
      <c r="L524" s="1">
        <v>45372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t="s">
        <v>2106</v>
      </c>
      <c r="U524" t="str">
        <f>""</f>
        <v/>
      </c>
      <c r="V524" t="s">
        <v>987</v>
      </c>
      <c r="W524" t="str">
        <f>""</f>
        <v/>
      </c>
      <c r="X524" t="s">
        <v>988</v>
      </c>
      <c r="Y524" t="s">
        <v>141</v>
      </c>
      <c r="Z524" s="3">
        <v>94404</v>
      </c>
      <c r="AA524" t="s">
        <v>101</v>
      </c>
      <c r="AC524" s="4" t="str">
        <f>"+16504328837"</f>
        <v>+16504328837</v>
      </c>
      <c r="AE524" t="str">
        <f>"522320"</f>
        <v>522320</v>
      </c>
      <c r="AF524" t="s">
        <v>989</v>
      </c>
      <c r="AG524" t="s">
        <v>990</v>
      </c>
      <c r="AH524" t="s">
        <v>108</v>
      </c>
      <c r="AI524" t="s">
        <v>991</v>
      </c>
      <c r="AJ524" t="s">
        <v>992</v>
      </c>
      <c r="AK524" t="str">
        <f>""</f>
        <v/>
      </c>
      <c r="AL524" t="s">
        <v>988</v>
      </c>
      <c r="AM524" t="s">
        <v>141</v>
      </c>
      <c r="AN524" s="3">
        <v>94404</v>
      </c>
      <c r="AO524" t="s">
        <v>101</v>
      </c>
      <c r="AQ524" t="str">
        <f>"+16504328837"</f>
        <v>+16504328837</v>
      </c>
      <c r="AS524" t="s">
        <v>993</v>
      </c>
      <c r="AT524" t="s">
        <v>107</v>
      </c>
      <c r="AU524" t="str">
        <f>"Lighter"</f>
        <v>Lighter</v>
      </c>
      <c r="AV524" t="str">
        <f>"Amy"</f>
        <v>Amy</v>
      </c>
      <c r="AW524" t="str">
        <f>""</f>
        <v/>
      </c>
      <c r="AX524" t="str">
        <f>"100 Pringle Avenue"</f>
        <v>100 Pringle Avenue</v>
      </c>
      <c r="AY524" t="str">
        <f>"Suite 300"</f>
        <v>Suite 300</v>
      </c>
      <c r="AZ524" t="str">
        <f>"Walnut Creek"</f>
        <v>Walnut Creek</v>
      </c>
      <c r="BA524" t="str">
        <f>"CA"</f>
        <v>CA</v>
      </c>
      <c r="BB524" s="3">
        <v>94596</v>
      </c>
      <c r="BC524" t="str">
        <f>"UNITED STATES OF AMERICA"</f>
        <v>UNITED STATES OF AMERICA</v>
      </c>
      <c r="BD524" t="str">
        <f>""</f>
        <v/>
      </c>
      <c r="BE524" t="str">
        <f>"+19253786391"</f>
        <v>+19253786391</v>
      </c>
      <c r="BF524" t="str">
        <f>""</f>
        <v/>
      </c>
      <c r="BG524" t="str">
        <f>"alighter@balglobal.com"</f>
        <v>alighter@balglobal.com</v>
      </c>
      <c r="BH524" t="str">
        <f>"Berry Appleman &amp; Leiden LLP"</f>
        <v>Berry Appleman &amp; Leiden LLP</v>
      </c>
      <c r="BI524" t="str">
        <f>"TN"</f>
        <v>TN</v>
      </c>
      <c r="BJ524" t="str">
        <f>"Tennessee Supreme Court"</f>
        <v>Tennessee Supreme Court</v>
      </c>
      <c r="BK524">
        <v>1</v>
      </c>
      <c r="BL524" t="s">
        <v>102</v>
      </c>
      <c r="BM524" t="str">
        <f>""</f>
        <v/>
      </c>
      <c r="BN524" t="s">
        <v>2712</v>
      </c>
      <c r="BP524" t="s">
        <v>765</v>
      </c>
      <c r="BQ524" t="s">
        <v>721</v>
      </c>
      <c r="BR524" t="s">
        <v>114</v>
      </c>
      <c r="BS524" s="5">
        <v>78759</v>
      </c>
      <c r="BT524" s="2">
        <v>92800</v>
      </c>
      <c r="BU524" s="2">
        <v>148500</v>
      </c>
      <c r="BV524" t="s">
        <v>105</v>
      </c>
      <c r="BW524" s="2">
        <v>63690</v>
      </c>
      <c r="BX524" t="s">
        <v>105</v>
      </c>
      <c r="BZ524" t="s">
        <v>167</v>
      </c>
      <c r="CA524" t="str">
        <f t="shared" si="32"/>
        <v>7/1/2020 - 6/30/2021</v>
      </c>
      <c r="CF524">
        <v>1</v>
      </c>
      <c r="CG524" t="s">
        <v>98</v>
      </c>
      <c r="CH524" t="s">
        <v>206</v>
      </c>
      <c r="CI524" t="s">
        <v>206</v>
      </c>
      <c r="CL524" t="s">
        <v>108</v>
      </c>
      <c r="CM524" t="s">
        <v>109</v>
      </c>
      <c r="CN524" t="str">
        <f>""</f>
        <v/>
      </c>
      <c r="CO524" t="str">
        <f>""</f>
        <v/>
      </c>
      <c r="CP524" t="str">
        <f>""</f>
        <v/>
      </c>
      <c r="CQ524" t="str">
        <f>""</f>
        <v/>
      </c>
    </row>
    <row r="525" spans="1:96" x14ac:dyDescent="0.2">
      <c r="A525" t="s">
        <v>4451</v>
      </c>
      <c r="B525" t="s">
        <v>96</v>
      </c>
      <c r="C525" s="1">
        <v>44098</v>
      </c>
      <c r="D525" s="1">
        <v>44105</v>
      </c>
      <c r="F525" t="s">
        <v>97</v>
      </c>
      <c r="G525" t="str">
        <f>"Software Developer"</f>
        <v>Software Developer</v>
      </c>
      <c r="H525" t="s">
        <v>12169</v>
      </c>
      <c r="I525" t="s">
        <v>124</v>
      </c>
      <c r="J525" t="s">
        <v>98</v>
      </c>
      <c r="K525" s="1">
        <v>44104</v>
      </c>
      <c r="L525" s="1">
        <v>45198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1522</v>
      </c>
      <c r="U525" t="str">
        <f>""</f>
        <v/>
      </c>
      <c r="V525" t="s">
        <v>1281</v>
      </c>
      <c r="W525" t="str">
        <f>""</f>
        <v/>
      </c>
      <c r="X525" t="s">
        <v>538</v>
      </c>
      <c r="Y525" t="s">
        <v>135</v>
      </c>
      <c r="Z525" s="3">
        <v>22030</v>
      </c>
      <c r="AA525" t="s">
        <v>101</v>
      </c>
      <c r="AC525" s="4" t="str">
        <f>"+17032678000"</f>
        <v>+17032678000</v>
      </c>
      <c r="AD525">
        <v>0</v>
      </c>
      <c r="AE525" t="str">
        <f>"541512"</f>
        <v>541512</v>
      </c>
      <c r="AF525" t="s">
        <v>1282</v>
      </c>
      <c r="AG525" t="s">
        <v>1283</v>
      </c>
      <c r="AI525" t="s">
        <v>1284</v>
      </c>
      <c r="AJ525" t="s">
        <v>1281</v>
      </c>
      <c r="AK525" t="str">
        <f>""</f>
        <v/>
      </c>
      <c r="AL525" t="s">
        <v>538</v>
      </c>
      <c r="AM525" t="s">
        <v>135</v>
      </c>
      <c r="AN525" s="3">
        <v>22030</v>
      </c>
      <c r="AO525" t="s">
        <v>101</v>
      </c>
      <c r="AQ525" t="str">
        <f>"+17324282390"</f>
        <v>+17324282390</v>
      </c>
      <c r="AS525" t="s">
        <v>1285</v>
      </c>
      <c r="AT525" t="s">
        <v>107</v>
      </c>
      <c r="AU525" t="str">
        <f>"SMITH"</f>
        <v>SMITH</v>
      </c>
      <c r="AV525" t="str">
        <f>"MICHAEL"</f>
        <v>MICHAEL</v>
      </c>
      <c r="AW525" t="str">
        <f>"FRANCIS"</f>
        <v>FRANCIS</v>
      </c>
      <c r="AX525" t="str">
        <f>"1101 15TH STREET, NW"</f>
        <v>1101 15TH STREET, NW</v>
      </c>
      <c r="AY525" t="str">
        <f>"SUITE 700"</f>
        <v>SUITE 700</v>
      </c>
      <c r="AZ525" t="str">
        <f>"WASHINGTON"</f>
        <v>WASHINGTON</v>
      </c>
      <c r="BA525" t="str">
        <f>"DC"</f>
        <v>DC</v>
      </c>
      <c r="BB525" s="3">
        <v>20005</v>
      </c>
      <c r="BC525" t="str">
        <f>"UNITED STATES OF AMERICA"</f>
        <v>UNITED STATES OF AMERICA</v>
      </c>
      <c r="BD525" t="str">
        <f>""</f>
        <v/>
      </c>
      <c r="BE525" t="str">
        <f>"+12022235515"</f>
        <v>+12022235515</v>
      </c>
      <c r="BF525" t="str">
        <f>""</f>
        <v/>
      </c>
      <c r="BG525" t="str">
        <f>"LCATeamPham@Fragomen.com"</f>
        <v>LCATeamPham@Fragomen.com</v>
      </c>
      <c r="BH525" t="str">
        <f>"Fragomen, Del Rey, Bernsen &amp; Loewy, LLP"</f>
        <v>Fragomen, Del Rey, Bernsen &amp; Loewy, LLP</v>
      </c>
      <c r="BI525" t="str">
        <f>"DC"</f>
        <v>DC</v>
      </c>
      <c r="BJ525" t="str">
        <f>"DISTRICT OF COLUMBIA COURT OF APPEALS"</f>
        <v>DISTRICT OF COLUMBIA COURT OF APPEALS</v>
      </c>
      <c r="BK525">
        <v>1</v>
      </c>
      <c r="BL525" t="s">
        <v>107</v>
      </c>
      <c r="BM525" t="str">
        <f>"The PNC Financial Services Group, Inc."</f>
        <v>The PNC Financial Services Group, Inc.</v>
      </c>
      <c r="BN525" t="s">
        <v>3787</v>
      </c>
      <c r="BP525" t="s">
        <v>333</v>
      </c>
      <c r="BQ525" t="s">
        <v>861</v>
      </c>
      <c r="BR525" t="s">
        <v>127</v>
      </c>
      <c r="BS525" s="5">
        <v>15222</v>
      </c>
      <c r="BT525" s="2">
        <v>119962.5</v>
      </c>
      <c r="BV525" t="s">
        <v>105</v>
      </c>
      <c r="BW525" s="2">
        <v>80142</v>
      </c>
      <c r="BX525" t="s">
        <v>105</v>
      </c>
      <c r="BZ525" t="s">
        <v>167</v>
      </c>
      <c r="CA525" t="str">
        <f t="shared" si="32"/>
        <v>7/1/2020 - 6/30/2021</v>
      </c>
      <c r="CF525">
        <v>2</v>
      </c>
      <c r="CG525" t="s">
        <v>98</v>
      </c>
      <c r="CH525" t="s">
        <v>206</v>
      </c>
      <c r="CI525" t="s">
        <v>206</v>
      </c>
      <c r="CL525" t="s">
        <v>108</v>
      </c>
      <c r="CM525" t="s">
        <v>109</v>
      </c>
      <c r="CN525" t="str">
        <f>"ALI"</f>
        <v>ALI</v>
      </c>
      <c r="CO525" t="str">
        <f>"ADAM"</f>
        <v>ADAM</v>
      </c>
      <c r="CP525" t="str">
        <f>"P"</f>
        <v>P</v>
      </c>
      <c r="CQ525" t="str">
        <f>"Fragomen, Del Rey, Bernsen &amp; Loewy, LLP"</f>
        <v>Fragomen, Del Rey, Bernsen &amp; Loewy, LLP</v>
      </c>
      <c r="CR525" t="s">
        <v>4452</v>
      </c>
    </row>
    <row r="526" spans="1:96" x14ac:dyDescent="0.2">
      <c r="A526" t="s">
        <v>4498</v>
      </c>
      <c r="B526" t="s">
        <v>96</v>
      </c>
      <c r="C526" s="1">
        <v>44098</v>
      </c>
      <c r="D526" s="1">
        <v>44105</v>
      </c>
      <c r="F526" t="s">
        <v>97</v>
      </c>
      <c r="G526" t="str">
        <f>"Solution Architect"</f>
        <v>Solution Architect</v>
      </c>
      <c r="H526" t="s">
        <v>12169</v>
      </c>
      <c r="I526" t="s">
        <v>124</v>
      </c>
      <c r="J526" t="s">
        <v>98</v>
      </c>
      <c r="K526" s="1">
        <v>44098</v>
      </c>
      <c r="L526" s="1">
        <v>45192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 t="s">
        <v>2348</v>
      </c>
      <c r="U526" t="str">
        <f>""</f>
        <v/>
      </c>
      <c r="V526" t="s">
        <v>2057</v>
      </c>
      <c r="W526" t="str">
        <f>""</f>
        <v/>
      </c>
      <c r="X526" t="s">
        <v>1614</v>
      </c>
      <c r="Y526" t="s">
        <v>330</v>
      </c>
      <c r="Z526" s="3">
        <v>53209</v>
      </c>
      <c r="AA526" t="s">
        <v>101</v>
      </c>
      <c r="AB526" t="s">
        <v>108</v>
      </c>
      <c r="AC526" s="4" t="str">
        <f>"+14145243574"</f>
        <v>+14145243574</v>
      </c>
      <c r="AE526" t="str">
        <f>"333415"</f>
        <v>333415</v>
      </c>
      <c r="AF526" t="s">
        <v>395</v>
      </c>
      <c r="AG526" t="s">
        <v>2056</v>
      </c>
      <c r="AH526" t="s">
        <v>1126</v>
      </c>
      <c r="AI526" t="s">
        <v>4499</v>
      </c>
      <c r="AJ526" t="s">
        <v>2057</v>
      </c>
      <c r="AK526" t="str">
        <f>"X34A"</f>
        <v>X34A</v>
      </c>
      <c r="AL526" t="s">
        <v>1614</v>
      </c>
      <c r="AM526" t="s">
        <v>330</v>
      </c>
      <c r="AN526" s="3">
        <v>53209</v>
      </c>
      <c r="AO526" t="s">
        <v>101</v>
      </c>
      <c r="AQ526" t="str">
        <f>"+14145244455"</f>
        <v>+14145244455</v>
      </c>
      <c r="AS526" t="s">
        <v>2058</v>
      </c>
      <c r="AT526" t="s">
        <v>107</v>
      </c>
      <c r="AU526" t="str">
        <f>"KNOWLAND"</f>
        <v>KNOWLAND</v>
      </c>
      <c r="AV526" t="str">
        <f>"ASHLEY"</f>
        <v>ASHLEY</v>
      </c>
      <c r="AW526" t="str">
        <f>"N/A"</f>
        <v>N/A</v>
      </c>
      <c r="AX526" t="str">
        <f>"333 WEST WACKER DRIVE"</f>
        <v>333 WEST WACKER DRIVE</v>
      </c>
      <c r="AY526" t="str">
        <f>"15TH FLOOR"</f>
        <v>15TH FLOOR</v>
      </c>
      <c r="AZ526" t="str">
        <f>"CHICAGO"</f>
        <v>CHICAGO</v>
      </c>
      <c r="BA526" t="str">
        <f>"IL"</f>
        <v>IL</v>
      </c>
      <c r="BB526" s="3">
        <v>60606</v>
      </c>
      <c r="BC526" t="str">
        <f>"UNITED STATES OF AMERICA"</f>
        <v>UNITED STATES OF AMERICA</v>
      </c>
      <c r="BD526" t="str">
        <f>""</f>
        <v/>
      </c>
      <c r="BE526" t="str">
        <f>"+13122636101"</f>
        <v>+13122636101</v>
      </c>
      <c r="BF526" t="str">
        <f>""</f>
        <v/>
      </c>
      <c r="BG526" t="str">
        <f>"mstempniewicz@fragomen.com"</f>
        <v>mstempniewicz@fragomen.com</v>
      </c>
      <c r="BH526" t="str">
        <f>"Fragomen, Del Rey, Bernsen &amp; Loewy, LLP"</f>
        <v>Fragomen, Del Rey, Bernsen &amp; Loewy, LLP</v>
      </c>
      <c r="BI526" t="str">
        <f>"IL"</f>
        <v>IL</v>
      </c>
      <c r="BJ526" t="str">
        <f>"ILLINOIS SUPREME COURT"</f>
        <v>ILLINOIS SUPREME COURT</v>
      </c>
      <c r="BK526">
        <v>1</v>
      </c>
      <c r="BL526" t="s">
        <v>102</v>
      </c>
      <c r="BM526" t="str">
        <f>""</f>
        <v/>
      </c>
      <c r="BN526" t="s">
        <v>4500</v>
      </c>
      <c r="BP526" t="s">
        <v>4501</v>
      </c>
      <c r="BQ526" t="s">
        <v>1138</v>
      </c>
      <c r="BR526" t="s">
        <v>577</v>
      </c>
      <c r="BS526" s="5">
        <v>33487</v>
      </c>
      <c r="BT526" s="2">
        <v>116459</v>
      </c>
      <c r="BU526" s="2">
        <v>185000</v>
      </c>
      <c r="BV526" t="s">
        <v>105</v>
      </c>
      <c r="BW526" s="2">
        <v>116459</v>
      </c>
      <c r="BX526" t="s">
        <v>105</v>
      </c>
      <c r="BZ526" t="s">
        <v>159</v>
      </c>
      <c r="CA526" t="str">
        <f t="shared" si="32"/>
        <v>7/1/2020 - 6/30/2021</v>
      </c>
      <c r="CF526">
        <v>1</v>
      </c>
      <c r="CG526" t="s">
        <v>98</v>
      </c>
      <c r="CH526" t="s">
        <v>206</v>
      </c>
      <c r="CI526" t="s">
        <v>206</v>
      </c>
      <c r="CL526" t="s">
        <v>108</v>
      </c>
      <c r="CM526" t="s">
        <v>109</v>
      </c>
      <c r="CN526" t="str">
        <f>"Mucha"</f>
        <v>Mucha</v>
      </c>
      <c r="CO526" t="str">
        <f>"Veronica"</f>
        <v>Veronica</v>
      </c>
      <c r="CP526" t="str">
        <f>"N/A"</f>
        <v>N/A</v>
      </c>
      <c r="CQ526" t="str">
        <f>"Fragomen, Del Rey, Bernsen &amp; Loewy LLP"</f>
        <v>Fragomen, Del Rey, Bernsen &amp; Loewy LLP</v>
      </c>
      <c r="CR526" t="s">
        <v>4502</v>
      </c>
    </row>
    <row r="527" spans="1:96" x14ac:dyDescent="0.2">
      <c r="A527" t="s">
        <v>4538</v>
      </c>
      <c r="B527" t="s">
        <v>96</v>
      </c>
      <c r="C527" s="1">
        <v>44098</v>
      </c>
      <c r="D527" s="1">
        <v>44105</v>
      </c>
      <c r="F527" t="s">
        <v>97</v>
      </c>
      <c r="G527" t="str">
        <f>"Technical Services Analyst"</f>
        <v>Technical Services Analyst</v>
      </c>
      <c r="H527" t="s">
        <v>12227</v>
      </c>
      <c r="I527" t="s">
        <v>766</v>
      </c>
      <c r="J527" t="s">
        <v>98</v>
      </c>
      <c r="K527" s="1">
        <v>44099</v>
      </c>
      <c r="L527" s="1">
        <v>45189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4539</v>
      </c>
      <c r="U527" t="str">
        <f>""</f>
        <v/>
      </c>
      <c r="V527" t="s">
        <v>4540</v>
      </c>
      <c r="W527" t="str">
        <f>"Ste. 600"</f>
        <v>Ste. 600</v>
      </c>
      <c r="X527" t="s">
        <v>847</v>
      </c>
      <c r="Y527" t="s">
        <v>215</v>
      </c>
      <c r="Z527" s="3">
        <v>30005</v>
      </c>
      <c r="AA527" t="s">
        <v>101</v>
      </c>
      <c r="AC527" s="4" t="str">
        <f>"+16784561442"</f>
        <v>+16784561442</v>
      </c>
      <c r="AD527">
        <v>0</v>
      </c>
      <c r="AE527" t="str">
        <f>"334118"</f>
        <v>334118</v>
      </c>
      <c r="AF527" t="s">
        <v>4541</v>
      </c>
      <c r="AG527" t="s">
        <v>4542</v>
      </c>
      <c r="AI527" t="s">
        <v>4543</v>
      </c>
      <c r="AJ527" t="s">
        <v>4540</v>
      </c>
      <c r="AK527" t="str">
        <f>"Ste. 600 "</f>
        <v xml:space="preserve">Ste. 600 </v>
      </c>
      <c r="AL527" t="s">
        <v>3668</v>
      </c>
      <c r="AM527" t="s">
        <v>215</v>
      </c>
      <c r="AN527" s="3">
        <v>30005</v>
      </c>
      <c r="AO527" t="s">
        <v>101</v>
      </c>
      <c r="AQ527" t="str">
        <f>"+16784561442"</f>
        <v>+16784561442</v>
      </c>
      <c r="AS527" t="s">
        <v>4544</v>
      </c>
      <c r="AT527" t="s">
        <v>107</v>
      </c>
      <c r="AU527" t="str">
        <f>"Rosser"</f>
        <v>Rosser</v>
      </c>
      <c r="AV527" t="str">
        <f>"Adam"</f>
        <v>Adam</v>
      </c>
      <c r="AW527" t="str">
        <f>"John"</f>
        <v>John</v>
      </c>
      <c r="AX527" t="str">
        <f>"2200 Pennsylvania Avenue NW"</f>
        <v>2200 Pennsylvania Avenue NW</v>
      </c>
      <c r="AY527" t="str">
        <f>"Hunton Andrews Kurth LLP"</f>
        <v>Hunton Andrews Kurth LLP</v>
      </c>
      <c r="AZ527" t="str">
        <f>"Washington"</f>
        <v>Washington</v>
      </c>
      <c r="BA527" t="str">
        <f>"DC"</f>
        <v>DC</v>
      </c>
      <c r="BB527" s="3">
        <v>20037</v>
      </c>
      <c r="BC527" t="str">
        <f>"UNITED STATES OF AMERICA"</f>
        <v>UNITED STATES OF AMERICA</v>
      </c>
      <c r="BD527" t="str">
        <f>""</f>
        <v/>
      </c>
      <c r="BE527" t="str">
        <f>"+12024192026"</f>
        <v>+12024192026</v>
      </c>
      <c r="BF527" t="str">
        <f>"000"</f>
        <v>000</v>
      </c>
      <c r="BG527" t="str">
        <f>"arosser@hunton.com"</f>
        <v>arosser@hunton.com</v>
      </c>
      <c r="BH527" t="str">
        <f>"Hunton Andrews Kurth LLP"</f>
        <v>Hunton Andrews Kurth LLP</v>
      </c>
      <c r="BI527" t="str">
        <f>"DC"</f>
        <v>DC</v>
      </c>
      <c r="BJ527" t="str">
        <f>"DC - Court of Appeals"</f>
        <v>DC - Court of Appeals</v>
      </c>
      <c r="BK527">
        <v>1</v>
      </c>
      <c r="BL527" t="s">
        <v>102</v>
      </c>
      <c r="BM527" t="str">
        <f>""</f>
        <v/>
      </c>
      <c r="BN527" t="s">
        <v>4540</v>
      </c>
      <c r="BO527" t="s">
        <v>3066</v>
      </c>
      <c r="BP527" t="s">
        <v>847</v>
      </c>
      <c r="BQ527" t="s">
        <v>214</v>
      </c>
      <c r="BR527" t="s">
        <v>215</v>
      </c>
      <c r="BS527" s="5">
        <v>30005</v>
      </c>
      <c r="BT527" s="2">
        <v>95000</v>
      </c>
      <c r="BU527" s="2">
        <v>125000</v>
      </c>
      <c r="BV527" t="s">
        <v>105</v>
      </c>
      <c r="BW527" s="2">
        <v>93309</v>
      </c>
      <c r="BX527" t="s">
        <v>105</v>
      </c>
      <c r="BZ527" t="s">
        <v>167</v>
      </c>
      <c r="CA527" t="str">
        <f t="shared" si="32"/>
        <v>7/1/2020 - 6/30/2021</v>
      </c>
      <c r="CF527">
        <v>2</v>
      </c>
      <c r="CG527" t="s">
        <v>98</v>
      </c>
      <c r="CH527" t="s">
        <v>206</v>
      </c>
      <c r="CI527" t="s">
        <v>206</v>
      </c>
      <c r="CL527" t="s">
        <v>108</v>
      </c>
      <c r="CM527" t="s">
        <v>109</v>
      </c>
      <c r="CN527" t="str">
        <f>"Gomez Limon"</f>
        <v>Gomez Limon</v>
      </c>
      <c r="CO527" t="str">
        <f>"Alejandra "</f>
        <v xml:space="preserve">Alejandra </v>
      </c>
      <c r="CP527" t="str">
        <f>""</f>
        <v/>
      </c>
      <c r="CQ527" t="str">
        <f>"Hunton Andrews Kurth LLP"</f>
        <v>Hunton Andrews Kurth LLP</v>
      </c>
      <c r="CR527" t="s">
        <v>4545</v>
      </c>
    </row>
    <row r="528" spans="1:96" x14ac:dyDescent="0.2">
      <c r="A528" t="s">
        <v>4578</v>
      </c>
      <c r="B528" t="s">
        <v>96</v>
      </c>
      <c r="C528" s="1">
        <v>44098</v>
      </c>
      <c r="D528" s="1">
        <v>44105</v>
      </c>
      <c r="F528" t="s">
        <v>97</v>
      </c>
      <c r="G528" t="str">
        <f>"PHYSICIAN ASSISTANT"</f>
        <v>PHYSICIAN ASSISTANT</v>
      </c>
      <c r="H528" t="s">
        <v>12246</v>
      </c>
      <c r="I528" t="s">
        <v>4579</v>
      </c>
      <c r="J528" t="s">
        <v>98</v>
      </c>
      <c r="K528" s="1">
        <v>44219</v>
      </c>
      <c r="L528" s="1">
        <v>45313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 t="s">
        <v>4580</v>
      </c>
      <c r="U528" t="str">
        <f>""</f>
        <v/>
      </c>
      <c r="V528" t="s">
        <v>4581</v>
      </c>
      <c r="W528" t="str">
        <f>"P.O. BOX 100303"</f>
        <v>P.O. BOX 100303</v>
      </c>
      <c r="X528" t="s">
        <v>4582</v>
      </c>
      <c r="Y528" t="s">
        <v>577</v>
      </c>
      <c r="Z528" s="3" t="s">
        <v>12294</v>
      </c>
      <c r="AA528" t="s">
        <v>101</v>
      </c>
      <c r="AC528" s="4" t="str">
        <f>"+13526279045"</f>
        <v>+13526279045</v>
      </c>
      <c r="AE528" t="str">
        <f>"622110"</f>
        <v>622110</v>
      </c>
      <c r="AF528" t="s">
        <v>4583</v>
      </c>
      <c r="AG528" t="s">
        <v>4584</v>
      </c>
      <c r="AH528" t="s">
        <v>108</v>
      </c>
      <c r="AI528" t="s">
        <v>4585</v>
      </c>
      <c r="AJ528" t="s">
        <v>4586</v>
      </c>
      <c r="AK528" t="str">
        <f>"201 S. E. 2ND AVENUE, SUITE 209"</f>
        <v>201 S. E. 2ND AVENUE, SUITE 209</v>
      </c>
      <c r="AL528" t="s">
        <v>4582</v>
      </c>
      <c r="AM528" t="s">
        <v>577</v>
      </c>
      <c r="AN528" s="3">
        <v>32601</v>
      </c>
      <c r="AO528" t="s">
        <v>101</v>
      </c>
      <c r="AQ528" t="str">
        <f>"+13526279045"</f>
        <v>+13526279045</v>
      </c>
      <c r="AS528" t="s">
        <v>4587</v>
      </c>
      <c r="AT528" t="s">
        <v>107</v>
      </c>
      <c r="AU528" t="str">
        <f>"BLUMBERG"</f>
        <v>BLUMBERG</v>
      </c>
      <c r="AV528" t="str">
        <f>"Aaron"</f>
        <v>Aaron</v>
      </c>
      <c r="AW528" t="str">
        <f>"Michael"</f>
        <v>Michael</v>
      </c>
      <c r="AX528" t="str">
        <f>"800 NW 62ND AVE"</f>
        <v>800 NW 62ND AVE</v>
      </c>
      <c r="AY528" t="str">
        <f>"SUITE 590"</f>
        <v>SUITE 590</v>
      </c>
      <c r="AZ528" t="str">
        <f>"MIAMI"</f>
        <v>MIAMI</v>
      </c>
      <c r="BA528" t="str">
        <f>"FL"</f>
        <v>FL</v>
      </c>
      <c r="BB528" s="3">
        <v>33126</v>
      </c>
      <c r="BC528" t="str">
        <f>"UNITED STATES OF AMERICA"</f>
        <v>UNITED STATES OF AMERICA</v>
      </c>
      <c r="BD528" t="str">
        <f>""</f>
        <v/>
      </c>
      <c r="BE528" t="str">
        <f>"+13057745800"</f>
        <v>+13057745800</v>
      </c>
      <c r="BF528" t="str">
        <f>""</f>
        <v/>
      </c>
      <c r="BG528" t="str">
        <f>"FRAGOMENUNIVERSITYTEAM@FRAGOMEN.COM"</f>
        <v>FRAGOMENUNIVERSITYTEAM@FRAGOMEN.COM</v>
      </c>
      <c r="BH528" t="str">
        <f>"Fragomen, Del Rey, Bernsen &amp; Loewy, LLP"</f>
        <v>Fragomen, Del Rey, Bernsen &amp; Loewy, LLP</v>
      </c>
      <c r="BI528" t="str">
        <f>"FL"</f>
        <v>FL</v>
      </c>
      <c r="BJ528" t="str">
        <f>"Supreme Court"</f>
        <v>Supreme Court</v>
      </c>
      <c r="BK528">
        <v>1</v>
      </c>
      <c r="BL528" t="s">
        <v>102</v>
      </c>
      <c r="BM528" t="str">
        <f>""</f>
        <v/>
      </c>
      <c r="BN528" t="s">
        <v>4588</v>
      </c>
      <c r="BP528" t="s">
        <v>4582</v>
      </c>
      <c r="BQ528" t="s">
        <v>4589</v>
      </c>
      <c r="BR528" t="s">
        <v>577</v>
      </c>
      <c r="BS528" s="5">
        <v>32610</v>
      </c>
      <c r="BT528" s="2">
        <v>102273.60000000001</v>
      </c>
      <c r="BU528" s="2">
        <v>102273.61</v>
      </c>
      <c r="BV528" t="s">
        <v>105</v>
      </c>
      <c r="BW528" s="2">
        <v>66914</v>
      </c>
      <c r="BX528" t="s">
        <v>105</v>
      </c>
      <c r="BZ528" t="s">
        <v>191</v>
      </c>
      <c r="CA528" t="str">
        <f t="shared" si="32"/>
        <v>7/1/2020 - 6/30/2021</v>
      </c>
      <c r="CF528">
        <v>2</v>
      </c>
      <c r="CG528" t="s">
        <v>98</v>
      </c>
      <c r="CH528" t="s">
        <v>206</v>
      </c>
      <c r="CI528" t="s">
        <v>206</v>
      </c>
      <c r="CL528" t="s">
        <v>108</v>
      </c>
      <c r="CM528" t="s">
        <v>109</v>
      </c>
      <c r="CN528" t="str">
        <f>""</f>
        <v/>
      </c>
      <c r="CO528" t="str">
        <f>""</f>
        <v/>
      </c>
      <c r="CP528" t="str">
        <f>""</f>
        <v/>
      </c>
      <c r="CQ528" t="str">
        <f>""</f>
        <v/>
      </c>
    </row>
    <row r="529" spans="1:96" x14ac:dyDescent="0.2">
      <c r="A529" t="s">
        <v>4618</v>
      </c>
      <c r="B529" t="s">
        <v>96</v>
      </c>
      <c r="C529" s="1">
        <v>44098</v>
      </c>
      <c r="D529" s="1">
        <v>44105</v>
      </c>
      <c r="F529" t="s">
        <v>97</v>
      </c>
      <c r="G529" t="str">
        <f>"Research Scientist"</f>
        <v>Research Scientist</v>
      </c>
      <c r="H529" t="s">
        <v>12200</v>
      </c>
      <c r="I529" t="s">
        <v>1587</v>
      </c>
      <c r="J529" t="s">
        <v>98</v>
      </c>
      <c r="K529" s="1">
        <v>44239</v>
      </c>
      <c r="L529" s="1">
        <v>45333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t="s">
        <v>1650</v>
      </c>
      <c r="U529" t="str">
        <f>""</f>
        <v/>
      </c>
      <c r="V529" t="s">
        <v>1651</v>
      </c>
      <c r="W529" t="str">
        <f>""</f>
        <v/>
      </c>
      <c r="X529" t="s">
        <v>1652</v>
      </c>
      <c r="Y529" t="s">
        <v>545</v>
      </c>
      <c r="Z529" s="3">
        <v>37831</v>
      </c>
      <c r="AA529" t="s">
        <v>101</v>
      </c>
      <c r="AC529" s="4" t="str">
        <f>"+18652419404"</f>
        <v>+18652419404</v>
      </c>
      <c r="AE529" t="str">
        <f>"54171"</f>
        <v>54171</v>
      </c>
      <c r="AF529" t="s">
        <v>1653</v>
      </c>
      <c r="AG529" t="s">
        <v>1654</v>
      </c>
      <c r="AH529" t="s">
        <v>611</v>
      </c>
      <c r="AI529" t="s">
        <v>221</v>
      </c>
      <c r="AJ529" t="s">
        <v>1655</v>
      </c>
      <c r="AK529" t="str">
        <f>""</f>
        <v/>
      </c>
      <c r="AL529" t="s">
        <v>1656</v>
      </c>
      <c r="AM529" t="s">
        <v>545</v>
      </c>
      <c r="AN529" s="3">
        <v>37831</v>
      </c>
      <c r="AO529" t="s">
        <v>101</v>
      </c>
      <c r="AQ529" t="str">
        <f>"+18652419404"</f>
        <v>+18652419404</v>
      </c>
      <c r="AS529" t="s">
        <v>1657</v>
      </c>
      <c r="AT529" t="s">
        <v>102</v>
      </c>
      <c r="AU529" t="str">
        <f>""</f>
        <v/>
      </c>
      <c r="AV529" t="str">
        <f>""</f>
        <v/>
      </c>
      <c r="AW529" t="str">
        <f>""</f>
        <v/>
      </c>
      <c r="AX529" t="str">
        <f>""</f>
        <v/>
      </c>
      <c r="AY529" t="str">
        <f>""</f>
        <v/>
      </c>
      <c r="AZ529" t="str">
        <f>""</f>
        <v/>
      </c>
      <c r="BA529" t="str">
        <f>""</f>
        <v/>
      </c>
      <c r="BC529" t="str">
        <f>""</f>
        <v/>
      </c>
      <c r="BD529" t="str">
        <f>""</f>
        <v/>
      </c>
      <c r="BE529" t="str">
        <f>""</f>
        <v/>
      </c>
      <c r="BF529" t="str">
        <f>""</f>
        <v/>
      </c>
      <c r="BG529" t="str">
        <f>""</f>
        <v/>
      </c>
      <c r="BH529" t="str">
        <f>""</f>
        <v/>
      </c>
      <c r="BI529" t="str">
        <f>""</f>
        <v/>
      </c>
      <c r="BJ529" t="str">
        <f>""</f>
        <v/>
      </c>
      <c r="BK529">
        <v>1</v>
      </c>
      <c r="BL529" t="s">
        <v>102</v>
      </c>
      <c r="BM529" t="str">
        <f>""</f>
        <v/>
      </c>
      <c r="BN529" t="s">
        <v>1721</v>
      </c>
      <c r="BP529" t="s">
        <v>1656</v>
      </c>
      <c r="BQ529" t="s">
        <v>1658</v>
      </c>
      <c r="BR529" t="s">
        <v>545</v>
      </c>
      <c r="BS529" s="5">
        <v>37831</v>
      </c>
      <c r="BT529" s="2">
        <v>115315</v>
      </c>
      <c r="BV529" t="s">
        <v>105</v>
      </c>
      <c r="BW529" s="2">
        <v>88254</v>
      </c>
      <c r="BX529" t="s">
        <v>105</v>
      </c>
      <c r="BZ529" t="s">
        <v>159</v>
      </c>
      <c r="CA529" t="str">
        <f t="shared" si="32"/>
        <v>7/1/2020 - 6/30/2021</v>
      </c>
      <c r="CF529">
        <v>1</v>
      </c>
      <c r="CG529" t="s">
        <v>98</v>
      </c>
      <c r="CH529" t="s">
        <v>206</v>
      </c>
      <c r="CI529" t="s">
        <v>206</v>
      </c>
      <c r="CL529" t="s">
        <v>108</v>
      </c>
      <c r="CM529" t="s">
        <v>718</v>
      </c>
      <c r="CN529" t="str">
        <f>""</f>
        <v/>
      </c>
      <c r="CO529" t="str">
        <f>""</f>
        <v/>
      </c>
      <c r="CP529" t="str">
        <f>""</f>
        <v/>
      </c>
      <c r="CQ529" t="str">
        <f>""</f>
        <v/>
      </c>
    </row>
    <row r="530" spans="1:96" x14ac:dyDescent="0.2">
      <c r="A530" t="s">
        <v>4622</v>
      </c>
      <c r="B530" t="s">
        <v>96</v>
      </c>
      <c r="C530" s="1">
        <v>44098</v>
      </c>
      <c r="D530" s="1">
        <v>44105</v>
      </c>
      <c r="F530" t="s">
        <v>97</v>
      </c>
      <c r="G530" t="str">
        <f>"Research Fellow"</f>
        <v>Research Fellow</v>
      </c>
      <c r="H530" t="s">
        <v>12190</v>
      </c>
      <c r="I530" t="s">
        <v>1072</v>
      </c>
      <c r="J530" t="s">
        <v>98</v>
      </c>
      <c r="K530" s="1">
        <v>44171</v>
      </c>
      <c r="L530" s="1">
        <v>45265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4623</v>
      </c>
      <c r="U530" t="str">
        <f>""</f>
        <v/>
      </c>
      <c r="V530" t="s">
        <v>4624</v>
      </c>
      <c r="W530" t="str">
        <f>"31 Center Drive MSC 2028"</f>
        <v>31 Center Drive MSC 2028</v>
      </c>
      <c r="X530" t="s">
        <v>2307</v>
      </c>
      <c r="Y530" t="s">
        <v>195</v>
      </c>
      <c r="Z530" s="3">
        <v>20892</v>
      </c>
      <c r="AA530" t="s">
        <v>101</v>
      </c>
      <c r="AC530" s="4" t="str">
        <f>"+13014966166"</f>
        <v>+13014966166</v>
      </c>
      <c r="AE530" t="str">
        <f>"54171"</f>
        <v>54171</v>
      </c>
      <c r="AF530" t="s">
        <v>407</v>
      </c>
      <c r="AG530" t="s">
        <v>2306</v>
      </c>
      <c r="AI530" t="s">
        <v>221</v>
      </c>
      <c r="AJ530" t="s">
        <v>4625</v>
      </c>
      <c r="AK530" t="str">
        <f>"B2B07"</f>
        <v>B2B07</v>
      </c>
      <c r="AL530" t="s">
        <v>2307</v>
      </c>
      <c r="AM530" t="s">
        <v>195</v>
      </c>
      <c r="AN530" s="3">
        <v>20892</v>
      </c>
      <c r="AO530" t="s">
        <v>101</v>
      </c>
      <c r="AQ530" t="str">
        <f>"+13014966166"</f>
        <v>+13014966166</v>
      </c>
      <c r="AS530" t="s">
        <v>4626</v>
      </c>
      <c r="AT530" t="s">
        <v>102</v>
      </c>
      <c r="AU530" t="str">
        <f>""</f>
        <v/>
      </c>
      <c r="AV530" t="str">
        <f>""</f>
        <v/>
      </c>
      <c r="AW530" t="str">
        <f>""</f>
        <v/>
      </c>
      <c r="AX530" t="str">
        <f>""</f>
        <v/>
      </c>
      <c r="AY530" t="str">
        <f>""</f>
        <v/>
      </c>
      <c r="AZ530" t="str">
        <f>""</f>
        <v/>
      </c>
      <c r="BA530" t="str">
        <f>""</f>
        <v/>
      </c>
      <c r="BC530" t="str">
        <f>""</f>
        <v/>
      </c>
      <c r="BD530" t="str">
        <f>""</f>
        <v/>
      </c>
      <c r="BE530" t="str">
        <f>""</f>
        <v/>
      </c>
      <c r="BF530" t="str">
        <f>""</f>
        <v/>
      </c>
      <c r="BG530" t="str">
        <f>""</f>
        <v/>
      </c>
      <c r="BH530" t="str">
        <f>""</f>
        <v/>
      </c>
      <c r="BI530" t="str">
        <f>""</f>
        <v/>
      </c>
      <c r="BJ530" t="str">
        <f>""</f>
        <v/>
      </c>
      <c r="BK530">
        <v>1</v>
      </c>
      <c r="BL530" t="s">
        <v>102</v>
      </c>
      <c r="BM530" t="str">
        <f>""</f>
        <v/>
      </c>
      <c r="BN530" t="s">
        <v>4627</v>
      </c>
      <c r="BP530" t="s">
        <v>2307</v>
      </c>
      <c r="BQ530" t="s">
        <v>529</v>
      </c>
      <c r="BR530" t="s">
        <v>195</v>
      </c>
      <c r="BS530" s="5">
        <v>20892</v>
      </c>
      <c r="BT530" s="2">
        <v>83167</v>
      </c>
      <c r="BV530" t="s">
        <v>105</v>
      </c>
      <c r="BW530" s="2">
        <v>44013</v>
      </c>
      <c r="BX530" t="s">
        <v>105</v>
      </c>
      <c r="BZ530" t="s">
        <v>191</v>
      </c>
      <c r="CA530" t="str">
        <f t="shared" si="32"/>
        <v>7/1/2020 - 6/30/2021</v>
      </c>
      <c r="CF530">
        <v>2</v>
      </c>
      <c r="CG530" t="s">
        <v>98</v>
      </c>
      <c r="CH530" t="s">
        <v>206</v>
      </c>
      <c r="CI530" t="s">
        <v>206</v>
      </c>
      <c r="CL530" t="s">
        <v>108</v>
      </c>
      <c r="CM530" t="s">
        <v>109</v>
      </c>
      <c r="CN530" t="str">
        <f>""</f>
        <v/>
      </c>
      <c r="CO530" t="str">
        <f>""</f>
        <v/>
      </c>
      <c r="CP530" t="str">
        <f>""</f>
        <v/>
      </c>
      <c r="CQ530" t="str">
        <f>""</f>
        <v/>
      </c>
    </row>
    <row r="531" spans="1:96" x14ac:dyDescent="0.2">
      <c r="A531" t="s">
        <v>4712</v>
      </c>
      <c r="B531" t="s">
        <v>96</v>
      </c>
      <c r="C531" s="1">
        <v>44098</v>
      </c>
      <c r="D531" s="1">
        <v>44105</v>
      </c>
      <c r="F531" t="s">
        <v>97</v>
      </c>
      <c r="G531" t="str">
        <f>"Software Engineer"</f>
        <v>Software Engineer</v>
      </c>
      <c r="H531" t="s">
        <v>12169</v>
      </c>
      <c r="I531" t="s">
        <v>124</v>
      </c>
      <c r="J531" t="s">
        <v>98</v>
      </c>
      <c r="K531" s="1">
        <v>44279</v>
      </c>
      <c r="L531" s="1">
        <v>45374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 t="s">
        <v>173</v>
      </c>
      <c r="U531" t="str">
        <f>""</f>
        <v/>
      </c>
      <c r="V531" t="s">
        <v>174</v>
      </c>
      <c r="W531" t="str">
        <f>"N/A"</f>
        <v>N/A</v>
      </c>
      <c r="X531" t="s">
        <v>175</v>
      </c>
      <c r="Y531" t="s">
        <v>176</v>
      </c>
      <c r="Z531" s="3">
        <v>98052</v>
      </c>
      <c r="AA531" t="s">
        <v>101</v>
      </c>
      <c r="AC531" s="4" t="str">
        <f>"+14258828080"</f>
        <v>+14258828080</v>
      </c>
      <c r="AE531" t="str">
        <f>"51121"</f>
        <v>51121</v>
      </c>
      <c r="AF531" t="s">
        <v>177</v>
      </c>
      <c r="AG531" t="s">
        <v>178</v>
      </c>
      <c r="AI531" t="s">
        <v>179</v>
      </c>
      <c r="AJ531" t="s">
        <v>174</v>
      </c>
      <c r="AK531" t="str">
        <f>""</f>
        <v/>
      </c>
      <c r="AL531" t="s">
        <v>175</v>
      </c>
      <c r="AM531" t="s">
        <v>176</v>
      </c>
      <c r="AN531" s="3">
        <v>98052</v>
      </c>
      <c r="AO531" t="s">
        <v>101</v>
      </c>
      <c r="AQ531" t="str">
        <f>"+14258828080"</f>
        <v>+14258828080</v>
      </c>
      <c r="AS531" t="s">
        <v>180</v>
      </c>
      <c r="AT531" t="s">
        <v>102</v>
      </c>
      <c r="AU531" t="str">
        <f>""</f>
        <v/>
      </c>
      <c r="AV531" t="str">
        <f>""</f>
        <v/>
      </c>
      <c r="AW531" t="str">
        <f>""</f>
        <v/>
      </c>
      <c r="AX531" t="str">
        <f>""</f>
        <v/>
      </c>
      <c r="AY531" t="str">
        <f>""</f>
        <v/>
      </c>
      <c r="AZ531" t="str">
        <f>""</f>
        <v/>
      </c>
      <c r="BA531" t="str">
        <f>""</f>
        <v/>
      </c>
      <c r="BC531" t="str">
        <f>""</f>
        <v/>
      </c>
      <c r="BD531" t="str">
        <f>""</f>
        <v/>
      </c>
      <c r="BE531" t="str">
        <f>""</f>
        <v/>
      </c>
      <c r="BF531" t="str">
        <f>""</f>
        <v/>
      </c>
      <c r="BG531" t="str">
        <f>""</f>
        <v/>
      </c>
      <c r="BH531" t="str">
        <f>""</f>
        <v/>
      </c>
      <c r="BI531" t="str">
        <f>""</f>
        <v/>
      </c>
      <c r="BJ531" t="str">
        <f>""</f>
        <v/>
      </c>
      <c r="BK531">
        <v>1</v>
      </c>
      <c r="BL531" t="s">
        <v>102</v>
      </c>
      <c r="BM531" t="str">
        <f>""</f>
        <v/>
      </c>
      <c r="BN531" t="s">
        <v>962</v>
      </c>
      <c r="BP531" t="s">
        <v>175</v>
      </c>
      <c r="BQ531" t="s">
        <v>183</v>
      </c>
      <c r="BR531" t="s">
        <v>176</v>
      </c>
      <c r="BS531" s="5">
        <v>98052</v>
      </c>
      <c r="BT531" s="2">
        <v>158013</v>
      </c>
      <c r="BV531" t="s">
        <v>105</v>
      </c>
      <c r="BW531" s="2">
        <v>134098</v>
      </c>
      <c r="BX531" t="s">
        <v>105</v>
      </c>
      <c r="BZ531" t="s">
        <v>123</v>
      </c>
      <c r="CA531" t="str">
        <f t="shared" si="32"/>
        <v>7/1/2020 - 6/30/2021</v>
      </c>
      <c r="CF531">
        <v>1</v>
      </c>
      <c r="CG531" t="s">
        <v>98</v>
      </c>
      <c r="CH531" t="s">
        <v>206</v>
      </c>
      <c r="CI531" t="s">
        <v>206</v>
      </c>
      <c r="CL531" t="s">
        <v>108</v>
      </c>
      <c r="CM531" t="s">
        <v>109</v>
      </c>
      <c r="CN531" t="str">
        <f>"DSOUZA"</f>
        <v>DSOUZA</v>
      </c>
      <c r="CO531" t="str">
        <f>"MACLIFF"</f>
        <v>MACLIFF</v>
      </c>
      <c r="CP531" t="str">
        <f>"N/A"</f>
        <v>N/A</v>
      </c>
      <c r="CQ531" t="str">
        <f>"INTEGREON MANAGED SOLUTIONS (INDIA) PVT LTD"</f>
        <v>INTEGREON MANAGED SOLUTIONS (INDIA) PVT LTD</v>
      </c>
      <c r="CR531" t="s">
        <v>1842</v>
      </c>
    </row>
    <row r="532" spans="1:96" x14ac:dyDescent="0.2">
      <c r="A532" t="s">
        <v>4809</v>
      </c>
      <c r="B532" t="s">
        <v>96</v>
      </c>
      <c r="C532" s="1">
        <v>44098</v>
      </c>
      <c r="D532" s="1">
        <v>44105</v>
      </c>
      <c r="F532" t="s">
        <v>97</v>
      </c>
      <c r="G532" t="str">
        <f>"Manager"</f>
        <v>Manager</v>
      </c>
      <c r="H532" t="s">
        <v>12178</v>
      </c>
      <c r="I532" t="s">
        <v>582</v>
      </c>
      <c r="J532" t="s">
        <v>98</v>
      </c>
      <c r="K532" s="1">
        <v>44099</v>
      </c>
      <c r="L532" s="1">
        <v>45193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3</v>
      </c>
      <c r="T532" t="s">
        <v>3278</v>
      </c>
      <c r="U532" t="str">
        <f>""</f>
        <v/>
      </c>
      <c r="V532" t="s">
        <v>738</v>
      </c>
      <c r="W532" t="str">
        <f>""</f>
        <v/>
      </c>
      <c r="X532" t="s">
        <v>510</v>
      </c>
      <c r="Y532" t="s">
        <v>127</v>
      </c>
      <c r="Z532" s="3">
        <v>19103</v>
      </c>
      <c r="AA532" t="s">
        <v>101</v>
      </c>
      <c r="AC532" s="4" t="str">
        <f>"+16179608170"</f>
        <v>+16179608170</v>
      </c>
      <c r="AE532" t="str">
        <f>"541611"</f>
        <v>541611</v>
      </c>
      <c r="AF532" t="s">
        <v>908</v>
      </c>
      <c r="AG532" t="s">
        <v>909</v>
      </c>
      <c r="AI532" t="s">
        <v>910</v>
      </c>
      <c r="AJ532" t="s">
        <v>738</v>
      </c>
      <c r="AK532" t="str">
        <f>""</f>
        <v/>
      </c>
      <c r="AL532" t="s">
        <v>510</v>
      </c>
      <c r="AM532" t="s">
        <v>127</v>
      </c>
      <c r="AN532" s="3">
        <v>19103</v>
      </c>
      <c r="AO532" t="s">
        <v>101</v>
      </c>
      <c r="AQ532" t="str">
        <f>"+16179608170"</f>
        <v>+16179608170</v>
      </c>
      <c r="AS532" t="s">
        <v>222</v>
      </c>
      <c r="AT532" t="s">
        <v>107</v>
      </c>
      <c r="AU532" t="str">
        <f>"Marr"</f>
        <v>Marr</v>
      </c>
      <c r="AV532" t="str">
        <f>"Breanna"</f>
        <v>Breanna</v>
      </c>
      <c r="AW532" t="str">
        <f>""</f>
        <v/>
      </c>
      <c r="AX532" t="str">
        <f>"265 Franklin Street"</f>
        <v>265 Franklin Street</v>
      </c>
      <c r="AY532" t="str">
        <f>"Suite 502"</f>
        <v>Suite 502</v>
      </c>
      <c r="AZ532" t="str">
        <f>"Boston"</f>
        <v>Boston</v>
      </c>
      <c r="BA532" t="str">
        <f>"MA"</f>
        <v>MA</v>
      </c>
      <c r="BB532" s="3">
        <v>2110</v>
      </c>
      <c r="BC532" t="str">
        <f>"UNITED STATES OF AMERICA"</f>
        <v>UNITED STATES OF AMERICA</v>
      </c>
      <c r="BD532" t="str">
        <f>""</f>
        <v/>
      </c>
      <c r="BE532" t="str">
        <f>"+14692909617"</f>
        <v>+14692909617</v>
      </c>
      <c r="BF532" t="str">
        <f>""</f>
        <v/>
      </c>
      <c r="BG532" t="str">
        <f>"bmteam@balglobal.com"</f>
        <v>bmteam@balglobal.com</v>
      </c>
      <c r="BH532" t="str">
        <f>"BERRY APPLEMAN &amp; LEIDEN LLP"</f>
        <v>BERRY APPLEMAN &amp; LEIDEN LLP</v>
      </c>
      <c r="BI532" t="str">
        <f>"MA"</f>
        <v>MA</v>
      </c>
      <c r="BJ532" t="str">
        <f>"Supreme Judicial Court"</f>
        <v>Supreme Judicial Court</v>
      </c>
      <c r="BK532">
        <v>3</v>
      </c>
      <c r="BL532" t="s">
        <v>102</v>
      </c>
      <c r="BM532" t="str">
        <f>""</f>
        <v/>
      </c>
      <c r="BN532" t="s">
        <v>4810</v>
      </c>
      <c r="BO532" t="s">
        <v>4811</v>
      </c>
      <c r="BP532" t="s">
        <v>261</v>
      </c>
      <c r="BQ532" t="s">
        <v>183</v>
      </c>
      <c r="BR532" t="s">
        <v>176</v>
      </c>
      <c r="BS532" s="5">
        <v>98104</v>
      </c>
      <c r="BT532" s="2">
        <v>171226</v>
      </c>
      <c r="BV532" t="s">
        <v>105</v>
      </c>
      <c r="BW532" s="2">
        <v>171226</v>
      </c>
      <c r="BX532" t="s">
        <v>105</v>
      </c>
      <c r="BZ532" t="s">
        <v>123</v>
      </c>
      <c r="CA532" t="str">
        <f t="shared" si="32"/>
        <v>7/1/2020 - 6/30/2021</v>
      </c>
      <c r="CF532">
        <v>3</v>
      </c>
      <c r="CG532" t="s">
        <v>98</v>
      </c>
      <c r="CH532" t="s">
        <v>206</v>
      </c>
      <c r="CI532" t="s">
        <v>206</v>
      </c>
      <c r="CL532" t="s">
        <v>108</v>
      </c>
      <c r="CM532" t="s">
        <v>109</v>
      </c>
      <c r="CN532" t="str">
        <f>"Vinjamoori"</f>
        <v>Vinjamoori</v>
      </c>
      <c r="CO532" t="str">
        <f>"Vasanthi"</f>
        <v>Vasanthi</v>
      </c>
      <c r="CP532" t="str">
        <f>""</f>
        <v/>
      </c>
      <c r="CQ532" t="str">
        <f>"Berry Appleman &amp; Leiden LLP"</f>
        <v>Berry Appleman &amp; Leiden LLP</v>
      </c>
      <c r="CR532" t="s">
        <v>4812</v>
      </c>
    </row>
    <row r="533" spans="1:96" x14ac:dyDescent="0.2">
      <c r="A533" t="s">
        <v>4840</v>
      </c>
      <c r="B533" t="s">
        <v>96</v>
      </c>
      <c r="C533" s="1">
        <v>44098</v>
      </c>
      <c r="D533" s="1">
        <v>44105</v>
      </c>
      <c r="F533" t="s">
        <v>97</v>
      </c>
      <c r="G533" t="str">
        <f>"Staff Accountant II"</f>
        <v>Staff Accountant II</v>
      </c>
      <c r="H533" t="s">
        <v>12192</v>
      </c>
      <c r="I533" t="s">
        <v>855</v>
      </c>
      <c r="J533" t="s">
        <v>206</v>
      </c>
      <c r="K533" s="1">
        <v>44105</v>
      </c>
      <c r="L533" s="1">
        <v>45199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 t="s">
        <v>4841</v>
      </c>
      <c r="U533" t="str">
        <f>""</f>
        <v/>
      </c>
      <c r="V533" t="s">
        <v>4842</v>
      </c>
      <c r="W533" t="str">
        <f>""</f>
        <v/>
      </c>
      <c r="X533" t="s">
        <v>4046</v>
      </c>
      <c r="Y533" t="s">
        <v>141</v>
      </c>
      <c r="Z533" s="3">
        <v>91789</v>
      </c>
      <c r="AA533" t="s">
        <v>101</v>
      </c>
      <c r="AC533" s="4" t="str">
        <f>"+19093481739"</f>
        <v>+19093481739</v>
      </c>
      <c r="AE533" t="str">
        <f>"33641"</f>
        <v>33641</v>
      </c>
      <c r="AF533" t="s">
        <v>4843</v>
      </c>
      <c r="AG533" t="s">
        <v>4844</v>
      </c>
      <c r="AI533" t="s">
        <v>4845</v>
      </c>
      <c r="AJ533" t="s">
        <v>4846</v>
      </c>
      <c r="AK533" t="str">
        <f>""</f>
        <v/>
      </c>
      <c r="AL533" t="s">
        <v>4046</v>
      </c>
      <c r="AM533" t="s">
        <v>141</v>
      </c>
      <c r="AN533" s="3">
        <v>91789</v>
      </c>
      <c r="AO533" t="s">
        <v>101</v>
      </c>
      <c r="AQ533" t="str">
        <f>"+19093481739"</f>
        <v>+19093481739</v>
      </c>
      <c r="AS533" t="s">
        <v>4847</v>
      </c>
      <c r="AT533" t="s">
        <v>107</v>
      </c>
      <c r="AU533" t="str">
        <f>"Vishwanath"</f>
        <v>Vishwanath</v>
      </c>
      <c r="AV533" t="str">
        <f>"Kruthi"</f>
        <v>Kruthi</v>
      </c>
      <c r="AW533" t="str">
        <f>""</f>
        <v/>
      </c>
      <c r="AX533" t="str">
        <f>"90 New Montgomery Street"</f>
        <v>90 New Montgomery Street</v>
      </c>
      <c r="AY533" t="str">
        <f>"Suite 750"</f>
        <v>Suite 750</v>
      </c>
      <c r="AZ533" t="str">
        <f>"San Francisco"</f>
        <v>San Francisco</v>
      </c>
      <c r="BA533" t="str">
        <f>"CA"</f>
        <v>CA</v>
      </c>
      <c r="BB533" s="3">
        <v>94105</v>
      </c>
      <c r="BC533" t="str">
        <f>"UNITED STATES OF AMERICA"</f>
        <v>UNITED STATES OF AMERICA</v>
      </c>
      <c r="BD533" t="str">
        <f>""</f>
        <v/>
      </c>
      <c r="BE533" t="str">
        <f>"+14154801625"</f>
        <v>+14154801625</v>
      </c>
      <c r="BF533" t="str">
        <f>""</f>
        <v/>
      </c>
      <c r="BG533" t="str">
        <f>"gov@bridge.legal"</f>
        <v>gov@bridge.legal</v>
      </c>
      <c r="BH533" t="str">
        <f>"ImmiPartner, PC"</f>
        <v>ImmiPartner, PC</v>
      </c>
      <c r="BI533" t="str">
        <f>"NY"</f>
        <v>NY</v>
      </c>
      <c r="BJ533" t="str">
        <f>"The New York Court of Appeals"</f>
        <v>The New York Court of Appeals</v>
      </c>
      <c r="BK533">
        <v>1</v>
      </c>
      <c r="BL533" t="s">
        <v>102</v>
      </c>
      <c r="BM533" t="str">
        <f>""</f>
        <v/>
      </c>
      <c r="BN533" t="s">
        <v>4846</v>
      </c>
      <c r="BP533" t="s">
        <v>4046</v>
      </c>
      <c r="BQ533" t="s">
        <v>365</v>
      </c>
      <c r="BR533" t="s">
        <v>141</v>
      </c>
      <c r="BS533" s="5">
        <v>91789</v>
      </c>
      <c r="BT533" s="2">
        <v>32.26</v>
      </c>
      <c r="BV533" t="s">
        <v>210</v>
      </c>
      <c r="BW533" s="2">
        <v>31.13</v>
      </c>
      <c r="BX533" t="s">
        <v>210</v>
      </c>
      <c r="BZ533" t="s">
        <v>167</v>
      </c>
      <c r="CA533" t="str">
        <f t="shared" si="32"/>
        <v>7/1/2020 - 6/30/2021</v>
      </c>
      <c r="CF533">
        <v>1</v>
      </c>
      <c r="CG533" t="s">
        <v>98</v>
      </c>
      <c r="CH533" t="s">
        <v>206</v>
      </c>
      <c r="CI533" t="s">
        <v>206</v>
      </c>
      <c r="CL533" t="s">
        <v>108</v>
      </c>
      <c r="CM533" t="s">
        <v>109</v>
      </c>
      <c r="CN533" t="str">
        <f>""</f>
        <v/>
      </c>
      <c r="CO533" t="str">
        <f>""</f>
        <v/>
      </c>
      <c r="CP533" t="str">
        <f>""</f>
        <v/>
      </c>
      <c r="CQ533" t="str">
        <f>""</f>
        <v/>
      </c>
    </row>
    <row r="534" spans="1:96" x14ac:dyDescent="0.2">
      <c r="A534" t="s">
        <v>4871</v>
      </c>
      <c r="B534" t="s">
        <v>96</v>
      </c>
      <c r="C534" s="1">
        <v>44098</v>
      </c>
      <c r="D534" s="1">
        <v>44105</v>
      </c>
      <c r="F534" t="s">
        <v>97</v>
      </c>
      <c r="G534" t="str">
        <f>"Senior Administrator, IT Database"</f>
        <v>Senior Administrator, IT Database</v>
      </c>
      <c r="H534" t="s">
        <v>12225</v>
      </c>
      <c r="I534" t="s">
        <v>628</v>
      </c>
      <c r="J534" t="s">
        <v>98</v>
      </c>
      <c r="K534" s="1">
        <v>44279</v>
      </c>
      <c r="L534" s="1">
        <v>45374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 t="s">
        <v>3021</v>
      </c>
      <c r="U534" t="str">
        <f>""</f>
        <v/>
      </c>
      <c r="V534" t="s">
        <v>3022</v>
      </c>
      <c r="W534" t="str">
        <f>""</f>
        <v/>
      </c>
      <c r="X534" t="s">
        <v>1248</v>
      </c>
      <c r="Y534" t="s">
        <v>545</v>
      </c>
      <c r="Z534" s="3">
        <v>37027</v>
      </c>
      <c r="AA534" t="s">
        <v>101</v>
      </c>
      <c r="AC534" s="4" t="str">
        <f>"+16154404848"</f>
        <v>+16154404848</v>
      </c>
      <c r="AE534" t="str">
        <f>"44422"</f>
        <v>44422</v>
      </c>
      <c r="AF534" t="s">
        <v>3023</v>
      </c>
      <c r="AG534" t="s">
        <v>3024</v>
      </c>
      <c r="AH534" t="s">
        <v>3025</v>
      </c>
      <c r="AI534" t="s">
        <v>3026</v>
      </c>
      <c r="AJ534" t="s">
        <v>3022</v>
      </c>
      <c r="AK534" t="str">
        <f>""</f>
        <v/>
      </c>
      <c r="AL534" t="s">
        <v>1248</v>
      </c>
      <c r="AM534" t="s">
        <v>545</v>
      </c>
      <c r="AN534" s="3">
        <v>37027</v>
      </c>
      <c r="AO534" t="s">
        <v>101</v>
      </c>
      <c r="AQ534" t="str">
        <f>"+16154404848"</f>
        <v>+16154404848</v>
      </c>
      <c r="AS534" t="s">
        <v>3027</v>
      </c>
      <c r="AT534" t="s">
        <v>107</v>
      </c>
      <c r="AU534" t="str">
        <f>"Russo"</f>
        <v>Russo</v>
      </c>
      <c r="AV534" t="str">
        <f>"Douglas"</f>
        <v>Douglas</v>
      </c>
      <c r="AW534" t="str">
        <f>"Michael"</f>
        <v>Michael</v>
      </c>
      <c r="AX534" t="str">
        <f>"2100 West End Avenue"</f>
        <v>2100 West End Avenue</v>
      </c>
      <c r="AY534" t="str">
        <f>"Suite 935"</f>
        <v>Suite 935</v>
      </c>
      <c r="AZ534" t="str">
        <f>"Nashville"</f>
        <v>Nashville</v>
      </c>
      <c r="BA534" t="str">
        <f>"TN"</f>
        <v>TN</v>
      </c>
      <c r="BB534" s="3">
        <v>37203</v>
      </c>
      <c r="BC534" t="str">
        <f>"UNITED STATES OF AMERICA"</f>
        <v>UNITED STATES OF AMERICA</v>
      </c>
      <c r="BD534" t="str">
        <f>""</f>
        <v/>
      </c>
      <c r="BE534" t="str">
        <f>"+16153212256"</f>
        <v>+16153212256</v>
      </c>
      <c r="BF534" t="str">
        <f>""</f>
        <v/>
      </c>
      <c r="BG534" t="str">
        <f>"lroselaw@roseimmigration.com"</f>
        <v>lroselaw@roseimmigration.com</v>
      </c>
      <c r="BH534" t="str">
        <f>"Rose Immigration Law Firm, PLC"</f>
        <v>Rose Immigration Law Firm, PLC</v>
      </c>
      <c r="BI534" t="str">
        <f>"TN"</f>
        <v>TN</v>
      </c>
      <c r="BJ534" t="str">
        <f>"Tennessee Supreme Court"</f>
        <v>Tennessee Supreme Court</v>
      </c>
      <c r="BK534">
        <v>1</v>
      </c>
      <c r="BL534" t="s">
        <v>102</v>
      </c>
      <c r="BM534" t="str">
        <f>""</f>
        <v/>
      </c>
      <c r="BN534" t="s">
        <v>3022</v>
      </c>
      <c r="BP534" t="s">
        <v>1248</v>
      </c>
      <c r="BQ534" t="s">
        <v>668</v>
      </c>
      <c r="BR534" t="s">
        <v>545</v>
      </c>
      <c r="BS534" s="5">
        <v>37027</v>
      </c>
      <c r="BT534" s="2">
        <v>111000</v>
      </c>
      <c r="BU534" s="2">
        <v>120000</v>
      </c>
      <c r="BV534" t="s">
        <v>105</v>
      </c>
      <c r="BW534" s="2">
        <v>102523</v>
      </c>
      <c r="BX534" t="s">
        <v>105</v>
      </c>
      <c r="BZ534" t="s">
        <v>159</v>
      </c>
      <c r="CA534" t="str">
        <f t="shared" si="32"/>
        <v>7/1/2020 - 6/30/2021</v>
      </c>
      <c r="CF534">
        <v>2</v>
      </c>
      <c r="CG534" t="s">
        <v>98</v>
      </c>
      <c r="CH534" t="s">
        <v>206</v>
      </c>
      <c r="CI534" t="s">
        <v>206</v>
      </c>
      <c r="CL534" t="s">
        <v>108</v>
      </c>
      <c r="CM534" t="s">
        <v>109</v>
      </c>
      <c r="CN534" t="str">
        <f>""</f>
        <v/>
      </c>
      <c r="CO534" t="str">
        <f>""</f>
        <v/>
      </c>
      <c r="CP534" t="str">
        <f>""</f>
        <v/>
      </c>
      <c r="CQ534" t="str">
        <f>""</f>
        <v/>
      </c>
    </row>
    <row r="535" spans="1:96" x14ac:dyDescent="0.2">
      <c r="A535" t="s">
        <v>4911</v>
      </c>
      <c r="B535" t="s">
        <v>96</v>
      </c>
      <c r="C535" s="1">
        <v>44098</v>
      </c>
      <c r="D535" s="1">
        <v>44105</v>
      </c>
      <c r="F535" t="s">
        <v>97</v>
      </c>
      <c r="G535" t="str">
        <f>"Health Services Analyst"</f>
        <v>Health Services Analyst</v>
      </c>
      <c r="H535" t="s">
        <v>12182</v>
      </c>
      <c r="I535" t="s">
        <v>168</v>
      </c>
      <c r="J535" t="s">
        <v>98</v>
      </c>
      <c r="K535" s="1">
        <v>44106</v>
      </c>
      <c r="L535" s="1">
        <v>45200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 t="s">
        <v>3155</v>
      </c>
      <c r="U535" t="str">
        <f>""</f>
        <v/>
      </c>
      <c r="V535" t="s">
        <v>3156</v>
      </c>
      <c r="W535" t="str">
        <f>"Legal Department Plummer 7"</f>
        <v>Legal Department Plummer 7</v>
      </c>
      <c r="X535" t="s">
        <v>2141</v>
      </c>
      <c r="Y535" t="s">
        <v>186</v>
      </c>
      <c r="Z535" s="3">
        <v>55905</v>
      </c>
      <c r="AA535" t="s">
        <v>101</v>
      </c>
      <c r="AC535" s="4" t="str">
        <f>"+15072845144"</f>
        <v>+15072845144</v>
      </c>
      <c r="AE535" t="str">
        <f>"611310"</f>
        <v>611310</v>
      </c>
      <c r="AF535" t="s">
        <v>4912</v>
      </c>
      <c r="AG535" t="s">
        <v>1091</v>
      </c>
      <c r="AH535" t="s">
        <v>4913</v>
      </c>
      <c r="AI535" t="s">
        <v>4914</v>
      </c>
      <c r="AJ535" t="s">
        <v>3156</v>
      </c>
      <c r="AK535" t="str">
        <f>"Legal Department Plummer 7"</f>
        <v>Legal Department Plummer 7</v>
      </c>
      <c r="AL535" t="s">
        <v>2141</v>
      </c>
      <c r="AM535" t="s">
        <v>186</v>
      </c>
      <c r="AN535" s="3">
        <v>55905</v>
      </c>
      <c r="AO535" t="s">
        <v>101</v>
      </c>
      <c r="AQ535" t="str">
        <f>"+15072845144"</f>
        <v>+15072845144</v>
      </c>
      <c r="AS535" t="s">
        <v>3112</v>
      </c>
      <c r="AT535" t="s">
        <v>102</v>
      </c>
      <c r="AU535" t="str">
        <f>""</f>
        <v/>
      </c>
      <c r="AV535" t="str">
        <f>""</f>
        <v/>
      </c>
      <c r="AW535" t="str">
        <f>""</f>
        <v/>
      </c>
      <c r="AX535" t="str">
        <f>""</f>
        <v/>
      </c>
      <c r="AY535" t="str">
        <f>""</f>
        <v/>
      </c>
      <c r="AZ535" t="str">
        <f>""</f>
        <v/>
      </c>
      <c r="BA535" t="str">
        <f>""</f>
        <v/>
      </c>
      <c r="BC535" t="str">
        <f>""</f>
        <v/>
      </c>
      <c r="BD535" t="str">
        <f>""</f>
        <v/>
      </c>
      <c r="BE535" t="str">
        <f>""</f>
        <v/>
      </c>
      <c r="BF535" t="str">
        <f>""</f>
        <v/>
      </c>
      <c r="BG535" t="str">
        <f>""</f>
        <v/>
      </c>
      <c r="BH535" t="str">
        <f>""</f>
        <v/>
      </c>
      <c r="BI535" t="str">
        <f>""</f>
        <v/>
      </c>
      <c r="BJ535" t="str">
        <f>""</f>
        <v/>
      </c>
      <c r="BK535">
        <v>1</v>
      </c>
      <c r="BL535" t="s">
        <v>102</v>
      </c>
      <c r="BM535" t="str">
        <f>""</f>
        <v/>
      </c>
      <c r="BN535" t="s">
        <v>4915</v>
      </c>
      <c r="BO535" t="s">
        <v>4916</v>
      </c>
      <c r="BP535" t="s">
        <v>1985</v>
      </c>
      <c r="BQ535" t="s">
        <v>788</v>
      </c>
      <c r="BR535" t="s">
        <v>345</v>
      </c>
      <c r="BS535" s="5">
        <v>60193</v>
      </c>
      <c r="BT535" s="2">
        <v>64875</v>
      </c>
      <c r="BU535" s="2">
        <v>69867</v>
      </c>
      <c r="BV535" t="s">
        <v>105</v>
      </c>
      <c r="BW535" s="2">
        <v>64875</v>
      </c>
      <c r="BX535" t="s">
        <v>105</v>
      </c>
      <c r="BZ535" t="s">
        <v>167</v>
      </c>
      <c r="CA535" t="str">
        <f t="shared" si="32"/>
        <v>7/1/2020 - 6/30/2021</v>
      </c>
      <c r="CF535">
        <v>1</v>
      </c>
      <c r="CG535" t="s">
        <v>98</v>
      </c>
      <c r="CH535" t="s">
        <v>206</v>
      </c>
      <c r="CI535" t="s">
        <v>206</v>
      </c>
      <c r="CL535" t="s">
        <v>108</v>
      </c>
      <c r="CM535" t="s">
        <v>109</v>
      </c>
      <c r="CN535" t="str">
        <f>"Greig"</f>
        <v>Greig</v>
      </c>
      <c r="CO535" t="str">
        <f>"Ashley"</f>
        <v>Ashley</v>
      </c>
      <c r="CP535" t="str">
        <f>"N"</f>
        <v>N</v>
      </c>
      <c r="CQ535" t="str">
        <f>"Mayo Clinic"</f>
        <v>Mayo Clinic</v>
      </c>
      <c r="CR535" t="s">
        <v>3157</v>
      </c>
    </row>
    <row r="536" spans="1:96" x14ac:dyDescent="0.2">
      <c r="A536" t="s">
        <v>4946</v>
      </c>
      <c r="B536" t="s">
        <v>96</v>
      </c>
      <c r="C536" s="1">
        <v>44098</v>
      </c>
      <c r="D536" s="1">
        <v>44105</v>
      </c>
      <c r="F536" t="s">
        <v>97</v>
      </c>
      <c r="G536" t="str">
        <f>"CLOUD SUPPORT ENGINEER I"</f>
        <v>CLOUD SUPPORT ENGINEER I</v>
      </c>
      <c r="H536" t="s">
        <v>12169</v>
      </c>
      <c r="I536" t="s">
        <v>124</v>
      </c>
      <c r="J536" t="s">
        <v>98</v>
      </c>
      <c r="K536" s="1">
        <v>44102</v>
      </c>
      <c r="L536" s="1">
        <v>45196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 t="s">
        <v>1129</v>
      </c>
      <c r="U536" t="str">
        <f>""</f>
        <v/>
      </c>
      <c r="V536" t="s">
        <v>809</v>
      </c>
      <c r="W536" t="str">
        <f>"SUITE 500"</f>
        <v>SUITE 500</v>
      </c>
      <c r="X536" t="s">
        <v>433</v>
      </c>
      <c r="Y536" t="s">
        <v>176</v>
      </c>
      <c r="Z536" s="3">
        <v>98121</v>
      </c>
      <c r="AA536" t="s">
        <v>101</v>
      </c>
      <c r="AC536" s="4" t="str">
        <f>"+12062661000"</f>
        <v>+12062661000</v>
      </c>
      <c r="AE536" t="str">
        <f>"454110"</f>
        <v>454110</v>
      </c>
      <c r="AF536" t="s">
        <v>442</v>
      </c>
      <c r="AG536" t="s">
        <v>443</v>
      </c>
      <c r="AH536" t="s">
        <v>108</v>
      </c>
      <c r="AI536" t="s">
        <v>434</v>
      </c>
      <c r="AJ536" t="s">
        <v>809</v>
      </c>
      <c r="AK536" t="str">
        <f>"SUITE 500"</f>
        <v>SUITE 500</v>
      </c>
      <c r="AL536" t="s">
        <v>433</v>
      </c>
      <c r="AM536" t="s">
        <v>176</v>
      </c>
      <c r="AN536" s="3">
        <v>98121</v>
      </c>
      <c r="AO536" t="s">
        <v>101</v>
      </c>
      <c r="AQ536" t="str">
        <f>"+12062661000"</f>
        <v>+12062661000</v>
      </c>
      <c r="AS536" t="s">
        <v>263</v>
      </c>
      <c r="AT536" t="s">
        <v>107</v>
      </c>
      <c r="AU536" t="str">
        <f>"MARANCI"</f>
        <v>MARANCI</v>
      </c>
      <c r="AV536" t="str">
        <f>"DANIEL"</f>
        <v>DANIEL</v>
      </c>
      <c r="AW536" t="str">
        <f>"N/A"</f>
        <v>N/A</v>
      </c>
      <c r="AX536" t="str">
        <f>"100 HIGH STREET"</f>
        <v>100 HIGH STREET</v>
      </c>
      <c r="AY536" t="str">
        <f>"3RD FLOOR C#5310680"</f>
        <v>3RD FLOOR C#5310680</v>
      </c>
      <c r="AZ536" t="str">
        <f>"BOSTON"</f>
        <v>BOSTON</v>
      </c>
      <c r="BA536" t="str">
        <f>"MA"</f>
        <v>MA</v>
      </c>
      <c r="BB536" s="3">
        <v>2110</v>
      </c>
      <c r="BC536" t="str">
        <f>"UNITED STATES OF AMERICA"</f>
        <v>UNITED STATES OF AMERICA</v>
      </c>
      <c r="BD536" t="str">
        <f>""</f>
        <v/>
      </c>
      <c r="BE536" t="str">
        <f>"+16175740400"</f>
        <v>+16175740400</v>
      </c>
      <c r="BF536" t="str">
        <f>""</f>
        <v/>
      </c>
      <c r="BG536" t="str">
        <f>"AMAZONINDIA@FRAGOMEN.COM"</f>
        <v>AMAZONINDIA@FRAGOMEN.COM</v>
      </c>
      <c r="BH536" t="str">
        <f>"FRAGOMEN, DEL REY, BERNSEN &amp; LOEWY, LLP"</f>
        <v>FRAGOMEN, DEL REY, BERNSEN &amp; LOEWY, LLP</v>
      </c>
      <c r="BI536" t="str">
        <f>"MA"</f>
        <v>MA</v>
      </c>
      <c r="BJ536" t="str">
        <f>"SUPREME JUDICIAL COURT"</f>
        <v>SUPREME JUDICIAL COURT</v>
      </c>
      <c r="BK536">
        <v>1</v>
      </c>
      <c r="BL536" t="s">
        <v>102</v>
      </c>
      <c r="BM536" t="str">
        <f>""</f>
        <v/>
      </c>
      <c r="BN536" t="s">
        <v>4947</v>
      </c>
      <c r="BP536" t="s">
        <v>2768</v>
      </c>
      <c r="BQ536" t="s">
        <v>2769</v>
      </c>
      <c r="BR536" t="s">
        <v>814</v>
      </c>
      <c r="BS536" s="5">
        <v>97201</v>
      </c>
      <c r="BT536" s="2">
        <v>88000</v>
      </c>
      <c r="BV536" t="s">
        <v>105</v>
      </c>
      <c r="BW536" s="2">
        <v>73757</v>
      </c>
      <c r="BX536" t="s">
        <v>105</v>
      </c>
      <c r="BZ536" t="s">
        <v>191</v>
      </c>
      <c r="CA536" t="str">
        <f t="shared" si="32"/>
        <v>7/1/2020 - 6/30/2021</v>
      </c>
      <c r="CF536">
        <v>2</v>
      </c>
      <c r="CG536" t="s">
        <v>98</v>
      </c>
      <c r="CH536" t="s">
        <v>206</v>
      </c>
      <c r="CI536" t="s">
        <v>206</v>
      </c>
      <c r="CL536" t="s">
        <v>108</v>
      </c>
      <c r="CM536" t="s">
        <v>109</v>
      </c>
      <c r="CN536" t="str">
        <f>"SUNNY"</f>
        <v>SUNNY</v>
      </c>
      <c r="CO536" t="str">
        <f>"JASMIN"</f>
        <v>JASMIN</v>
      </c>
      <c r="CP536" t="str">
        <f>"N/A"</f>
        <v>N/A</v>
      </c>
      <c r="CQ536" t="str">
        <f>"FRAGOMEN, DEL REY, BERNSEN &amp; LOEWY, LLP"</f>
        <v>FRAGOMEN, DEL REY, BERNSEN &amp; LOEWY, LLP</v>
      </c>
      <c r="CR536" t="s">
        <v>650</v>
      </c>
    </row>
    <row r="537" spans="1:96" x14ac:dyDescent="0.2">
      <c r="A537" t="s">
        <v>4954</v>
      </c>
      <c r="B537" t="s">
        <v>96</v>
      </c>
      <c r="C537" s="1">
        <v>44098</v>
      </c>
      <c r="D537" s="1">
        <v>44105</v>
      </c>
      <c r="F537" t="s">
        <v>97</v>
      </c>
      <c r="G537" t="str">
        <f>"Physician /Gastroenterology"</f>
        <v>Physician /Gastroenterology</v>
      </c>
      <c r="H537" t="s">
        <v>12207</v>
      </c>
      <c r="I537" t="s">
        <v>4955</v>
      </c>
      <c r="J537" t="s">
        <v>98</v>
      </c>
      <c r="K537" s="1">
        <v>44235</v>
      </c>
      <c r="L537" s="1">
        <v>45329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t="s">
        <v>4956</v>
      </c>
      <c r="U537" t="str">
        <f>"Salem VA Medical Center"</f>
        <v>Salem VA Medical Center</v>
      </c>
      <c r="V537" t="s">
        <v>4957</v>
      </c>
      <c r="W537" t="str">
        <f>""</f>
        <v/>
      </c>
      <c r="X537" t="s">
        <v>3547</v>
      </c>
      <c r="Y537" t="s">
        <v>135</v>
      </c>
      <c r="Z537" s="3">
        <v>24153</v>
      </c>
      <c r="AA537" t="s">
        <v>101</v>
      </c>
      <c r="AC537" s="4" t="str">
        <f>"+15409822463"</f>
        <v>+15409822463</v>
      </c>
      <c r="AD537">
        <v>2774</v>
      </c>
      <c r="AE537" t="str">
        <f>"6221"</f>
        <v>6221</v>
      </c>
      <c r="AF537" t="s">
        <v>489</v>
      </c>
      <c r="AG537" t="s">
        <v>3207</v>
      </c>
      <c r="AH537" t="s">
        <v>1080</v>
      </c>
      <c r="AI537" t="s">
        <v>1443</v>
      </c>
      <c r="AJ537" t="s">
        <v>4957</v>
      </c>
      <c r="AK537" t="str">
        <f>""</f>
        <v/>
      </c>
      <c r="AL537" t="s">
        <v>3547</v>
      </c>
      <c r="AM537" t="s">
        <v>135</v>
      </c>
      <c r="AN537" s="3">
        <v>24153</v>
      </c>
      <c r="AO537" t="s">
        <v>101</v>
      </c>
      <c r="AQ537" t="str">
        <f>"+15409822463"</f>
        <v>+15409822463</v>
      </c>
      <c r="AS537" t="s">
        <v>4958</v>
      </c>
      <c r="AT537" t="s">
        <v>102</v>
      </c>
      <c r="AU537" t="str">
        <f>""</f>
        <v/>
      </c>
      <c r="AV537" t="str">
        <f>""</f>
        <v/>
      </c>
      <c r="AW537" t="str">
        <f>""</f>
        <v/>
      </c>
      <c r="AX537" t="str">
        <f>""</f>
        <v/>
      </c>
      <c r="AY537" t="str">
        <f>""</f>
        <v/>
      </c>
      <c r="AZ537" t="str">
        <f>""</f>
        <v/>
      </c>
      <c r="BA537" t="str">
        <f>""</f>
        <v/>
      </c>
      <c r="BC537" t="str">
        <f>""</f>
        <v/>
      </c>
      <c r="BD537" t="str">
        <f>""</f>
        <v/>
      </c>
      <c r="BE537" t="str">
        <f>""</f>
        <v/>
      </c>
      <c r="BF537" t="str">
        <f>""</f>
        <v/>
      </c>
      <c r="BG537" t="str">
        <f>""</f>
        <v/>
      </c>
      <c r="BH537" t="str">
        <f>""</f>
        <v/>
      </c>
      <c r="BI537" t="str">
        <f>""</f>
        <v/>
      </c>
      <c r="BJ537" t="str">
        <f>""</f>
        <v/>
      </c>
      <c r="BK537">
        <v>1</v>
      </c>
      <c r="BL537" t="s">
        <v>102</v>
      </c>
      <c r="BM537" t="str">
        <f>""</f>
        <v/>
      </c>
      <c r="BN537" t="s">
        <v>4957</v>
      </c>
      <c r="BP537" t="s">
        <v>3547</v>
      </c>
      <c r="BQ537" t="s">
        <v>4959</v>
      </c>
      <c r="BR537" t="s">
        <v>135</v>
      </c>
      <c r="BS537" s="5">
        <v>24153</v>
      </c>
      <c r="BT537" s="2">
        <v>392899</v>
      </c>
      <c r="BV537" t="s">
        <v>105</v>
      </c>
      <c r="BW537" s="2">
        <v>220147</v>
      </c>
      <c r="BX537" t="s">
        <v>105</v>
      </c>
      <c r="BZ537" t="s">
        <v>123</v>
      </c>
      <c r="CA537" t="str">
        <f t="shared" si="32"/>
        <v>7/1/2020 - 6/30/2021</v>
      </c>
      <c r="CF537">
        <v>1</v>
      </c>
      <c r="CG537" t="s">
        <v>98</v>
      </c>
      <c r="CH537" t="s">
        <v>206</v>
      </c>
      <c r="CI537" t="s">
        <v>206</v>
      </c>
      <c r="CL537" t="s">
        <v>108</v>
      </c>
      <c r="CM537" t="s">
        <v>718</v>
      </c>
      <c r="CN537" t="str">
        <f>""</f>
        <v/>
      </c>
      <c r="CO537" t="str">
        <f>""</f>
        <v/>
      </c>
      <c r="CP537" t="str">
        <f>""</f>
        <v/>
      </c>
      <c r="CQ537" t="str">
        <f>""</f>
        <v/>
      </c>
    </row>
    <row r="538" spans="1:96" x14ac:dyDescent="0.2">
      <c r="A538" t="s">
        <v>5120</v>
      </c>
      <c r="B538" t="s">
        <v>96</v>
      </c>
      <c r="C538" s="1">
        <v>44098</v>
      </c>
      <c r="D538" s="1">
        <v>44105</v>
      </c>
      <c r="F538" t="s">
        <v>97</v>
      </c>
      <c r="G538" t="str">
        <f>"SYSTEM DEVELOPMENT ENGINEER II"</f>
        <v>SYSTEM DEVELOPMENT ENGINEER II</v>
      </c>
      <c r="H538" t="s">
        <v>12176</v>
      </c>
      <c r="I538" t="s">
        <v>246</v>
      </c>
      <c r="J538" t="s">
        <v>98</v>
      </c>
      <c r="K538" s="1">
        <v>44103</v>
      </c>
      <c r="L538" s="1">
        <v>45197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440</v>
      </c>
      <c r="U538" t="str">
        <f>""</f>
        <v/>
      </c>
      <c r="V538" t="s">
        <v>809</v>
      </c>
      <c r="W538" t="str">
        <f>"SUITE 500"</f>
        <v>SUITE 500</v>
      </c>
      <c r="X538" t="s">
        <v>433</v>
      </c>
      <c r="Y538" t="s">
        <v>176</v>
      </c>
      <c r="Z538" s="3">
        <v>98121</v>
      </c>
      <c r="AA538" t="s">
        <v>101</v>
      </c>
      <c r="AC538" s="4" t="str">
        <f>"+12062661000"</f>
        <v>+12062661000</v>
      </c>
      <c r="AE538" t="str">
        <f>"454110"</f>
        <v>454110</v>
      </c>
      <c r="AF538" t="s">
        <v>442</v>
      </c>
      <c r="AG538" t="s">
        <v>443</v>
      </c>
      <c r="AH538" t="s">
        <v>108</v>
      </c>
      <c r="AI538" t="s">
        <v>434</v>
      </c>
      <c r="AJ538" t="s">
        <v>809</v>
      </c>
      <c r="AK538" t="str">
        <f>"SUITE 500"</f>
        <v>SUITE 500</v>
      </c>
      <c r="AL538" t="s">
        <v>433</v>
      </c>
      <c r="AM538" t="s">
        <v>176</v>
      </c>
      <c r="AN538" s="3">
        <v>98121</v>
      </c>
      <c r="AO538" t="s">
        <v>101</v>
      </c>
      <c r="AQ538" t="str">
        <f>"+12062661000"</f>
        <v>+12062661000</v>
      </c>
      <c r="AS538" t="s">
        <v>263</v>
      </c>
      <c r="AT538" t="s">
        <v>107</v>
      </c>
      <c r="AU538" t="str">
        <f>"MARANCI"</f>
        <v>MARANCI</v>
      </c>
      <c r="AV538" t="str">
        <f>"DANIEL"</f>
        <v>DANIEL</v>
      </c>
      <c r="AW538" t="str">
        <f>"N/A"</f>
        <v>N/A</v>
      </c>
      <c r="AX538" t="str">
        <f>"100 HIGH STREET"</f>
        <v>100 HIGH STREET</v>
      </c>
      <c r="AY538" t="str">
        <f>"3RD FLOOR C#5301397"</f>
        <v>3RD FLOOR C#5301397</v>
      </c>
      <c r="AZ538" t="str">
        <f>"BOSTON"</f>
        <v>BOSTON</v>
      </c>
      <c r="BA538" t="str">
        <f>"MA"</f>
        <v>MA</v>
      </c>
      <c r="BB538" s="3">
        <v>2110</v>
      </c>
      <c r="BC538" t="str">
        <f>"UNITED STATES OF AMERICA"</f>
        <v>UNITED STATES OF AMERICA</v>
      </c>
      <c r="BD538" t="str">
        <f>""</f>
        <v/>
      </c>
      <c r="BE538" t="str">
        <f>"+16175740400"</f>
        <v>+16175740400</v>
      </c>
      <c r="BF538" t="str">
        <f>""</f>
        <v/>
      </c>
      <c r="BG538" t="str">
        <f>"AMAZONINDIA@FRAGOMEN.COM"</f>
        <v>AMAZONINDIA@FRAGOMEN.COM</v>
      </c>
      <c r="BH538" t="str">
        <f>"FRAGOMEN, DEL REY, BERNSEN &amp; LOEWY, LLP"</f>
        <v>FRAGOMEN, DEL REY, BERNSEN &amp; LOEWY, LLP</v>
      </c>
      <c r="BI538" t="str">
        <f>"MA"</f>
        <v>MA</v>
      </c>
      <c r="BJ538" t="str">
        <f>"SUPREME JUDICIAL COURT"</f>
        <v>SUPREME JUDICIAL COURT</v>
      </c>
      <c r="BK538">
        <v>1</v>
      </c>
      <c r="BL538" t="s">
        <v>102</v>
      </c>
      <c r="BM538" t="str">
        <f>""</f>
        <v/>
      </c>
      <c r="BN538" t="s">
        <v>5121</v>
      </c>
      <c r="BO538" t="s">
        <v>5122</v>
      </c>
      <c r="BP538" t="s">
        <v>480</v>
      </c>
      <c r="BQ538" t="s">
        <v>214</v>
      </c>
      <c r="BR538" t="s">
        <v>215</v>
      </c>
      <c r="BS538" s="5">
        <v>30305</v>
      </c>
      <c r="BT538" s="2">
        <v>139000</v>
      </c>
      <c r="BV538" t="s">
        <v>105</v>
      </c>
      <c r="BW538" s="2">
        <v>85842</v>
      </c>
      <c r="BX538" t="s">
        <v>105</v>
      </c>
      <c r="BZ538" t="s">
        <v>167</v>
      </c>
      <c r="CA538" t="str">
        <f t="shared" si="32"/>
        <v>7/1/2020 - 6/30/2021</v>
      </c>
      <c r="CF538">
        <v>2</v>
      </c>
      <c r="CG538" t="s">
        <v>98</v>
      </c>
      <c r="CH538" t="s">
        <v>206</v>
      </c>
      <c r="CI538" t="s">
        <v>206</v>
      </c>
      <c r="CL538" t="s">
        <v>108</v>
      </c>
      <c r="CM538" t="s">
        <v>109</v>
      </c>
      <c r="CN538" t="str">
        <f>"SUNNY"</f>
        <v>SUNNY</v>
      </c>
      <c r="CO538" t="str">
        <f>"JASMIN"</f>
        <v>JASMIN</v>
      </c>
      <c r="CP538" t="str">
        <f>"N/A"</f>
        <v>N/A</v>
      </c>
      <c r="CQ538" t="str">
        <f>"FRAGOMEN, DEL REY, BERNSEN &amp; LOEWY, LLP"</f>
        <v>FRAGOMEN, DEL REY, BERNSEN &amp; LOEWY, LLP</v>
      </c>
      <c r="CR538" t="s">
        <v>650</v>
      </c>
    </row>
    <row r="539" spans="1:96" x14ac:dyDescent="0.2">
      <c r="A539" t="s">
        <v>5148</v>
      </c>
      <c r="B539" t="s">
        <v>96</v>
      </c>
      <c r="C539" s="1">
        <v>44098</v>
      </c>
      <c r="D539" s="1">
        <v>44105</v>
      </c>
      <c r="F539" t="s">
        <v>97</v>
      </c>
      <c r="G539" t="str">
        <f>"Software Developer, Advisory"</f>
        <v>Software Developer, Advisory</v>
      </c>
      <c r="H539" t="s">
        <v>12169</v>
      </c>
      <c r="I539" t="s">
        <v>124</v>
      </c>
      <c r="J539" t="s">
        <v>98</v>
      </c>
      <c r="K539" s="1">
        <v>44105</v>
      </c>
      <c r="L539" s="1">
        <v>45199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 t="s">
        <v>5149</v>
      </c>
      <c r="U539" t="str">
        <f>""</f>
        <v/>
      </c>
      <c r="V539" t="s">
        <v>4137</v>
      </c>
      <c r="W539" t="str">
        <f>""</f>
        <v/>
      </c>
      <c r="X539" t="s">
        <v>1015</v>
      </c>
      <c r="Y539" t="s">
        <v>330</v>
      </c>
      <c r="Z539" s="3">
        <v>53045</v>
      </c>
      <c r="AA539" t="s">
        <v>101</v>
      </c>
      <c r="AC539" s="4" t="str">
        <f>"+12628795000"</f>
        <v>+12628795000</v>
      </c>
      <c r="AE539" t="str">
        <f>"522320"</f>
        <v>522320</v>
      </c>
      <c r="AF539" t="s">
        <v>1324</v>
      </c>
      <c r="AG539" t="s">
        <v>927</v>
      </c>
      <c r="AI539" t="s">
        <v>1325</v>
      </c>
      <c r="AJ539" t="s">
        <v>4138</v>
      </c>
      <c r="AK539" t="str">
        <f>""</f>
        <v/>
      </c>
      <c r="AL539" t="s">
        <v>1015</v>
      </c>
      <c r="AM539" t="s">
        <v>330</v>
      </c>
      <c r="AN539" s="3">
        <v>53045</v>
      </c>
      <c r="AO539" t="s">
        <v>101</v>
      </c>
      <c r="AQ539" t="str">
        <f>"+12628795000"</f>
        <v>+12628795000</v>
      </c>
      <c r="AS539" t="s">
        <v>1043</v>
      </c>
      <c r="AT539" t="s">
        <v>107</v>
      </c>
      <c r="AU539" t="str">
        <f>"OLIVER"</f>
        <v>OLIVER</v>
      </c>
      <c r="AV539" t="str">
        <f>"BRENDA"</f>
        <v>BRENDA</v>
      </c>
      <c r="AW539" t="str">
        <f>"J"</f>
        <v>J</v>
      </c>
      <c r="AX539" t="str">
        <f>"1101 15TH STREET, NW"</f>
        <v>1101 15TH STREET, NW</v>
      </c>
      <c r="AY539" t="str">
        <f>"SUITE 700"</f>
        <v>SUITE 700</v>
      </c>
      <c r="AZ539" t="str">
        <f>"Washington"</f>
        <v>Washington</v>
      </c>
      <c r="BA539" t="str">
        <f>"DC"</f>
        <v>DC</v>
      </c>
      <c r="BB539" s="3">
        <v>20005</v>
      </c>
      <c r="BC539" t="str">
        <f>"UNITED STATES OF AMERICA"</f>
        <v>UNITED STATES OF AMERICA</v>
      </c>
      <c r="BD539" t="str">
        <f>""</f>
        <v/>
      </c>
      <c r="BE539" t="str">
        <f>"+12022235515"</f>
        <v>+12022235515</v>
      </c>
      <c r="BF539" t="str">
        <f>""</f>
        <v/>
      </c>
      <c r="BG539" t="str">
        <f>"LCATeamPham@FRAGOMEN.COM"</f>
        <v>LCATeamPham@FRAGOMEN.COM</v>
      </c>
      <c r="BH539" t="str">
        <f>"Fragomen, Del Rey, Bernsen &amp; Loewy, LLP"</f>
        <v>Fragomen, Del Rey, Bernsen &amp; Loewy, LLP</v>
      </c>
      <c r="BI539" t="str">
        <f>"DC"</f>
        <v>DC</v>
      </c>
      <c r="BJ539" t="str">
        <f>"COURT OF APPEALS"</f>
        <v>COURT OF APPEALS</v>
      </c>
      <c r="BK539">
        <v>1</v>
      </c>
      <c r="BL539" t="s">
        <v>102</v>
      </c>
      <c r="BM539" t="str">
        <f>""</f>
        <v/>
      </c>
      <c r="BN539" t="s">
        <v>5150</v>
      </c>
      <c r="BP539" t="s">
        <v>847</v>
      </c>
      <c r="BQ539" t="s">
        <v>214</v>
      </c>
      <c r="BR539" t="s">
        <v>215</v>
      </c>
      <c r="BS539" s="5">
        <v>30004</v>
      </c>
      <c r="BT539" s="2">
        <v>121139</v>
      </c>
      <c r="BU539" s="2">
        <v>169300</v>
      </c>
      <c r="BV539" t="s">
        <v>105</v>
      </c>
      <c r="BW539" s="2">
        <v>121139</v>
      </c>
      <c r="BX539" t="s">
        <v>105</v>
      </c>
      <c r="BZ539" t="s">
        <v>159</v>
      </c>
      <c r="CA539" t="str">
        <f t="shared" si="32"/>
        <v>7/1/2020 - 6/30/2021</v>
      </c>
      <c r="CF539">
        <v>2</v>
      </c>
      <c r="CG539" t="s">
        <v>98</v>
      </c>
      <c r="CH539" t="s">
        <v>206</v>
      </c>
      <c r="CI539" t="s">
        <v>206</v>
      </c>
      <c r="CL539" t="s">
        <v>108</v>
      </c>
      <c r="CM539" t="s">
        <v>109</v>
      </c>
      <c r="CN539" t="str">
        <f>"Song"</f>
        <v>Song</v>
      </c>
      <c r="CO539" t="str">
        <f>"Stephany"</f>
        <v>Stephany</v>
      </c>
      <c r="CP539" t="str">
        <f>""</f>
        <v/>
      </c>
      <c r="CQ539" t="str">
        <f>"Fragomen, Del Rey, Bernsen &amp; Loewy, LLP"</f>
        <v>Fragomen, Del Rey, Bernsen &amp; Loewy, LLP</v>
      </c>
      <c r="CR539" t="s">
        <v>1046</v>
      </c>
    </row>
    <row r="540" spans="1:96" x14ac:dyDescent="0.2">
      <c r="A540" t="s">
        <v>5187</v>
      </c>
      <c r="B540" t="s">
        <v>96</v>
      </c>
      <c r="C540" s="1">
        <v>44098</v>
      </c>
      <c r="D540" s="1">
        <v>44105</v>
      </c>
      <c r="F540" t="s">
        <v>97</v>
      </c>
      <c r="G540" t="str">
        <f>"Engineer 4, Product Development Engineering"</f>
        <v>Engineer 4, Product Development Engineering</v>
      </c>
      <c r="H540" t="s">
        <v>12168</v>
      </c>
      <c r="I540" t="s">
        <v>160</v>
      </c>
      <c r="J540" t="s">
        <v>98</v>
      </c>
      <c r="K540" s="1">
        <v>44271</v>
      </c>
      <c r="L540" s="1">
        <v>45366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 t="s">
        <v>2215</v>
      </c>
      <c r="U540" t="str">
        <f>""</f>
        <v/>
      </c>
      <c r="V540" t="s">
        <v>1816</v>
      </c>
      <c r="W540" t="str">
        <f>"1701 JFK Blvd"</f>
        <v>1701 JFK Blvd</v>
      </c>
      <c r="X540" t="s">
        <v>218</v>
      </c>
      <c r="Y540" t="s">
        <v>127</v>
      </c>
      <c r="Z540" s="3">
        <v>19103</v>
      </c>
      <c r="AA540" t="s">
        <v>101</v>
      </c>
      <c r="AC540" s="4" t="str">
        <f>"+12157380579"</f>
        <v>+12157380579</v>
      </c>
      <c r="AE540" t="str">
        <f>"515210"</f>
        <v>515210</v>
      </c>
      <c r="AF540" t="s">
        <v>2216</v>
      </c>
      <c r="AG540" t="s">
        <v>1819</v>
      </c>
      <c r="AI540" t="s">
        <v>2217</v>
      </c>
      <c r="AJ540" t="s">
        <v>5188</v>
      </c>
      <c r="AK540" t="str">
        <f>"11th Floor East"</f>
        <v>11th Floor East</v>
      </c>
      <c r="AL540" t="s">
        <v>218</v>
      </c>
      <c r="AM540" t="s">
        <v>127</v>
      </c>
      <c r="AN540" s="3">
        <v>19102</v>
      </c>
      <c r="AO540" t="s">
        <v>101</v>
      </c>
      <c r="AQ540" t="str">
        <f>"+12157380579"</f>
        <v>+12157380579</v>
      </c>
      <c r="AS540" t="s">
        <v>1821</v>
      </c>
      <c r="AT540" t="s">
        <v>107</v>
      </c>
      <c r="AU540" t="str">
        <f>"Stock"</f>
        <v>Stock</v>
      </c>
      <c r="AV540" t="str">
        <f>"William"</f>
        <v>William</v>
      </c>
      <c r="AW540" t="str">
        <f>"A"</f>
        <v>A</v>
      </c>
      <c r="AX540" t="str">
        <f>"1601 Market Street"</f>
        <v>1601 Market Street</v>
      </c>
      <c r="AY540" t="str">
        <f>"Suite 2600"</f>
        <v>Suite 2600</v>
      </c>
      <c r="AZ540" t="str">
        <f>"Philadelphia"</f>
        <v>Philadelphia</v>
      </c>
      <c r="BA540" t="str">
        <f>"PA"</f>
        <v>PA</v>
      </c>
      <c r="BB540" s="3">
        <v>19103</v>
      </c>
      <c r="BC540" t="str">
        <f>"UNITED STATES OF AMERICA"</f>
        <v>UNITED STATES OF AMERICA</v>
      </c>
      <c r="BD540" t="str">
        <f>""</f>
        <v/>
      </c>
      <c r="BE540" t="str">
        <f>"+12158258600"</f>
        <v>+12158258600</v>
      </c>
      <c r="BF540" t="str">
        <f>""</f>
        <v/>
      </c>
      <c r="BG540" t="str">
        <f>"jhotch@klaskolaw.com"</f>
        <v>jhotch@klaskolaw.com</v>
      </c>
      <c r="BH540" t="str">
        <f>"Klasko Immigration Law Partners, LLP"</f>
        <v>Klasko Immigration Law Partners, LLP</v>
      </c>
      <c r="BI540" t="str">
        <f>"PA"</f>
        <v>PA</v>
      </c>
      <c r="BJ540" t="str">
        <f>"Supreme"</f>
        <v>Supreme</v>
      </c>
      <c r="BK540">
        <v>1</v>
      </c>
      <c r="BL540" t="s">
        <v>102</v>
      </c>
      <c r="BM540" t="str">
        <f>""</f>
        <v/>
      </c>
      <c r="BN540" t="s">
        <v>3011</v>
      </c>
      <c r="BP540" t="s">
        <v>3012</v>
      </c>
      <c r="BQ540" t="s">
        <v>682</v>
      </c>
      <c r="BR540" t="s">
        <v>100</v>
      </c>
      <c r="BS540" s="5">
        <v>8054</v>
      </c>
      <c r="BT540" s="2">
        <v>114962</v>
      </c>
      <c r="BU540" s="2">
        <v>146355.70000000001</v>
      </c>
      <c r="BV540" t="s">
        <v>105</v>
      </c>
      <c r="BW540" s="2">
        <v>114379</v>
      </c>
      <c r="BX540" t="s">
        <v>105</v>
      </c>
      <c r="BZ540" t="s">
        <v>159</v>
      </c>
      <c r="CA540" t="str">
        <f t="shared" si="32"/>
        <v>7/1/2020 - 6/30/2021</v>
      </c>
      <c r="CF540">
        <v>2</v>
      </c>
      <c r="CG540" t="s">
        <v>98</v>
      </c>
      <c r="CH540" t="s">
        <v>206</v>
      </c>
      <c r="CI540" t="s">
        <v>206</v>
      </c>
      <c r="CL540" t="s">
        <v>108</v>
      </c>
      <c r="CM540" t="s">
        <v>109</v>
      </c>
      <c r="CN540" t="str">
        <f>""</f>
        <v/>
      </c>
      <c r="CO540" t="str">
        <f>""</f>
        <v/>
      </c>
      <c r="CP540" t="str">
        <f>""</f>
        <v/>
      </c>
      <c r="CQ540" t="str">
        <f>""</f>
        <v/>
      </c>
    </row>
    <row r="541" spans="1:96" x14ac:dyDescent="0.2">
      <c r="A541" t="s">
        <v>5232</v>
      </c>
      <c r="B541" t="s">
        <v>96</v>
      </c>
      <c r="C541" s="1">
        <v>44098</v>
      </c>
      <c r="D541" s="1">
        <v>44105</v>
      </c>
      <c r="F541" t="s">
        <v>97</v>
      </c>
      <c r="G541" t="str">
        <f>"Software Engineer"</f>
        <v>Software Engineer</v>
      </c>
      <c r="H541" t="s">
        <v>12169</v>
      </c>
      <c r="I541" t="s">
        <v>124</v>
      </c>
      <c r="J541" t="s">
        <v>98</v>
      </c>
      <c r="K541" s="1">
        <v>44279</v>
      </c>
      <c r="L541" s="1">
        <v>45374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t="s">
        <v>173</v>
      </c>
      <c r="U541" t="str">
        <f>""</f>
        <v/>
      </c>
      <c r="V541" t="s">
        <v>174</v>
      </c>
      <c r="W541" t="str">
        <f>"N/A"</f>
        <v>N/A</v>
      </c>
      <c r="X541" t="s">
        <v>175</v>
      </c>
      <c r="Y541" t="s">
        <v>176</v>
      </c>
      <c r="Z541" s="3">
        <v>98052</v>
      </c>
      <c r="AA541" t="s">
        <v>101</v>
      </c>
      <c r="AC541" s="4" t="str">
        <f>"+14258828080"</f>
        <v>+14258828080</v>
      </c>
      <c r="AE541" t="str">
        <f>"51121"</f>
        <v>51121</v>
      </c>
      <c r="AF541" t="s">
        <v>177</v>
      </c>
      <c r="AG541" t="s">
        <v>178</v>
      </c>
      <c r="AI541" t="s">
        <v>179</v>
      </c>
      <c r="AJ541" t="s">
        <v>174</v>
      </c>
      <c r="AK541" t="str">
        <f>""</f>
        <v/>
      </c>
      <c r="AL541" t="s">
        <v>175</v>
      </c>
      <c r="AM541" t="s">
        <v>176</v>
      </c>
      <c r="AN541" s="3">
        <v>98052</v>
      </c>
      <c r="AO541" t="s">
        <v>101</v>
      </c>
      <c r="AQ541" t="str">
        <f>"+14258828080"</f>
        <v>+14258828080</v>
      </c>
      <c r="AS541" t="s">
        <v>180</v>
      </c>
      <c r="AT541" t="s">
        <v>102</v>
      </c>
      <c r="AU541" t="str">
        <f>""</f>
        <v/>
      </c>
      <c r="AV541" t="str">
        <f>""</f>
        <v/>
      </c>
      <c r="AW541" t="str">
        <f>""</f>
        <v/>
      </c>
      <c r="AX541" t="str">
        <f>""</f>
        <v/>
      </c>
      <c r="AY541" t="str">
        <f>""</f>
        <v/>
      </c>
      <c r="AZ541" t="str">
        <f>""</f>
        <v/>
      </c>
      <c r="BA541" t="str">
        <f>""</f>
        <v/>
      </c>
      <c r="BC541" t="str">
        <f>""</f>
        <v/>
      </c>
      <c r="BD541" t="str">
        <f>""</f>
        <v/>
      </c>
      <c r="BE541" t="str">
        <f>""</f>
        <v/>
      </c>
      <c r="BF541" t="str">
        <f>""</f>
        <v/>
      </c>
      <c r="BG541" t="str">
        <f>""</f>
        <v/>
      </c>
      <c r="BH541" t="str">
        <f>""</f>
        <v/>
      </c>
      <c r="BI541" t="str">
        <f>""</f>
        <v/>
      </c>
      <c r="BJ541" t="str">
        <f>""</f>
        <v/>
      </c>
      <c r="BK541">
        <v>1</v>
      </c>
      <c r="BL541" t="s">
        <v>102</v>
      </c>
      <c r="BM541" t="str">
        <f>""</f>
        <v/>
      </c>
      <c r="BN541" t="s">
        <v>4695</v>
      </c>
      <c r="BP541" t="s">
        <v>2556</v>
      </c>
      <c r="BQ541" t="s">
        <v>183</v>
      </c>
      <c r="BR541" t="s">
        <v>176</v>
      </c>
      <c r="BS541" s="5">
        <v>98029</v>
      </c>
      <c r="BT541" s="2">
        <v>152751</v>
      </c>
      <c r="BV541" t="s">
        <v>105</v>
      </c>
      <c r="BW541" s="2">
        <v>134098</v>
      </c>
      <c r="BX541" t="s">
        <v>105</v>
      </c>
      <c r="BZ541" t="s">
        <v>123</v>
      </c>
      <c r="CA541" t="str">
        <f t="shared" si="32"/>
        <v>7/1/2020 - 6/30/2021</v>
      </c>
      <c r="CF541">
        <v>1</v>
      </c>
      <c r="CG541" t="s">
        <v>98</v>
      </c>
      <c r="CH541" t="s">
        <v>206</v>
      </c>
      <c r="CI541" t="s">
        <v>206</v>
      </c>
      <c r="CL541" t="s">
        <v>108</v>
      </c>
      <c r="CM541" t="s">
        <v>109</v>
      </c>
      <c r="CN541" t="str">
        <f>"DSOUZA"</f>
        <v>DSOUZA</v>
      </c>
      <c r="CO541" t="str">
        <f>"MACLIFF"</f>
        <v>MACLIFF</v>
      </c>
      <c r="CP541" t="str">
        <f>"N/A"</f>
        <v>N/A</v>
      </c>
      <c r="CQ541" t="str">
        <f>"INTEGREON MANAGED SOLUTIONS (INDIA) PVT LTD"</f>
        <v>INTEGREON MANAGED SOLUTIONS (INDIA) PVT LTD</v>
      </c>
      <c r="CR541" t="s">
        <v>1842</v>
      </c>
    </row>
    <row r="542" spans="1:96" x14ac:dyDescent="0.2">
      <c r="A542" t="s">
        <v>5255</v>
      </c>
      <c r="B542" t="s">
        <v>96</v>
      </c>
      <c r="C542" s="1">
        <v>44098</v>
      </c>
      <c r="D542" s="1">
        <v>44105</v>
      </c>
      <c r="F542" t="s">
        <v>97</v>
      </c>
      <c r="G542" t="str">
        <f>"SOFTWARE DEVELOPMENT ENGINEER II"</f>
        <v>SOFTWARE DEVELOPMENT ENGINEER II</v>
      </c>
      <c r="H542" t="s">
        <v>12169</v>
      </c>
      <c r="I542" t="s">
        <v>124</v>
      </c>
      <c r="J542" t="s">
        <v>98</v>
      </c>
      <c r="K542" s="1">
        <v>44279</v>
      </c>
      <c r="L542" s="1">
        <v>45374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 t="s">
        <v>440</v>
      </c>
      <c r="U542" t="str">
        <f>""</f>
        <v/>
      </c>
      <c r="V542" t="s">
        <v>809</v>
      </c>
      <c r="W542" t="str">
        <f>"SUITE 500"</f>
        <v>SUITE 500</v>
      </c>
      <c r="X542" t="s">
        <v>433</v>
      </c>
      <c r="Y542" t="s">
        <v>176</v>
      </c>
      <c r="Z542" s="3">
        <v>98121</v>
      </c>
      <c r="AA542" t="s">
        <v>101</v>
      </c>
      <c r="AC542" s="4" t="str">
        <f>"+12062661000"</f>
        <v>+12062661000</v>
      </c>
      <c r="AE542" t="str">
        <f>"454110"</f>
        <v>454110</v>
      </c>
      <c r="AF542" t="s">
        <v>442</v>
      </c>
      <c r="AG542" t="s">
        <v>443</v>
      </c>
      <c r="AH542" t="s">
        <v>108</v>
      </c>
      <c r="AI542" t="s">
        <v>434</v>
      </c>
      <c r="AJ542" t="s">
        <v>809</v>
      </c>
      <c r="AK542" t="str">
        <f>"SUITE 500"</f>
        <v>SUITE 500</v>
      </c>
      <c r="AL542" t="s">
        <v>433</v>
      </c>
      <c r="AM542" t="s">
        <v>176</v>
      </c>
      <c r="AN542" s="3">
        <v>98121</v>
      </c>
      <c r="AO542" t="s">
        <v>101</v>
      </c>
      <c r="AQ542" t="str">
        <f>"+12062661000"</f>
        <v>+12062661000</v>
      </c>
      <c r="AS542" t="s">
        <v>263</v>
      </c>
      <c r="AT542" t="s">
        <v>107</v>
      </c>
      <c r="AU542" t="str">
        <f>"MARANCI"</f>
        <v>MARANCI</v>
      </c>
      <c r="AV542" t="str">
        <f>"DANIEL"</f>
        <v>DANIEL</v>
      </c>
      <c r="AW542" t="str">
        <f>"N/A"</f>
        <v>N/A</v>
      </c>
      <c r="AX542" t="str">
        <f>"100 HIGH STREET"</f>
        <v>100 HIGH STREET</v>
      </c>
      <c r="AY542" t="str">
        <f>"3RD FLOOR C#5307776"</f>
        <v>3RD FLOOR C#5307776</v>
      </c>
      <c r="AZ542" t="str">
        <f>"BOSTON"</f>
        <v>BOSTON</v>
      </c>
      <c r="BA542" t="str">
        <f>"MA"</f>
        <v>MA</v>
      </c>
      <c r="BB542" s="3">
        <v>2110</v>
      </c>
      <c r="BC542" t="str">
        <f>"UNITED STATES OF AMERICA"</f>
        <v>UNITED STATES OF AMERICA</v>
      </c>
      <c r="BD542" t="str">
        <f>""</f>
        <v/>
      </c>
      <c r="BE542" t="str">
        <f>"+16175740400"</f>
        <v>+16175740400</v>
      </c>
      <c r="BF542" t="str">
        <f>""</f>
        <v/>
      </c>
      <c r="BG542" t="str">
        <f>"AMAZONINDIA@FRAGOMEN.COM"</f>
        <v>AMAZONINDIA@FRAGOMEN.COM</v>
      </c>
      <c r="BH542" t="str">
        <f>"FRAGOMEN, DEL REY, BERNSEN &amp; LOEWY, LLP"</f>
        <v>FRAGOMEN, DEL REY, BERNSEN &amp; LOEWY, LLP</v>
      </c>
      <c r="BI542" t="str">
        <f>"MA"</f>
        <v>MA</v>
      </c>
      <c r="BJ542" t="str">
        <f>"SUPREME JUDICIAL COURT"</f>
        <v>SUPREME JUDICIAL COURT</v>
      </c>
      <c r="BK542">
        <v>1</v>
      </c>
      <c r="BL542" t="s">
        <v>102</v>
      </c>
      <c r="BM542" t="str">
        <f>""</f>
        <v/>
      </c>
      <c r="BN542" t="s">
        <v>5256</v>
      </c>
      <c r="BP542" t="s">
        <v>433</v>
      </c>
      <c r="BQ542" t="s">
        <v>183</v>
      </c>
      <c r="BR542" t="s">
        <v>176</v>
      </c>
      <c r="BS542" s="5">
        <v>98109</v>
      </c>
      <c r="BT542" s="2">
        <v>144000</v>
      </c>
      <c r="BV542" t="s">
        <v>105</v>
      </c>
      <c r="BW542" s="2">
        <v>113110</v>
      </c>
      <c r="BX542" t="s">
        <v>105</v>
      </c>
      <c r="BZ542" t="s">
        <v>167</v>
      </c>
      <c r="CA542" t="str">
        <f t="shared" si="32"/>
        <v>7/1/2020 - 6/30/2021</v>
      </c>
      <c r="CF542">
        <v>1</v>
      </c>
      <c r="CG542" t="s">
        <v>98</v>
      </c>
      <c r="CH542" t="s">
        <v>206</v>
      </c>
      <c r="CI542" t="s">
        <v>206</v>
      </c>
      <c r="CL542" t="s">
        <v>108</v>
      </c>
      <c r="CM542" t="s">
        <v>109</v>
      </c>
      <c r="CN542" t="str">
        <f>"SUNNY"</f>
        <v>SUNNY</v>
      </c>
      <c r="CO542" t="str">
        <f>"JASMIN"</f>
        <v>JASMIN</v>
      </c>
      <c r="CP542" t="str">
        <f>"N/A"</f>
        <v>N/A</v>
      </c>
      <c r="CQ542" t="str">
        <f>"FRAGOMEN, DEL REY, BERNSEN &amp; LOEWY, LLP"</f>
        <v>FRAGOMEN, DEL REY, BERNSEN &amp; LOEWY, LLP</v>
      </c>
      <c r="CR542" t="s">
        <v>650</v>
      </c>
    </row>
    <row r="543" spans="1:96" x14ac:dyDescent="0.2">
      <c r="A543" t="s">
        <v>5258</v>
      </c>
      <c r="B543" t="s">
        <v>96</v>
      </c>
      <c r="C543" s="1">
        <v>44098</v>
      </c>
      <c r="D543" s="1">
        <v>44105</v>
      </c>
      <c r="F543" t="s">
        <v>97</v>
      </c>
      <c r="G543" t="str">
        <f>"Manager, Database Administration "</f>
        <v xml:space="preserve">Manager, Database Administration </v>
      </c>
      <c r="H543" t="s">
        <v>12225</v>
      </c>
      <c r="I543" t="s">
        <v>628</v>
      </c>
      <c r="J543" t="s">
        <v>98</v>
      </c>
      <c r="K543" s="1">
        <v>44105</v>
      </c>
      <c r="L543" s="1">
        <v>45199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 t="s">
        <v>3947</v>
      </c>
      <c r="U543" t="str">
        <f>""</f>
        <v/>
      </c>
      <c r="V543" t="s">
        <v>3948</v>
      </c>
      <c r="W543" t="str">
        <f>"One AMC Way"</f>
        <v>One AMC Way</v>
      </c>
      <c r="X543" t="s">
        <v>3949</v>
      </c>
      <c r="Y543" t="s">
        <v>193</v>
      </c>
      <c r="Z543" s="3">
        <v>66211</v>
      </c>
      <c r="AA543" t="s">
        <v>101</v>
      </c>
      <c r="AC543" s="4" t="str">
        <f>"+19132132243"</f>
        <v>+19132132243</v>
      </c>
      <c r="AE543" t="str">
        <f>"512131"</f>
        <v>512131</v>
      </c>
      <c r="AF543" t="s">
        <v>3950</v>
      </c>
      <c r="AG543" t="s">
        <v>200</v>
      </c>
      <c r="AH543" t="s">
        <v>3951</v>
      </c>
      <c r="AI543" t="s">
        <v>3952</v>
      </c>
      <c r="AJ543" t="s">
        <v>3953</v>
      </c>
      <c r="AK543" t="str">
        <f>"One AMC Way"</f>
        <v>One AMC Way</v>
      </c>
      <c r="AL543" t="s">
        <v>3949</v>
      </c>
      <c r="AM543" t="s">
        <v>193</v>
      </c>
      <c r="AN543" s="3">
        <v>66211</v>
      </c>
      <c r="AO543" t="s">
        <v>101</v>
      </c>
      <c r="AQ543" t="str">
        <f>"+19132132243"</f>
        <v>+19132132243</v>
      </c>
      <c r="AS543" t="s">
        <v>5259</v>
      </c>
      <c r="AT543" t="s">
        <v>107</v>
      </c>
      <c r="AU543" t="str">
        <f>"Benet"</f>
        <v>Benet</v>
      </c>
      <c r="AV543" t="str">
        <f>"William"</f>
        <v>William</v>
      </c>
      <c r="AW543" t="str">
        <f>"N."</f>
        <v>N.</v>
      </c>
      <c r="AX543" t="str">
        <f>"2000 S Colorado Blvd."</f>
        <v>2000 S Colorado Blvd.</v>
      </c>
      <c r="AY543" t="str">
        <f>"Tower 3, Suite 900"</f>
        <v>Tower 3, Suite 900</v>
      </c>
      <c r="AZ543" t="str">
        <f>"Denver"</f>
        <v>Denver</v>
      </c>
      <c r="BA543" t="str">
        <f>"CO"</f>
        <v>CO</v>
      </c>
      <c r="BB543" s="3">
        <v>80222</v>
      </c>
      <c r="BC543" t="str">
        <f>"UNITED STATES OF AMERICA"</f>
        <v>UNITED STATES OF AMERICA</v>
      </c>
      <c r="BD543" t="str">
        <f>""</f>
        <v/>
      </c>
      <c r="BE543" t="str">
        <f>"+13037646800"</f>
        <v>+13037646800</v>
      </c>
      <c r="BF543" t="str">
        <f>""</f>
        <v/>
      </c>
      <c r="BG543" t="str">
        <f>"william.benet@ogletreedeakins.com"</f>
        <v>william.benet@ogletreedeakins.com</v>
      </c>
      <c r="BH543" t="str">
        <f>"Ogletree Deakins"</f>
        <v>Ogletree Deakins</v>
      </c>
      <c r="BI543" t="str">
        <f>"MN"</f>
        <v>MN</v>
      </c>
      <c r="BJ543" t="str">
        <f>"Minnesota Supreme Court"</f>
        <v>Minnesota Supreme Court</v>
      </c>
      <c r="BK543">
        <v>1</v>
      </c>
      <c r="BL543" t="s">
        <v>102</v>
      </c>
      <c r="BM543" t="str">
        <f>""</f>
        <v/>
      </c>
      <c r="BN543" t="s">
        <v>5260</v>
      </c>
      <c r="BP543" t="s">
        <v>3949</v>
      </c>
      <c r="BQ543" t="s">
        <v>1372</v>
      </c>
      <c r="BR543" t="s">
        <v>193</v>
      </c>
      <c r="BS543" s="5">
        <v>66211</v>
      </c>
      <c r="BT543" s="2">
        <v>48.85</v>
      </c>
      <c r="BU543" s="2">
        <v>69.95</v>
      </c>
      <c r="BV543" t="s">
        <v>210</v>
      </c>
      <c r="BW543" s="2">
        <v>48.85</v>
      </c>
      <c r="BX543" t="s">
        <v>210</v>
      </c>
      <c r="BZ543" t="s">
        <v>159</v>
      </c>
      <c r="CA543" t="str">
        <f t="shared" si="32"/>
        <v>7/1/2020 - 6/30/2021</v>
      </c>
      <c r="CF543">
        <v>1</v>
      </c>
      <c r="CG543" t="s">
        <v>98</v>
      </c>
      <c r="CH543" t="s">
        <v>206</v>
      </c>
      <c r="CI543" t="s">
        <v>206</v>
      </c>
      <c r="CL543" t="s">
        <v>108</v>
      </c>
      <c r="CM543" t="s">
        <v>109</v>
      </c>
      <c r="CN543" t="str">
        <f>"Windhausen"</f>
        <v>Windhausen</v>
      </c>
      <c r="CO543" t="str">
        <f>"Michelle"</f>
        <v>Michelle</v>
      </c>
      <c r="CP543" t="str">
        <f>"A"</f>
        <v>A</v>
      </c>
      <c r="CQ543" t="str">
        <f>"Ogletree Deakins"</f>
        <v>Ogletree Deakins</v>
      </c>
      <c r="CR543" t="s">
        <v>1785</v>
      </c>
    </row>
    <row r="544" spans="1:96" x14ac:dyDescent="0.2">
      <c r="A544" t="s">
        <v>5285</v>
      </c>
      <c r="B544" t="s">
        <v>96</v>
      </c>
      <c r="C544" s="1">
        <v>44098</v>
      </c>
      <c r="D544" s="1">
        <v>44105</v>
      </c>
      <c r="F544" t="s">
        <v>97</v>
      </c>
      <c r="G544" t="str">
        <f>"Resident Fellow"</f>
        <v>Resident Fellow</v>
      </c>
      <c r="H544" t="s">
        <v>12229</v>
      </c>
      <c r="I544" t="s">
        <v>2615</v>
      </c>
      <c r="J544" t="s">
        <v>98</v>
      </c>
      <c r="K544" s="1">
        <v>44105</v>
      </c>
      <c r="L544" s="1">
        <v>45199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5286</v>
      </c>
      <c r="U544" t="str">
        <f>""</f>
        <v/>
      </c>
      <c r="V544" t="s">
        <v>5287</v>
      </c>
      <c r="W544" t="str">
        <f>""</f>
        <v/>
      </c>
      <c r="X544" t="s">
        <v>622</v>
      </c>
      <c r="Y544" t="s">
        <v>624</v>
      </c>
      <c r="Z544" s="3">
        <v>20036</v>
      </c>
      <c r="AA544" t="s">
        <v>101</v>
      </c>
      <c r="AC544" s="4" t="str">
        <f>"+12028625919"</f>
        <v>+12028625919</v>
      </c>
      <c r="AE544" t="str">
        <f>"541720"</f>
        <v>541720</v>
      </c>
      <c r="AF544" t="s">
        <v>5288</v>
      </c>
      <c r="AG544" t="s">
        <v>449</v>
      </c>
      <c r="AH544" t="s">
        <v>108</v>
      </c>
      <c r="AI544" t="s">
        <v>5289</v>
      </c>
      <c r="AJ544" t="s">
        <v>5290</v>
      </c>
      <c r="AK544" t="str">
        <f>""</f>
        <v/>
      </c>
      <c r="AL544" t="s">
        <v>622</v>
      </c>
      <c r="AM544" t="s">
        <v>624</v>
      </c>
      <c r="AN544" s="3">
        <v>20036</v>
      </c>
      <c r="AO544" t="s">
        <v>101</v>
      </c>
      <c r="AQ544" t="str">
        <f>"+12028625913"</f>
        <v>+12028625913</v>
      </c>
      <c r="AS544" t="s">
        <v>5291</v>
      </c>
      <c r="AT544" t="s">
        <v>107</v>
      </c>
      <c r="AU544" t="str">
        <f>"Chong"</f>
        <v>Chong</v>
      </c>
      <c r="AV544" t="str">
        <f>"Cameron"</f>
        <v>Cameron</v>
      </c>
      <c r="AW544" t="str">
        <f>""</f>
        <v/>
      </c>
      <c r="AX544" t="str">
        <f>"1800 Massachusetts Avenue NW"</f>
        <v>1800 Massachusetts Avenue NW</v>
      </c>
      <c r="AY544" t="str">
        <f>"Suite 300"</f>
        <v>Suite 300</v>
      </c>
      <c r="AZ544" t="str">
        <f>"Washington"</f>
        <v>Washington</v>
      </c>
      <c r="BA544" t="str">
        <f>"DC"</f>
        <v>DC</v>
      </c>
      <c r="BB544" s="3">
        <v>20036</v>
      </c>
      <c r="BC544" t="str">
        <f>"UNITED STATES OF AMERICA"</f>
        <v>UNITED STATES OF AMERICA</v>
      </c>
      <c r="BD544" t="str">
        <f>""</f>
        <v/>
      </c>
      <c r="BE544" t="str">
        <f>"+12024830053"</f>
        <v>+12024830053</v>
      </c>
      <c r="BF544" t="str">
        <f>""</f>
        <v/>
      </c>
      <c r="BG544" t="str">
        <f>"cchong@maggio-kattar.com"</f>
        <v>cchong@maggio-kattar.com</v>
      </c>
      <c r="BH544" t="str">
        <f>"Maggio Kattar"</f>
        <v>Maggio Kattar</v>
      </c>
      <c r="BI544" t="str">
        <f>"DC"</f>
        <v>DC</v>
      </c>
      <c r="BJ544" t="str">
        <f>"District of Columbia Court of Appeals"</f>
        <v>District of Columbia Court of Appeals</v>
      </c>
      <c r="BK544">
        <v>1</v>
      </c>
      <c r="BL544" t="s">
        <v>102</v>
      </c>
      <c r="BM544" t="str">
        <f>""</f>
        <v/>
      </c>
      <c r="BN544" t="s">
        <v>5290</v>
      </c>
      <c r="BP544" t="s">
        <v>622</v>
      </c>
      <c r="BQ544" t="s">
        <v>623</v>
      </c>
      <c r="BR544" t="s">
        <v>624</v>
      </c>
      <c r="BS544" s="5">
        <v>20036</v>
      </c>
      <c r="BT544" s="2">
        <v>95000</v>
      </c>
      <c r="BU544" s="2">
        <v>187000</v>
      </c>
      <c r="BV544" t="s">
        <v>105</v>
      </c>
      <c r="BW544" s="2">
        <v>74339</v>
      </c>
      <c r="BX544" t="s">
        <v>105</v>
      </c>
      <c r="BZ544" t="s">
        <v>159</v>
      </c>
      <c r="CA544" t="str">
        <f t="shared" si="32"/>
        <v>7/1/2020 - 6/30/2021</v>
      </c>
      <c r="CF544">
        <v>1</v>
      </c>
      <c r="CG544" t="s">
        <v>98</v>
      </c>
      <c r="CH544" t="s">
        <v>206</v>
      </c>
      <c r="CI544" t="s">
        <v>206</v>
      </c>
      <c r="CL544" t="s">
        <v>108</v>
      </c>
      <c r="CM544" t="s">
        <v>353</v>
      </c>
      <c r="CN544" t="str">
        <f>"Thornhill"</f>
        <v>Thornhill</v>
      </c>
      <c r="CO544" t="str">
        <f>"Joshua"</f>
        <v>Joshua</v>
      </c>
      <c r="CP544" t="str">
        <f>""</f>
        <v/>
      </c>
      <c r="CQ544" t="str">
        <f>"Maggio Kattar"</f>
        <v>Maggio Kattar</v>
      </c>
      <c r="CR544" t="s">
        <v>5292</v>
      </c>
    </row>
    <row r="545" spans="1:96" x14ac:dyDescent="0.2">
      <c r="A545" t="s">
        <v>5301</v>
      </c>
      <c r="B545" t="s">
        <v>96</v>
      </c>
      <c r="C545" s="1">
        <v>44098</v>
      </c>
      <c r="D545" s="1">
        <v>44105</v>
      </c>
      <c r="F545" t="s">
        <v>97</v>
      </c>
      <c r="G545" t="str">
        <f>"Lead SW Test Engineer"</f>
        <v>Lead SW Test Engineer</v>
      </c>
      <c r="H545" t="s">
        <v>12169</v>
      </c>
      <c r="I545" t="s">
        <v>124</v>
      </c>
      <c r="J545" t="s">
        <v>98</v>
      </c>
      <c r="K545" s="1">
        <v>44271</v>
      </c>
      <c r="L545" s="1">
        <v>45366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t="s">
        <v>2106</v>
      </c>
      <c r="U545" t="str">
        <f>""</f>
        <v/>
      </c>
      <c r="V545" t="s">
        <v>987</v>
      </c>
      <c r="W545" t="str">
        <f>""</f>
        <v/>
      </c>
      <c r="X545" t="s">
        <v>988</v>
      </c>
      <c r="Y545" t="s">
        <v>141</v>
      </c>
      <c r="Z545" s="3">
        <v>94404</v>
      </c>
      <c r="AA545" t="s">
        <v>101</v>
      </c>
      <c r="AC545" s="4" t="str">
        <f>"+16504328837"</f>
        <v>+16504328837</v>
      </c>
      <c r="AE545" t="str">
        <f>"522320"</f>
        <v>522320</v>
      </c>
      <c r="AF545" t="s">
        <v>989</v>
      </c>
      <c r="AG545" t="s">
        <v>990</v>
      </c>
      <c r="AH545" t="s">
        <v>108</v>
      </c>
      <c r="AI545" t="s">
        <v>460</v>
      </c>
      <c r="AJ545" t="s">
        <v>992</v>
      </c>
      <c r="AK545" t="str">
        <f>""</f>
        <v/>
      </c>
      <c r="AL545" t="s">
        <v>988</v>
      </c>
      <c r="AM545" t="s">
        <v>141</v>
      </c>
      <c r="AN545" s="3">
        <v>94404</v>
      </c>
      <c r="AO545" t="s">
        <v>101</v>
      </c>
      <c r="AQ545" t="str">
        <f>"+16504328837"</f>
        <v>+16504328837</v>
      </c>
      <c r="AS545" t="s">
        <v>993</v>
      </c>
      <c r="AT545" t="s">
        <v>107</v>
      </c>
      <c r="AU545" t="str">
        <f>"Lighter"</f>
        <v>Lighter</v>
      </c>
      <c r="AV545" t="str">
        <f>"Amy"</f>
        <v>Amy</v>
      </c>
      <c r="AW545" t="str">
        <f>"Michelle "</f>
        <v xml:space="preserve">Michelle </v>
      </c>
      <c r="AX545" t="str">
        <f>"100 Pringle Avenue"</f>
        <v>100 Pringle Avenue</v>
      </c>
      <c r="AY545" t="str">
        <f>"Suite 300"</f>
        <v>Suite 300</v>
      </c>
      <c r="AZ545" t="str">
        <f>"Walnut Creek"</f>
        <v>Walnut Creek</v>
      </c>
      <c r="BA545" t="str">
        <f>"CA"</f>
        <v>CA</v>
      </c>
      <c r="BB545" s="3">
        <v>94596</v>
      </c>
      <c r="BC545" t="str">
        <f>"UNITED STATES OF AMERICA"</f>
        <v>UNITED STATES OF AMERICA</v>
      </c>
      <c r="BD545" t="str">
        <f>""</f>
        <v/>
      </c>
      <c r="BE545" t="str">
        <f>"+19253786391"</f>
        <v>+19253786391</v>
      </c>
      <c r="BF545" t="str">
        <f>""</f>
        <v/>
      </c>
      <c r="BG545" t="str">
        <f>"alighter@balglobal.com"</f>
        <v>alighter@balglobal.com</v>
      </c>
      <c r="BH545" t="str">
        <f>"Berry Appleman &amp; Leiden LLP"</f>
        <v>Berry Appleman &amp; Leiden LLP</v>
      </c>
      <c r="BI545" t="str">
        <f>"TN"</f>
        <v>TN</v>
      </c>
      <c r="BJ545" t="str">
        <f>"Tennessee Supreme Court"</f>
        <v>Tennessee Supreme Court</v>
      </c>
      <c r="BK545">
        <v>1</v>
      </c>
      <c r="BL545" t="s">
        <v>102</v>
      </c>
      <c r="BM545" t="str">
        <f>""</f>
        <v/>
      </c>
      <c r="BN545" t="s">
        <v>987</v>
      </c>
      <c r="BP545" t="s">
        <v>988</v>
      </c>
      <c r="BQ545" t="s">
        <v>994</v>
      </c>
      <c r="BR545" t="s">
        <v>141</v>
      </c>
      <c r="BS545" s="5">
        <v>94404</v>
      </c>
      <c r="BT545" s="2">
        <v>140600</v>
      </c>
      <c r="BU545" s="2">
        <v>203000</v>
      </c>
      <c r="BV545" t="s">
        <v>105</v>
      </c>
      <c r="BW545" s="2">
        <v>140600</v>
      </c>
      <c r="BX545" t="s">
        <v>105</v>
      </c>
      <c r="CA545" t="str">
        <f>""</f>
        <v/>
      </c>
      <c r="CB545" t="s">
        <v>244</v>
      </c>
      <c r="CC545">
        <v>2019</v>
      </c>
      <c r="CD545" t="s">
        <v>1155</v>
      </c>
      <c r="CE545" t="s">
        <v>2576</v>
      </c>
      <c r="CF545">
        <v>1</v>
      </c>
      <c r="CG545" t="s">
        <v>98</v>
      </c>
      <c r="CH545" t="s">
        <v>206</v>
      </c>
      <c r="CI545" t="s">
        <v>206</v>
      </c>
      <c r="CL545" t="s">
        <v>108</v>
      </c>
      <c r="CM545" t="s">
        <v>109</v>
      </c>
      <c r="CN545" t="str">
        <f>""</f>
        <v/>
      </c>
      <c r="CO545" t="str">
        <f>""</f>
        <v/>
      </c>
      <c r="CP545" t="str">
        <f>""</f>
        <v/>
      </c>
      <c r="CQ545" t="str">
        <f>""</f>
        <v/>
      </c>
    </row>
    <row r="546" spans="1:96" x14ac:dyDescent="0.2">
      <c r="A546" t="s">
        <v>5313</v>
      </c>
      <c r="B546" t="s">
        <v>96</v>
      </c>
      <c r="C546" s="1">
        <v>44098</v>
      </c>
      <c r="D546" s="1">
        <v>44105</v>
      </c>
      <c r="F546" t="s">
        <v>97</v>
      </c>
      <c r="G546" t="str">
        <f>"Senior Data Scientist, Analytics"</f>
        <v>Senior Data Scientist, Analytics</v>
      </c>
      <c r="H546" t="s">
        <v>12182</v>
      </c>
      <c r="I546" t="s">
        <v>168</v>
      </c>
      <c r="J546" t="s">
        <v>206</v>
      </c>
      <c r="K546" s="1">
        <v>44105</v>
      </c>
      <c r="L546" s="1">
        <v>45199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 t="s">
        <v>5314</v>
      </c>
      <c r="U546" t="str">
        <f>""</f>
        <v/>
      </c>
      <c r="V546" t="s">
        <v>5315</v>
      </c>
      <c r="W546" t="str">
        <f>""</f>
        <v/>
      </c>
      <c r="X546" t="s">
        <v>4320</v>
      </c>
      <c r="Y546" t="s">
        <v>577</v>
      </c>
      <c r="Z546" s="3">
        <v>33401</v>
      </c>
      <c r="AA546" t="s">
        <v>101</v>
      </c>
      <c r="AC546" s="4" t="str">
        <f>"+15616824252"</f>
        <v>+15616824252</v>
      </c>
      <c r="AE546" t="str">
        <f>"515120"</f>
        <v>515120</v>
      </c>
      <c r="AF546" t="s">
        <v>5316</v>
      </c>
      <c r="AG546" t="s">
        <v>1390</v>
      </c>
      <c r="AI546" t="s">
        <v>3152</v>
      </c>
      <c r="AJ546" t="s">
        <v>5315</v>
      </c>
      <c r="AK546" t="str">
        <f>""</f>
        <v/>
      </c>
      <c r="AL546" t="s">
        <v>4320</v>
      </c>
      <c r="AM546" t="s">
        <v>577</v>
      </c>
      <c r="AN546" s="3">
        <v>33401</v>
      </c>
      <c r="AO546" t="s">
        <v>101</v>
      </c>
      <c r="AQ546" t="str">
        <f>"+15616824122"</f>
        <v>+15616824122</v>
      </c>
      <c r="AS546" t="s">
        <v>5317</v>
      </c>
      <c r="AT546" t="s">
        <v>107</v>
      </c>
      <c r="AU546" t="str">
        <f>"BLUMBERG"</f>
        <v>BLUMBERG</v>
      </c>
      <c r="AV546" t="str">
        <f>"Aaron"</f>
        <v>Aaron</v>
      </c>
      <c r="AW546" t="str">
        <f>"Michael"</f>
        <v>Michael</v>
      </c>
      <c r="AX546" t="str">
        <f>"800 NW 62ND AVE"</f>
        <v>800 NW 62ND AVE</v>
      </c>
      <c r="AY546" t="str">
        <f>"SUITE 590"</f>
        <v>SUITE 590</v>
      </c>
      <c r="AZ546" t="str">
        <f>"MIAMI"</f>
        <v>MIAMI</v>
      </c>
      <c r="BA546" t="str">
        <f>"FL"</f>
        <v>FL</v>
      </c>
      <c r="BB546" s="3">
        <v>33126</v>
      </c>
      <c r="BC546" t="str">
        <f>"UNITED STATES OF AMERICA"</f>
        <v>UNITED STATES OF AMERICA</v>
      </c>
      <c r="BD546" t="str">
        <f>""</f>
        <v/>
      </c>
      <c r="BE546" t="str">
        <f>"+13057745800"</f>
        <v>+13057745800</v>
      </c>
      <c r="BF546" t="str">
        <f>""</f>
        <v/>
      </c>
      <c r="BG546" t="str">
        <f>"FragomenBlumbergTeam@FRAGOMEN.COM"</f>
        <v>FragomenBlumbergTeam@FRAGOMEN.COM</v>
      </c>
      <c r="BH546" t="str">
        <f>"Fragomen, Del Rey, Bernsen &amp; Loewy, LLP"</f>
        <v>Fragomen, Del Rey, Bernsen &amp; Loewy, LLP</v>
      </c>
      <c r="BI546" t="str">
        <f>"FL"</f>
        <v>FL</v>
      </c>
      <c r="BJ546" t="str">
        <f>"Supreme Court"</f>
        <v>Supreme Court</v>
      </c>
      <c r="BK546">
        <v>1</v>
      </c>
      <c r="BL546" t="s">
        <v>102</v>
      </c>
      <c r="BM546" t="str">
        <f>""</f>
        <v/>
      </c>
      <c r="BN546" t="s">
        <v>5318</v>
      </c>
      <c r="BP546" t="s">
        <v>277</v>
      </c>
      <c r="BQ546" t="s">
        <v>189</v>
      </c>
      <c r="BR546" t="s">
        <v>190</v>
      </c>
      <c r="BS546" s="5">
        <v>10019</v>
      </c>
      <c r="BT546" s="2">
        <v>57.69</v>
      </c>
      <c r="BU546" s="2">
        <v>57.7</v>
      </c>
      <c r="BV546" t="s">
        <v>210</v>
      </c>
      <c r="BW546" s="2">
        <v>54.15</v>
      </c>
      <c r="BX546" t="s">
        <v>210</v>
      </c>
      <c r="BZ546" t="s">
        <v>123</v>
      </c>
      <c r="CA546" t="str">
        <f>"7/1/2020 - 6/30/2021"</f>
        <v>7/1/2020 - 6/30/2021</v>
      </c>
      <c r="CF546">
        <v>1</v>
      </c>
      <c r="CG546" t="s">
        <v>98</v>
      </c>
      <c r="CH546" t="s">
        <v>206</v>
      </c>
      <c r="CI546" t="s">
        <v>206</v>
      </c>
      <c r="CL546" t="s">
        <v>108</v>
      </c>
      <c r="CM546" t="s">
        <v>109</v>
      </c>
      <c r="CN546" t="str">
        <f>""</f>
        <v/>
      </c>
      <c r="CO546" t="str">
        <f>""</f>
        <v/>
      </c>
      <c r="CP546" t="str">
        <f>""</f>
        <v/>
      </c>
      <c r="CQ546" t="str">
        <f>""</f>
        <v/>
      </c>
    </row>
    <row r="547" spans="1:96" x14ac:dyDescent="0.2">
      <c r="A547" t="s">
        <v>5335</v>
      </c>
      <c r="B547" t="s">
        <v>96</v>
      </c>
      <c r="C547" s="1">
        <v>44098</v>
      </c>
      <c r="D547" s="1">
        <v>44105</v>
      </c>
      <c r="F547" t="s">
        <v>97</v>
      </c>
      <c r="G547" t="str">
        <f>"Research Associate"</f>
        <v>Research Associate</v>
      </c>
      <c r="H547" t="s">
        <v>12196</v>
      </c>
      <c r="I547" t="s">
        <v>322</v>
      </c>
      <c r="J547" t="s">
        <v>98</v>
      </c>
      <c r="K547" s="1">
        <v>44207</v>
      </c>
      <c r="L547" s="1">
        <v>45301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2512</v>
      </c>
      <c r="U547" t="str">
        <f>""</f>
        <v/>
      </c>
      <c r="V547" t="s">
        <v>2513</v>
      </c>
      <c r="W547" t="str">
        <f>"Smith Campus Center, Suite 864"</f>
        <v>Smith Campus Center, Suite 864</v>
      </c>
      <c r="X547" t="s">
        <v>436</v>
      </c>
      <c r="Y547" t="s">
        <v>171</v>
      </c>
      <c r="Z547" s="3">
        <v>2138</v>
      </c>
      <c r="AA547" t="s">
        <v>101</v>
      </c>
      <c r="AC547" s="4" t="str">
        <f>"+16174957837"</f>
        <v>+16174957837</v>
      </c>
      <c r="AE547" t="str">
        <f>"611310"</f>
        <v>611310</v>
      </c>
      <c r="AF547" t="s">
        <v>5336</v>
      </c>
      <c r="AG547" t="s">
        <v>1767</v>
      </c>
      <c r="AI547" t="s">
        <v>2514</v>
      </c>
      <c r="AJ547" t="s">
        <v>2513</v>
      </c>
      <c r="AK547" t="str">
        <f>"Smith Campus Center, Suite 864"</f>
        <v>Smith Campus Center, Suite 864</v>
      </c>
      <c r="AL547" t="s">
        <v>436</v>
      </c>
      <c r="AM547" t="s">
        <v>171</v>
      </c>
      <c r="AN547" s="3">
        <v>2138</v>
      </c>
      <c r="AO547" t="s">
        <v>101</v>
      </c>
      <c r="AQ547" t="str">
        <f>"+16174969120"</f>
        <v>+16174969120</v>
      </c>
      <c r="AS547" t="s">
        <v>2515</v>
      </c>
      <c r="AT547" t="s">
        <v>102</v>
      </c>
      <c r="AU547" t="str">
        <f>""</f>
        <v/>
      </c>
      <c r="AV547" t="str">
        <f>""</f>
        <v/>
      </c>
      <c r="AW547" t="str">
        <f>""</f>
        <v/>
      </c>
      <c r="AX547" t="str">
        <f>""</f>
        <v/>
      </c>
      <c r="AY547" t="str">
        <f>""</f>
        <v/>
      </c>
      <c r="AZ547" t="str">
        <f>""</f>
        <v/>
      </c>
      <c r="BA547" t="str">
        <f>""</f>
        <v/>
      </c>
      <c r="BC547" t="str">
        <f>""</f>
        <v/>
      </c>
      <c r="BD547" t="str">
        <f>""</f>
        <v/>
      </c>
      <c r="BE547" t="str">
        <f>""</f>
        <v/>
      </c>
      <c r="BF547" t="str">
        <f>""</f>
        <v/>
      </c>
      <c r="BG547" t="str">
        <f>""</f>
        <v/>
      </c>
      <c r="BH547" t="str">
        <f>""</f>
        <v/>
      </c>
      <c r="BI547" t="str">
        <f>""</f>
        <v/>
      </c>
      <c r="BJ547" t="str">
        <f>""</f>
        <v/>
      </c>
      <c r="BK547">
        <v>1</v>
      </c>
      <c r="BL547" t="s">
        <v>102</v>
      </c>
      <c r="BM547" t="str">
        <f>""</f>
        <v/>
      </c>
      <c r="BN547" t="s">
        <v>5337</v>
      </c>
      <c r="BP547" t="s">
        <v>207</v>
      </c>
      <c r="BQ547" t="s">
        <v>209</v>
      </c>
      <c r="BR547" t="s">
        <v>171</v>
      </c>
      <c r="BS547" s="5">
        <v>2134</v>
      </c>
      <c r="BT547" s="2">
        <v>58000</v>
      </c>
      <c r="BV547" t="s">
        <v>105</v>
      </c>
      <c r="BW547" s="2">
        <v>45261</v>
      </c>
      <c r="BX547" t="s">
        <v>105</v>
      </c>
      <c r="BZ547" t="s">
        <v>167</v>
      </c>
      <c r="CA547" t="str">
        <f>"7/1/2020 - 6/30/2021"</f>
        <v>7/1/2020 - 6/30/2021</v>
      </c>
      <c r="CF547">
        <v>2</v>
      </c>
      <c r="CG547" t="s">
        <v>98</v>
      </c>
      <c r="CH547" t="s">
        <v>206</v>
      </c>
      <c r="CI547" t="s">
        <v>206</v>
      </c>
      <c r="CL547" t="s">
        <v>108</v>
      </c>
      <c r="CM547" t="s">
        <v>109</v>
      </c>
      <c r="CN547" t="str">
        <f>""</f>
        <v/>
      </c>
      <c r="CO547" t="str">
        <f>""</f>
        <v/>
      </c>
      <c r="CP547" t="str">
        <f>""</f>
        <v/>
      </c>
      <c r="CQ547" t="str">
        <f>""</f>
        <v/>
      </c>
    </row>
    <row r="548" spans="1:96" x14ac:dyDescent="0.2">
      <c r="A548" t="s">
        <v>5391</v>
      </c>
      <c r="B548" t="s">
        <v>96</v>
      </c>
      <c r="C548" s="1">
        <v>44098</v>
      </c>
      <c r="D548" s="1">
        <v>44105</v>
      </c>
      <c r="F548" t="s">
        <v>97</v>
      </c>
      <c r="G548" t="str">
        <f>"MANAGER III, APPLIED SCIENCE"</f>
        <v>MANAGER III, APPLIED SCIENCE</v>
      </c>
      <c r="H548" t="s">
        <v>12191</v>
      </c>
      <c r="I548" t="s">
        <v>649</v>
      </c>
      <c r="J548" t="s">
        <v>98</v>
      </c>
      <c r="K548" s="1">
        <v>44279</v>
      </c>
      <c r="L548" s="1">
        <v>45374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 t="s">
        <v>440</v>
      </c>
      <c r="U548" t="str">
        <f>""</f>
        <v/>
      </c>
      <c r="V548" t="s">
        <v>809</v>
      </c>
      <c r="W548" t="str">
        <f>"SUITE 500"</f>
        <v>SUITE 500</v>
      </c>
      <c r="X548" t="s">
        <v>433</v>
      </c>
      <c r="Y548" t="s">
        <v>176</v>
      </c>
      <c r="Z548" s="3">
        <v>98121</v>
      </c>
      <c r="AA548" t="s">
        <v>101</v>
      </c>
      <c r="AC548" s="4" t="str">
        <f>"+12062661000"</f>
        <v>+12062661000</v>
      </c>
      <c r="AE548" t="str">
        <f>"454110"</f>
        <v>454110</v>
      </c>
      <c r="AF548" t="s">
        <v>442</v>
      </c>
      <c r="AG548" t="s">
        <v>443</v>
      </c>
      <c r="AH548" t="s">
        <v>108</v>
      </c>
      <c r="AI548" t="s">
        <v>434</v>
      </c>
      <c r="AJ548" t="s">
        <v>809</v>
      </c>
      <c r="AK548" t="str">
        <f>"SUITE 500"</f>
        <v>SUITE 500</v>
      </c>
      <c r="AL548" t="s">
        <v>433</v>
      </c>
      <c r="AM548" t="s">
        <v>176</v>
      </c>
      <c r="AN548" s="3">
        <v>98121</v>
      </c>
      <c r="AO548" t="s">
        <v>101</v>
      </c>
      <c r="AQ548" t="str">
        <f>"+12062661000"</f>
        <v>+12062661000</v>
      </c>
      <c r="AS548" t="s">
        <v>263</v>
      </c>
      <c r="AT548" t="s">
        <v>107</v>
      </c>
      <c r="AU548" t="str">
        <f>"MARANCI"</f>
        <v>MARANCI</v>
      </c>
      <c r="AV548" t="str">
        <f>"DANIEL"</f>
        <v>DANIEL</v>
      </c>
      <c r="AW548" t="str">
        <f>"N/A"</f>
        <v>N/A</v>
      </c>
      <c r="AX548" t="str">
        <f>"100 HIGH STREET"</f>
        <v>100 HIGH STREET</v>
      </c>
      <c r="AY548" t="str">
        <f>"3RD FLOOR C#5266130"</f>
        <v>3RD FLOOR C#5266130</v>
      </c>
      <c r="AZ548" t="str">
        <f>"BOSTON"</f>
        <v>BOSTON</v>
      </c>
      <c r="BA548" t="str">
        <f>"MA"</f>
        <v>MA</v>
      </c>
      <c r="BB548" s="3">
        <v>2110</v>
      </c>
      <c r="BC548" t="str">
        <f t="shared" ref="BC548:BC558" si="33">"UNITED STATES OF AMERICA"</f>
        <v>UNITED STATES OF AMERICA</v>
      </c>
      <c r="BD548" t="str">
        <f>""</f>
        <v/>
      </c>
      <c r="BE548" t="str">
        <f>"+16175740400"</f>
        <v>+16175740400</v>
      </c>
      <c r="BF548" t="str">
        <f>""</f>
        <v/>
      </c>
      <c r="BG548" t="str">
        <f>"AMAZONINDIA@FRAGOMEN.COM"</f>
        <v>AMAZONINDIA@FRAGOMEN.COM</v>
      </c>
      <c r="BH548" t="str">
        <f>"FRAGOMEN, DEL REY, BERNSEN &amp; LOEWY, LLP"</f>
        <v>FRAGOMEN, DEL REY, BERNSEN &amp; LOEWY, LLP</v>
      </c>
      <c r="BI548" t="str">
        <f>"MA"</f>
        <v>MA</v>
      </c>
      <c r="BJ548" t="str">
        <f>"SUPREME JUDICIAL COURT"</f>
        <v>SUPREME JUDICIAL COURT</v>
      </c>
      <c r="BK548">
        <v>1</v>
      </c>
      <c r="BL548" t="s">
        <v>102</v>
      </c>
      <c r="BM548" t="str">
        <f>""</f>
        <v/>
      </c>
      <c r="BN548" t="s">
        <v>3554</v>
      </c>
      <c r="BP548" t="s">
        <v>433</v>
      </c>
      <c r="BQ548" t="s">
        <v>183</v>
      </c>
      <c r="BR548" t="s">
        <v>176</v>
      </c>
      <c r="BS548" s="5">
        <v>98109</v>
      </c>
      <c r="BT548" s="2">
        <v>160000</v>
      </c>
      <c r="BV548" t="s">
        <v>105</v>
      </c>
      <c r="BW548" s="2">
        <v>139880</v>
      </c>
      <c r="BX548" t="s">
        <v>105</v>
      </c>
      <c r="BZ548" t="s">
        <v>123</v>
      </c>
      <c r="CA548" t="str">
        <f>"7/1/2020 - 6/30/2021"</f>
        <v>7/1/2020 - 6/30/2021</v>
      </c>
      <c r="CF548">
        <v>1</v>
      </c>
      <c r="CG548" t="s">
        <v>98</v>
      </c>
      <c r="CH548" t="s">
        <v>206</v>
      </c>
      <c r="CI548" t="s">
        <v>206</v>
      </c>
      <c r="CL548" t="s">
        <v>108</v>
      </c>
      <c r="CM548" t="s">
        <v>109</v>
      </c>
      <c r="CN548" t="str">
        <f>"SUNNY"</f>
        <v>SUNNY</v>
      </c>
      <c r="CO548" t="str">
        <f>"JASMIN"</f>
        <v>JASMIN</v>
      </c>
      <c r="CP548" t="str">
        <f>"N/A"</f>
        <v>N/A</v>
      </c>
      <c r="CQ548" t="str">
        <f>"FRAGOMEN, DEL REY, BERNSEN &amp; LOEWY, LLP"</f>
        <v>FRAGOMEN, DEL REY, BERNSEN &amp; LOEWY, LLP</v>
      </c>
      <c r="CR548" t="s">
        <v>650</v>
      </c>
    </row>
    <row r="549" spans="1:96" x14ac:dyDescent="0.2">
      <c r="A549" t="s">
        <v>5423</v>
      </c>
      <c r="B549" t="s">
        <v>96</v>
      </c>
      <c r="C549" s="1">
        <v>44098</v>
      </c>
      <c r="D549" s="1">
        <v>44105</v>
      </c>
      <c r="F549" t="s">
        <v>97</v>
      </c>
      <c r="G549" t="str">
        <f>"Informatica Developer"</f>
        <v>Informatica Developer</v>
      </c>
      <c r="H549" t="s">
        <v>12169</v>
      </c>
      <c r="I549" t="s">
        <v>124</v>
      </c>
      <c r="J549" t="s">
        <v>98</v>
      </c>
      <c r="K549" s="1">
        <v>44116</v>
      </c>
      <c r="L549" s="1">
        <v>44846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5424</v>
      </c>
      <c r="U549" t="str">
        <f>""</f>
        <v/>
      </c>
      <c r="V549" t="s">
        <v>5425</v>
      </c>
      <c r="W549" t="str">
        <f>""</f>
        <v/>
      </c>
      <c r="X549" t="s">
        <v>4781</v>
      </c>
      <c r="Y549" t="s">
        <v>100</v>
      </c>
      <c r="Z549" s="3">
        <v>7920</v>
      </c>
      <c r="AA549" t="s">
        <v>101</v>
      </c>
      <c r="AC549" s="4" t="str">
        <f>"+19738895259"</f>
        <v>+19738895259</v>
      </c>
      <c r="AE549" t="str">
        <f>"541511"</f>
        <v>541511</v>
      </c>
      <c r="AF549" t="s">
        <v>5426</v>
      </c>
      <c r="AG549" t="s">
        <v>5427</v>
      </c>
      <c r="AI549" t="s">
        <v>629</v>
      </c>
      <c r="AJ549" t="s">
        <v>5425</v>
      </c>
      <c r="AK549" t="str">
        <f>""</f>
        <v/>
      </c>
      <c r="AL549" t="s">
        <v>4781</v>
      </c>
      <c r="AM549" t="s">
        <v>100</v>
      </c>
      <c r="AN549" s="3">
        <v>7920</v>
      </c>
      <c r="AO549" t="s">
        <v>101</v>
      </c>
      <c r="AQ549" t="str">
        <f>"+19738895259"</f>
        <v>+19738895259</v>
      </c>
      <c r="AS549" t="s">
        <v>5428</v>
      </c>
      <c r="AT549" t="s">
        <v>107</v>
      </c>
      <c r="AU549" t="str">
        <f>"Dave"</f>
        <v>Dave</v>
      </c>
      <c r="AV549" t="str">
        <f>"Aparna"</f>
        <v>Aparna</v>
      </c>
      <c r="AW549" t="str">
        <f>"Raju"</f>
        <v>Raju</v>
      </c>
      <c r="AX549" t="str">
        <f>"107 Alderwood Drive"</f>
        <v>107 Alderwood Drive</v>
      </c>
      <c r="AY549" t="str">
        <f>""</f>
        <v/>
      </c>
      <c r="AZ549" t="str">
        <f>"Gaithersburg"</f>
        <v>Gaithersburg</v>
      </c>
      <c r="BA549" t="str">
        <f>"MD"</f>
        <v>MD</v>
      </c>
      <c r="BB549" s="3">
        <v>20878</v>
      </c>
      <c r="BC549" t="str">
        <f t="shared" si="33"/>
        <v>UNITED STATES OF AMERICA</v>
      </c>
      <c r="BD549" t="str">
        <f>""</f>
        <v/>
      </c>
      <c r="BE549" t="str">
        <f>"+13013155842"</f>
        <v>+13013155842</v>
      </c>
      <c r="BF549" t="str">
        <f>""</f>
        <v/>
      </c>
      <c r="BG549" t="str">
        <f>"aparnadave@immigration2us.com"</f>
        <v>aparnadave@immigration2us.com</v>
      </c>
      <c r="BH549" t="str">
        <f>"Law Office of Aparna Dave"</f>
        <v>Law Office of Aparna Dave</v>
      </c>
      <c r="BI549" t="str">
        <f>"MA"</f>
        <v>MA</v>
      </c>
      <c r="BJ549" t="str">
        <f>"Supreme Judicial Court"</f>
        <v>Supreme Judicial Court</v>
      </c>
      <c r="BK549">
        <v>1</v>
      </c>
      <c r="BL549" t="s">
        <v>107</v>
      </c>
      <c r="BM549" t="str">
        <f>"Bank of America"</f>
        <v>Bank of America</v>
      </c>
      <c r="BN549" t="s">
        <v>5429</v>
      </c>
      <c r="BP549" t="s">
        <v>604</v>
      </c>
      <c r="BQ549" t="s">
        <v>121</v>
      </c>
      <c r="BR549" t="s">
        <v>122</v>
      </c>
      <c r="BS549" s="5">
        <v>28202</v>
      </c>
      <c r="BT549" s="2">
        <v>65</v>
      </c>
      <c r="BV549" t="s">
        <v>210</v>
      </c>
      <c r="BW549" s="2">
        <v>50.02</v>
      </c>
      <c r="BX549" t="s">
        <v>210</v>
      </c>
      <c r="BZ549" t="s">
        <v>123</v>
      </c>
      <c r="CA549" t="str">
        <f>"7/1/2020 - 6/30/2021"</f>
        <v>7/1/2020 - 6/30/2021</v>
      </c>
      <c r="CF549">
        <v>3</v>
      </c>
      <c r="CG549" t="s">
        <v>98</v>
      </c>
      <c r="CH549" t="s">
        <v>206</v>
      </c>
      <c r="CI549" t="s">
        <v>206</v>
      </c>
      <c r="CL549" t="s">
        <v>108</v>
      </c>
      <c r="CM549" t="s">
        <v>109</v>
      </c>
      <c r="CN549" t="str">
        <f>""</f>
        <v/>
      </c>
      <c r="CO549" t="str">
        <f>""</f>
        <v/>
      </c>
      <c r="CP549" t="str">
        <f>""</f>
        <v/>
      </c>
      <c r="CQ549" t="str">
        <f>""</f>
        <v/>
      </c>
    </row>
    <row r="550" spans="1:96" x14ac:dyDescent="0.2">
      <c r="A550" t="s">
        <v>5434</v>
      </c>
      <c r="B550" t="s">
        <v>96</v>
      </c>
      <c r="C550" s="1">
        <v>44098</v>
      </c>
      <c r="D550" s="1">
        <v>44105</v>
      </c>
      <c r="F550" t="s">
        <v>97</v>
      </c>
      <c r="G550" t="str">
        <f>"Product Engineer (Mechanical Engineer) "</f>
        <v xml:space="preserve">Product Engineer (Mechanical Engineer) </v>
      </c>
      <c r="H550" t="s">
        <v>12196</v>
      </c>
      <c r="I550" t="s">
        <v>322</v>
      </c>
      <c r="J550" t="s">
        <v>98</v>
      </c>
      <c r="K550" s="1">
        <v>44116</v>
      </c>
      <c r="L550" s="1">
        <v>45210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 t="s">
        <v>5435</v>
      </c>
      <c r="U550" t="str">
        <f>""</f>
        <v/>
      </c>
      <c r="V550" t="s">
        <v>5436</v>
      </c>
      <c r="W550" t="str">
        <f>""</f>
        <v/>
      </c>
      <c r="X550" t="s">
        <v>761</v>
      </c>
      <c r="Y550" t="s">
        <v>114</v>
      </c>
      <c r="Z550" s="3">
        <v>75080</v>
      </c>
      <c r="AA550" t="s">
        <v>101</v>
      </c>
      <c r="AC550" s="4" t="str">
        <f>"+19724975000"</f>
        <v>+19724975000</v>
      </c>
      <c r="AE550" t="str">
        <f>"33341"</f>
        <v>33341</v>
      </c>
      <c r="AF550" t="s">
        <v>5437</v>
      </c>
      <c r="AG550" t="s">
        <v>1699</v>
      </c>
      <c r="AI550" t="s">
        <v>5438</v>
      </c>
      <c r="AJ550" t="s">
        <v>5436</v>
      </c>
      <c r="AK550" t="str">
        <f>""</f>
        <v/>
      </c>
      <c r="AL550" t="s">
        <v>761</v>
      </c>
      <c r="AM550" t="s">
        <v>114</v>
      </c>
      <c r="AN550" s="3">
        <v>75080</v>
      </c>
      <c r="AO550" t="s">
        <v>101</v>
      </c>
      <c r="AQ550" t="str">
        <f>"+19724975000"</f>
        <v>+19724975000</v>
      </c>
      <c r="AS550" t="s">
        <v>5439</v>
      </c>
      <c r="AT550" t="s">
        <v>107</v>
      </c>
      <c r="AU550" t="str">
        <f>"Resendez"</f>
        <v>Resendez</v>
      </c>
      <c r="AV550" t="str">
        <f>"Tomas"</f>
        <v>Tomas</v>
      </c>
      <c r="AW550" t="str">
        <f>""</f>
        <v/>
      </c>
      <c r="AX550" t="str">
        <f>"5080 Spectrum Drive"</f>
        <v>5080 Spectrum Drive</v>
      </c>
      <c r="AY550" t="str">
        <f>"Suite 850W"</f>
        <v>Suite 850W</v>
      </c>
      <c r="AZ550" t="str">
        <f>"Addison"</f>
        <v>Addison</v>
      </c>
      <c r="BA550" t="str">
        <f>"TX"</f>
        <v>TX</v>
      </c>
      <c r="BB550" s="3">
        <v>75001</v>
      </c>
      <c r="BC550" t="str">
        <f t="shared" si="33"/>
        <v>UNITED STATES OF AMERICA</v>
      </c>
      <c r="BD550" t="str">
        <f>""</f>
        <v/>
      </c>
      <c r="BE550" t="str">
        <f>"+19722336646"</f>
        <v>+19722336646</v>
      </c>
      <c r="BF550" t="str">
        <f>""</f>
        <v/>
      </c>
      <c r="BG550" t="str">
        <f>"tResendez@fragomen.com"</f>
        <v>tResendez@fragomen.com</v>
      </c>
      <c r="BH550" t="str">
        <f>"Fragomen, Del Rey, Bernsen &amp; Loewy, LLP"</f>
        <v>Fragomen, Del Rey, Bernsen &amp; Loewy, LLP</v>
      </c>
      <c r="BI550" t="str">
        <f>"TX"</f>
        <v>TX</v>
      </c>
      <c r="BJ550" t="str">
        <f>"Supreme Court of Texas"</f>
        <v>Supreme Court of Texas</v>
      </c>
      <c r="BK550">
        <v>1</v>
      </c>
      <c r="BL550" t="s">
        <v>102</v>
      </c>
      <c r="BM550" t="str">
        <f>""</f>
        <v/>
      </c>
      <c r="BN550" t="s">
        <v>5440</v>
      </c>
      <c r="BP550" t="s">
        <v>5441</v>
      </c>
      <c r="BQ550" t="s">
        <v>481</v>
      </c>
      <c r="BR550" t="s">
        <v>215</v>
      </c>
      <c r="BS550" s="5">
        <v>30087</v>
      </c>
      <c r="BT550" s="2">
        <v>96679</v>
      </c>
      <c r="BU550" s="2">
        <v>121000</v>
      </c>
      <c r="BV550" t="s">
        <v>105</v>
      </c>
      <c r="BW550" s="2">
        <v>96679</v>
      </c>
      <c r="BX550" t="s">
        <v>105</v>
      </c>
      <c r="CA550" t="str">
        <f>""</f>
        <v/>
      </c>
      <c r="CB550" t="s">
        <v>244</v>
      </c>
      <c r="CC550">
        <v>2019</v>
      </c>
      <c r="CD550" t="s">
        <v>411</v>
      </c>
      <c r="CE550" t="s">
        <v>5442</v>
      </c>
      <c r="CF550">
        <v>2</v>
      </c>
      <c r="CG550" t="s">
        <v>98</v>
      </c>
      <c r="CH550" t="s">
        <v>206</v>
      </c>
      <c r="CI550" t="s">
        <v>206</v>
      </c>
      <c r="CL550" t="s">
        <v>108</v>
      </c>
      <c r="CM550" t="s">
        <v>109</v>
      </c>
      <c r="CN550" t="str">
        <f>"Torres"</f>
        <v>Torres</v>
      </c>
      <c r="CO550" t="str">
        <f>"Valerie"</f>
        <v>Valerie</v>
      </c>
      <c r="CP550" t="str">
        <f>"L"</f>
        <v>L</v>
      </c>
      <c r="CQ550" t="str">
        <f>"FRAGOMEN, DEL REY, BERNSEN, &amp; LOEWY, LLP"</f>
        <v>FRAGOMEN, DEL REY, BERNSEN, &amp; LOEWY, LLP</v>
      </c>
      <c r="CR550" t="s">
        <v>5443</v>
      </c>
    </row>
    <row r="551" spans="1:96" x14ac:dyDescent="0.2">
      <c r="A551" t="s">
        <v>5450</v>
      </c>
      <c r="B551" t="s">
        <v>96</v>
      </c>
      <c r="C551" s="1">
        <v>44098</v>
      </c>
      <c r="D551" s="1">
        <v>44105</v>
      </c>
      <c r="F551" t="s">
        <v>97</v>
      </c>
      <c r="G551" t="str">
        <f>"SAP ARIBA SENIOR CONSULTANT"</f>
        <v>SAP ARIBA SENIOR CONSULTANT</v>
      </c>
      <c r="H551" t="s">
        <v>12169</v>
      </c>
      <c r="I551" t="s">
        <v>124</v>
      </c>
      <c r="J551" t="s">
        <v>98</v>
      </c>
      <c r="K551" s="1">
        <v>44109</v>
      </c>
      <c r="L551" s="1">
        <v>45203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5451</v>
      </c>
      <c r="U551" t="str">
        <f>""</f>
        <v/>
      </c>
      <c r="V551" t="s">
        <v>5452</v>
      </c>
      <c r="W551" t="str">
        <f>"SUITE# 12"</f>
        <v>SUITE# 12</v>
      </c>
      <c r="X551" t="s">
        <v>5453</v>
      </c>
      <c r="Y551" t="s">
        <v>186</v>
      </c>
      <c r="Z551" s="3">
        <v>55423</v>
      </c>
      <c r="AA551" t="s">
        <v>101</v>
      </c>
      <c r="AC551" s="4" t="str">
        <f>"+16513385847"</f>
        <v>+16513385847</v>
      </c>
      <c r="AE551" t="str">
        <f>"541511"</f>
        <v>541511</v>
      </c>
      <c r="AF551" t="s">
        <v>5454</v>
      </c>
      <c r="AG551" t="s">
        <v>5455</v>
      </c>
      <c r="AI551" t="s">
        <v>2145</v>
      </c>
      <c r="AJ551" t="s">
        <v>5452</v>
      </c>
      <c r="AK551" t="str">
        <f>"SUITE# 12"</f>
        <v>SUITE# 12</v>
      </c>
      <c r="AL551" t="s">
        <v>3756</v>
      </c>
      <c r="AM551" t="s">
        <v>186</v>
      </c>
      <c r="AN551" s="3">
        <v>55423</v>
      </c>
      <c r="AO551" t="s">
        <v>101</v>
      </c>
      <c r="AQ551" t="str">
        <f>"+16513385847"</f>
        <v>+16513385847</v>
      </c>
      <c r="AS551" t="s">
        <v>5456</v>
      </c>
      <c r="AT551" t="s">
        <v>107</v>
      </c>
      <c r="AU551" t="str">
        <f>"MADDIPOTI "</f>
        <v xml:space="preserve">MADDIPOTI </v>
      </c>
      <c r="AV551" t="str">
        <f>"KAMALA "</f>
        <v xml:space="preserve">KAMALA </v>
      </c>
      <c r="AW551" t="str">
        <f>""</f>
        <v/>
      </c>
      <c r="AX551" t="str">
        <f>"2670 S. WHITE RD"</f>
        <v>2670 S. WHITE RD</v>
      </c>
      <c r="AY551" t="str">
        <f>"STE. 105"</f>
        <v>STE. 105</v>
      </c>
      <c r="AZ551" t="str">
        <f>"SAN JOSE "</f>
        <v xml:space="preserve">SAN JOSE </v>
      </c>
      <c r="BA551" t="str">
        <f>"CA"</f>
        <v>CA</v>
      </c>
      <c r="BB551" s="3">
        <v>95148</v>
      </c>
      <c r="BC551" t="str">
        <f t="shared" si="33"/>
        <v>UNITED STATES OF AMERICA</v>
      </c>
      <c r="BD551" t="str">
        <f>""</f>
        <v/>
      </c>
      <c r="BE551" t="str">
        <f>"+14087525436"</f>
        <v>+14087525436</v>
      </c>
      <c r="BF551" t="str">
        <f>""</f>
        <v/>
      </c>
      <c r="BG551" t="str">
        <f>"KAMALA@KAMALALAW.COM"</f>
        <v>KAMALA@KAMALALAW.COM</v>
      </c>
      <c r="BH551" t="str">
        <f>"KAMALA LAW CORPORATION "</f>
        <v xml:space="preserve">KAMALA LAW CORPORATION </v>
      </c>
      <c r="BI551" t="str">
        <f>"CA"</f>
        <v>CA</v>
      </c>
      <c r="BJ551" t="str">
        <f>"SUPREME COURT OF CALIFORNIA "</f>
        <v xml:space="preserve">SUPREME COURT OF CALIFORNIA </v>
      </c>
      <c r="BK551">
        <v>1</v>
      </c>
      <c r="BL551" t="s">
        <v>107</v>
      </c>
      <c r="BM551" t="str">
        <f>"eBay Inc"</f>
        <v>eBay Inc</v>
      </c>
      <c r="BN551" t="s">
        <v>5457</v>
      </c>
      <c r="BP551" t="s">
        <v>651</v>
      </c>
      <c r="BQ551" t="s">
        <v>230</v>
      </c>
      <c r="BR551" t="s">
        <v>141</v>
      </c>
      <c r="BS551" s="5">
        <v>95125</v>
      </c>
      <c r="BT551" s="2">
        <v>120578</v>
      </c>
      <c r="BV551" t="s">
        <v>105</v>
      </c>
      <c r="BW551" s="2">
        <v>120578</v>
      </c>
      <c r="BX551" t="s">
        <v>105</v>
      </c>
      <c r="BZ551" t="s">
        <v>167</v>
      </c>
      <c r="CA551" t="str">
        <f>"7/1/2020 - 6/30/2021"</f>
        <v>7/1/2020 - 6/30/2021</v>
      </c>
      <c r="CF551">
        <v>3</v>
      </c>
      <c r="CG551" t="s">
        <v>98</v>
      </c>
      <c r="CH551" t="s">
        <v>206</v>
      </c>
      <c r="CI551" t="s">
        <v>206</v>
      </c>
      <c r="CL551" t="s">
        <v>108</v>
      </c>
      <c r="CM551" t="s">
        <v>109</v>
      </c>
      <c r="CN551" t="str">
        <f>""</f>
        <v/>
      </c>
      <c r="CO551" t="str">
        <f>""</f>
        <v/>
      </c>
      <c r="CP551" t="str">
        <f>""</f>
        <v/>
      </c>
      <c r="CQ551" t="str">
        <f>""</f>
        <v/>
      </c>
    </row>
    <row r="552" spans="1:96" x14ac:dyDescent="0.2">
      <c r="A552" t="s">
        <v>5533</v>
      </c>
      <c r="B552" t="s">
        <v>96</v>
      </c>
      <c r="C552" s="1">
        <v>44098</v>
      </c>
      <c r="D552" s="1">
        <v>44105</v>
      </c>
      <c r="F552" t="s">
        <v>97</v>
      </c>
      <c r="G552" t="str">
        <f>"Principal Consultant"</f>
        <v>Principal Consultant</v>
      </c>
      <c r="H552" t="s">
        <v>12169</v>
      </c>
      <c r="I552" t="s">
        <v>124</v>
      </c>
      <c r="J552" t="s">
        <v>98</v>
      </c>
      <c r="K552" s="1">
        <v>44098</v>
      </c>
      <c r="L552" s="1">
        <v>45192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 t="s">
        <v>5534</v>
      </c>
      <c r="U552" t="str">
        <f>""</f>
        <v/>
      </c>
      <c r="V552" t="s">
        <v>5535</v>
      </c>
      <c r="W552" t="str">
        <f>"Suite 108"</f>
        <v>Suite 108</v>
      </c>
      <c r="X552" t="s">
        <v>595</v>
      </c>
      <c r="Y552" t="s">
        <v>114</v>
      </c>
      <c r="Z552" s="3">
        <v>75287</v>
      </c>
      <c r="AA552" t="s">
        <v>101</v>
      </c>
      <c r="AC552" s="4" t="str">
        <f>"+19492593696"</f>
        <v>+19492593696</v>
      </c>
      <c r="AE552" t="str">
        <f>"541519"</f>
        <v>541519</v>
      </c>
      <c r="AF552" t="s">
        <v>5536</v>
      </c>
      <c r="AG552" t="s">
        <v>3214</v>
      </c>
      <c r="AH552" t="s">
        <v>920</v>
      </c>
      <c r="AI552" t="s">
        <v>508</v>
      </c>
      <c r="AJ552" t="s">
        <v>5535</v>
      </c>
      <c r="AK552" t="str">
        <f>"Suite 108"</f>
        <v>Suite 108</v>
      </c>
      <c r="AL552" t="s">
        <v>595</v>
      </c>
      <c r="AM552" t="s">
        <v>114</v>
      </c>
      <c r="AN552" s="3">
        <v>75287</v>
      </c>
      <c r="AO552" t="s">
        <v>101</v>
      </c>
      <c r="AQ552" t="str">
        <f>"+19492593696"</f>
        <v>+19492593696</v>
      </c>
      <c r="AS552" t="s">
        <v>5537</v>
      </c>
      <c r="AT552" t="s">
        <v>107</v>
      </c>
      <c r="AU552" t="str">
        <f>"Dunn"</f>
        <v>Dunn</v>
      </c>
      <c r="AV552" t="str">
        <f>"Grant"</f>
        <v>Grant</v>
      </c>
      <c r="AW552" t="str">
        <f>"Alan"</f>
        <v>Alan</v>
      </c>
      <c r="AX552" t="str">
        <f>"800 W. Cummings Park"</f>
        <v>800 W. Cummings Park</v>
      </c>
      <c r="AY552" t="str">
        <f>"Suite 2750"</f>
        <v>Suite 2750</v>
      </c>
      <c r="AZ552" t="str">
        <f>"Woburn"</f>
        <v>Woburn</v>
      </c>
      <c r="BA552" t="str">
        <f>"MA"</f>
        <v>MA</v>
      </c>
      <c r="BB552" s="3">
        <v>1801</v>
      </c>
      <c r="BC552" t="str">
        <f t="shared" si="33"/>
        <v>UNITED STATES OF AMERICA</v>
      </c>
      <c r="BD552" t="str">
        <f>""</f>
        <v/>
      </c>
      <c r="BE552" t="str">
        <f>"+16173347909"</f>
        <v>+16173347909</v>
      </c>
      <c r="BF552" t="str">
        <f>""</f>
        <v/>
      </c>
      <c r="BG552" t="str">
        <f>"grant@raminenilaw.com"</f>
        <v>grant@raminenilaw.com</v>
      </c>
      <c r="BH552" t="str">
        <f>"Ramineni &amp; Shepard, LLC"</f>
        <v>Ramineni &amp; Shepard, LLC</v>
      </c>
      <c r="BI552" t="str">
        <f>"MA"</f>
        <v>MA</v>
      </c>
      <c r="BJ552" t="str">
        <f>"MA Judicial Supreme Court"</f>
        <v>MA Judicial Supreme Court</v>
      </c>
      <c r="BK552">
        <v>1</v>
      </c>
      <c r="BL552" t="s">
        <v>107</v>
      </c>
      <c r="BM552" t="str">
        <f>"Avnet Inc"</f>
        <v>Avnet Inc</v>
      </c>
      <c r="BN552" t="s">
        <v>5538</v>
      </c>
      <c r="BP552" t="s">
        <v>299</v>
      </c>
      <c r="BQ552" t="s">
        <v>257</v>
      </c>
      <c r="BR552" t="s">
        <v>258</v>
      </c>
      <c r="BS552" s="5">
        <v>85034</v>
      </c>
      <c r="BT552" s="2">
        <v>102000</v>
      </c>
      <c r="BV552" t="s">
        <v>105</v>
      </c>
      <c r="BW552" s="2">
        <v>101109</v>
      </c>
      <c r="BX552" t="s">
        <v>105</v>
      </c>
      <c r="BZ552" t="s">
        <v>123</v>
      </c>
      <c r="CA552" t="str">
        <f>"7/1/2020 - 6/30/2021"</f>
        <v>7/1/2020 - 6/30/2021</v>
      </c>
      <c r="CF552">
        <v>1</v>
      </c>
      <c r="CG552" t="s">
        <v>98</v>
      </c>
      <c r="CH552" t="s">
        <v>206</v>
      </c>
      <c r="CI552" t="s">
        <v>206</v>
      </c>
      <c r="CL552" t="s">
        <v>108</v>
      </c>
      <c r="CM552" t="s">
        <v>109</v>
      </c>
      <c r="CN552" t="str">
        <f>""</f>
        <v/>
      </c>
      <c r="CO552" t="str">
        <f>""</f>
        <v/>
      </c>
      <c r="CP552" t="str">
        <f>""</f>
        <v/>
      </c>
      <c r="CQ552" t="str">
        <f>""</f>
        <v/>
      </c>
    </row>
    <row r="553" spans="1:96" x14ac:dyDescent="0.2">
      <c r="A553" t="s">
        <v>5630</v>
      </c>
      <c r="B553" t="s">
        <v>96</v>
      </c>
      <c r="C553" s="1">
        <v>44098</v>
      </c>
      <c r="D553" s="1">
        <v>44105</v>
      </c>
      <c r="F553" t="s">
        <v>97</v>
      </c>
      <c r="G553" t="str">
        <f>"Software Engineer"</f>
        <v>Software Engineer</v>
      </c>
      <c r="H553" t="s">
        <v>12169</v>
      </c>
      <c r="I553" t="s">
        <v>124</v>
      </c>
      <c r="J553" t="s">
        <v>98</v>
      </c>
      <c r="K553" s="1">
        <v>44105</v>
      </c>
      <c r="L553" s="1">
        <v>45199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 t="s">
        <v>5631</v>
      </c>
      <c r="U553" t="str">
        <f>""</f>
        <v/>
      </c>
      <c r="V553" t="s">
        <v>5632</v>
      </c>
      <c r="W553" t="str">
        <f>"Ste. 1300"</f>
        <v>Ste. 1300</v>
      </c>
      <c r="X553" t="s">
        <v>595</v>
      </c>
      <c r="Y553" t="s">
        <v>114</v>
      </c>
      <c r="Z553" s="3">
        <v>75201</v>
      </c>
      <c r="AA553" t="s">
        <v>101</v>
      </c>
      <c r="AC553" s="4" t="str">
        <f>"+14698016191"</f>
        <v>+14698016191</v>
      </c>
      <c r="AE553" t="str">
        <f>"334220"</f>
        <v>334220</v>
      </c>
      <c r="AF553" t="s">
        <v>5633</v>
      </c>
      <c r="AG553" t="s">
        <v>1091</v>
      </c>
      <c r="AI553" t="s">
        <v>5634</v>
      </c>
      <c r="AJ553" t="s">
        <v>5635</v>
      </c>
      <c r="AK553" t="str">
        <f>"Ste. 1300 "</f>
        <v xml:space="preserve">Ste. 1300 </v>
      </c>
      <c r="AL553" t="s">
        <v>595</v>
      </c>
      <c r="AM553" t="s">
        <v>114</v>
      </c>
      <c r="AN553" s="3">
        <v>75201</v>
      </c>
      <c r="AO553" t="s">
        <v>101</v>
      </c>
      <c r="AQ553" t="str">
        <f>"+14698012546"</f>
        <v>+14698012546</v>
      </c>
      <c r="AS553" t="s">
        <v>5636</v>
      </c>
      <c r="AT553" t="s">
        <v>107</v>
      </c>
      <c r="AU553" t="str">
        <f>"PORTNOY"</f>
        <v>PORTNOY</v>
      </c>
      <c r="AV553" t="str">
        <f>"DANIEL"</f>
        <v>DANIEL</v>
      </c>
      <c r="AW553" t="str">
        <f>""</f>
        <v/>
      </c>
      <c r="AX553" t="str">
        <f>"301 CONGRESS AVE. "</f>
        <v xml:space="preserve">301 CONGRESS AVE. </v>
      </c>
      <c r="AY553" t="str">
        <f>"SUITE 1150"</f>
        <v>SUITE 1150</v>
      </c>
      <c r="AZ553" t="str">
        <f>"AUSTIN"</f>
        <v>AUSTIN</v>
      </c>
      <c r="BA553" t="str">
        <f>"TX"</f>
        <v>TX</v>
      </c>
      <c r="BB553" s="3">
        <v>78701</v>
      </c>
      <c r="BC553" t="str">
        <f t="shared" si="33"/>
        <v>UNITED STATES OF AMERICA</v>
      </c>
      <c r="BD553" t="str">
        <f>""</f>
        <v/>
      </c>
      <c r="BE553" t="str">
        <f>"+15123444722"</f>
        <v>+15123444722</v>
      </c>
      <c r="BF553" t="str">
        <f>""</f>
        <v/>
      </c>
      <c r="BG553" t="str">
        <f>"marisol.delacruz@OGLETREEDEAKINS.COM"</f>
        <v>marisol.delacruz@OGLETREEDEAKINS.COM</v>
      </c>
      <c r="BH553" t="str">
        <f>"Ogletree, Deakins, Nash, Smoak &amp; Stewart, P.C."</f>
        <v>Ogletree, Deakins, Nash, Smoak &amp; Stewart, P.C.</v>
      </c>
      <c r="BI553" t="str">
        <f>"TX"</f>
        <v>TX</v>
      </c>
      <c r="BJ553" t="str">
        <f>"SUPREME COURT OF TEXAS"</f>
        <v>SUPREME COURT OF TEXAS</v>
      </c>
      <c r="BK553">
        <v>1</v>
      </c>
      <c r="BL553" t="s">
        <v>102</v>
      </c>
      <c r="BM553" t="str">
        <f>""</f>
        <v/>
      </c>
      <c r="BN553" t="s">
        <v>5637</v>
      </c>
      <c r="BP553" t="s">
        <v>5638</v>
      </c>
      <c r="BQ553" t="s">
        <v>1238</v>
      </c>
      <c r="BR553" t="s">
        <v>127</v>
      </c>
      <c r="BS553" s="5">
        <v>19425</v>
      </c>
      <c r="BT553" s="2">
        <v>110935.97</v>
      </c>
      <c r="BV553" t="s">
        <v>105</v>
      </c>
      <c r="BW553" s="2">
        <v>105851</v>
      </c>
      <c r="BX553" t="s">
        <v>105</v>
      </c>
      <c r="BZ553" t="s">
        <v>123</v>
      </c>
      <c r="CA553" t="str">
        <f>"7/1/2020 - 6/30/2021"</f>
        <v>7/1/2020 - 6/30/2021</v>
      </c>
      <c r="CF553">
        <v>1</v>
      </c>
      <c r="CG553" t="s">
        <v>98</v>
      </c>
      <c r="CH553" t="s">
        <v>206</v>
      </c>
      <c r="CI553" t="s">
        <v>206</v>
      </c>
      <c r="CL553" t="s">
        <v>108</v>
      </c>
      <c r="CM553" t="s">
        <v>109</v>
      </c>
      <c r="CN553" t="str">
        <f>""</f>
        <v/>
      </c>
      <c r="CO553" t="str">
        <f>""</f>
        <v/>
      </c>
      <c r="CP553" t="str">
        <f>""</f>
        <v/>
      </c>
      <c r="CQ553" t="str">
        <f>""</f>
        <v/>
      </c>
    </row>
    <row r="554" spans="1:96" x14ac:dyDescent="0.2">
      <c r="A554" t="s">
        <v>5686</v>
      </c>
      <c r="B554" t="s">
        <v>96</v>
      </c>
      <c r="C554" s="1">
        <v>44098</v>
      </c>
      <c r="D554" s="1">
        <v>44105</v>
      </c>
      <c r="F554" t="s">
        <v>97</v>
      </c>
      <c r="G554" t="str">
        <f>"Web Center Sites Developer"</f>
        <v>Web Center Sites Developer</v>
      </c>
      <c r="H554" t="s">
        <v>12169</v>
      </c>
      <c r="I554" t="s">
        <v>124</v>
      </c>
      <c r="J554" t="s">
        <v>98</v>
      </c>
      <c r="K554" s="1">
        <v>44109</v>
      </c>
      <c r="L554" s="1">
        <v>45203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 t="s">
        <v>5687</v>
      </c>
      <c r="U554" t="str">
        <f>""</f>
        <v/>
      </c>
      <c r="V554" t="s">
        <v>5688</v>
      </c>
      <c r="W554" t="str">
        <f>""</f>
        <v/>
      </c>
      <c r="X554" t="s">
        <v>2078</v>
      </c>
      <c r="Y554" t="s">
        <v>141</v>
      </c>
      <c r="Z554" s="3">
        <v>92618</v>
      </c>
      <c r="AA554" t="s">
        <v>101</v>
      </c>
      <c r="AC554" s="4" t="str">
        <f>"+17812584480"</f>
        <v>+17812584480</v>
      </c>
      <c r="AE554" t="str">
        <f>"541511"</f>
        <v>541511</v>
      </c>
      <c r="AF554" t="s">
        <v>2222</v>
      </c>
      <c r="AG554" t="s">
        <v>5624</v>
      </c>
      <c r="AI554" t="s">
        <v>2501</v>
      </c>
      <c r="AJ554" t="s">
        <v>5689</v>
      </c>
      <c r="AK554" t="str">
        <f>""</f>
        <v/>
      </c>
      <c r="AL554" t="s">
        <v>2078</v>
      </c>
      <c r="AM554" t="s">
        <v>141</v>
      </c>
      <c r="AN554" s="3">
        <v>92618</v>
      </c>
      <c r="AO554" t="s">
        <v>101</v>
      </c>
      <c r="AQ554" t="str">
        <f>"+17812584480"</f>
        <v>+17812584480</v>
      </c>
      <c r="AS554" t="s">
        <v>5690</v>
      </c>
      <c r="AT554" t="s">
        <v>107</v>
      </c>
      <c r="AU554" t="str">
        <f>"WEISBERG"</f>
        <v>WEISBERG</v>
      </c>
      <c r="AV554" t="str">
        <f>"Jeffrey"</f>
        <v>Jeffrey</v>
      </c>
      <c r="AW554" t="str">
        <f>"A."</f>
        <v>A.</v>
      </c>
      <c r="AX554" t="str">
        <f>"32871 Middlebelt Road"</f>
        <v>32871 Middlebelt Road</v>
      </c>
      <c r="AY554" t="str">
        <f>"Suite 100"</f>
        <v>Suite 100</v>
      </c>
      <c r="AZ554" t="str">
        <f>"Farmington Hills"</f>
        <v>Farmington Hills</v>
      </c>
      <c r="BA554" t="str">
        <f>"MI"</f>
        <v>MI</v>
      </c>
      <c r="BB554" s="3">
        <v>48334</v>
      </c>
      <c r="BC554" t="str">
        <f t="shared" si="33"/>
        <v>UNITED STATES OF AMERICA</v>
      </c>
      <c r="BD554" t="str">
        <f>""</f>
        <v/>
      </c>
      <c r="BE554" t="str">
        <f>"+12489320630"</f>
        <v>+12489320630</v>
      </c>
      <c r="BF554" t="str">
        <f>""</f>
        <v/>
      </c>
      <c r="BG554" t="str">
        <f>"sandra@gowda.com"</f>
        <v>sandra@gowda.com</v>
      </c>
      <c r="BH554" t="str">
        <f>"Law Offices Of Amarnath Gowda "</f>
        <v xml:space="preserve">Law Offices Of Amarnath Gowda </v>
      </c>
      <c r="BI554" t="str">
        <f>"MI"</f>
        <v>MI</v>
      </c>
      <c r="BJ554" t="str">
        <f>"Supreme Court"</f>
        <v>Supreme Court</v>
      </c>
      <c r="BK554">
        <v>1</v>
      </c>
      <c r="BL554" t="s">
        <v>107</v>
      </c>
      <c r="BM554" t="str">
        <f>"Anthem "</f>
        <v xml:space="preserve">Anthem </v>
      </c>
      <c r="BN554" t="s">
        <v>5691</v>
      </c>
      <c r="BP554" t="s">
        <v>1109</v>
      </c>
      <c r="BQ554" t="s">
        <v>365</v>
      </c>
      <c r="BR554" t="s">
        <v>141</v>
      </c>
      <c r="BS554" s="5">
        <v>91367</v>
      </c>
      <c r="BT554" s="2">
        <v>126000</v>
      </c>
      <c r="BU554" s="2">
        <v>126001</v>
      </c>
      <c r="BV554" t="s">
        <v>105</v>
      </c>
      <c r="BW554" s="2">
        <v>121160</v>
      </c>
      <c r="BX554" t="s">
        <v>105</v>
      </c>
      <c r="BZ554" t="s">
        <v>123</v>
      </c>
      <c r="CA554" t="str">
        <f>"7/1/2020 - 6/30/2021"</f>
        <v>7/1/2020 - 6/30/2021</v>
      </c>
      <c r="CF554">
        <v>1</v>
      </c>
      <c r="CG554" t="s">
        <v>98</v>
      </c>
      <c r="CH554" t="s">
        <v>206</v>
      </c>
      <c r="CI554" t="s">
        <v>206</v>
      </c>
      <c r="CL554" t="s">
        <v>108</v>
      </c>
      <c r="CM554" t="s">
        <v>109</v>
      </c>
      <c r="CN554" t="str">
        <f>"PEARSON"</f>
        <v>PEARSON</v>
      </c>
      <c r="CO554" t="str">
        <f>"Muriel"</f>
        <v>Muriel</v>
      </c>
      <c r="CP554" t="str">
        <f>"G."</f>
        <v>G.</v>
      </c>
      <c r="CQ554" t="str">
        <f>"Law Offices of Amarnath Gowda"</f>
        <v>Law Offices of Amarnath Gowda</v>
      </c>
      <c r="CR554" t="s">
        <v>985</v>
      </c>
    </row>
    <row r="555" spans="1:96" x14ac:dyDescent="0.2">
      <c r="A555" t="s">
        <v>5748</v>
      </c>
      <c r="B555" t="s">
        <v>96</v>
      </c>
      <c r="C555" s="1">
        <v>44098</v>
      </c>
      <c r="D555" s="1">
        <v>44105</v>
      </c>
      <c r="F555" t="s">
        <v>97</v>
      </c>
      <c r="G555" t="str">
        <f>"Design Architecture"</f>
        <v>Design Architecture</v>
      </c>
      <c r="H555" t="s">
        <v>12215</v>
      </c>
      <c r="I555" t="s">
        <v>3248</v>
      </c>
      <c r="J555" t="s">
        <v>98</v>
      </c>
      <c r="K555" s="1">
        <v>44105</v>
      </c>
      <c r="L555" s="1">
        <v>45199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3393</v>
      </c>
      <c r="U555" t="str">
        <f>""</f>
        <v/>
      </c>
      <c r="V555" t="s">
        <v>3394</v>
      </c>
      <c r="W555" t="str">
        <f>""</f>
        <v/>
      </c>
      <c r="X555" t="s">
        <v>394</v>
      </c>
      <c r="Y555" t="s">
        <v>114</v>
      </c>
      <c r="Z555" s="3">
        <v>77072</v>
      </c>
      <c r="AA555" t="s">
        <v>101</v>
      </c>
      <c r="AC555" s="4" t="str">
        <f>"+12817218465"</f>
        <v>+12817218465</v>
      </c>
      <c r="AE555" t="str">
        <f>"23622"</f>
        <v>23622</v>
      </c>
      <c r="AF555" t="s">
        <v>2346</v>
      </c>
      <c r="AG555" t="s">
        <v>3395</v>
      </c>
      <c r="AI555" t="s">
        <v>3396</v>
      </c>
      <c r="AJ555" t="s">
        <v>3394</v>
      </c>
      <c r="AK555" t="str">
        <f>""</f>
        <v/>
      </c>
      <c r="AL555" t="s">
        <v>394</v>
      </c>
      <c r="AM555" t="s">
        <v>114</v>
      </c>
      <c r="AN555" s="3">
        <v>77072</v>
      </c>
      <c r="AO555" t="s">
        <v>101</v>
      </c>
      <c r="AQ555" t="str">
        <f>"+12817218465"</f>
        <v>+12817218465</v>
      </c>
      <c r="AS555" t="s">
        <v>3397</v>
      </c>
      <c r="AT555" t="s">
        <v>107</v>
      </c>
      <c r="AU555" t="str">
        <f>"Yoo"</f>
        <v>Yoo</v>
      </c>
      <c r="AV555" t="str">
        <f>"Ralph"</f>
        <v>Ralph</v>
      </c>
      <c r="AW555" t="str">
        <f>""</f>
        <v/>
      </c>
      <c r="AX555" t="str">
        <f>"18401 Von Karman Ave"</f>
        <v>18401 Von Karman Ave</v>
      </c>
      <c r="AY555" t="str">
        <f>"Suite 255"</f>
        <v>Suite 255</v>
      </c>
      <c r="AZ555" t="str">
        <f>"Irvine"</f>
        <v>Irvine</v>
      </c>
      <c r="BA555" t="str">
        <f>"CA"</f>
        <v>CA</v>
      </c>
      <c r="BB555" s="3">
        <v>92612</v>
      </c>
      <c r="BC555" t="str">
        <f t="shared" si="33"/>
        <v>UNITED STATES OF AMERICA</v>
      </c>
      <c r="BD555" t="str">
        <f>""</f>
        <v/>
      </c>
      <c r="BE555" t="str">
        <f>"+19492610209"</f>
        <v>+19492610209</v>
      </c>
      <c r="BF555" t="str">
        <f>""</f>
        <v/>
      </c>
      <c r="BG555" t="str">
        <f>"RalphYoo@Fragomen.com"</f>
        <v>RalphYoo@Fragomen.com</v>
      </c>
      <c r="BH555" t="str">
        <f>"Fragomen, Del Rey, Bernsen &amp; Loewy, LLP"</f>
        <v>Fragomen, Del Rey, Bernsen &amp; Loewy, LLP</v>
      </c>
      <c r="BI555" t="str">
        <f>"CA"</f>
        <v>CA</v>
      </c>
      <c r="BJ555" t="str">
        <f>"Supreme Court"</f>
        <v>Supreme Court</v>
      </c>
      <c r="BK555">
        <v>1</v>
      </c>
      <c r="BL555" t="s">
        <v>102</v>
      </c>
      <c r="BM555" t="str">
        <f>""</f>
        <v/>
      </c>
      <c r="BN555" t="s">
        <v>3394</v>
      </c>
      <c r="BP555" t="s">
        <v>394</v>
      </c>
      <c r="BQ555" t="s">
        <v>395</v>
      </c>
      <c r="BR555" t="s">
        <v>114</v>
      </c>
      <c r="BS555" s="5">
        <v>77072</v>
      </c>
      <c r="BT555" s="2">
        <v>59800</v>
      </c>
      <c r="BV555" t="s">
        <v>105</v>
      </c>
      <c r="BW555" s="2">
        <v>52031</v>
      </c>
      <c r="BX555" t="s">
        <v>105</v>
      </c>
      <c r="CA555" t="str">
        <f>""</f>
        <v/>
      </c>
      <c r="CB555" t="s">
        <v>244</v>
      </c>
      <c r="CC555">
        <v>2020</v>
      </c>
      <c r="CD555" t="s">
        <v>1370</v>
      </c>
      <c r="CE555" t="s">
        <v>5749</v>
      </c>
      <c r="CF555">
        <v>1</v>
      </c>
      <c r="CG555" t="s">
        <v>98</v>
      </c>
      <c r="CH555" t="s">
        <v>206</v>
      </c>
      <c r="CI555" t="s">
        <v>206</v>
      </c>
      <c r="CL555" t="s">
        <v>108</v>
      </c>
      <c r="CM555" t="s">
        <v>109</v>
      </c>
      <c r="CN555" t="str">
        <f>"Flores"</f>
        <v>Flores</v>
      </c>
      <c r="CO555" t="str">
        <f>"Ivan"</f>
        <v>Ivan</v>
      </c>
      <c r="CP555" t="str">
        <f>""</f>
        <v/>
      </c>
      <c r="CQ555" t="str">
        <f>"Fragomen"</f>
        <v>Fragomen</v>
      </c>
      <c r="CR555" t="s">
        <v>1316</v>
      </c>
    </row>
    <row r="556" spans="1:96" x14ac:dyDescent="0.2">
      <c r="A556" t="s">
        <v>5780</v>
      </c>
      <c r="B556" t="s">
        <v>96</v>
      </c>
      <c r="C556" s="1">
        <v>44098</v>
      </c>
      <c r="D556" s="1">
        <v>44105</v>
      </c>
      <c r="F556" t="s">
        <v>97</v>
      </c>
      <c r="G556" t="str">
        <f>"Web Developer"</f>
        <v>Web Developer</v>
      </c>
      <c r="H556" t="s">
        <v>12169</v>
      </c>
      <c r="I556" t="s">
        <v>124</v>
      </c>
      <c r="J556" t="s">
        <v>98</v>
      </c>
      <c r="K556" s="1">
        <v>44238</v>
      </c>
      <c r="L556" s="1">
        <v>45333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 t="s">
        <v>5781</v>
      </c>
      <c r="U556" t="str">
        <f>""</f>
        <v/>
      </c>
      <c r="V556" t="s">
        <v>5782</v>
      </c>
      <c r="W556" t="str">
        <f>""</f>
        <v/>
      </c>
      <c r="X556" t="s">
        <v>4181</v>
      </c>
      <c r="Y556" t="s">
        <v>141</v>
      </c>
      <c r="Z556" s="3">
        <v>92373</v>
      </c>
      <c r="AA556" t="s">
        <v>101</v>
      </c>
      <c r="AC556" s="4" t="str">
        <f>"+19097932853"</f>
        <v>+19097932853</v>
      </c>
      <c r="AE556" t="str">
        <f>"511210"</f>
        <v>511210</v>
      </c>
      <c r="AF556" t="s">
        <v>208</v>
      </c>
      <c r="AG556" t="s">
        <v>4182</v>
      </c>
      <c r="AH556" t="s">
        <v>771</v>
      </c>
      <c r="AI556" t="s">
        <v>4183</v>
      </c>
      <c r="AJ556" t="s">
        <v>4180</v>
      </c>
      <c r="AK556" t="str">
        <f>""</f>
        <v/>
      </c>
      <c r="AL556" t="s">
        <v>4181</v>
      </c>
      <c r="AM556" t="s">
        <v>141</v>
      </c>
      <c r="AN556" s="3">
        <v>92373</v>
      </c>
      <c r="AO556" t="s">
        <v>101</v>
      </c>
      <c r="AQ556" t="str">
        <f>"+19097932853"</f>
        <v>+19097932853</v>
      </c>
      <c r="AS556" t="s">
        <v>382</v>
      </c>
      <c r="AT556" t="s">
        <v>107</v>
      </c>
      <c r="AU556" t="str">
        <f>"Manna"</f>
        <v>Manna</v>
      </c>
      <c r="AV556" t="str">
        <f>"Miguel"</f>
        <v>Miguel</v>
      </c>
      <c r="AW556" t="str">
        <f>"A"</f>
        <v>A</v>
      </c>
      <c r="AX556" t="str">
        <f>"8529 Six Forks Rd. Forum IV"</f>
        <v>8529 Six Forks Rd. Forum IV</v>
      </c>
      <c r="AY556" t="str">
        <f>"STE. 600"</f>
        <v>STE. 600</v>
      </c>
      <c r="AZ556" t="str">
        <f>"Raleigh"</f>
        <v>Raleigh</v>
      </c>
      <c r="BA556" t="str">
        <f>"NC"</f>
        <v>NC</v>
      </c>
      <c r="BB556" s="3">
        <v>27615</v>
      </c>
      <c r="BC556" t="str">
        <f t="shared" si="33"/>
        <v>UNITED STATES OF AMERICA</v>
      </c>
      <c r="BD556" t="str">
        <f>""</f>
        <v/>
      </c>
      <c r="BE556" t="str">
        <f>"+1919789700"</f>
        <v>+1919789700</v>
      </c>
      <c r="BF556" t="str">
        <f>""</f>
        <v/>
      </c>
      <c r="BG556" t="str">
        <f>"spencer.hill@ogletree.com"</f>
        <v>spencer.hill@ogletree.com</v>
      </c>
      <c r="BH556" t="str">
        <f>"Ogletree Deakins"</f>
        <v>Ogletree Deakins</v>
      </c>
      <c r="BI556" t="str">
        <f>"NC"</f>
        <v>NC</v>
      </c>
      <c r="BJ556" t="str">
        <f>"NC SUPREME COURT"</f>
        <v>NC SUPREME COURT</v>
      </c>
      <c r="BK556">
        <v>1</v>
      </c>
      <c r="BL556" t="s">
        <v>102</v>
      </c>
      <c r="BM556" t="str">
        <f>""</f>
        <v/>
      </c>
      <c r="BN556" t="s">
        <v>4180</v>
      </c>
      <c r="BP556" t="s">
        <v>4181</v>
      </c>
      <c r="BQ556" t="s">
        <v>3581</v>
      </c>
      <c r="BR556" t="s">
        <v>141</v>
      </c>
      <c r="BS556" s="5">
        <v>92373</v>
      </c>
      <c r="BT556" s="2">
        <v>93080</v>
      </c>
      <c r="BV556" t="s">
        <v>105</v>
      </c>
      <c r="BW556" s="2">
        <v>80704</v>
      </c>
      <c r="BX556" t="s">
        <v>105</v>
      </c>
      <c r="BZ556" t="s">
        <v>167</v>
      </c>
      <c r="CA556" t="str">
        <f t="shared" ref="CA556:CA601" si="34">"7/1/2020 - 6/30/2021"</f>
        <v>7/1/2020 - 6/30/2021</v>
      </c>
      <c r="CF556">
        <v>2</v>
      </c>
      <c r="CG556" t="s">
        <v>98</v>
      </c>
      <c r="CH556" t="s">
        <v>206</v>
      </c>
      <c r="CI556" t="s">
        <v>206</v>
      </c>
      <c r="CL556" t="s">
        <v>108</v>
      </c>
      <c r="CM556" t="s">
        <v>109</v>
      </c>
      <c r="CN556" t="str">
        <f>"Manna"</f>
        <v>Manna</v>
      </c>
      <c r="CO556" t="str">
        <f>"Miguel"</f>
        <v>Miguel</v>
      </c>
      <c r="CP556" t="str">
        <f>"A"</f>
        <v>A</v>
      </c>
      <c r="CQ556" t="str">
        <f>"Ogletree Deakins"</f>
        <v>Ogletree Deakins</v>
      </c>
      <c r="CR556" t="s">
        <v>1899</v>
      </c>
    </row>
    <row r="557" spans="1:96" x14ac:dyDescent="0.2">
      <c r="A557" t="s">
        <v>5838</v>
      </c>
      <c r="B557" t="s">
        <v>96</v>
      </c>
      <c r="C557" s="1">
        <v>44098</v>
      </c>
      <c r="D557" s="1">
        <v>44105</v>
      </c>
      <c r="F557" t="s">
        <v>97</v>
      </c>
      <c r="G557" t="str">
        <f>"Engineer III"</f>
        <v>Engineer III</v>
      </c>
      <c r="H557" t="s">
        <v>12169</v>
      </c>
      <c r="I557" t="s">
        <v>124</v>
      </c>
      <c r="J557" t="s">
        <v>98</v>
      </c>
      <c r="K557" s="1">
        <v>44281</v>
      </c>
      <c r="L557" s="1">
        <v>45376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 t="s">
        <v>3092</v>
      </c>
      <c r="U557" t="str">
        <f>""</f>
        <v/>
      </c>
      <c r="V557" t="s">
        <v>3093</v>
      </c>
      <c r="W557" t="str">
        <f>""</f>
        <v/>
      </c>
      <c r="X557" t="s">
        <v>794</v>
      </c>
      <c r="Y557" t="s">
        <v>352</v>
      </c>
      <c r="Z557" s="3">
        <v>46204</v>
      </c>
      <c r="AA557" t="s">
        <v>101</v>
      </c>
      <c r="AC557" s="4" t="str">
        <f>"+12124761343"</f>
        <v>+12124761343</v>
      </c>
      <c r="AE557" t="str">
        <f>"524114"</f>
        <v>524114</v>
      </c>
      <c r="AF557" t="s">
        <v>3094</v>
      </c>
      <c r="AG557" t="s">
        <v>3095</v>
      </c>
      <c r="AH557" t="s">
        <v>320</v>
      </c>
      <c r="AI557" t="s">
        <v>3096</v>
      </c>
      <c r="AJ557" t="s">
        <v>3097</v>
      </c>
      <c r="AK557" t="str">
        <f>"Suite 200"</f>
        <v>Suite 200</v>
      </c>
      <c r="AL557" t="s">
        <v>1775</v>
      </c>
      <c r="AM557" t="s">
        <v>1776</v>
      </c>
      <c r="AN557" s="3">
        <v>19801</v>
      </c>
      <c r="AO557" t="s">
        <v>101</v>
      </c>
      <c r="AQ557" t="str">
        <f>"+12124761343"</f>
        <v>+12124761343</v>
      </c>
      <c r="AS557" t="s">
        <v>3098</v>
      </c>
      <c r="AT557" t="s">
        <v>107</v>
      </c>
      <c r="AU557" t="str">
        <f>"Love"</f>
        <v>Love</v>
      </c>
      <c r="AV557" t="str">
        <f>"Ian"</f>
        <v>Ian</v>
      </c>
      <c r="AW557" t="str">
        <f>""</f>
        <v/>
      </c>
      <c r="AX557" t="str">
        <f>"230 W Monroe Street"</f>
        <v>230 W Monroe Street</v>
      </c>
      <c r="AY557" t="str">
        <f>"Suite 2800"</f>
        <v>Suite 2800</v>
      </c>
      <c r="AZ557" t="str">
        <f>"Chicago"</f>
        <v>Chicago</v>
      </c>
      <c r="BA557" t="str">
        <f>"IL"</f>
        <v>IL</v>
      </c>
      <c r="BB557" s="3">
        <v>60606</v>
      </c>
      <c r="BC557" t="str">
        <f t="shared" si="33"/>
        <v>UNITED STATES OF AMERICA</v>
      </c>
      <c r="BD557" t="str">
        <f>""</f>
        <v/>
      </c>
      <c r="BE557" t="str">
        <f>"+13127226300"</f>
        <v>+13127226300</v>
      </c>
      <c r="BF557" t="str">
        <f>""</f>
        <v/>
      </c>
      <c r="BG557" t="str">
        <f>"gov@giafirm.com"</f>
        <v>gov@giafirm.com</v>
      </c>
      <c r="BH557" t="str">
        <f>"Global Immigration Associates, P.C."</f>
        <v>Global Immigration Associates, P.C.</v>
      </c>
      <c r="BI557" t="str">
        <f>"IL"</f>
        <v>IL</v>
      </c>
      <c r="BJ557" t="str">
        <f>"Supreme Court"</f>
        <v>Supreme Court</v>
      </c>
      <c r="BK557">
        <v>1</v>
      </c>
      <c r="BL557" t="s">
        <v>102</v>
      </c>
      <c r="BM557" t="str">
        <f>""</f>
        <v/>
      </c>
      <c r="BN557" t="s">
        <v>2766</v>
      </c>
      <c r="BP557" t="s">
        <v>2212</v>
      </c>
      <c r="BQ557" t="s">
        <v>2213</v>
      </c>
      <c r="BR557" t="s">
        <v>135</v>
      </c>
      <c r="BS557" s="5">
        <v>23502</v>
      </c>
      <c r="BT557" s="2">
        <v>79830</v>
      </c>
      <c r="BU557" s="2">
        <v>102228.35</v>
      </c>
      <c r="BV557" t="s">
        <v>105</v>
      </c>
      <c r="BW557" s="2">
        <v>79830</v>
      </c>
      <c r="BX557" t="s">
        <v>105</v>
      </c>
      <c r="BZ557" t="s">
        <v>167</v>
      </c>
      <c r="CA557" t="str">
        <f t="shared" si="34"/>
        <v>7/1/2020 - 6/30/2021</v>
      </c>
      <c r="CF557">
        <v>2</v>
      </c>
      <c r="CG557" t="s">
        <v>98</v>
      </c>
      <c r="CH557" t="s">
        <v>206</v>
      </c>
      <c r="CI557" t="s">
        <v>206</v>
      </c>
      <c r="CL557" t="s">
        <v>108</v>
      </c>
      <c r="CM557" t="s">
        <v>353</v>
      </c>
      <c r="CN557" t="str">
        <f>""</f>
        <v/>
      </c>
      <c r="CO557" t="str">
        <f>""</f>
        <v/>
      </c>
      <c r="CP557" t="str">
        <f>""</f>
        <v/>
      </c>
      <c r="CQ557" t="str">
        <f>""</f>
        <v/>
      </c>
    </row>
    <row r="558" spans="1:96" x14ac:dyDescent="0.2">
      <c r="A558" t="s">
        <v>5841</v>
      </c>
      <c r="B558" t="s">
        <v>96</v>
      </c>
      <c r="C558" s="1">
        <v>44098</v>
      </c>
      <c r="D558" s="1">
        <v>44105</v>
      </c>
      <c r="F558" t="s">
        <v>97</v>
      </c>
      <c r="G558" t="str">
        <f>"Senior Consultant"</f>
        <v>Senior Consultant</v>
      </c>
      <c r="H558" t="s">
        <v>12176</v>
      </c>
      <c r="I558" t="s">
        <v>246</v>
      </c>
      <c r="J558" t="s">
        <v>98</v>
      </c>
      <c r="K558" s="1">
        <v>44218</v>
      </c>
      <c r="L558" s="1">
        <v>45312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 t="s">
        <v>737</v>
      </c>
      <c r="U558" t="str">
        <f>""</f>
        <v/>
      </c>
      <c r="V558" t="s">
        <v>217</v>
      </c>
      <c r="W558" t="str">
        <f>"Suite 2700"</f>
        <v>Suite 2700</v>
      </c>
      <c r="X558" t="s">
        <v>218</v>
      </c>
      <c r="Y558" t="s">
        <v>127</v>
      </c>
      <c r="Z558" s="3">
        <v>19103</v>
      </c>
      <c r="AA558" t="s">
        <v>101</v>
      </c>
      <c r="AC558" s="4" t="str">
        <f>"+16179608170"</f>
        <v>+16179608170</v>
      </c>
      <c r="AE558" t="str">
        <f>"541611"</f>
        <v>541611</v>
      </c>
      <c r="AF558" t="s">
        <v>908</v>
      </c>
      <c r="AG558" t="s">
        <v>909</v>
      </c>
      <c r="AI558" t="s">
        <v>910</v>
      </c>
      <c r="AJ558" t="s">
        <v>217</v>
      </c>
      <c r="AK558" t="str">
        <f>"Suite 2700"</f>
        <v>Suite 2700</v>
      </c>
      <c r="AL558" t="s">
        <v>218</v>
      </c>
      <c r="AM558" t="s">
        <v>127</v>
      </c>
      <c r="AN558" s="3">
        <v>19103</v>
      </c>
      <c r="AO558" t="s">
        <v>101</v>
      </c>
      <c r="AQ558" t="str">
        <f>"+16179608170"</f>
        <v>+16179608170</v>
      </c>
      <c r="AS558" t="s">
        <v>222</v>
      </c>
      <c r="AT558" t="s">
        <v>107</v>
      </c>
      <c r="AU558" t="str">
        <f>"Fitzgerald"</f>
        <v>Fitzgerald</v>
      </c>
      <c r="AV558" t="str">
        <f>"Ayumary"</f>
        <v>Ayumary</v>
      </c>
      <c r="AW558" t="str">
        <f>""</f>
        <v/>
      </c>
      <c r="AX558" t="str">
        <f>"2400 N. Glenville Drive, Building A"</f>
        <v>2400 N. Glenville Drive, Building A</v>
      </c>
      <c r="AY558" t="str">
        <f>"Suite 100"</f>
        <v>Suite 100</v>
      </c>
      <c r="AZ558" t="str">
        <f>"Richardson"</f>
        <v>Richardson</v>
      </c>
      <c r="BA558" t="str">
        <f>"TX"</f>
        <v>TX</v>
      </c>
      <c r="BB558" s="3">
        <v>75082</v>
      </c>
      <c r="BC558" t="str">
        <f t="shared" si="33"/>
        <v>UNITED STATES OF AMERICA</v>
      </c>
      <c r="BD558" t="str">
        <f>""</f>
        <v/>
      </c>
      <c r="BE558" t="str">
        <f>"+19727296182"</f>
        <v>+19727296182</v>
      </c>
      <c r="BF558" t="str">
        <f>""</f>
        <v/>
      </c>
      <c r="BG558" t="str">
        <f>"teamayu@balglobal.com"</f>
        <v>teamayu@balglobal.com</v>
      </c>
      <c r="BH558" t="str">
        <f>"Berry Appleman &amp; Leiden LLP"</f>
        <v>Berry Appleman &amp; Leiden LLP</v>
      </c>
      <c r="BI558" t="str">
        <f>"TX"</f>
        <v>TX</v>
      </c>
      <c r="BJ558" t="str">
        <f>"Supreme Court of Texas"</f>
        <v>Supreme Court of Texas</v>
      </c>
      <c r="BK558">
        <v>1</v>
      </c>
      <c r="BL558" t="s">
        <v>107</v>
      </c>
      <c r="BM558" t="str">
        <f>"Toyota Motor Sales USA Inc. "</f>
        <v xml:space="preserve">Toyota Motor Sales USA Inc. </v>
      </c>
      <c r="BN558" t="s">
        <v>648</v>
      </c>
      <c r="BP558" t="s">
        <v>297</v>
      </c>
      <c r="BQ558" t="s">
        <v>556</v>
      </c>
      <c r="BR558" t="s">
        <v>114</v>
      </c>
      <c r="BS558" s="5" t="s">
        <v>12317</v>
      </c>
      <c r="BT558" s="2">
        <v>149500</v>
      </c>
      <c r="BV558" t="s">
        <v>105</v>
      </c>
      <c r="BW558" s="2">
        <v>110344</v>
      </c>
      <c r="BX558" t="s">
        <v>105</v>
      </c>
      <c r="BZ558" t="s">
        <v>123</v>
      </c>
      <c r="CA558" t="str">
        <f t="shared" si="34"/>
        <v>7/1/2020 - 6/30/2021</v>
      </c>
      <c r="CF558">
        <v>1</v>
      </c>
      <c r="CG558" t="s">
        <v>98</v>
      </c>
      <c r="CH558" t="s">
        <v>206</v>
      </c>
      <c r="CI558" t="s">
        <v>206</v>
      </c>
      <c r="CL558" t="s">
        <v>108</v>
      </c>
      <c r="CM558" t="s">
        <v>109</v>
      </c>
      <c r="CN558" t="str">
        <f>"Dennis"</f>
        <v>Dennis</v>
      </c>
      <c r="CO558" t="str">
        <f>"Ashley"</f>
        <v>Ashley</v>
      </c>
      <c r="CP558" t="str">
        <f>"N"</f>
        <v>N</v>
      </c>
      <c r="CQ558" t="str">
        <f>"Berry Appleman &amp; Leiden LLP"</f>
        <v>Berry Appleman &amp; Leiden LLP</v>
      </c>
      <c r="CR558" t="s">
        <v>913</v>
      </c>
    </row>
    <row r="559" spans="1:96" x14ac:dyDescent="0.2">
      <c r="A559" t="s">
        <v>5868</v>
      </c>
      <c r="B559" t="s">
        <v>96</v>
      </c>
      <c r="C559" s="1">
        <v>44098</v>
      </c>
      <c r="D559" s="1">
        <v>44105</v>
      </c>
      <c r="F559" t="s">
        <v>97</v>
      </c>
      <c r="G559" t="str">
        <f>"Computer Systems Analysts - KBGFJG100100-4"</f>
        <v>Computer Systems Analysts - KBGFJG100100-4</v>
      </c>
      <c r="H559" t="s">
        <v>12181</v>
      </c>
      <c r="I559" t="s">
        <v>110</v>
      </c>
      <c r="J559" t="s">
        <v>98</v>
      </c>
      <c r="K559" s="1">
        <v>44105</v>
      </c>
      <c r="L559" s="1">
        <v>45199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 t="s">
        <v>697</v>
      </c>
      <c r="U559" t="str">
        <f>""</f>
        <v/>
      </c>
      <c r="V559" t="s">
        <v>698</v>
      </c>
      <c r="W559" t="str">
        <f>"Suite 2222"</f>
        <v>Suite 2222</v>
      </c>
      <c r="X559" t="s">
        <v>699</v>
      </c>
      <c r="Y559" t="s">
        <v>100</v>
      </c>
      <c r="Z559" s="3">
        <v>7094</v>
      </c>
      <c r="AA559" t="s">
        <v>101</v>
      </c>
      <c r="AC559" s="4" t="str">
        <f>"+12018723003"</f>
        <v>+12018723003</v>
      </c>
      <c r="AD559">
        <v>0</v>
      </c>
      <c r="AE559" t="str">
        <f>"541211"</f>
        <v>541211</v>
      </c>
      <c r="AF559" t="s">
        <v>700</v>
      </c>
      <c r="AG559" t="s">
        <v>701</v>
      </c>
      <c r="AH559" t="s">
        <v>702</v>
      </c>
      <c r="AI559" t="s">
        <v>703</v>
      </c>
      <c r="AJ559" t="s">
        <v>698</v>
      </c>
      <c r="AK559" t="str">
        <f>"Suite 2222"</f>
        <v>Suite 2222</v>
      </c>
      <c r="AL559" t="s">
        <v>699</v>
      </c>
      <c r="AM559" t="s">
        <v>100</v>
      </c>
      <c r="AN559" s="3">
        <v>7094</v>
      </c>
      <c r="AO559" t="s">
        <v>101</v>
      </c>
      <c r="AQ559" t="str">
        <f>"+12018723003"</f>
        <v>+12018723003</v>
      </c>
      <c r="AR559">
        <v>0</v>
      </c>
      <c r="AS559" t="s">
        <v>704</v>
      </c>
      <c r="AT559" t="s">
        <v>102</v>
      </c>
      <c r="AU559" t="str">
        <f>""</f>
        <v/>
      </c>
      <c r="AV559" t="str">
        <f>""</f>
        <v/>
      </c>
      <c r="AW559" t="str">
        <f>""</f>
        <v/>
      </c>
      <c r="AX559" t="str">
        <f>""</f>
        <v/>
      </c>
      <c r="AY559" t="str">
        <f>""</f>
        <v/>
      </c>
      <c r="AZ559" t="str">
        <f>""</f>
        <v/>
      </c>
      <c r="BA559" t="str">
        <f>""</f>
        <v/>
      </c>
      <c r="BC559" t="str">
        <f>""</f>
        <v/>
      </c>
      <c r="BD559" t="str">
        <f>""</f>
        <v/>
      </c>
      <c r="BE559" t="str">
        <f>""</f>
        <v/>
      </c>
      <c r="BF559" t="str">
        <f>""</f>
        <v/>
      </c>
      <c r="BG559" t="str">
        <f>""</f>
        <v/>
      </c>
      <c r="BH559" t="str">
        <f>""</f>
        <v/>
      </c>
      <c r="BI559" t="str">
        <f>""</f>
        <v/>
      </c>
      <c r="BJ559" t="str">
        <f>""</f>
        <v/>
      </c>
      <c r="BK559">
        <v>1</v>
      </c>
      <c r="BL559" t="s">
        <v>102</v>
      </c>
      <c r="BM559" t="str">
        <f>""</f>
        <v/>
      </c>
      <c r="BN559" t="s">
        <v>5869</v>
      </c>
      <c r="BO559" t="s">
        <v>5870</v>
      </c>
      <c r="BP559" t="s">
        <v>1213</v>
      </c>
      <c r="BQ559" t="s">
        <v>1214</v>
      </c>
      <c r="BR559" t="s">
        <v>100</v>
      </c>
      <c r="BS559" s="5">
        <v>7310</v>
      </c>
      <c r="BT559" s="2">
        <v>90000</v>
      </c>
      <c r="BV559" t="s">
        <v>105</v>
      </c>
      <c r="BW559" s="2">
        <v>70470</v>
      </c>
      <c r="BX559" t="s">
        <v>105</v>
      </c>
      <c r="BZ559" t="s">
        <v>191</v>
      </c>
      <c r="CA559" t="str">
        <f t="shared" si="34"/>
        <v>7/1/2020 - 6/30/2021</v>
      </c>
      <c r="CF559">
        <v>1</v>
      </c>
      <c r="CG559" t="s">
        <v>98</v>
      </c>
      <c r="CH559" t="s">
        <v>206</v>
      </c>
      <c r="CI559" t="s">
        <v>206</v>
      </c>
      <c r="CL559" t="s">
        <v>108</v>
      </c>
      <c r="CM559" t="s">
        <v>109</v>
      </c>
      <c r="CN559" t="str">
        <f>"CONFORTI"</f>
        <v>CONFORTI</v>
      </c>
      <c r="CO559" t="str">
        <f>"JOSEPH"</f>
        <v>JOSEPH</v>
      </c>
      <c r="CP559" t="str">
        <f>"B"</f>
        <v>B</v>
      </c>
      <c r="CQ559" t="str">
        <f>"EY LAW LLP"</f>
        <v>EY LAW LLP</v>
      </c>
      <c r="CR559" t="s">
        <v>706</v>
      </c>
    </row>
    <row r="560" spans="1:96" x14ac:dyDescent="0.2">
      <c r="A560" t="s">
        <v>5908</v>
      </c>
      <c r="B560" t="s">
        <v>96</v>
      </c>
      <c r="C560" s="1">
        <v>44098</v>
      </c>
      <c r="D560" s="1">
        <v>44105</v>
      </c>
      <c r="F560" t="s">
        <v>97</v>
      </c>
      <c r="G560" t="str">
        <f>"Senior Manufacturing Controls Engineer"</f>
        <v>Senior Manufacturing Controls Engineer</v>
      </c>
      <c r="H560" t="s">
        <v>12179</v>
      </c>
      <c r="I560" t="s">
        <v>1357</v>
      </c>
      <c r="J560" t="s">
        <v>98</v>
      </c>
      <c r="K560" s="1">
        <v>44130</v>
      </c>
      <c r="L560" s="1">
        <v>45224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3499</v>
      </c>
      <c r="U560" t="str">
        <f>"Lucid Motors USA, Inc."</f>
        <v>Lucid Motors USA, Inc.</v>
      </c>
      <c r="V560" t="s">
        <v>4828</v>
      </c>
      <c r="W560" t="str">
        <f>""</f>
        <v/>
      </c>
      <c r="X560" t="s">
        <v>308</v>
      </c>
      <c r="Y560" t="s">
        <v>141</v>
      </c>
      <c r="Z560" s="3">
        <v>94560</v>
      </c>
      <c r="AA560" t="s">
        <v>101</v>
      </c>
      <c r="AB560" t="s">
        <v>1246</v>
      </c>
      <c r="AC560" s="4" t="str">
        <f>"+16508028181"</f>
        <v>+16508028181</v>
      </c>
      <c r="AD560">
        <v>722</v>
      </c>
      <c r="AE560" t="str">
        <f>"336111"</f>
        <v>336111</v>
      </c>
      <c r="AF560" t="s">
        <v>3500</v>
      </c>
      <c r="AG560" t="s">
        <v>4224</v>
      </c>
      <c r="AH560" t="s">
        <v>1663</v>
      </c>
      <c r="AI560" t="s">
        <v>3502</v>
      </c>
      <c r="AJ560" t="s">
        <v>3402</v>
      </c>
      <c r="AK560" t="str">
        <f>""</f>
        <v/>
      </c>
      <c r="AL560" t="s">
        <v>308</v>
      </c>
      <c r="AM560" t="s">
        <v>141</v>
      </c>
      <c r="AN560" s="3">
        <v>94560</v>
      </c>
      <c r="AO560" t="s">
        <v>101</v>
      </c>
      <c r="AQ560" t="str">
        <f>"+16508028181"</f>
        <v>+16508028181</v>
      </c>
      <c r="AS560" t="s">
        <v>3504</v>
      </c>
      <c r="AT560" t="s">
        <v>107</v>
      </c>
      <c r="AU560" t="str">
        <f>"Gammon"</f>
        <v>Gammon</v>
      </c>
      <c r="AV560" t="str">
        <f>"Juli"</f>
        <v>Juli</v>
      </c>
      <c r="AW560" t="str">
        <f>"A"</f>
        <v>A</v>
      </c>
      <c r="AX560" t="str">
        <f>"90 Montgomery Street"</f>
        <v>90 Montgomery Street</v>
      </c>
      <c r="AY560" t="str">
        <f>"8th Floor"</f>
        <v>8th Floor</v>
      </c>
      <c r="AZ560" t="str">
        <f>"San Francisco"</f>
        <v>San Francisco</v>
      </c>
      <c r="BA560" t="str">
        <f>"CA"</f>
        <v>CA</v>
      </c>
      <c r="BB560" s="3">
        <v>94105</v>
      </c>
      <c r="BC560" t="str">
        <f>"UNITED STATES OF AMERICA"</f>
        <v>UNITED STATES OF AMERICA</v>
      </c>
      <c r="BD560" t="str">
        <f>""</f>
        <v/>
      </c>
      <c r="BE560" t="str">
        <f>"+14159759800"</f>
        <v>+14159759800</v>
      </c>
      <c r="BF560" t="str">
        <f>""</f>
        <v/>
      </c>
      <c r="BG560" t="str">
        <f>"flag-sf2@tsmimmigration.com"</f>
        <v>flag-sf2@tsmimmigration.com</v>
      </c>
      <c r="BH560" t="str">
        <f>"Tafapolsky Smith Mehlman LLP"</f>
        <v>Tafapolsky Smith Mehlman LLP</v>
      </c>
      <c r="BI560" t="str">
        <f>"CA"</f>
        <v>CA</v>
      </c>
      <c r="BJ560" t="str">
        <f>"Supreme Court"</f>
        <v>Supreme Court</v>
      </c>
      <c r="BK560">
        <v>1</v>
      </c>
      <c r="BL560" t="s">
        <v>102</v>
      </c>
      <c r="BM560" t="str">
        <f>""</f>
        <v/>
      </c>
      <c r="BN560" t="s">
        <v>3402</v>
      </c>
      <c r="BP560" t="s">
        <v>308</v>
      </c>
      <c r="BQ560" t="s">
        <v>419</v>
      </c>
      <c r="BR560" t="s">
        <v>141</v>
      </c>
      <c r="BS560" s="5">
        <v>94560</v>
      </c>
      <c r="BT560" s="2">
        <v>145000</v>
      </c>
      <c r="BV560" t="s">
        <v>105</v>
      </c>
      <c r="BW560" s="2">
        <v>141398</v>
      </c>
      <c r="BX560" t="s">
        <v>105</v>
      </c>
      <c r="BZ560" t="s">
        <v>159</v>
      </c>
      <c r="CA560" t="str">
        <f t="shared" si="34"/>
        <v>7/1/2020 - 6/30/2021</v>
      </c>
      <c r="CF560">
        <v>1</v>
      </c>
      <c r="CG560" t="s">
        <v>98</v>
      </c>
      <c r="CH560" t="s">
        <v>206</v>
      </c>
      <c r="CI560" t="s">
        <v>206</v>
      </c>
      <c r="CL560" t="s">
        <v>108</v>
      </c>
      <c r="CM560" t="s">
        <v>109</v>
      </c>
      <c r="CN560" t="str">
        <f>"Amogan [A518-D407]"</f>
        <v>Amogan [A518-D407]</v>
      </c>
      <c r="CO560" t="str">
        <f>"Paul "</f>
        <v xml:space="preserve">Paul </v>
      </c>
      <c r="CP560" t="str">
        <f>"A"</f>
        <v>A</v>
      </c>
      <c r="CQ560" t="str">
        <f>"Tafapolsky Smith Mehlman LLP"</f>
        <v>Tafapolsky Smith Mehlman LLP</v>
      </c>
      <c r="CR560" t="s">
        <v>3652</v>
      </c>
    </row>
    <row r="561" spans="1:96" x14ac:dyDescent="0.2">
      <c r="A561" t="s">
        <v>5920</v>
      </c>
      <c r="B561" t="s">
        <v>96</v>
      </c>
      <c r="C561" s="1">
        <v>44098</v>
      </c>
      <c r="D561" s="1">
        <v>44105</v>
      </c>
      <c r="F561" t="s">
        <v>97</v>
      </c>
      <c r="G561" t="str">
        <f>"Investment Associate"</f>
        <v>Investment Associate</v>
      </c>
      <c r="H561" t="s">
        <v>12213</v>
      </c>
      <c r="I561" t="s">
        <v>493</v>
      </c>
      <c r="J561" t="s">
        <v>98</v>
      </c>
      <c r="K561" s="1">
        <v>44248</v>
      </c>
      <c r="L561" s="1">
        <v>45342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4177</v>
      </c>
      <c r="U561" t="str">
        <f>""</f>
        <v/>
      </c>
      <c r="V561" t="s">
        <v>4178</v>
      </c>
      <c r="W561" t="str">
        <f>"Page-Robinson Hall, OISSS"</f>
        <v>Page-Robinson Hall, OISSS</v>
      </c>
      <c r="X561" t="s">
        <v>856</v>
      </c>
      <c r="Y561" t="s">
        <v>857</v>
      </c>
      <c r="Z561" s="3">
        <v>2912</v>
      </c>
      <c r="AA561" t="s">
        <v>101</v>
      </c>
      <c r="AC561" s="4" t="str">
        <f>"+14018632427"</f>
        <v>+14018632427</v>
      </c>
      <c r="AE561" t="str">
        <f>"611310"</f>
        <v>611310</v>
      </c>
      <c r="AF561" t="s">
        <v>4115</v>
      </c>
      <c r="AG561" t="s">
        <v>4116</v>
      </c>
      <c r="AI561" t="s">
        <v>4028</v>
      </c>
      <c r="AJ561" t="s">
        <v>4117</v>
      </c>
      <c r="AK561" t="str">
        <f>"69 Brown Street, Box 1906"</f>
        <v>69 Brown Street, Box 1906</v>
      </c>
      <c r="AL561" t="s">
        <v>856</v>
      </c>
      <c r="AM561" t="s">
        <v>857</v>
      </c>
      <c r="AN561" s="3">
        <v>2912</v>
      </c>
      <c r="AO561" t="s">
        <v>101</v>
      </c>
      <c r="AQ561" t="str">
        <f>"+14018632427"</f>
        <v>+14018632427</v>
      </c>
      <c r="AS561" t="s">
        <v>4118</v>
      </c>
      <c r="AT561" t="s">
        <v>102</v>
      </c>
      <c r="AU561" t="str">
        <f>""</f>
        <v/>
      </c>
      <c r="AV561" t="str">
        <f>""</f>
        <v/>
      </c>
      <c r="AW561" t="str">
        <f>""</f>
        <v/>
      </c>
      <c r="AX561" t="str">
        <f>""</f>
        <v/>
      </c>
      <c r="AY561" t="str">
        <f>""</f>
        <v/>
      </c>
      <c r="AZ561" t="str">
        <f>""</f>
        <v/>
      </c>
      <c r="BA561" t="str">
        <f>""</f>
        <v/>
      </c>
      <c r="BC561" t="str">
        <f>""</f>
        <v/>
      </c>
      <c r="BD561" t="str">
        <f>""</f>
        <v/>
      </c>
      <c r="BE561" t="str">
        <f>""</f>
        <v/>
      </c>
      <c r="BF561" t="str">
        <f>""</f>
        <v/>
      </c>
      <c r="BG561" t="str">
        <f>""</f>
        <v/>
      </c>
      <c r="BH561" t="str">
        <f>""</f>
        <v/>
      </c>
      <c r="BI561" t="str">
        <f>""</f>
        <v/>
      </c>
      <c r="BJ561" t="str">
        <f>""</f>
        <v/>
      </c>
      <c r="BK561">
        <v>1</v>
      </c>
      <c r="BL561" t="s">
        <v>102</v>
      </c>
      <c r="BM561" t="str">
        <f>""</f>
        <v/>
      </c>
      <c r="BN561" t="s">
        <v>5921</v>
      </c>
      <c r="BO561" t="s">
        <v>5922</v>
      </c>
      <c r="BP561" t="s">
        <v>856</v>
      </c>
      <c r="BQ561" t="s">
        <v>2947</v>
      </c>
      <c r="BR561" t="s">
        <v>857</v>
      </c>
      <c r="BS561" s="5">
        <v>2903</v>
      </c>
      <c r="BT561" s="2">
        <v>100000</v>
      </c>
      <c r="BV561" t="s">
        <v>105</v>
      </c>
      <c r="BW561" s="2">
        <v>56576</v>
      </c>
      <c r="BX561" t="s">
        <v>105</v>
      </c>
      <c r="BZ561" t="s">
        <v>191</v>
      </c>
      <c r="CA561" t="str">
        <f t="shared" si="34"/>
        <v>7/1/2020 - 6/30/2021</v>
      </c>
      <c r="CF561">
        <v>1</v>
      </c>
      <c r="CG561" t="s">
        <v>98</v>
      </c>
      <c r="CH561" t="s">
        <v>206</v>
      </c>
      <c r="CI561" t="s">
        <v>206</v>
      </c>
      <c r="CL561" t="s">
        <v>108</v>
      </c>
      <c r="CM561" t="s">
        <v>109</v>
      </c>
      <c r="CN561" t="str">
        <f>""</f>
        <v/>
      </c>
      <c r="CO561" t="str">
        <f>""</f>
        <v/>
      </c>
      <c r="CP561" t="str">
        <f>""</f>
        <v/>
      </c>
      <c r="CQ561" t="str">
        <f>""</f>
        <v/>
      </c>
    </row>
    <row r="562" spans="1:96" x14ac:dyDescent="0.2">
      <c r="A562" t="s">
        <v>5925</v>
      </c>
      <c r="B562" t="s">
        <v>96</v>
      </c>
      <c r="C562" s="1">
        <v>44098</v>
      </c>
      <c r="D562" s="1">
        <v>44105</v>
      </c>
      <c r="F562" t="s">
        <v>97</v>
      </c>
      <c r="G562" t="str">
        <f>"Software Developer"</f>
        <v>Software Developer</v>
      </c>
      <c r="H562" t="s">
        <v>12169</v>
      </c>
      <c r="I562" t="s">
        <v>124</v>
      </c>
      <c r="J562" t="s">
        <v>98</v>
      </c>
      <c r="K562" s="1">
        <v>44105</v>
      </c>
      <c r="L562" s="1">
        <v>45199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5926</v>
      </c>
      <c r="U562" t="str">
        <f>""</f>
        <v/>
      </c>
      <c r="V562" t="s">
        <v>5927</v>
      </c>
      <c r="W562" t="str">
        <f>"Suite 2010"</f>
        <v>Suite 2010</v>
      </c>
      <c r="X562" t="s">
        <v>483</v>
      </c>
      <c r="Y562" t="s">
        <v>114</v>
      </c>
      <c r="Z562" s="3">
        <v>75063</v>
      </c>
      <c r="AA562" t="s">
        <v>101</v>
      </c>
      <c r="AC562" s="4" t="str">
        <f>"+14699554432"</f>
        <v>+14699554432</v>
      </c>
      <c r="AE562" t="str">
        <f>"541511"</f>
        <v>541511</v>
      </c>
      <c r="AF562" t="s">
        <v>1245</v>
      </c>
      <c r="AG562" t="s">
        <v>5349</v>
      </c>
      <c r="AH562" t="s">
        <v>714</v>
      </c>
      <c r="AI562" t="s">
        <v>4107</v>
      </c>
      <c r="AJ562" t="s">
        <v>5927</v>
      </c>
      <c r="AK562" t="str">
        <f>"Suite 2010"</f>
        <v>Suite 2010</v>
      </c>
      <c r="AL562" t="s">
        <v>483</v>
      </c>
      <c r="AM562" t="s">
        <v>114</v>
      </c>
      <c r="AN562" s="3">
        <v>75063</v>
      </c>
      <c r="AO562" t="s">
        <v>101</v>
      </c>
      <c r="AQ562" t="str">
        <f>"+14699554432"</f>
        <v>+14699554432</v>
      </c>
      <c r="AS562" t="s">
        <v>5928</v>
      </c>
      <c r="AT562" t="s">
        <v>102</v>
      </c>
      <c r="AU562" t="str">
        <f>""</f>
        <v/>
      </c>
      <c r="AV562" t="str">
        <f>""</f>
        <v/>
      </c>
      <c r="AW562" t="str">
        <f>""</f>
        <v/>
      </c>
      <c r="AX562" t="str">
        <f>""</f>
        <v/>
      </c>
      <c r="AY562" t="str">
        <f>""</f>
        <v/>
      </c>
      <c r="AZ562" t="str">
        <f>""</f>
        <v/>
      </c>
      <c r="BA562" t="str">
        <f>""</f>
        <v/>
      </c>
      <c r="BC562" t="str">
        <f>""</f>
        <v/>
      </c>
      <c r="BD562" t="str">
        <f>""</f>
        <v/>
      </c>
      <c r="BE562" t="str">
        <f>""</f>
        <v/>
      </c>
      <c r="BF562" t="str">
        <f>""</f>
        <v/>
      </c>
      <c r="BG562" t="str">
        <f>""</f>
        <v/>
      </c>
      <c r="BH562" t="str">
        <f>""</f>
        <v/>
      </c>
      <c r="BI562" t="str">
        <f>""</f>
        <v/>
      </c>
      <c r="BJ562" t="str">
        <f>""</f>
        <v/>
      </c>
      <c r="BK562">
        <v>1</v>
      </c>
      <c r="BL562" t="s">
        <v>102</v>
      </c>
      <c r="BM562" t="str">
        <f>""</f>
        <v/>
      </c>
      <c r="BN562" t="s">
        <v>5927</v>
      </c>
      <c r="BO562" t="s">
        <v>1257</v>
      </c>
      <c r="BP562" t="s">
        <v>483</v>
      </c>
      <c r="BQ562" t="s">
        <v>484</v>
      </c>
      <c r="BR562" t="s">
        <v>114</v>
      </c>
      <c r="BS562" s="5">
        <v>75063</v>
      </c>
      <c r="BT562" s="2">
        <v>76752</v>
      </c>
      <c r="BU562" s="2">
        <v>76800</v>
      </c>
      <c r="BV562" t="s">
        <v>105</v>
      </c>
      <c r="BW562" s="2">
        <v>76752</v>
      </c>
      <c r="BX562" t="s">
        <v>105</v>
      </c>
      <c r="BZ562" t="s">
        <v>191</v>
      </c>
      <c r="CA562" t="str">
        <f t="shared" si="34"/>
        <v>7/1/2020 - 6/30/2021</v>
      </c>
      <c r="CF562">
        <v>1</v>
      </c>
      <c r="CG562" t="s">
        <v>98</v>
      </c>
      <c r="CH562" t="s">
        <v>206</v>
      </c>
      <c r="CI562" t="s">
        <v>206</v>
      </c>
      <c r="CL562" t="s">
        <v>108</v>
      </c>
      <c r="CM562" t="s">
        <v>109</v>
      </c>
      <c r="CN562" t="str">
        <f>"Kumar"</f>
        <v>Kumar</v>
      </c>
      <c r="CO562" t="str">
        <f>"Satish"</f>
        <v>Satish</v>
      </c>
      <c r="CP562" t="str">
        <f>"G"</f>
        <v>G</v>
      </c>
      <c r="CQ562" t="str">
        <f>"10Bits, LLC"</f>
        <v>10Bits, LLC</v>
      </c>
      <c r="CR562" t="s">
        <v>5928</v>
      </c>
    </row>
    <row r="563" spans="1:96" x14ac:dyDescent="0.2">
      <c r="A563" t="s">
        <v>5937</v>
      </c>
      <c r="B563" t="s">
        <v>96</v>
      </c>
      <c r="C563" s="1">
        <v>44098</v>
      </c>
      <c r="D563" s="1">
        <v>44105</v>
      </c>
      <c r="F563" t="s">
        <v>97</v>
      </c>
      <c r="G563" t="str">
        <f>"Senior Engineer"</f>
        <v>Senior Engineer</v>
      </c>
      <c r="H563" t="s">
        <v>12205</v>
      </c>
      <c r="I563" t="s">
        <v>665</v>
      </c>
      <c r="J563" t="s">
        <v>98</v>
      </c>
      <c r="K563" s="1">
        <v>44131</v>
      </c>
      <c r="L563" s="1">
        <v>45225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 t="s">
        <v>5938</v>
      </c>
      <c r="U563" t="str">
        <f>""</f>
        <v/>
      </c>
      <c r="V563" t="s">
        <v>5939</v>
      </c>
      <c r="W563" t="str">
        <f>"19TH FLOOR"</f>
        <v>19TH FLOOR</v>
      </c>
      <c r="X563" t="s">
        <v>189</v>
      </c>
      <c r="Y563" t="s">
        <v>190</v>
      </c>
      <c r="Z563" s="3">
        <v>10010</v>
      </c>
      <c r="AA563" t="s">
        <v>101</v>
      </c>
      <c r="AC563" s="4" t="str">
        <f>"+19176618268"</f>
        <v>+19176618268</v>
      </c>
      <c r="AD563">
        <v>0</v>
      </c>
      <c r="AE563" t="str">
        <f>"541330"</f>
        <v>541330</v>
      </c>
      <c r="AF563" t="s">
        <v>5940</v>
      </c>
      <c r="AG563" t="s">
        <v>476</v>
      </c>
      <c r="AI563" t="s">
        <v>910</v>
      </c>
      <c r="AJ563" t="s">
        <v>5941</v>
      </c>
      <c r="AK563" t="str">
        <f>""</f>
        <v/>
      </c>
      <c r="AL563" t="s">
        <v>277</v>
      </c>
      <c r="AM563" t="s">
        <v>190</v>
      </c>
      <c r="AN563" s="3">
        <v>10010</v>
      </c>
      <c r="AO563" t="s">
        <v>101</v>
      </c>
      <c r="AQ563" t="str">
        <f>"+19176618072"</f>
        <v>+19176618072</v>
      </c>
      <c r="AS563" t="s">
        <v>5942</v>
      </c>
      <c r="AT563" t="s">
        <v>107</v>
      </c>
      <c r="AU563" t="str">
        <f>"Gregorio"</f>
        <v>Gregorio</v>
      </c>
      <c r="AV563" t="str">
        <f>"Christopher"</f>
        <v>Christopher</v>
      </c>
      <c r="AW563" t="str">
        <f>""</f>
        <v/>
      </c>
      <c r="AX563" t="str">
        <f>"1400 Broadway"</f>
        <v>1400 Broadway</v>
      </c>
      <c r="AY563" t="str">
        <f>""</f>
        <v/>
      </c>
      <c r="AZ563" t="str">
        <f>"New York"</f>
        <v>New York</v>
      </c>
      <c r="BA563" t="str">
        <f>"NY"</f>
        <v>NY</v>
      </c>
      <c r="BB563" s="3">
        <v>10018</v>
      </c>
      <c r="BC563" t="str">
        <f t="shared" ref="BC563:BC575" si="35">"UNITED STATES OF AMERICA"</f>
        <v>UNITED STATES OF AMERICA</v>
      </c>
      <c r="BD563" t="str">
        <f>""</f>
        <v/>
      </c>
      <c r="BE563" t="str">
        <f>"+12126888555"</f>
        <v>+12126888555</v>
      </c>
      <c r="BF563" t="str">
        <f>""</f>
        <v/>
      </c>
      <c r="BG563" t="str">
        <f>"MLeos@fragomen.com"</f>
        <v>MLeos@fragomen.com</v>
      </c>
      <c r="BH563" t="str">
        <f>"Fragomen, Del Rey, Bernsen &amp; Loewy, LLP"</f>
        <v>Fragomen, Del Rey, Bernsen &amp; Loewy, LLP</v>
      </c>
      <c r="BI563" t="str">
        <f>"NY"</f>
        <v>NY</v>
      </c>
      <c r="BJ563" t="str">
        <f>"Supreme Court"</f>
        <v>Supreme Court</v>
      </c>
      <c r="BK563">
        <v>1</v>
      </c>
      <c r="BL563" t="s">
        <v>102</v>
      </c>
      <c r="BM563" t="str">
        <f>""</f>
        <v/>
      </c>
      <c r="BN563" t="s">
        <v>5943</v>
      </c>
      <c r="BO563" t="s">
        <v>787</v>
      </c>
      <c r="BP563" t="s">
        <v>207</v>
      </c>
      <c r="BQ563" t="s">
        <v>209</v>
      </c>
      <c r="BR563" t="s">
        <v>171</v>
      </c>
      <c r="BS563" s="5">
        <v>2210</v>
      </c>
      <c r="BT563" s="2">
        <v>79269</v>
      </c>
      <c r="BV563" t="s">
        <v>105</v>
      </c>
      <c r="BW563" s="2">
        <v>79269</v>
      </c>
      <c r="BX563" t="s">
        <v>105</v>
      </c>
      <c r="BZ563" t="s">
        <v>167</v>
      </c>
      <c r="CA563" t="str">
        <f t="shared" si="34"/>
        <v>7/1/2020 - 6/30/2021</v>
      </c>
      <c r="CF563">
        <v>1</v>
      </c>
      <c r="CG563" t="s">
        <v>98</v>
      </c>
      <c r="CH563" t="s">
        <v>206</v>
      </c>
      <c r="CI563" t="s">
        <v>206</v>
      </c>
      <c r="CL563" t="s">
        <v>108</v>
      </c>
      <c r="CM563" t="s">
        <v>109</v>
      </c>
      <c r="CN563" t="str">
        <f>"Leos"</f>
        <v>Leos</v>
      </c>
      <c r="CO563" t="str">
        <f>"Moncerrad"</f>
        <v>Moncerrad</v>
      </c>
      <c r="CP563" t="str">
        <f>"Y"</f>
        <v>Y</v>
      </c>
      <c r="CQ563" t="str">
        <f>"Fragomen, Del Rey, Bernsen &amp; Loewy, LLP"</f>
        <v>Fragomen, Del Rey, Bernsen &amp; Loewy, LLP</v>
      </c>
      <c r="CR563" t="s">
        <v>5263</v>
      </c>
    </row>
    <row r="564" spans="1:96" x14ac:dyDescent="0.2">
      <c r="A564" t="s">
        <v>5950</v>
      </c>
      <c r="B564" t="s">
        <v>96</v>
      </c>
      <c r="C564" s="1">
        <v>44098</v>
      </c>
      <c r="D564" s="1">
        <v>44105</v>
      </c>
      <c r="F564" t="s">
        <v>97</v>
      </c>
      <c r="G564" t="str">
        <f>"Principal Simulation Engineer"</f>
        <v>Principal Simulation Engineer</v>
      </c>
      <c r="H564" t="s">
        <v>12196</v>
      </c>
      <c r="I564" t="s">
        <v>322</v>
      </c>
      <c r="J564" t="s">
        <v>98</v>
      </c>
      <c r="K564" s="1">
        <v>44274</v>
      </c>
      <c r="L564" s="1">
        <v>45369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 t="s">
        <v>1760</v>
      </c>
      <c r="U564" t="str">
        <f>""</f>
        <v/>
      </c>
      <c r="V564" t="s">
        <v>1761</v>
      </c>
      <c r="W564" t="str">
        <f>""</f>
        <v/>
      </c>
      <c r="X564" t="s">
        <v>1594</v>
      </c>
      <c r="Y564" t="s">
        <v>265</v>
      </c>
      <c r="Z564" s="3">
        <v>48170</v>
      </c>
      <c r="AA564" t="s">
        <v>101</v>
      </c>
      <c r="AC564" s="4" t="str">
        <f>"+17348927091"</f>
        <v>+17348927091</v>
      </c>
      <c r="AE564" t="str">
        <f>"336111"</f>
        <v>336111</v>
      </c>
      <c r="AF564" t="s">
        <v>1762</v>
      </c>
      <c r="AG564" t="s">
        <v>1648</v>
      </c>
      <c r="AI564" t="s">
        <v>1763</v>
      </c>
      <c r="AJ564" t="s">
        <v>1764</v>
      </c>
      <c r="AK564" t="str">
        <f>"SUITE 10"</f>
        <v>SUITE 10</v>
      </c>
      <c r="AL564" t="s">
        <v>651</v>
      </c>
      <c r="AM564" t="s">
        <v>141</v>
      </c>
      <c r="AN564" s="3">
        <v>95134</v>
      </c>
      <c r="AO564" t="s">
        <v>101</v>
      </c>
      <c r="AQ564" t="str">
        <f>"+17348927091"</f>
        <v>+17348927091</v>
      </c>
      <c r="AS564" t="s">
        <v>1765</v>
      </c>
      <c r="AT564" t="s">
        <v>107</v>
      </c>
      <c r="AU564" t="str">
        <f>"Meerschwam"</f>
        <v>Meerschwam</v>
      </c>
      <c r="AV564" t="str">
        <f>"Aviva"</f>
        <v>Aviva</v>
      </c>
      <c r="AW564" t="str">
        <f>""</f>
        <v/>
      </c>
      <c r="AX564" t="str">
        <f>"1400 Broadway"</f>
        <v>1400 Broadway</v>
      </c>
      <c r="AY564" t="str">
        <f>"9th Floor"</f>
        <v>9th Floor</v>
      </c>
      <c r="AZ564" t="str">
        <f>"New York"</f>
        <v>New York</v>
      </c>
      <c r="BA564" t="str">
        <f>"NY"</f>
        <v>NY</v>
      </c>
      <c r="BB564" s="3">
        <v>10018</v>
      </c>
      <c r="BC564" t="str">
        <f t="shared" si="35"/>
        <v>UNITED STATES OF AMERICA</v>
      </c>
      <c r="BD564" t="str">
        <f>""</f>
        <v/>
      </c>
      <c r="BE564" t="str">
        <f>"+12126888555"</f>
        <v>+12126888555</v>
      </c>
      <c r="BF564" t="str">
        <f>""</f>
        <v/>
      </c>
      <c r="BG564" t="str">
        <f>"tina.beak@fragomen.com"</f>
        <v>tina.beak@fragomen.com</v>
      </c>
      <c r="BH564" t="str">
        <f>"FRAGOMEN, DEL REY, BERNSEN &amp; LOEWY LLP"</f>
        <v>FRAGOMEN, DEL REY, BERNSEN &amp; LOEWY LLP</v>
      </c>
      <c r="BI564" t="str">
        <f>"NY"</f>
        <v>NY</v>
      </c>
      <c r="BJ564" t="str">
        <f>"APPELLATE DIVISION, FIRST JUDICIAL DEPARTMENT"</f>
        <v>APPELLATE DIVISION, FIRST JUDICIAL DEPARTMENT</v>
      </c>
      <c r="BK564">
        <v>1</v>
      </c>
      <c r="BL564" t="s">
        <v>102</v>
      </c>
      <c r="BM564" t="str">
        <f>""</f>
        <v/>
      </c>
      <c r="BN564" t="s">
        <v>4816</v>
      </c>
      <c r="BP564" t="s">
        <v>1393</v>
      </c>
      <c r="BQ564" t="s">
        <v>533</v>
      </c>
      <c r="BR564" t="s">
        <v>265</v>
      </c>
      <c r="BS564" s="5">
        <v>48170</v>
      </c>
      <c r="BT564" s="2">
        <v>137699.9</v>
      </c>
      <c r="BV564" t="s">
        <v>105</v>
      </c>
      <c r="BW564" s="2">
        <v>97261</v>
      </c>
      <c r="BX564" t="s">
        <v>105</v>
      </c>
      <c r="BZ564" t="s">
        <v>123</v>
      </c>
      <c r="CA564" t="str">
        <f t="shared" si="34"/>
        <v>7/1/2020 - 6/30/2021</v>
      </c>
      <c r="CF564">
        <v>2</v>
      </c>
      <c r="CG564" t="s">
        <v>98</v>
      </c>
      <c r="CH564" t="s">
        <v>206</v>
      </c>
      <c r="CI564" t="s">
        <v>206</v>
      </c>
      <c r="CL564" t="s">
        <v>108</v>
      </c>
      <c r="CM564" t="s">
        <v>109</v>
      </c>
      <c r="CN564" t="str">
        <f>""</f>
        <v/>
      </c>
      <c r="CO564" t="str">
        <f>""</f>
        <v/>
      </c>
      <c r="CP564" t="str">
        <f>""</f>
        <v/>
      </c>
      <c r="CQ564" t="str">
        <f>""</f>
        <v/>
      </c>
    </row>
    <row r="565" spans="1:96" x14ac:dyDescent="0.2">
      <c r="A565" t="s">
        <v>5955</v>
      </c>
      <c r="B565" t="s">
        <v>96</v>
      </c>
      <c r="C565" s="1">
        <v>44098</v>
      </c>
      <c r="D565" s="1">
        <v>44105</v>
      </c>
      <c r="F565" t="s">
        <v>97</v>
      </c>
      <c r="G565" t="str">
        <f>"Oncology Physician"</f>
        <v>Oncology Physician</v>
      </c>
      <c r="H565" t="s">
        <v>12207</v>
      </c>
      <c r="I565" t="s">
        <v>997</v>
      </c>
      <c r="J565" t="s">
        <v>98</v>
      </c>
      <c r="K565" s="1">
        <v>44228</v>
      </c>
      <c r="L565" s="1">
        <v>44957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 t="s">
        <v>5956</v>
      </c>
      <c r="U565" t="str">
        <f>"Cancer Specialists of North Florida"</f>
        <v>Cancer Specialists of North Florida</v>
      </c>
      <c r="V565" t="s">
        <v>5957</v>
      </c>
      <c r="W565" t="str">
        <f>"Suite 1"</f>
        <v>Suite 1</v>
      </c>
      <c r="X565" t="s">
        <v>1241</v>
      </c>
      <c r="Y565" t="s">
        <v>577</v>
      </c>
      <c r="Z565" s="3">
        <v>32256</v>
      </c>
      <c r="AA565" t="s">
        <v>101</v>
      </c>
      <c r="AC565" s="4" t="str">
        <f>"+19043632113"</f>
        <v>+19043632113</v>
      </c>
      <c r="AE565" t="str">
        <f>"62111"</f>
        <v>62111</v>
      </c>
      <c r="AF565" t="s">
        <v>5958</v>
      </c>
      <c r="AG565" t="s">
        <v>5959</v>
      </c>
      <c r="AI565" t="s">
        <v>1203</v>
      </c>
      <c r="AJ565" t="s">
        <v>5957</v>
      </c>
      <c r="AK565" t="str">
        <f>"Suite 1"</f>
        <v>Suite 1</v>
      </c>
      <c r="AL565" t="s">
        <v>1241</v>
      </c>
      <c r="AM565" t="s">
        <v>577</v>
      </c>
      <c r="AN565" s="3">
        <v>32256</v>
      </c>
      <c r="AO565" t="s">
        <v>101</v>
      </c>
      <c r="AQ565" t="str">
        <f>"+19043638957"</f>
        <v>+19043638957</v>
      </c>
      <c r="AS565" t="s">
        <v>5960</v>
      </c>
      <c r="AT565" t="s">
        <v>107</v>
      </c>
      <c r="AU565" t="str">
        <f>"Fuschetto"</f>
        <v>Fuschetto</v>
      </c>
      <c r="AV565" t="str">
        <f>"Joseph"</f>
        <v>Joseph</v>
      </c>
      <c r="AW565" t="str">
        <f>"Rocco"</f>
        <v>Rocco</v>
      </c>
      <c r="AX565" t="str">
        <f>"PO Box 910"</f>
        <v>PO Box 910</v>
      </c>
      <c r="AY565" t="str">
        <f>""</f>
        <v/>
      </c>
      <c r="AZ565" t="str">
        <f>"Bloomington"</f>
        <v>Bloomington</v>
      </c>
      <c r="BA565" t="str">
        <f>"IN"</f>
        <v>IN</v>
      </c>
      <c r="BB565" s="3">
        <v>47402</v>
      </c>
      <c r="BC565" t="str">
        <f t="shared" si="35"/>
        <v>UNITED STATES OF AMERICA</v>
      </c>
      <c r="BD565" t="str">
        <f>""</f>
        <v/>
      </c>
      <c r="BE565" t="str">
        <f>"+18123329295"</f>
        <v>+18123329295</v>
      </c>
      <c r="BF565" t="str">
        <f>""</f>
        <v/>
      </c>
      <c r="BG565" t="str">
        <f>"jrf@lawbr.com"</f>
        <v>jrf@lawbr.com</v>
      </c>
      <c r="BH565" t="str">
        <f>"Bunger and Robertson"</f>
        <v>Bunger and Robertson</v>
      </c>
      <c r="BI565" t="str">
        <f>"IN"</f>
        <v>IN</v>
      </c>
      <c r="BJ565" t="str">
        <f>"Indiana Supreme Court"</f>
        <v>Indiana Supreme Court</v>
      </c>
      <c r="BK565">
        <v>1</v>
      </c>
      <c r="BL565" t="s">
        <v>102</v>
      </c>
      <c r="BM565" t="str">
        <f>""</f>
        <v/>
      </c>
      <c r="BN565" t="s">
        <v>5961</v>
      </c>
      <c r="BO565" t="s">
        <v>5962</v>
      </c>
      <c r="BP565" t="s">
        <v>1241</v>
      </c>
      <c r="BQ565" t="s">
        <v>1243</v>
      </c>
      <c r="BR565" t="s">
        <v>577</v>
      </c>
      <c r="BS565" s="5">
        <v>32256</v>
      </c>
      <c r="BT565" s="2">
        <v>375000</v>
      </c>
      <c r="BV565" t="s">
        <v>105</v>
      </c>
      <c r="BW565" s="2">
        <v>208000</v>
      </c>
      <c r="BX565" t="s">
        <v>105</v>
      </c>
      <c r="BZ565" t="s">
        <v>108</v>
      </c>
      <c r="CA565" t="str">
        <f t="shared" si="34"/>
        <v>7/1/2020 - 6/30/2021</v>
      </c>
      <c r="CF565">
        <v>4</v>
      </c>
      <c r="CG565" t="s">
        <v>98</v>
      </c>
      <c r="CH565" t="s">
        <v>206</v>
      </c>
      <c r="CI565" t="s">
        <v>206</v>
      </c>
      <c r="CL565" t="s">
        <v>108</v>
      </c>
      <c r="CM565" t="s">
        <v>109</v>
      </c>
      <c r="CN565" t="str">
        <f>""</f>
        <v/>
      </c>
      <c r="CO565" t="str">
        <f>""</f>
        <v/>
      </c>
      <c r="CP565" t="str">
        <f>""</f>
        <v/>
      </c>
      <c r="CQ565" t="str">
        <f>""</f>
        <v/>
      </c>
    </row>
    <row r="566" spans="1:96" x14ac:dyDescent="0.2">
      <c r="A566" t="s">
        <v>5963</v>
      </c>
      <c r="B566" t="s">
        <v>96</v>
      </c>
      <c r="C566" s="1">
        <v>44098</v>
      </c>
      <c r="D566" s="1">
        <v>44105</v>
      </c>
      <c r="F566" t="s">
        <v>97</v>
      </c>
      <c r="G566" t="str">
        <f>"iOS Developer"</f>
        <v>iOS Developer</v>
      </c>
      <c r="H566" t="s">
        <v>12169</v>
      </c>
      <c r="I566" t="s">
        <v>124</v>
      </c>
      <c r="J566" t="s">
        <v>98</v>
      </c>
      <c r="K566" s="1">
        <v>44123</v>
      </c>
      <c r="L566" s="1">
        <v>45217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 t="s">
        <v>3215</v>
      </c>
      <c r="U566" t="str">
        <f>"WorldLink"</f>
        <v>WorldLink</v>
      </c>
      <c r="V566" t="s">
        <v>3216</v>
      </c>
      <c r="W566" t="str">
        <f>"Ste 204"</f>
        <v>Ste 204</v>
      </c>
      <c r="X566" t="s">
        <v>555</v>
      </c>
      <c r="Y566" t="s">
        <v>114</v>
      </c>
      <c r="Z566" s="3">
        <v>75034</v>
      </c>
      <c r="AA566" t="s">
        <v>101</v>
      </c>
      <c r="AC566" s="4" t="str">
        <f>"+19726713434"</f>
        <v>+19726713434</v>
      </c>
      <c r="AE566" t="str">
        <f>"541513"</f>
        <v>541513</v>
      </c>
      <c r="AF566" t="s">
        <v>3217</v>
      </c>
      <c r="AG566" t="s">
        <v>3218</v>
      </c>
      <c r="AI566" t="s">
        <v>646</v>
      </c>
      <c r="AJ566" t="s">
        <v>3216</v>
      </c>
      <c r="AK566" t="str">
        <f>"Ste 204"</f>
        <v>Ste 204</v>
      </c>
      <c r="AL566" t="s">
        <v>555</v>
      </c>
      <c r="AM566" t="s">
        <v>114</v>
      </c>
      <c r="AN566" s="3">
        <v>75034</v>
      </c>
      <c r="AO566" t="s">
        <v>101</v>
      </c>
      <c r="AQ566" t="str">
        <f>"+19726713434"</f>
        <v>+19726713434</v>
      </c>
      <c r="AS566" t="s">
        <v>3219</v>
      </c>
      <c r="AT566" t="s">
        <v>107</v>
      </c>
      <c r="AU566" t="str">
        <f>"Wiemann"</f>
        <v>Wiemann</v>
      </c>
      <c r="AV566" t="str">
        <f>"Maria"</f>
        <v>Maria</v>
      </c>
      <c r="AW566" t="str">
        <f>""</f>
        <v/>
      </c>
      <c r="AX566" t="str">
        <f>"3880 Parkwood Blvd"</f>
        <v>3880 Parkwood Blvd</v>
      </c>
      <c r="AY566" t="str">
        <f>"Ste 204"</f>
        <v>Ste 204</v>
      </c>
      <c r="AZ566" t="str">
        <f>"Frisco"</f>
        <v>Frisco</v>
      </c>
      <c r="BA566" t="str">
        <f>"TX"</f>
        <v>TX</v>
      </c>
      <c r="BB566" s="3">
        <v>75034</v>
      </c>
      <c r="BC566" t="str">
        <f t="shared" si="35"/>
        <v>UNITED STATES OF AMERICA</v>
      </c>
      <c r="BD566" t="str">
        <f>""</f>
        <v/>
      </c>
      <c r="BE566" t="str">
        <f>"+19726713434"</f>
        <v>+19726713434</v>
      </c>
      <c r="BF566" t="str">
        <f>""</f>
        <v/>
      </c>
      <c r="BG566" t="str">
        <f>"visas@worldlink-us.com"</f>
        <v>visas@worldlink-us.com</v>
      </c>
      <c r="BH566" t="str">
        <f>"Adi WorldLink LLC"</f>
        <v>Adi WorldLink LLC</v>
      </c>
      <c r="BI566" t="str">
        <f>"TX"</f>
        <v>TX</v>
      </c>
      <c r="BJ566" t="str">
        <f>"Supreme Court"</f>
        <v>Supreme Court</v>
      </c>
      <c r="BK566">
        <v>1</v>
      </c>
      <c r="BL566" t="s">
        <v>102</v>
      </c>
      <c r="BM566" t="str">
        <f>""</f>
        <v/>
      </c>
      <c r="BN566" t="s">
        <v>5964</v>
      </c>
      <c r="BO566" t="s">
        <v>5965</v>
      </c>
      <c r="BP566" t="s">
        <v>555</v>
      </c>
      <c r="BQ566" t="s">
        <v>556</v>
      </c>
      <c r="BR566" t="s">
        <v>114</v>
      </c>
      <c r="BS566" s="5">
        <v>75034</v>
      </c>
      <c r="BT566" s="2">
        <v>121600</v>
      </c>
      <c r="BU566" s="2">
        <v>140000</v>
      </c>
      <c r="BV566" t="s">
        <v>105</v>
      </c>
      <c r="BW566" s="2">
        <v>110344</v>
      </c>
      <c r="BX566" t="s">
        <v>105</v>
      </c>
      <c r="BZ566" t="s">
        <v>123</v>
      </c>
      <c r="CA566" t="str">
        <f t="shared" si="34"/>
        <v>7/1/2020 - 6/30/2021</v>
      </c>
      <c r="CF566">
        <v>2</v>
      </c>
      <c r="CG566" t="s">
        <v>98</v>
      </c>
      <c r="CH566" t="s">
        <v>206</v>
      </c>
      <c r="CI566" t="s">
        <v>206</v>
      </c>
      <c r="CL566" t="s">
        <v>108</v>
      </c>
      <c r="CM566" t="s">
        <v>109</v>
      </c>
      <c r="CN566" t="str">
        <f>""</f>
        <v/>
      </c>
      <c r="CO566" t="str">
        <f>""</f>
        <v/>
      </c>
      <c r="CP566" t="str">
        <f>""</f>
        <v/>
      </c>
      <c r="CQ566" t="str">
        <f>""</f>
        <v/>
      </c>
    </row>
    <row r="567" spans="1:96" x14ac:dyDescent="0.2">
      <c r="A567" t="s">
        <v>5974</v>
      </c>
      <c r="B567" t="s">
        <v>96</v>
      </c>
      <c r="C567" s="1">
        <v>44098</v>
      </c>
      <c r="D567" s="1">
        <v>44105</v>
      </c>
      <c r="F567" t="s">
        <v>97</v>
      </c>
      <c r="G567" t="str">
        <f>"Server Operations Specialist"</f>
        <v>Server Operations Specialist</v>
      </c>
      <c r="H567" t="s">
        <v>12273</v>
      </c>
      <c r="I567" t="s">
        <v>558</v>
      </c>
      <c r="J567" t="s">
        <v>98</v>
      </c>
      <c r="K567" s="1">
        <v>44237</v>
      </c>
      <c r="L567" s="1">
        <v>45331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 t="s">
        <v>5975</v>
      </c>
      <c r="U567" t="str">
        <f>""</f>
        <v/>
      </c>
      <c r="V567" t="s">
        <v>5976</v>
      </c>
      <c r="W567" t="str">
        <f>""</f>
        <v/>
      </c>
      <c r="X567" t="s">
        <v>247</v>
      </c>
      <c r="Y567" t="s">
        <v>141</v>
      </c>
      <c r="Z567" s="3">
        <v>95054</v>
      </c>
      <c r="AA567" t="s">
        <v>101</v>
      </c>
      <c r="AC567" s="4" t="str">
        <f>"+19257852006"</f>
        <v>+19257852006</v>
      </c>
      <c r="AE567" t="str">
        <f>"541511"</f>
        <v>541511</v>
      </c>
      <c r="AF567" t="s">
        <v>3068</v>
      </c>
      <c r="AG567" t="s">
        <v>5307</v>
      </c>
      <c r="AI567" t="s">
        <v>4755</v>
      </c>
      <c r="AJ567" t="s">
        <v>5976</v>
      </c>
      <c r="AK567" t="str">
        <f>""</f>
        <v/>
      </c>
      <c r="AL567" t="s">
        <v>247</v>
      </c>
      <c r="AM567" t="s">
        <v>141</v>
      </c>
      <c r="AN567" s="3">
        <v>95054</v>
      </c>
      <c r="AO567" t="s">
        <v>101</v>
      </c>
      <c r="AQ567" t="str">
        <f>"+19257852006"</f>
        <v>+19257852006</v>
      </c>
      <c r="AS567" t="s">
        <v>5977</v>
      </c>
      <c r="AT567" t="s">
        <v>107</v>
      </c>
      <c r="AU567" t="str">
        <f>"Shapiro"</f>
        <v>Shapiro</v>
      </c>
      <c r="AV567" t="str">
        <f>"Howard"</f>
        <v>Howard</v>
      </c>
      <c r="AW567" t="str">
        <f>""</f>
        <v/>
      </c>
      <c r="AX567" t="str">
        <f>"2049 CENTURY PARK EAST"</f>
        <v>2049 CENTURY PARK EAST</v>
      </c>
      <c r="AY567" t="str">
        <f>"FLOOR 18"</f>
        <v>FLOOR 18</v>
      </c>
      <c r="AZ567" t="str">
        <f>"Los Angeles"</f>
        <v>Los Angeles</v>
      </c>
      <c r="BA567" t="str">
        <f>"CA"</f>
        <v>CA</v>
      </c>
      <c r="BB567" s="3">
        <v>90067</v>
      </c>
      <c r="BC567" t="str">
        <f t="shared" si="35"/>
        <v>UNITED STATES OF AMERICA</v>
      </c>
      <c r="BD567" t="str">
        <f>""</f>
        <v/>
      </c>
      <c r="BE567" t="str">
        <f>"+13103122000"</f>
        <v>+13103122000</v>
      </c>
      <c r="BF567" t="str">
        <f>""</f>
        <v/>
      </c>
      <c r="BG567" t="str">
        <f>"HDS@MSK.COM"</f>
        <v>HDS@MSK.COM</v>
      </c>
      <c r="BH567" t="str">
        <f>"Mitchell, Silberberg &amp; Knupp LLP"</f>
        <v>Mitchell, Silberberg &amp; Knupp LLP</v>
      </c>
      <c r="BI567" t="str">
        <f>"CA"</f>
        <v>CA</v>
      </c>
      <c r="BJ567" t="str">
        <f>"CALIFORNIA SUPREME COURT"</f>
        <v>CALIFORNIA SUPREME COURT</v>
      </c>
      <c r="BK567">
        <v>1</v>
      </c>
      <c r="BL567" t="s">
        <v>102</v>
      </c>
      <c r="BM567" t="str">
        <f>""</f>
        <v/>
      </c>
      <c r="BN567" t="s">
        <v>5976</v>
      </c>
      <c r="BP567" t="s">
        <v>247</v>
      </c>
      <c r="BQ567" t="s">
        <v>230</v>
      </c>
      <c r="BR567" t="s">
        <v>141</v>
      </c>
      <c r="BS567" s="5">
        <v>95054</v>
      </c>
      <c r="BT567" s="2">
        <v>90888.89</v>
      </c>
      <c r="BV567" t="s">
        <v>105</v>
      </c>
      <c r="BW567" s="2">
        <v>83387</v>
      </c>
      <c r="BX567" t="s">
        <v>105</v>
      </c>
      <c r="BZ567" t="s">
        <v>123</v>
      </c>
      <c r="CA567" t="str">
        <f t="shared" si="34"/>
        <v>7/1/2020 - 6/30/2021</v>
      </c>
      <c r="CF567">
        <v>2</v>
      </c>
      <c r="CG567" t="s">
        <v>98</v>
      </c>
      <c r="CH567" t="s">
        <v>206</v>
      </c>
      <c r="CI567" t="s">
        <v>206</v>
      </c>
      <c r="CL567" t="s">
        <v>108</v>
      </c>
      <c r="CM567" t="s">
        <v>109</v>
      </c>
      <c r="CN567" t="str">
        <f>"Shapiro"</f>
        <v>Shapiro</v>
      </c>
      <c r="CO567" t="str">
        <f>"Howard"</f>
        <v>Howard</v>
      </c>
      <c r="CP567" t="str">
        <f>""</f>
        <v/>
      </c>
      <c r="CQ567" t="str">
        <f>"Mitchell, Silberberg &amp; Knupp, LLP"</f>
        <v>Mitchell, Silberberg &amp; Knupp, LLP</v>
      </c>
      <c r="CR567" t="s">
        <v>439</v>
      </c>
    </row>
    <row r="568" spans="1:96" x14ac:dyDescent="0.2">
      <c r="A568" t="s">
        <v>6006</v>
      </c>
      <c r="B568" t="s">
        <v>96</v>
      </c>
      <c r="C568" s="1">
        <v>44098</v>
      </c>
      <c r="D568" s="1">
        <v>44105</v>
      </c>
      <c r="F568" t="s">
        <v>97</v>
      </c>
      <c r="G568" t="str">
        <f>"Principal Systems Architect"</f>
        <v>Principal Systems Architect</v>
      </c>
      <c r="H568" t="s">
        <v>12176</v>
      </c>
      <c r="I568" t="s">
        <v>246</v>
      </c>
      <c r="J568" t="s">
        <v>98</v>
      </c>
      <c r="K568" s="1">
        <v>44280</v>
      </c>
      <c r="L568" s="1">
        <v>45375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 t="s">
        <v>1971</v>
      </c>
      <c r="U568" t="str">
        <f>""</f>
        <v/>
      </c>
      <c r="V568" t="s">
        <v>1972</v>
      </c>
      <c r="W568" t="str">
        <f>""</f>
        <v/>
      </c>
      <c r="X568" t="s">
        <v>1973</v>
      </c>
      <c r="Y568" t="s">
        <v>190</v>
      </c>
      <c r="Z568" s="3">
        <v>11101</v>
      </c>
      <c r="AA568" t="s">
        <v>101</v>
      </c>
      <c r="AC568" s="4" t="str">
        <f>"+19294184149"</f>
        <v>+19294184149</v>
      </c>
      <c r="AE568" t="str">
        <f>"515120"</f>
        <v>515120</v>
      </c>
      <c r="AF568" t="s">
        <v>1974</v>
      </c>
      <c r="AG568" t="s">
        <v>281</v>
      </c>
      <c r="AH568" t="s">
        <v>771</v>
      </c>
      <c r="AI568" t="s">
        <v>3883</v>
      </c>
      <c r="AJ568" t="s">
        <v>1972</v>
      </c>
      <c r="AK568" t="str">
        <f>""</f>
        <v/>
      </c>
      <c r="AL568" t="s">
        <v>1973</v>
      </c>
      <c r="AM568" t="s">
        <v>190</v>
      </c>
      <c r="AN568" s="3">
        <v>11101</v>
      </c>
      <c r="AO568" t="s">
        <v>101</v>
      </c>
      <c r="AQ568" t="str">
        <f>"+19294184149"</f>
        <v>+19294184149</v>
      </c>
      <c r="AS568" t="s">
        <v>1975</v>
      </c>
      <c r="AT568" t="s">
        <v>107</v>
      </c>
      <c r="AU568" t="str">
        <f>"D’Arduini"</f>
        <v>D’Arduini</v>
      </c>
      <c r="AV568" t="str">
        <f>"Timothy"</f>
        <v>Timothy</v>
      </c>
      <c r="AW568" t="str">
        <f>"C."</f>
        <v>C.</v>
      </c>
      <c r="AX568" t="str">
        <f>"1999 K Street, N.W."</f>
        <v>1999 K Street, N.W.</v>
      </c>
      <c r="AY568" t="str">
        <f>""</f>
        <v/>
      </c>
      <c r="AZ568" t="str">
        <f>"Washington"</f>
        <v>Washington</v>
      </c>
      <c r="BA568" t="str">
        <f>"DC"</f>
        <v>DC</v>
      </c>
      <c r="BB568" s="3">
        <v>20006</v>
      </c>
      <c r="BC568" t="str">
        <f t="shared" si="35"/>
        <v>UNITED STATES OF AMERICA</v>
      </c>
      <c r="BD568" t="str">
        <f>""</f>
        <v/>
      </c>
      <c r="BE568" t="str">
        <f>"+12022633887"</f>
        <v>+12022633887</v>
      </c>
      <c r="BF568" t="str">
        <f>""</f>
        <v/>
      </c>
      <c r="BG568" t="str">
        <f>"tdarduini@mayerbrown.com"</f>
        <v>tdarduini@mayerbrown.com</v>
      </c>
      <c r="BH568" t="str">
        <f>"Mayer Brown LLP"</f>
        <v>Mayer Brown LLP</v>
      </c>
      <c r="BI568" t="str">
        <f>"NJ"</f>
        <v>NJ</v>
      </c>
      <c r="BJ568" t="str">
        <f>"Supreme Court of New Jersey"</f>
        <v>Supreme Court of New Jersey</v>
      </c>
      <c r="BK568">
        <v>1</v>
      </c>
      <c r="BL568" t="s">
        <v>102</v>
      </c>
      <c r="BM568" t="str">
        <f>""</f>
        <v/>
      </c>
      <c r="BN568" t="s">
        <v>6007</v>
      </c>
      <c r="BP568" t="s">
        <v>2724</v>
      </c>
      <c r="BQ568" t="s">
        <v>1964</v>
      </c>
      <c r="BR568" t="s">
        <v>374</v>
      </c>
      <c r="BS568" s="5">
        <v>63017</v>
      </c>
      <c r="BT568" s="2">
        <v>144641</v>
      </c>
      <c r="BV568" t="s">
        <v>105</v>
      </c>
      <c r="BW568" s="2">
        <v>113901</v>
      </c>
      <c r="BX568" t="s">
        <v>105</v>
      </c>
      <c r="BZ568" t="s">
        <v>159</v>
      </c>
      <c r="CA568" t="str">
        <f t="shared" si="34"/>
        <v>7/1/2020 - 6/30/2021</v>
      </c>
      <c r="CF568">
        <v>1</v>
      </c>
      <c r="CG568" t="s">
        <v>98</v>
      </c>
      <c r="CH568" t="s">
        <v>206</v>
      </c>
      <c r="CI568" t="s">
        <v>206</v>
      </c>
      <c r="CL568" t="s">
        <v>108</v>
      </c>
      <c r="CM568" t="s">
        <v>109</v>
      </c>
      <c r="CN568" t="str">
        <f>""</f>
        <v/>
      </c>
      <c r="CO568" t="str">
        <f>""</f>
        <v/>
      </c>
      <c r="CP568" t="str">
        <f>""</f>
        <v/>
      </c>
      <c r="CQ568" t="str">
        <f>""</f>
        <v/>
      </c>
    </row>
    <row r="569" spans="1:96" x14ac:dyDescent="0.2">
      <c r="A569" t="s">
        <v>6010</v>
      </c>
      <c r="B569" t="s">
        <v>96</v>
      </c>
      <c r="C569" s="1">
        <v>44098</v>
      </c>
      <c r="D569" s="1">
        <v>44105</v>
      </c>
      <c r="F569" t="s">
        <v>97</v>
      </c>
      <c r="G569" t="str">
        <f>"Associate  Actuary, Risk - GFS"</f>
        <v>Associate  Actuary, Risk - GFS</v>
      </c>
      <c r="H569" t="s">
        <v>12188</v>
      </c>
      <c r="I569" t="s">
        <v>3481</v>
      </c>
      <c r="J569" t="s">
        <v>98</v>
      </c>
      <c r="K569" s="1">
        <v>44105</v>
      </c>
      <c r="L569" s="1">
        <v>45200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5206</v>
      </c>
      <c r="U569" t="str">
        <f>""</f>
        <v/>
      </c>
      <c r="V569" t="s">
        <v>5207</v>
      </c>
      <c r="W569" t="str">
        <f>""</f>
        <v/>
      </c>
      <c r="X569" t="s">
        <v>5208</v>
      </c>
      <c r="Y569" t="s">
        <v>374</v>
      </c>
      <c r="Z569" s="3">
        <v>63017</v>
      </c>
      <c r="AA569" t="s">
        <v>101</v>
      </c>
      <c r="AC569" s="4" t="str">
        <f>"+16367367000"</f>
        <v>+16367367000</v>
      </c>
      <c r="AE569" t="str">
        <f>"524130"</f>
        <v>524130</v>
      </c>
      <c r="AF569" t="s">
        <v>407</v>
      </c>
      <c r="AG569" t="s">
        <v>2092</v>
      </c>
      <c r="AI569" t="s">
        <v>6011</v>
      </c>
      <c r="AJ569" t="s">
        <v>5209</v>
      </c>
      <c r="AK569" t="str">
        <f>""</f>
        <v/>
      </c>
      <c r="AL569" t="s">
        <v>2724</v>
      </c>
      <c r="AM569" t="s">
        <v>374</v>
      </c>
      <c r="AN569" s="3">
        <v>63017</v>
      </c>
      <c r="AO569" t="s">
        <v>101</v>
      </c>
      <c r="AQ569" t="str">
        <f>"+16367367000"</f>
        <v>+16367367000</v>
      </c>
      <c r="AS569" t="s">
        <v>5210</v>
      </c>
      <c r="AT569" t="s">
        <v>107</v>
      </c>
      <c r="AU569" t="str">
        <f>"Hereford"</f>
        <v>Hereford</v>
      </c>
      <c r="AV569" t="str">
        <f>"Martha"</f>
        <v>Martha</v>
      </c>
      <c r="AW569" t="str">
        <f>"Neville"</f>
        <v>Neville</v>
      </c>
      <c r="AX569" t="str">
        <f>"7700 Forsyth Blvd."</f>
        <v>7700 Forsyth Blvd.</v>
      </c>
      <c r="AY569" t="str">
        <f>"Suite 1800"</f>
        <v>Suite 1800</v>
      </c>
      <c r="AZ569" t="str">
        <f>"St. Louis"</f>
        <v>St. Louis</v>
      </c>
      <c r="BA569" t="str">
        <f>"MO"</f>
        <v>MO</v>
      </c>
      <c r="BB569" s="3">
        <v>63105</v>
      </c>
      <c r="BC569" t="str">
        <f t="shared" si="35"/>
        <v>UNITED STATES OF AMERICA</v>
      </c>
      <c r="BD569" t="str">
        <f>""</f>
        <v/>
      </c>
      <c r="BE569" t="str">
        <f>"+13146215070"</f>
        <v>+13146215070</v>
      </c>
      <c r="BF569" t="str">
        <f>"7208"</f>
        <v>7208</v>
      </c>
      <c r="BG569" t="str">
        <f>"mhereford@atllp.com"</f>
        <v>mhereford@atllp.com</v>
      </c>
      <c r="BH569" t="str">
        <f>"Armstrong Teasdale LLP "</f>
        <v xml:space="preserve">Armstrong Teasdale LLP </v>
      </c>
      <c r="BI569" t="str">
        <f>"MO"</f>
        <v>MO</v>
      </c>
      <c r="BJ569" t="str">
        <f>"Missouri Supreme Court"</f>
        <v>Missouri Supreme Court</v>
      </c>
      <c r="BK569">
        <v>1</v>
      </c>
      <c r="BL569" t="s">
        <v>102</v>
      </c>
      <c r="BM569" t="str">
        <f>""</f>
        <v/>
      </c>
      <c r="BN569" t="s">
        <v>6012</v>
      </c>
      <c r="BP569" t="s">
        <v>3829</v>
      </c>
      <c r="BQ569" t="s">
        <v>1014</v>
      </c>
      <c r="BR569" t="s">
        <v>608</v>
      </c>
      <c r="BS569" s="5">
        <v>50266</v>
      </c>
      <c r="BT569" s="2">
        <v>132000</v>
      </c>
      <c r="BV569" t="s">
        <v>105</v>
      </c>
      <c r="BW569" s="2">
        <v>131331</v>
      </c>
      <c r="BX569" t="s">
        <v>105</v>
      </c>
      <c r="BZ569" t="s">
        <v>159</v>
      </c>
      <c r="CA569" t="str">
        <f t="shared" si="34"/>
        <v>7/1/2020 - 6/30/2021</v>
      </c>
      <c r="CF569">
        <v>1</v>
      </c>
      <c r="CG569" t="s">
        <v>98</v>
      </c>
      <c r="CH569" t="s">
        <v>206</v>
      </c>
      <c r="CI569" t="s">
        <v>206</v>
      </c>
      <c r="CL569" t="s">
        <v>108</v>
      </c>
      <c r="CM569" t="s">
        <v>109</v>
      </c>
      <c r="CN569" t="str">
        <f>"De Pietro"</f>
        <v>De Pietro</v>
      </c>
      <c r="CO569" t="str">
        <f>"Marisol"</f>
        <v>Marisol</v>
      </c>
      <c r="CP569" t="str">
        <f>"C"</f>
        <v>C</v>
      </c>
      <c r="CQ569" t="str">
        <f>"Armstrong Teasdale LLP"</f>
        <v>Armstrong Teasdale LLP</v>
      </c>
      <c r="CR569" t="s">
        <v>5211</v>
      </c>
    </row>
    <row r="570" spans="1:96" x14ac:dyDescent="0.2">
      <c r="A570" t="s">
        <v>6013</v>
      </c>
      <c r="B570" t="s">
        <v>96</v>
      </c>
      <c r="C570" s="1">
        <v>44098</v>
      </c>
      <c r="D570" s="1">
        <v>44105</v>
      </c>
      <c r="F570" t="s">
        <v>97</v>
      </c>
      <c r="G570" t="str">
        <f>"Director of Engineering"</f>
        <v>Director of Engineering</v>
      </c>
      <c r="H570" t="s">
        <v>12178</v>
      </c>
      <c r="I570" t="s">
        <v>582</v>
      </c>
      <c r="J570" t="s">
        <v>98</v>
      </c>
      <c r="K570" s="1">
        <v>44134</v>
      </c>
      <c r="L570" s="1">
        <v>45204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6014</v>
      </c>
      <c r="U570" t="str">
        <f>""</f>
        <v/>
      </c>
      <c r="V570" t="s">
        <v>6015</v>
      </c>
      <c r="W570" t="str">
        <f>"#19"</f>
        <v>#19</v>
      </c>
      <c r="X570" t="s">
        <v>140</v>
      </c>
      <c r="Y570" t="s">
        <v>141</v>
      </c>
      <c r="Z570" s="3">
        <v>94107</v>
      </c>
      <c r="AA570" t="s">
        <v>101</v>
      </c>
      <c r="AC570" s="4" t="str">
        <f>"+16509964762"</f>
        <v>+16509964762</v>
      </c>
      <c r="AE570" t="str">
        <f>"511210"</f>
        <v>511210</v>
      </c>
      <c r="AF570" t="s">
        <v>3015</v>
      </c>
      <c r="AG570" t="s">
        <v>6016</v>
      </c>
      <c r="AH570" t="s">
        <v>382</v>
      </c>
      <c r="AI570" t="s">
        <v>646</v>
      </c>
      <c r="AJ570" t="s">
        <v>6015</v>
      </c>
      <c r="AK570" t="str">
        <f>"#19"</f>
        <v>#19</v>
      </c>
      <c r="AL570" t="s">
        <v>140</v>
      </c>
      <c r="AM570" t="s">
        <v>141</v>
      </c>
      <c r="AN570" s="3">
        <v>94107</v>
      </c>
      <c r="AO570" t="s">
        <v>101</v>
      </c>
      <c r="AQ570" t="str">
        <f>"+16509964762"</f>
        <v>+16509964762</v>
      </c>
      <c r="AS570" t="s">
        <v>6017</v>
      </c>
      <c r="AT570" t="s">
        <v>107</v>
      </c>
      <c r="AU570" t="str">
        <f>"PURI"</f>
        <v>PURI</v>
      </c>
      <c r="AV570" t="str">
        <f>"RICHA"</f>
        <v>RICHA</v>
      </c>
      <c r="AW570" t="str">
        <f>"n/a"</f>
        <v>n/a</v>
      </c>
      <c r="AX570" t="str">
        <f>"50 MAIN STREET"</f>
        <v>50 MAIN STREET</v>
      </c>
      <c r="AY570" t="str">
        <f>"SUITE 1000"</f>
        <v>SUITE 1000</v>
      </c>
      <c r="AZ570" t="str">
        <f>"white plains"</f>
        <v>white plains</v>
      </c>
      <c r="BA570" t="str">
        <f>"NY"</f>
        <v>NY</v>
      </c>
      <c r="BB570" s="3">
        <v>10606</v>
      </c>
      <c r="BC570" t="str">
        <f t="shared" si="35"/>
        <v>UNITED STATES OF AMERICA</v>
      </c>
      <c r="BD570" t="str">
        <f>""</f>
        <v/>
      </c>
      <c r="BE570" t="str">
        <f>"+19146822022"</f>
        <v>+19146822022</v>
      </c>
      <c r="BF570" t="str">
        <f>""</f>
        <v/>
      </c>
      <c r="BG570" t="str">
        <f>"rpuri@durkin-puri.com"</f>
        <v>rpuri@durkin-puri.com</v>
      </c>
      <c r="BH570" t="str">
        <f>"Durkin &amp; Puri LLP"</f>
        <v>Durkin &amp; Puri LLP</v>
      </c>
      <c r="BI570" t="str">
        <f>"NY"</f>
        <v>NY</v>
      </c>
      <c r="BJ570" t="str">
        <f>"Supreme Court"</f>
        <v>Supreme Court</v>
      </c>
      <c r="BK570">
        <v>1</v>
      </c>
      <c r="BL570" t="s">
        <v>102</v>
      </c>
      <c r="BM570" t="str">
        <f>""</f>
        <v/>
      </c>
      <c r="BN570" t="s">
        <v>6018</v>
      </c>
      <c r="BO570">
        <v>19</v>
      </c>
      <c r="BP570" t="s">
        <v>140</v>
      </c>
      <c r="BQ570" t="s">
        <v>147</v>
      </c>
      <c r="BR570" t="s">
        <v>141</v>
      </c>
      <c r="BS570" s="5">
        <v>94107</v>
      </c>
      <c r="BT570" s="2">
        <v>180000</v>
      </c>
      <c r="BV570" t="s">
        <v>105</v>
      </c>
      <c r="BW570" s="2">
        <v>166754</v>
      </c>
      <c r="BX570" t="s">
        <v>105</v>
      </c>
      <c r="BZ570" t="s">
        <v>167</v>
      </c>
      <c r="CA570" t="str">
        <f t="shared" si="34"/>
        <v>7/1/2020 - 6/30/2021</v>
      </c>
      <c r="CF570">
        <v>2</v>
      </c>
      <c r="CG570" t="s">
        <v>98</v>
      </c>
      <c r="CH570" t="s">
        <v>206</v>
      </c>
      <c r="CI570" t="s">
        <v>206</v>
      </c>
      <c r="CL570" t="s">
        <v>108</v>
      </c>
      <c r="CM570" t="s">
        <v>109</v>
      </c>
      <c r="CN570" t="str">
        <f>"Puri"</f>
        <v>Puri</v>
      </c>
      <c r="CO570" t="str">
        <f>"Richa"</f>
        <v>Richa</v>
      </c>
      <c r="CP570" t="str">
        <f>""</f>
        <v/>
      </c>
      <c r="CQ570" t="str">
        <f>"Durkin &amp; Puri LLP"</f>
        <v>Durkin &amp; Puri LLP</v>
      </c>
      <c r="CR570" t="s">
        <v>6019</v>
      </c>
    </row>
    <row r="571" spans="1:96" x14ac:dyDescent="0.2">
      <c r="A571" t="s">
        <v>6032</v>
      </c>
      <c r="B571" t="s">
        <v>96</v>
      </c>
      <c r="C571" s="1">
        <v>44098</v>
      </c>
      <c r="D571" s="1">
        <v>44105</v>
      </c>
      <c r="F571" t="s">
        <v>97</v>
      </c>
      <c r="G571" t="str">
        <f>"Project Manager"</f>
        <v>Project Manager</v>
      </c>
      <c r="H571" t="s">
        <v>12168</v>
      </c>
      <c r="I571" t="s">
        <v>367</v>
      </c>
      <c r="J571" t="s">
        <v>98</v>
      </c>
      <c r="K571" s="1">
        <v>44188</v>
      </c>
      <c r="L571" s="1">
        <v>45282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 t="s">
        <v>6033</v>
      </c>
      <c r="U571" t="str">
        <f>""</f>
        <v/>
      </c>
      <c r="V571" t="s">
        <v>6034</v>
      </c>
      <c r="W571" t="str">
        <f>""</f>
        <v/>
      </c>
      <c r="X571" t="s">
        <v>555</v>
      </c>
      <c r="Y571" t="s">
        <v>114</v>
      </c>
      <c r="Z571" s="3">
        <v>75035</v>
      </c>
      <c r="AA571" t="s">
        <v>101</v>
      </c>
      <c r="AC571" s="4" t="str">
        <f>"+12148723141"</f>
        <v>+12148723141</v>
      </c>
      <c r="AE571" t="str">
        <f>"541511"</f>
        <v>541511</v>
      </c>
      <c r="AF571" t="s">
        <v>6035</v>
      </c>
      <c r="AG571" t="s">
        <v>6036</v>
      </c>
      <c r="AI571" t="s">
        <v>6037</v>
      </c>
      <c r="AJ571" t="s">
        <v>6034</v>
      </c>
      <c r="AK571" t="str">
        <f>""</f>
        <v/>
      </c>
      <c r="AL571" t="s">
        <v>555</v>
      </c>
      <c r="AM571" t="s">
        <v>114</v>
      </c>
      <c r="AN571" s="3">
        <v>75035</v>
      </c>
      <c r="AO571" t="s">
        <v>101</v>
      </c>
      <c r="AQ571" t="str">
        <f>"+12148723141"</f>
        <v>+12148723141</v>
      </c>
      <c r="AS571" t="s">
        <v>6038</v>
      </c>
      <c r="AT571" t="s">
        <v>107</v>
      </c>
      <c r="AU571" t="str">
        <f>"Brendel"</f>
        <v>Brendel</v>
      </c>
      <c r="AV571" t="str">
        <f>"John"</f>
        <v>John</v>
      </c>
      <c r="AW571" t="str">
        <f>"S."</f>
        <v>S.</v>
      </c>
      <c r="AX571" t="str">
        <f>"625 Liberty Avenue, 5th Floor"</f>
        <v>625 Liberty Avenue, 5th Floor</v>
      </c>
      <c r="AY571" t="str">
        <f>""</f>
        <v/>
      </c>
      <c r="AZ571" t="str">
        <f>"Pittsburgh"</f>
        <v>Pittsburgh</v>
      </c>
      <c r="BA571" t="str">
        <f>"PA"</f>
        <v>PA</v>
      </c>
      <c r="BB571" s="3">
        <v>15222</v>
      </c>
      <c r="BC571" t="str">
        <f t="shared" si="35"/>
        <v>UNITED STATES OF AMERICA</v>
      </c>
      <c r="BD571" t="str">
        <f>""</f>
        <v/>
      </c>
      <c r="BE571" t="str">
        <f>"+14122974987"</f>
        <v>+14122974987</v>
      </c>
      <c r="BF571" t="str">
        <f>""</f>
        <v/>
      </c>
      <c r="BG571" t="str">
        <f>"john.brendel@dentons.com"</f>
        <v>john.brendel@dentons.com</v>
      </c>
      <c r="BH571" t="str">
        <f>"Dentons Cohen &amp; Grigsby P.C."</f>
        <v>Dentons Cohen &amp; Grigsby P.C.</v>
      </c>
      <c r="BI571" t="str">
        <f>"PA"</f>
        <v>PA</v>
      </c>
      <c r="BJ571" t="str">
        <f>"Pennsylvania Supreme Court"</f>
        <v>Pennsylvania Supreme Court</v>
      </c>
      <c r="BK571">
        <v>1</v>
      </c>
      <c r="BL571" t="s">
        <v>107</v>
      </c>
      <c r="BM571" t="str">
        <f>"Safeway Inc."</f>
        <v>Safeway Inc.</v>
      </c>
      <c r="BN571" t="s">
        <v>6039</v>
      </c>
      <c r="BP571" t="s">
        <v>631</v>
      </c>
      <c r="BQ571" t="s">
        <v>419</v>
      </c>
      <c r="BR571" t="s">
        <v>141</v>
      </c>
      <c r="BS571" s="5">
        <v>94588</v>
      </c>
      <c r="BT571" s="2">
        <v>96000</v>
      </c>
      <c r="BV571" t="s">
        <v>105</v>
      </c>
      <c r="BW571" s="2">
        <v>95555</v>
      </c>
      <c r="BX571" t="s">
        <v>105</v>
      </c>
      <c r="BZ571" t="s">
        <v>167</v>
      </c>
      <c r="CA571" t="str">
        <f t="shared" si="34"/>
        <v>7/1/2020 - 6/30/2021</v>
      </c>
      <c r="CF571">
        <v>3</v>
      </c>
      <c r="CG571" t="s">
        <v>98</v>
      </c>
      <c r="CH571" t="s">
        <v>206</v>
      </c>
      <c r="CI571" t="s">
        <v>206</v>
      </c>
      <c r="CL571" t="s">
        <v>108</v>
      </c>
      <c r="CM571" t="s">
        <v>109</v>
      </c>
      <c r="CN571" t="str">
        <f>"Brendel"</f>
        <v>Brendel</v>
      </c>
      <c r="CO571" t="str">
        <f>"John"</f>
        <v>John</v>
      </c>
      <c r="CP571" t="str">
        <f>"S"</f>
        <v>S</v>
      </c>
      <c r="CQ571" t="str">
        <f>"Dentons Cohen &amp; Grigsby P.C."</f>
        <v>Dentons Cohen &amp; Grigsby P.C.</v>
      </c>
      <c r="CR571" t="s">
        <v>4329</v>
      </c>
    </row>
    <row r="572" spans="1:96" x14ac:dyDescent="0.2">
      <c r="A572" t="s">
        <v>6057</v>
      </c>
      <c r="B572" t="s">
        <v>96</v>
      </c>
      <c r="C572" s="1">
        <v>44098</v>
      </c>
      <c r="D572" s="1">
        <v>44105</v>
      </c>
      <c r="F572" t="s">
        <v>97</v>
      </c>
      <c r="G572" t="str">
        <f>"Software Engineer (1615.54913)"</f>
        <v>Software Engineer (1615.54913)</v>
      </c>
      <c r="H572" t="s">
        <v>12169</v>
      </c>
      <c r="I572" t="s">
        <v>124</v>
      </c>
      <c r="J572" t="s">
        <v>98</v>
      </c>
      <c r="K572" s="1">
        <v>44105</v>
      </c>
      <c r="L572" s="1">
        <v>45199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 t="s">
        <v>289</v>
      </c>
      <c r="U572" t="str">
        <f>""</f>
        <v/>
      </c>
      <c r="V572" t="s">
        <v>290</v>
      </c>
      <c r="W572" t="str">
        <f>""</f>
        <v/>
      </c>
      <c r="X572" t="s">
        <v>155</v>
      </c>
      <c r="Y572" t="s">
        <v>141</v>
      </c>
      <c r="Z572" s="3">
        <v>94043</v>
      </c>
      <c r="AA572" t="s">
        <v>101</v>
      </c>
      <c r="AC572" s="4" t="str">
        <f>"+16502534513"</f>
        <v>+16502534513</v>
      </c>
      <c r="AE572" t="str">
        <f>"541512"</f>
        <v>541512</v>
      </c>
      <c r="AF572" t="s">
        <v>291</v>
      </c>
      <c r="AG572" t="s">
        <v>6058</v>
      </c>
      <c r="AI572" t="s">
        <v>3132</v>
      </c>
      <c r="AJ572" t="s">
        <v>290</v>
      </c>
      <c r="AK572" t="str">
        <f>""</f>
        <v/>
      </c>
      <c r="AL572" t="s">
        <v>155</v>
      </c>
      <c r="AM572" t="s">
        <v>141</v>
      </c>
      <c r="AN572" s="3">
        <v>94043</v>
      </c>
      <c r="AO572" t="s">
        <v>101</v>
      </c>
      <c r="AQ572" t="str">
        <f>"+16502534513"</f>
        <v>+16502534513</v>
      </c>
      <c r="AS572" t="s">
        <v>294</v>
      </c>
      <c r="AT572" t="s">
        <v>107</v>
      </c>
      <c r="AU572" t="str">
        <f>"Shim"</f>
        <v>Shim</v>
      </c>
      <c r="AV572" t="str">
        <f>"Diana"</f>
        <v>Diana</v>
      </c>
      <c r="AW572" t="str">
        <f>""</f>
        <v/>
      </c>
      <c r="AX572" t="str">
        <f>"2400 N Glenville Dr, Building A"</f>
        <v>2400 N Glenville Dr, Building A</v>
      </c>
      <c r="AY572" t="str">
        <f>"Suite 100"</f>
        <v>Suite 100</v>
      </c>
      <c r="AZ572" t="str">
        <f>"Richardson"</f>
        <v>Richardson</v>
      </c>
      <c r="BA572" t="str">
        <f>"TX"</f>
        <v>TX</v>
      </c>
      <c r="BB572" s="3">
        <v>75082</v>
      </c>
      <c r="BC572" t="str">
        <f t="shared" si="35"/>
        <v>UNITED STATES OF AMERICA</v>
      </c>
      <c r="BD572" t="str">
        <f>""</f>
        <v/>
      </c>
      <c r="BE572" t="str">
        <f>"+14695052766"</f>
        <v>+14695052766</v>
      </c>
      <c r="BF572" t="str">
        <f>""</f>
        <v/>
      </c>
      <c r="BG572" t="str">
        <f>"googledol@balglobal.com"</f>
        <v>googledol@balglobal.com</v>
      </c>
      <c r="BH572" t="str">
        <f>"Berry Appleman &amp; Leiden LLP"</f>
        <v>Berry Appleman &amp; Leiden LLP</v>
      </c>
      <c r="BI572" t="str">
        <f>"TX"</f>
        <v>TX</v>
      </c>
      <c r="BJ572" t="str">
        <f>"Supreme Court of Texas"</f>
        <v>Supreme Court of Texas</v>
      </c>
      <c r="BK572">
        <v>1</v>
      </c>
      <c r="BL572" t="s">
        <v>102</v>
      </c>
      <c r="BM572" t="str">
        <f>""</f>
        <v/>
      </c>
      <c r="BN572" t="s">
        <v>290</v>
      </c>
      <c r="BP572" t="s">
        <v>155</v>
      </c>
      <c r="BQ572" t="s">
        <v>230</v>
      </c>
      <c r="BR572" t="s">
        <v>141</v>
      </c>
      <c r="BS572" s="5">
        <v>94043</v>
      </c>
      <c r="BT572" s="2">
        <v>143000</v>
      </c>
      <c r="BV572" t="s">
        <v>105</v>
      </c>
      <c r="BW572" s="2">
        <v>120578</v>
      </c>
      <c r="BX572" t="s">
        <v>105</v>
      </c>
      <c r="BZ572" t="s">
        <v>167</v>
      </c>
      <c r="CA572" t="str">
        <f t="shared" si="34"/>
        <v>7/1/2020 - 6/30/2021</v>
      </c>
      <c r="CF572">
        <v>2</v>
      </c>
      <c r="CG572" t="s">
        <v>98</v>
      </c>
      <c r="CH572" t="s">
        <v>206</v>
      </c>
      <c r="CI572" t="s">
        <v>206</v>
      </c>
      <c r="CL572" t="s">
        <v>108</v>
      </c>
      <c r="CM572" t="s">
        <v>109</v>
      </c>
      <c r="CN572" t="str">
        <f>"Mata"</f>
        <v>Mata</v>
      </c>
      <c r="CO572" t="str">
        <f>"Juan"</f>
        <v>Juan</v>
      </c>
      <c r="CP572" t="str">
        <f>""</f>
        <v/>
      </c>
      <c r="CQ572" t="str">
        <f>"Berry Appleman &amp; Leiden LLP"</f>
        <v>Berry Appleman &amp; Leiden LLP</v>
      </c>
      <c r="CR572" t="s">
        <v>6059</v>
      </c>
    </row>
    <row r="573" spans="1:96" x14ac:dyDescent="0.2">
      <c r="A573" t="s">
        <v>6070</v>
      </c>
      <c r="B573" t="s">
        <v>96</v>
      </c>
      <c r="C573" s="1">
        <v>44098</v>
      </c>
      <c r="D573" s="1">
        <v>44105</v>
      </c>
      <c r="F573" t="s">
        <v>97</v>
      </c>
      <c r="G573" t="str">
        <f>"SOFTWARE DEVELOPMENT ENGINEER II"</f>
        <v>SOFTWARE DEVELOPMENT ENGINEER II</v>
      </c>
      <c r="H573" t="s">
        <v>12169</v>
      </c>
      <c r="I573" t="s">
        <v>124</v>
      </c>
      <c r="J573" t="s">
        <v>98</v>
      </c>
      <c r="K573" s="1">
        <v>44109</v>
      </c>
      <c r="L573" s="1">
        <v>45203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440</v>
      </c>
      <c r="U573" t="str">
        <f>""</f>
        <v/>
      </c>
      <c r="V573" t="s">
        <v>809</v>
      </c>
      <c r="W573" t="str">
        <f>"SUITE 500"</f>
        <v>SUITE 500</v>
      </c>
      <c r="X573" t="s">
        <v>433</v>
      </c>
      <c r="Y573" t="s">
        <v>176</v>
      </c>
      <c r="Z573" s="3">
        <v>98121</v>
      </c>
      <c r="AA573" t="s">
        <v>101</v>
      </c>
      <c r="AC573" s="4" t="str">
        <f>"+12062661000"</f>
        <v>+12062661000</v>
      </c>
      <c r="AE573" t="str">
        <f>"454110"</f>
        <v>454110</v>
      </c>
      <c r="AF573" t="s">
        <v>442</v>
      </c>
      <c r="AG573" t="s">
        <v>443</v>
      </c>
      <c r="AH573" t="s">
        <v>108</v>
      </c>
      <c r="AI573" t="s">
        <v>434</v>
      </c>
      <c r="AJ573" t="s">
        <v>809</v>
      </c>
      <c r="AK573" t="str">
        <f>"SUITE 500"</f>
        <v>SUITE 500</v>
      </c>
      <c r="AL573" t="s">
        <v>433</v>
      </c>
      <c r="AM573" t="s">
        <v>176</v>
      </c>
      <c r="AN573" s="3">
        <v>98121</v>
      </c>
      <c r="AO573" t="s">
        <v>101</v>
      </c>
      <c r="AQ573" t="str">
        <f>"+12062661000"</f>
        <v>+12062661000</v>
      </c>
      <c r="AS573" t="s">
        <v>263</v>
      </c>
      <c r="AT573" t="s">
        <v>107</v>
      </c>
      <c r="AU573" t="str">
        <f>"MARANCI"</f>
        <v>MARANCI</v>
      </c>
      <c r="AV573" t="str">
        <f>"DANIEL"</f>
        <v>DANIEL</v>
      </c>
      <c r="AW573" t="str">
        <f>"N/A"</f>
        <v>N/A</v>
      </c>
      <c r="AX573" t="str">
        <f>"100 HIGH STREET"</f>
        <v>100 HIGH STREET</v>
      </c>
      <c r="AY573" t="str">
        <f>"3RD FLOOR C#5312639"</f>
        <v>3RD FLOOR C#5312639</v>
      </c>
      <c r="AZ573" t="str">
        <f>"BOSTON"</f>
        <v>BOSTON</v>
      </c>
      <c r="BA573" t="str">
        <f>"MA"</f>
        <v>MA</v>
      </c>
      <c r="BB573" s="3">
        <v>2110</v>
      </c>
      <c r="BC573" t="str">
        <f t="shared" si="35"/>
        <v>UNITED STATES OF AMERICA</v>
      </c>
      <c r="BD573" t="str">
        <f>""</f>
        <v/>
      </c>
      <c r="BE573" t="str">
        <f>"+16175740400"</f>
        <v>+16175740400</v>
      </c>
      <c r="BF573" t="str">
        <f>""</f>
        <v/>
      </c>
      <c r="BG573" t="str">
        <f>"AMAZONINDIA@FRAGOMEN.COM"</f>
        <v>AMAZONINDIA@FRAGOMEN.COM</v>
      </c>
      <c r="BH573" t="str">
        <f>"FRAGOMEN, DEL REY, BERNSEN &amp; LOEWY, LLP"</f>
        <v>FRAGOMEN, DEL REY, BERNSEN &amp; LOEWY, LLP</v>
      </c>
      <c r="BI573" t="str">
        <f>"MA"</f>
        <v>MA</v>
      </c>
      <c r="BJ573" t="str">
        <f>"SUPREME JUDICIAL COURT"</f>
        <v>SUPREME JUDICIAL COURT</v>
      </c>
      <c r="BK573">
        <v>1</v>
      </c>
      <c r="BL573" t="s">
        <v>102</v>
      </c>
      <c r="BM573" t="str">
        <f>""</f>
        <v/>
      </c>
      <c r="BN573" t="s">
        <v>3743</v>
      </c>
      <c r="BP573" t="s">
        <v>433</v>
      </c>
      <c r="BQ573" t="s">
        <v>183</v>
      </c>
      <c r="BR573" t="s">
        <v>176</v>
      </c>
      <c r="BS573" s="5">
        <v>98109</v>
      </c>
      <c r="BT573" s="2">
        <v>145400</v>
      </c>
      <c r="BV573" t="s">
        <v>105</v>
      </c>
      <c r="BW573" s="2">
        <v>113110</v>
      </c>
      <c r="BX573" t="s">
        <v>105</v>
      </c>
      <c r="BZ573" t="s">
        <v>167</v>
      </c>
      <c r="CA573" t="str">
        <f t="shared" si="34"/>
        <v>7/1/2020 - 6/30/2021</v>
      </c>
      <c r="CF573">
        <v>1</v>
      </c>
      <c r="CG573" t="s">
        <v>98</v>
      </c>
      <c r="CH573" t="s">
        <v>206</v>
      </c>
      <c r="CI573" t="s">
        <v>206</v>
      </c>
      <c r="CL573" t="s">
        <v>108</v>
      </c>
      <c r="CM573" t="s">
        <v>109</v>
      </c>
      <c r="CN573" t="str">
        <f>"SUNNY"</f>
        <v>SUNNY</v>
      </c>
      <c r="CO573" t="str">
        <f>"JASMIN"</f>
        <v>JASMIN</v>
      </c>
      <c r="CP573" t="str">
        <f>"N/A"</f>
        <v>N/A</v>
      </c>
      <c r="CQ573" t="str">
        <f>"FRAGOMEN, DEL REY, BERNSEN &amp; LOEWY, LLP"</f>
        <v>FRAGOMEN, DEL REY, BERNSEN &amp; LOEWY, LLP</v>
      </c>
      <c r="CR573" t="s">
        <v>650</v>
      </c>
    </row>
    <row r="574" spans="1:96" x14ac:dyDescent="0.2">
      <c r="A574" t="s">
        <v>6132</v>
      </c>
      <c r="B574" t="s">
        <v>96</v>
      </c>
      <c r="C574" s="1">
        <v>44098</v>
      </c>
      <c r="D574" s="1">
        <v>44105</v>
      </c>
      <c r="F574" t="s">
        <v>97</v>
      </c>
      <c r="G574" t="str">
        <f>"Sr Software Engineer"</f>
        <v>Sr Software Engineer</v>
      </c>
      <c r="H574" t="s">
        <v>12169</v>
      </c>
      <c r="I574" t="s">
        <v>124</v>
      </c>
      <c r="J574" t="s">
        <v>98</v>
      </c>
      <c r="K574" s="1">
        <v>44105</v>
      </c>
      <c r="L574" s="1">
        <v>45199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2834</v>
      </c>
      <c r="U574" t="str">
        <f>""</f>
        <v/>
      </c>
      <c r="V574" t="s">
        <v>2120</v>
      </c>
      <c r="W574" t="str">
        <f>""</f>
        <v/>
      </c>
      <c r="X574" t="s">
        <v>671</v>
      </c>
      <c r="Y574" t="s">
        <v>141</v>
      </c>
      <c r="Z574" s="3">
        <v>94085</v>
      </c>
      <c r="AA574" t="s">
        <v>101</v>
      </c>
      <c r="AC574" s="4" t="str">
        <f>"+16506873600"</f>
        <v>+16506873600</v>
      </c>
      <c r="AE574" t="str">
        <f>"518210"</f>
        <v>518210</v>
      </c>
      <c r="AF574" t="s">
        <v>2117</v>
      </c>
      <c r="AG574" t="s">
        <v>2118</v>
      </c>
      <c r="AI574" t="s">
        <v>2119</v>
      </c>
      <c r="AJ574" t="s">
        <v>2120</v>
      </c>
      <c r="AK574" t="str">
        <f>""</f>
        <v/>
      </c>
      <c r="AL574" t="s">
        <v>671</v>
      </c>
      <c r="AM574" t="s">
        <v>141</v>
      </c>
      <c r="AN574" s="3">
        <v>94085</v>
      </c>
      <c r="AO574" t="s">
        <v>101</v>
      </c>
      <c r="AQ574" t="str">
        <f>"+16506873600"</f>
        <v>+16506873600</v>
      </c>
      <c r="AS574" t="s">
        <v>2121</v>
      </c>
      <c r="AT574" t="s">
        <v>107</v>
      </c>
      <c r="AU574" t="str">
        <f>"Kivuvani"</f>
        <v>Kivuvani</v>
      </c>
      <c r="AV574" t="str">
        <f>"Susan"</f>
        <v>Susan</v>
      </c>
      <c r="AW574" t="str">
        <f>"Kalekye"</f>
        <v>Kalekye</v>
      </c>
      <c r="AX574" t="str">
        <f>"2400 N Glenville Drive"</f>
        <v>2400 N Glenville Drive</v>
      </c>
      <c r="AY574" t="str">
        <f>"Building A, Suite 100"</f>
        <v>Building A, Suite 100</v>
      </c>
      <c r="AZ574" t="str">
        <f>"Richardson"</f>
        <v>Richardson</v>
      </c>
      <c r="BA574" t="str">
        <f>"TX"</f>
        <v>TX</v>
      </c>
      <c r="BB574" s="3">
        <v>75082</v>
      </c>
      <c r="BC574" t="str">
        <f t="shared" si="35"/>
        <v>UNITED STATES OF AMERICA</v>
      </c>
      <c r="BD574" t="str">
        <f>""</f>
        <v/>
      </c>
      <c r="BE574" t="str">
        <f>"+14692909832"</f>
        <v>+14692909832</v>
      </c>
      <c r="BF574" t="str">
        <f>""</f>
        <v/>
      </c>
      <c r="BG574" t="str">
        <f>"smba@balglobal.com"</f>
        <v>smba@balglobal.com</v>
      </c>
      <c r="BH574" t="str">
        <f>"Berry Appleman &amp; Leiden LLP"</f>
        <v>Berry Appleman &amp; Leiden LLP</v>
      </c>
      <c r="BI574" t="str">
        <f>"MO"</f>
        <v>MO</v>
      </c>
      <c r="BJ574" t="str">
        <f>"Supreme Court of Missouri"</f>
        <v>Supreme Court of Missouri</v>
      </c>
      <c r="BK574">
        <v>1</v>
      </c>
      <c r="BL574" t="s">
        <v>102</v>
      </c>
      <c r="BM574" t="str">
        <f>""</f>
        <v/>
      </c>
      <c r="BN574" t="s">
        <v>2915</v>
      </c>
      <c r="BP574" t="s">
        <v>140</v>
      </c>
      <c r="BQ574" t="s">
        <v>147</v>
      </c>
      <c r="BR574" t="s">
        <v>141</v>
      </c>
      <c r="BS574" s="5">
        <v>94105</v>
      </c>
      <c r="BT574" s="2">
        <v>145246</v>
      </c>
      <c r="BU574" s="2">
        <v>219000</v>
      </c>
      <c r="BV574" t="s">
        <v>105</v>
      </c>
      <c r="BW574" s="2">
        <v>145246</v>
      </c>
      <c r="BX574" t="s">
        <v>105</v>
      </c>
      <c r="BZ574" t="s">
        <v>123</v>
      </c>
      <c r="CA574" t="str">
        <f t="shared" si="34"/>
        <v>7/1/2020 - 6/30/2021</v>
      </c>
      <c r="CF574">
        <v>2</v>
      </c>
      <c r="CG574" t="s">
        <v>98</v>
      </c>
      <c r="CH574" t="s">
        <v>206</v>
      </c>
      <c r="CI574" t="s">
        <v>206</v>
      </c>
      <c r="CL574" t="s">
        <v>108</v>
      </c>
      <c r="CM574" t="s">
        <v>109</v>
      </c>
      <c r="CN574" t="str">
        <f>""</f>
        <v/>
      </c>
      <c r="CO574" t="str">
        <f>""</f>
        <v/>
      </c>
      <c r="CP574" t="str">
        <f>""</f>
        <v/>
      </c>
      <c r="CQ574" t="str">
        <f>""</f>
        <v/>
      </c>
    </row>
    <row r="575" spans="1:96" x14ac:dyDescent="0.2">
      <c r="A575" t="s">
        <v>6190</v>
      </c>
      <c r="B575" t="s">
        <v>96</v>
      </c>
      <c r="C575" s="1">
        <v>44098</v>
      </c>
      <c r="D575" s="1">
        <v>44105</v>
      </c>
      <c r="F575" t="s">
        <v>97</v>
      </c>
      <c r="G575" t="str">
        <f>"LEAD ENGINEER, SOFTWARE ENGINEERING"</f>
        <v>LEAD ENGINEER, SOFTWARE ENGINEERING</v>
      </c>
      <c r="H575" t="s">
        <v>12169</v>
      </c>
      <c r="I575" t="s">
        <v>124</v>
      </c>
      <c r="J575" t="s">
        <v>98</v>
      </c>
      <c r="K575" s="1">
        <v>44109</v>
      </c>
      <c r="L575" s="1">
        <v>45203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6191</v>
      </c>
      <c r="U575" t="str">
        <f>""</f>
        <v/>
      </c>
      <c r="V575" t="s">
        <v>1605</v>
      </c>
      <c r="W575" t="str">
        <f>""</f>
        <v/>
      </c>
      <c r="X575" t="s">
        <v>998</v>
      </c>
      <c r="Y575" t="s">
        <v>122</v>
      </c>
      <c r="Z575" s="3">
        <v>28277</v>
      </c>
      <c r="AA575" t="s">
        <v>101</v>
      </c>
      <c r="AC575" s="4" t="str">
        <f>"+18649928747"</f>
        <v>+18649928747</v>
      </c>
      <c r="AE575" t="str">
        <f>"541614"</f>
        <v>541614</v>
      </c>
      <c r="AF575" t="s">
        <v>1606</v>
      </c>
      <c r="AG575" t="s">
        <v>695</v>
      </c>
      <c r="AH575" t="s">
        <v>1607</v>
      </c>
      <c r="AI575" t="s">
        <v>1608</v>
      </c>
      <c r="AJ575" t="s">
        <v>1605</v>
      </c>
      <c r="AK575" t="str">
        <f>""</f>
        <v/>
      </c>
      <c r="AL575" t="s">
        <v>998</v>
      </c>
      <c r="AM575" t="s">
        <v>122</v>
      </c>
      <c r="AN575" s="3">
        <v>28277</v>
      </c>
      <c r="AO575" t="s">
        <v>101</v>
      </c>
      <c r="AQ575" t="str">
        <f>"+18649928747"</f>
        <v>+18649928747</v>
      </c>
      <c r="AS575" t="s">
        <v>1609</v>
      </c>
      <c r="AT575" t="s">
        <v>107</v>
      </c>
      <c r="AU575" t="str">
        <f>"BRADSHAW"</f>
        <v>BRADSHAW</v>
      </c>
      <c r="AV575" t="str">
        <f>"PENNI"</f>
        <v>PENNI</v>
      </c>
      <c r="AW575" t="str">
        <f>"PEARSON"</f>
        <v>PEARSON</v>
      </c>
      <c r="AX575" t="str">
        <f>"100 N. CHERRY ST."</f>
        <v>100 N. CHERRY ST.</v>
      </c>
      <c r="AY575" t="str">
        <f>"STE. 300"</f>
        <v>STE. 300</v>
      </c>
      <c r="AZ575" t="str">
        <f>"WINSTON-SALEM"</f>
        <v>WINSTON-SALEM</v>
      </c>
      <c r="BA575" t="str">
        <f>"NC"</f>
        <v>NC</v>
      </c>
      <c r="BB575" s="3">
        <v>27101</v>
      </c>
      <c r="BC575" t="str">
        <f t="shared" si="35"/>
        <v>UNITED STATES OF AMERICA</v>
      </c>
      <c r="BD575" t="str">
        <f>""</f>
        <v/>
      </c>
      <c r="BE575" t="str">
        <f>"+13367216842"</f>
        <v>+13367216842</v>
      </c>
      <c r="BF575" t="str">
        <f>""</f>
        <v/>
      </c>
      <c r="BG575" t="str">
        <f>"AKNOWLES@CONSTANGY.COM"</f>
        <v>AKNOWLES@CONSTANGY.COM</v>
      </c>
      <c r="BH575" t="str">
        <f>"CONSTANGY, BROOKS, SMITH &amp; PROPHETE, LLP"</f>
        <v>CONSTANGY, BROOKS, SMITH &amp; PROPHETE, LLP</v>
      </c>
      <c r="BI575" t="str">
        <f>"NC"</f>
        <v>NC</v>
      </c>
      <c r="BJ575" t="str">
        <f>"SUPREME COURT"</f>
        <v>SUPREME COURT</v>
      </c>
      <c r="BK575">
        <v>1</v>
      </c>
      <c r="BL575" t="s">
        <v>102</v>
      </c>
      <c r="BM575" t="str">
        <f>""</f>
        <v/>
      </c>
      <c r="BN575" t="s">
        <v>6192</v>
      </c>
      <c r="BP575" t="s">
        <v>2768</v>
      </c>
      <c r="BQ575" t="s">
        <v>2769</v>
      </c>
      <c r="BR575" t="s">
        <v>814</v>
      </c>
      <c r="BS575" s="5">
        <v>97209</v>
      </c>
      <c r="BT575" s="2">
        <v>110000</v>
      </c>
      <c r="BU575" s="2">
        <v>130000</v>
      </c>
      <c r="BV575" t="s">
        <v>105</v>
      </c>
      <c r="BW575" s="2">
        <v>108202</v>
      </c>
      <c r="BX575" t="s">
        <v>105</v>
      </c>
      <c r="BZ575" t="s">
        <v>123</v>
      </c>
      <c r="CA575" t="str">
        <f t="shared" si="34"/>
        <v>7/1/2020 - 6/30/2021</v>
      </c>
      <c r="CF575">
        <v>1</v>
      </c>
      <c r="CG575" t="s">
        <v>98</v>
      </c>
      <c r="CH575" t="s">
        <v>206</v>
      </c>
      <c r="CI575" t="s">
        <v>206</v>
      </c>
      <c r="CL575" t="s">
        <v>108</v>
      </c>
      <c r="CM575" t="s">
        <v>109</v>
      </c>
      <c r="CN575" t="str">
        <f>"KNOWLES"</f>
        <v>KNOWLES</v>
      </c>
      <c r="CO575" t="str">
        <f>"ALICIA"</f>
        <v>ALICIA</v>
      </c>
      <c r="CP575" t="str">
        <f>"G"</f>
        <v>G</v>
      </c>
      <c r="CQ575" t="str">
        <f>"CONSTANGY, BROOKS, SMITH &amp; PROPHETE, LLP"</f>
        <v>CONSTANGY, BROOKS, SMITH &amp; PROPHETE, LLP</v>
      </c>
      <c r="CR575" t="s">
        <v>1610</v>
      </c>
    </row>
    <row r="576" spans="1:96" x14ac:dyDescent="0.2">
      <c r="A576" t="s">
        <v>6222</v>
      </c>
      <c r="B576" t="s">
        <v>96</v>
      </c>
      <c r="C576" s="1">
        <v>44098</v>
      </c>
      <c r="D576" s="1">
        <v>44105</v>
      </c>
      <c r="F576" t="s">
        <v>97</v>
      </c>
      <c r="G576" t="str">
        <f>"Application Developer Lead"</f>
        <v>Application Developer Lead</v>
      </c>
      <c r="H576" t="s">
        <v>12169</v>
      </c>
      <c r="I576" t="s">
        <v>124</v>
      </c>
      <c r="J576" t="s">
        <v>98</v>
      </c>
      <c r="K576" s="1">
        <v>44109</v>
      </c>
      <c r="L576" s="1">
        <v>45203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2652</v>
      </c>
      <c r="U576" t="str">
        <f>""</f>
        <v/>
      </c>
      <c r="V576" t="s">
        <v>2653</v>
      </c>
      <c r="W576" t="str">
        <f>"Ste. 800"</f>
        <v>Ste. 800</v>
      </c>
      <c r="X576" t="s">
        <v>261</v>
      </c>
      <c r="Y576" t="s">
        <v>176</v>
      </c>
      <c r="Z576" s="3">
        <v>98134</v>
      </c>
      <c r="AA576" t="s">
        <v>101</v>
      </c>
      <c r="AC576" s="4" t="str">
        <f>"+12063184906"</f>
        <v>+12063184906</v>
      </c>
      <c r="AE576" t="str">
        <f>"311920"</f>
        <v>311920</v>
      </c>
      <c r="AF576" t="s">
        <v>2654</v>
      </c>
      <c r="AG576" t="s">
        <v>1719</v>
      </c>
      <c r="AH576" t="s">
        <v>108</v>
      </c>
      <c r="AI576" t="s">
        <v>2655</v>
      </c>
      <c r="AJ576" t="s">
        <v>2653</v>
      </c>
      <c r="AK576" t="str">
        <f>"Ste. 800"</f>
        <v>Ste. 800</v>
      </c>
      <c r="AL576" t="s">
        <v>261</v>
      </c>
      <c r="AM576" t="s">
        <v>176</v>
      </c>
      <c r="AN576" s="3" t="s">
        <v>12301</v>
      </c>
      <c r="AO576" t="s">
        <v>101</v>
      </c>
      <c r="AQ576" t="str">
        <f>"+12063180305"</f>
        <v>+12063180305</v>
      </c>
      <c r="AS576" t="s">
        <v>2656</v>
      </c>
      <c r="AT576" t="s">
        <v>102</v>
      </c>
      <c r="AU576" t="str">
        <f>""</f>
        <v/>
      </c>
      <c r="AV576" t="str">
        <f>""</f>
        <v/>
      </c>
      <c r="AW576" t="str">
        <f>""</f>
        <v/>
      </c>
      <c r="AX576" t="str">
        <f>""</f>
        <v/>
      </c>
      <c r="AY576" t="str">
        <f>""</f>
        <v/>
      </c>
      <c r="AZ576" t="str">
        <f>""</f>
        <v/>
      </c>
      <c r="BA576" t="str">
        <f>""</f>
        <v/>
      </c>
      <c r="BC576" t="str">
        <f>""</f>
        <v/>
      </c>
      <c r="BD576" t="str">
        <f>""</f>
        <v/>
      </c>
      <c r="BE576" t="str">
        <f>""</f>
        <v/>
      </c>
      <c r="BF576" t="str">
        <f>""</f>
        <v/>
      </c>
      <c r="BG576" t="str">
        <f>""</f>
        <v/>
      </c>
      <c r="BH576" t="str">
        <f>""</f>
        <v/>
      </c>
      <c r="BI576" t="str">
        <f>""</f>
        <v/>
      </c>
      <c r="BJ576" t="str">
        <f>""</f>
        <v/>
      </c>
      <c r="BK576">
        <v>1</v>
      </c>
      <c r="BL576" t="s">
        <v>102</v>
      </c>
      <c r="BM576" t="str">
        <f>""</f>
        <v/>
      </c>
      <c r="BN576" t="s">
        <v>2653</v>
      </c>
      <c r="BO576" t="s">
        <v>2657</v>
      </c>
      <c r="BP576" t="s">
        <v>261</v>
      </c>
      <c r="BQ576" t="s">
        <v>183</v>
      </c>
      <c r="BR576" t="s">
        <v>176</v>
      </c>
      <c r="BS576" s="5" t="s">
        <v>12301</v>
      </c>
      <c r="BT576" s="2">
        <v>165000</v>
      </c>
      <c r="BV576" t="s">
        <v>105</v>
      </c>
      <c r="BW576" s="2">
        <v>155106</v>
      </c>
      <c r="BX576" t="s">
        <v>105</v>
      </c>
      <c r="BZ576" t="s">
        <v>159</v>
      </c>
      <c r="CA576" t="str">
        <f t="shared" si="34"/>
        <v>7/1/2020 - 6/30/2021</v>
      </c>
      <c r="CF576">
        <v>2</v>
      </c>
      <c r="CG576" t="s">
        <v>98</v>
      </c>
      <c r="CH576" t="s">
        <v>206</v>
      </c>
      <c r="CI576" t="s">
        <v>206</v>
      </c>
      <c r="CL576" t="s">
        <v>108</v>
      </c>
      <c r="CM576" t="s">
        <v>109</v>
      </c>
      <c r="CN576" t="str">
        <f>""</f>
        <v/>
      </c>
      <c r="CO576" t="str">
        <f>""</f>
        <v/>
      </c>
      <c r="CP576" t="str">
        <f>""</f>
        <v/>
      </c>
      <c r="CQ576" t="str">
        <f>""</f>
        <v/>
      </c>
    </row>
    <row r="577" spans="1:96" x14ac:dyDescent="0.2">
      <c r="A577" t="s">
        <v>6223</v>
      </c>
      <c r="B577" t="s">
        <v>96</v>
      </c>
      <c r="C577" s="1">
        <v>44098</v>
      </c>
      <c r="D577" s="1">
        <v>44105</v>
      </c>
      <c r="F577" t="s">
        <v>97</v>
      </c>
      <c r="G577" t="str">
        <f>"Art Director"</f>
        <v>Art Director</v>
      </c>
      <c r="H577" t="s">
        <v>12254</v>
      </c>
      <c r="I577" t="s">
        <v>1395</v>
      </c>
      <c r="J577" t="s">
        <v>206</v>
      </c>
      <c r="K577" s="1">
        <v>44105</v>
      </c>
      <c r="L577" s="1">
        <v>45199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6224</v>
      </c>
      <c r="U577" t="str">
        <f>""</f>
        <v/>
      </c>
      <c r="V577" t="s">
        <v>6225</v>
      </c>
      <c r="W577" t="str">
        <f>""</f>
        <v/>
      </c>
      <c r="X577" t="s">
        <v>6226</v>
      </c>
      <c r="Y577" t="s">
        <v>190</v>
      </c>
      <c r="Z577" s="3">
        <v>11501</v>
      </c>
      <c r="AA577" t="s">
        <v>101</v>
      </c>
      <c r="AC577" s="4" t="str">
        <f>"+16318363196"</f>
        <v>+16318363196</v>
      </c>
      <c r="AE577" t="str">
        <f>"4231"</f>
        <v>4231</v>
      </c>
      <c r="AF577" t="s">
        <v>3081</v>
      </c>
      <c r="AG577" t="s">
        <v>6227</v>
      </c>
      <c r="AI577" t="s">
        <v>646</v>
      </c>
      <c r="AJ577" t="s">
        <v>6225</v>
      </c>
      <c r="AK577" t="str">
        <f>""</f>
        <v/>
      </c>
      <c r="AL577" t="s">
        <v>6226</v>
      </c>
      <c r="AM577" t="s">
        <v>190</v>
      </c>
      <c r="AN577" s="3">
        <v>11501</v>
      </c>
      <c r="AO577" t="s">
        <v>101</v>
      </c>
      <c r="AQ577" t="str">
        <f>"+16318363196"</f>
        <v>+16318363196</v>
      </c>
      <c r="AS577" t="s">
        <v>6228</v>
      </c>
      <c r="AT577" t="s">
        <v>107</v>
      </c>
      <c r="AU577" t="str">
        <f>"SU"</f>
        <v>SU</v>
      </c>
      <c r="AV577" t="str">
        <f>"Chenping"</f>
        <v>Chenping</v>
      </c>
      <c r="AW577" t="str">
        <f>""</f>
        <v/>
      </c>
      <c r="AX577" t="str">
        <f>"1065 6th Avenue"</f>
        <v>1065 6th Avenue</v>
      </c>
      <c r="AY577" t="str">
        <f>"Suite 1025"</f>
        <v>Suite 1025</v>
      </c>
      <c r="AZ577" t="str">
        <f>"New York"</f>
        <v>New York</v>
      </c>
      <c r="BA577" t="str">
        <f>"NY"</f>
        <v>NY</v>
      </c>
      <c r="BB577" s="3">
        <v>10018</v>
      </c>
      <c r="BC577" t="str">
        <f>"UNITED STATES OF AMERICA"</f>
        <v>UNITED STATES OF AMERICA</v>
      </c>
      <c r="BD577" t="str">
        <f>""</f>
        <v/>
      </c>
      <c r="BE577" t="str">
        <f>"+12129206947"</f>
        <v>+12129206947</v>
      </c>
      <c r="BF577" t="str">
        <f>""</f>
        <v/>
      </c>
      <c r="BG577" t="str">
        <f>"INFO@NYISLAWFIRM.COM"</f>
        <v>INFO@NYISLAWFIRM.COM</v>
      </c>
      <c r="BH577" t="str">
        <f>"NYIS Law Firm"</f>
        <v>NYIS Law Firm</v>
      </c>
      <c r="BI577" t="str">
        <f>"NY"</f>
        <v>NY</v>
      </c>
      <c r="BJ577" t="str">
        <f>"New York State Court of Appeals"</f>
        <v>New York State Court of Appeals</v>
      </c>
      <c r="BK577">
        <v>1</v>
      </c>
      <c r="BL577" t="s">
        <v>102</v>
      </c>
      <c r="BM577" t="str">
        <f>""</f>
        <v/>
      </c>
      <c r="BN577" t="s">
        <v>6229</v>
      </c>
      <c r="BP577" t="s">
        <v>6226</v>
      </c>
      <c r="BQ577" t="s">
        <v>1167</v>
      </c>
      <c r="BR577" t="s">
        <v>190</v>
      </c>
      <c r="BS577" s="5">
        <v>11501</v>
      </c>
      <c r="BT577" s="2">
        <v>35.729999999999997</v>
      </c>
      <c r="BV577" t="s">
        <v>210</v>
      </c>
      <c r="BW577" s="2">
        <v>35.729999999999997</v>
      </c>
      <c r="BX577" t="s">
        <v>210</v>
      </c>
      <c r="BZ577" t="s">
        <v>191</v>
      </c>
      <c r="CA577" t="str">
        <f t="shared" si="34"/>
        <v>7/1/2020 - 6/30/2021</v>
      </c>
      <c r="CF577">
        <v>1</v>
      </c>
      <c r="CG577" t="s">
        <v>98</v>
      </c>
      <c r="CH577" t="s">
        <v>206</v>
      </c>
      <c r="CI577" t="s">
        <v>206</v>
      </c>
      <c r="CL577" t="s">
        <v>108</v>
      </c>
      <c r="CM577" t="s">
        <v>109</v>
      </c>
      <c r="CN577" t="str">
        <f>""</f>
        <v/>
      </c>
      <c r="CO577" t="str">
        <f>""</f>
        <v/>
      </c>
      <c r="CP577" t="str">
        <f>""</f>
        <v/>
      </c>
      <c r="CQ577" t="str">
        <f>""</f>
        <v/>
      </c>
    </row>
    <row r="578" spans="1:96" x14ac:dyDescent="0.2">
      <c r="A578" t="s">
        <v>6237</v>
      </c>
      <c r="B578" t="s">
        <v>96</v>
      </c>
      <c r="C578" s="1">
        <v>44098</v>
      </c>
      <c r="D578" s="1">
        <v>44105</v>
      </c>
      <c r="F578" t="s">
        <v>97</v>
      </c>
      <c r="G578" t="str">
        <f>"Postdoctoral Research Associate"</f>
        <v>Postdoctoral Research Associate</v>
      </c>
      <c r="H578" t="s">
        <v>12172</v>
      </c>
      <c r="I578" t="s">
        <v>1184</v>
      </c>
      <c r="J578" t="s">
        <v>98</v>
      </c>
      <c r="K578" s="1">
        <v>44243</v>
      </c>
      <c r="L578" s="1">
        <v>45337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5127</v>
      </c>
      <c r="U578" t="str">
        <f>""</f>
        <v/>
      </c>
      <c r="V578" t="s">
        <v>5128</v>
      </c>
      <c r="W578" t="str">
        <f>""</f>
        <v/>
      </c>
      <c r="X578" t="s">
        <v>2463</v>
      </c>
      <c r="Y578" t="s">
        <v>171</v>
      </c>
      <c r="Z578" s="3">
        <v>1545</v>
      </c>
      <c r="AA578" t="s">
        <v>101</v>
      </c>
      <c r="AC578" s="4" t="str">
        <f>"+15088563987"</f>
        <v>+15088563987</v>
      </c>
      <c r="AE578" t="str">
        <f>"611310"</f>
        <v>611310</v>
      </c>
      <c r="AF578" t="s">
        <v>6238</v>
      </c>
      <c r="AG578" t="s">
        <v>3383</v>
      </c>
      <c r="AH578" t="s">
        <v>6239</v>
      </c>
      <c r="AI578" t="s">
        <v>1493</v>
      </c>
      <c r="AJ578" t="s">
        <v>5128</v>
      </c>
      <c r="AK578" t="str">
        <f>"2nd Floor"</f>
        <v>2nd Floor</v>
      </c>
      <c r="AL578" t="s">
        <v>2463</v>
      </c>
      <c r="AM578" t="s">
        <v>171</v>
      </c>
      <c r="AN578" s="3">
        <v>1545</v>
      </c>
      <c r="AO578" t="s">
        <v>101</v>
      </c>
      <c r="AQ578" t="str">
        <f>"+15088563987"</f>
        <v>+15088563987</v>
      </c>
      <c r="AS578" t="s">
        <v>6240</v>
      </c>
      <c r="AT578" t="s">
        <v>102</v>
      </c>
      <c r="AU578" t="str">
        <f>""</f>
        <v/>
      </c>
      <c r="AV578" t="str">
        <f>""</f>
        <v/>
      </c>
      <c r="AW578" t="str">
        <f>""</f>
        <v/>
      </c>
      <c r="AX578" t="str">
        <f>""</f>
        <v/>
      </c>
      <c r="AY578" t="str">
        <f>""</f>
        <v/>
      </c>
      <c r="AZ578" t="str">
        <f>""</f>
        <v/>
      </c>
      <c r="BA578" t="str">
        <f>""</f>
        <v/>
      </c>
      <c r="BC578" t="str">
        <f>""</f>
        <v/>
      </c>
      <c r="BD578" t="str">
        <f>""</f>
        <v/>
      </c>
      <c r="BE578" t="str">
        <f>""</f>
        <v/>
      </c>
      <c r="BF578" t="str">
        <f>""</f>
        <v/>
      </c>
      <c r="BG578" t="str">
        <f>""</f>
        <v/>
      </c>
      <c r="BH578" t="str">
        <f>""</f>
        <v/>
      </c>
      <c r="BI578" t="str">
        <f>""</f>
        <v/>
      </c>
      <c r="BJ578" t="str">
        <f>""</f>
        <v/>
      </c>
      <c r="BK578">
        <v>1</v>
      </c>
      <c r="BL578" t="s">
        <v>102</v>
      </c>
      <c r="BM578" t="str">
        <f>""</f>
        <v/>
      </c>
      <c r="BN578" t="s">
        <v>5373</v>
      </c>
      <c r="BP578" t="s">
        <v>4158</v>
      </c>
      <c r="BQ578" t="s">
        <v>2584</v>
      </c>
      <c r="BR578" t="s">
        <v>171</v>
      </c>
      <c r="BS578" s="5">
        <v>1655</v>
      </c>
      <c r="BT578" s="2">
        <v>54756</v>
      </c>
      <c r="BV578" t="s">
        <v>105</v>
      </c>
      <c r="BW578" s="2">
        <v>42890</v>
      </c>
      <c r="BX578" t="s">
        <v>105</v>
      </c>
      <c r="BZ578" t="s">
        <v>191</v>
      </c>
      <c r="CA578" t="str">
        <f t="shared" si="34"/>
        <v>7/1/2020 - 6/30/2021</v>
      </c>
      <c r="CF578">
        <v>1</v>
      </c>
      <c r="CG578" t="s">
        <v>98</v>
      </c>
      <c r="CH578" t="s">
        <v>206</v>
      </c>
      <c r="CI578" t="s">
        <v>206</v>
      </c>
      <c r="CL578" t="s">
        <v>108</v>
      </c>
      <c r="CM578" t="s">
        <v>109</v>
      </c>
      <c r="CN578" t="str">
        <f>""</f>
        <v/>
      </c>
      <c r="CO578" t="str">
        <f>""</f>
        <v/>
      </c>
      <c r="CP578" t="str">
        <f>""</f>
        <v/>
      </c>
      <c r="CQ578" t="str">
        <f>""</f>
        <v/>
      </c>
    </row>
    <row r="579" spans="1:96" x14ac:dyDescent="0.2">
      <c r="A579" t="s">
        <v>6247</v>
      </c>
      <c r="B579" t="s">
        <v>96</v>
      </c>
      <c r="C579" s="1">
        <v>44098</v>
      </c>
      <c r="D579" s="1">
        <v>44105</v>
      </c>
      <c r="F579" t="s">
        <v>97</v>
      </c>
      <c r="G579" t="str">
        <f>"Assistant Research Scientist"</f>
        <v>Assistant Research Scientist</v>
      </c>
      <c r="H579" t="s">
        <v>12196</v>
      </c>
      <c r="I579" t="s">
        <v>322</v>
      </c>
      <c r="J579" t="s">
        <v>98</v>
      </c>
      <c r="K579" s="1">
        <v>44119</v>
      </c>
      <c r="L579" s="1">
        <v>45213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 t="s">
        <v>1006</v>
      </c>
      <c r="U579" t="str">
        <f>""</f>
        <v/>
      </c>
      <c r="V579" t="s">
        <v>1007</v>
      </c>
      <c r="W579" t="str">
        <f>""</f>
        <v/>
      </c>
      <c r="X579" t="s">
        <v>1008</v>
      </c>
      <c r="Y579" t="s">
        <v>195</v>
      </c>
      <c r="Z579" s="3">
        <v>21218</v>
      </c>
      <c r="AA579" t="s">
        <v>101</v>
      </c>
      <c r="AC579" s="4" t="str">
        <f>"+16672087012"</f>
        <v>+16672087012</v>
      </c>
      <c r="AE579" t="str">
        <f>"611310"</f>
        <v>611310</v>
      </c>
      <c r="AF579" t="s">
        <v>6248</v>
      </c>
      <c r="AG579" t="s">
        <v>1943</v>
      </c>
      <c r="AI579" t="s">
        <v>6249</v>
      </c>
      <c r="AJ579" t="s">
        <v>1010</v>
      </c>
      <c r="AK579" t="str">
        <f>"Reed Hall, Suite 405"</f>
        <v>Reed Hall, Suite 405</v>
      </c>
      <c r="AL579" t="s">
        <v>1008</v>
      </c>
      <c r="AM579" t="s">
        <v>195</v>
      </c>
      <c r="AN579" s="3">
        <v>21205</v>
      </c>
      <c r="AO579" t="s">
        <v>101</v>
      </c>
      <c r="AQ579" t="str">
        <f>"+16672087012"</f>
        <v>+16672087012</v>
      </c>
      <c r="AS579" t="s">
        <v>6250</v>
      </c>
      <c r="AT579" t="s">
        <v>102</v>
      </c>
      <c r="AU579" t="str">
        <f>""</f>
        <v/>
      </c>
      <c r="AV579" t="str">
        <f>""</f>
        <v/>
      </c>
      <c r="AW579" t="str">
        <f>""</f>
        <v/>
      </c>
      <c r="AX579" t="str">
        <f>""</f>
        <v/>
      </c>
      <c r="AY579" t="str">
        <f>""</f>
        <v/>
      </c>
      <c r="AZ579" t="str">
        <f>""</f>
        <v/>
      </c>
      <c r="BA579" t="str">
        <f>""</f>
        <v/>
      </c>
      <c r="BC579" t="str">
        <f>""</f>
        <v/>
      </c>
      <c r="BD579" t="str">
        <f>""</f>
        <v/>
      </c>
      <c r="BE579" t="str">
        <f>""</f>
        <v/>
      </c>
      <c r="BF579" t="str">
        <f>""</f>
        <v/>
      </c>
      <c r="BG579" t="str">
        <f>""</f>
        <v/>
      </c>
      <c r="BH579" t="str">
        <f>""</f>
        <v/>
      </c>
      <c r="BI579" t="str">
        <f>""</f>
        <v/>
      </c>
      <c r="BJ579" t="str">
        <f>""</f>
        <v/>
      </c>
      <c r="BK579">
        <v>1</v>
      </c>
      <c r="BL579" t="s">
        <v>102</v>
      </c>
      <c r="BM579" t="str">
        <f>""</f>
        <v/>
      </c>
      <c r="BN579" t="s">
        <v>6251</v>
      </c>
      <c r="BP579" t="s">
        <v>1008</v>
      </c>
      <c r="BQ579" t="s">
        <v>1011</v>
      </c>
      <c r="BR579" t="s">
        <v>195</v>
      </c>
      <c r="BS579" s="5">
        <v>21218</v>
      </c>
      <c r="BT579" s="2">
        <v>61800</v>
      </c>
      <c r="BV579" t="s">
        <v>105</v>
      </c>
      <c r="BW579" s="2">
        <v>47133</v>
      </c>
      <c r="BX579" t="s">
        <v>105</v>
      </c>
      <c r="BZ579" t="s">
        <v>123</v>
      </c>
      <c r="CA579" t="str">
        <f t="shared" si="34"/>
        <v>7/1/2020 - 6/30/2021</v>
      </c>
      <c r="CF579">
        <v>1</v>
      </c>
      <c r="CG579" t="s">
        <v>98</v>
      </c>
      <c r="CH579" t="s">
        <v>206</v>
      </c>
      <c r="CI579" t="s">
        <v>206</v>
      </c>
      <c r="CL579" t="s">
        <v>108</v>
      </c>
      <c r="CM579" t="s">
        <v>109</v>
      </c>
      <c r="CN579" t="str">
        <f>""</f>
        <v/>
      </c>
      <c r="CO579" t="str">
        <f>""</f>
        <v/>
      </c>
      <c r="CP579" t="str">
        <f>""</f>
        <v/>
      </c>
      <c r="CQ579" t="str">
        <f>""</f>
        <v/>
      </c>
    </row>
    <row r="580" spans="1:96" x14ac:dyDescent="0.2">
      <c r="A580" t="s">
        <v>6257</v>
      </c>
      <c r="B580" t="s">
        <v>96</v>
      </c>
      <c r="C580" s="1">
        <v>44098</v>
      </c>
      <c r="D580" s="1">
        <v>44105</v>
      </c>
      <c r="F580" t="s">
        <v>97</v>
      </c>
      <c r="G580" t="str">
        <f>"Senior Business Intelligence Specialist"</f>
        <v>Senior Business Intelligence Specialist</v>
      </c>
      <c r="H580" t="s">
        <v>12169</v>
      </c>
      <c r="I580" t="s">
        <v>124</v>
      </c>
      <c r="J580" t="s">
        <v>98</v>
      </c>
      <c r="K580" s="1">
        <v>44109</v>
      </c>
      <c r="L580" s="1">
        <v>45203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4294</v>
      </c>
      <c r="U580" t="str">
        <f>""</f>
        <v/>
      </c>
      <c r="V580" t="s">
        <v>4295</v>
      </c>
      <c r="W580" t="str">
        <f>""</f>
        <v/>
      </c>
      <c r="X580" t="s">
        <v>2951</v>
      </c>
      <c r="Y580" t="s">
        <v>215</v>
      </c>
      <c r="Z580" s="3">
        <v>30701</v>
      </c>
      <c r="AA580" t="s">
        <v>101</v>
      </c>
      <c r="AC580" s="4" t="str">
        <f>"+12143094355"</f>
        <v>+12143094355</v>
      </c>
      <c r="AE580" t="str">
        <f>"326150"</f>
        <v>326150</v>
      </c>
      <c r="AF580" t="s">
        <v>2952</v>
      </c>
      <c r="AG580" t="s">
        <v>2953</v>
      </c>
      <c r="AI580" t="s">
        <v>4296</v>
      </c>
      <c r="AJ580" t="s">
        <v>4297</v>
      </c>
      <c r="AK580" t="str">
        <f>""</f>
        <v/>
      </c>
      <c r="AL580" t="s">
        <v>595</v>
      </c>
      <c r="AM580" t="s">
        <v>114</v>
      </c>
      <c r="AN580" s="3">
        <v>75217</v>
      </c>
      <c r="AO580" t="s">
        <v>101</v>
      </c>
      <c r="AQ580" t="str">
        <f>"+12143094355"</f>
        <v>+12143094355</v>
      </c>
      <c r="AS580" t="s">
        <v>4298</v>
      </c>
      <c r="AT580" t="s">
        <v>107</v>
      </c>
      <c r="AU580" t="str">
        <f>"Scofield"</f>
        <v>Scofield</v>
      </c>
      <c r="AV580" t="str">
        <f>"Eileen"</f>
        <v>Eileen</v>
      </c>
      <c r="AW580" t="str">
        <f>""</f>
        <v/>
      </c>
      <c r="AX580" t="str">
        <f>"1201 W. Peachtree Street"</f>
        <v>1201 W. Peachtree Street</v>
      </c>
      <c r="AY580" t="str">
        <f>"Alston &amp; Bird LLP"</f>
        <v>Alston &amp; Bird LLP</v>
      </c>
      <c r="AZ580" t="str">
        <f>"Atlanta"</f>
        <v>Atlanta</v>
      </c>
      <c r="BA580" t="str">
        <f>"GA"</f>
        <v>GA</v>
      </c>
      <c r="BB580" s="3">
        <v>30309</v>
      </c>
      <c r="BC580" t="str">
        <f t="shared" ref="BC580:BC595" si="36">"UNITED STATES OF AMERICA"</f>
        <v>UNITED STATES OF AMERICA</v>
      </c>
      <c r="BD580" t="str">
        <f>""</f>
        <v/>
      </c>
      <c r="BE580" t="str">
        <f>"+14048817375"</f>
        <v>+14048817375</v>
      </c>
      <c r="BF580" t="str">
        <f>"7375"</f>
        <v>7375</v>
      </c>
      <c r="BG580" t="str">
        <f>"eileen.scofield@alston.com"</f>
        <v>eileen.scofield@alston.com</v>
      </c>
      <c r="BH580" t="str">
        <f>"Alston &amp; Bird LLP"</f>
        <v>Alston &amp; Bird LLP</v>
      </c>
      <c r="BI580" t="str">
        <f>"GA"</f>
        <v>GA</v>
      </c>
      <c r="BJ580" t="str">
        <f>"Supreme Court"</f>
        <v>Supreme Court</v>
      </c>
      <c r="BK580">
        <v>1</v>
      </c>
      <c r="BL580" t="s">
        <v>102</v>
      </c>
      <c r="BM580" t="str">
        <f>""</f>
        <v/>
      </c>
      <c r="BN580" t="s">
        <v>6258</v>
      </c>
      <c r="BO580" t="s">
        <v>787</v>
      </c>
      <c r="BP580" t="s">
        <v>6259</v>
      </c>
      <c r="BQ580" t="s">
        <v>1121</v>
      </c>
      <c r="BR580" t="s">
        <v>215</v>
      </c>
      <c r="BS580" s="5">
        <v>30144</v>
      </c>
      <c r="BT580" s="2">
        <v>121500</v>
      </c>
      <c r="BV580" t="s">
        <v>105</v>
      </c>
      <c r="BW580" s="2">
        <v>121139</v>
      </c>
      <c r="BX580" t="s">
        <v>105</v>
      </c>
      <c r="BZ580" t="s">
        <v>159</v>
      </c>
      <c r="CA580" t="str">
        <f t="shared" si="34"/>
        <v>7/1/2020 - 6/30/2021</v>
      </c>
      <c r="CF580">
        <v>1</v>
      </c>
      <c r="CG580" t="s">
        <v>98</v>
      </c>
      <c r="CH580" t="s">
        <v>206</v>
      </c>
      <c r="CI580" t="s">
        <v>206</v>
      </c>
      <c r="CL580" t="s">
        <v>108</v>
      </c>
      <c r="CM580" t="s">
        <v>109</v>
      </c>
      <c r="CN580" t="str">
        <f>""</f>
        <v/>
      </c>
      <c r="CO580" t="str">
        <f>""</f>
        <v/>
      </c>
      <c r="CP580" t="str">
        <f>""</f>
        <v/>
      </c>
      <c r="CQ580" t="str">
        <f>""</f>
        <v/>
      </c>
    </row>
    <row r="581" spans="1:96" x14ac:dyDescent="0.2">
      <c r="A581" t="s">
        <v>6267</v>
      </c>
      <c r="B581" t="s">
        <v>96</v>
      </c>
      <c r="C581" s="1">
        <v>44098</v>
      </c>
      <c r="D581" s="1">
        <v>44105</v>
      </c>
      <c r="F581" t="s">
        <v>97</v>
      </c>
      <c r="G581" t="str">
        <f>"SOLUTIONS ARCHITECT III"</f>
        <v>SOLUTIONS ARCHITECT III</v>
      </c>
      <c r="H581" t="s">
        <v>12176</v>
      </c>
      <c r="I581" t="s">
        <v>246</v>
      </c>
      <c r="J581" t="s">
        <v>98</v>
      </c>
      <c r="K581" s="1">
        <v>44103</v>
      </c>
      <c r="L581" s="1">
        <v>45197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 t="s">
        <v>1129</v>
      </c>
      <c r="U581" t="str">
        <f>""</f>
        <v/>
      </c>
      <c r="V581" t="s">
        <v>809</v>
      </c>
      <c r="W581" t="str">
        <f>"SUITE 500"</f>
        <v>SUITE 500</v>
      </c>
      <c r="X581" t="s">
        <v>433</v>
      </c>
      <c r="Y581" t="s">
        <v>176</v>
      </c>
      <c r="Z581" s="3">
        <v>98121</v>
      </c>
      <c r="AA581" t="s">
        <v>101</v>
      </c>
      <c r="AC581" s="4" t="str">
        <f>"+12062661000"</f>
        <v>+12062661000</v>
      </c>
      <c r="AE581" t="str">
        <f>"454110"</f>
        <v>454110</v>
      </c>
      <c r="AF581" t="s">
        <v>442</v>
      </c>
      <c r="AG581" t="s">
        <v>443</v>
      </c>
      <c r="AH581" t="s">
        <v>108</v>
      </c>
      <c r="AI581" t="s">
        <v>434</v>
      </c>
      <c r="AJ581" t="s">
        <v>809</v>
      </c>
      <c r="AK581" t="str">
        <f>"SUITE 500"</f>
        <v>SUITE 500</v>
      </c>
      <c r="AL581" t="s">
        <v>433</v>
      </c>
      <c r="AM581" t="s">
        <v>176</v>
      </c>
      <c r="AN581" s="3">
        <v>98121</v>
      </c>
      <c r="AO581" t="s">
        <v>101</v>
      </c>
      <c r="AQ581" t="str">
        <f>"+12062661000"</f>
        <v>+12062661000</v>
      </c>
      <c r="AS581" t="s">
        <v>263</v>
      </c>
      <c r="AT581" t="s">
        <v>107</v>
      </c>
      <c r="AU581" t="str">
        <f>"MARANCI"</f>
        <v>MARANCI</v>
      </c>
      <c r="AV581" t="str">
        <f>"DANIEL"</f>
        <v>DANIEL</v>
      </c>
      <c r="AW581" t="str">
        <f>"N/A"</f>
        <v>N/A</v>
      </c>
      <c r="AX581" t="str">
        <f>"100 HIGH STREET"</f>
        <v>100 HIGH STREET</v>
      </c>
      <c r="AY581" t="str">
        <f>"3RD FLOOR C#5314873"</f>
        <v>3RD FLOOR C#5314873</v>
      </c>
      <c r="AZ581" t="str">
        <f>"BOSTON"</f>
        <v>BOSTON</v>
      </c>
      <c r="BA581" t="str">
        <f>"MA"</f>
        <v>MA</v>
      </c>
      <c r="BB581" s="3">
        <v>2110</v>
      </c>
      <c r="BC581" t="str">
        <f t="shared" si="36"/>
        <v>UNITED STATES OF AMERICA</v>
      </c>
      <c r="BD581" t="str">
        <f>""</f>
        <v/>
      </c>
      <c r="BE581" t="str">
        <f>"+16175740400"</f>
        <v>+16175740400</v>
      </c>
      <c r="BF581" t="str">
        <f>""</f>
        <v/>
      </c>
      <c r="BG581" t="str">
        <f>"AMAZONINDIA@FRAGOMEN.COM"</f>
        <v>AMAZONINDIA@FRAGOMEN.COM</v>
      </c>
      <c r="BH581" t="str">
        <f>"FRAGOMEN, DEL REY, BERNSEN &amp; LOEWY, LLP"</f>
        <v>FRAGOMEN, DEL REY, BERNSEN &amp; LOEWY, LLP</v>
      </c>
      <c r="BI581" t="str">
        <f>"MA"</f>
        <v>MA</v>
      </c>
      <c r="BJ581" t="str">
        <f>"SUPREME JUDICIAL COURT"</f>
        <v>SUPREME JUDICIAL COURT</v>
      </c>
      <c r="BK581">
        <v>1</v>
      </c>
      <c r="BL581" t="s">
        <v>102</v>
      </c>
      <c r="BM581" t="str">
        <f>""</f>
        <v/>
      </c>
      <c r="BN581" t="s">
        <v>6268</v>
      </c>
      <c r="BP581" t="s">
        <v>3756</v>
      </c>
      <c r="BQ581" t="s">
        <v>185</v>
      </c>
      <c r="BR581" t="s">
        <v>186</v>
      </c>
      <c r="BS581" s="5">
        <v>55401</v>
      </c>
      <c r="BT581" s="2">
        <v>160000</v>
      </c>
      <c r="BV581" t="s">
        <v>105</v>
      </c>
      <c r="BW581" s="2">
        <v>105726</v>
      </c>
      <c r="BX581" t="s">
        <v>105</v>
      </c>
      <c r="BZ581" t="s">
        <v>123</v>
      </c>
      <c r="CA581" t="str">
        <f t="shared" si="34"/>
        <v>7/1/2020 - 6/30/2021</v>
      </c>
      <c r="CF581">
        <v>2</v>
      </c>
      <c r="CG581" t="s">
        <v>98</v>
      </c>
      <c r="CH581" t="s">
        <v>206</v>
      </c>
      <c r="CI581" t="s">
        <v>206</v>
      </c>
      <c r="CL581" t="s">
        <v>108</v>
      </c>
      <c r="CM581" t="s">
        <v>109</v>
      </c>
      <c r="CN581" t="str">
        <f>"SUNNY"</f>
        <v>SUNNY</v>
      </c>
      <c r="CO581" t="str">
        <f>"JASMIN"</f>
        <v>JASMIN</v>
      </c>
      <c r="CP581" t="str">
        <f>"N/A"</f>
        <v>N/A</v>
      </c>
      <c r="CQ581" t="str">
        <f>"FRAGOMEN, DEL REY, BERNSEN &amp; LOEWY, LLP"</f>
        <v>FRAGOMEN, DEL REY, BERNSEN &amp; LOEWY, LLP</v>
      </c>
      <c r="CR581" t="s">
        <v>650</v>
      </c>
    </row>
    <row r="582" spans="1:96" x14ac:dyDescent="0.2">
      <c r="A582" t="s">
        <v>6314</v>
      </c>
      <c r="B582" t="s">
        <v>96</v>
      </c>
      <c r="C582" s="1">
        <v>44098</v>
      </c>
      <c r="D582" s="1">
        <v>44105</v>
      </c>
      <c r="F582" t="s">
        <v>97</v>
      </c>
      <c r="G582" t="str">
        <f>"Senior Software Engineer"</f>
        <v>Senior Software Engineer</v>
      </c>
      <c r="H582" t="s">
        <v>12176</v>
      </c>
      <c r="I582" t="s">
        <v>246</v>
      </c>
      <c r="J582" t="s">
        <v>98</v>
      </c>
      <c r="K582" s="1">
        <v>44105</v>
      </c>
      <c r="L582" s="1">
        <v>45199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 t="s">
        <v>6315</v>
      </c>
      <c r="U582" t="str">
        <f>""</f>
        <v/>
      </c>
      <c r="V582" t="s">
        <v>6316</v>
      </c>
      <c r="W582" t="str">
        <f>""</f>
        <v/>
      </c>
      <c r="X582" t="s">
        <v>585</v>
      </c>
      <c r="Y582" t="s">
        <v>141</v>
      </c>
      <c r="Z582" s="3">
        <v>95110</v>
      </c>
      <c r="AA582" t="s">
        <v>101</v>
      </c>
      <c r="AC582" s="4" t="str">
        <f>"+14089155098"</f>
        <v>+14089155098</v>
      </c>
      <c r="AE582" t="str">
        <f>"518210"</f>
        <v>518210</v>
      </c>
      <c r="AF582" t="s">
        <v>5448</v>
      </c>
      <c r="AG582" t="s">
        <v>196</v>
      </c>
      <c r="AI582" t="s">
        <v>6317</v>
      </c>
      <c r="AJ582" t="s">
        <v>6316</v>
      </c>
      <c r="AK582" t="str">
        <f>""</f>
        <v/>
      </c>
      <c r="AL582" t="s">
        <v>585</v>
      </c>
      <c r="AM582" t="s">
        <v>141</v>
      </c>
      <c r="AN582" s="3">
        <v>95110</v>
      </c>
      <c r="AO582" t="s">
        <v>101</v>
      </c>
      <c r="AQ582" t="str">
        <f>"+14089150980"</f>
        <v>+14089150980</v>
      </c>
      <c r="AS582" t="s">
        <v>6318</v>
      </c>
      <c r="AT582" t="s">
        <v>107</v>
      </c>
      <c r="AU582" t="str">
        <f>"Macri"</f>
        <v>Macri</v>
      </c>
      <c r="AV582" t="str">
        <f>"Julia"</f>
        <v>Julia</v>
      </c>
      <c r="AW582" t="str">
        <f>""</f>
        <v/>
      </c>
      <c r="AX582" t="str">
        <f>"909 Montgomery St"</f>
        <v>909 Montgomery St</v>
      </c>
      <c r="AY582" t="str">
        <f>"Suite 200"</f>
        <v>Suite 200</v>
      </c>
      <c r="AZ582" t="str">
        <f>"San Francisco"</f>
        <v>San Francisco</v>
      </c>
      <c r="BA582" t="str">
        <f>"CA"</f>
        <v>CA</v>
      </c>
      <c r="BB582" s="3">
        <v>94133</v>
      </c>
      <c r="BC582" t="str">
        <f t="shared" si="36"/>
        <v>UNITED STATES OF AMERICA</v>
      </c>
      <c r="BD582" t="str">
        <f>"CA"</f>
        <v>CA</v>
      </c>
      <c r="BE582" t="str">
        <f>"+14159864559"</f>
        <v>+14159864559</v>
      </c>
      <c r="BF582" t="str">
        <f>""</f>
        <v/>
      </c>
      <c r="BG582" t="str">
        <f>"jmacri@jackson-hertogs.com"</f>
        <v>jmacri@jackson-hertogs.com</v>
      </c>
      <c r="BH582" t="str">
        <f>"Jackson &amp; Hertogs LLP"</f>
        <v>Jackson &amp; Hertogs LLP</v>
      </c>
      <c r="BI582" t="str">
        <f>"CA"</f>
        <v>CA</v>
      </c>
      <c r="BJ582" t="str">
        <f>"Supreme Court"</f>
        <v>Supreme Court</v>
      </c>
      <c r="BK582">
        <v>1</v>
      </c>
      <c r="BL582" t="s">
        <v>102</v>
      </c>
      <c r="BM582" t="str">
        <f>""</f>
        <v/>
      </c>
      <c r="BN582" t="s">
        <v>6319</v>
      </c>
      <c r="BP582" t="s">
        <v>585</v>
      </c>
      <c r="BQ582" t="s">
        <v>230</v>
      </c>
      <c r="BR582" t="s">
        <v>141</v>
      </c>
      <c r="BS582" s="5">
        <v>95110</v>
      </c>
      <c r="BT582" s="2">
        <v>170872</v>
      </c>
      <c r="BU582" s="2">
        <v>637500</v>
      </c>
      <c r="BV582" t="s">
        <v>105</v>
      </c>
      <c r="BW582" s="2">
        <v>170872</v>
      </c>
      <c r="BX582" t="s">
        <v>105</v>
      </c>
      <c r="BZ582" t="s">
        <v>159</v>
      </c>
      <c r="CA582" t="str">
        <f t="shared" si="34"/>
        <v>7/1/2020 - 6/30/2021</v>
      </c>
      <c r="CF582">
        <v>1</v>
      </c>
      <c r="CG582" t="s">
        <v>98</v>
      </c>
      <c r="CH582" t="s">
        <v>206</v>
      </c>
      <c r="CI582" t="s">
        <v>206</v>
      </c>
      <c r="CL582" t="s">
        <v>108</v>
      </c>
      <c r="CM582" t="s">
        <v>109</v>
      </c>
      <c r="CN582" t="str">
        <f>"Greensides 77801"</f>
        <v>Greensides 77801</v>
      </c>
      <c r="CO582" t="str">
        <f>"Nathaniel"</f>
        <v>Nathaniel</v>
      </c>
      <c r="CP582" t="str">
        <f>"F"</f>
        <v>F</v>
      </c>
      <c r="CQ582" t="str">
        <f>"Jackson and Hertogs LLP"</f>
        <v>Jackson and Hertogs LLP</v>
      </c>
      <c r="CR582" t="s">
        <v>6320</v>
      </c>
    </row>
    <row r="583" spans="1:96" x14ac:dyDescent="0.2">
      <c r="A583" t="s">
        <v>6330</v>
      </c>
      <c r="B583" t="s">
        <v>96</v>
      </c>
      <c r="C583" s="1">
        <v>44098</v>
      </c>
      <c r="D583" s="1">
        <v>44105</v>
      </c>
      <c r="F583" t="s">
        <v>97</v>
      </c>
      <c r="G583" t="str">
        <f>"Optometrist"</f>
        <v>Optometrist</v>
      </c>
      <c r="H583" t="s">
        <v>12277</v>
      </c>
      <c r="I583" t="s">
        <v>6331</v>
      </c>
      <c r="J583" t="s">
        <v>98</v>
      </c>
      <c r="K583" s="1">
        <v>44098</v>
      </c>
      <c r="L583" s="1">
        <v>45187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 t="s">
        <v>6332</v>
      </c>
      <c r="U583" t="str">
        <f>"Le Bonheur Children’s Hospital"</f>
        <v>Le Bonheur Children’s Hospital</v>
      </c>
      <c r="V583" t="s">
        <v>6333</v>
      </c>
      <c r="W583" t="str">
        <f>""</f>
        <v/>
      </c>
      <c r="X583" t="s">
        <v>6334</v>
      </c>
      <c r="Y583" t="s">
        <v>545</v>
      </c>
      <c r="Z583" s="3">
        <v>38104</v>
      </c>
      <c r="AA583" t="s">
        <v>101</v>
      </c>
      <c r="AC583" s="4" t="str">
        <f>"+19012874695"</f>
        <v>+19012874695</v>
      </c>
      <c r="AE583" t="str">
        <f>"622110"</f>
        <v>622110</v>
      </c>
      <c r="AF583" t="s">
        <v>6335</v>
      </c>
      <c r="AG583" t="s">
        <v>6336</v>
      </c>
      <c r="AI583" t="s">
        <v>6337</v>
      </c>
      <c r="AJ583" t="s">
        <v>6338</v>
      </c>
      <c r="AK583" t="str">
        <f>""</f>
        <v/>
      </c>
      <c r="AL583" t="s">
        <v>3850</v>
      </c>
      <c r="AM583" t="s">
        <v>545</v>
      </c>
      <c r="AN583" s="3">
        <v>38105</v>
      </c>
      <c r="AO583" t="s">
        <v>101</v>
      </c>
      <c r="AQ583" t="str">
        <f>"+19012874695"</f>
        <v>+19012874695</v>
      </c>
      <c r="AS583" t="s">
        <v>6339</v>
      </c>
      <c r="AT583" t="s">
        <v>107</v>
      </c>
      <c r="AU583" t="str">
        <f>"Huynh"</f>
        <v>Huynh</v>
      </c>
      <c r="AV583" t="str">
        <f>"Loan"</f>
        <v>Loan</v>
      </c>
      <c r="AW583" t="str">
        <f>"Thi"</f>
        <v>Thi</v>
      </c>
      <c r="AX583" t="str">
        <f>"200 South Sixth St."</f>
        <v>200 South Sixth St.</v>
      </c>
      <c r="AY583" t="str">
        <f>"Suite 4000"</f>
        <v>Suite 4000</v>
      </c>
      <c r="AZ583" t="str">
        <f>"Minneapolis"</f>
        <v>Minneapolis</v>
      </c>
      <c r="BA583" t="str">
        <f>"MN"</f>
        <v>MN</v>
      </c>
      <c r="BB583" s="3">
        <v>55402</v>
      </c>
      <c r="BC583" t="str">
        <f t="shared" si="36"/>
        <v>UNITED STATES OF AMERICA</v>
      </c>
      <c r="BD583" t="str">
        <f>""</f>
        <v/>
      </c>
      <c r="BE583" t="str">
        <f>"+16124927165"</f>
        <v>+16124927165</v>
      </c>
      <c r="BF583" t="str">
        <f>""</f>
        <v/>
      </c>
      <c r="BG583" t="str">
        <f>"lhuynh@fredlaw.com"</f>
        <v>lhuynh@fredlaw.com</v>
      </c>
      <c r="BH583" t="str">
        <f>"Fredrikson &amp; Byron, P.A."</f>
        <v>Fredrikson &amp; Byron, P.A.</v>
      </c>
      <c r="BI583" t="str">
        <f>"MN"</f>
        <v>MN</v>
      </c>
      <c r="BJ583" t="str">
        <f>"Supreme Court"</f>
        <v>Supreme Court</v>
      </c>
      <c r="BK583">
        <v>1</v>
      </c>
      <c r="BL583" t="s">
        <v>102</v>
      </c>
      <c r="BM583" t="str">
        <f>""</f>
        <v/>
      </c>
      <c r="BN583" t="s">
        <v>6340</v>
      </c>
      <c r="BP583" t="s">
        <v>3850</v>
      </c>
      <c r="BQ583" t="s">
        <v>2573</v>
      </c>
      <c r="BR583" t="s">
        <v>545</v>
      </c>
      <c r="BS583" s="5">
        <v>38103</v>
      </c>
      <c r="BT583" s="2">
        <v>83782</v>
      </c>
      <c r="BU583" s="2">
        <v>98010</v>
      </c>
      <c r="BV583" t="s">
        <v>105</v>
      </c>
      <c r="BW583" s="2">
        <v>83782</v>
      </c>
      <c r="BX583" t="s">
        <v>105</v>
      </c>
      <c r="BZ583" t="s">
        <v>167</v>
      </c>
      <c r="CA583" t="str">
        <f t="shared" si="34"/>
        <v>7/1/2020 - 6/30/2021</v>
      </c>
      <c r="CF583">
        <v>3</v>
      </c>
      <c r="CG583" t="s">
        <v>98</v>
      </c>
      <c r="CH583" t="s">
        <v>206</v>
      </c>
      <c r="CI583" t="s">
        <v>206</v>
      </c>
      <c r="CL583" t="s">
        <v>108</v>
      </c>
      <c r="CM583" t="s">
        <v>109</v>
      </c>
      <c r="CN583" t="str">
        <f>""</f>
        <v/>
      </c>
      <c r="CO583" t="str">
        <f>""</f>
        <v/>
      </c>
      <c r="CP583" t="str">
        <f>""</f>
        <v/>
      </c>
      <c r="CQ583" t="str">
        <f>""</f>
        <v/>
      </c>
    </row>
    <row r="584" spans="1:96" x14ac:dyDescent="0.2">
      <c r="A584" t="s">
        <v>6341</v>
      </c>
      <c r="B584" t="s">
        <v>96</v>
      </c>
      <c r="C584" s="1">
        <v>44098</v>
      </c>
      <c r="D584" s="1">
        <v>44105</v>
      </c>
      <c r="F584" t="s">
        <v>97</v>
      </c>
      <c r="G584" t="str">
        <f>"Senior Solution Specialist "</f>
        <v xml:space="preserve">Senior Solution Specialist </v>
      </c>
      <c r="H584" t="s">
        <v>12169</v>
      </c>
      <c r="I584" t="s">
        <v>124</v>
      </c>
      <c r="J584" t="s">
        <v>98</v>
      </c>
      <c r="K584" s="1">
        <v>44275</v>
      </c>
      <c r="L584" s="1">
        <v>45370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 t="s">
        <v>737</v>
      </c>
      <c r="U584" t="str">
        <f>""</f>
        <v/>
      </c>
      <c r="V584" t="s">
        <v>738</v>
      </c>
      <c r="W584" t="str">
        <f>""</f>
        <v/>
      </c>
      <c r="X584" t="s">
        <v>510</v>
      </c>
      <c r="Y584" t="s">
        <v>127</v>
      </c>
      <c r="Z584" s="3">
        <v>19103</v>
      </c>
      <c r="AA584" t="s">
        <v>101</v>
      </c>
      <c r="AC584" s="4" t="str">
        <f>"+16179608170"</f>
        <v>+16179608170</v>
      </c>
      <c r="AE584" t="str">
        <f>"541611"</f>
        <v>541611</v>
      </c>
      <c r="AF584" t="s">
        <v>739</v>
      </c>
      <c r="AG584" t="s">
        <v>740</v>
      </c>
      <c r="AI584" t="s">
        <v>392</v>
      </c>
      <c r="AJ584" t="s">
        <v>738</v>
      </c>
      <c r="AK584" t="str">
        <f>""</f>
        <v/>
      </c>
      <c r="AL584" t="s">
        <v>510</v>
      </c>
      <c r="AM584" t="s">
        <v>127</v>
      </c>
      <c r="AN584" s="3">
        <v>19103</v>
      </c>
      <c r="AO584" t="s">
        <v>101</v>
      </c>
      <c r="AQ584" t="str">
        <f>"+16179608170"</f>
        <v>+16179608170</v>
      </c>
      <c r="AS584" t="s">
        <v>222</v>
      </c>
      <c r="AT584" t="s">
        <v>107</v>
      </c>
      <c r="AU584" t="str">
        <f>"GANDHI"</f>
        <v>GANDHI</v>
      </c>
      <c r="AV584" t="str">
        <f>"JESSICA"</f>
        <v>JESSICA</v>
      </c>
      <c r="AW584" t="str">
        <f>""</f>
        <v/>
      </c>
      <c r="AX584" t="str">
        <f>"2400 NORTH GLENVILLE DRIVE"</f>
        <v>2400 NORTH GLENVILLE DRIVE</v>
      </c>
      <c r="AY584" t="str">
        <f>"Building A, SUITE 100"</f>
        <v>Building A, SUITE 100</v>
      </c>
      <c r="AZ584" t="str">
        <f>"RICHARDSON"</f>
        <v>RICHARDSON</v>
      </c>
      <c r="BA584" t="str">
        <f>"TX"</f>
        <v>TX</v>
      </c>
      <c r="BB584" s="3">
        <v>75082</v>
      </c>
      <c r="BC584" t="str">
        <f t="shared" si="36"/>
        <v>UNITED STATES OF AMERICA</v>
      </c>
      <c r="BD584" t="str">
        <f>""</f>
        <v/>
      </c>
      <c r="BE584" t="str">
        <f>"+14693003253"</f>
        <v>+14693003253</v>
      </c>
      <c r="BF584" t="str">
        <f>""</f>
        <v/>
      </c>
      <c r="BG584" t="str">
        <f>"JEGANDHI@BALGLOBAL.COM"</f>
        <v>JEGANDHI@BALGLOBAL.COM</v>
      </c>
      <c r="BH584" t="str">
        <f>"BERRY APPLEMAN &amp; LEIDEN LLP"</f>
        <v>BERRY APPLEMAN &amp; LEIDEN LLP</v>
      </c>
      <c r="BI584" t="str">
        <f>"IL"</f>
        <v>IL</v>
      </c>
      <c r="BJ584" t="str">
        <f>"SUPREME COURT OF ILLINOIS"</f>
        <v>SUPREME COURT OF ILLINOIS</v>
      </c>
      <c r="BK584">
        <v>1</v>
      </c>
      <c r="BL584" t="s">
        <v>102</v>
      </c>
      <c r="BM584" t="str">
        <f>""</f>
        <v/>
      </c>
      <c r="BN584" t="s">
        <v>6342</v>
      </c>
      <c r="BP584" t="s">
        <v>6343</v>
      </c>
      <c r="BQ584" t="s">
        <v>2026</v>
      </c>
      <c r="BR584" t="s">
        <v>127</v>
      </c>
      <c r="BS584" s="5">
        <v>17050</v>
      </c>
      <c r="BT584" s="2">
        <v>103000</v>
      </c>
      <c r="BV584" t="s">
        <v>105</v>
      </c>
      <c r="BW584" s="2">
        <v>74006</v>
      </c>
      <c r="BX584" t="s">
        <v>105</v>
      </c>
      <c r="BZ584" t="s">
        <v>167</v>
      </c>
      <c r="CA584" t="str">
        <f t="shared" si="34"/>
        <v>7/1/2020 - 6/30/2021</v>
      </c>
      <c r="CF584">
        <v>2</v>
      </c>
      <c r="CG584" t="s">
        <v>98</v>
      </c>
      <c r="CH584" t="s">
        <v>206</v>
      </c>
      <c r="CI584" t="s">
        <v>206</v>
      </c>
      <c r="CL584" t="s">
        <v>108</v>
      </c>
      <c r="CM584" t="s">
        <v>109</v>
      </c>
      <c r="CN584" t="str">
        <f>"Hamm"</f>
        <v>Hamm</v>
      </c>
      <c r="CO584" t="str">
        <f>"Ana "</f>
        <v xml:space="preserve">Ana </v>
      </c>
      <c r="CP584" t="str">
        <f>""</f>
        <v/>
      </c>
      <c r="CQ584" t="str">
        <f>"Berry Appleman &amp; Leiden LLP "</f>
        <v xml:space="preserve">Berry Appleman &amp; Leiden LLP </v>
      </c>
      <c r="CR584" t="s">
        <v>742</v>
      </c>
    </row>
    <row r="585" spans="1:96" x14ac:dyDescent="0.2">
      <c r="A585" t="s">
        <v>6349</v>
      </c>
      <c r="B585" t="s">
        <v>96</v>
      </c>
      <c r="C585" s="1">
        <v>44098</v>
      </c>
      <c r="D585" s="1">
        <v>44105</v>
      </c>
      <c r="F585" t="s">
        <v>97</v>
      </c>
      <c r="G585" t="str">
        <f>"Sr. Software Engineer"</f>
        <v>Sr. Software Engineer</v>
      </c>
      <c r="H585" t="s">
        <v>12169</v>
      </c>
      <c r="I585" t="s">
        <v>124</v>
      </c>
      <c r="J585" t="s">
        <v>98</v>
      </c>
      <c r="K585" s="1">
        <v>44105</v>
      </c>
      <c r="L585" s="1">
        <v>45199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 t="s">
        <v>4473</v>
      </c>
      <c r="U585" t="str">
        <f>""</f>
        <v/>
      </c>
      <c r="V585" t="s">
        <v>6350</v>
      </c>
      <c r="W585" t="str">
        <f>""</f>
        <v/>
      </c>
      <c r="X585" t="s">
        <v>1498</v>
      </c>
      <c r="Y585" t="s">
        <v>265</v>
      </c>
      <c r="Z585" s="3">
        <v>48331</v>
      </c>
      <c r="AA585" t="s">
        <v>101</v>
      </c>
      <c r="AC585" s="4" t="str">
        <f>"+12486994012"</f>
        <v>+12486994012</v>
      </c>
      <c r="AE585" t="str">
        <f>"336111"</f>
        <v>336111</v>
      </c>
      <c r="AF585" t="s">
        <v>4472</v>
      </c>
      <c r="AG585" t="s">
        <v>2279</v>
      </c>
      <c r="AH585" t="s">
        <v>108</v>
      </c>
      <c r="AI585" t="s">
        <v>3747</v>
      </c>
      <c r="AJ585" t="s">
        <v>6350</v>
      </c>
      <c r="AK585" t="str">
        <f>""</f>
        <v/>
      </c>
      <c r="AL585" t="s">
        <v>1498</v>
      </c>
      <c r="AM585" t="s">
        <v>265</v>
      </c>
      <c r="AN585" s="3">
        <v>48331</v>
      </c>
      <c r="AO585" t="s">
        <v>101</v>
      </c>
      <c r="AQ585" t="str">
        <f>"+12486994012"</f>
        <v>+12486994012</v>
      </c>
      <c r="AS585" t="s">
        <v>6351</v>
      </c>
      <c r="AT585" t="s">
        <v>107</v>
      </c>
      <c r="AU585" t="str">
        <f>"Terebelo"</f>
        <v>Terebelo</v>
      </c>
      <c r="AV585" t="str">
        <f>"Michal"</f>
        <v>Michal</v>
      </c>
      <c r="AW585" t="str">
        <f>"D"</f>
        <v>D</v>
      </c>
      <c r="AX585" t="str">
        <f>"5250 Corporate Drive"</f>
        <v>5250 Corporate Drive</v>
      </c>
      <c r="AY585" t="str">
        <f>"Ste. 300"</f>
        <v>Ste. 300</v>
      </c>
      <c r="AZ585" t="str">
        <f>"Troy"</f>
        <v>Troy</v>
      </c>
      <c r="BA585" t="str">
        <f>"MI"</f>
        <v>MI</v>
      </c>
      <c r="BB585" s="3">
        <v>48098</v>
      </c>
      <c r="BC585" t="str">
        <f t="shared" si="36"/>
        <v>UNITED STATES OF AMERICA</v>
      </c>
      <c r="BD585" t="str">
        <f>""</f>
        <v/>
      </c>
      <c r="BE585" t="str">
        <f>"+12486434900"</f>
        <v>+12486434900</v>
      </c>
      <c r="BF585" t="str">
        <f>""</f>
        <v/>
      </c>
      <c r="BG585" t="str">
        <f>"Nikhilsunr@employmentimmigration.com"</f>
        <v>Nikhilsunr@employmentimmigration.com</v>
      </c>
      <c r="BH585" t="str">
        <f>"Fakhoury Global Immigration, USA PC"</f>
        <v>Fakhoury Global Immigration, USA PC</v>
      </c>
      <c r="BI585" t="str">
        <f>"MI"</f>
        <v>MI</v>
      </c>
      <c r="BJ585" t="str">
        <f>"Supreme Court"</f>
        <v>Supreme Court</v>
      </c>
      <c r="BK585">
        <v>1</v>
      </c>
      <c r="BL585" t="s">
        <v>102</v>
      </c>
      <c r="BM585" t="str">
        <f>""</f>
        <v/>
      </c>
      <c r="BN585" t="s">
        <v>4473</v>
      </c>
      <c r="BO585" t="s">
        <v>4471</v>
      </c>
      <c r="BP585" t="s">
        <v>1498</v>
      </c>
      <c r="BQ585" t="s">
        <v>719</v>
      </c>
      <c r="BR585" t="s">
        <v>265</v>
      </c>
      <c r="BS585" s="5">
        <v>48331</v>
      </c>
      <c r="BT585" s="2">
        <v>112200</v>
      </c>
      <c r="BV585" t="s">
        <v>105</v>
      </c>
      <c r="BW585" s="2">
        <v>95160</v>
      </c>
      <c r="BX585" t="s">
        <v>105</v>
      </c>
      <c r="BZ585" t="s">
        <v>123</v>
      </c>
      <c r="CA585" t="str">
        <f t="shared" si="34"/>
        <v>7/1/2020 - 6/30/2021</v>
      </c>
      <c r="CF585">
        <v>1</v>
      </c>
      <c r="CG585" t="s">
        <v>98</v>
      </c>
      <c r="CH585" t="s">
        <v>206</v>
      </c>
      <c r="CI585" t="s">
        <v>206</v>
      </c>
      <c r="CL585" t="s">
        <v>108</v>
      </c>
      <c r="CM585" t="s">
        <v>109</v>
      </c>
      <c r="CN585" t="str">
        <f>"Terebelo"</f>
        <v>Terebelo</v>
      </c>
      <c r="CO585" t="str">
        <f>"Michal"</f>
        <v>Michal</v>
      </c>
      <c r="CP585" t="str">
        <f>"D"</f>
        <v>D</v>
      </c>
      <c r="CQ585" t="str">
        <f>"Fakhoury Global Immigration, USA PC"</f>
        <v>Fakhoury Global Immigration, USA PC</v>
      </c>
      <c r="CR585" t="s">
        <v>5667</v>
      </c>
    </row>
    <row r="586" spans="1:96" x14ac:dyDescent="0.2">
      <c r="A586" t="s">
        <v>6428</v>
      </c>
      <c r="B586" t="s">
        <v>96</v>
      </c>
      <c r="C586" s="1">
        <v>44098</v>
      </c>
      <c r="D586" s="1">
        <v>44105</v>
      </c>
      <c r="F586" t="s">
        <v>97</v>
      </c>
      <c r="G586" t="str">
        <f>"Software Engineer (Front End)"</f>
        <v>Software Engineer (Front End)</v>
      </c>
      <c r="H586" t="s">
        <v>12176</v>
      </c>
      <c r="I586" t="s">
        <v>246</v>
      </c>
      <c r="J586" t="s">
        <v>98</v>
      </c>
      <c r="K586" s="1">
        <v>44116</v>
      </c>
      <c r="L586" s="1">
        <v>45210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 t="s">
        <v>4670</v>
      </c>
      <c r="U586" t="str">
        <f>""</f>
        <v/>
      </c>
      <c r="V586" t="s">
        <v>4671</v>
      </c>
      <c r="W586" t="str">
        <f>"Suite 200"</f>
        <v>Suite 200</v>
      </c>
      <c r="X586" t="s">
        <v>4672</v>
      </c>
      <c r="Y586" t="s">
        <v>345</v>
      </c>
      <c r="Z586" s="3">
        <v>61265</v>
      </c>
      <c r="AA586" t="s">
        <v>101</v>
      </c>
      <c r="AC586" s="4" t="str">
        <f>"+13097654160"</f>
        <v>+13097654160</v>
      </c>
      <c r="AE586" t="str">
        <f>"333111"</f>
        <v>333111</v>
      </c>
      <c r="AF586" t="s">
        <v>4673</v>
      </c>
      <c r="AG586" t="s">
        <v>278</v>
      </c>
      <c r="AH586" t="s">
        <v>1435</v>
      </c>
      <c r="AI586" t="s">
        <v>4674</v>
      </c>
      <c r="AJ586" t="s">
        <v>4671</v>
      </c>
      <c r="AK586" t="str">
        <f>"Suite 200"</f>
        <v>Suite 200</v>
      </c>
      <c r="AL586" t="s">
        <v>4672</v>
      </c>
      <c r="AM586" t="s">
        <v>345</v>
      </c>
      <c r="AN586" s="3">
        <v>61265</v>
      </c>
      <c r="AO586" t="s">
        <v>101</v>
      </c>
      <c r="AQ586" t="str">
        <f>"+13097655603"</f>
        <v>+13097655603</v>
      </c>
      <c r="AS586" t="s">
        <v>4675</v>
      </c>
      <c r="AT586" t="s">
        <v>107</v>
      </c>
      <c r="AU586" t="str">
        <f>"Hoskin"</f>
        <v>Hoskin</v>
      </c>
      <c r="AV586" t="str">
        <f>"Jennifer"</f>
        <v>Jennifer</v>
      </c>
      <c r="AW586" t="str">
        <f>"Ann"</f>
        <v>Ann</v>
      </c>
      <c r="AX586" t="str">
        <f>"135 S LaSalle Street"</f>
        <v>135 S LaSalle Street</v>
      </c>
      <c r="AY586" t="str">
        <f>"Suite 3425"</f>
        <v>Suite 3425</v>
      </c>
      <c r="AZ586" t="str">
        <f>"Chicago"</f>
        <v>Chicago</v>
      </c>
      <c r="BA586" t="str">
        <f>"IL"</f>
        <v>IL</v>
      </c>
      <c r="BB586" s="3">
        <v>60603</v>
      </c>
      <c r="BC586" t="str">
        <f t="shared" si="36"/>
        <v>UNITED STATES OF AMERICA</v>
      </c>
      <c r="BD586" t="str">
        <f>""</f>
        <v/>
      </c>
      <c r="BE586" t="str">
        <f>"+13128312132"</f>
        <v>+13128312132</v>
      </c>
      <c r="BF586" t="str">
        <f>""</f>
        <v/>
      </c>
      <c r="BG586" t="str">
        <f>"jhoskin@zulkiepartners.com"</f>
        <v>jhoskin@zulkiepartners.com</v>
      </c>
      <c r="BH586" t="str">
        <f>"Zulkie Partners LLC"</f>
        <v>Zulkie Partners LLC</v>
      </c>
      <c r="BI586" t="str">
        <f>"IL"</f>
        <v>IL</v>
      </c>
      <c r="BJ586" t="str">
        <f>"Illinois Supreme Court"</f>
        <v>Illinois Supreme Court</v>
      </c>
      <c r="BK586">
        <v>1</v>
      </c>
      <c r="BL586" t="s">
        <v>102</v>
      </c>
      <c r="BM586" t="str">
        <f>""</f>
        <v/>
      </c>
      <c r="BN586" t="s">
        <v>6429</v>
      </c>
      <c r="BP586" t="s">
        <v>6430</v>
      </c>
      <c r="BQ586" t="s">
        <v>4676</v>
      </c>
      <c r="BR586" t="s">
        <v>345</v>
      </c>
      <c r="BS586" s="5">
        <v>61244</v>
      </c>
      <c r="BT586" s="2">
        <v>101000</v>
      </c>
      <c r="BU586" s="2">
        <v>111000</v>
      </c>
      <c r="BV586" t="s">
        <v>105</v>
      </c>
      <c r="BW586" s="2">
        <v>75837</v>
      </c>
      <c r="BX586" t="s">
        <v>105</v>
      </c>
      <c r="BZ586" t="s">
        <v>167</v>
      </c>
      <c r="CA586" t="str">
        <f t="shared" si="34"/>
        <v>7/1/2020 - 6/30/2021</v>
      </c>
      <c r="CF586">
        <v>2</v>
      </c>
      <c r="CG586" t="s">
        <v>98</v>
      </c>
      <c r="CH586" t="s">
        <v>206</v>
      </c>
      <c r="CI586" t="s">
        <v>206</v>
      </c>
      <c r="CL586" t="s">
        <v>108</v>
      </c>
      <c r="CM586" t="s">
        <v>109</v>
      </c>
      <c r="CN586" t="str">
        <f>"Neal"</f>
        <v>Neal</v>
      </c>
      <c r="CO586" t="str">
        <f>"Marissa"</f>
        <v>Marissa</v>
      </c>
      <c r="CP586" t="str">
        <f>"L"</f>
        <v>L</v>
      </c>
      <c r="CQ586" t="str">
        <f>"Zulkie Partners LLC"</f>
        <v>Zulkie Partners LLC</v>
      </c>
      <c r="CR586" t="s">
        <v>3332</v>
      </c>
    </row>
    <row r="587" spans="1:96" x14ac:dyDescent="0.2">
      <c r="A587" t="s">
        <v>6436</v>
      </c>
      <c r="B587" t="s">
        <v>96</v>
      </c>
      <c r="C587" s="1">
        <v>44098</v>
      </c>
      <c r="D587" s="1">
        <v>44105</v>
      </c>
      <c r="F587" t="s">
        <v>97</v>
      </c>
      <c r="G587" t="str">
        <f>"Software Architect"</f>
        <v>Software Architect</v>
      </c>
      <c r="H587" t="s">
        <v>12169</v>
      </c>
      <c r="I587" t="s">
        <v>124</v>
      </c>
      <c r="J587" t="s">
        <v>98</v>
      </c>
      <c r="K587" s="1">
        <v>44108</v>
      </c>
      <c r="L587" s="1">
        <v>45202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 t="s">
        <v>6437</v>
      </c>
      <c r="U587" t="str">
        <f>""</f>
        <v/>
      </c>
      <c r="V587" t="s">
        <v>6438</v>
      </c>
      <c r="W587" t="str">
        <f>"Suite 210"</f>
        <v>Suite 210</v>
      </c>
      <c r="X587" t="s">
        <v>3016</v>
      </c>
      <c r="Y587" t="s">
        <v>1644</v>
      </c>
      <c r="Z587" s="3">
        <v>89119</v>
      </c>
      <c r="AA587" t="s">
        <v>101</v>
      </c>
      <c r="AC587" s="4" t="str">
        <f>"+16099371556"</f>
        <v>+16099371556</v>
      </c>
      <c r="AE587" t="str">
        <f>"54151"</f>
        <v>54151</v>
      </c>
      <c r="AF587" t="s">
        <v>208</v>
      </c>
      <c r="AG587" t="s">
        <v>6439</v>
      </c>
      <c r="AI587" t="s">
        <v>5952</v>
      </c>
      <c r="AJ587" t="s">
        <v>5001</v>
      </c>
      <c r="AK587" t="str">
        <f>"Suite 302"</f>
        <v>Suite 302</v>
      </c>
      <c r="AL587" t="s">
        <v>947</v>
      </c>
      <c r="AM587" t="s">
        <v>100</v>
      </c>
      <c r="AN587" s="3">
        <v>8540</v>
      </c>
      <c r="AO587" t="s">
        <v>101</v>
      </c>
      <c r="AQ587" t="str">
        <f>"+16099371556"</f>
        <v>+16099371556</v>
      </c>
      <c r="AS587" t="s">
        <v>6440</v>
      </c>
      <c r="AT587" t="s">
        <v>107</v>
      </c>
      <c r="AU587" t="str">
        <f>"Huang"</f>
        <v>Huang</v>
      </c>
      <c r="AV587" t="str">
        <f>"Qiqi"</f>
        <v>Qiqi</v>
      </c>
      <c r="AW587" t="str">
        <f>""</f>
        <v/>
      </c>
      <c r="AX587" t="str">
        <f>"401 S LaSalle Street"</f>
        <v>401 S LaSalle Street</v>
      </c>
      <c r="AY587" t="str">
        <f>"Suite 800B"</f>
        <v>Suite 800B</v>
      </c>
      <c r="AZ587" t="str">
        <f>"Chicago"</f>
        <v>Chicago</v>
      </c>
      <c r="BA587" t="str">
        <f>"IL"</f>
        <v>IL</v>
      </c>
      <c r="BB587" s="3">
        <v>60605</v>
      </c>
      <c r="BC587" t="str">
        <f t="shared" si="36"/>
        <v>UNITED STATES OF AMERICA</v>
      </c>
      <c r="BD587" t="str">
        <f>""</f>
        <v/>
      </c>
      <c r="BE587" t="str">
        <f>"+14158121266"</f>
        <v>+14158121266</v>
      </c>
      <c r="BF587" t="str">
        <f>""</f>
        <v/>
      </c>
      <c r="BG587" t="str">
        <f>"huang@eh-legal.com"</f>
        <v>huang@eh-legal.com</v>
      </c>
      <c r="BH587" t="str">
        <f>"Qiqi Huang, Attorney at Law"</f>
        <v>Qiqi Huang, Attorney at Law</v>
      </c>
      <c r="BI587" t="str">
        <f>"NY"</f>
        <v>NY</v>
      </c>
      <c r="BJ587" t="str">
        <f>"New York State Suprem Court, Appellate Division"</f>
        <v>New York State Suprem Court, Appellate Division</v>
      </c>
      <c r="BK587">
        <v>1</v>
      </c>
      <c r="BL587" t="s">
        <v>102</v>
      </c>
      <c r="BM587" t="str">
        <f>""</f>
        <v/>
      </c>
      <c r="BN587" t="s">
        <v>5001</v>
      </c>
      <c r="BO587" t="s">
        <v>1154</v>
      </c>
      <c r="BP587" t="s">
        <v>947</v>
      </c>
      <c r="BQ587" t="s">
        <v>404</v>
      </c>
      <c r="BR587" t="s">
        <v>100</v>
      </c>
      <c r="BS587" s="5">
        <v>8540</v>
      </c>
      <c r="BT587" s="2">
        <v>165000</v>
      </c>
      <c r="BV587" t="s">
        <v>105</v>
      </c>
      <c r="BW587" s="2">
        <v>124301</v>
      </c>
      <c r="BX587" t="s">
        <v>105</v>
      </c>
      <c r="BZ587" t="s">
        <v>159</v>
      </c>
      <c r="CA587" t="str">
        <f t="shared" si="34"/>
        <v>7/1/2020 - 6/30/2021</v>
      </c>
      <c r="CF587">
        <v>1</v>
      </c>
      <c r="CG587" t="s">
        <v>98</v>
      </c>
      <c r="CH587" t="s">
        <v>206</v>
      </c>
      <c r="CI587" t="s">
        <v>206</v>
      </c>
      <c r="CL587" t="s">
        <v>108</v>
      </c>
      <c r="CM587" t="s">
        <v>353</v>
      </c>
      <c r="CN587" t="str">
        <f>"Cui"</f>
        <v>Cui</v>
      </c>
      <c r="CO587" t="str">
        <f>"Alex"</f>
        <v>Alex</v>
      </c>
      <c r="CP587" t="str">
        <f>"K"</f>
        <v>K</v>
      </c>
      <c r="CQ587" t="str">
        <f>"Qiqi Huang, Attorney at Law"</f>
        <v>Qiqi Huang, Attorney at Law</v>
      </c>
      <c r="CR587" t="s">
        <v>6441</v>
      </c>
    </row>
    <row r="588" spans="1:96" x14ac:dyDescent="0.2">
      <c r="A588" t="s">
        <v>6460</v>
      </c>
      <c r="B588" t="s">
        <v>96</v>
      </c>
      <c r="C588" s="1">
        <v>44098</v>
      </c>
      <c r="D588" s="1">
        <v>44105</v>
      </c>
      <c r="F588" t="s">
        <v>97</v>
      </c>
      <c r="G588" t="str">
        <f>"SENIOR SYSTEMS ENGINEER"</f>
        <v>SENIOR SYSTEMS ENGINEER</v>
      </c>
      <c r="H588" t="s">
        <v>12176</v>
      </c>
      <c r="I588" t="s">
        <v>246</v>
      </c>
      <c r="J588" t="s">
        <v>98</v>
      </c>
      <c r="K588" s="1">
        <v>44246</v>
      </c>
      <c r="L588" s="1">
        <v>45340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1449</v>
      </c>
      <c r="U588" t="str">
        <f>""</f>
        <v/>
      </c>
      <c r="V588" t="s">
        <v>1450</v>
      </c>
      <c r="W588" t="str">
        <f>""</f>
        <v/>
      </c>
      <c r="X588" t="s">
        <v>951</v>
      </c>
      <c r="Y588" t="s">
        <v>171</v>
      </c>
      <c r="Z588" s="3">
        <v>2210</v>
      </c>
      <c r="AA588" t="s">
        <v>101</v>
      </c>
      <c r="AC588" s="4" t="str">
        <f>"+16179515000"</f>
        <v>+16179515000</v>
      </c>
      <c r="AE588" t="str">
        <f>"523920"</f>
        <v>523920</v>
      </c>
      <c r="AF588" t="s">
        <v>1451</v>
      </c>
      <c r="AG588" t="s">
        <v>1452</v>
      </c>
      <c r="AI588" t="s">
        <v>1453</v>
      </c>
      <c r="AJ588" t="s">
        <v>1450</v>
      </c>
      <c r="AK588" t="str">
        <f>""</f>
        <v/>
      </c>
      <c r="AL588" t="s">
        <v>951</v>
      </c>
      <c r="AM588" t="s">
        <v>171</v>
      </c>
      <c r="AN588" s="3">
        <v>2210</v>
      </c>
      <c r="AO588" t="s">
        <v>101</v>
      </c>
      <c r="AQ588" t="str">
        <f>"+16179515000"</f>
        <v>+16179515000</v>
      </c>
      <c r="AS588" t="s">
        <v>1454</v>
      </c>
      <c r="AT588" t="s">
        <v>107</v>
      </c>
      <c r="AU588" t="str">
        <f>"ROSKOM"</f>
        <v>ROSKOM</v>
      </c>
      <c r="AV588" t="str">
        <f>"ANNE"</f>
        <v>ANNE</v>
      </c>
      <c r="AW588" t="str">
        <f>"R"</f>
        <v>R</v>
      </c>
      <c r="AX588" t="str">
        <f>"100 HIGH STREET"</f>
        <v>100 HIGH STREET</v>
      </c>
      <c r="AY588" t="str">
        <f>"3RD FLOOR"</f>
        <v>3RD FLOOR</v>
      </c>
      <c r="AZ588" t="str">
        <f>"BOSTON"</f>
        <v>BOSTON</v>
      </c>
      <c r="BA588" t="str">
        <f>"MA"</f>
        <v>MA</v>
      </c>
      <c r="BB588" s="3">
        <v>2110</v>
      </c>
      <c r="BC588" t="str">
        <f t="shared" si="36"/>
        <v>UNITED STATES OF AMERICA</v>
      </c>
      <c r="BD588" t="str">
        <f>""</f>
        <v/>
      </c>
      <c r="BE588" t="str">
        <f>"+16175740400"</f>
        <v>+16175740400</v>
      </c>
      <c r="BF588" t="str">
        <f>""</f>
        <v/>
      </c>
      <c r="BG588" t="str">
        <f>"EMMA.HOWARD@FRAGOMEN.COM"</f>
        <v>EMMA.HOWARD@FRAGOMEN.COM</v>
      </c>
      <c r="BH588" t="str">
        <f>"FRAGOMEN, DEL REY, BERNSEN &amp; LOEWY, LLP"</f>
        <v>FRAGOMEN, DEL REY, BERNSEN &amp; LOEWY, LLP</v>
      </c>
      <c r="BI588" t="str">
        <f>"CA"</f>
        <v>CA</v>
      </c>
      <c r="BJ588" t="str">
        <f>"SUPREME COURT "</f>
        <v xml:space="preserve">SUPREME COURT </v>
      </c>
      <c r="BK588">
        <v>1</v>
      </c>
      <c r="BL588" t="s">
        <v>102</v>
      </c>
      <c r="BM588" t="str">
        <f>""</f>
        <v/>
      </c>
      <c r="BN588" t="s">
        <v>6461</v>
      </c>
      <c r="BP588" t="s">
        <v>6462</v>
      </c>
      <c r="BQ588" t="s">
        <v>941</v>
      </c>
      <c r="BR588" t="s">
        <v>171</v>
      </c>
      <c r="BS588" s="5">
        <v>1752</v>
      </c>
      <c r="BT588" s="2">
        <v>137000</v>
      </c>
      <c r="BV588" t="s">
        <v>105</v>
      </c>
      <c r="BW588" s="2">
        <v>135658</v>
      </c>
      <c r="BX588" t="s">
        <v>105</v>
      </c>
      <c r="BZ588" t="s">
        <v>159</v>
      </c>
      <c r="CA588" t="str">
        <f t="shared" si="34"/>
        <v>7/1/2020 - 6/30/2021</v>
      </c>
      <c r="CF588">
        <v>3</v>
      </c>
      <c r="CG588" t="s">
        <v>98</v>
      </c>
      <c r="CH588" t="s">
        <v>206</v>
      </c>
      <c r="CI588" t="s">
        <v>206</v>
      </c>
      <c r="CL588" t="s">
        <v>108</v>
      </c>
      <c r="CM588" t="s">
        <v>109</v>
      </c>
      <c r="CN588" t="str">
        <f>"HOWARD"</f>
        <v>HOWARD</v>
      </c>
      <c r="CO588" t="str">
        <f>"EMMA"</f>
        <v>EMMA</v>
      </c>
      <c r="CP588" t="str">
        <f>"R"</f>
        <v>R</v>
      </c>
      <c r="CQ588" t="str">
        <f>"FRAGOMEN, DEL REY, BERNSEN &amp; LOEWY, LLP"</f>
        <v>FRAGOMEN, DEL REY, BERNSEN &amp; LOEWY, LLP</v>
      </c>
      <c r="CR588" t="s">
        <v>1456</v>
      </c>
    </row>
    <row r="589" spans="1:96" x14ac:dyDescent="0.2">
      <c r="A589" t="s">
        <v>6473</v>
      </c>
      <c r="B589" t="s">
        <v>96</v>
      </c>
      <c r="C589" s="1">
        <v>44098</v>
      </c>
      <c r="D589" s="1">
        <v>44105</v>
      </c>
      <c r="F589" t="s">
        <v>97</v>
      </c>
      <c r="G589" t="str">
        <f>"Demo Solutions Expert "</f>
        <v xml:space="preserve">Demo Solutions Expert </v>
      </c>
      <c r="H589" t="s">
        <v>12181</v>
      </c>
      <c r="I589" t="s">
        <v>110</v>
      </c>
      <c r="J589" t="s">
        <v>98</v>
      </c>
      <c r="K589" s="1">
        <v>44240</v>
      </c>
      <c r="L589" s="1">
        <v>45335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 t="s">
        <v>5143</v>
      </c>
      <c r="U589" t="str">
        <f>""</f>
        <v/>
      </c>
      <c r="V589" t="s">
        <v>1276</v>
      </c>
      <c r="W589" t="str">
        <f>""</f>
        <v/>
      </c>
      <c r="X589" t="s">
        <v>1277</v>
      </c>
      <c r="Y589" t="s">
        <v>127</v>
      </c>
      <c r="Z589" s="3">
        <v>19073</v>
      </c>
      <c r="AA589" t="s">
        <v>101</v>
      </c>
      <c r="AC589" s="4" t="str">
        <f>"+16106612354"</f>
        <v>+16106612354</v>
      </c>
      <c r="AE589" t="str">
        <f>"54151"</f>
        <v>54151</v>
      </c>
      <c r="AF589" t="s">
        <v>128</v>
      </c>
      <c r="AG589" t="s">
        <v>129</v>
      </c>
      <c r="AH589" t="s">
        <v>108</v>
      </c>
      <c r="AI589" t="s">
        <v>130</v>
      </c>
      <c r="AJ589" t="s">
        <v>1276</v>
      </c>
      <c r="AK589" t="str">
        <f>"N/A"</f>
        <v>N/A</v>
      </c>
      <c r="AL589" t="s">
        <v>1277</v>
      </c>
      <c r="AM589" t="s">
        <v>127</v>
      </c>
      <c r="AN589" s="3">
        <v>19073</v>
      </c>
      <c r="AO589" t="s">
        <v>101</v>
      </c>
      <c r="AQ589" t="str">
        <f>"+16106612354"</f>
        <v>+16106612354</v>
      </c>
      <c r="AS589" t="s">
        <v>131</v>
      </c>
      <c r="AT589" t="s">
        <v>107</v>
      </c>
      <c r="AU589" t="str">
        <f>"RALSTON"</f>
        <v>RALSTON</v>
      </c>
      <c r="AV589" t="str">
        <f>"C. WILLIAM"</f>
        <v>C. WILLIAM</v>
      </c>
      <c r="AW589" t="str">
        <f>"N/A"</f>
        <v>N/A</v>
      </c>
      <c r="AX589" t="str">
        <f>"90 Matawan Road"</f>
        <v>90 Matawan Road</v>
      </c>
      <c r="AY589" t="str">
        <f>"4th Floor"</f>
        <v>4th Floor</v>
      </c>
      <c r="AZ589" t="str">
        <f>"Matawan"</f>
        <v>Matawan</v>
      </c>
      <c r="BA589" t="str">
        <f>"NJ"</f>
        <v>NJ</v>
      </c>
      <c r="BB589" s="3">
        <v>7747</v>
      </c>
      <c r="BC589" t="str">
        <f t="shared" si="36"/>
        <v>UNITED STATES OF AMERICA</v>
      </c>
      <c r="BD589" t="str">
        <f>""</f>
        <v/>
      </c>
      <c r="BE589" t="str">
        <f>"+17328625000"</f>
        <v>+17328625000</v>
      </c>
      <c r="BF589" t="str">
        <f>""</f>
        <v/>
      </c>
      <c r="BG589" t="str">
        <f>"EANTOKAL@FRAGOMEN.COM"</f>
        <v>EANTOKAL@FRAGOMEN.COM</v>
      </c>
      <c r="BH589" t="str">
        <f>"FRAGOMEN, DEL REY, BERNSEN &amp; LOEWY, LLP"</f>
        <v>FRAGOMEN, DEL REY, BERNSEN &amp; LOEWY, LLP</v>
      </c>
      <c r="BI589" t="str">
        <f>"NJ"</f>
        <v>NJ</v>
      </c>
      <c r="BJ589" t="str">
        <f>"SUPREME COURT"</f>
        <v>SUPREME COURT</v>
      </c>
      <c r="BK589">
        <v>1</v>
      </c>
      <c r="BL589" t="s">
        <v>102</v>
      </c>
      <c r="BM589" t="str">
        <f>""</f>
        <v/>
      </c>
      <c r="BN589" t="s">
        <v>1276</v>
      </c>
      <c r="BP589" t="s">
        <v>1277</v>
      </c>
      <c r="BQ589" t="s">
        <v>1556</v>
      </c>
      <c r="BR589" t="s">
        <v>127</v>
      </c>
      <c r="BS589" s="5">
        <v>19073</v>
      </c>
      <c r="BT589" s="2">
        <v>132120.95999999999</v>
      </c>
      <c r="BV589" t="s">
        <v>105</v>
      </c>
      <c r="BW589" s="2">
        <v>104749</v>
      </c>
      <c r="BX589" t="s">
        <v>105</v>
      </c>
      <c r="BZ589" t="s">
        <v>123</v>
      </c>
      <c r="CA589" t="str">
        <f t="shared" si="34"/>
        <v>7/1/2020 - 6/30/2021</v>
      </c>
      <c r="CF589">
        <v>2</v>
      </c>
      <c r="CG589" t="s">
        <v>98</v>
      </c>
      <c r="CH589" t="s">
        <v>206</v>
      </c>
      <c r="CI589" t="s">
        <v>206</v>
      </c>
      <c r="CL589" t="s">
        <v>108</v>
      </c>
      <c r="CM589" t="s">
        <v>109</v>
      </c>
      <c r="CN589" t="str">
        <f>"RALSTON"</f>
        <v>RALSTON</v>
      </c>
      <c r="CO589" t="str">
        <f>"C. WILLIAM"</f>
        <v>C. WILLIAM</v>
      </c>
      <c r="CP589" t="str">
        <f>""</f>
        <v/>
      </c>
      <c r="CQ589" t="str">
        <f>"FRAGOMEN, DEL REY, BERNSEN &amp; LOEWY, LLP"</f>
        <v>FRAGOMEN, DEL REY, BERNSEN &amp; LOEWY, LLP</v>
      </c>
      <c r="CR589" t="s">
        <v>5449</v>
      </c>
    </row>
    <row r="590" spans="1:96" x14ac:dyDescent="0.2">
      <c r="A590" t="s">
        <v>6476</v>
      </c>
      <c r="B590" t="s">
        <v>96</v>
      </c>
      <c r="C590" s="1">
        <v>44098</v>
      </c>
      <c r="D590" s="1">
        <v>44105</v>
      </c>
      <c r="F590" t="s">
        <v>97</v>
      </c>
      <c r="G590" t="str">
        <f>"Consultant"</f>
        <v>Consultant</v>
      </c>
      <c r="H590" t="s">
        <v>12168</v>
      </c>
      <c r="I590" t="s">
        <v>249</v>
      </c>
      <c r="J590" t="s">
        <v>98</v>
      </c>
      <c r="K590" s="1">
        <v>44105</v>
      </c>
      <c r="L590" s="1">
        <v>45199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6477</v>
      </c>
      <c r="U590" t="str">
        <f>""</f>
        <v/>
      </c>
      <c r="V590" t="s">
        <v>6478</v>
      </c>
      <c r="W590" t="str">
        <f>"Suite 200"</f>
        <v>Suite 200</v>
      </c>
      <c r="X590" t="s">
        <v>175</v>
      </c>
      <c r="Y590" t="s">
        <v>176</v>
      </c>
      <c r="Z590" s="3">
        <v>98052</v>
      </c>
      <c r="AA590" t="s">
        <v>101</v>
      </c>
      <c r="AC590" s="4" t="str">
        <f>"+14258850684"</f>
        <v>+14258850684</v>
      </c>
      <c r="AE590" t="str">
        <f>"54161"</f>
        <v>54161</v>
      </c>
      <c r="AF590" t="s">
        <v>6479</v>
      </c>
      <c r="AG590" t="s">
        <v>1767</v>
      </c>
      <c r="AI590" t="s">
        <v>6480</v>
      </c>
      <c r="AJ590" t="s">
        <v>6481</v>
      </c>
      <c r="AK590" t="str">
        <f>"Suite 200"</f>
        <v>Suite 200</v>
      </c>
      <c r="AL590" t="s">
        <v>175</v>
      </c>
      <c r="AM590" t="s">
        <v>176</v>
      </c>
      <c r="AN590" s="3">
        <v>98052</v>
      </c>
      <c r="AO590" t="s">
        <v>101</v>
      </c>
      <c r="AQ590" t="str">
        <f>"+14258850684"</f>
        <v>+14258850684</v>
      </c>
      <c r="AS590" t="s">
        <v>6482</v>
      </c>
      <c r="AT590" t="s">
        <v>107</v>
      </c>
      <c r="AU590" t="str">
        <f>"Walvekar"</f>
        <v>Walvekar</v>
      </c>
      <c r="AV590" t="str">
        <f>"Eryne"</f>
        <v>Eryne</v>
      </c>
      <c r="AW590" t="str">
        <f>"Elizabeth"</f>
        <v>Elizabeth</v>
      </c>
      <c r="AX590" t="str">
        <f>"1201 Third Avenue"</f>
        <v>1201 Third Avenue</v>
      </c>
      <c r="AY590" t="str">
        <f>"Suite 2750"</f>
        <v>Suite 2750</v>
      </c>
      <c r="AZ590" t="str">
        <f>"Seattle"</f>
        <v>Seattle</v>
      </c>
      <c r="BA590" t="str">
        <f>"WA"</f>
        <v>WA</v>
      </c>
      <c r="BB590" s="3">
        <v>98101</v>
      </c>
      <c r="BC590" t="str">
        <f t="shared" si="36"/>
        <v>UNITED STATES OF AMERICA</v>
      </c>
      <c r="BD590" t="str">
        <f>""</f>
        <v/>
      </c>
      <c r="BE590" t="str">
        <f>"+12066822308"</f>
        <v>+12066822308</v>
      </c>
      <c r="BF590" t="str">
        <f>""</f>
        <v/>
      </c>
      <c r="BG590" t="str">
        <f>"sea-immigration@fisherphillips.com"</f>
        <v>sea-immigration@fisherphillips.com</v>
      </c>
      <c r="BH590" t="str">
        <f>"Fisher &amp; Phillips LLP"</f>
        <v>Fisher &amp; Phillips LLP</v>
      </c>
      <c r="BI590" t="str">
        <f>"WA"</f>
        <v>WA</v>
      </c>
      <c r="BJ590" t="str">
        <f>"State Supreme Court"</f>
        <v>State Supreme Court</v>
      </c>
      <c r="BK590">
        <v>1</v>
      </c>
      <c r="BL590" t="s">
        <v>102</v>
      </c>
      <c r="BM590" t="str">
        <f>""</f>
        <v/>
      </c>
      <c r="BN590" t="s">
        <v>6483</v>
      </c>
      <c r="BP590" t="s">
        <v>182</v>
      </c>
      <c r="BQ590" t="s">
        <v>183</v>
      </c>
      <c r="BR590" t="s">
        <v>176</v>
      </c>
      <c r="BS590" s="5">
        <v>98004</v>
      </c>
      <c r="BT590" s="2">
        <v>58261</v>
      </c>
      <c r="BU590" s="2">
        <v>65000</v>
      </c>
      <c r="BV590" t="s">
        <v>105</v>
      </c>
      <c r="BW590" s="2">
        <v>58261</v>
      </c>
      <c r="BX590" t="s">
        <v>105</v>
      </c>
      <c r="BZ590" t="s">
        <v>191</v>
      </c>
      <c r="CA590" t="str">
        <f t="shared" si="34"/>
        <v>7/1/2020 - 6/30/2021</v>
      </c>
      <c r="CF590">
        <v>1</v>
      </c>
      <c r="CG590" t="s">
        <v>98</v>
      </c>
      <c r="CH590" t="s">
        <v>206</v>
      </c>
      <c r="CI590" t="s">
        <v>206</v>
      </c>
      <c r="CL590" t="s">
        <v>108</v>
      </c>
      <c r="CM590" t="s">
        <v>109</v>
      </c>
      <c r="CN590" t="str">
        <f>"Myhre"</f>
        <v>Myhre</v>
      </c>
      <c r="CO590" t="str">
        <f>"Kevin"</f>
        <v>Kevin</v>
      </c>
      <c r="CP590" t="str">
        <f>"R."</f>
        <v>R.</v>
      </c>
      <c r="CQ590" t="str">
        <f>"Fisher &amp; Phillips LLP"</f>
        <v>Fisher &amp; Phillips LLP</v>
      </c>
      <c r="CR590" t="s">
        <v>5238</v>
      </c>
    </row>
    <row r="591" spans="1:96" x14ac:dyDescent="0.2">
      <c r="A591" t="s">
        <v>6515</v>
      </c>
      <c r="B591" t="s">
        <v>96</v>
      </c>
      <c r="C591" s="1">
        <v>44098</v>
      </c>
      <c r="D591" s="1">
        <v>44105</v>
      </c>
      <c r="F591" t="s">
        <v>97</v>
      </c>
      <c r="G591" t="str">
        <f>"SENIOR SOFTWARE DEVELOPER"</f>
        <v>SENIOR SOFTWARE DEVELOPER</v>
      </c>
      <c r="H591" t="s">
        <v>12169</v>
      </c>
      <c r="I591" t="s">
        <v>124</v>
      </c>
      <c r="J591" t="s">
        <v>98</v>
      </c>
      <c r="K591" s="1">
        <v>44099</v>
      </c>
      <c r="L591" s="1">
        <v>45193</v>
      </c>
      <c r="M591">
        <v>10</v>
      </c>
      <c r="N591">
        <v>2</v>
      </c>
      <c r="O591">
        <v>2</v>
      </c>
      <c r="P591">
        <v>2</v>
      </c>
      <c r="Q591">
        <v>0</v>
      </c>
      <c r="R591">
        <v>2</v>
      </c>
      <c r="S591">
        <v>2</v>
      </c>
      <c r="T591" t="s">
        <v>2068</v>
      </c>
      <c r="U591" t="str">
        <f>""</f>
        <v/>
      </c>
      <c r="V591" t="s">
        <v>2069</v>
      </c>
      <c r="W591" t="str">
        <f>""</f>
        <v/>
      </c>
      <c r="X591" t="s">
        <v>1025</v>
      </c>
      <c r="Y591" t="s">
        <v>577</v>
      </c>
      <c r="Z591" s="3">
        <v>33605</v>
      </c>
      <c r="AA591" t="s">
        <v>101</v>
      </c>
      <c r="AC591" s="4" t="str">
        <f>"+18135525000"</f>
        <v>+18135525000</v>
      </c>
      <c r="AE591" t="str">
        <f>"5416"</f>
        <v>5416</v>
      </c>
      <c r="AF591" t="s">
        <v>2070</v>
      </c>
      <c r="AG591" t="s">
        <v>2071</v>
      </c>
      <c r="AI591" t="s">
        <v>497</v>
      </c>
      <c r="AJ591" t="s">
        <v>2072</v>
      </c>
      <c r="AK591" t="str">
        <f>""</f>
        <v/>
      </c>
      <c r="AL591" t="s">
        <v>1025</v>
      </c>
      <c r="AM591" t="s">
        <v>577</v>
      </c>
      <c r="AN591" s="3">
        <v>33605</v>
      </c>
      <c r="AO591" t="s">
        <v>101</v>
      </c>
      <c r="AQ591" t="str">
        <f>"+18135525000"</f>
        <v>+18135525000</v>
      </c>
      <c r="AS591" t="s">
        <v>2073</v>
      </c>
      <c r="AT591" t="s">
        <v>107</v>
      </c>
      <c r="AU591" t="str">
        <f>"WHITE "</f>
        <v xml:space="preserve">WHITE </v>
      </c>
      <c r="AV591" t="str">
        <f>"ROBERT"</f>
        <v>ROBERT</v>
      </c>
      <c r="AW591" t="str">
        <f>"SAMUEL"</f>
        <v>SAMUEL</v>
      </c>
      <c r="AX591" t="str">
        <f>"200 N MARTINGALE ROAD"</f>
        <v>200 N MARTINGALE ROAD</v>
      </c>
      <c r="AY591" t="str">
        <f>"SUITE 800"</f>
        <v>SUITE 800</v>
      </c>
      <c r="AZ591" t="str">
        <f>"SCHAUMBURG"</f>
        <v>SCHAUMBURG</v>
      </c>
      <c r="BA591" t="str">
        <f>"IL"</f>
        <v>IL</v>
      </c>
      <c r="BB591" s="3">
        <v>60173</v>
      </c>
      <c r="BC591" t="str">
        <f t="shared" si="36"/>
        <v>UNITED STATES OF AMERICA</v>
      </c>
      <c r="BD591" t="str">
        <f>""</f>
        <v/>
      </c>
      <c r="BE591" t="str">
        <f>"+18477348811"</f>
        <v>+18477348811</v>
      </c>
      <c r="BF591" t="str">
        <f>""</f>
        <v/>
      </c>
      <c r="BG591" t="str">
        <f>"RWHITE@MASUDAFUNAI.COM"</f>
        <v>RWHITE@MASUDAFUNAI.COM</v>
      </c>
      <c r="BH591" t="str">
        <f>"Masuda Funai Eifert &amp; Mitchell, Ltd."</f>
        <v>Masuda Funai Eifert &amp; Mitchell, Ltd.</v>
      </c>
      <c r="BI591" t="str">
        <f>"IL"</f>
        <v>IL</v>
      </c>
      <c r="BJ591" t="str">
        <f>"SUPREME COURT"</f>
        <v>SUPREME COURT</v>
      </c>
      <c r="BK591">
        <v>10</v>
      </c>
      <c r="BL591" t="s">
        <v>107</v>
      </c>
      <c r="BM591" t="str">
        <f>"MONEYGRAM INTERNATIONAL INC."</f>
        <v>MONEYGRAM INTERNATIONAL INC.</v>
      </c>
      <c r="BN591" t="s">
        <v>6516</v>
      </c>
      <c r="BO591" t="s">
        <v>6517</v>
      </c>
      <c r="BP591" t="s">
        <v>484</v>
      </c>
      <c r="BQ591" t="s">
        <v>484</v>
      </c>
      <c r="BR591" t="s">
        <v>114</v>
      </c>
      <c r="BS591" s="5">
        <v>75201</v>
      </c>
      <c r="BT591" s="2">
        <v>44.98</v>
      </c>
      <c r="BU591" s="2">
        <v>70</v>
      </c>
      <c r="BV591" t="s">
        <v>210</v>
      </c>
      <c r="BW591" s="2">
        <v>44.98</v>
      </c>
      <c r="BX591" t="s">
        <v>210</v>
      </c>
      <c r="BZ591" t="s">
        <v>167</v>
      </c>
      <c r="CA591" t="str">
        <f t="shared" si="34"/>
        <v>7/1/2020 - 6/30/2021</v>
      </c>
      <c r="CF591">
        <v>2</v>
      </c>
      <c r="CG591" t="s">
        <v>98</v>
      </c>
      <c r="CH591" t="s">
        <v>206</v>
      </c>
      <c r="CI591" t="s">
        <v>206</v>
      </c>
      <c r="CL591" t="s">
        <v>108</v>
      </c>
      <c r="CM591" t="s">
        <v>109</v>
      </c>
      <c r="CN591" t="str">
        <f>""</f>
        <v/>
      </c>
      <c r="CO591" t="str">
        <f>""</f>
        <v/>
      </c>
      <c r="CP591" t="str">
        <f>""</f>
        <v/>
      </c>
      <c r="CQ591" t="str">
        <f>""</f>
        <v/>
      </c>
    </row>
    <row r="592" spans="1:96" x14ac:dyDescent="0.2">
      <c r="A592" t="s">
        <v>6545</v>
      </c>
      <c r="B592" t="s">
        <v>96</v>
      </c>
      <c r="C592" s="1">
        <v>44098</v>
      </c>
      <c r="D592" s="1">
        <v>44105</v>
      </c>
      <c r="F592" t="s">
        <v>97</v>
      </c>
      <c r="G592" t="str">
        <f>"Hospitalist"</f>
        <v>Hospitalist</v>
      </c>
      <c r="H592" t="s">
        <v>12207</v>
      </c>
      <c r="I592" t="s">
        <v>1665</v>
      </c>
      <c r="J592" t="s">
        <v>98</v>
      </c>
      <c r="K592" s="1">
        <v>44197</v>
      </c>
      <c r="L592" s="1">
        <v>45291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 t="s">
        <v>6546</v>
      </c>
      <c r="U592" t="str">
        <f>""</f>
        <v/>
      </c>
      <c r="V592" t="s">
        <v>3970</v>
      </c>
      <c r="W592" t="str">
        <f>"Suite 400"</f>
        <v>Suite 400</v>
      </c>
      <c r="X592" t="s">
        <v>3971</v>
      </c>
      <c r="Y592" t="s">
        <v>545</v>
      </c>
      <c r="Z592" s="3">
        <v>38120</v>
      </c>
      <c r="AA592" t="s">
        <v>101</v>
      </c>
      <c r="AC592" s="4" t="str">
        <f>"+18656931000"</f>
        <v>+18656931000</v>
      </c>
      <c r="AE592" t="str">
        <f>"621111"</f>
        <v>621111</v>
      </c>
      <c r="AF592" t="s">
        <v>6547</v>
      </c>
      <c r="AG592" t="s">
        <v>6548</v>
      </c>
      <c r="AI592" t="s">
        <v>508</v>
      </c>
      <c r="AJ592" t="s">
        <v>3970</v>
      </c>
      <c r="AK592" t="str">
        <f>"Suite 400"</f>
        <v>Suite 400</v>
      </c>
      <c r="AL592" t="s">
        <v>3971</v>
      </c>
      <c r="AM592" t="s">
        <v>545</v>
      </c>
      <c r="AN592" s="3">
        <v>37919</v>
      </c>
      <c r="AO592" t="s">
        <v>101</v>
      </c>
      <c r="AQ592" t="str">
        <f>"+18656931000"</f>
        <v>+18656931000</v>
      </c>
      <c r="AS592" t="s">
        <v>6549</v>
      </c>
      <c r="AT592" t="s">
        <v>107</v>
      </c>
      <c r="AU592" t="str">
        <f>"Taub"</f>
        <v>Taub</v>
      </c>
      <c r="AV592" t="str">
        <f>"Elissa"</f>
        <v>Elissa</v>
      </c>
      <c r="AW592" t="str">
        <f>""</f>
        <v/>
      </c>
      <c r="AX592" t="str">
        <f>"1028 Oakhaven Rd"</f>
        <v>1028 Oakhaven Rd</v>
      </c>
      <c r="AY592" t="str">
        <f>""</f>
        <v/>
      </c>
      <c r="AZ592" t="str">
        <f>"Memphis"</f>
        <v>Memphis</v>
      </c>
      <c r="BA592" t="str">
        <f>"TN"</f>
        <v>TN</v>
      </c>
      <c r="BB592" s="3">
        <v>38119</v>
      </c>
      <c r="BC592" t="str">
        <f t="shared" si="36"/>
        <v>UNITED STATES OF AMERICA</v>
      </c>
      <c r="BD592" t="str">
        <f>""</f>
        <v/>
      </c>
      <c r="BE592" t="str">
        <f>"+19016826455"</f>
        <v>+19016826455</v>
      </c>
      <c r="BF592" t="str">
        <f>""</f>
        <v/>
      </c>
      <c r="BG592" t="str">
        <f>"etaub@visalaw.com"</f>
        <v>etaub@visalaw.com</v>
      </c>
      <c r="BH592" t="str">
        <f>"Siskind Susser PC"</f>
        <v>Siskind Susser PC</v>
      </c>
      <c r="BI592" t="str">
        <f>"FL"</f>
        <v>FL</v>
      </c>
      <c r="BJ592" t="str">
        <f>"Supreme Court"</f>
        <v>Supreme Court</v>
      </c>
      <c r="BK592">
        <v>1</v>
      </c>
      <c r="BL592" t="s">
        <v>107</v>
      </c>
      <c r="BM592" t="str">
        <f>"Baptist Memorial Hospital Memphis"</f>
        <v>Baptist Memorial Hospital Memphis</v>
      </c>
      <c r="BN592" t="s">
        <v>6550</v>
      </c>
      <c r="BP592" t="s">
        <v>3850</v>
      </c>
      <c r="BQ592" t="s">
        <v>2573</v>
      </c>
      <c r="BR592" t="s">
        <v>545</v>
      </c>
      <c r="BS592" s="5">
        <v>38120</v>
      </c>
      <c r="BT592" s="2">
        <v>251160</v>
      </c>
      <c r="BV592" t="s">
        <v>105</v>
      </c>
      <c r="BW592" s="2">
        <v>91437</v>
      </c>
      <c r="BX592" t="s">
        <v>105</v>
      </c>
      <c r="BZ592" t="s">
        <v>167</v>
      </c>
      <c r="CA592" t="str">
        <f t="shared" si="34"/>
        <v>7/1/2020 - 6/30/2021</v>
      </c>
      <c r="CF592">
        <v>4</v>
      </c>
      <c r="CG592" t="s">
        <v>98</v>
      </c>
      <c r="CH592" t="s">
        <v>206</v>
      </c>
      <c r="CI592" t="s">
        <v>206</v>
      </c>
      <c r="CL592" t="s">
        <v>108</v>
      </c>
      <c r="CM592" t="s">
        <v>109</v>
      </c>
      <c r="CN592" t="str">
        <f>"Schaffler"</f>
        <v>Schaffler</v>
      </c>
      <c r="CO592" t="str">
        <f>"Macrae"</f>
        <v>Macrae</v>
      </c>
      <c r="CP592" t="str">
        <f>""</f>
        <v/>
      </c>
      <c r="CQ592" t="str">
        <f>"Siskind Susser PC"</f>
        <v>Siskind Susser PC</v>
      </c>
      <c r="CR592" t="s">
        <v>3655</v>
      </c>
    </row>
    <row r="593" spans="1:96" x14ac:dyDescent="0.2">
      <c r="A593" t="s">
        <v>6556</v>
      </c>
      <c r="B593" t="s">
        <v>96</v>
      </c>
      <c r="C593" s="1">
        <v>44098</v>
      </c>
      <c r="D593" s="1">
        <v>44105</v>
      </c>
      <c r="F593" t="s">
        <v>97</v>
      </c>
      <c r="G593" t="str">
        <f>"Software Developer"</f>
        <v>Software Developer</v>
      </c>
      <c r="H593" t="s">
        <v>12169</v>
      </c>
      <c r="I593" t="s">
        <v>124</v>
      </c>
      <c r="J593" t="s">
        <v>98</v>
      </c>
      <c r="K593" s="1">
        <v>44109</v>
      </c>
      <c r="L593" s="1">
        <v>45203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3388</v>
      </c>
      <c r="U593" t="str">
        <f>""</f>
        <v/>
      </c>
      <c r="V593" t="s">
        <v>3389</v>
      </c>
      <c r="W593" t="str">
        <f>"SUITE # 140"</f>
        <v>SUITE # 140</v>
      </c>
      <c r="X593" t="s">
        <v>2211</v>
      </c>
      <c r="Y593" t="s">
        <v>195</v>
      </c>
      <c r="Z593" s="3">
        <v>21045</v>
      </c>
      <c r="AA593" t="s">
        <v>101</v>
      </c>
      <c r="AC593" s="4" t="str">
        <f>"+14433257896"</f>
        <v>+14433257896</v>
      </c>
      <c r="AE593" t="str">
        <f>"541511"</f>
        <v>541511</v>
      </c>
      <c r="AF593" t="s">
        <v>3390</v>
      </c>
      <c r="AG593" t="s">
        <v>3391</v>
      </c>
      <c r="AH593" t="s">
        <v>1245</v>
      </c>
      <c r="AI593" t="s">
        <v>508</v>
      </c>
      <c r="AJ593" t="s">
        <v>3389</v>
      </c>
      <c r="AK593" t="str">
        <f>"SUITE # 140"</f>
        <v>SUITE # 140</v>
      </c>
      <c r="AL593" t="s">
        <v>2211</v>
      </c>
      <c r="AM593" t="s">
        <v>195</v>
      </c>
      <c r="AN593" s="3">
        <v>21045</v>
      </c>
      <c r="AO593" t="s">
        <v>101</v>
      </c>
      <c r="AQ593" t="str">
        <f>"+14433257896"</f>
        <v>+14433257896</v>
      </c>
      <c r="AS593" t="s">
        <v>3392</v>
      </c>
      <c r="AT593" t="s">
        <v>107</v>
      </c>
      <c r="AU593" t="str">
        <f>"Vemuru"</f>
        <v>Vemuru</v>
      </c>
      <c r="AV593" t="str">
        <f>"Suneil"</f>
        <v>Suneil</v>
      </c>
      <c r="AW593" t="str">
        <f>""</f>
        <v/>
      </c>
      <c r="AX593" t="str">
        <f>"8170 Lark Brown Road"</f>
        <v>8170 Lark Brown Road</v>
      </c>
      <c r="AY593" t="str">
        <f>"Suite 202"</f>
        <v>Suite 202</v>
      </c>
      <c r="AZ593" t="str">
        <f>"Elkridge"</f>
        <v>Elkridge</v>
      </c>
      <c r="BA593" t="str">
        <f>"MD"</f>
        <v>MD</v>
      </c>
      <c r="BB593" s="3">
        <v>21075</v>
      </c>
      <c r="BC593" t="str">
        <f t="shared" si="36"/>
        <v>UNITED STATES OF AMERICA</v>
      </c>
      <c r="BD593" t="str">
        <f>""</f>
        <v/>
      </c>
      <c r="BE593" t="str">
        <f>"+14109757575"</f>
        <v>+14109757575</v>
      </c>
      <c r="BF593" t="str">
        <f>""</f>
        <v/>
      </c>
      <c r="BG593" t="str">
        <f>"support@immiservice.com"</f>
        <v>support@immiservice.com</v>
      </c>
      <c r="BH593" t="str">
        <f>"Vegesna and Vemuru Associates LLC"</f>
        <v>Vegesna and Vemuru Associates LLC</v>
      </c>
      <c r="BI593" t="str">
        <f>"MD"</f>
        <v>MD</v>
      </c>
      <c r="BJ593" t="str">
        <f>"Maryland Court of Appeals"</f>
        <v>Maryland Court of Appeals</v>
      </c>
      <c r="BK593">
        <v>1</v>
      </c>
      <c r="BL593" t="s">
        <v>107</v>
      </c>
      <c r="BM593" t="str">
        <f>"AIMS Health / AIMS Specialty Health"</f>
        <v>AIMS Health / AIMS Specialty Health</v>
      </c>
      <c r="BN593" t="s">
        <v>6557</v>
      </c>
      <c r="BO593" t="s">
        <v>163</v>
      </c>
      <c r="BP593" t="s">
        <v>833</v>
      </c>
      <c r="BQ593" t="s">
        <v>788</v>
      </c>
      <c r="BR593" t="s">
        <v>345</v>
      </c>
      <c r="BS593" s="5">
        <v>60631</v>
      </c>
      <c r="BT593" s="2">
        <v>93558</v>
      </c>
      <c r="BV593" t="s">
        <v>105</v>
      </c>
      <c r="BW593" s="2">
        <v>87838</v>
      </c>
      <c r="BX593" t="s">
        <v>105</v>
      </c>
      <c r="BZ593" t="s">
        <v>167</v>
      </c>
      <c r="CA593" t="str">
        <f t="shared" si="34"/>
        <v>7/1/2020 - 6/30/2021</v>
      </c>
      <c r="CF593">
        <v>2</v>
      </c>
      <c r="CG593" t="s">
        <v>98</v>
      </c>
      <c r="CH593" t="s">
        <v>206</v>
      </c>
      <c r="CI593" t="s">
        <v>206</v>
      </c>
      <c r="CL593" t="s">
        <v>108</v>
      </c>
      <c r="CM593" t="s">
        <v>109</v>
      </c>
      <c r="CN593" t="str">
        <f>""</f>
        <v/>
      </c>
      <c r="CO593" t="str">
        <f>""</f>
        <v/>
      </c>
      <c r="CP593" t="str">
        <f>""</f>
        <v/>
      </c>
      <c r="CQ593" t="str">
        <f>""</f>
        <v/>
      </c>
    </row>
    <row r="594" spans="1:96" x14ac:dyDescent="0.2">
      <c r="A594" t="s">
        <v>6595</v>
      </c>
      <c r="B594" t="s">
        <v>96</v>
      </c>
      <c r="C594" s="1">
        <v>44098</v>
      </c>
      <c r="D594" s="1">
        <v>44105</v>
      </c>
      <c r="F594" t="s">
        <v>97</v>
      </c>
      <c r="G594" t="str">
        <f>"Senior Software Engineer"</f>
        <v>Senior Software Engineer</v>
      </c>
      <c r="H594" t="s">
        <v>12169</v>
      </c>
      <c r="I594" t="s">
        <v>124</v>
      </c>
      <c r="J594" t="s">
        <v>98</v>
      </c>
      <c r="K594" s="1">
        <v>44105</v>
      </c>
      <c r="L594" s="1">
        <v>45199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 t="s">
        <v>148</v>
      </c>
      <c r="U594" t="str">
        <f>""</f>
        <v/>
      </c>
      <c r="V594" t="s">
        <v>149</v>
      </c>
      <c r="W594" t="str">
        <f>"N/A"</f>
        <v>N/A</v>
      </c>
      <c r="X594" t="s">
        <v>150</v>
      </c>
      <c r="Y594" t="s">
        <v>141</v>
      </c>
      <c r="Z594" s="3">
        <v>94043</v>
      </c>
      <c r="AA594" t="s">
        <v>101</v>
      </c>
      <c r="AB594" t="s">
        <v>108</v>
      </c>
      <c r="AC594" s="4" t="str">
        <f>"+16509446000"</f>
        <v>+16509446000</v>
      </c>
      <c r="AE594" t="str">
        <f>"541512"</f>
        <v>541512</v>
      </c>
      <c r="AF594" t="s">
        <v>151</v>
      </c>
      <c r="AG594" t="s">
        <v>152</v>
      </c>
      <c r="AI594" t="s">
        <v>153</v>
      </c>
      <c r="AJ594" t="s">
        <v>154</v>
      </c>
      <c r="AK594" t="str">
        <f>""</f>
        <v/>
      </c>
      <c r="AL594" t="s">
        <v>155</v>
      </c>
      <c r="AM594" t="s">
        <v>141</v>
      </c>
      <c r="AN594" s="3">
        <v>94043</v>
      </c>
      <c r="AO594" t="s">
        <v>101</v>
      </c>
      <c r="AQ594" t="str">
        <f>"+16509446000"</f>
        <v>+16509446000</v>
      </c>
      <c r="AS594" t="s">
        <v>156</v>
      </c>
      <c r="AT594" t="s">
        <v>107</v>
      </c>
      <c r="AU594" t="str">
        <f>"Miguel"</f>
        <v>Miguel</v>
      </c>
      <c r="AV594" t="str">
        <f>"Michael Francis"</f>
        <v>Michael Francis</v>
      </c>
      <c r="AW594" t="str">
        <f>"Liao"</f>
        <v>Liao</v>
      </c>
      <c r="AX594" t="str">
        <f>"50 California Street"</f>
        <v>50 California Street</v>
      </c>
      <c r="AY594" t="str">
        <f>"Floor 2"</f>
        <v>Floor 2</v>
      </c>
      <c r="AZ594" t="str">
        <f>"San Francisco"</f>
        <v>San Francisco</v>
      </c>
      <c r="BA594" t="str">
        <f>"CA"</f>
        <v>CA</v>
      </c>
      <c r="BB594" s="3">
        <v>94111</v>
      </c>
      <c r="BC594" t="str">
        <f t="shared" si="36"/>
        <v>UNITED STATES OF AMERICA</v>
      </c>
      <c r="BD594" t="str">
        <f>""</f>
        <v/>
      </c>
      <c r="BE594" t="str">
        <f>"+1469290662"</f>
        <v>+1469290662</v>
      </c>
      <c r="BF594" t="str">
        <f>""</f>
        <v/>
      </c>
      <c r="BG594" t="str">
        <f>"mmiguel@balglobal.com"</f>
        <v>mmiguel@balglobal.com</v>
      </c>
      <c r="BH594" t="str">
        <f>"BERRY APPLEMAN &amp; LEIDEN LLP"</f>
        <v>BERRY APPLEMAN &amp; LEIDEN LLP</v>
      </c>
      <c r="BI594" t="str">
        <f>"CA"</f>
        <v>CA</v>
      </c>
      <c r="BJ594" t="str">
        <f>"SUPREME"</f>
        <v>SUPREME</v>
      </c>
      <c r="BK594">
        <v>1</v>
      </c>
      <c r="BL594" t="s">
        <v>102</v>
      </c>
      <c r="BM594" t="str">
        <f>""</f>
        <v/>
      </c>
      <c r="BN594" t="s">
        <v>2001</v>
      </c>
      <c r="BP594" t="s">
        <v>155</v>
      </c>
      <c r="BQ594" t="s">
        <v>230</v>
      </c>
      <c r="BR594" t="s">
        <v>141</v>
      </c>
      <c r="BS594" s="5">
        <v>94043</v>
      </c>
      <c r="BT594" s="2">
        <v>145725</v>
      </c>
      <c r="BU594" s="2">
        <v>210000</v>
      </c>
      <c r="BV594" t="s">
        <v>105</v>
      </c>
      <c r="BW594" s="2">
        <v>145725</v>
      </c>
      <c r="BX594" t="s">
        <v>105</v>
      </c>
      <c r="BZ594" t="s">
        <v>123</v>
      </c>
      <c r="CA594" t="str">
        <f t="shared" si="34"/>
        <v>7/1/2020 - 6/30/2021</v>
      </c>
      <c r="CF594">
        <v>1</v>
      </c>
      <c r="CG594" t="s">
        <v>98</v>
      </c>
      <c r="CH594" t="s">
        <v>206</v>
      </c>
      <c r="CI594" t="s">
        <v>206</v>
      </c>
      <c r="CL594" t="s">
        <v>108</v>
      </c>
      <c r="CM594" t="s">
        <v>109</v>
      </c>
      <c r="CN594" t="str">
        <f>""</f>
        <v/>
      </c>
      <c r="CO594" t="str">
        <f>""</f>
        <v/>
      </c>
      <c r="CP594" t="str">
        <f>""</f>
        <v/>
      </c>
      <c r="CQ594" t="str">
        <f>""</f>
        <v/>
      </c>
    </row>
    <row r="595" spans="1:96" x14ac:dyDescent="0.2">
      <c r="A595" t="s">
        <v>6604</v>
      </c>
      <c r="B595" t="s">
        <v>96</v>
      </c>
      <c r="C595" s="1">
        <v>44098</v>
      </c>
      <c r="D595" s="1">
        <v>44105</v>
      </c>
      <c r="F595" t="s">
        <v>97</v>
      </c>
      <c r="G595" t="str">
        <f>"Software Architect"</f>
        <v>Software Architect</v>
      </c>
      <c r="H595" t="s">
        <v>12169</v>
      </c>
      <c r="I595" t="s">
        <v>124</v>
      </c>
      <c r="J595" t="s">
        <v>98</v>
      </c>
      <c r="K595" s="1">
        <v>44105</v>
      </c>
      <c r="L595" s="1">
        <v>45199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6605</v>
      </c>
      <c r="U595" t="str">
        <f>""</f>
        <v/>
      </c>
      <c r="V595" t="s">
        <v>6606</v>
      </c>
      <c r="W595" t="str">
        <f>""</f>
        <v/>
      </c>
      <c r="X595" t="s">
        <v>5042</v>
      </c>
      <c r="Y595" t="s">
        <v>345</v>
      </c>
      <c r="Z595" s="3">
        <v>60532</v>
      </c>
      <c r="AA595" t="s">
        <v>101</v>
      </c>
      <c r="AC595" s="4" t="str">
        <f>"+13092026489"</f>
        <v>+13092026489</v>
      </c>
      <c r="AE595" t="str">
        <f>"541519"</f>
        <v>541519</v>
      </c>
      <c r="AF595" t="s">
        <v>6607</v>
      </c>
      <c r="AG595" t="s">
        <v>834</v>
      </c>
      <c r="AI595" t="s">
        <v>6608</v>
      </c>
      <c r="AJ595" t="s">
        <v>6609</v>
      </c>
      <c r="AK595" t="str">
        <f>""</f>
        <v/>
      </c>
      <c r="AL595" t="s">
        <v>1636</v>
      </c>
      <c r="AM595" t="s">
        <v>345</v>
      </c>
      <c r="AN595" s="3">
        <v>61614</v>
      </c>
      <c r="AO595" t="s">
        <v>101</v>
      </c>
      <c r="AQ595" t="str">
        <f>"+13092026489"</f>
        <v>+13092026489</v>
      </c>
      <c r="AS595" t="s">
        <v>6610</v>
      </c>
      <c r="AT595" t="s">
        <v>107</v>
      </c>
      <c r="AU595" t="str">
        <f>"Rosenberg"</f>
        <v>Rosenberg</v>
      </c>
      <c r="AV595" t="str">
        <f>"Hyla"</f>
        <v>Hyla</v>
      </c>
      <c r="AW595" t="str">
        <f>"Kaplan"</f>
        <v>Kaplan</v>
      </c>
      <c r="AX595" t="str">
        <f>"1400 Broadway"</f>
        <v>1400 Broadway</v>
      </c>
      <c r="AY595" t="str">
        <f>""</f>
        <v/>
      </c>
      <c r="AZ595" t="str">
        <f>"New York"</f>
        <v>New York</v>
      </c>
      <c r="BA595" t="str">
        <f>"NY"</f>
        <v>NY</v>
      </c>
      <c r="BB595" s="3">
        <v>10018</v>
      </c>
      <c r="BC595" t="str">
        <f t="shared" si="36"/>
        <v>UNITED STATES OF AMERICA</v>
      </c>
      <c r="BD595" t="str">
        <f>""</f>
        <v/>
      </c>
      <c r="BE595" t="str">
        <f>"+12126888555"</f>
        <v>+12126888555</v>
      </c>
      <c r="BF595" t="str">
        <f>""</f>
        <v/>
      </c>
      <c r="BG595" t="str">
        <f>"schen@fragomen.com"</f>
        <v>schen@fragomen.com</v>
      </c>
      <c r="BH595" t="str">
        <f>"Fragomen, Del Rey, Bernsen &amp; Loewy, LLP"</f>
        <v>Fragomen, Del Rey, Bernsen &amp; Loewy, LLP</v>
      </c>
      <c r="BI595" t="str">
        <f>"NY"</f>
        <v>NY</v>
      </c>
      <c r="BJ595" t="str">
        <f>"New York Supreme Court"</f>
        <v>New York Supreme Court</v>
      </c>
      <c r="BK595">
        <v>1</v>
      </c>
      <c r="BL595" t="s">
        <v>102</v>
      </c>
      <c r="BM595" t="str">
        <f>""</f>
        <v/>
      </c>
      <c r="BN595" t="s">
        <v>6611</v>
      </c>
      <c r="BO595" t="s">
        <v>6612</v>
      </c>
      <c r="BP595" t="s">
        <v>833</v>
      </c>
      <c r="BQ595" t="s">
        <v>788</v>
      </c>
      <c r="BR595" t="s">
        <v>345</v>
      </c>
      <c r="BS595" s="5">
        <v>60661</v>
      </c>
      <c r="BT595" s="2">
        <v>90000</v>
      </c>
      <c r="BV595" t="s">
        <v>105</v>
      </c>
      <c r="BW595" s="2">
        <v>87838</v>
      </c>
      <c r="BX595" t="s">
        <v>105</v>
      </c>
      <c r="BZ595" t="s">
        <v>167</v>
      </c>
      <c r="CA595" t="str">
        <f t="shared" si="34"/>
        <v>7/1/2020 - 6/30/2021</v>
      </c>
      <c r="CF595">
        <v>3</v>
      </c>
      <c r="CG595" t="s">
        <v>98</v>
      </c>
      <c r="CH595" t="s">
        <v>206</v>
      </c>
      <c r="CI595" t="s">
        <v>206</v>
      </c>
      <c r="CL595" t="s">
        <v>108</v>
      </c>
      <c r="CM595" t="s">
        <v>109</v>
      </c>
      <c r="CN595" t="str">
        <f>"Chen"</f>
        <v>Chen</v>
      </c>
      <c r="CO595" t="str">
        <f>"Sharon"</f>
        <v>Sharon</v>
      </c>
      <c r="CP595" t="str">
        <f>"N/A"</f>
        <v>N/A</v>
      </c>
      <c r="CQ595" t="str">
        <f>"Fragomen, Del Rey, Bernsen &amp; Loewy, LLP"</f>
        <v>Fragomen, Del Rey, Bernsen &amp; Loewy, LLP</v>
      </c>
      <c r="CR595" t="s">
        <v>6613</v>
      </c>
    </row>
    <row r="596" spans="1:96" x14ac:dyDescent="0.2">
      <c r="A596" t="s">
        <v>6641</v>
      </c>
      <c r="B596" t="s">
        <v>96</v>
      </c>
      <c r="C596" s="1">
        <v>44098</v>
      </c>
      <c r="D596" s="1">
        <v>44105</v>
      </c>
      <c r="F596" t="s">
        <v>97</v>
      </c>
      <c r="G596" t="str">
        <f>"Product Support Engineer - KBGFJG118674-1"</f>
        <v>Product Support Engineer - KBGFJG118674-1</v>
      </c>
      <c r="H596" t="s">
        <v>12181</v>
      </c>
      <c r="I596" t="s">
        <v>110</v>
      </c>
      <c r="J596" t="s">
        <v>98</v>
      </c>
      <c r="K596" s="1">
        <v>44110</v>
      </c>
      <c r="L596" s="1">
        <v>45204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 t="s">
        <v>871</v>
      </c>
      <c r="U596" t="str">
        <f>""</f>
        <v/>
      </c>
      <c r="V596" t="s">
        <v>872</v>
      </c>
      <c r="W596" t="str">
        <f>"Suite 400"</f>
        <v>Suite 400</v>
      </c>
      <c r="X596" t="s">
        <v>873</v>
      </c>
      <c r="Y596" t="s">
        <v>215</v>
      </c>
      <c r="Z596" s="3">
        <v>30092</v>
      </c>
      <c r="AA596" t="s">
        <v>101</v>
      </c>
      <c r="AC596" s="4" t="str">
        <f>"+14083522247"</f>
        <v>+14083522247</v>
      </c>
      <c r="AE596" t="str">
        <f>"541513"</f>
        <v>541513</v>
      </c>
      <c r="AF596" t="s">
        <v>457</v>
      </c>
      <c r="AG596" t="s">
        <v>458</v>
      </c>
      <c r="AH596" t="s">
        <v>459</v>
      </c>
      <c r="AI596" t="s">
        <v>460</v>
      </c>
      <c r="AJ596" t="s">
        <v>456</v>
      </c>
      <c r="AK596" t="str">
        <f>""</f>
        <v/>
      </c>
      <c r="AL596" t="s">
        <v>157</v>
      </c>
      <c r="AM596" t="s">
        <v>141</v>
      </c>
      <c r="AN596" s="3">
        <v>92127</v>
      </c>
      <c r="AO596" t="s">
        <v>101</v>
      </c>
      <c r="AQ596" t="str">
        <f>"+19372429767"</f>
        <v>+19372429767</v>
      </c>
      <c r="AS596" t="s">
        <v>461</v>
      </c>
      <c r="AT596" t="s">
        <v>102</v>
      </c>
      <c r="AU596" t="str">
        <f>""</f>
        <v/>
      </c>
      <c r="AV596" t="str">
        <f>""</f>
        <v/>
      </c>
      <c r="AW596" t="str">
        <f>""</f>
        <v/>
      </c>
      <c r="AX596" t="str">
        <f>""</f>
        <v/>
      </c>
      <c r="AY596" t="str">
        <f>""</f>
        <v/>
      </c>
      <c r="AZ596" t="str">
        <f>""</f>
        <v/>
      </c>
      <c r="BA596" t="str">
        <f>""</f>
        <v/>
      </c>
      <c r="BC596" t="str">
        <f>""</f>
        <v/>
      </c>
      <c r="BD596" t="str">
        <f>""</f>
        <v/>
      </c>
      <c r="BE596" t="str">
        <f>""</f>
        <v/>
      </c>
      <c r="BF596" t="str">
        <f>""</f>
        <v/>
      </c>
      <c r="BG596" t="str">
        <f>""</f>
        <v/>
      </c>
      <c r="BH596" t="str">
        <f>""</f>
        <v/>
      </c>
      <c r="BI596" t="str">
        <f>""</f>
        <v/>
      </c>
      <c r="BJ596" t="str">
        <f>""</f>
        <v/>
      </c>
      <c r="BK596">
        <v>1</v>
      </c>
      <c r="BL596" t="s">
        <v>102</v>
      </c>
      <c r="BM596" t="str">
        <f>""</f>
        <v/>
      </c>
      <c r="BN596" t="s">
        <v>874</v>
      </c>
      <c r="BO596" t="s">
        <v>2053</v>
      </c>
      <c r="BP596" t="s">
        <v>247</v>
      </c>
      <c r="BQ596" t="s">
        <v>230</v>
      </c>
      <c r="BR596" t="s">
        <v>141</v>
      </c>
      <c r="BS596" s="5">
        <v>95054</v>
      </c>
      <c r="BT596" s="2">
        <v>149409.21</v>
      </c>
      <c r="BV596" t="s">
        <v>105</v>
      </c>
      <c r="BW596" s="2">
        <v>144414</v>
      </c>
      <c r="BX596" t="s">
        <v>105</v>
      </c>
      <c r="BZ596" t="s">
        <v>159</v>
      </c>
      <c r="CA596" t="str">
        <f t="shared" si="34"/>
        <v>7/1/2020 - 6/30/2021</v>
      </c>
      <c r="CF596">
        <v>2</v>
      </c>
      <c r="CG596" t="s">
        <v>98</v>
      </c>
      <c r="CH596" t="s">
        <v>206</v>
      </c>
      <c r="CI596" t="s">
        <v>206</v>
      </c>
      <c r="CL596" t="s">
        <v>108</v>
      </c>
      <c r="CM596" t="s">
        <v>109</v>
      </c>
      <c r="CN596" t="str">
        <f>"Singh"</f>
        <v>Singh</v>
      </c>
      <c r="CO596" t="str">
        <f>"Tanya "</f>
        <v xml:space="preserve">Tanya </v>
      </c>
      <c r="CP596" t="str">
        <f>""</f>
        <v/>
      </c>
      <c r="CQ596" t="str">
        <f>"EY LAW LLP"</f>
        <v>EY LAW LLP</v>
      </c>
      <c r="CR596" t="s">
        <v>463</v>
      </c>
    </row>
    <row r="597" spans="1:96" x14ac:dyDescent="0.2">
      <c r="A597" t="s">
        <v>6668</v>
      </c>
      <c r="B597" t="s">
        <v>96</v>
      </c>
      <c r="C597" s="1">
        <v>44098</v>
      </c>
      <c r="D597" s="1">
        <v>44105</v>
      </c>
      <c r="F597" t="s">
        <v>97</v>
      </c>
      <c r="G597" t="str">
        <f>"HR Specialist "</f>
        <v xml:space="preserve">HR Specialist </v>
      </c>
      <c r="H597" t="s">
        <v>12241</v>
      </c>
      <c r="I597" t="s">
        <v>3257</v>
      </c>
      <c r="J597" t="s">
        <v>98</v>
      </c>
      <c r="K597" s="1">
        <v>44173</v>
      </c>
      <c r="L597" s="1">
        <v>45267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 t="s">
        <v>986</v>
      </c>
      <c r="U597" t="str">
        <f>""</f>
        <v/>
      </c>
      <c r="V597" t="s">
        <v>6669</v>
      </c>
      <c r="W597" t="str">
        <f>""</f>
        <v/>
      </c>
      <c r="X597" t="s">
        <v>988</v>
      </c>
      <c r="Y597" t="s">
        <v>141</v>
      </c>
      <c r="Z597" s="3">
        <v>94404</v>
      </c>
      <c r="AA597" t="s">
        <v>101</v>
      </c>
      <c r="AC597" s="4" t="str">
        <f>"+16504328837"</f>
        <v>+16504328837</v>
      </c>
      <c r="AE597" t="str">
        <f>"522320"</f>
        <v>522320</v>
      </c>
      <c r="AF597" t="s">
        <v>6670</v>
      </c>
      <c r="AG597" t="s">
        <v>990</v>
      </c>
      <c r="AI597" t="s">
        <v>460</v>
      </c>
      <c r="AJ597" t="s">
        <v>6669</v>
      </c>
      <c r="AK597" t="str">
        <f>""</f>
        <v/>
      </c>
      <c r="AL597" t="s">
        <v>988</v>
      </c>
      <c r="AM597" t="s">
        <v>141</v>
      </c>
      <c r="AN597" s="3">
        <v>94404</v>
      </c>
      <c r="AO597" t="s">
        <v>101</v>
      </c>
      <c r="AQ597" t="str">
        <f>"+16504328837"</f>
        <v>+16504328837</v>
      </c>
      <c r="AS597" t="s">
        <v>993</v>
      </c>
      <c r="AT597" t="s">
        <v>107</v>
      </c>
      <c r="AU597" t="str">
        <f>"Blackman"</f>
        <v>Blackman</v>
      </c>
      <c r="AV597" t="str">
        <f>"Kari"</f>
        <v>Kari</v>
      </c>
      <c r="AW597" t="str">
        <f>""</f>
        <v/>
      </c>
      <c r="AX597" t="str">
        <f>"10100 Katy Freeway"</f>
        <v>10100 Katy Freeway</v>
      </c>
      <c r="AY597" t="str">
        <f>"Suite 600"</f>
        <v>Suite 600</v>
      </c>
      <c r="AZ597" t="str">
        <f>"Houston"</f>
        <v>Houston</v>
      </c>
      <c r="BA597" t="str">
        <f>"TX"</f>
        <v>TX</v>
      </c>
      <c r="BB597" s="3">
        <v>77043</v>
      </c>
      <c r="BC597" t="str">
        <f>"UNITED STATES OF AMERICA"</f>
        <v>UNITED STATES OF AMERICA</v>
      </c>
      <c r="BD597" t="str">
        <f>""</f>
        <v/>
      </c>
      <c r="BE597" t="str">
        <f>"+14695052622"</f>
        <v>+14695052622</v>
      </c>
      <c r="BF597" t="str">
        <f>""</f>
        <v/>
      </c>
      <c r="BG597" t="str">
        <f>"kblackman@balglobal.com"</f>
        <v>kblackman@balglobal.com</v>
      </c>
      <c r="BH597" t="str">
        <f>"Berry Appleman &amp; Leiden LLP"</f>
        <v>Berry Appleman &amp; Leiden LLP</v>
      </c>
      <c r="BI597" t="str">
        <f>"TX"</f>
        <v>TX</v>
      </c>
      <c r="BJ597" t="str">
        <f>"Texas Supreme Court"</f>
        <v>Texas Supreme Court</v>
      </c>
      <c r="BK597">
        <v>1</v>
      </c>
      <c r="BL597" t="s">
        <v>102</v>
      </c>
      <c r="BM597" t="str">
        <f>""</f>
        <v/>
      </c>
      <c r="BN597" t="s">
        <v>987</v>
      </c>
      <c r="BP597" t="s">
        <v>988</v>
      </c>
      <c r="BQ597" t="s">
        <v>994</v>
      </c>
      <c r="BR597" t="s">
        <v>141</v>
      </c>
      <c r="BS597" s="5">
        <v>94404</v>
      </c>
      <c r="BT597" s="2">
        <v>107203</v>
      </c>
      <c r="BU597" s="2">
        <v>132500</v>
      </c>
      <c r="BV597" t="s">
        <v>105</v>
      </c>
      <c r="BW597" s="2">
        <v>107203</v>
      </c>
      <c r="BX597" t="s">
        <v>105</v>
      </c>
      <c r="BZ597" t="s">
        <v>159</v>
      </c>
      <c r="CA597" t="str">
        <f t="shared" si="34"/>
        <v>7/1/2020 - 6/30/2021</v>
      </c>
      <c r="CF597">
        <v>1</v>
      </c>
      <c r="CG597" t="s">
        <v>98</v>
      </c>
      <c r="CH597" t="s">
        <v>206</v>
      </c>
      <c r="CI597" t="s">
        <v>206</v>
      </c>
      <c r="CL597" t="s">
        <v>108</v>
      </c>
      <c r="CM597" t="s">
        <v>109</v>
      </c>
      <c r="CN597" t="str">
        <f>"Blackman"</f>
        <v>Blackman</v>
      </c>
      <c r="CO597" t="str">
        <f>"Kari"</f>
        <v>Kari</v>
      </c>
      <c r="CP597" t="str">
        <f>""</f>
        <v/>
      </c>
      <c r="CQ597" t="str">
        <f>"Global Mobility Manager"</f>
        <v>Global Mobility Manager</v>
      </c>
      <c r="CR597" t="s">
        <v>6671</v>
      </c>
    </row>
    <row r="598" spans="1:96" x14ac:dyDescent="0.2">
      <c r="A598" t="s">
        <v>6686</v>
      </c>
      <c r="B598" t="s">
        <v>96</v>
      </c>
      <c r="C598" s="1">
        <v>44098</v>
      </c>
      <c r="D598" s="1">
        <v>44105</v>
      </c>
      <c r="F598" t="s">
        <v>97</v>
      </c>
      <c r="G598" t="str">
        <f>"Financial Manager"</f>
        <v>Financial Manager</v>
      </c>
      <c r="H598" t="s">
        <v>12199</v>
      </c>
      <c r="I598" t="s">
        <v>1458</v>
      </c>
      <c r="J598" t="s">
        <v>206</v>
      </c>
      <c r="K598" s="1">
        <v>44105</v>
      </c>
      <c r="L598" s="1">
        <v>45199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6687</v>
      </c>
      <c r="U598" t="str">
        <f>""</f>
        <v/>
      </c>
      <c r="V598" t="s">
        <v>6688</v>
      </c>
      <c r="W598" t="str">
        <f>""</f>
        <v/>
      </c>
      <c r="X598" t="s">
        <v>1791</v>
      </c>
      <c r="Y598" t="s">
        <v>190</v>
      </c>
      <c r="Z598" s="3">
        <v>11235</v>
      </c>
      <c r="AA598" t="s">
        <v>101</v>
      </c>
      <c r="AC598" s="4" t="str">
        <f>"+19294454705"</f>
        <v>+19294454705</v>
      </c>
      <c r="AE598" t="str">
        <f>"454110"</f>
        <v>454110</v>
      </c>
      <c r="AF598" t="s">
        <v>6689</v>
      </c>
      <c r="AG598" t="s">
        <v>6690</v>
      </c>
      <c r="AI598" t="s">
        <v>508</v>
      </c>
      <c r="AJ598" t="s">
        <v>6688</v>
      </c>
      <c r="AK598" t="str">
        <f>""</f>
        <v/>
      </c>
      <c r="AL598" t="s">
        <v>1791</v>
      </c>
      <c r="AM598" t="s">
        <v>190</v>
      </c>
      <c r="AN598" s="3">
        <v>11235</v>
      </c>
      <c r="AO598" t="s">
        <v>101</v>
      </c>
      <c r="AQ598" t="str">
        <f>"+19294454705"</f>
        <v>+19294454705</v>
      </c>
      <c r="AS598" t="s">
        <v>6691</v>
      </c>
      <c r="AT598" t="s">
        <v>107</v>
      </c>
      <c r="AU598" t="str">
        <f>"Aronova"</f>
        <v>Aronova</v>
      </c>
      <c r="AV598" t="str">
        <f>"Anna"</f>
        <v>Anna</v>
      </c>
      <c r="AW598" t="str">
        <f>""</f>
        <v/>
      </c>
      <c r="AX598" t="str">
        <f>"299 Broadway, Suite 607"</f>
        <v>299 Broadway, Suite 607</v>
      </c>
      <c r="AY598" t="str">
        <f>""</f>
        <v/>
      </c>
      <c r="AZ598" t="str">
        <f>"New York"</f>
        <v>New York</v>
      </c>
      <c r="BA598" t="str">
        <f>"NY"</f>
        <v>NY</v>
      </c>
      <c r="BB598" s="3">
        <v>10007</v>
      </c>
      <c r="BC598" t="str">
        <f>"UNITED STATES OF AMERICA"</f>
        <v>UNITED STATES OF AMERICA</v>
      </c>
      <c r="BD598" t="str">
        <f>""</f>
        <v/>
      </c>
      <c r="BE598" t="str">
        <f>"+12122332900"</f>
        <v>+12122332900</v>
      </c>
      <c r="BF598" t="str">
        <f>""</f>
        <v/>
      </c>
      <c r="BG598" t="str">
        <f>"anna@rplaw.nyc"</f>
        <v>anna@rplaw.nyc</v>
      </c>
      <c r="BH598" t="str">
        <f>"Reza Pourmohammadi PC"</f>
        <v>Reza Pourmohammadi PC</v>
      </c>
      <c r="BI598" t="str">
        <f>"NY"</f>
        <v>NY</v>
      </c>
      <c r="BJ598" t="str">
        <f>"New York Appellate Division"</f>
        <v>New York Appellate Division</v>
      </c>
      <c r="BK598">
        <v>1</v>
      </c>
      <c r="BL598" t="s">
        <v>102</v>
      </c>
      <c r="BM598" t="str">
        <f>""</f>
        <v/>
      </c>
      <c r="BN598" t="s">
        <v>6688</v>
      </c>
      <c r="BP598" t="s">
        <v>1791</v>
      </c>
      <c r="BQ598" t="s">
        <v>1792</v>
      </c>
      <c r="BR598" t="s">
        <v>190</v>
      </c>
      <c r="BS598" s="5">
        <v>11235</v>
      </c>
      <c r="BT598" s="2">
        <v>79</v>
      </c>
      <c r="BV598" t="s">
        <v>210</v>
      </c>
      <c r="BW598" s="2">
        <v>78.98</v>
      </c>
      <c r="BX598" t="s">
        <v>210</v>
      </c>
      <c r="BZ598" t="s">
        <v>167</v>
      </c>
      <c r="CA598" t="str">
        <f t="shared" si="34"/>
        <v>7/1/2020 - 6/30/2021</v>
      </c>
      <c r="CF598">
        <v>1</v>
      </c>
      <c r="CG598" t="s">
        <v>98</v>
      </c>
      <c r="CH598" t="s">
        <v>206</v>
      </c>
      <c r="CI598" t="s">
        <v>206</v>
      </c>
      <c r="CL598" t="s">
        <v>108</v>
      </c>
      <c r="CM598" t="s">
        <v>109</v>
      </c>
      <c r="CN598" t="str">
        <f>"Aronova"</f>
        <v>Aronova</v>
      </c>
      <c r="CO598" t="str">
        <f>"Anna"</f>
        <v>Anna</v>
      </c>
      <c r="CP598" t="str">
        <f>""</f>
        <v/>
      </c>
      <c r="CQ598" t="str">
        <f>"Reza Pourmohammadi, P.C."</f>
        <v>Reza Pourmohammadi, P.C.</v>
      </c>
      <c r="CR598" t="s">
        <v>6692</v>
      </c>
    </row>
    <row r="599" spans="1:96" x14ac:dyDescent="0.2">
      <c r="A599" t="s">
        <v>6718</v>
      </c>
      <c r="B599" t="s">
        <v>96</v>
      </c>
      <c r="C599" s="1">
        <v>44098</v>
      </c>
      <c r="D599" s="1">
        <v>44105</v>
      </c>
      <c r="F599" t="s">
        <v>97</v>
      </c>
      <c r="G599" t="str">
        <f>"Assistant Horse Reining Trainer"</f>
        <v>Assistant Horse Reining Trainer</v>
      </c>
      <c r="H599" t="s">
        <v>12278</v>
      </c>
      <c r="I599" t="s">
        <v>6719</v>
      </c>
      <c r="J599" t="s">
        <v>98</v>
      </c>
      <c r="K599" s="1">
        <v>44123</v>
      </c>
      <c r="L599" s="1">
        <v>45218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6720</v>
      </c>
      <c r="U599" t="str">
        <f>""</f>
        <v/>
      </c>
      <c r="V599" t="s">
        <v>6721</v>
      </c>
      <c r="W599" t="str">
        <f>""</f>
        <v/>
      </c>
      <c r="X599" t="s">
        <v>2585</v>
      </c>
      <c r="Y599" t="s">
        <v>814</v>
      </c>
      <c r="Z599" s="3">
        <v>97846</v>
      </c>
      <c r="AA599" t="s">
        <v>101</v>
      </c>
      <c r="AC599" s="4" t="str">
        <f>"+12602490158"</f>
        <v>+12602490158</v>
      </c>
      <c r="AE599" t="str">
        <f>"115210"</f>
        <v>115210</v>
      </c>
      <c r="AF599" t="s">
        <v>6722</v>
      </c>
      <c r="AG599" t="s">
        <v>5839</v>
      </c>
      <c r="AH599" t="s">
        <v>1003</v>
      </c>
      <c r="AI599" t="s">
        <v>6723</v>
      </c>
      <c r="AJ599" t="s">
        <v>6724</v>
      </c>
      <c r="AK599" t="str">
        <f>""</f>
        <v/>
      </c>
      <c r="AL599" t="s">
        <v>2585</v>
      </c>
      <c r="AM599" t="s">
        <v>814</v>
      </c>
      <c r="AN599" s="3">
        <v>97846</v>
      </c>
      <c r="AO599" t="s">
        <v>101</v>
      </c>
      <c r="AQ599" t="str">
        <f>"+12604161377"</f>
        <v>+12604161377</v>
      </c>
      <c r="AS599" t="s">
        <v>6725</v>
      </c>
      <c r="AT599" t="s">
        <v>107</v>
      </c>
      <c r="AU599" t="str">
        <f>"Nickerson"</f>
        <v>Nickerson</v>
      </c>
      <c r="AV599" t="str">
        <f>"Julia"</f>
        <v>Julia</v>
      </c>
      <c r="AW599" t="str">
        <f>"Ashmore"</f>
        <v>Ashmore</v>
      </c>
      <c r="AX599" t="str">
        <f>"3801 N Capital of TX Hwy, Ste J-220"</f>
        <v>3801 N Capital of TX Hwy, Ste J-220</v>
      </c>
      <c r="AY599" t="str">
        <f>""</f>
        <v/>
      </c>
      <c r="AZ599" t="str">
        <f>"Austin"</f>
        <v>Austin</v>
      </c>
      <c r="BA599" t="str">
        <f>"TX"</f>
        <v>TX</v>
      </c>
      <c r="BB599" s="3">
        <v>78746</v>
      </c>
      <c r="BC599" t="str">
        <f>"UNITED STATES OF AMERICA"</f>
        <v>UNITED STATES OF AMERICA</v>
      </c>
      <c r="BD599" t="str">
        <f>""</f>
        <v/>
      </c>
      <c r="BE599" t="str">
        <f>"+15124611383"</f>
        <v>+15124611383</v>
      </c>
      <c r="BF599" t="str">
        <f>""</f>
        <v/>
      </c>
      <c r="BG599" t="str">
        <f>"julia@julianickerson.com"</f>
        <v>julia@julianickerson.com</v>
      </c>
      <c r="BH599" t="str">
        <f>"Julia A. Nickerson PC dba Nickerson Law Group"</f>
        <v>Julia A. Nickerson PC dba Nickerson Law Group</v>
      </c>
      <c r="BI599" t="str">
        <f>"TX"</f>
        <v>TX</v>
      </c>
      <c r="BJ599" t="str">
        <f>"Supreme Court of Texas"</f>
        <v>Supreme Court of Texas</v>
      </c>
      <c r="BK599">
        <v>1</v>
      </c>
      <c r="BL599" t="s">
        <v>102</v>
      </c>
      <c r="BM599" t="str">
        <f>""</f>
        <v/>
      </c>
      <c r="BN599" t="s">
        <v>6721</v>
      </c>
      <c r="BP599" t="s">
        <v>2585</v>
      </c>
      <c r="BQ599" t="s">
        <v>6726</v>
      </c>
      <c r="BR599" t="s">
        <v>814</v>
      </c>
      <c r="BS599" s="5">
        <v>97846</v>
      </c>
      <c r="BT599" s="2">
        <v>11.74</v>
      </c>
      <c r="BU599" s="2">
        <v>12</v>
      </c>
      <c r="BV599" t="s">
        <v>210</v>
      </c>
      <c r="BW599" s="2">
        <v>11.74</v>
      </c>
      <c r="BX599" t="s">
        <v>210</v>
      </c>
      <c r="BZ599" t="s">
        <v>191</v>
      </c>
      <c r="CA599" t="str">
        <f t="shared" si="34"/>
        <v>7/1/2020 - 6/30/2021</v>
      </c>
      <c r="CF599">
        <v>1</v>
      </c>
      <c r="CG599" t="s">
        <v>98</v>
      </c>
      <c r="CH599" t="s">
        <v>206</v>
      </c>
      <c r="CI599" t="s">
        <v>206</v>
      </c>
      <c r="CL599" t="s">
        <v>108</v>
      </c>
      <c r="CM599" t="s">
        <v>109</v>
      </c>
      <c r="CN599" t="str">
        <f>""</f>
        <v/>
      </c>
      <c r="CO599" t="str">
        <f>""</f>
        <v/>
      </c>
      <c r="CP599" t="str">
        <f>""</f>
        <v/>
      </c>
      <c r="CQ599" t="str">
        <f>""</f>
        <v/>
      </c>
    </row>
    <row r="600" spans="1:96" x14ac:dyDescent="0.2">
      <c r="A600" t="s">
        <v>6739</v>
      </c>
      <c r="B600" t="s">
        <v>96</v>
      </c>
      <c r="C600" s="1">
        <v>44098</v>
      </c>
      <c r="D600" s="1">
        <v>44105</v>
      </c>
      <c r="F600" t="s">
        <v>97</v>
      </c>
      <c r="G600" t="str">
        <f>"Physical Therapist"</f>
        <v>Physical Therapist</v>
      </c>
      <c r="H600" t="s">
        <v>12202</v>
      </c>
      <c r="I600" t="s">
        <v>1740</v>
      </c>
      <c r="J600" t="s">
        <v>98</v>
      </c>
      <c r="K600" s="1">
        <v>44098</v>
      </c>
      <c r="L600" s="1">
        <v>44462</v>
      </c>
      <c r="M600">
        <v>3</v>
      </c>
      <c r="N600">
        <v>0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806293501</v>
      </c>
      <c r="U600" t="str">
        <f>"0806293501"</f>
        <v>0806293501</v>
      </c>
      <c r="V600" t="s">
        <v>6740</v>
      </c>
      <c r="W600" t="str">
        <f>""</f>
        <v/>
      </c>
      <c r="X600" t="s">
        <v>3446</v>
      </c>
      <c r="Y600" t="s">
        <v>190</v>
      </c>
      <c r="Z600" s="3">
        <v>10601</v>
      </c>
      <c r="AA600" t="s">
        <v>101</v>
      </c>
      <c r="AC600" s="4" t="str">
        <f>"+19143288077"</f>
        <v>+19143288077</v>
      </c>
      <c r="AE600" t="str">
        <f>"621111"</f>
        <v>621111</v>
      </c>
      <c r="AF600" t="s">
        <v>6741</v>
      </c>
      <c r="AG600" t="s">
        <v>939</v>
      </c>
      <c r="AI600" t="s">
        <v>876</v>
      </c>
      <c r="AJ600" t="s">
        <v>6740</v>
      </c>
      <c r="AK600" t="str">
        <f>""</f>
        <v/>
      </c>
      <c r="AL600" t="s">
        <v>2065</v>
      </c>
      <c r="AM600" t="s">
        <v>190</v>
      </c>
      <c r="AN600" s="3">
        <v>10601</v>
      </c>
      <c r="AO600" t="s">
        <v>101</v>
      </c>
      <c r="AQ600" t="str">
        <f>"+19143288077"</f>
        <v>+19143288077</v>
      </c>
      <c r="AR600">
        <v>111</v>
      </c>
      <c r="AS600" t="s">
        <v>6742</v>
      </c>
      <c r="AT600" t="s">
        <v>102</v>
      </c>
      <c r="AU600" t="str">
        <f>""</f>
        <v/>
      </c>
      <c r="AV600" t="str">
        <f>""</f>
        <v/>
      </c>
      <c r="AW600" t="str">
        <f>""</f>
        <v/>
      </c>
      <c r="AX600" t="str">
        <f>""</f>
        <v/>
      </c>
      <c r="AY600" t="str">
        <f>""</f>
        <v/>
      </c>
      <c r="AZ600" t="str">
        <f>""</f>
        <v/>
      </c>
      <c r="BA600" t="str">
        <f>""</f>
        <v/>
      </c>
      <c r="BC600" t="str">
        <f>""</f>
        <v/>
      </c>
      <c r="BD600" t="str">
        <f>""</f>
        <v/>
      </c>
      <c r="BE600" t="str">
        <f>""</f>
        <v/>
      </c>
      <c r="BF600" t="str">
        <f>""</f>
        <v/>
      </c>
      <c r="BG600" t="str">
        <f>""</f>
        <v/>
      </c>
      <c r="BH600" t="str">
        <f>""</f>
        <v/>
      </c>
      <c r="BI600" t="str">
        <f>""</f>
        <v/>
      </c>
      <c r="BJ600" t="str">
        <f>""</f>
        <v/>
      </c>
      <c r="BK600">
        <v>1</v>
      </c>
      <c r="BL600" t="s">
        <v>102</v>
      </c>
      <c r="BM600" t="str">
        <f>""</f>
        <v/>
      </c>
      <c r="BN600" t="s">
        <v>6743</v>
      </c>
      <c r="BP600" t="s">
        <v>3446</v>
      </c>
      <c r="BQ600" t="s">
        <v>2066</v>
      </c>
      <c r="BR600" t="s">
        <v>190</v>
      </c>
      <c r="BS600" s="5">
        <v>10601</v>
      </c>
      <c r="BT600" s="2">
        <v>74000</v>
      </c>
      <c r="BU600" s="2">
        <v>82000</v>
      </c>
      <c r="BV600" t="s">
        <v>105</v>
      </c>
      <c r="BW600" s="2">
        <v>73320</v>
      </c>
      <c r="BX600" t="s">
        <v>105</v>
      </c>
      <c r="BZ600" t="s">
        <v>191</v>
      </c>
      <c r="CA600" t="str">
        <f t="shared" si="34"/>
        <v>7/1/2020 - 6/30/2021</v>
      </c>
      <c r="CF600">
        <v>3</v>
      </c>
      <c r="CG600" t="s">
        <v>98</v>
      </c>
      <c r="CH600" t="s">
        <v>206</v>
      </c>
      <c r="CI600" t="s">
        <v>206</v>
      </c>
      <c r="CL600" t="s">
        <v>108</v>
      </c>
      <c r="CM600" t="s">
        <v>718</v>
      </c>
      <c r="CN600" t="str">
        <f>"Zargar"</f>
        <v>Zargar</v>
      </c>
      <c r="CO600" t="str">
        <f>"Janine"</f>
        <v>Janine</v>
      </c>
      <c r="CP600" t="str">
        <f>""</f>
        <v/>
      </c>
      <c r="CQ600" t="str">
        <f>"Doctors United"</f>
        <v>Doctors United</v>
      </c>
      <c r="CR600" t="s">
        <v>6744</v>
      </c>
    </row>
    <row r="601" spans="1:96" x14ac:dyDescent="0.2">
      <c r="A601" t="s">
        <v>6747</v>
      </c>
      <c r="B601" t="s">
        <v>96</v>
      </c>
      <c r="C601" s="1">
        <v>44098</v>
      </c>
      <c r="D601" s="1">
        <v>44105</v>
      </c>
      <c r="F601" t="s">
        <v>97</v>
      </c>
      <c r="G601" t="str">
        <f>"Associate Dentist"</f>
        <v>Associate Dentist</v>
      </c>
      <c r="H601" t="s">
        <v>12175</v>
      </c>
      <c r="I601" t="s">
        <v>420</v>
      </c>
      <c r="J601" t="s">
        <v>98</v>
      </c>
      <c r="K601" s="1">
        <v>44119</v>
      </c>
      <c r="L601" s="1">
        <v>45213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6748</v>
      </c>
      <c r="U601" t="str">
        <f>"Arch Dental Care"</f>
        <v>Arch Dental Care</v>
      </c>
      <c r="V601" t="s">
        <v>6749</v>
      </c>
      <c r="W601" t="str">
        <f>"Suite  2"</f>
        <v>Suite  2</v>
      </c>
      <c r="X601" t="s">
        <v>4258</v>
      </c>
      <c r="Y601" t="s">
        <v>171</v>
      </c>
      <c r="Z601" s="3">
        <v>2301</v>
      </c>
      <c r="AA601" t="s">
        <v>101</v>
      </c>
      <c r="AC601" s="4" t="str">
        <f>"+15085875333"</f>
        <v>+15085875333</v>
      </c>
      <c r="AE601" t="str">
        <f>"621210"</f>
        <v>621210</v>
      </c>
      <c r="AF601" t="s">
        <v>680</v>
      </c>
      <c r="AG601" t="s">
        <v>6750</v>
      </c>
      <c r="AI601" t="s">
        <v>4057</v>
      </c>
      <c r="AJ601" t="s">
        <v>6749</v>
      </c>
      <c r="AK601" t="str">
        <f>"Suite 2"</f>
        <v>Suite 2</v>
      </c>
      <c r="AL601" t="s">
        <v>4258</v>
      </c>
      <c r="AM601" t="s">
        <v>171</v>
      </c>
      <c r="AN601" s="3">
        <v>2301</v>
      </c>
      <c r="AO601" t="s">
        <v>101</v>
      </c>
      <c r="AQ601" t="str">
        <f>"+15085875333"</f>
        <v>+15085875333</v>
      </c>
      <c r="AS601" t="s">
        <v>6751</v>
      </c>
      <c r="AT601" t="s">
        <v>107</v>
      </c>
      <c r="AU601" t="str">
        <f>"L'Esperance"</f>
        <v>L'Esperance</v>
      </c>
      <c r="AV601" t="str">
        <f>"John"</f>
        <v>John</v>
      </c>
      <c r="AW601" t="str">
        <f>"F"</f>
        <v>F</v>
      </c>
      <c r="AX601" t="str">
        <f>"1875 NW Corporate Blvd."</f>
        <v>1875 NW Corporate Blvd.</v>
      </c>
      <c r="AY601" t="str">
        <f>"Suite 300"</f>
        <v>Suite 300</v>
      </c>
      <c r="AZ601" t="str">
        <f>"Boca Raton"</f>
        <v>Boca Raton</v>
      </c>
      <c r="BA601" t="str">
        <f>"FL"</f>
        <v>FL</v>
      </c>
      <c r="BB601" s="3">
        <v>33431</v>
      </c>
      <c r="BC601" t="str">
        <f>"UNITED STATES OF AMERICA"</f>
        <v>UNITED STATES OF AMERICA</v>
      </c>
      <c r="BD601" t="str">
        <f>""</f>
        <v/>
      </c>
      <c r="BE601" t="str">
        <f>"+15619622114"</f>
        <v>+15619622114</v>
      </c>
      <c r="BF601" t="str">
        <f>""</f>
        <v/>
      </c>
      <c r="BG601" t="str">
        <f>"sdover@duanemorris.com"</f>
        <v>sdover@duanemorris.com</v>
      </c>
      <c r="BH601" t="str">
        <f>"Duane Morris LLP"</f>
        <v>Duane Morris LLP</v>
      </c>
      <c r="BI601" t="str">
        <f>"FL"</f>
        <v>FL</v>
      </c>
      <c r="BJ601" t="str">
        <f>"Florida Supreme Court"</f>
        <v>Florida Supreme Court</v>
      </c>
      <c r="BK601">
        <v>1</v>
      </c>
      <c r="BL601" t="s">
        <v>102</v>
      </c>
      <c r="BM601" t="str">
        <f>""</f>
        <v/>
      </c>
      <c r="BN601" t="s">
        <v>6749</v>
      </c>
      <c r="BO601" t="s">
        <v>6634</v>
      </c>
      <c r="BP601" t="s">
        <v>4258</v>
      </c>
      <c r="BQ601" t="s">
        <v>1594</v>
      </c>
      <c r="BR601" t="s">
        <v>171</v>
      </c>
      <c r="BS601" s="5">
        <v>2301</v>
      </c>
      <c r="BT601" s="2">
        <v>111155</v>
      </c>
      <c r="BU601" s="2">
        <v>151882</v>
      </c>
      <c r="BV601" t="s">
        <v>105</v>
      </c>
      <c r="BW601" s="2">
        <v>111155</v>
      </c>
      <c r="BX601" t="s">
        <v>105</v>
      </c>
      <c r="BZ601" t="s">
        <v>191</v>
      </c>
      <c r="CA601" t="str">
        <f t="shared" si="34"/>
        <v>7/1/2020 - 6/30/2021</v>
      </c>
      <c r="CF601">
        <v>1</v>
      </c>
      <c r="CG601" t="s">
        <v>98</v>
      </c>
      <c r="CH601" t="s">
        <v>206</v>
      </c>
      <c r="CI601" t="s">
        <v>206</v>
      </c>
      <c r="CL601" t="s">
        <v>108</v>
      </c>
      <c r="CM601" t="s">
        <v>109</v>
      </c>
      <c r="CN601" t="str">
        <f>"Dover "</f>
        <v xml:space="preserve">Dover </v>
      </c>
      <c r="CO601" t="str">
        <f>"Semone"</f>
        <v>Semone</v>
      </c>
      <c r="CP601" t="str">
        <f>""</f>
        <v/>
      </c>
      <c r="CQ601" t="str">
        <f>"Duane Morris LLP"</f>
        <v>Duane Morris LLP</v>
      </c>
      <c r="CR601" t="s">
        <v>6752</v>
      </c>
    </row>
    <row r="602" spans="1:96" x14ac:dyDescent="0.2">
      <c r="A602" t="s">
        <v>6782</v>
      </c>
      <c r="B602" t="s">
        <v>96</v>
      </c>
      <c r="C602" s="1">
        <v>44098</v>
      </c>
      <c r="D602" s="1">
        <v>44105</v>
      </c>
      <c r="F602" t="s">
        <v>97</v>
      </c>
      <c r="G602" t="str">
        <f>"Postdoctoral Scholar"</f>
        <v>Postdoctoral Scholar</v>
      </c>
      <c r="H602" t="s">
        <v>12228</v>
      </c>
      <c r="I602" t="s">
        <v>2380</v>
      </c>
      <c r="J602" t="s">
        <v>98</v>
      </c>
      <c r="K602" s="1">
        <v>44226</v>
      </c>
      <c r="L602" s="1">
        <v>45077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3187</v>
      </c>
      <c r="U602" t="str">
        <f>"University of Washington Seattle/Tacoma/Bothell"</f>
        <v>University of Washington Seattle/Tacoma/Bothell</v>
      </c>
      <c r="V602" t="s">
        <v>3188</v>
      </c>
      <c r="W602" t="str">
        <f>"Box 351245"</f>
        <v>Box 351245</v>
      </c>
      <c r="X602" t="s">
        <v>261</v>
      </c>
      <c r="Y602" t="s">
        <v>176</v>
      </c>
      <c r="Z602" s="3">
        <v>98195</v>
      </c>
      <c r="AA602" t="s">
        <v>101</v>
      </c>
      <c r="AC602" s="4" t="str">
        <f>"+12062218927"</f>
        <v>+12062218927</v>
      </c>
      <c r="AE602" t="str">
        <f>"611310"</f>
        <v>611310</v>
      </c>
      <c r="AF602" t="s">
        <v>3189</v>
      </c>
      <c r="AG602" t="s">
        <v>3070</v>
      </c>
      <c r="AH602" t="s">
        <v>3190</v>
      </c>
      <c r="AI602" t="s">
        <v>3191</v>
      </c>
      <c r="AJ602" t="s">
        <v>3192</v>
      </c>
      <c r="AK602" t="str">
        <f>"UW International Scholars Operations"</f>
        <v>UW International Scholars Operations</v>
      </c>
      <c r="AL602" t="s">
        <v>261</v>
      </c>
      <c r="AM602" t="s">
        <v>176</v>
      </c>
      <c r="AN602" s="3">
        <v>98195</v>
      </c>
      <c r="AO602" t="s">
        <v>101</v>
      </c>
      <c r="AQ602" t="str">
        <f>"+12066859022"</f>
        <v>+12066859022</v>
      </c>
      <c r="AS602" t="s">
        <v>3193</v>
      </c>
      <c r="AT602" t="s">
        <v>102</v>
      </c>
      <c r="AU602" t="str">
        <f>""</f>
        <v/>
      </c>
      <c r="AV602" t="str">
        <f>""</f>
        <v/>
      </c>
      <c r="AW602" t="str">
        <f>""</f>
        <v/>
      </c>
      <c r="AX602" t="str">
        <f>""</f>
        <v/>
      </c>
      <c r="AY602" t="str">
        <f>""</f>
        <v/>
      </c>
      <c r="AZ602" t="str">
        <f>""</f>
        <v/>
      </c>
      <c r="BA602" t="str">
        <f>""</f>
        <v/>
      </c>
      <c r="BC602" t="str">
        <f>""</f>
        <v/>
      </c>
      <c r="BD602" t="str">
        <f>""</f>
        <v/>
      </c>
      <c r="BE602" t="str">
        <f>""</f>
        <v/>
      </c>
      <c r="BF602" t="str">
        <f>""</f>
        <v/>
      </c>
      <c r="BG602" t="str">
        <f>""</f>
        <v/>
      </c>
      <c r="BH602" t="str">
        <f>""</f>
        <v/>
      </c>
      <c r="BI602" t="str">
        <f>""</f>
        <v/>
      </c>
      <c r="BJ602" t="str">
        <f>""</f>
        <v/>
      </c>
      <c r="BK602">
        <v>1</v>
      </c>
      <c r="BL602" t="s">
        <v>102</v>
      </c>
      <c r="BM602" t="str">
        <f>""</f>
        <v/>
      </c>
      <c r="BN602" t="s">
        <v>6783</v>
      </c>
      <c r="BP602" t="s">
        <v>5482</v>
      </c>
      <c r="BQ602" t="s">
        <v>3362</v>
      </c>
      <c r="BR602" t="s">
        <v>176</v>
      </c>
      <c r="BS602" s="5">
        <v>98421</v>
      </c>
      <c r="BT602" s="2">
        <v>56100</v>
      </c>
      <c r="BV602" t="s">
        <v>105</v>
      </c>
      <c r="BW602" s="2">
        <v>52024</v>
      </c>
      <c r="BX602" t="s">
        <v>105</v>
      </c>
      <c r="CA602" t="str">
        <f>""</f>
        <v/>
      </c>
      <c r="CB602" t="s">
        <v>106</v>
      </c>
      <c r="CC602">
        <v>2019</v>
      </c>
      <c r="CF602">
        <v>2</v>
      </c>
      <c r="CG602" t="s">
        <v>98</v>
      </c>
      <c r="CH602" t="s">
        <v>206</v>
      </c>
      <c r="CI602" t="s">
        <v>206</v>
      </c>
      <c r="CL602" t="s">
        <v>108</v>
      </c>
      <c r="CM602" t="s">
        <v>109</v>
      </c>
      <c r="CN602" t="str">
        <f>""</f>
        <v/>
      </c>
      <c r="CO602" t="str">
        <f>""</f>
        <v/>
      </c>
      <c r="CP602" t="str">
        <f>""</f>
        <v/>
      </c>
      <c r="CQ602" t="str">
        <f>""</f>
        <v/>
      </c>
    </row>
    <row r="603" spans="1:96" x14ac:dyDescent="0.2">
      <c r="A603" t="s">
        <v>6794</v>
      </c>
      <c r="B603" t="s">
        <v>96</v>
      </c>
      <c r="C603" s="1">
        <v>44098</v>
      </c>
      <c r="D603" s="1">
        <v>44105</v>
      </c>
      <c r="F603" t="s">
        <v>97</v>
      </c>
      <c r="G603" t="str">
        <f>"Functional Consultant"</f>
        <v>Functional Consultant</v>
      </c>
      <c r="H603" t="s">
        <v>12181</v>
      </c>
      <c r="I603" t="s">
        <v>110</v>
      </c>
      <c r="J603" t="s">
        <v>98</v>
      </c>
      <c r="K603" s="1">
        <v>44105</v>
      </c>
      <c r="L603" s="1">
        <v>45199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838</v>
      </c>
      <c r="U603" t="str">
        <f>""</f>
        <v/>
      </c>
      <c r="V603" t="s">
        <v>839</v>
      </c>
      <c r="W603" t="str">
        <f>""</f>
        <v/>
      </c>
      <c r="X603" t="s">
        <v>833</v>
      </c>
      <c r="Y603" t="s">
        <v>345</v>
      </c>
      <c r="Z603" s="3">
        <v>60601</v>
      </c>
      <c r="AA603" t="s">
        <v>101</v>
      </c>
      <c r="AC603" s="4" t="str">
        <f>"+13126930161"</f>
        <v>+13126930161</v>
      </c>
      <c r="AE603" t="str">
        <f>"5416"</f>
        <v>5416</v>
      </c>
      <c r="AF603" t="s">
        <v>840</v>
      </c>
      <c r="AG603" t="s">
        <v>841</v>
      </c>
      <c r="AI603" t="s">
        <v>417</v>
      </c>
      <c r="AJ603" t="s">
        <v>842</v>
      </c>
      <c r="AK603" t="str">
        <f>""</f>
        <v/>
      </c>
      <c r="AL603" t="s">
        <v>843</v>
      </c>
      <c r="AM603" t="s">
        <v>345</v>
      </c>
      <c r="AN603" s="3">
        <v>60601</v>
      </c>
      <c r="AO603" t="s">
        <v>101</v>
      </c>
      <c r="AQ603" t="str">
        <f>"+13126932825"</f>
        <v>+13126932825</v>
      </c>
      <c r="AS603" t="s">
        <v>844</v>
      </c>
      <c r="AT603" t="s">
        <v>102</v>
      </c>
      <c r="AU603" t="str">
        <f>""</f>
        <v/>
      </c>
      <c r="AV603" t="str">
        <f>""</f>
        <v/>
      </c>
      <c r="AW603" t="str">
        <f>""</f>
        <v/>
      </c>
      <c r="AX603" t="str">
        <f>""</f>
        <v/>
      </c>
      <c r="AY603" t="str">
        <f>""</f>
        <v/>
      </c>
      <c r="AZ603" t="str">
        <f>""</f>
        <v/>
      </c>
      <c r="BA603" t="str">
        <f>""</f>
        <v/>
      </c>
      <c r="BC603" t="str">
        <f>""</f>
        <v/>
      </c>
      <c r="BD603" t="str">
        <f>""</f>
        <v/>
      </c>
      <c r="BE603" t="str">
        <f>""</f>
        <v/>
      </c>
      <c r="BF603" t="str">
        <f>""</f>
        <v/>
      </c>
      <c r="BG603" t="str">
        <f>""</f>
        <v/>
      </c>
      <c r="BH603" t="str">
        <f>""</f>
        <v/>
      </c>
      <c r="BI603" t="str">
        <f>""</f>
        <v/>
      </c>
      <c r="BJ603" t="str">
        <f>""</f>
        <v/>
      </c>
      <c r="BK603">
        <v>1</v>
      </c>
      <c r="BL603" t="s">
        <v>107</v>
      </c>
      <c r="BM603" t="str">
        <f>"Jeanswear Services, LLC"</f>
        <v>Jeanswear Services, LLC</v>
      </c>
      <c r="BN603" t="s">
        <v>6795</v>
      </c>
      <c r="BP603" t="s">
        <v>2186</v>
      </c>
      <c r="BQ603" t="s">
        <v>462</v>
      </c>
      <c r="BR603" t="s">
        <v>122</v>
      </c>
      <c r="BS603" s="5">
        <v>27401</v>
      </c>
      <c r="BT603" s="2">
        <v>90000</v>
      </c>
      <c r="BU603" s="2">
        <v>120000</v>
      </c>
      <c r="BV603" t="s">
        <v>105</v>
      </c>
      <c r="BW603" s="2">
        <v>80288</v>
      </c>
      <c r="BX603" t="s">
        <v>105</v>
      </c>
      <c r="BZ603" t="s">
        <v>167</v>
      </c>
      <c r="CA603" t="str">
        <f t="shared" ref="CA603:CA614" si="37">"7/1/2020 - 6/30/2021"</f>
        <v>7/1/2020 - 6/30/2021</v>
      </c>
      <c r="CF603">
        <v>1</v>
      </c>
      <c r="CG603" t="s">
        <v>98</v>
      </c>
      <c r="CH603" t="s">
        <v>206</v>
      </c>
      <c r="CI603" t="s">
        <v>206</v>
      </c>
      <c r="CL603" t="s">
        <v>108</v>
      </c>
      <c r="CM603" t="s">
        <v>109</v>
      </c>
      <c r="CN603" t="str">
        <f>""</f>
        <v/>
      </c>
      <c r="CO603" t="str">
        <f>""</f>
        <v/>
      </c>
      <c r="CP603" t="str">
        <f>""</f>
        <v/>
      </c>
      <c r="CQ603" t="str">
        <f>""</f>
        <v/>
      </c>
    </row>
    <row r="604" spans="1:96" x14ac:dyDescent="0.2">
      <c r="A604" t="s">
        <v>6817</v>
      </c>
      <c r="B604" t="s">
        <v>96</v>
      </c>
      <c r="C604" s="1">
        <v>44098</v>
      </c>
      <c r="D604" s="1">
        <v>44105</v>
      </c>
      <c r="F604" t="s">
        <v>97</v>
      </c>
      <c r="G604" t="str">
        <f>"Analyst"</f>
        <v>Analyst</v>
      </c>
      <c r="H604" t="s">
        <v>12213</v>
      </c>
      <c r="I604" t="s">
        <v>493</v>
      </c>
      <c r="J604" t="s">
        <v>98</v>
      </c>
      <c r="K604" s="1">
        <v>44104</v>
      </c>
      <c r="L604" s="1">
        <v>45199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6818</v>
      </c>
      <c r="U604" t="str">
        <f>""</f>
        <v/>
      </c>
      <c r="V604" t="s">
        <v>6819</v>
      </c>
      <c r="W604" t="str">
        <f>"26th Floor"</f>
        <v>26th Floor</v>
      </c>
      <c r="X604" t="s">
        <v>277</v>
      </c>
      <c r="Y604" t="s">
        <v>190</v>
      </c>
      <c r="Z604" s="3">
        <v>10004</v>
      </c>
      <c r="AA604" t="s">
        <v>101</v>
      </c>
      <c r="AC604" s="4" t="str">
        <f>"+12129723600"</f>
        <v>+12129723600</v>
      </c>
      <c r="AE604" t="str">
        <f>"5312"</f>
        <v>5312</v>
      </c>
      <c r="AF604" t="s">
        <v>6820</v>
      </c>
      <c r="AG604" t="s">
        <v>1744</v>
      </c>
      <c r="AI604" t="s">
        <v>1524</v>
      </c>
      <c r="AJ604" t="s">
        <v>6819</v>
      </c>
      <c r="AK604" t="str">
        <f>"26th Floor"</f>
        <v>26th Floor</v>
      </c>
      <c r="AL604" t="s">
        <v>277</v>
      </c>
      <c r="AM604" t="s">
        <v>190</v>
      </c>
      <c r="AN604" s="3">
        <v>10004</v>
      </c>
      <c r="AO604" t="s">
        <v>101</v>
      </c>
      <c r="AQ604" t="str">
        <f>"+12129723600"</f>
        <v>+12129723600</v>
      </c>
      <c r="AS604" t="s">
        <v>6821</v>
      </c>
      <c r="AT604" t="s">
        <v>107</v>
      </c>
      <c r="AU604" t="str">
        <f>"Goldsmith"</f>
        <v>Goldsmith</v>
      </c>
      <c r="AV604" t="str">
        <f>"Tara"</f>
        <v>Tara</v>
      </c>
      <c r="AW604" t="str">
        <f>"J."</f>
        <v>J.</v>
      </c>
      <c r="AX604" t="str">
        <f>"14 Penn Plaza"</f>
        <v>14 Penn Plaza</v>
      </c>
      <c r="AY604" t="str">
        <f>"Suite 1020"</f>
        <v>Suite 1020</v>
      </c>
      <c r="AZ604" t="str">
        <f>"New York"</f>
        <v>New York</v>
      </c>
      <c r="BA604" t="str">
        <f>"NY"</f>
        <v>NY</v>
      </c>
      <c r="BB604" s="3">
        <v>10122</v>
      </c>
      <c r="BC604" t="str">
        <f>"UNITED STATES OF AMERICA"</f>
        <v>UNITED STATES OF AMERICA</v>
      </c>
      <c r="BD604" t="str">
        <f>""</f>
        <v/>
      </c>
      <c r="BE604" t="str">
        <f>"+12126436400"</f>
        <v>+12126436400</v>
      </c>
      <c r="BF604" t="str">
        <f>"110"</f>
        <v>110</v>
      </c>
      <c r="BG604" t="str">
        <f>"tgoldsmith@ggw.com"</f>
        <v>tgoldsmith@ggw.com</v>
      </c>
      <c r="BH604" t="str">
        <f>"Garganigo, Goldsmith &amp; Weiss"</f>
        <v>Garganigo, Goldsmith &amp; Weiss</v>
      </c>
      <c r="BI604" t="str">
        <f>"NY"</f>
        <v>NY</v>
      </c>
      <c r="BJ604" t="str">
        <f>"Appellate Division"</f>
        <v>Appellate Division</v>
      </c>
      <c r="BK604">
        <v>1</v>
      </c>
      <c r="BL604" t="s">
        <v>102</v>
      </c>
      <c r="BM604" t="str">
        <f>""</f>
        <v/>
      </c>
      <c r="BN604" t="s">
        <v>6819</v>
      </c>
      <c r="BO604" t="s">
        <v>6020</v>
      </c>
      <c r="BP604" t="s">
        <v>277</v>
      </c>
      <c r="BQ604" t="s">
        <v>189</v>
      </c>
      <c r="BR604" t="s">
        <v>190</v>
      </c>
      <c r="BS604" s="5">
        <v>10004</v>
      </c>
      <c r="BT604" s="2">
        <v>250000</v>
      </c>
      <c r="BV604" t="s">
        <v>105</v>
      </c>
      <c r="BW604" s="2">
        <v>161346</v>
      </c>
      <c r="BX604" t="s">
        <v>105</v>
      </c>
      <c r="BZ604" t="s">
        <v>159</v>
      </c>
      <c r="CA604" t="str">
        <f t="shared" si="37"/>
        <v>7/1/2020 - 6/30/2021</v>
      </c>
      <c r="CF604">
        <v>2</v>
      </c>
      <c r="CG604" t="s">
        <v>98</v>
      </c>
      <c r="CH604" t="s">
        <v>206</v>
      </c>
      <c r="CI604" t="s">
        <v>206</v>
      </c>
      <c r="CL604" t="s">
        <v>108</v>
      </c>
      <c r="CM604" t="s">
        <v>109</v>
      </c>
      <c r="CN604" t="str">
        <f>"Dharlo"</f>
        <v>Dharlo</v>
      </c>
      <c r="CO604" t="str">
        <f>"Tenzin"</f>
        <v>Tenzin</v>
      </c>
      <c r="CP604" t="str">
        <f>"D"</f>
        <v>D</v>
      </c>
      <c r="CQ604" t="str">
        <f>"Garganigo, Goldsmith &amp; Weiss"</f>
        <v>Garganigo, Goldsmith &amp; Weiss</v>
      </c>
      <c r="CR604" t="s">
        <v>465</v>
      </c>
    </row>
    <row r="605" spans="1:96" x14ac:dyDescent="0.2">
      <c r="A605" t="s">
        <v>6854</v>
      </c>
      <c r="B605" t="s">
        <v>96</v>
      </c>
      <c r="C605" s="1">
        <v>44098</v>
      </c>
      <c r="D605" s="1">
        <v>44105</v>
      </c>
      <c r="F605" t="s">
        <v>97</v>
      </c>
      <c r="G605" t="str">
        <f>"Information Systems Engineer "</f>
        <v xml:space="preserve">Information Systems Engineer </v>
      </c>
      <c r="H605" t="s">
        <v>12168</v>
      </c>
      <c r="I605" t="s">
        <v>160</v>
      </c>
      <c r="J605" t="s">
        <v>98</v>
      </c>
      <c r="K605" s="1">
        <v>44102</v>
      </c>
      <c r="L605" s="1">
        <v>45196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 t="s">
        <v>1522</v>
      </c>
      <c r="U605" t="str">
        <f>""</f>
        <v/>
      </c>
      <c r="V605" t="s">
        <v>1281</v>
      </c>
      <c r="W605" t="str">
        <f>""</f>
        <v/>
      </c>
      <c r="X605" t="s">
        <v>538</v>
      </c>
      <c r="Y605" t="s">
        <v>135</v>
      </c>
      <c r="Z605" s="3">
        <v>22030</v>
      </c>
      <c r="AA605" t="s">
        <v>101</v>
      </c>
      <c r="AC605" s="4" t="str">
        <f>"+17032678000"</f>
        <v>+17032678000</v>
      </c>
      <c r="AD605">
        <v>0</v>
      </c>
      <c r="AE605" t="str">
        <f>"541512"</f>
        <v>541512</v>
      </c>
      <c r="AF605" t="s">
        <v>1282</v>
      </c>
      <c r="AG605" t="s">
        <v>1283</v>
      </c>
      <c r="AI605" t="s">
        <v>1284</v>
      </c>
      <c r="AJ605" t="s">
        <v>1281</v>
      </c>
      <c r="AK605" t="str">
        <f>""</f>
        <v/>
      </c>
      <c r="AL605" t="s">
        <v>538</v>
      </c>
      <c r="AM605" t="s">
        <v>135</v>
      </c>
      <c r="AN605" s="3">
        <v>22030</v>
      </c>
      <c r="AO605" t="s">
        <v>101</v>
      </c>
      <c r="AQ605" t="str">
        <f>"+17324282390"</f>
        <v>+17324282390</v>
      </c>
      <c r="AS605" t="s">
        <v>1285</v>
      </c>
      <c r="AT605" t="s">
        <v>107</v>
      </c>
      <c r="AU605" t="str">
        <f>"SMITH"</f>
        <v>SMITH</v>
      </c>
      <c r="AV605" t="str">
        <f>"MICHAEL"</f>
        <v>MICHAEL</v>
      </c>
      <c r="AW605" t="str">
        <f>"FRANCIS"</f>
        <v>FRANCIS</v>
      </c>
      <c r="AX605" t="str">
        <f>"1101 15TH STREET, NW"</f>
        <v>1101 15TH STREET, NW</v>
      </c>
      <c r="AY605" t="str">
        <f>"SUITE 700"</f>
        <v>SUITE 700</v>
      </c>
      <c r="AZ605" t="str">
        <f>"WASHINGTON"</f>
        <v>WASHINGTON</v>
      </c>
      <c r="BA605" t="str">
        <f>"DC"</f>
        <v>DC</v>
      </c>
      <c r="BB605" s="3">
        <v>20005</v>
      </c>
      <c r="BC605" t="str">
        <f>"UNITED STATES OF AMERICA"</f>
        <v>UNITED STATES OF AMERICA</v>
      </c>
      <c r="BD605" t="str">
        <f>""</f>
        <v/>
      </c>
      <c r="BE605" t="str">
        <f>"+12022235515"</f>
        <v>+12022235515</v>
      </c>
      <c r="BF605" t="str">
        <f>""</f>
        <v/>
      </c>
      <c r="BG605" t="str">
        <f>"LCATeamPham@Fragomen.com"</f>
        <v>LCATeamPham@Fragomen.com</v>
      </c>
      <c r="BH605" t="str">
        <f>"Fragomen, Del Rey, Bernsen &amp; Loewy, LLP"</f>
        <v>Fragomen, Del Rey, Bernsen &amp; Loewy, LLP</v>
      </c>
      <c r="BI605" t="str">
        <f>"DC"</f>
        <v>DC</v>
      </c>
      <c r="BJ605" t="str">
        <f>"DISTRICT OF COLUMBIA COURT OF APPEALS"</f>
        <v>DISTRICT OF COLUMBIA COURT OF APPEALS</v>
      </c>
      <c r="BK605">
        <v>1</v>
      </c>
      <c r="BL605" t="s">
        <v>107</v>
      </c>
      <c r="BM605" t="str">
        <f>"WD-40 Company"</f>
        <v>WD-40 Company</v>
      </c>
      <c r="BN605" t="s">
        <v>6855</v>
      </c>
      <c r="BP605" t="s">
        <v>157</v>
      </c>
      <c r="BQ605" t="s">
        <v>158</v>
      </c>
      <c r="BR605" t="s">
        <v>141</v>
      </c>
      <c r="BS605" s="5">
        <v>92131</v>
      </c>
      <c r="BT605" s="2">
        <v>140000</v>
      </c>
      <c r="BV605" t="s">
        <v>105</v>
      </c>
      <c r="BW605" s="2">
        <v>93912</v>
      </c>
      <c r="BX605" t="s">
        <v>105</v>
      </c>
      <c r="BZ605" t="s">
        <v>123</v>
      </c>
      <c r="CA605" t="str">
        <f t="shared" si="37"/>
        <v>7/1/2020 - 6/30/2021</v>
      </c>
      <c r="CF605">
        <v>3</v>
      </c>
      <c r="CG605" t="s">
        <v>98</v>
      </c>
      <c r="CH605" t="s">
        <v>206</v>
      </c>
      <c r="CI605" t="s">
        <v>206</v>
      </c>
      <c r="CL605" t="s">
        <v>108</v>
      </c>
      <c r="CM605" t="s">
        <v>109</v>
      </c>
      <c r="CN605" t="str">
        <f>"ALI"</f>
        <v>ALI</v>
      </c>
      <c r="CO605" t="str">
        <f>"ADAM"</f>
        <v>ADAM</v>
      </c>
      <c r="CP605" t="str">
        <f>"P"</f>
        <v>P</v>
      </c>
      <c r="CQ605" t="str">
        <f>"Fragomen, Del Rey, Bernsen &amp; Loewy, LLP"</f>
        <v>Fragomen, Del Rey, Bernsen &amp; Loewy, LLP</v>
      </c>
      <c r="CR605" t="s">
        <v>4452</v>
      </c>
    </row>
    <row r="606" spans="1:96" x14ac:dyDescent="0.2">
      <c r="A606" t="s">
        <v>6872</v>
      </c>
      <c r="B606" t="s">
        <v>96</v>
      </c>
      <c r="C606" s="1">
        <v>44098</v>
      </c>
      <c r="D606" s="1">
        <v>44105</v>
      </c>
      <c r="F606" t="s">
        <v>97</v>
      </c>
      <c r="G606" t="str">
        <f>"Research Assistant"</f>
        <v>Research Assistant</v>
      </c>
      <c r="H606" t="s">
        <v>12229</v>
      </c>
      <c r="I606" t="s">
        <v>2615</v>
      </c>
      <c r="J606" t="s">
        <v>98</v>
      </c>
      <c r="K606" s="1">
        <v>44167</v>
      </c>
      <c r="L606" s="1">
        <v>44531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 t="s">
        <v>3987</v>
      </c>
      <c r="U606" t="str">
        <f>""</f>
        <v/>
      </c>
      <c r="V606" t="s">
        <v>3988</v>
      </c>
      <c r="W606" t="str">
        <f>""</f>
        <v/>
      </c>
      <c r="X606" t="s">
        <v>436</v>
      </c>
      <c r="Y606" t="s">
        <v>171</v>
      </c>
      <c r="Z606" s="3">
        <v>2138</v>
      </c>
      <c r="AA606" t="s">
        <v>101</v>
      </c>
      <c r="AC606" s="4" t="str">
        <f>"+16178683900"</f>
        <v>+16178683900</v>
      </c>
      <c r="AE606" t="str">
        <f>"541720"</f>
        <v>541720</v>
      </c>
      <c r="AF606" t="s">
        <v>3989</v>
      </c>
      <c r="AG606" t="s">
        <v>3990</v>
      </c>
      <c r="AH606" t="s">
        <v>382</v>
      </c>
      <c r="AI606" t="s">
        <v>3991</v>
      </c>
      <c r="AJ606" t="s">
        <v>3988</v>
      </c>
      <c r="AK606" t="str">
        <f>"n/a"</f>
        <v>n/a</v>
      </c>
      <c r="AL606" t="s">
        <v>3550</v>
      </c>
      <c r="AM606" t="s">
        <v>171</v>
      </c>
      <c r="AN606" s="3">
        <v>2138</v>
      </c>
      <c r="AO606" t="s">
        <v>101</v>
      </c>
      <c r="AQ606" t="str">
        <f>"+16175880306"</f>
        <v>+16175880306</v>
      </c>
      <c r="AS606" t="s">
        <v>3992</v>
      </c>
      <c r="AT606" t="s">
        <v>102</v>
      </c>
      <c r="AU606" t="str">
        <f>""</f>
        <v/>
      </c>
      <c r="AV606" t="str">
        <f>""</f>
        <v/>
      </c>
      <c r="AW606" t="str">
        <f>""</f>
        <v/>
      </c>
      <c r="AX606" t="str">
        <f>""</f>
        <v/>
      </c>
      <c r="AY606" t="str">
        <f>""</f>
        <v/>
      </c>
      <c r="AZ606" t="str">
        <f>""</f>
        <v/>
      </c>
      <c r="BA606" t="str">
        <f>""</f>
        <v/>
      </c>
      <c r="BC606" t="str">
        <f>""</f>
        <v/>
      </c>
      <c r="BD606" t="str">
        <f>""</f>
        <v/>
      </c>
      <c r="BE606" t="str">
        <f>""</f>
        <v/>
      </c>
      <c r="BF606" t="str">
        <f>""</f>
        <v/>
      </c>
      <c r="BG606" t="str">
        <f>""</f>
        <v/>
      </c>
      <c r="BH606" t="str">
        <f>""</f>
        <v/>
      </c>
      <c r="BI606" t="str">
        <f>""</f>
        <v/>
      </c>
      <c r="BJ606" t="str">
        <f>""</f>
        <v/>
      </c>
      <c r="BK606">
        <v>1</v>
      </c>
      <c r="BL606" t="s">
        <v>107</v>
      </c>
      <c r="BM606" t="str">
        <f>"Stanford Institute for Economic Policy Research (SIEPR)"</f>
        <v>Stanford Institute for Economic Policy Research (SIEPR)</v>
      </c>
      <c r="BN606" t="s">
        <v>6873</v>
      </c>
      <c r="BP606" t="s">
        <v>1012</v>
      </c>
      <c r="BQ606" t="s">
        <v>230</v>
      </c>
      <c r="BR606" t="s">
        <v>141</v>
      </c>
      <c r="BS606" s="5">
        <v>94305</v>
      </c>
      <c r="BT606" s="2">
        <v>1938.46</v>
      </c>
      <c r="BV606" t="s">
        <v>3993</v>
      </c>
      <c r="BW606" s="2">
        <v>1905.6</v>
      </c>
      <c r="BX606" t="s">
        <v>3993</v>
      </c>
      <c r="BZ606" t="s">
        <v>167</v>
      </c>
      <c r="CA606" t="str">
        <f t="shared" si="37"/>
        <v>7/1/2020 - 6/30/2021</v>
      </c>
      <c r="CF606">
        <v>1</v>
      </c>
      <c r="CG606" t="s">
        <v>98</v>
      </c>
      <c r="CH606" t="s">
        <v>206</v>
      </c>
      <c r="CI606" t="s">
        <v>206</v>
      </c>
      <c r="CL606" t="s">
        <v>108</v>
      </c>
      <c r="CM606" t="s">
        <v>109</v>
      </c>
      <c r="CN606" t="str">
        <f>"Secaira"</f>
        <v>Secaira</v>
      </c>
      <c r="CO606" t="str">
        <f>"Cecilia"</f>
        <v>Cecilia</v>
      </c>
      <c r="CP606" t="str">
        <f>"E"</f>
        <v>E</v>
      </c>
      <c r="CQ606" t="str">
        <f>"National Bureau of Economic Resarch"</f>
        <v>National Bureau of Economic Resarch</v>
      </c>
      <c r="CR606" t="s">
        <v>3994</v>
      </c>
    </row>
    <row r="607" spans="1:96" x14ac:dyDescent="0.2">
      <c r="A607" t="s">
        <v>6879</v>
      </c>
      <c r="B607" t="s">
        <v>96</v>
      </c>
      <c r="C607" s="1">
        <v>44098</v>
      </c>
      <c r="D607" s="1">
        <v>44105</v>
      </c>
      <c r="F607" t="s">
        <v>97</v>
      </c>
      <c r="G607" t="str">
        <f>"Senior Developer"</f>
        <v>Senior Developer</v>
      </c>
      <c r="H607" t="s">
        <v>12169</v>
      </c>
      <c r="I607" t="s">
        <v>124</v>
      </c>
      <c r="J607" t="s">
        <v>98</v>
      </c>
      <c r="K607" s="1">
        <v>44170</v>
      </c>
      <c r="L607" s="1">
        <v>45265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 t="s">
        <v>6880</v>
      </c>
      <c r="U607" t="str">
        <f>""</f>
        <v/>
      </c>
      <c r="V607" t="s">
        <v>1276</v>
      </c>
      <c r="W607" t="str">
        <f>""</f>
        <v/>
      </c>
      <c r="X607" t="s">
        <v>1277</v>
      </c>
      <c r="Y607" t="s">
        <v>127</v>
      </c>
      <c r="Z607" s="3">
        <v>19073</v>
      </c>
      <c r="AA607" t="s">
        <v>101</v>
      </c>
      <c r="AC607" s="4" t="str">
        <f>"+16106612354"</f>
        <v>+16106612354</v>
      </c>
      <c r="AE607" t="str">
        <f>"54151"</f>
        <v>54151</v>
      </c>
      <c r="AF607" t="s">
        <v>128</v>
      </c>
      <c r="AG607" t="s">
        <v>129</v>
      </c>
      <c r="AH607" t="s">
        <v>108</v>
      </c>
      <c r="AI607" t="s">
        <v>130</v>
      </c>
      <c r="AJ607" t="s">
        <v>1276</v>
      </c>
      <c r="AK607" t="str">
        <f>"N/A"</f>
        <v>N/A</v>
      </c>
      <c r="AL607" t="s">
        <v>1277</v>
      </c>
      <c r="AM607" t="s">
        <v>127</v>
      </c>
      <c r="AN607" s="3">
        <v>19073</v>
      </c>
      <c r="AO607" t="s">
        <v>101</v>
      </c>
      <c r="AQ607" t="str">
        <f>"+16106612354"</f>
        <v>+16106612354</v>
      </c>
      <c r="AS607" t="s">
        <v>131</v>
      </c>
      <c r="AT607" t="s">
        <v>107</v>
      </c>
      <c r="AU607" t="str">
        <f>"RALSTON"</f>
        <v>RALSTON</v>
      </c>
      <c r="AV607" t="str">
        <f>"C. WILLIAM"</f>
        <v>C. WILLIAM</v>
      </c>
      <c r="AW607" t="str">
        <f>"N/A"</f>
        <v>N/A</v>
      </c>
      <c r="AX607" t="str">
        <f>"90 Matawan Road"</f>
        <v>90 Matawan Road</v>
      </c>
      <c r="AY607" t="str">
        <f>"4th Floor"</f>
        <v>4th Floor</v>
      </c>
      <c r="AZ607" t="str">
        <f>"Matawan"</f>
        <v>Matawan</v>
      </c>
      <c r="BA607" t="str">
        <f>"NJ"</f>
        <v>NJ</v>
      </c>
      <c r="BB607" s="3">
        <v>7747</v>
      </c>
      <c r="BC607" t="str">
        <f>"UNITED STATES OF AMERICA"</f>
        <v>UNITED STATES OF AMERICA</v>
      </c>
      <c r="BD607" t="str">
        <f>""</f>
        <v/>
      </c>
      <c r="BE607" t="str">
        <f>"+17328625000"</f>
        <v>+17328625000</v>
      </c>
      <c r="BF607" t="str">
        <f>""</f>
        <v/>
      </c>
      <c r="BG607" t="str">
        <f>"EANTOKAL@FRAGOMEN.COM"</f>
        <v>EANTOKAL@FRAGOMEN.COM</v>
      </c>
      <c r="BH607" t="str">
        <f>"FRAGOMEN, DEL REY, BERNSEN &amp; LOEWY, LLP"</f>
        <v>FRAGOMEN, DEL REY, BERNSEN &amp; LOEWY, LLP</v>
      </c>
      <c r="BI607" t="str">
        <f>"NJ"</f>
        <v>NJ</v>
      </c>
      <c r="BJ607" t="str">
        <f>"SUPREME COURT"</f>
        <v>SUPREME COURT</v>
      </c>
      <c r="BK607">
        <v>1</v>
      </c>
      <c r="BL607" t="s">
        <v>102</v>
      </c>
      <c r="BM607" t="str">
        <f>""</f>
        <v/>
      </c>
      <c r="BN607" t="s">
        <v>6881</v>
      </c>
      <c r="BP607" t="s">
        <v>2495</v>
      </c>
      <c r="BQ607" t="s">
        <v>556</v>
      </c>
      <c r="BR607" t="s">
        <v>114</v>
      </c>
      <c r="BS607" s="5">
        <v>75013</v>
      </c>
      <c r="BT607" s="2">
        <v>119502</v>
      </c>
      <c r="BV607" t="s">
        <v>105</v>
      </c>
      <c r="BW607" s="2">
        <v>110344</v>
      </c>
      <c r="BX607" t="s">
        <v>105</v>
      </c>
      <c r="BZ607" t="s">
        <v>123</v>
      </c>
      <c r="CA607" t="str">
        <f t="shared" si="37"/>
        <v>7/1/2020 - 6/30/2021</v>
      </c>
      <c r="CF607">
        <v>2</v>
      </c>
      <c r="CG607" t="s">
        <v>98</v>
      </c>
      <c r="CH607" t="s">
        <v>206</v>
      </c>
      <c r="CI607" t="s">
        <v>206</v>
      </c>
      <c r="CL607" t="s">
        <v>108</v>
      </c>
      <c r="CM607" t="s">
        <v>109</v>
      </c>
      <c r="CN607" t="str">
        <f>"RALSTON"</f>
        <v>RALSTON</v>
      </c>
      <c r="CO607" t="str">
        <f>"C. WILLIAM"</f>
        <v>C. WILLIAM</v>
      </c>
      <c r="CP607" t="str">
        <f>""</f>
        <v/>
      </c>
      <c r="CQ607" t="str">
        <f>"FRAGOMEN, DEL REY, BERNSEN &amp; LOEWY, LLP"</f>
        <v>FRAGOMEN, DEL REY, BERNSEN &amp; LOEWY, LLP</v>
      </c>
      <c r="CR607" t="s">
        <v>5449</v>
      </c>
    </row>
    <row r="608" spans="1:96" x14ac:dyDescent="0.2">
      <c r="A608" t="s">
        <v>6902</v>
      </c>
      <c r="B608" t="s">
        <v>96</v>
      </c>
      <c r="C608" s="1">
        <v>44098</v>
      </c>
      <c r="D608" s="1">
        <v>44105</v>
      </c>
      <c r="F608" t="s">
        <v>97</v>
      </c>
      <c r="G608" t="str">
        <f>"Programmer Analyst"</f>
        <v>Programmer Analyst</v>
      </c>
      <c r="H608" t="s">
        <v>12169</v>
      </c>
      <c r="I608" t="s">
        <v>124</v>
      </c>
      <c r="J608" t="s">
        <v>98</v>
      </c>
      <c r="K608" s="1">
        <v>44197</v>
      </c>
      <c r="L608" s="1">
        <v>45291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6903</v>
      </c>
      <c r="U608" t="str">
        <f>""</f>
        <v/>
      </c>
      <c r="V608" t="s">
        <v>6904</v>
      </c>
      <c r="W608" t="str">
        <f>""</f>
        <v/>
      </c>
      <c r="X608" t="s">
        <v>2696</v>
      </c>
      <c r="Y608" t="s">
        <v>114</v>
      </c>
      <c r="Z608" s="3">
        <v>75234</v>
      </c>
      <c r="AA608" t="s">
        <v>101</v>
      </c>
      <c r="AC608" s="4" t="str">
        <f>"+18324263775"</f>
        <v>+18324263775</v>
      </c>
      <c r="AE608" t="str">
        <f>"541511"</f>
        <v>541511</v>
      </c>
      <c r="AF608" t="s">
        <v>6815</v>
      </c>
      <c r="AG608" t="s">
        <v>4259</v>
      </c>
      <c r="AH608" t="s">
        <v>6905</v>
      </c>
      <c r="AI608" t="s">
        <v>508</v>
      </c>
      <c r="AJ608" t="s">
        <v>6906</v>
      </c>
      <c r="AK608" t="str">
        <f>""</f>
        <v/>
      </c>
      <c r="AL608" t="s">
        <v>2696</v>
      </c>
      <c r="AM608" t="s">
        <v>114</v>
      </c>
      <c r="AN608" s="3">
        <v>75234</v>
      </c>
      <c r="AO608" t="s">
        <v>101</v>
      </c>
      <c r="AQ608" t="str">
        <f>"+18324263775"</f>
        <v>+18324263775</v>
      </c>
      <c r="AS608" t="s">
        <v>6907</v>
      </c>
      <c r="AT608" t="s">
        <v>107</v>
      </c>
      <c r="AU608" t="str">
        <f>"Malik, Esq."</f>
        <v>Malik, Esq.</v>
      </c>
      <c r="AV608" t="str">
        <f>"Jitesh"</f>
        <v>Jitesh</v>
      </c>
      <c r="AW608" t="str">
        <f>""</f>
        <v/>
      </c>
      <c r="AX608" t="str">
        <f>"55 Old Nyack Turnpike, Suite 404"</f>
        <v>55 Old Nyack Turnpike, Suite 404</v>
      </c>
      <c r="AY608" t="str">
        <f>""</f>
        <v/>
      </c>
      <c r="AZ608" t="str">
        <f>"Nanuet"</f>
        <v>Nanuet</v>
      </c>
      <c r="BA608" t="str">
        <f>"NY"</f>
        <v>NY</v>
      </c>
      <c r="BB608" s="3">
        <v>10954</v>
      </c>
      <c r="BC608" t="str">
        <f>"UNITED STATES OF AMERICA"</f>
        <v>UNITED STATES OF AMERICA</v>
      </c>
      <c r="BD608" t="str">
        <f>""</f>
        <v/>
      </c>
      <c r="BE608" t="str">
        <f>"+12125457770"</f>
        <v>+12125457770</v>
      </c>
      <c r="BF608" t="str">
        <f>"201"</f>
        <v>201</v>
      </c>
      <c r="BG608" t="str">
        <f>"jmalik@malikpopiel.com"</f>
        <v>jmalik@malikpopiel.com</v>
      </c>
      <c r="BH608" t="str">
        <f>"Malik &amp; Popiel, P.C."</f>
        <v>Malik &amp; Popiel, P.C.</v>
      </c>
      <c r="BI608" t="str">
        <f>"NY"</f>
        <v>NY</v>
      </c>
      <c r="BJ608" t="str">
        <f>"New York Supreme Court"</f>
        <v>New York Supreme Court</v>
      </c>
      <c r="BK608">
        <v>1</v>
      </c>
      <c r="BL608" t="s">
        <v>107</v>
      </c>
      <c r="BM608" t="str">
        <f>"American Express"</f>
        <v>American Express</v>
      </c>
      <c r="BN608" t="s">
        <v>830</v>
      </c>
      <c r="BO608" t="s">
        <v>108</v>
      </c>
      <c r="BP608" t="s">
        <v>277</v>
      </c>
      <c r="BQ608" t="s">
        <v>189</v>
      </c>
      <c r="BR608" t="s">
        <v>190</v>
      </c>
      <c r="BS608" s="5">
        <v>10080</v>
      </c>
      <c r="BT608" s="2">
        <v>117000</v>
      </c>
      <c r="BU608" s="2">
        <v>117000.01</v>
      </c>
      <c r="BV608" t="s">
        <v>105</v>
      </c>
      <c r="BW608" s="2">
        <v>100526</v>
      </c>
      <c r="BX608" t="s">
        <v>105</v>
      </c>
      <c r="BZ608" t="s">
        <v>167</v>
      </c>
      <c r="CA608" t="str">
        <f t="shared" si="37"/>
        <v>7/1/2020 - 6/30/2021</v>
      </c>
      <c r="CF608">
        <v>1</v>
      </c>
      <c r="CG608" t="s">
        <v>98</v>
      </c>
      <c r="CH608" t="s">
        <v>206</v>
      </c>
      <c r="CI608" t="s">
        <v>206</v>
      </c>
      <c r="CL608" t="s">
        <v>108</v>
      </c>
      <c r="CM608" t="s">
        <v>109</v>
      </c>
      <c r="CN608" t="str">
        <f>"Malik"</f>
        <v>Malik</v>
      </c>
      <c r="CO608" t="str">
        <f>"Jitesh"</f>
        <v>Jitesh</v>
      </c>
      <c r="CP608" t="str">
        <f>"N/A"</f>
        <v>N/A</v>
      </c>
      <c r="CQ608" t="str">
        <f>"Malik &amp; Popiel, P.C."</f>
        <v>Malik &amp; Popiel, P.C.</v>
      </c>
      <c r="CR608" t="s">
        <v>4023</v>
      </c>
    </row>
    <row r="609" spans="1:96" x14ac:dyDescent="0.2">
      <c r="A609" t="s">
        <v>6966</v>
      </c>
      <c r="B609" t="s">
        <v>96</v>
      </c>
      <c r="C609" s="1">
        <v>44098</v>
      </c>
      <c r="D609" s="1">
        <v>44105</v>
      </c>
      <c r="F609" t="s">
        <v>97</v>
      </c>
      <c r="G609" t="str">
        <f>"Urban Designer"</f>
        <v>Urban Designer</v>
      </c>
      <c r="H609" t="s">
        <v>12279</v>
      </c>
      <c r="I609" t="s">
        <v>4062</v>
      </c>
      <c r="J609" t="s">
        <v>98</v>
      </c>
      <c r="K609" s="1">
        <v>44151</v>
      </c>
      <c r="L609" s="1">
        <v>45245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 t="s">
        <v>6967</v>
      </c>
      <c r="U609" t="str">
        <f>""</f>
        <v/>
      </c>
      <c r="V609" t="s">
        <v>6968</v>
      </c>
      <c r="W609" t="str">
        <f>"N/A"</f>
        <v>N/A</v>
      </c>
      <c r="X609" t="s">
        <v>3272</v>
      </c>
      <c r="Y609" t="s">
        <v>171</v>
      </c>
      <c r="Z609" s="3">
        <v>2472</v>
      </c>
      <c r="AA609" t="s">
        <v>101</v>
      </c>
      <c r="AC609" s="4" t="str">
        <f>"+16179263300"</f>
        <v>+16179263300</v>
      </c>
      <c r="AE609" t="str">
        <f>"54131"</f>
        <v>54131</v>
      </c>
      <c r="AF609" t="s">
        <v>6969</v>
      </c>
      <c r="AG609" t="s">
        <v>5213</v>
      </c>
      <c r="AI609" t="s">
        <v>860</v>
      </c>
      <c r="AJ609" t="s">
        <v>6968</v>
      </c>
      <c r="AK609" t="str">
        <f>""</f>
        <v/>
      </c>
      <c r="AL609" t="s">
        <v>3272</v>
      </c>
      <c r="AM609" t="s">
        <v>171</v>
      </c>
      <c r="AN609" s="3">
        <v>2472</v>
      </c>
      <c r="AO609" t="s">
        <v>101</v>
      </c>
      <c r="AQ609" t="str">
        <f>"+16179237143"</f>
        <v>+16179237143</v>
      </c>
      <c r="AS609" t="s">
        <v>6970</v>
      </c>
      <c r="AT609" t="s">
        <v>107</v>
      </c>
      <c r="AU609" t="str">
        <f>"Travers"</f>
        <v>Travers</v>
      </c>
      <c r="AV609" t="str">
        <f>"Maura"</f>
        <v>Maura</v>
      </c>
      <c r="AW609" t="str">
        <f>"N/A"</f>
        <v>N/A</v>
      </c>
      <c r="AX609" t="str">
        <f>"2 Seaport Lane - Seaport East"</f>
        <v>2 Seaport Lane - Seaport East</v>
      </c>
      <c r="AY609" t="str">
        <f>"Suite 300"</f>
        <v>Suite 300</v>
      </c>
      <c r="AZ609" t="str">
        <f>"Boston"</f>
        <v>Boston</v>
      </c>
      <c r="BA609" t="str">
        <f>"MA"</f>
        <v>MA</v>
      </c>
      <c r="BB609" s="3">
        <v>2210</v>
      </c>
      <c r="BC609" t="str">
        <f>"UNITED STATES OF AMERICA"</f>
        <v>UNITED STATES OF AMERICA</v>
      </c>
      <c r="BD609" t="str">
        <f>"N/A"</f>
        <v>N/A</v>
      </c>
      <c r="BE609" t="str">
        <f>"+16179464814"</f>
        <v>+16179464814</v>
      </c>
      <c r="BF609" t="str">
        <f>""</f>
        <v/>
      </c>
      <c r="BG609" t="str">
        <f>"ccano-dreyer@seyfarth.com"</f>
        <v>ccano-dreyer@seyfarth.com</v>
      </c>
      <c r="BH609" t="str">
        <f>"Seyfarth Shaw LLP"</f>
        <v>Seyfarth Shaw LLP</v>
      </c>
      <c r="BI609" t="str">
        <f>"MA"</f>
        <v>MA</v>
      </c>
      <c r="BJ609" t="str">
        <f>"Supreme Judicial Court"</f>
        <v>Supreme Judicial Court</v>
      </c>
      <c r="BK609">
        <v>1</v>
      </c>
      <c r="BL609" t="s">
        <v>102</v>
      </c>
      <c r="BM609" t="str">
        <f>""</f>
        <v/>
      </c>
      <c r="BN609" t="s">
        <v>6968</v>
      </c>
      <c r="BP609" t="s">
        <v>3272</v>
      </c>
      <c r="BQ609" t="s">
        <v>3273</v>
      </c>
      <c r="BR609" t="s">
        <v>171</v>
      </c>
      <c r="BS609" s="5">
        <v>2472</v>
      </c>
      <c r="BT609" s="2">
        <v>70000</v>
      </c>
      <c r="BV609" t="s">
        <v>105</v>
      </c>
      <c r="BW609" s="2">
        <v>63981</v>
      </c>
      <c r="BX609" t="s">
        <v>105</v>
      </c>
      <c r="BZ609" t="s">
        <v>191</v>
      </c>
      <c r="CA609" t="str">
        <f t="shared" si="37"/>
        <v>7/1/2020 - 6/30/2021</v>
      </c>
      <c r="CF609">
        <v>2</v>
      </c>
      <c r="CG609" t="s">
        <v>98</v>
      </c>
      <c r="CH609" t="s">
        <v>206</v>
      </c>
      <c r="CI609" t="s">
        <v>206</v>
      </c>
      <c r="CL609" t="s">
        <v>108</v>
      </c>
      <c r="CM609" t="s">
        <v>109</v>
      </c>
      <c r="CN609" t="str">
        <f>"Cano-Dreyer"</f>
        <v>Cano-Dreyer</v>
      </c>
      <c r="CO609" t="str">
        <f>"Cynthia"</f>
        <v>Cynthia</v>
      </c>
      <c r="CP609" t="str">
        <f>"P"</f>
        <v>P</v>
      </c>
      <c r="CQ609" t="str">
        <f>"Seyfarth Shaw LLP"</f>
        <v>Seyfarth Shaw LLP</v>
      </c>
      <c r="CR609" t="s">
        <v>6971</v>
      </c>
    </row>
    <row r="610" spans="1:96" x14ac:dyDescent="0.2">
      <c r="A610" t="s">
        <v>6983</v>
      </c>
      <c r="B610" t="s">
        <v>96</v>
      </c>
      <c r="C610" s="1">
        <v>44098</v>
      </c>
      <c r="D610" s="1">
        <v>44105</v>
      </c>
      <c r="F610" t="s">
        <v>97</v>
      </c>
      <c r="G610" t="str">
        <f>"SOFTWARE DEVELOPER"</f>
        <v>SOFTWARE DEVELOPER</v>
      </c>
      <c r="H610" t="s">
        <v>12169</v>
      </c>
      <c r="I610" t="s">
        <v>124</v>
      </c>
      <c r="J610" t="s">
        <v>98</v>
      </c>
      <c r="K610" s="1">
        <v>44109</v>
      </c>
      <c r="L610" s="1">
        <v>45203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 t="s">
        <v>6984</v>
      </c>
      <c r="U610" t="str">
        <f>""</f>
        <v/>
      </c>
      <c r="V610" t="s">
        <v>6985</v>
      </c>
      <c r="W610" t="str">
        <f>""</f>
        <v/>
      </c>
      <c r="X610" t="s">
        <v>3765</v>
      </c>
      <c r="Y610" t="s">
        <v>171</v>
      </c>
      <c r="Z610" s="3">
        <v>1841</v>
      </c>
      <c r="AA610" t="s">
        <v>101</v>
      </c>
      <c r="AC610" s="4" t="str">
        <f>"+16039669393"</f>
        <v>+16039669393</v>
      </c>
      <c r="AE610" t="str">
        <f>"541511"</f>
        <v>541511</v>
      </c>
      <c r="AF610" t="s">
        <v>6986</v>
      </c>
      <c r="AG610" t="s">
        <v>6987</v>
      </c>
      <c r="AI610" t="s">
        <v>425</v>
      </c>
      <c r="AJ610" t="s">
        <v>6988</v>
      </c>
      <c r="AK610" t="str">
        <f>""</f>
        <v/>
      </c>
      <c r="AL610" t="s">
        <v>5308</v>
      </c>
      <c r="AM610" t="s">
        <v>171</v>
      </c>
      <c r="AN610" s="3">
        <v>1841</v>
      </c>
      <c r="AO610" t="s">
        <v>101</v>
      </c>
      <c r="AQ610" t="str">
        <f>"+16179055918"</f>
        <v>+16179055918</v>
      </c>
      <c r="AS610" t="s">
        <v>6989</v>
      </c>
      <c r="AT610" t="s">
        <v>107</v>
      </c>
      <c r="AU610" t="str">
        <f>"Tewary"</f>
        <v>Tewary</v>
      </c>
      <c r="AV610" t="str">
        <f>"Akshat"</f>
        <v>Akshat</v>
      </c>
      <c r="AW610" t="str">
        <f>""</f>
        <v/>
      </c>
      <c r="AX610" t="str">
        <f>"1974 State Route 27"</f>
        <v>1974 State Route 27</v>
      </c>
      <c r="AY610" t="str">
        <f>""</f>
        <v/>
      </c>
      <c r="AZ610" t="str">
        <f>"Edison"</f>
        <v>Edison</v>
      </c>
      <c r="BA610" t="str">
        <f>"NJ"</f>
        <v>NJ</v>
      </c>
      <c r="BB610" s="3">
        <v>8817</v>
      </c>
      <c r="BC610" t="str">
        <f>"UNITED STATES OF AMERICA"</f>
        <v>UNITED STATES OF AMERICA</v>
      </c>
      <c r="BD610" t="str">
        <f>""</f>
        <v/>
      </c>
      <c r="BE610" t="str">
        <f>"+17322870080"</f>
        <v>+17322870080</v>
      </c>
      <c r="BF610" t="str">
        <f>""</f>
        <v/>
      </c>
      <c r="BG610" t="str">
        <f>"tewaryoffice@yahoo.com"</f>
        <v>tewaryoffice@yahoo.com</v>
      </c>
      <c r="BH610" t="str">
        <f>"Law Offices of Kamlesh Tewary, P.C. "</f>
        <v xml:space="preserve">Law Offices of Kamlesh Tewary, P.C. </v>
      </c>
      <c r="BI610" t="str">
        <f>"NJ"</f>
        <v>NJ</v>
      </c>
      <c r="BJ610" t="str">
        <f>"New Jersey Supreme Court "</f>
        <v xml:space="preserve">New Jersey Supreme Court </v>
      </c>
      <c r="BK610">
        <v>1</v>
      </c>
      <c r="BL610" t="s">
        <v>102</v>
      </c>
      <c r="BM610" t="str">
        <f>""</f>
        <v/>
      </c>
      <c r="BN610" t="s">
        <v>6990</v>
      </c>
      <c r="BP610" t="s">
        <v>4460</v>
      </c>
      <c r="BQ610" t="s">
        <v>4461</v>
      </c>
      <c r="BR610" t="s">
        <v>1035</v>
      </c>
      <c r="BS610" s="5">
        <v>3062</v>
      </c>
      <c r="BT610" s="2">
        <v>96242</v>
      </c>
      <c r="BV610" t="s">
        <v>105</v>
      </c>
      <c r="BW610" s="2">
        <v>96242</v>
      </c>
      <c r="BX610" t="s">
        <v>105</v>
      </c>
      <c r="BZ610" t="s">
        <v>167</v>
      </c>
      <c r="CA610" t="str">
        <f t="shared" si="37"/>
        <v>7/1/2020 - 6/30/2021</v>
      </c>
      <c r="CF610">
        <v>2</v>
      </c>
      <c r="CG610" t="s">
        <v>98</v>
      </c>
      <c r="CH610" t="s">
        <v>206</v>
      </c>
      <c r="CI610" t="s">
        <v>206</v>
      </c>
      <c r="CL610" t="s">
        <v>108</v>
      </c>
      <c r="CM610" t="s">
        <v>109</v>
      </c>
      <c r="CN610" t="str">
        <f>""</f>
        <v/>
      </c>
      <c r="CO610" t="str">
        <f>""</f>
        <v/>
      </c>
      <c r="CP610" t="str">
        <f>""</f>
        <v/>
      </c>
      <c r="CQ610" t="str">
        <f>""</f>
        <v/>
      </c>
    </row>
    <row r="611" spans="1:96" x14ac:dyDescent="0.2">
      <c r="A611" t="s">
        <v>7026</v>
      </c>
      <c r="B611" t="s">
        <v>96</v>
      </c>
      <c r="C611" s="1">
        <v>44098</v>
      </c>
      <c r="D611" s="1">
        <v>44105</v>
      </c>
      <c r="F611" t="s">
        <v>97</v>
      </c>
      <c r="G611" t="str">
        <f>"Physical Therapist"</f>
        <v>Physical Therapist</v>
      </c>
      <c r="H611" t="s">
        <v>12202</v>
      </c>
      <c r="I611" t="s">
        <v>1740</v>
      </c>
      <c r="J611" t="s">
        <v>98</v>
      </c>
      <c r="K611" s="1">
        <v>44183</v>
      </c>
      <c r="L611" s="1">
        <v>45277</v>
      </c>
      <c r="M611">
        <v>40</v>
      </c>
      <c r="N611">
        <v>10</v>
      </c>
      <c r="O611">
        <v>10</v>
      </c>
      <c r="P611">
        <v>10</v>
      </c>
      <c r="Q611">
        <v>0</v>
      </c>
      <c r="R611">
        <v>0</v>
      </c>
      <c r="S611">
        <v>10</v>
      </c>
      <c r="T611" t="s">
        <v>4727</v>
      </c>
      <c r="U611" t="str">
        <f>""</f>
        <v/>
      </c>
      <c r="V611" t="s">
        <v>4728</v>
      </c>
      <c r="W611" t="str">
        <f>""</f>
        <v/>
      </c>
      <c r="X611" t="s">
        <v>1877</v>
      </c>
      <c r="Y611" t="s">
        <v>190</v>
      </c>
      <c r="Z611" s="3">
        <v>11218</v>
      </c>
      <c r="AA611" t="s">
        <v>101</v>
      </c>
      <c r="AC611" s="4" t="str">
        <f>"+17183366600"</f>
        <v>+17183366600</v>
      </c>
      <c r="AE611" t="str">
        <f>"561320"</f>
        <v>561320</v>
      </c>
      <c r="AF611" t="s">
        <v>4729</v>
      </c>
      <c r="AG611" t="s">
        <v>4730</v>
      </c>
      <c r="AI611" t="s">
        <v>4731</v>
      </c>
      <c r="AJ611" t="s">
        <v>4732</v>
      </c>
      <c r="AK611" t="str">
        <f>""</f>
        <v/>
      </c>
      <c r="AL611" t="s">
        <v>1791</v>
      </c>
      <c r="AM611" t="s">
        <v>190</v>
      </c>
      <c r="AN611" s="3">
        <v>11218</v>
      </c>
      <c r="AO611" t="s">
        <v>101</v>
      </c>
      <c r="AQ611" t="str">
        <f>"+17183366600"</f>
        <v>+17183366600</v>
      </c>
      <c r="AR611">
        <v>4453</v>
      </c>
      <c r="AS611" t="s">
        <v>4733</v>
      </c>
      <c r="AT611" t="s">
        <v>102</v>
      </c>
      <c r="AU611" t="str">
        <f>""</f>
        <v/>
      </c>
      <c r="AV611" t="str">
        <f>""</f>
        <v/>
      </c>
      <c r="AW611" t="str">
        <f>""</f>
        <v/>
      </c>
      <c r="AX611" t="str">
        <f>""</f>
        <v/>
      </c>
      <c r="AY611" t="str">
        <f>""</f>
        <v/>
      </c>
      <c r="AZ611" t="str">
        <f>""</f>
        <v/>
      </c>
      <c r="BA611" t="str">
        <f>""</f>
        <v/>
      </c>
      <c r="BC611" t="str">
        <f>""</f>
        <v/>
      </c>
      <c r="BD611" t="str">
        <f>""</f>
        <v/>
      </c>
      <c r="BE611" t="str">
        <f>""</f>
        <v/>
      </c>
      <c r="BF611" t="str">
        <f>""</f>
        <v/>
      </c>
      <c r="BG611" t="str">
        <f>""</f>
        <v/>
      </c>
      <c r="BH611" t="str">
        <f>""</f>
        <v/>
      </c>
      <c r="BI611" t="str">
        <f>""</f>
        <v/>
      </c>
      <c r="BJ611" t="str">
        <f>""</f>
        <v/>
      </c>
      <c r="BK611">
        <v>40</v>
      </c>
      <c r="BL611" t="s">
        <v>107</v>
      </c>
      <c r="BM611" t="str">
        <f>"Northern Riverview Healthcare Center"</f>
        <v>Northern Riverview Healthcare Center</v>
      </c>
      <c r="BN611" t="s">
        <v>7027</v>
      </c>
      <c r="BP611" t="s">
        <v>7028</v>
      </c>
      <c r="BQ611" t="s">
        <v>1445</v>
      </c>
      <c r="BR611" t="s">
        <v>190</v>
      </c>
      <c r="BS611" s="5">
        <v>10927</v>
      </c>
      <c r="BT611" s="2">
        <v>35.25</v>
      </c>
      <c r="BV611" t="s">
        <v>210</v>
      </c>
      <c r="BW611" s="2">
        <v>35.25</v>
      </c>
      <c r="BX611" t="s">
        <v>210</v>
      </c>
      <c r="BZ611" t="s">
        <v>191</v>
      </c>
      <c r="CA611" t="str">
        <f t="shared" si="37"/>
        <v>7/1/2020 - 6/30/2021</v>
      </c>
      <c r="CF611">
        <v>1</v>
      </c>
      <c r="CG611" t="s">
        <v>98</v>
      </c>
      <c r="CH611" t="s">
        <v>206</v>
      </c>
      <c r="CI611" t="s">
        <v>206</v>
      </c>
      <c r="CL611" t="s">
        <v>108</v>
      </c>
      <c r="CM611" t="s">
        <v>109</v>
      </c>
      <c r="CN611" t="str">
        <f>"SCHABES"</f>
        <v>SCHABES</v>
      </c>
      <c r="CO611" t="str">
        <f>"STEVEN"</f>
        <v>STEVEN</v>
      </c>
      <c r="CP611" t="str">
        <f>""</f>
        <v/>
      </c>
      <c r="CQ611" t="str">
        <f>"Grandison Management"</f>
        <v>Grandison Management</v>
      </c>
      <c r="CR611" t="s">
        <v>4734</v>
      </c>
    </row>
    <row r="612" spans="1:96" x14ac:dyDescent="0.2">
      <c r="A612" t="s">
        <v>7029</v>
      </c>
      <c r="B612" t="s">
        <v>96</v>
      </c>
      <c r="C612" s="1">
        <v>44098</v>
      </c>
      <c r="D612" s="1">
        <v>44105</v>
      </c>
      <c r="F612" t="s">
        <v>97</v>
      </c>
      <c r="G612" t="str">
        <f>"LEAD DATA ENGINEER"</f>
        <v>LEAD DATA ENGINEER</v>
      </c>
      <c r="H612" t="s">
        <v>12169</v>
      </c>
      <c r="I612" t="s">
        <v>124</v>
      </c>
      <c r="J612" t="s">
        <v>98</v>
      </c>
      <c r="K612" s="1">
        <v>44116</v>
      </c>
      <c r="L612" s="1">
        <v>45210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 t="s">
        <v>5515</v>
      </c>
      <c r="U612" t="str">
        <f>""</f>
        <v/>
      </c>
      <c r="V612" t="s">
        <v>5516</v>
      </c>
      <c r="W612" t="str">
        <f>""</f>
        <v/>
      </c>
      <c r="X612" t="s">
        <v>5517</v>
      </c>
      <c r="Y612" t="s">
        <v>857</v>
      </c>
      <c r="Z612" s="3">
        <v>2865</v>
      </c>
      <c r="AA612" t="s">
        <v>101</v>
      </c>
      <c r="AC612" s="4" t="str">
        <f>"+14017701621"</f>
        <v>+14017701621</v>
      </c>
      <c r="AE612" t="str">
        <f>"524114"</f>
        <v>524114</v>
      </c>
      <c r="AF612" t="s">
        <v>5518</v>
      </c>
      <c r="AG612" t="s">
        <v>5519</v>
      </c>
      <c r="AH612" t="s">
        <v>5520</v>
      </c>
      <c r="AI612" t="s">
        <v>5521</v>
      </c>
      <c r="AJ612" t="s">
        <v>5522</v>
      </c>
      <c r="AK612" t="str">
        <f>"695 GEORGE WASHINGTON HWY, MAIL CODE HR695"</f>
        <v>695 GEORGE WASHINGTON HWY, MAIL CODE HR695</v>
      </c>
      <c r="AL612" t="s">
        <v>5517</v>
      </c>
      <c r="AM612" t="s">
        <v>857</v>
      </c>
      <c r="AN612" s="3">
        <v>2865</v>
      </c>
      <c r="AO612" t="s">
        <v>101</v>
      </c>
      <c r="AQ612" t="str">
        <f>"+14017701621"</f>
        <v>+14017701621</v>
      </c>
      <c r="AS612" t="s">
        <v>5523</v>
      </c>
      <c r="AT612" t="s">
        <v>107</v>
      </c>
      <c r="AU612" t="str">
        <f>"WEINTRAUB"</f>
        <v>WEINTRAUB</v>
      </c>
      <c r="AV612" t="str">
        <f>"FREDDI"</f>
        <v>FREDDI</v>
      </c>
      <c r="AW612" t="str">
        <f>"M."</f>
        <v>M.</v>
      </c>
      <c r="AX612" t="str">
        <f>"1400 BROADWAY"</f>
        <v>1400 BROADWAY</v>
      </c>
      <c r="AY612" t="str">
        <f>"9TH FL"</f>
        <v>9TH FL</v>
      </c>
      <c r="AZ612" t="str">
        <f>"NEW YORK"</f>
        <v>NEW YORK</v>
      </c>
      <c r="BA612" t="str">
        <f>"NY"</f>
        <v>NY</v>
      </c>
      <c r="BB612" s="3">
        <v>10018</v>
      </c>
      <c r="BC612" t="str">
        <f t="shared" ref="BC612:BC648" si="38">"UNITED STATES OF AMERICA"</f>
        <v>UNITED STATES OF AMERICA</v>
      </c>
      <c r="BD612" t="str">
        <f>""</f>
        <v/>
      </c>
      <c r="BE612" t="str">
        <f>"+12126888555"</f>
        <v>+12126888555</v>
      </c>
      <c r="BF612" t="str">
        <f>""</f>
        <v/>
      </c>
      <c r="BG612" t="str">
        <f>"MARK.GARCERAN@FRAGOMEN.COM"</f>
        <v>MARK.GARCERAN@FRAGOMEN.COM</v>
      </c>
      <c r="BH612" t="str">
        <f>"FRAGOMEN, DEL REY, BERNSEN &amp; LOEWY, LLP"</f>
        <v>FRAGOMEN, DEL REY, BERNSEN &amp; LOEWY, LLP</v>
      </c>
      <c r="BI612" t="str">
        <f>"NY"</f>
        <v>NY</v>
      </c>
      <c r="BJ612" t="str">
        <f>"NEW YORK STATE COURT OF APPEALS"</f>
        <v>NEW YORK STATE COURT OF APPEALS</v>
      </c>
      <c r="BK612">
        <v>1</v>
      </c>
      <c r="BL612" t="s">
        <v>102</v>
      </c>
      <c r="BM612" t="str">
        <f>""</f>
        <v/>
      </c>
      <c r="BN612" t="s">
        <v>7030</v>
      </c>
      <c r="BO612" t="s">
        <v>7031</v>
      </c>
      <c r="BP612" t="s">
        <v>2225</v>
      </c>
      <c r="BQ612" t="s">
        <v>547</v>
      </c>
      <c r="BR612" t="s">
        <v>280</v>
      </c>
      <c r="BS612" s="5">
        <v>6156</v>
      </c>
      <c r="BT612" s="2">
        <v>135000</v>
      </c>
      <c r="BV612" t="s">
        <v>105</v>
      </c>
      <c r="BW612" s="2">
        <v>101296</v>
      </c>
      <c r="BX612" t="s">
        <v>105</v>
      </c>
      <c r="BZ612" t="s">
        <v>123</v>
      </c>
      <c r="CA612" t="str">
        <f t="shared" si="37"/>
        <v>7/1/2020 - 6/30/2021</v>
      </c>
      <c r="CF612">
        <v>2</v>
      </c>
      <c r="CG612" t="s">
        <v>98</v>
      </c>
      <c r="CH612" t="s">
        <v>206</v>
      </c>
      <c r="CI612" t="s">
        <v>206</v>
      </c>
      <c r="CL612" t="s">
        <v>108</v>
      </c>
      <c r="CM612" t="s">
        <v>109</v>
      </c>
      <c r="CN612" t="str">
        <f>"GARCERAN"</f>
        <v>GARCERAN</v>
      </c>
      <c r="CO612" t="str">
        <f>"MARK"</f>
        <v>MARK</v>
      </c>
      <c r="CP612" t="str">
        <f>""</f>
        <v/>
      </c>
      <c r="CQ612" t="str">
        <f>"FRAGOMEN, DEL REY, BERNSEN &amp; LOEWY, LLP"</f>
        <v>FRAGOMEN, DEL REY, BERNSEN &amp; LOEWY, LLP</v>
      </c>
      <c r="CR612" t="s">
        <v>5526</v>
      </c>
    </row>
    <row r="613" spans="1:96" x14ac:dyDescent="0.2">
      <c r="A613" t="s">
        <v>7035</v>
      </c>
      <c r="B613" t="s">
        <v>96</v>
      </c>
      <c r="C613" s="1">
        <v>44098</v>
      </c>
      <c r="D613" s="1">
        <v>44105</v>
      </c>
      <c r="F613" t="s">
        <v>97</v>
      </c>
      <c r="G613" t="str">
        <f>"Speech Language Pathologist"</f>
        <v>Speech Language Pathologist</v>
      </c>
      <c r="H613" t="s">
        <v>12270</v>
      </c>
      <c r="I613" t="s">
        <v>3480</v>
      </c>
      <c r="J613" t="s">
        <v>98</v>
      </c>
      <c r="K613" s="1">
        <v>44109</v>
      </c>
      <c r="L613" s="1">
        <v>45203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7036</v>
      </c>
      <c r="U613" t="str">
        <f>""</f>
        <v/>
      </c>
      <c r="V613" t="s">
        <v>7037</v>
      </c>
      <c r="W613" t="str">
        <f>""</f>
        <v/>
      </c>
      <c r="X613" t="s">
        <v>1008</v>
      </c>
      <c r="Y613" t="s">
        <v>195</v>
      </c>
      <c r="Z613" s="3">
        <v>21205</v>
      </c>
      <c r="AA613" t="s">
        <v>101</v>
      </c>
      <c r="AC613" s="4" t="str">
        <f>"+14439235804"</f>
        <v>+14439235804</v>
      </c>
      <c r="AE613" t="str">
        <f>"62111"</f>
        <v>62111</v>
      </c>
      <c r="AF613" t="s">
        <v>3320</v>
      </c>
      <c r="AG613" t="s">
        <v>1944</v>
      </c>
      <c r="AH613" t="s">
        <v>2569</v>
      </c>
      <c r="AI613" t="s">
        <v>1879</v>
      </c>
      <c r="AJ613" t="s">
        <v>7038</v>
      </c>
      <c r="AK613" t="str">
        <f>""</f>
        <v/>
      </c>
      <c r="AL613" t="s">
        <v>1008</v>
      </c>
      <c r="AM613" t="s">
        <v>195</v>
      </c>
      <c r="AN613" s="3">
        <v>21205</v>
      </c>
      <c r="AO613" t="s">
        <v>101</v>
      </c>
      <c r="AQ613" t="str">
        <f>"+14439235804"</f>
        <v>+14439235804</v>
      </c>
      <c r="AS613" t="s">
        <v>7039</v>
      </c>
      <c r="AT613" t="s">
        <v>107</v>
      </c>
      <c r="AU613" t="str">
        <f>"Sutherland"</f>
        <v>Sutherland</v>
      </c>
      <c r="AV613" t="str">
        <f>"Emma"</f>
        <v>Emma</v>
      </c>
      <c r="AW613" t="str">
        <f>"Jane"</f>
        <v>Jane</v>
      </c>
      <c r="AX613" t="str">
        <f>"P.O. Box 5279"</f>
        <v>P.O. Box 5279</v>
      </c>
      <c r="AY613" t="str">
        <f>""</f>
        <v/>
      </c>
      <c r="AZ613" t="str">
        <f>"Herndon"</f>
        <v>Herndon</v>
      </c>
      <c r="BA613" t="str">
        <f>"VA"</f>
        <v>VA</v>
      </c>
      <c r="BB613" s="3">
        <v>20172</v>
      </c>
      <c r="BC613" t="str">
        <f t="shared" si="38"/>
        <v>UNITED STATES OF AMERICA</v>
      </c>
      <c r="BD613" t="str">
        <f>""</f>
        <v/>
      </c>
      <c r="BE613" t="str">
        <f>"+17038850638"</f>
        <v>+17038850638</v>
      </c>
      <c r="BF613" t="str">
        <f>""</f>
        <v/>
      </c>
      <c r="BG613" t="str">
        <f>"esutherland@salvettilaw.com"</f>
        <v>esutherland@salvettilaw.com</v>
      </c>
      <c r="BH613" t="str">
        <f>"The Salvetti Law Group, PLLC"</f>
        <v>The Salvetti Law Group, PLLC</v>
      </c>
      <c r="BI613" t="str">
        <f>"VA"</f>
        <v>VA</v>
      </c>
      <c r="BJ613" t="str">
        <f>"Supreme Court of Virginia"</f>
        <v>Supreme Court of Virginia</v>
      </c>
      <c r="BK613">
        <v>1</v>
      </c>
      <c r="BL613" t="s">
        <v>102</v>
      </c>
      <c r="BM613" t="str">
        <f>""</f>
        <v/>
      </c>
      <c r="BN613" t="s">
        <v>7040</v>
      </c>
      <c r="BP613" t="s">
        <v>1008</v>
      </c>
      <c r="BQ613" t="s">
        <v>1273</v>
      </c>
      <c r="BR613" t="s">
        <v>195</v>
      </c>
      <c r="BS613" s="5">
        <v>21211</v>
      </c>
      <c r="BT613" s="2">
        <v>60000</v>
      </c>
      <c r="BV613" t="s">
        <v>105</v>
      </c>
      <c r="BW613" s="2">
        <v>43930</v>
      </c>
      <c r="BX613" t="s">
        <v>105</v>
      </c>
      <c r="BZ613" t="s">
        <v>191</v>
      </c>
      <c r="CA613" t="str">
        <f t="shared" si="37"/>
        <v>7/1/2020 - 6/30/2021</v>
      </c>
      <c r="CF613">
        <v>3</v>
      </c>
      <c r="CG613" t="s">
        <v>98</v>
      </c>
      <c r="CH613" t="s">
        <v>206</v>
      </c>
      <c r="CI613" t="s">
        <v>206</v>
      </c>
      <c r="CL613" t="s">
        <v>108</v>
      </c>
      <c r="CM613" t="s">
        <v>109</v>
      </c>
      <c r="CN613" t="str">
        <f>""</f>
        <v/>
      </c>
      <c r="CO613" t="str">
        <f>""</f>
        <v/>
      </c>
      <c r="CP613" t="str">
        <f>""</f>
        <v/>
      </c>
      <c r="CQ613" t="str">
        <f>""</f>
        <v/>
      </c>
    </row>
    <row r="614" spans="1:96" x14ac:dyDescent="0.2">
      <c r="A614" t="s">
        <v>7063</v>
      </c>
      <c r="B614" t="s">
        <v>96</v>
      </c>
      <c r="C614" s="1">
        <v>44098</v>
      </c>
      <c r="D614" s="1">
        <v>44105</v>
      </c>
      <c r="F614" t="s">
        <v>97</v>
      </c>
      <c r="G614" t="str">
        <f>"Sr. Manager, Cloud Engineering"</f>
        <v>Sr. Manager, Cloud Engineering</v>
      </c>
      <c r="H614" t="s">
        <v>12171</v>
      </c>
      <c r="I614" t="s">
        <v>2140</v>
      </c>
      <c r="J614" t="s">
        <v>98</v>
      </c>
      <c r="K614" s="1">
        <v>44246</v>
      </c>
      <c r="L614" s="1">
        <v>45340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 t="s">
        <v>7064</v>
      </c>
      <c r="U614" t="str">
        <f>"Fanatics"</f>
        <v>Fanatics</v>
      </c>
      <c r="V614" t="s">
        <v>7065</v>
      </c>
      <c r="W614" t="str">
        <f>""</f>
        <v/>
      </c>
      <c r="X614" t="s">
        <v>1241</v>
      </c>
      <c r="Y614" t="s">
        <v>577</v>
      </c>
      <c r="Z614" s="3">
        <v>32256</v>
      </c>
      <c r="AA614" t="s">
        <v>101</v>
      </c>
      <c r="AC614" s="4" t="str">
        <f>"+19044214715"</f>
        <v>+19044214715</v>
      </c>
      <c r="AE614" t="str">
        <f>"45411"</f>
        <v>45411</v>
      </c>
      <c r="AF614" t="s">
        <v>7066</v>
      </c>
      <c r="AG614" t="s">
        <v>2737</v>
      </c>
      <c r="AI614" t="s">
        <v>2878</v>
      </c>
      <c r="AJ614" t="s">
        <v>7065</v>
      </c>
      <c r="AK614" t="str">
        <f>""</f>
        <v/>
      </c>
      <c r="AL614" t="s">
        <v>1241</v>
      </c>
      <c r="AM614" t="s">
        <v>577</v>
      </c>
      <c r="AN614" s="3">
        <v>32256</v>
      </c>
      <c r="AO614" t="s">
        <v>101</v>
      </c>
      <c r="AQ614" t="str">
        <f>"+19044214715"</f>
        <v>+19044214715</v>
      </c>
      <c r="AS614" t="s">
        <v>6554</v>
      </c>
      <c r="AT614" t="s">
        <v>107</v>
      </c>
      <c r="AU614" t="str">
        <f>"Trinh"</f>
        <v>Trinh</v>
      </c>
      <c r="AV614" t="str">
        <f>"Nadine"</f>
        <v>Nadine</v>
      </c>
      <c r="AW614" t="str">
        <f>"T"</f>
        <v>T</v>
      </c>
      <c r="AX614" t="str">
        <f>"44 South Broadway"</f>
        <v>44 South Broadway</v>
      </c>
      <c r="AY614" t="str">
        <f>"14th Floor"</f>
        <v>14th Floor</v>
      </c>
      <c r="AZ614" t="str">
        <f>"White Plains"</f>
        <v>White Plains</v>
      </c>
      <c r="BA614" t="str">
        <f>"NY"</f>
        <v>NY</v>
      </c>
      <c r="BB614" s="3">
        <v>10601</v>
      </c>
      <c r="BC614" t="str">
        <f t="shared" si="38"/>
        <v>UNITED STATES OF AMERICA</v>
      </c>
      <c r="BD614" t="str">
        <f>""</f>
        <v/>
      </c>
      <c r="BE614" t="str">
        <f>"+19148726910"</f>
        <v>+19148726910</v>
      </c>
      <c r="BF614" t="str">
        <f>""</f>
        <v/>
      </c>
      <c r="BG614" t="str">
        <f>"trinhn@jacksonlewis.com"</f>
        <v>trinhn@jacksonlewis.com</v>
      </c>
      <c r="BH614" t="str">
        <f>"Jackson Lewis, P.C."</f>
        <v>Jackson Lewis, P.C.</v>
      </c>
      <c r="BI614" t="str">
        <f>"NY"</f>
        <v>NY</v>
      </c>
      <c r="BJ614" t="str">
        <f>"Supreme Court"</f>
        <v>Supreme Court</v>
      </c>
      <c r="BK614">
        <v>1</v>
      </c>
      <c r="BL614" t="s">
        <v>102</v>
      </c>
      <c r="BM614" t="str">
        <f>""</f>
        <v/>
      </c>
      <c r="BN614" t="s">
        <v>5929</v>
      </c>
      <c r="BO614" t="s">
        <v>5930</v>
      </c>
      <c r="BP614" t="s">
        <v>1151</v>
      </c>
      <c r="BQ614" t="s">
        <v>994</v>
      </c>
      <c r="BR614" t="s">
        <v>141</v>
      </c>
      <c r="BS614" s="5">
        <v>94403</v>
      </c>
      <c r="BT614" s="2">
        <v>150987</v>
      </c>
      <c r="BU614" s="2">
        <v>185000</v>
      </c>
      <c r="BV614" t="s">
        <v>105</v>
      </c>
      <c r="BW614" s="2">
        <v>150987</v>
      </c>
      <c r="BX614" t="s">
        <v>105</v>
      </c>
      <c r="BZ614" t="s">
        <v>167</v>
      </c>
      <c r="CA614" t="str">
        <f t="shared" si="37"/>
        <v>7/1/2020 - 6/30/2021</v>
      </c>
      <c r="CF614">
        <v>2</v>
      </c>
      <c r="CG614" t="s">
        <v>98</v>
      </c>
      <c r="CH614" t="s">
        <v>206</v>
      </c>
      <c r="CI614" t="s">
        <v>206</v>
      </c>
      <c r="CL614" t="s">
        <v>108</v>
      </c>
      <c r="CM614" t="s">
        <v>109</v>
      </c>
      <c r="CN614" t="str">
        <f>"N/A"</f>
        <v>N/A</v>
      </c>
      <c r="CO614" t="str">
        <f>"N/A"</f>
        <v>N/A</v>
      </c>
      <c r="CP614" t="str">
        <f>""</f>
        <v/>
      </c>
      <c r="CQ614" t="str">
        <f>"Jackson Lewis, P.C."</f>
        <v>Jackson Lewis, P.C.</v>
      </c>
      <c r="CR614" t="s">
        <v>5608</v>
      </c>
    </row>
    <row r="615" spans="1:96" x14ac:dyDescent="0.2">
      <c r="A615" t="s">
        <v>7099</v>
      </c>
      <c r="B615" t="s">
        <v>96</v>
      </c>
      <c r="C615" s="1">
        <v>44098</v>
      </c>
      <c r="D615" s="1">
        <v>44105</v>
      </c>
      <c r="F615" t="s">
        <v>97</v>
      </c>
      <c r="G615" t="str">
        <f>"Software Development Senior Specialist"</f>
        <v>Software Development Senior Specialist</v>
      </c>
      <c r="H615" t="s">
        <v>12169</v>
      </c>
      <c r="I615" t="s">
        <v>124</v>
      </c>
      <c r="J615" t="s">
        <v>98</v>
      </c>
      <c r="K615" s="1">
        <v>44156</v>
      </c>
      <c r="L615" s="1">
        <v>45250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 t="s">
        <v>4873</v>
      </c>
      <c r="U615" t="str">
        <f>""</f>
        <v/>
      </c>
      <c r="V615" t="s">
        <v>4874</v>
      </c>
      <c r="W615" t="str">
        <f>""</f>
        <v/>
      </c>
      <c r="X615" t="s">
        <v>951</v>
      </c>
      <c r="Y615" t="s">
        <v>171</v>
      </c>
      <c r="Z615" s="3">
        <v>2129</v>
      </c>
      <c r="AA615" t="s">
        <v>101</v>
      </c>
      <c r="AC615" s="4" t="str">
        <f>"+16175171483"</f>
        <v>+16175171483</v>
      </c>
      <c r="AE615" t="str">
        <f>"541511"</f>
        <v>541511</v>
      </c>
      <c r="AF615" t="s">
        <v>4875</v>
      </c>
      <c r="AG615" t="s">
        <v>4876</v>
      </c>
      <c r="AI615" t="s">
        <v>4877</v>
      </c>
      <c r="AJ615" t="s">
        <v>4874</v>
      </c>
      <c r="AK615" t="str">
        <f>""</f>
        <v/>
      </c>
      <c r="AL615" t="s">
        <v>951</v>
      </c>
      <c r="AM615" t="s">
        <v>171</v>
      </c>
      <c r="AN615" s="3">
        <v>2129</v>
      </c>
      <c r="AO615" t="s">
        <v>101</v>
      </c>
      <c r="AQ615" t="str">
        <f>"+16175171483"</f>
        <v>+16175171483</v>
      </c>
      <c r="AS615" t="s">
        <v>2189</v>
      </c>
      <c r="AT615" t="s">
        <v>107</v>
      </c>
      <c r="AU615" t="str">
        <f>"DROZDOWSKI"</f>
        <v>DROZDOWSKI</v>
      </c>
      <c r="AV615" t="str">
        <f>"ANDREW"</f>
        <v>ANDREW</v>
      </c>
      <c r="AW615" t="str">
        <f>"G"</f>
        <v>G</v>
      </c>
      <c r="AX615" t="str">
        <f>"8529 SIX FORKS ROAD, FORUM IV"</f>
        <v>8529 SIX FORKS ROAD, FORUM IV</v>
      </c>
      <c r="AY615" t="str">
        <f>"SUITE 600"</f>
        <v>SUITE 600</v>
      </c>
      <c r="AZ615" t="str">
        <f>"RALEIGH"</f>
        <v>RALEIGH</v>
      </c>
      <c r="BA615" t="str">
        <f>"NC"</f>
        <v>NC</v>
      </c>
      <c r="BB615" s="3">
        <v>27615</v>
      </c>
      <c r="BC615" t="str">
        <f t="shared" si="38"/>
        <v>UNITED STATES OF AMERICA</v>
      </c>
      <c r="BD615" t="str">
        <f>""</f>
        <v/>
      </c>
      <c r="BE615" t="str">
        <f>"+19197879700"</f>
        <v>+19197879700</v>
      </c>
      <c r="BF615" t="str">
        <f>""</f>
        <v/>
      </c>
      <c r="BG615" t="str">
        <f>"LAURA.FOGGER@OGLETREEDEAKINS.COM"</f>
        <v>LAURA.FOGGER@OGLETREEDEAKINS.COM</v>
      </c>
      <c r="BH615" t="str">
        <f>"OGLETREE, DEAKINS, NASH, SMOAK, AND STEWART, P.C."</f>
        <v>OGLETREE, DEAKINS, NASH, SMOAK, AND STEWART, P.C.</v>
      </c>
      <c r="BI615" t="str">
        <f>"NY"</f>
        <v>NY</v>
      </c>
      <c r="BJ615" t="str">
        <f>"NEW YORK SUPREME COURT"</f>
        <v>NEW YORK SUPREME COURT</v>
      </c>
      <c r="BK615">
        <v>1</v>
      </c>
      <c r="BL615" t="s">
        <v>107</v>
      </c>
      <c r="BM615" t="str">
        <f>"Citibank"</f>
        <v>Citibank</v>
      </c>
      <c r="BN615" t="s">
        <v>4878</v>
      </c>
      <c r="BP615" t="s">
        <v>483</v>
      </c>
      <c r="BQ615" t="s">
        <v>484</v>
      </c>
      <c r="BR615" t="s">
        <v>114</v>
      </c>
      <c r="BS615" s="5">
        <v>75039</v>
      </c>
      <c r="BT615" s="2">
        <v>104427</v>
      </c>
      <c r="BU615" s="2">
        <v>134427</v>
      </c>
      <c r="BV615" t="s">
        <v>105</v>
      </c>
      <c r="BW615" s="2">
        <v>104427</v>
      </c>
      <c r="BX615" t="s">
        <v>105</v>
      </c>
      <c r="CA615" t="str">
        <f>""</f>
        <v/>
      </c>
      <c r="CB615" t="s">
        <v>244</v>
      </c>
      <c r="CC615">
        <v>2020</v>
      </c>
      <c r="CD615" t="s">
        <v>569</v>
      </c>
      <c r="CE615" t="s">
        <v>4879</v>
      </c>
      <c r="CF615">
        <v>2</v>
      </c>
      <c r="CG615" t="s">
        <v>98</v>
      </c>
      <c r="CH615" t="s">
        <v>206</v>
      </c>
      <c r="CI615" t="s">
        <v>206</v>
      </c>
      <c r="CL615" t="s">
        <v>108</v>
      </c>
      <c r="CM615" t="s">
        <v>109</v>
      </c>
      <c r="CN615" t="str">
        <f>"Drozdowski"</f>
        <v>Drozdowski</v>
      </c>
      <c r="CO615" t="str">
        <f>"Andrew"</f>
        <v>Andrew</v>
      </c>
      <c r="CP615" t="str">
        <f>"G."</f>
        <v>G.</v>
      </c>
      <c r="CQ615" t="str">
        <f>"Ogletree, Deakins, Nash, Smoak &amp; Stewart, P.C."</f>
        <v>Ogletree, Deakins, Nash, Smoak &amp; Stewart, P.C.</v>
      </c>
      <c r="CR615" t="s">
        <v>4880</v>
      </c>
    </row>
    <row r="616" spans="1:96" x14ac:dyDescent="0.2">
      <c r="A616" t="s">
        <v>7134</v>
      </c>
      <c r="B616" t="s">
        <v>96</v>
      </c>
      <c r="C616" s="1">
        <v>44098</v>
      </c>
      <c r="D616" s="1">
        <v>44105</v>
      </c>
      <c r="F616" t="s">
        <v>97</v>
      </c>
      <c r="G616" t="str">
        <f>"DATA ENGINEER II"</f>
        <v>DATA ENGINEER II</v>
      </c>
      <c r="H616" t="s">
        <v>12168</v>
      </c>
      <c r="I616" t="s">
        <v>249</v>
      </c>
      <c r="J616" t="s">
        <v>98</v>
      </c>
      <c r="K616" s="1">
        <v>44109</v>
      </c>
      <c r="L616" s="1">
        <v>45203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 t="s">
        <v>440</v>
      </c>
      <c r="U616" t="str">
        <f>""</f>
        <v/>
      </c>
      <c r="V616" t="s">
        <v>809</v>
      </c>
      <c r="W616" t="str">
        <f>"SUITE 500"</f>
        <v>SUITE 500</v>
      </c>
      <c r="X616" t="s">
        <v>433</v>
      </c>
      <c r="Y616" t="s">
        <v>176</v>
      </c>
      <c r="Z616" s="3">
        <v>98121</v>
      </c>
      <c r="AA616" t="s">
        <v>101</v>
      </c>
      <c r="AC616" s="4" t="str">
        <f>"+12062661000"</f>
        <v>+12062661000</v>
      </c>
      <c r="AE616" t="str">
        <f>"454110"</f>
        <v>454110</v>
      </c>
      <c r="AF616" t="s">
        <v>442</v>
      </c>
      <c r="AG616" t="s">
        <v>443</v>
      </c>
      <c r="AH616" t="s">
        <v>108</v>
      </c>
      <c r="AI616" t="s">
        <v>434</v>
      </c>
      <c r="AJ616" t="s">
        <v>809</v>
      </c>
      <c r="AK616" t="str">
        <f>"SUITE 500"</f>
        <v>SUITE 500</v>
      </c>
      <c r="AL616" t="s">
        <v>433</v>
      </c>
      <c r="AM616" t="s">
        <v>176</v>
      </c>
      <c r="AN616" s="3">
        <v>98121</v>
      </c>
      <c r="AO616" t="s">
        <v>101</v>
      </c>
      <c r="AQ616" t="str">
        <f>"+12062661000"</f>
        <v>+12062661000</v>
      </c>
      <c r="AS616" t="s">
        <v>263</v>
      </c>
      <c r="AT616" t="s">
        <v>107</v>
      </c>
      <c r="AU616" t="str">
        <f>"MARANCI"</f>
        <v>MARANCI</v>
      </c>
      <c r="AV616" t="str">
        <f>"DANIEL"</f>
        <v>DANIEL</v>
      </c>
      <c r="AW616" t="str">
        <f>"N/A"</f>
        <v>N/A</v>
      </c>
      <c r="AX616" t="str">
        <f>"100 HIGH STREET"</f>
        <v>100 HIGH STREET</v>
      </c>
      <c r="AY616" t="str">
        <f>"3RD FLOOR C#5312485"</f>
        <v>3RD FLOOR C#5312485</v>
      </c>
      <c r="AZ616" t="str">
        <f>"BOSTON"</f>
        <v>BOSTON</v>
      </c>
      <c r="BA616" t="str">
        <f>"MA"</f>
        <v>MA</v>
      </c>
      <c r="BB616" s="3">
        <v>2110</v>
      </c>
      <c r="BC616" t="str">
        <f t="shared" si="38"/>
        <v>UNITED STATES OF AMERICA</v>
      </c>
      <c r="BD616" t="str">
        <f>""</f>
        <v/>
      </c>
      <c r="BE616" t="str">
        <f>"+16175740400"</f>
        <v>+16175740400</v>
      </c>
      <c r="BF616" t="str">
        <f>""</f>
        <v/>
      </c>
      <c r="BG616" t="str">
        <f>"AMAZONINDIA@FRAGOMEN.COM"</f>
        <v>AMAZONINDIA@FRAGOMEN.COM</v>
      </c>
      <c r="BH616" t="str">
        <f>"FRAGOMEN, DEL REY, BERNSEN &amp; LOEWY, LLP"</f>
        <v>FRAGOMEN, DEL REY, BERNSEN &amp; LOEWY, LLP</v>
      </c>
      <c r="BI616" t="str">
        <f>"MA"</f>
        <v>MA</v>
      </c>
      <c r="BJ616" t="str">
        <f>"SUPREME JUDICIAL COURT"</f>
        <v>SUPREME JUDICIAL COURT</v>
      </c>
      <c r="BK616">
        <v>1</v>
      </c>
      <c r="BL616" t="s">
        <v>102</v>
      </c>
      <c r="BM616" t="str">
        <f>""</f>
        <v/>
      </c>
      <c r="BN616" t="s">
        <v>968</v>
      </c>
      <c r="BP616" t="s">
        <v>261</v>
      </c>
      <c r="BQ616" t="s">
        <v>183</v>
      </c>
      <c r="BR616" t="s">
        <v>176</v>
      </c>
      <c r="BS616" s="5">
        <v>98121</v>
      </c>
      <c r="BT616" s="2">
        <v>165000</v>
      </c>
      <c r="BV616" t="s">
        <v>105</v>
      </c>
      <c r="BW616" s="2">
        <v>77875</v>
      </c>
      <c r="BX616" t="s">
        <v>105</v>
      </c>
      <c r="BZ616" t="s">
        <v>167</v>
      </c>
      <c r="CA616" t="str">
        <f t="shared" ref="CA616:CA626" si="39">"7/1/2020 - 6/30/2021"</f>
        <v>7/1/2020 - 6/30/2021</v>
      </c>
      <c r="CF616">
        <v>2</v>
      </c>
      <c r="CG616" t="s">
        <v>98</v>
      </c>
      <c r="CH616" t="s">
        <v>206</v>
      </c>
      <c r="CI616" t="s">
        <v>206</v>
      </c>
      <c r="CL616" t="s">
        <v>108</v>
      </c>
      <c r="CM616" t="s">
        <v>109</v>
      </c>
      <c r="CN616" t="str">
        <f>"SUNNY"</f>
        <v>SUNNY</v>
      </c>
      <c r="CO616" t="str">
        <f>"JASMIN"</f>
        <v>JASMIN</v>
      </c>
      <c r="CP616" t="str">
        <f>"N/A"</f>
        <v>N/A</v>
      </c>
      <c r="CQ616" t="str">
        <f>"FRAGOMEN, DEL REY, BERNSEN &amp; LOEWY, LLP"</f>
        <v>FRAGOMEN, DEL REY, BERNSEN &amp; LOEWY, LLP</v>
      </c>
      <c r="CR616" t="s">
        <v>650</v>
      </c>
    </row>
    <row r="617" spans="1:96" x14ac:dyDescent="0.2">
      <c r="A617" t="s">
        <v>7137</v>
      </c>
      <c r="B617" t="s">
        <v>96</v>
      </c>
      <c r="C617" s="1">
        <v>44098</v>
      </c>
      <c r="D617" s="1">
        <v>44105</v>
      </c>
      <c r="F617" t="s">
        <v>97</v>
      </c>
      <c r="G617" t="str">
        <f>"Software Engineer"</f>
        <v>Software Engineer</v>
      </c>
      <c r="H617" t="s">
        <v>12169</v>
      </c>
      <c r="I617" t="s">
        <v>124</v>
      </c>
      <c r="J617" t="s">
        <v>98</v>
      </c>
      <c r="K617" s="1">
        <v>44105</v>
      </c>
      <c r="L617" s="1">
        <v>45199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 t="s">
        <v>148</v>
      </c>
      <c r="U617" t="str">
        <f>""</f>
        <v/>
      </c>
      <c r="V617" t="s">
        <v>149</v>
      </c>
      <c r="W617" t="str">
        <f>"N/A"</f>
        <v>N/A</v>
      </c>
      <c r="X617" t="s">
        <v>150</v>
      </c>
      <c r="Y617" t="s">
        <v>141</v>
      </c>
      <c r="Z617" s="3">
        <v>94043</v>
      </c>
      <c r="AA617" t="s">
        <v>101</v>
      </c>
      <c r="AB617" t="s">
        <v>108</v>
      </c>
      <c r="AC617" s="4" t="str">
        <f>"+16509446000"</f>
        <v>+16509446000</v>
      </c>
      <c r="AE617" t="str">
        <f>"541512"</f>
        <v>541512</v>
      </c>
      <c r="AF617" t="s">
        <v>151</v>
      </c>
      <c r="AG617" t="s">
        <v>152</v>
      </c>
      <c r="AI617" t="s">
        <v>153</v>
      </c>
      <c r="AJ617" t="s">
        <v>154</v>
      </c>
      <c r="AK617" t="str">
        <f>""</f>
        <v/>
      </c>
      <c r="AL617" t="s">
        <v>155</v>
      </c>
      <c r="AM617" t="s">
        <v>141</v>
      </c>
      <c r="AN617" s="3">
        <v>94043</v>
      </c>
      <c r="AO617" t="s">
        <v>101</v>
      </c>
      <c r="AQ617" t="str">
        <f>"+16509446000"</f>
        <v>+16509446000</v>
      </c>
      <c r="AS617" t="s">
        <v>156</v>
      </c>
      <c r="AT617" t="s">
        <v>107</v>
      </c>
      <c r="AU617" t="str">
        <f>"Miguel"</f>
        <v>Miguel</v>
      </c>
      <c r="AV617" t="str">
        <f>"Michael Francis"</f>
        <v>Michael Francis</v>
      </c>
      <c r="AW617" t="str">
        <f>"Liao"</f>
        <v>Liao</v>
      </c>
      <c r="AX617" t="str">
        <f>"50 California Street"</f>
        <v>50 California Street</v>
      </c>
      <c r="AY617" t="str">
        <f>"Floor 2"</f>
        <v>Floor 2</v>
      </c>
      <c r="AZ617" t="str">
        <f>"San Francisco"</f>
        <v>San Francisco</v>
      </c>
      <c r="BA617" t="str">
        <f>"CA"</f>
        <v>CA</v>
      </c>
      <c r="BB617" s="3">
        <v>94111</v>
      </c>
      <c r="BC617" t="str">
        <f t="shared" si="38"/>
        <v>UNITED STATES OF AMERICA</v>
      </c>
      <c r="BD617" t="str">
        <f>""</f>
        <v/>
      </c>
      <c r="BE617" t="str">
        <f>"+1469290662"</f>
        <v>+1469290662</v>
      </c>
      <c r="BF617" t="str">
        <f>""</f>
        <v/>
      </c>
      <c r="BG617" t="str">
        <f>"mmiguel@balglobal.com"</f>
        <v>mmiguel@balglobal.com</v>
      </c>
      <c r="BH617" t="str">
        <f>"BERRY APPLEMAN &amp; LEIDEN LLP"</f>
        <v>BERRY APPLEMAN &amp; LEIDEN LLP</v>
      </c>
      <c r="BI617" t="str">
        <f>"CA"</f>
        <v>CA</v>
      </c>
      <c r="BJ617" t="str">
        <f>"SUPREME"</f>
        <v>SUPREME</v>
      </c>
      <c r="BK617">
        <v>1</v>
      </c>
      <c r="BL617" t="s">
        <v>102</v>
      </c>
      <c r="BM617" t="str">
        <f>""</f>
        <v/>
      </c>
      <c r="BN617" t="s">
        <v>2001</v>
      </c>
      <c r="BP617" t="s">
        <v>155</v>
      </c>
      <c r="BQ617" t="s">
        <v>230</v>
      </c>
      <c r="BR617" t="s">
        <v>141</v>
      </c>
      <c r="BS617" s="5">
        <v>94043</v>
      </c>
      <c r="BT617" s="2">
        <v>120578</v>
      </c>
      <c r="BU617" s="2">
        <v>165408</v>
      </c>
      <c r="BV617" t="s">
        <v>105</v>
      </c>
      <c r="BW617" s="2">
        <v>120578</v>
      </c>
      <c r="BX617" t="s">
        <v>105</v>
      </c>
      <c r="BZ617" t="s">
        <v>167</v>
      </c>
      <c r="CA617" t="str">
        <f t="shared" si="39"/>
        <v>7/1/2020 - 6/30/2021</v>
      </c>
      <c r="CF617">
        <v>1</v>
      </c>
      <c r="CG617" t="s">
        <v>98</v>
      </c>
      <c r="CH617" t="s">
        <v>206</v>
      </c>
      <c r="CI617" t="s">
        <v>206</v>
      </c>
      <c r="CL617" t="s">
        <v>108</v>
      </c>
      <c r="CM617" t="s">
        <v>109</v>
      </c>
      <c r="CN617" t="str">
        <f>""</f>
        <v/>
      </c>
      <c r="CO617" t="str">
        <f>""</f>
        <v/>
      </c>
      <c r="CP617" t="str">
        <f>""</f>
        <v/>
      </c>
      <c r="CQ617" t="str">
        <f>""</f>
        <v/>
      </c>
    </row>
    <row r="618" spans="1:96" x14ac:dyDescent="0.2">
      <c r="A618" t="s">
        <v>7155</v>
      </c>
      <c r="B618" t="s">
        <v>96</v>
      </c>
      <c r="C618" s="1">
        <v>44098</v>
      </c>
      <c r="D618" s="1">
        <v>44105</v>
      </c>
      <c r="F618" t="s">
        <v>97</v>
      </c>
      <c r="G618" t="str">
        <f>"Sr. EDC Programmer"</f>
        <v>Sr. EDC Programmer</v>
      </c>
      <c r="H618" t="s">
        <v>12169</v>
      </c>
      <c r="I618" t="s">
        <v>124</v>
      </c>
      <c r="J618" t="s">
        <v>98</v>
      </c>
      <c r="K618" s="1">
        <v>44116</v>
      </c>
      <c r="L618" s="1">
        <v>45210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2750</v>
      </c>
      <c r="U618" t="str">
        <f>""</f>
        <v/>
      </c>
      <c r="V618" t="s">
        <v>2751</v>
      </c>
      <c r="W618" t="str">
        <f>""</f>
        <v/>
      </c>
      <c r="X618" t="s">
        <v>988</v>
      </c>
      <c r="Y618" t="s">
        <v>141</v>
      </c>
      <c r="Z618" s="3">
        <v>94404</v>
      </c>
      <c r="AA618" t="s">
        <v>101</v>
      </c>
      <c r="AC618" s="4" t="str">
        <f>"+16505221592"</f>
        <v>+16505221592</v>
      </c>
      <c r="AE618" t="str">
        <f>"54171"</f>
        <v>54171</v>
      </c>
      <c r="AF618" t="s">
        <v>2752</v>
      </c>
      <c r="AG618" t="s">
        <v>1125</v>
      </c>
      <c r="AI618" t="s">
        <v>2753</v>
      </c>
      <c r="AJ618" t="s">
        <v>2751</v>
      </c>
      <c r="AK618" t="str">
        <f>""</f>
        <v/>
      </c>
      <c r="AL618" t="s">
        <v>988</v>
      </c>
      <c r="AM618" t="s">
        <v>141</v>
      </c>
      <c r="AN618" s="3">
        <v>94404</v>
      </c>
      <c r="AO618" t="s">
        <v>101</v>
      </c>
      <c r="AQ618" t="str">
        <f>"+16505221592"</f>
        <v>+16505221592</v>
      </c>
      <c r="AS618" t="s">
        <v>2754</v>
      </c>
      <c r="AT618" t="s">
        <v>107</v>
      </c>
      <c r="AU618" t="str">
        <f>"Pyo"</f>
        <v>Pyo</v>
      </c>
      <c r="AV618" t="str">
        <f>"Brooke"</f>
        <v>Brooke</v>
      </c>
      <c r="AW618" t="str">
        <f>""</f>
        <v/>
      </c>
      <c r="AX618" t="str">
        <f>"2121 Tasman Drive"</f>
        <v>2121 Tasman Drive</v>
      </c>
      <c r="AY618" t="str">
        <f>""</f>
        <v/>
      </c>
      <c r="AZ618" t="str">
        <f>"Santa Clara"</f>
        <v>Santa Clara</v>
      </c>
      <c r="BA618" t="str">
        <f>"CA"</f>
        <v>CA</v>
      </c>
      <c r="BB618" s="3">
        <v>95054</v>
      </c>
      <c r="BC618" t="str">
        <f t="shared" si="38"/>
        <v>UNITED STATES OF AMERICA</v>
      </c>
      <c r="BD618" t="str">
        <f>""</f>
        <v/>
      </c>
      <c r="BE618" t="str">
        <f>"+14082353579"</f>
        <v>+14082353579</v>
      </c>
      <c r="BF618" t="str">
        <f>""</f>
        <v/>
      </c>
      <c r="BG618" t="str">
        <f>"bpyo@fragomen.com"</f>
        <v>bpyo@fragomen.com</v>
      </c>
      <c r="BH618" t="str">
        <f>"Fragomen, Del Rey, Bernsen &amp; Loewy, LLP"</f>
        <v>Fragomen, Del Rey, Bernsen &amp; Loewy, LLP</v>
      </c>
      <c r="BI618" t="str">
        <f>"CA"</f>
        <v>CA</v>
      </c>
      <c r="BJ618" t="str">
        <f>"CA Sup Ct"</f>
        <v>CA Sup Ct</v>
      </c>
      <c r="BK618">
        <v>1</v>
      </c>
      <c r="BL618" t="s">
        <v>102</v>
      </c>
      <c r="BM618" t="str">
        <f>""</f>
        <v/>
      </c>
      <c r="BN618" t="s">
        <v>7156</v>
      </c>
      <c r="BP618" t="s">
        <v>103</v>
      </c>
      <c r="BQ618" t="s">
        <v>104</v>
      </c>
      <c r="BR618" t="s">
        <v>100</v>
      </c>
      <c r="BS618" s="5">
        <v>8854</v>
      </c>
      <c r="BT618" s="2">
        <v>100526</v>
      </c>
      <c r="BU618" s="2">
        <v>135000</v>
      </c>
      <c r="BV618" t="s">
        <v>105</v>
      </c>
      <c r="BW618" s="2">
        <v>100526</v>
      </c>
      <c r="BX618" t="s">
        <v>105</v>
      </c>
      <c r="BZ618" t="s">
        <v>167</v>
      </c>
      <c r="CA618" t="str">
        <f t="shared" si="39"/>
        <v>7/1/2020 - 6/30/2021</v>
      </c>
      <c r="CF618">
        <v>1</v>
      </c>
      <c r="CG618" t="s">
        <v>98</v>
      </c>
      <c r="CH618" t="s">
        <v>206</v>
      </c>
      <c r="CI618" t="s">
        <v>206</v>
      </c>
      <c r="CL618" t="s">
        <v>108</v>
      </c>
      <c r="CM618" t="s">
        <v>109</v>
      </c>
      <c r="CN618" t="str">
        <f>"Chakrabarti"</f>
        <v>Chakrabarti</v>
      </c>
      <c r="CO618" t="str">
        <f>"Soochandra"</f>
        <v>Soochandra</v>
      </c>
      <c r="CP618" t="str">
        <f>""</f>
        <v/>
      </c>
      <c r="CQ618" t="str">
        <f>"Fragomen, Del Rey, Bernsen &amp; Loewy, LLP"</f>
        <v>Fragomen, Del Rey, Bernsen &amp; Loewy, LLP</v>
      </c>
      <c r="CR618" t="s">
        <v>2598</v>
      </c>
    </row>
    <row r="619" spans="1:96" x14ac:dyDescent="0.2">
      <c r="A619" t="s">
        <v>7157</v>
      </c>
      <c r="B619" t="s">
        <v>96</v>
      </c>
      <c r="C619" s="1">
        <v>44098</v>
      </c>
      <c r="D619" s="1">
        <v>44105</v>
      </c>
      <c r="F619" t="s">
        <v>97</v>
      </c>
      <c r="G619" t="str">
        <f>"Quantitative Developer"</f>
        <v>Quantitative Developer</v>
      </c>
      <c r="H619" t="s">
        <v>12182</v>
      </c>
      <c r="I619" t="s">
        <v>168</v>
      </c>
      <c r="J619" t="s">
        <v>98</v>
      </c>
      <c r="K619" s="1">
        <v>44109</v>
      </c>
      <c r="L619" s="1">
        <v>45203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4709</v>
      </c>
      <c r="U619" t="str">
        <f>""</f>
        <v/>
      </c>
      <c r="V619" t="s">
        <v>4804</v>
      </c>
      <c r="W619" t="str">
        <f>""</f>
        <v/>
      </c>
      <c r="X619" t="s">
        <v>833</v>
      </c>
      <c r="Y619" t="s">
        <v>345</v>
      </c>
      <c r="Z619" s="3">
        <v>60603</v>
      </c>
      <c r="AA619" t="s">
        <v>101</v>
      </c>
      <c r="AC619" s="4" t="str">
        <f>"+13123953247"</f>
        <v>+13123953247</v>
      </c>
      <c r="AE619" t="str">
        <f>"523920"</f>
        <v>523920</v>
      </c>
      <c r="AF619" t="s">
        <v>4710</v>
      </c>
      <c r="AG619" t="s">
        <v>4711</v>
      </c>
      <c r="AI619" t="s">
        <v>4805</v>
      </c>
      <c r="AJ619" t="s">
        <v>4804</v>
      </c>
      <c r="AK619" t="str">
        <f>""</f>
        <v/>
      </c>
      <c r="AL619" t="s">
        <v>833</v>
      </c>
      <c r="AM619" t="s">
        <v>345</v>
      </c>
      <c r="AN619" s="3">
        <v>60603</v>
      </c>
      <c r="AO619" t="s">
        <v>101</v>
      </c>
      <c r="AQ619" t="str">
        <f>"+13123953247"</f>
        <v>+13123953247</v>
      </c>
      <c r="AS619" t="s">
        <v>4806</v>
      </c>
      <c r="AT619" t="s">
        <v>107</v>
      </c>
      <c r="AU619" t="str">
        <f>"Tang"</f>
        <v>Tang</v>
      </c>
      <c r="AV619" t="str">
        <f>"Caroline"</f>
        <v>Caroline</v>
      </c>
      <c r="AW619" t="str">
        <f>""</f>
        <v/>
      </c>
      <c r="AX619" t="str">
        <f>"301 Congress Avenue"</f>
        <v>301 Congress Avenue</v>
      </c>
      <c r="AY619" t="str">
        <f>"Suite 1150"</f>
        <v>Suite 1150</v>
      </c>
      <c r="AZ619" t="str">
        <f>"Austin"</f>
        <v>Austin</v>
      </c>
      <c r="BA619" t="str">
        <f>"TX"</f>
        <v>TX</v>
      </c>
      <c r="BB619" s="3">
        <v>78701</v>
      </c>
      <c r="BC619" t="str">
        <f t="shared" si="38"/>
        <v>UNITED STATES OF AMERICA</v>
      </c>
      <c r="BD619" t="str">
        <f>"TX"</f>
        <v>TX</v>
      </c>
      <c r="BE619" t="str">
        <f>"+15123444704"</f>
        <v>+15123444704</v>
      </c>
      <c r="BF619" t="str">
        <f>""</f>
        <v/>
      </c>
      <c r="BG619" t="str">
        <f>"rolando.perez@ogletreedeakins.com"</f>
        <v>rolando.perez@ogletreedeakins.com</v>
      </c>
      <c r="BH619" t="str">
        <f>"Ogletree, Deakins, Nash, Smoak &amp; Stewart, P.C."</f>
        <v>Ogletree, Deakins, Nash, Smoak &amp; Stewart, P.C.</v>
      </c>
      <c r="BI619" t="str">
        <f>"TX"</f>
        <v>TX</v>
      </c>
      <c r="BJ619" t="str">
        <f>"Supreme Court of Texas"</f>
        <v>Supreme Court of Texas</v>
      </c>
      <c r="BK619">
        <v>1</v>
      </c>
      <c r="BL619" t="s">
        <v>102</v>
      </c>
      <c r="BM619" t="str">
        <f>""</f>
        <v/>
      </c>
      <c r="BN619" t="s">
        <v>2955</v>
      </c>
      <c r="BP619" t="s">
        <v>277</v>
      </c>
      <c r="BQ619" t="s">
        <v>189</v>
      </c>
      <c r="BR619" t="s">
        <v>190</v>
      </c>
      <c r="BS619" s="5">
        <v>10022</v>
      </c>
      <c r="BT619" s="2">
        <v>190000</v>
      </c>
      <c r="BV619" t="s">
        <v>105</v>
      </c>
      <c r="BW619" s="2">
        <v>137488</v>
      </c>
      <c r="BX619" t="s">
        <v>105</v>
      </c>
      <c r="BZ619" t="s">
        <v>159</v>
      </c>
      <c r="CA619" t="str">
        <f t="shared" si="39"/>
        <v>7/1/2020 - 6/30/2021</v>
      </c>
      <c r="CF619">
        <v>1</v>
      </c>
      <c r="CG619" t="s">
        <v>98</v>
      </c>
      <c r="CH619" t="s">
        <v>206</v>
      </c>
      <c r="CI619" t="s">
        <v>206</v>
      </c>
      <c r="CL619" t="s">
        <v>108</v>
      </c>
      <c r="CM619" t="s">
        <v>109</v>
      </c>
      <c r="CN619" t="str">
        <f>"Perez"</f>
        <v>Perez</v>
      </c>
      <c r="CO619" t="str">
        <f>"Rolando"</f>
        <v>Rolando</v>
      </c>
      <c r="CP619" t="str">
        <f>"R."</f>
        <v>R.</v>
      </c>
      <c r="CQ619" t="str">
        <f>"Ogletree, Deakins, Nash, Smoak &amp; Stewart, P.C."</f>
        <v>Ogletree, Deakins, Nash, Smoak &amp; Stewart, P.C.</v>
      </c>
      <c r="CR619" t="s">
        <v>4807</v>
      </c>
    </row>
    <row r="620" spans="1:96" x14ac:dyDescent="0.2">
      <c r="A620" t="s">
        <v>7158</v>
      </c>
      <c r="B620" t="s">
        <v>96</v>
      </c>
      <c r="C620" s="1">
        <v>44098</v>
      </c>
      <c r="D620" s="1">
        <v>44105</v>
      </c>
      <c r="F620" t="s">
        <v>97</v>
      </c>
      <c r="G620" t="str">
        <f>"CLOUD SUPPORT ENGINEER I"</f>
        <v>CLOUD SUPPORT ENGINEER I</v>
      </c>
      <c r="H620" t="s">
        <v>12169</v>
      </c>
      <c r="I620" t="s">
        <v>124</v>
      </c>
      <c r="J620" t="s">
        <v>98</v>
      </c>
      <c r="K620" s="1">
        <v>44105</v>
      </c>
      <c r="L620" s="1">
        <v>45199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1129</v>
      </c>
      <c r="U620" t="str">
        <f>""</f>
        <v/>
      </c>
      <c r="V620" t="s">
        <v>809</v>
      </c>
      <c r="W620" t="str">
        <f>"SUITE 500"</f>
        <v>SUITE 500</v>
      </c>
      <c r="X620" t="s">
        <v>433</v>
      </c>
      <c r="Y620" t="s">
        <v>176</v>
      </c>
      <c r="Z620" s="3">
        <v>98121</v>
      </c>
      <c r="AA620" t="s">
        <v>101</v>
      </c>
      <c r="AC620" s="4" t="str">
        <f>"+12062661000"</f>
        <v>+12062661000</v>
      </c>
      <c r="AE620" t="str">
        <f>"454110"</f>
        <v>454110</v>
      </c>
      <c r="AF620" t="s">
        <v>3174</v>
      </c>
      <c r="AG620" t="s">
        <v>3175</v>
      </c>
      <c r="AH620" t="s">
        <v>108</v>
      </c>
      <c r="AI620" t="s">
        <v>434</v>
      </c>
      <c r="AJ620" t="s">
        <v>809</v>
      </c>
      <c r="AK620" t="str">
        <f>"SUITE 500"</f>
        <v>SUITE 500</v>
      </c>
      <c r="AL620" t="s">
        <v>433</v>
      </c>
      <c r="AM620" t="s">
        <v>176</v>
      </c>
      <c r="AN620" s="3">
        <v>98121</v>
      </c>
      <c r="AO620" t="s">
        <v>101</v>
      </c>
      <c r="AQ620" t="str">
        <f>"+12062661000"</f>
        <v>+12062661000</v>
      </c>
      <c r="AS620" t="s">
        <v>263</v>
      </c>
      <c r="AT620" t="s">
        <v>107</v>
      </c>
      <c r="AU620" t="str">
        <f>"CAREY"</f>
        <v>CAREY</v>
      </c>
      <c r="AV620" t="str">
        <f>"MOLLY"</f>
        <v>MOLLY</v>
      </c>
      <c r="AW620" t="str">
        <f>"N/A"</f>
        <v>N/A</v>
      </c>
      <c r="AX620" t="str">
        <f>"100 HIGH STREET"</f>
        <v>100 HIGH STREET</v>
      </c>
      <c r="AY620" t="str">
        <f>"3RD FLOOR C#5279858"</f>
        <v>3RD FLOOR C#5279858</v>
      </c>
      <c r="AZ620" t="str">
        <f>"BOSTON"</f>
        <v>BOSTON</v>
      </c>
      <c r="BA620" t="str">
        <f>"MA"</f>
        <v>MA</v>
      </c>
      <c r="BB620" s="3">
        <v>2110</v>
      </c>
      <c r="BC620" t="str">
        <f t="shared" si="38"/>
        <v>UNITED STATES OF AMERICA</v>
      </c>
      <c r="BD620" t="str">
        <f>""</f>
        <v/>
      </c>
      <c r="BE620" t="str">
        <f>"+16175740400"</f>
        <v>+16175740400</v>
      </c>
      <c r="BF620" t="str">
        <f>""</f>
        <v/>
      </c>
      <c r="BG620" t="str">
        <f>"AMAZONH1BCAP@FRAGOMEN.COM"</f>
        <v>AMAZONH1BCAP@FRAGOMEN.COM</v>
      </c>
      <c r="BH620" t="str">
        <f>"FRAGOMEN, DEL REY, BERNSEN &amp; LOEWY, LLP"</f>
        <v>FRAGOMEN, DEL REY, BERNSEN &amp; LOEWY, LLP</v>
      </c>
      <c r="BI620" t="str">
        <f>"MA"</f>
        <v>MA</v>
      </c>
      <c r="BJ620" t="str">
        <f>"SUPREME JUDICIAL COURT"</f>
        <v>SUPREME JUDICIAL COURT</v>
      </c>
      <c r="BK620">
        <v>1</v>
      </c>
      <c r="BL620" t="s">
        <v>102</v>
      </c>
      <c r="BM620" t="str">
        <f>""</f>
        <v/>
      </c>
      <c r="BN620" t="s">
        <v>1130</v>
      </c>
      <c r="BO620" t="s">
        <v>1131</v>
      </c>
      <c r="BP620" t="s">
        <v>484</v>
      </c>
      <c r="BQ620" t="s">
        <v>484</v>
      </c>
      <c r="BR620" t="s">
        <v>114</v>
      </c>
      <c r="BS620" s="5">
        <v>75240</v>
      </c>
      <c r="BT620" s="2">
        <v>90000</v>
      </c>
      <c r="BV620" t="s">
        <v>105</v>
      </c>
      <c r="BW620" s="2">
        <v>76752</v>
      </c>
      <c r="BX620" t="s">
        <v>105</v>
      </c>
      <c r="BZ620" t="s">
        <v>191</v>
      </c>
      <c r="CA620" t="str">
        <f t="shared" si="39"/>
        <v>7/1/2020 - 6/30/2021</v>
      </c>
      <c r="CF620">
        <v>1</v>
      </c>
      <c r="CG620" t="s">
        <v>98</v>
      </c>
      <c r="CH620" t="s">
        <v>206</v>
      </c>
      <c r="CI620" t="s">
        <v>206</v>
      </c>
      <c r="CL620" t="s">
        <v>108</v>
      </c>
      <c r="CM620" t="s">
        <v>109</v>
      </c>
      <c r="CN620" t="str">
        <f>"RAMACHANDRAN"</f>
        <v>RAMACHANDRAN</v>
      </c>
      <c r="CO620" t="str">
        <f>"ANU"</f>
        <v>ANU</v>
      </c>
      <c r="CP620" t="str">
        <f>"N/A"</f>
        <v>N/A</v>
      </c>
      <c r="CQ620" t="str">
        <f>"FRAGOMEN, DEL REY, BERNSEN &amp; LOEWY, LLP"</f>
        <v>FRAGOMEN, DEL REY, BERNSEN &amp; LOEWY, LLP</v>
      </c>
      <c r="CR620" t="s">
        <v>3176</v>
      </c>
    </row>
    <row r="621" spans="1:96" x14ac:dyDescent="0.2">
      <c r="A621" t="s">
        <v>7166</v>
      </c>
      <c r="B621" t="s">
        <v>96</v>
      </c>
      <c r="C621" s="1">
        <v>44098</v>
      </c>
      <c r="D621" s="1">
        <v>44105</v>
      </c>
      <c r="F621" t="s">
        <v>97</v>
      </c>
      <c r="G621" t="str">
        <f>"Sr. User Experience Designer"</f>
        <v>Sr. User Experience Designer</v>
      </c>
      <c r="H621" t="s">
        <v>12169</v>
      </c>
      <c r="I621" t="s">
        <v>124</v>
      </c>
      <c r="J621" t="s">
        <v>98</v>
      </c>
      <c r="K621" s="1">
        <v>44105</v>
      </c>
      <c r="L621" s="1">
        <v>45199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 t="s">
        <v>7167</v>
      </c>
      <c r="U621" t="str">
        <f>""</f>
        <v/>
      </c>
      <c r="V621" t="s">
        <v>7168</v>
      </c>
      <c r="W621" t="str">
        <f>""</f>
        <v/>
      </c>
      <c r="X621" t="s">
        <v>297</v>
      </c>
      <c r="Y621" t="s">
        <v>114</v>
      </c>
      <c r="Z621" s="3">
        <v>75025</v>
      </c>
      <c r="AA621" t="s">
        <v>101</v>
      </c>
      <c r="AC621" s="4" t="str">
        <f>"+18772196226"</f>
        <v>+18772196226</v>
      </c>
      <c r="AE621" t="str">
        <f>"541512"</f>
        <v>541512</v>
      </c>
      <c r="AF621" t="s">
        <v>4355</v>
      </c>
      <c r="AG621" t="s">
        <v>7169</v>
      </c>
      <c r="AI621" t="s">
        <v>1057</v>
      </c>
      <c r="AJ621" t="s">
        <v>7168</v>
      </c>
      <c r="AK621" t="str">
        <f>""</f>
        <v/>
      </c>
      <c r="AL621" t="s">
        <v>297</v>
      </c>
      <c r="AM621" t="s">
        <v>114</v>
      </c>
      <c r="AN621" s="3">
        <v>75025</v>
      </c>
      <c r="AO621" t="s">
        <v>101</v>
      </c>
      <c r="AQ621" t="str">
        <f>"+15126535622"</f>
        <v>+15126535622</v>
      </c>
      <c r="AS621" t="s">
        <v>7170</v>
      </c>
      <c r="AT621" t="s">
        <v>107</v>
      </c>
      <c r="AU621" t="str">
        <f>"Smart"</f>
        <v>Smart</v>
      </c>
      <c r="AV621" t="str">
        <f>"John"</f>
        <v>John</v>
      </c>
      <c r="AW621" t="str">
        <f>"D"</f>
        <v>D</v>
      </c>
      <c r="AX621" t="str">
        <f>"2323 Ross Ave."</f>
        <v>2323 Ross Ave.</v>
      </c>
      <c r="AY621" t="str">
        <f>"Ste. 1900"</f>
        <v>Ste. 1900</v>
      </c>
      <c r="AZ621" t="str">
        <f>"Dallas"</f>
        <v>Dallas</v>
      </c>
      <c r="BA621" t="str">
        <f>"TX"</f>
        <v>TX</v>
      </c>
      <c r="BB621" s="3">
        <v>75201</v>
      </c>
      <c r="BC621" t="str">
        <f t="shared" si="38"/>
        <v>UNITED STATES OF AMERICA</v>
      </c>
      <c r="BD621" t="str">
        <f>""</f>
        <v/>
      </c>
      <c r="BE621" t="str">
        <f>"+12147401400"</f>
        <v>+12147401400</v>
      </c>
      <c r="BF621" t="str">
        <f>"1475"</f>
        <v>1475</v>
      </c>
      <c r="BG621" t="str">
        <f>"nroman@bellnunnally.com"</f>
        <v>nroman@bellnunnally.com</v>
      </c>
      <c r="BH621" t="str">
        <f>"Bell Nunnally &amp; Martin LLP"</f>
        <v>Bell Nunnally &amp; Martin LLP</v>
      </c>
      <c r="BI621" t="str">
        <f>"TX"</f>
        <v>TX</v>
      </c>
      <c r="BJ621" t="str">
        <f>"Texas Supreme Court"</f>
        <v>Texas Supreme Court</v>
      </c>
      <c r="BK621">
        <v>1</v>
      </c>
      <c r="BL621" t="s">
        <v>102</v>
      </c>
      <c r="BM621" t="str">
        <f>""</f>
        <v/>
      </c>
      <c r="BN621" t="s">
        <v>7171</v>
      </c>
      <c r="BO621" t="s">
        <v>7172</v>
      </c>
      <c r="BP621" t="s">
        <v>483</v>
      </c>
      <c r="BQ621" t="s">
        <v>484</v>
      </c>
      <c r="BR621" t="s">
        <v>114</v>
      </c>
      <c r="BS621" s="5">
        <v>75063</v>
      </c>
      <c r="BT621" s="2">
        <v>100000</v>
      </c>
      <c r="BV621" t="s">
        <v>105</v>
      </c>
      <c r="BW621" s="2">
        <v>93558</v>
      </c>
      <c r="BX621" t="s">
        <v>105</v>
      </c>
      <c r="BZ621" t="s">
        <v>167</v>
      </c>
      <c r="CA621" t="str">
        <f t="shared" si="39"/>
        <v>7/1/2020 - 6/30/2021</v>
      </c>
      <c r="CF621">
        <v>1</v>
      </c>
      <c r="CG621" t="s">
        <v>98</v>
      </c>
      <c r="CH621" t="s">
        <v>206</v>
      </c>
      <c r="CI621" t="s">
        <v>206</v>
      </c>
      <c r="CL621" t="s">
        <v>108</v>
      </c>
      <c r="CM621" t="s">
        <v>109</v>
      </c>
      <c r="CN621" t="str">
        <f>"S. Roman"</f>
        <v>S. Roman</v>
      </c>
      <c r="CO621" t="str">
        <f>"Natalie"</f>
        <v>Natalie</v>
      </c>
      <c r="CP621" t="str">
        <f>"F"</f>
        <v>F</v>
      </c>
      <c r="CQ621" t="str">
        <f>"Bell Nunnally &amp; Martin LLP"</f>
        <v>Bell Nunnally &amp; Martin LLP</v>
      </c>
      <c r="CR621" t="s">
        <v>6497</v>
      </c>
    </row>
    <row r="622" spans="1:96" x14ac:dyDescent="0.2">
      <c r="A622" t="s">
        <v>7176</v>
      </c>
      <c r="B622" t="s">
        <v>96</v>
      </c>
      <c r="C622" s="1">
        <v>44098</v>
      </c>
      <c r="D622" s="1">
        <v>44105</v>
      </c>
      <c r="F622" t="s">
        <v>97</v>
      </c>
      <c r="G622" t="str">
        <f>"Associate Attorney"</f>
        <v>Associate Attorney</v>
      </c>
      <c r="H622" t="s">
        <v>12221</v>
      </c>
      <c r="I622" t="s">
        <v>566</v>
      </c>
      <c r="J622" t="s">
        <v>98</v>
      </c>
      <c r="K622" s="1">
        <v>44105</v>
      </c>
      <c r="L622" s="1">
        <v>45199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7177</v>
      </c>
      <c r="U622" t="str">
        <f>""</f>
        <v/>
      </c>
      <c r="V622" t="s">
        <v>4563</v>
      </c>
      <c r="W622" t="str">
        <f>""</f>
        <v/>
      </c>
      <c r="X622" t="s">
        <v>277</v>
      </c>
      <c r="Y622" t="s">
        <v>190</v>
      </c>
      <c r="Z622" s="3">
        <v>10020</v>
      </c>
      <c r="AA622" t="s">
        <v>101</v>
      </c>
      <c r="AC622" s="4" t="str">
        <f>"+12125062812"</f>
        <v>+12125062812</v>
      </c>
      <c r="AE622" t="str">
        <f>"541110"</f>
        <v>541110</v>
      </c>
      <c r="AF622" t="s">
        <v>7178</v>
      </c>
      <c r="AG622" t="s">
        <v>375</v>
      </c>
      <c r="AI622" t="s">
        <v>7179</v>
      </c>
      <c r="AJ622" t="s">
        <v>4563</v>
      </c>
      <c r="AK622" t="str">
        <f>""</f>
        <v/>
      </c>
      <c r="AL622" t="s">
        <v>277</v>
      </c>
      <c r="AM622" t="s">
        <v>190</v>
      </c>
      <c r="AN622" s="3">
        <v>10020</v>
      </c>
      <c r="AO622" t="s">
        <v>101</v>
      </c>
      <c r="AQ622" t="str">
        <f>"+12125062812"</f>
        <v>+12125062812</v>
      </c>
      <c r="AS622" t="s">
        <v>7180</v>
      </c>
      <c r="AT622" t="s">
        <v>107</v>
      </c>
      <c r="AU622" t="str">
        <f>"Toner"</f>
        <v>Toner</v>
      </c>
      <c r="AV622" t="str">
        <f>"Catherine"</f>
        <v>Catherine</v>
      </c>
      <c r="AW622" t="str">
        <f>""</f>
        <v/>
      </c>
      <c r="AX622" t="str">
        <f>"1999 K Street, N.W."</f>
        <v>1999 K Street, N.W.</v>
      </c>
      <c r="AY622" t="str">
        <f>""</f>
        <v/>
      </c>
      <c r="AZ622" t="str">
        <f>"Washington"</f>
        <v>Washington</v>
      </c>
      <c r="BA622" t="str">
        <f>"DC"</f>
        <v>DC</v>
      </c>
      <c r="BB622" s="3">
        <v>20006</v>
      </c>
      <c r="BC622" t="str">
        <f t="shared" si="38"/>
        <v>UNITED STATES OF AMERICA</v>
      </c>
      <c r="BD622" t="str">
        <f>""</f>
        <v/>
      </c>
      <c r="BE622" t="str">
        <f>"+12022633358"</f>
        <v>+12022633358</v>
      </c>
      <c r="BF622" t="str">
        <f>""</f>
        <v/>
      </c>
      <c r="BG622" t="str">
        <f>"ctoner@mayerbrown.com"</f>
        <v>ctoner@mayerbrown.com</v>
      </c>
      <c r="BH622" t="str">
        <f>"Mayer Brown LLP"</f>
        <v>Mayer Brown LLP</v>
      </c>
      <c r="BI622" t="str">
        <f>"NY"</f>
        <v>NY</v>
      </c>
      <c r="BJ622" t="str">
        <f>"New York State Court of Appeals"</f>
        <v>New York State Court of Appeals</v>
      </c>
      <c r="BK622">
        <v>1</v>
      </c>
      <c r="BL622" t="s">
        <v>102</v>
      </c>
      <c r="BM622" t="str">
        <f>""</f>
        <v/>
      </c>
      <c r="BN622" t="s">
        <v>7181</v>
      </c>
      <c r="BP622" t="s">
        <v>833</v>
      </c>
      <c r="BQ622" t="s">
        <v>788</v>
      </c>
      <c r="BR622" t="s">
        <v>345</v>
      </c>
      <c r="BS622" s="5">
        <v>60606</v>
      </c>
      <c r="BT622" s="2">
        <v>190000</v>
      </c>
      <c r="BU622" s="2">
        <v>380000</v>
      </c>
      <c r="BV622" t="s">
        <v>105</v>
      </c>
      <c r="BW622" s="2">
        <v>162490</v>
      </c>
      <c r="BX622" t="s">
        <v>105</v>
      </c>
      <c r="BZ622" t="s">
        <v>123</v>
      </c>
      <c r="CA622" t="str">
        <f t="shared" si="39"/>
        <v>7/1/2020 - 6/30/2021</v>
      </c>
      <c r="CF622">
        <v>1</v>
      </c>
      <c r="CG622" t="s">
        <v>98</v>
      </c>
      <c r="CH622" t="s">
        <v>206</v>
      </c>
      <c r="CI622" t="s">
        <v>206</v>
      </c>
      <c r="CL622" t="s">
        <v>108</v>
      </c>
      <c r="CM622" t="s">
        <v>109</v>
      </c>
      <c r="CN622" t="str">
        <f>""</f>
        <v/>
      </c>
      <c r="CO622" t="str">
        <f>""</f>
        <v/>
      </c>
      <c r="CP622" t="str">
        <f>""</f>
        <v/>
      </c>
      <c r="CQ622" t="str">
        <f>""</f>
        <v/>
      </c>
    </row>
    <row r="623" spans="1:96" x14ac:dyDescent="0.2">
      <c r="A623" t="s">
        <v>7182</v>
      </c>
      <c r="B623" t="s">
        <v>96</v>
      </c>
      <c r="C623" s="1">
        <v>44098</v>
      </c>
      <c r="D623" s="1">
        <v>44105</v>
      </c>
      <c r="F623" t="s">
        <v>97</v>
      </c>
      <c r="G623" t="str">
        <f>"Quality Engineer"</f>
        <v>Quality Engineer</v>
      </c>
      <c r="H623" t="s">
        <v>12224</v>
      </c>
      <c r="I623" t="s">
        <v>198</v>
      </c>
      <c r="J623" t="s">
        <v>98</v>
      </c>
      <c r="K623" s="1">
        <v>44102</v>
      </c>
      <c r="L623" s="1">
        <v>45196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 t="s">
        <v>7183</v>
      </c>
      <c r="U623" t="str">
        <f>""</f>
        <v/>
      </c>
      <c r="V623" t="s">
        <v>6680</v>
      </c>
      <c r="W623" t="str">
        <f>""</f>
        <v/>
      </c>
      <c r="X623" t="s">
        <v>6681</v>
      </c>
      <c r="Y623" t="s">
        <v>265</v>
      </c>
      <c r="Z623" s="3">
        <v>48082</v>
      </c>
      <c r="AA623" t="s">
        <v>101</v>
      </c>
      <c r="AC623" s="4" t="str">
        <f>"+15867462067"</f>
        <v>+15867462067</v>
      </c>
      <c r="AE623" t="str">
        <f>"33636"</f>
        <v>33636</v>
      </c>
      <c r="AF623" t="s">
        <v>7184</v>
      </c>
      <c r="AG623" t="s">
        <v>7185</v>
      </c>
      <c r="AI623" t="s">
        <v>7186</v>
      </c>
      <c r="AJ623" t="s">
        <v>6680</v>
      </c>
      <c r="AK623" t="str">
        <f>""</f>
        <v/>
      </c>
      <c r="AL623" t="s">
        <v>6681</v>
      </c>
      <c r="AM623" t="s">
        <v>265</v>
      </c>
      <c r="AN623" s="3">
        <v>48082</v>
      </c>
      <c r="AO623" t="s">
        <v>101</v>
      </c>
      <c r="AQ623" t="str">
        <f>"+15867462067"</f>
        <v>+15867462067</v>
      </c>
      <c r="AS623" t="s">
        <v>7187</v>
      </c>
      <c r="AT623" t="s">
        <v>107</v>
      </c>
      <c r="AU623" t="str">
        <f>"Iyer"</f>
        <v>Iyer</v>
      </c>
      <c r="AV623" t="str">
        <f>"Sarah"</f>
        <v>Sarah</v>
      </c>
      <c r="AW623" t="str">
        <f>"Ann"</f>
        <v>Ann</v>
      </c>
      <c r="AX623" t="str">
        <f>"155 North Wacker Drive"</f>
        <v>155 North Wacker Drive</v>
      </c>
      <c r="AY623" t="str">
        <f>"Suite 3100"</f>
        <v>Suite 3100</v>
      </c>
      <c r="AZ623" t="str">
        <f>"Chicago"</f>
        <v>Chicago</v>
      </c>
      <c r="BA623" t="str">
        <f>"IL"</f>
        <v>IL</v>
      </c>
      <c r="BB623" s="3">
        <v>60606</v>
      </c>
      <c r="BC623" t="str">
        <f t="shared" si="38"/>
        <v>UNITED STATES OF AMERICA</v>
      </c>
      <c r="BD623" t="str">
        <f>""</f>
        <v/>
      </c>
      <c r="BE623" t="str">
        <f>"+13127019375"</f>
        <v>+13127019375</v>
      </c>
      <c r="BF623" t="str">
        <f>""</f>
        <v/>
      </c>
      <c r="BG623" t="str">
        <f>"siyer@honigman.com"</f>
        <v>siyer@honigman.com</v>
      </c>
      <c r="BH623" t="str">
        <f>"Honigman LLP"</f>
        <v>Honigman LLP</v>
      </c>
      <c r="BI623" t="str">
        <f>"IL"</f>
        <v>IL</v>
      </c>
      <c r="BJ623" t="str">
        <f>"Illinois Supreme Court"</f>
        <v>Illinois Supreme Court</v>
      </c>
      <c r="BK623">
        <v>1</v>
      </c>
      <c r="BL623" t="s">
        <v>102</v>
      </c>
      <c r="BM623" t="str">
        <f>""</f>
        <v/>
      </c>
      <c r="BN623" t="s">
        <v>6680</v>
      </c>
      <c r="BP623" t="s">
        <v>6681</v>
      </c>
      <c r="BQ623" t="s">
        <v>543</v>
      </c>
      <c r="BR623" t="s">
        <v>265</v>
      </c>
      <c r="BS623" s="5">
        <v>48082</v>
      </c>
      <c r="BT623" s="2">
        <v>92500</v>
      </c>
      <c r="BV623" t="s">
        <v>105</v>
      </c>
      <c r="BW623" s="2">
        <v>81141</v>
      </c>
      <c r="BX623" t="s">
        <v>105</v>
      </c>
      <c r="BZ623" t="s">
        <v>167</v>
      </c>
      <c r="CA623" t="str">
        <f t="shared" si="39"/>
        <v>7/1/2020 - 6/30/2021</v>
      </c>
      <c r="CF623">
        <v>1</v>
      </c>
      <c r="CG623" t="s">
        <v>98</v>
      </c>
      <c r="CH623" t="s">
        <v>206</v>
      </c>
      <c r="CI623" t="s">
        <v>206</v>
      </c>
      <c r="CL623" t="s">
        <v>108</v>
      </c>
      <c r="CM623" t="s">
        <v>109</v>
      </c>
      <c r="CN623" t="str">
        <f>"Iyer"</f>
        <v>Iyer</v>
      </c>
      <c r="CO623" t="str">
        <f>"Sarah"</f>
        <v>Sarah</v>
      </c>
      <c r="CP623" t="str">
        <f>"A"</f>
        <v>A</v>
      </c>
      <c r="CQ623" t="str">
        <f>"Honigman LLP"</f>
        <v>Honigman LLP</v>
      </c>
      <c r="CR623" t="s">
        <v>7188</v>
      </c>
    </row>
    <row r="624" spans="1:96" x14ac:dyDescent="0.2">
      <c r="A624" t="s">
        <v>7189</v>
      </c>
      <c r="B624" t="s">
        <v>96</v>
      </c>
      <c r="C624" s="1">
        <v>44098</v>
      </c>
      <c r="D624" s="1">
        <v>44105</v>
      </c>
      <c r="F624" t="s">
        <v>97</v>
      </c>
      <c r="G624" t="str">
        <f>"Senior Site Reliability Engineer"</f>
        <v>Senior Site Reliability Engineer</v>
      </c>
      <c r="H624" t="s">
        <v>12176</v>
      </c>
      <c r="I624" t="s">
        <v>246</v>
      </c>
      <c r="J624" t="s">
        <v>98</v>
      </c>
      <c r="K624" s="1">
        <v>44268</v>
      </c>
      <c r="L624" s="1">
        <v>45363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 t="s">
        <v>7190</v>
      </c>
      <c r="U624" t="str">
        <f>""</f>
        <v/>
      </c>
      <c r="V624" t="s">
        <v>7191</v>
      </c>
      <c r="W624" t="str">
        <f>"Suite 200"</f>
        <v>Suite 200</v>
      </c>
      <c r="X624" t="s">
        <v>1133</v>
      </c>
      <c r="Y624" t="s">
        <v>141</v>
      </c>
      <c r="Z624" s="3">
        <v>94065</v>
      </c>
      <c r="AA624" t="s">
        <v>101</v>
      </c>
      <c r="AC624" s="4" t="str">
        <f>"+16505393200"</f>
        <v>+16505393200</v>
      </c>
      <c r="AE624" t="str">
        <f>"541511"</f>
        <v>541511</v>
      </c>
      <c r="AF624" t="s">
        <v>7192</v>
      </c>
      <c r="AG624" t="s">
        <v>5478</v>
      </c>
      <c r="AI624" t="s">
        <v>3749</v>
      </c>
      <c r="AJ624" t="s">
        <v>7191</v>
      </c>
      <c r="AK624" t="str">
        <f>"Suite 200"</f>
        <v>Suite 200</v>
      </c>
      <c r="AL624" t="s">
        <v>1133</v>
      </c>
      <c r="AM624" t="s">
        <v>141</v>
      </c>
      <c r="AN624" s="3">
        <v>94065</v>
      </c>
      <c r="AO624" t="s">
        <v>101</v>
      </c>
      <c r="AQ624" t="str">
        <f>"+16505393200"</f>
        <v>+16505393200</v>
      </c>
      <c r="AS624" t="s">
        <v>7193</v>
      </c>
      <c r="AT624" t="s">
        <v>107</v>
      </c>
      <c r="AU624" t="str">
        <f>"Senh"</f>
        <v>Senh</v>
      </c>
      <c r="AV624" t="str">
        <f>"Carla Noelle"</f>
        <v>Carla Noelle</v>
      </c>
      <c r="AW624" t="str">
        <f>"Romero"</f>
        <v>Romero</v>
      </c>
      <c r="AX624" t="str">
        <f>"3150 Hilltop Mall Road"</f>
        <v>3150 Hilltop Mall Road</v>
      </c>
      <c r="AY624" t="str">
        <f>"Suite 21"</f>
        <v>Suite 21</v>
      </c>
      <c r="AZ624" t="str">
        <f>"Richmond"</f>
        <v>Richmond</v>
      </c>
      <c r="BA624" t="str">
        <f>"CA"</f>
        <v>CA</v>
      </c>
      <c r="BB624" s="3">
        <v>94806</v>
      </c>
      <c r="BC624" t="str">
        <f t="shared" si="38"/>
        <v>UNITED STATES OF AMERICA</v>
      </c>
      <c r="BD624" t="str">
        <f>""</f>
        <v/>
      </c>
      <c r="BE624" t="str">
        <f>"+19254088546"</f>
        <v>+19254088546</v>
      </c>
      <c r="BF624" t="str">
        <f>""</f>
        <v/>
      </c>
      <c r="BG624" t="str">
        <f>"carla@senhlaw.com"</f>
        <v>carla@senhlaw.com</v>
      </c>
      <c r="BH624" t="str">
        <f>"Senh Law PC"</f>
        <v>Senh Law PC</v>
      </c>
      <c r="BI624" t="str">
        <f>"CA"</f>
        <v>CA</v>
      </c>
      <c r="BJ624" t="str">
        <f>"Supreme Court"</f>
        <v>Supreme Court</v>
      </c>
      <c r="BK624">
        <v>1</v>
      </c>
      <c r="BL624" t="s">
        <v>102</v>
      </c>
      <c r="BM624" t="str">
        <f>""</f>
        <v/>
      </c>
      <c r="BN624" t="s">
        <v>7190</v>
      </c>
      <c r="BO624" t="s">
        <v>7194</v>
      </c>
      <c r="BP624" t="s">
        <v>1133</v>
      </c>
      <c r="BQ624" t="s">
        <v>994</v>
      </c>
      <c r="BR624" t="s">
        <v>141</v>
      </c>
      <c r="BS624" s="5">
        <v>94065</v>
      </c>
      <c r="BT624" s="2">
        <v>176485</v>
      </c>
      <c r="BV624" t="s">
        <v>105</v>
      </c>
      <c r="BW624" s="2">
        <v>145246</v>
      </c>
      <c r="BX624" t="s">
        <v>105</v>
      </c>
      <c r="BZ624" t="s">
        <v>123</v>
      </c>
      <c r="CA624" t="str">
        <f t="shared" si="39"/>
        <v>7/1/2020 - 6/30/2021</v>
      </c>
      <c r="CF624">
        <v>2</v>
      </c>
      <c r="CG624" t="s">
        <v>98</v>
      </c>
      <c r="CH624" t="s">
        <v>206</v>
      </c>
      <c r="CI624" t="s">
        <v>206</v>
      </c>
      <c r="CL624" t="s">
        <v>108</v>
      </c>
      <c r="CM624" t="s">
        <v>109</v>
      </c>
      <c r="CN624" t="str">
        <f>"Senh"</f>
        <v>Senh</v>
      </c>
      <c r="CO624" t="str">
        <f>"Carla Noelle"</f>
        <v>Carla Noelle</v>
      </c>
      <c r="CP624" t="str">
        <f>"R"</f>
        <v>R</v>
      </c>
      <c r="CQ624" t="str">
        <f>"Senh Law PC"</f>
        <v>Senh Law PC</v>
      </c>
      <c r="CR624" t="s">
        <v>7195</v>
      </c>
    </row>
    <row r="625" spans="1:96" x14ac:dyDescent="0.2">
      <c r="A625" t="s">
        <v>7229</v>
      </c>
      <c r="B625" t="s">
        <v>96</v>
      </c>
      <c r="C625" s="1">
        <v>44098</v>
      </c>
      <c r="D625" s="1">
        <v>44105</v>
      </c>
      <c r="F625" t="s">
        <v>97</v>
      </c>
      <c r="G625" t="str">
        <f>"Data Scientist, Analytics &amp; Data"</f>
        <v>Data Scientist, Analytics &amp; Data</v>
      </c>
      <c r="H625" t="s">
        <v>12168</v>
      </c>
      <c r="I625" t="s">
        <v>722</v>
      </c>
      <c r="J625" t="s">
        <v>98</v>
      </c>
      <c r="K625" s="1">
        <v>44102</v>
      </c>
      <c r="L625" s="1">
        <v>45196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6370</v>
      </c>
      <c r="U625" t="str">
        <f>""</f>
        <v/>
      </c>
      <c r="V625" t="s">
        <v>6371</v>
      </c>
      <c r="W625" t="str">
        <f>""</f>
        <v/>
      </c>
      <c r="X625" t="s">
        <v>140</v>
      </c>
      <c r="Y625" t="s">
        <v>141</v>
      </c>
      <c r="Z625" s="3">
        <v>94109</v>
      </c>
      <c r="AA625" t="s">
        <v>101</v>
      </c>
      <c r="AC625" s="4" t="str">
        <f>"+19162513583"</f>
        <v>+19162513583</v>
      </c>
      <c r="AE625" t="str">
        <f>"4422"</f>
        <v>4422</v>
      </c>
      <c r="AF625" t="s">
        <v>6372</v>
      </c>
      <c r="AG625" t="s">
        <v>6373</v>
      </c>
      <c r="AI625" t="s">
        <v>6374</v>
      </c>
      <c r="AJ625" t="s">
        <v>6375</v>
      </c>
      <c r="AK625" t="str">
        <f>""</f>
        <v/>
      </c>
      <c r="AL625" t="s">
        <v>140</v>
      </c>
      <c r="AM625" t="s">
        <v>141</v>
      </c>
      <c r="AN625" s="3">
        <v>94133</v>
      </c>
      <c r="AO625" t="s">
        <v>101</v>
      </c>
      <c r="AQ625" t="str">
        <f>"+14156452189"</f>
        <v>+14156452189</v>
      </c>
      <c r="AS625" t="s">
        <v>6376</v>
      </c>
      <c r="AT625" t="s">
        <v>107</v>
      </c>
      <c r="AU625" t="str">
        <f>"BAHNAN"</f>
        <v>BAHNAN</v>
      </c>
      <c r="AV625" t="str">
        <f>"NADINE"</f>
        <v>NADINE</v>
      </c>
      <c r="AW625" t="str">
        <f>"KHAMIS"</f>
        <v>KHAMIS</v>
      </c>
      <c r="AX625" t="str">
        <f>"555 MONTGOMERY STREET"</f>
        <v>555 MONTGOMERY STREET</v>
      </c>
      <c r="AY625" t="str">
        <f>"4TH FLOOR"</f>
        <v>4TH FLOOR</v>
      </c>
      <c r="AZ625" t="str">
        <f>"SAN FRANCISCO"</f>
        <v>SAN FRANCISCO</v>
      </c>
      <c r="BA625" t="str">
        <f>"CA"</f>
        <v>CA</v>
      </c>
      <c r="BB625" s="3">
        <v>94111</v>
      </c>
      <c r="BC625" t="str">
        <f t="shared" si="38"/>
        <v>UNITED STATES OF AMERICA</v>
      </c>
      <c r="BD625" t="str">
        <f>""</f>
        <v/>
      </c>
      <c r="BE625" t="str">
        <f>"+14159861446"</f>
        <v>+14159861446</v>
      </c>
      <c r="BF625" t="str">
        <f>""</f>
        <v/>
      </c>
      <c r="BG625" t="str">
        <f>"NBAHNAN@FRAGOMEN.COM"</f>
        <v>NBAHNAN@FRAGOMEN.COM</v>
      </c>
      <c r="BH625" t="str">
        <f>"FRAGOMEN, DEL REY, BERNSEN &amp; LOEWY, LLP"</f>
        <v>FRAGOMEN, DEL REY, BERNSEN &amp; LOEWY, LLP</v>
      </c>
      <c r="BI625" t="str">
        <f>"CA"</f>
        <v>CA</v>
      </c>
      <c r="BJ625" t="str">
        <f>"SUPREME COURT"</f>
        <v>SUPREME COURT</v>
      </c>
      <c r="BK625">
        <v>1</v>
      </c>
      <c r="BL625" t="s">
        <v>102</v>
      </c>
      <c r="BM625" t="str">
        <f>""</f>
        <v/>
      </c>
      <c r="BN625" t="s">
        <v>7230</v>
      </c>
      <c r="BP625" t="s">
        <v>140</v>
      </c>
      <c r="BQ625" t="s">
        <v>147</v>
      </c>
      <c r="BR625" t="s">
        <v>141</v>
      </c>
      <c r="BS625" s="5">
        <v>94133</v>
      </c>
      <c r="BT625" s="2">
        <v>95555</v>
      </c>
      <c r="BU625" s="2">
        <v>145900</v>
      </c>
      <c r="BV625" t="s">
        <v>105</v>
      </c>
      <c r="BW625" s="2">
        <v>95555</v>
      </c>
      <c r="BX625" t="s">
        <v>105</v>
      </c>
      <c r="BZ625" t="s">
        <v>167</v>
      </c>
      <c r="CA625" t="str">
        <f t="shared" si="39"/>
        <v>7/1/2020 - 6/30/2021</v>
      </c>
      <c r="CF625">
        <v>2</v>
      </c>
      <c r="CG625" t="s">
        <v>98</v>
      </c>
      <c r="CH625" t="s">
        <v>206</v>
      </c>
      <c r="CI625" t="s">
        <v>206</v>
      </c>
      <c r="CL625" t="s">
        <v>108</v>
      </c>
      <c r="CM625" t="s">
        <v>109</v>
      </c>
      <c r="CN625" t="str">
        <f>"BAHNAN C#5248174"</f>
        <v>BAHNAN C#5248174</v>
      </c>
      <c r="CO625" t="str">
        <f>"NADINE"</f>
        <v>NADINE</v>
      </c>
      <c r="CP625" t="str">
        <f>"K"</f>
        <v>K</v>
      </c>
      <c r="CQ625" t="str">
        <f>"FRAGOMEN, DEL REY, BERNSEN &amp; LOEWY, LLP"</f>
        <v>FRAGOMEN, DEL REY, BERNSEN &amp; LOEWY, LLP</v>
      </c>
      <c r="CR625" t="s">
        <v>5312</v>
      </c>
    </row>
    <row r="626" spans="1:96" x14ac:dyDescent="0.2">
      <c r="A626" t="s">
        <v>7247</v>
      </c>
      <c r="B626" t="s">
        <v>96</v>
      </c>
      <c r="C626" s="1">
        <v>44098</v>
      </c>
      <c r="D626" s="1">
        <v>44105</v>
      </c>
      <c r="F626" t="s">
        <v>97</v>
      </c>
      <c r="G626" t="str">
        <f>"Scientist Statistical Modeling "</f>
        <v xml:space="preserve">Scientist Statistical Modeling </v>
      </c>
      <c r="H626" t="s">
        <v>12180</v>
      </c>
      <c r="I626" t="s">
        <v>390</v>
      </c>
      <c r="J626" t="s">
        <v>98</v>
      </c>
      <c r="K626" s="1">
        <v>44102</v>
      </c>
      <c r="L626" s="1">
        <v>45196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 t="s">
        <v>7248</v>
      </c>
      <c r="U626" t="str">
        <f>""</f>
        <v/>
      </c>
      <c r="V626" t="s">
        <v>7249</v>
      </c>
      <c r="W626" t="str">
        <f>""</f>
        <v/>
      </c>
      <c r="X626" t="s">
        <v>1005</v>
      </c>
      <c r="Y626" t="s">
        <v>135</v>
      </c>
      <c r="Z626" s="3">
        <v>22209</v>
      </c>
      <c r="AA626" t="s">
        <v>101</v>
      </c>
      <c r="AC626" s="4" t="str">
        <f>"+15714573531"</f>
        <v>+15714573531</v>
      </c>
      <c r="AE626" t="str">
        <f>"311991"</f>
        <v>311991</v>
      </c>
      <c r="AF626" t="s">
        <v>7250</v>
      </c>
      <c r="AG626" t="s">
        <v>7251</v>
      </c>
      <c r="AI626" t="s">
        <v>7252</v>
      </c>
      <c r="AJ626" t="s">
        <v>7249</v>
      </c>
      <c r="AK626" t="str">
        <f>""</f>
        <v/>
      </c>
      <c r="AL626" t="s">
        <v>1005</v>
      </c>
      <c r="AM626" t="s">
        <v>135</v>
      </c>
      <c r="AN626" s="3">
        <v>22209</v>
      </c>
      <c r="AO626" t="s">
        <v>101</v>
      </c>
      <c r="AQ626" t="str">
        <f>"+15714573603"</f>
        <v>+15714573603</v>
      </c>
      <c r="AS626" t="s">
        <v>7253</v>
      </c>
      <c r="AT626" t="s">
        <v>107</v>
      </c>
      <c r="AU626" t="str">
        <f>"Miner"</f>
        <v>Miner</v>
      </c>
      <c r="AV626" t="str">
        <f>"Kevin"</f>
        <v>Kevin</v>
      </c>
      <c r="AW626" t="str">
        <f>"W"</f>
        <v>W</v>
      </c>
      <c r="AX626" t="str">
        <f>"1355 Peachtree Street NE"</f>
        <v>1355 Peachtree Street NE</v>
      </c>
      <c r="AY626" t="str">
        <f>"Suite 900 (5253271)"</f>
        <v>Suite 900 (5253271)</v>
      </c>
      <c r="AZ626" t="str">
        <f>"Atlanta"</f>
        <v>Atlanta</v>
      </c>
      <c r="BA626" t="str">
        <f>"GA"</f>
        <v>GA</v>
      </c>
      <c r="BB626" s="3">
        <v>30309</v>
      </c>
      <c r="BC626" t="str">
        <f t="shared" si="38"/>
        <v>UNITED STATES OF AMERICA</v>
      </c>
      <c r="BD626" t="str">
        <f>""</f>
        <v/>
      </c>
      <c r="BE626" t="str">
        <f>"+14048565577"</f>
        <v>+14048565577</v>
      </c>
      <c r="BF626" t="str">
        <f>""</f>
        <v/>
      </c>
      <c r="BG626" t="str">
        <f>"snagle@fragomen.com"</f>
        <v>snagle@fragomen.com</v>
      </c>
      <c r="BH626" t="str">
        <f>"FRAGOMEN, DEL REY, BERNSEN, &amp; LOEWY, LLP"</f>
        <v>FRAGOMEN, DEL REY, BERNSEN, &amp; LOEWY, LLP</v>
      </c>
      <c r="BI626" t="str">
        <f>"NH"</f>
        <v>NH</v>
      </c>
      <c r="BJ626" t="str">
        <f>"Superior"</f>
        <v>Superior</v>
      </c>
      <c r="BK626">
        <v>1</v>
      </c>
      <c r="BL626" t="s">
        <v>102</v>
      </c>
      <c r="BM626" t="str">
        <f>""</f>
        <v/>
      </c>
      <c r="BN626" t="s">
        <v>7254</v>
      </c>
      <c r="BP626" t="s">
        <v>1005</v>
      </c>
      <c r="BQ626" t="s">
        <v>2575</v>
      </c>
      <c r="BR626" t="s">
        <v>135</v>
      </c>
      <c r="BS626" s="5">
        <v>22209</v>
      </c>
      <c r="BT626" s="2">
        <v>100000</v>
      </c>
      <c r="BU626" s="2">
        <v>120000</v>
      </c>
      <c r="BV626" t="s">
        <v>105</v>
      </c>
      <c r="BW626" s="2">
        <v>89690</v>
      </c>
      <c r="BX626" t="s">
        <v>105</v>
      </c>
      <c r="BZ626" t="s">
        <v>167</v>
      </c>
      <c r="CA626" t="str">
        <f t="shared" si="39"/>
        <v>7/1/2020 - 6/30/2021</v>
      </c>
      <c r="CF626">
        <v>2</v>
      </c>
      <c r="CG626" t="s">
        <v>98</v>
      </c>
      <c r="CH626" t="s">
        <v>206</v>
      </c>
      <c r="CI626" t="s">
        <v>206</v>
      </c>
      <c r="CL626" t="s">
        <v>108</v>
      </c>
      <c r="CM626" t="s">
        <v>109</v>
      </c>
      <c r="CN626" t="str">
        <f>""</f>
        <v/>
      </c>
      <c r="CO626" t="str">
        <f>""</f>
        <v/>
      </c>
      <c r="CP626" t="str">
        <f>""</f>
        <v/>
      </c>
      <c r="CQ626" t="str">
        <f>""</f>
        <v/>
      </c>
    </row>
    <row r="627" spans="1:96" x14ac:dyDescent="0.2">
      <c r="A627" t="s">
        <v>7276</v>
      </c>
      <c r="B627" t="s">
        <v>96</v>
      </c>
      <c r="C627" s="1">
        <v>44098</v>
      </c>
      <c r="D627" s="1">
        <v>44105</v>
      </c>
      <c r="F627" t="s">
        <v>97</v>
      </c>
      <c r="G627" t="str">
        <f>"MTS, PRODUCT ENGINEERING"</f>
        <v>MTS, PRODUCT ENGINEERING</v>
      </c>
      <c r="H627" t="s">
        <v>12186</v>
      </c>
      <c r="I627" t="s">
        <v>232</v>
      </c>
      <c r="J627" t="s">
        <v>98</v>
      </c>
      <c r="K627" s="1">
        <v>44260</v>
      </c>
      <c r="L627" s="1">
        <v>45355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 t="s">
        <v>1308</v>
      </c>
      <c r="U627" t="str">
        <f>""</f>
        <v/>
      </c>
      <c r="V627" t="s">
        <v>1309</v>
      </c>
      <c r="W627" t="str">
        <f>""</f>
        <v/>
      </c>
      <c r="X627" t="s">
        <v>585</v>
      </c>
      <c r="Y627" t="s">
        <v>141</v>
      </c>
      <c r="Z627" s="3">
        <v>95134</v>
      </c>
      <c r="AA627" t="s">
        <v>101</v>
      </c>
      <c r="AC627" s="4" t="str">
        <f>"+14086013346"</f>
        <v>+14086013346</v>
      </c>
      <c r="AE627" t="str">
        <f>"334413"</f>
        <v>334413</v>
      </c>
      <c r="AF627" t="s">
        <v>1310</v>
      </c>
      <c r="AG627" t="s">
        <v>1311</v>
      </c>
      <c r="AI627" t="s">
        <v>1312</v>
      </c>
      <c r="AJ627" t="s">
        <v>1309</v>
      </c>
      <c r="AK627" t="str">
        <f>""</f>
        <v/>
      </c>
      <c r="AL627" t="s">
        <v>585</v>
      </c>
      <c r="AM627" t="s">
        <v>141</v>
      </c>
      <c r="AN627" s="3">
        <v>95134</v>
      </c>
      <c r="AO627" t="s">
        <v>101</v>
      </c>
      <c r="AQ627" t="str">
        <f>"+14086013346"</f>
        <v>+14086013346</v>
      </c>
      <c r="AS627" t="s">
        <v>1313</v>
      </c>
      <c r="AT627" t="s">
        <v>107</v>
      </c>
      <c r="AU627" t="str">
        <f>"Pack"</f>
        <v>Pack</v>
      </c>
      <c r="AV627" t="str">
        <f>"James"</f>
        <v>James</v>
      </c>
      <c r="AW627" t="str">
        <f>"Young Ho"</f>
        <v>Young Ho</v>
      </c>
      <c r="AX627" t="str">
        <f>"18401 Von Karman Avenue"</f>
        <v>18401 Von Karman Avenue</v>
      </c>
      <c r="AY627" t="str">
        <f>"Suite 255"</f>
        <v>Suite 255</v>
      </c>
      <c r="AZ627" t="str">
        <f>"Irvine"</f>
        <v>Irvine</v>
      </c>
      <c r="BA627" t="str">
        <f>"CA"</f>
        <v>CA</v>
      </c>
      <c r="BB627" s="3">
        <v>92612</v>
      </c>
      <c r="BC627" t="str">
        <f t="shared" si="38"/>
        <v>UNITED STATES OF AMERICA</v>
      </c>
      <c r="BD627" t="str">
        <f>"N/A"</f>
        <v>N/A</v>
      </c>
      <c r="BE627" t="str">
        <f>"+19492610209"</f>
        <v>+19492610209</v>
      </c>
      <c r="BF627" t="str">
        <f>"9443"</f>
        <v>9443</v>
      </c>
      <c r="BG627" t="str">
        <f>"DOLIRVINE@fragomen.com"</f>
        <v>DOLIRVINE@fragomen.com</v>
      </c>
      <c r="BH627" t="str">
        <f>"Fragomen, Del Rey, Bernsen &amp; Loewy, LLP"</f>
        <v>Fragomen, Del Rey, Bernsen &amp; Loewy, LLP</v>
      </c>
      <c r="BI627" t="str">
        <f>"CA"</f>
        <v>CA</v>
      </c>
      <c r="BJ627" t="str">
        <f>"Supreme"</f>
        <v>Supreme</v>
      </c>
      <c r="BK627">
        <v>1</v>
      </c>
      <c r="BL627" t="s">
        <v>102</v>
      </c>
      <c r="BM627" t="str">
        <f>""</f>
        <v/>
      </c>
      <c r="BN627" t="s">
        <v>1314</v>
      </c>
      <c r="BP627" t="s">
        <v>585</v>
      </c>
      <c r="BQ627" t="s">
        <v>230</v>
      </c>
      <c r="BR627" t="s">
        <v>141</v>
      </c>
      <c r="BS627" s="5">
        <v>95134</v>
      </c>
      <c r="BT627" s="2">
        <v>116149.5</v>
      </c>
      <c r="BV627" t="s">
        <v>105</v>
      </c>
      <c r="BW627" s="2">
        <v>105252</v>
      </c>
      <c r="BX627" t="s">
        <v>105</v>
      </c>
      <c r="CA627" t="str">
        <f>""</f>
        <v/>
      </c>
      <c r="CB627" t="s">
        <v>244</v>
      </c>
      <c r="CC627">
        <v>2020</v>
      </c>
      <c r="CD627" t="s">
        <v>355</v>
      </c>
      <c r="CE627" t="s">
        <v>7277</v>
      </c>
      <c r="CF627">
        <v>2</v>
      </c>
      <c r="CG627" t="s">
        <v>98</v>
      </c>
      <c r="CH627" t="s">
        <v>206</v>
      </c>
      <c r="CI627" t="s">
        <v>206</v>
      </c>
      <c r="CL627" t="s">
        <v>108</v>
      </c>
      <c r="CM627" t="s">
        <v>109</v>
      </c>
      <c r="CN627" t="str">
        <f>"Flores"</f>
        <v>Flores</v>
      </c>
      <c r="CO627" t="str">
        <f>"Ivan"</f>
        <v>Ivan</v>
      </c>
      <c r="CP627" t="str">
        <f>""</f>
        <v/>
      </c>
      <c r="CQ627" t="str">
        <f>"Fragomen"</f>
        <v>Fragomen</v>
      </c>
      <c r="CR627" t="s">
        <v>1316</v>
      </c>
    </row>
    <row r="628" spans="1:96" x14ac:dyDescent="0.2">
      <c r="A628" t="s">
        <v>7300</v>
      </c>
      <c r="B628" t="s">
        <v>96</v>
      </c>
      <c r="C628" s="1">
        <v>44098</v>
      </c>
      <c r="D628" s="1">
        <v>44105</v>
      </c>
      <c r="F628" t="s">
        <v>97</v>
      </c>
      <c r="G628" t="str">
        <f>"Product Manager III - Tech"</f>
        <v>Product Manager III - Tech</v>
      </c>
      <c r="H628" t="s">
        <v>12178</v>
      </c>
      <c r="I628" t="s">
        <v>582</v>
      </c>
      <c r="J628" t="s">
        <v>98</v>
      </c>
      <c r="K628" s="1">
        <v>44109</v>
      </c>
      <c r="L628" s="1">
        <v>45203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 t="s">
        <v>967</v>
      </c>
      <c r="U628" t="str">
        <f>""</f>
        <v/>
      </c>
      <c r="V628" t="s">
        <v>968</v>
      </c>
      <c r="W628" t="str">
        <f>""</f>
        <v/>
      </c>
      <c r="X628" t="s">
        <v>435</v>
      </c>
      <c r="Y628" t="s">
        <v>176</v>
      </c>
      <c r="Z628" s="3">
        <v>98121</v>
      </c>
      <c r="AA628" t="s">
        <v>101</v>
      </c>
      <c r="AC628" s="4" t="str">
        <f>"+12062666100"</f>
        <v>+12062666100</v>
      </c>
      <c r="AE628" t="str">
        <f>"45411"</f>
        <v>45411</v>
      </c>
      <c r="AF628" t="s">
        <v>969</v>
      </c>
      <c r="AG628" t="s">
        <v>970</v>
      </c>
      <c r="AI628" t="s">
        <v>221</v>
      </c>
      <c r="AJ628" t="s">
        <v>971</v>
      </c>
      <c r="AK628" t="str">
        <f>""</f>
        <v/>
      </c>
      <c r="AL628" t="s">
        <v>261</v>
      </c>
      <c r="AM628" t="s">
        <v>176</v>
      </c>
      <c r="AN628" s="3">
        <v>98121</v>
      </c>
      <c r="AO628" t="s">
        <v>101</v>
      </c>
      <c r="AQ628" t="str">
        <f>"+12062666100"</f>
        <v>+12062666100</v>
      </c>
      <c r="AS628" t="s">
        <v>972</v>
      </c>
      <c r="AT628" t="s">
        <v>107</v>
      </c>
      <c r="AU628" t="str">
        <f>"Francis"</f>
        <v>Francis</v>
      </c>
      <c r="AV628" t="str">
        <f>"Xavier"</f>
        <v>Xavier</v>
      </c>
      <c r="AW628" t="str">
        <f>""</f>
        <v/>
      </c>
      <c r="AX628" t="str">
        <f>"8300 GREENSBORO DRIVE"</f>
        <v>8300 GREENSBORO DRIVE</v>
      </c>
      <c r="AY628" t="str">
        <f>"Suite 550"</f>
        <v>Suite 550</v>
      </c>
      <c r="AZ628" t="str">
        <f>"McLean"</f>
        <v>McLean</v>
      </c>
      <c r="BA628" t="str">
        <f>"VA"</f>
        <v>VA</v>
      </c>
      <c r="BB628" s="3">
        <v>22102</v>
      </c>
      <c r="BC628" t="str">
        <f t="shared" si="38"/>
        <v>UNITED STATES OF AMERICA</v>
      </c>
      <c r="BD628" t="str">
        <f>""</f>
        <v/>
      </c>
      <c r="BE628" t="str">
        <f>"+14695052762"</f>
        <v>+14695052762</v>
      </c>
      <c r="BF628" t="str">
        <f>""</f>
        <v/>
      </c>
      <c r="BG628" t="str">
        <f>"xfrancis@balglobal.com"</f>
        <v>xfrancis@balglobal.com</v>
      </c>
      <c r="BH628" t="str">
        <f>"Berry Appleman &amp; Leiden LLP"</f>
        <v>Berry Appleman &amp; Leiden LLP</v>
      </c>
      <c r="BI628" t="str">
        <f>"DC"</f>
        <v>DC</v>
      </c>
      <c r="BJ628" t="str">
        <f>"Court of Appeals"</f>
        <v>Court of Appeals</v>
      </c>
      <c r="BK628">
        <v>1</v>
      </c>
      <c r="BL628" t="s">
        <v>102</v>
      </c>
      <c r="BM628" t="str">
        <f>""</f>
        <v/>
      </c>
      <c r="BN628" t="s">
        <v>7301</v>
      </c>
      <c r="BP628" t="s">
        <v>261</v>
      </c>
      <c r="BQ628" t="s">
        <v>183</v>
      </c>
      <c r="BR628" t="s">
        <v>176</v>
      </c>
      <c r="BS628" s="5">
        <v>98109</v>
      </c>
      <c r="BT628" s="2">
        <v>155000</v>
      </c>
      <c r="BV628" t="s">
        <v>105</v>
      </c>
      <c r="BW628" s="2">
        <v>143998</v>
      </c>
      <c r="BX628" t="s">
        <v>105</v>
      </c>
      <c r="BZ628" t="s">
        <v>167</v>
      </c>
      <c r="CA628" t="str">
        <f>"7/1/2020 - 6/30/2021"</f>
        <v>7/1/2020 - 6/30/2021</v>
      </c>
      <c r="CF628">
        <v>1</v>
      </c>
      <c r="CG628" t="s">
        <v>98</v>
      </c>
      <c r="CH628" t="s">
        <v>206</v>
      </c>
      <c r="CI628" t="s">
        <v>206</v>
      </c>
      <c r="CL628" t="s">
        <v>108</v>
      </c>
      <c r="CM628" t="s">
        <v>109</v>
      </c>
      <c r="CN628" t="str">
        <f>""</f>
        <v/>
      </c>
      <c r="CO628" t="str">
        <f>""</f>
        <v/>
      </c>
      <c r="CP628" t="str">
        <f>""</f>
        <v/>
      </c>
      <c r="CQ628" t="str">
        <f>""</f>
        <v/>
      </c>
    </row>
    <row r="629" spans="1:96" x14ac:dyDescent="0.2">
      <c r="A629" t="s">
        <v>7319</v>
      </c>
      <c r="B629" t="s">
        <v>96</v>
      </c>
      <c r="C629" s="1">
        <v>44098</v>
      </c>
      <c r="D629" s="1">
        <v>44105</v>
      </c>
      <c r="F629" t="s">
        <v>97</v>
      </c>
      <c r="G629" t="str">
        <f>"Associate, Credit Derivatives"</f>
        <v>Associate, Credit Derivatives</v>
      </c>
      <c r="H629" t="s">
        <v>12213</v>
      </c>
      <c r="I629" t="s">
        <v>493</v>
      </c>
      <c r="J629" t="s">
        <v>98</v>
      </c>
      <c r="K629" s="1">
        <v>44109</v>
      </c>
      <c r="L629" s="1">
        <v>45203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7320</v>
      </c>
      <c r="U629" t="str">
        <f>""</f>
        <v/>
      </c>
      <c r="V629" t="s">
        <v>5546</v>
      </c>
      <c r="W629" t="str">
        <f>""</f>
        <v/>
      </c>
      <c r="X629" t="s">
        <v>277</v>
      </c>
      <c r="Y629" t="s">
        <v>190</v>
      </c>
      <c r="Z629" s="3">
        <v>10019</v>
      </c>
      <c r="AA629" t="s">
        <v>101</v>
      </c>
      <c r="AC629" s="4" t="str">
        <f>"+12126679793"</f>
        <v>+12126679793</v>
      </c>
      <c r="AE629" t="str">
        <f>"523110"</f>
        <v>523110</v>
      </c>
      <c r="AF629" t="s">
        <v>5547</v>
      </c>
      <c r="AG629" t="s">
        <v>3665</v>
      </c>
      <c r="AI629" t="s">
        <v>5548</v>
      </c>
      <c r="AJ629" t="s">
        <v>5546</v>
      </c>
      <c r="AK629" t="str">
        <f>""</f>
        <v/>
      </c>
      <c r="AL629" t="s">
        <v>277</v>
      </c>
      <c r="AM629" t="s">
        <v>190</v>
      </c>
      <c r="AN629" s="3">
        <v>10019</v>
      </c>
      <c r="AO629" t="s">
        <v>101</v>
      </c>
      <c r="AQ629" t="str">
        <f>"+12126679793"</f>
        <v>+12126679793</v>
      </c>
      <c r="AS629" t="s">
        <v>5549</v>
      </c>
      <c r="AT629" t="s">
        <v>107</v>
      </c>
      <c r="AU629" t="str">
        <f>"Dunn"</f>
        <v>Dunn</v>
      </c>
      <c r="AV629" t="str">
        <f>"Matthew"</f>
        <v>Matthew</v>
      </c>
      <c r="AW629" t="str">
        <f>"S."</f>
        <v>S.</v>
      </c>
      <c r="AX629" t="str">
        <f>"1177 Avenue of the Americas"</f>
        <v>1177 Avenue of the Americas</v>
      </c>
      <c r="AY629" t="str">
        <f>""</f>
        <v/>
      </c>
      <c r="AZ629" t="str">
        <f>"New York"</f>
        <v>New York</v>
      </c>
      <c r="BA629" t="str">
        <f>"NY"</f>
        <v>NY</v>
      </c>
      <c r="BB629" s="3">
        <v>10036</v>
      </c>
      <c r="BC629" t="str">
        <f t="shared" si="38"/>
        <v>UNITED STATES OF AMERICA</v>
      </c>
      <c r="BD629" t="str">
        <f>""</f>
        <v/>
      </c>
      <c r="BE629" t="str">
        <f>"+12127159408"</f>
        <v>+12127159408</v>
      </c>
      <c r="BF629" t="str">
        <f>""</f>
        <v/>
      </c>
      <c r="BG629" t="str">
        <f>"bmichaels@kramerlevin.com"</f>
        <v>bmichaels@kramerlevin.com</v>
      </c>
      <c r="BH629" t="str">
        <f>"Kramer Levin Naftalis &amp; Frankel LLP"</f>
        <v>Kramer Levin Naftalis &amp; Frankel LLP</v>
      </c>
      <c r="BI629" t="str">
        <f>"NY"</f>
        <v>NY</v>
      </c>
      <c r="BJ629" t="str">
        <f>"Court of Appeals"</f>
        <v>Court of Appeals</v>
      </c>
      <c r="BK629">
        <v>1</v>
      </c>
      <c r="BL629" t="s">
        <v>102</v>
      </c>
      <c r="BM629" t="str">
        <f>""</f>
        <v/>
      </c>
      <c r="BN629" t="s">
        <v>5546</v>
      </c>
      <c r="BP629" t="s">
        <v>277</v>
      </c>
      <c r="BQ629" t="s">
        <v>189</v>
      </c>
      <c r="BR629" t="s">
        <v>190</v>
      </c>
      <c r="BS629" s="5">
        <v>10019</v>
      </c>
      <c r="BT629" s="2">
        <v>95000</v>
      </c>
      <c r="BU629" s="2">
        <v>105000</v>
      </c>
      <c r="BV629" t="s">
        <v>105</v>
      </c>
      <c r="BW629" s="2">
        <v>93825</v>
      </c>
      <c r="BX629" t="s">
        <v>105</v>
      </c>
      <c r="CA629" t="str">
        <f>""</f>
        <v/>
      </c>
      <c r="CB629" t="s">
        <v>244</v>
      </c>
      <c r="CC629">
        <v>2019</v>
      </c>
      <c r="CD629" t="s">
        <v>245</v>
      </c>
      <c r="CE629" t="s">
        <v>7321</v>
      </c>
      <c r="CF629">
        <v>2</v>
      </c>
      <c r="CG629" t="s">
        <v>98</v>
      </c>
      <c r="CH629" t="s">
        <v>206</v>
      </c>
      <c r="CI629" t="s">
        <v>206</v>
      </c>
      <c r="CL629" t="s">
        <v>108</v>
      </c>
      <c r="CM629" t="s">
        <v>109</v>
      </c>
      <c r="CN629" t="str">
        <f>"Michaels"</f>
        <v>Michaels</v>
      </c>
      <c r="CO629" t="str">
        <f>"Beth"</f>
        <v>Beth</v>
      </c>
      <c r="CP629" t="str">
        <f>""</f>
        <v/>
      </c>
      <c r="CQ629" t="str">
        <f>"Kramer Levin Naftalis &amp; Frankel LLP"</f>
        <v>Kramer Levin Naftalis &amp; Frankel LLP</v>
      </c>
      <c r="CR629" t="s">
        <v>5550</v>
      </c>
    </row>
    <row r="630" spans="1:96" x14ac:dyDescent="0.2">
      <c r="A630" t="s">
        <v>7334</v>
      </c>
      <c r="B630" t="s">
        <v>96</v>
      </c>
      <c r="C630" s="1">
        <v>44098</v>
      </c>
      <c r="D630" s="1">
        <v>44105</v>
      </c>
      <c r="F630" t="s">
        <v>97</v>
      </c>
      <c r="G630" t="str">
        <f>"Software Engineer"</f>
        <v>Software Engineer</v>
      </c>
      <c r="H630" t="s">
        <v>12169</v>
      </c>
      <c r="I630" t="s">
        <v>124</v>
      </c>
      <c r="J630" t="s">
        <v>98</v>
      </c>
      <c r="K630" s="1">
        <v>44239</v>
      </c>
      <c r="L630" s="1">
        <v>45333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 t="s">
        <v>7335</v>
      </c>
      <c r="U630" t="str">
        <f>""</f>
        <v/>
      </c>
      <c r="V630" t="s">
        <v>7336</v>
      </c>
      <c r="W630" t="str">
        <f>""</f>
        <v/>
      </c>
      <c r="X630" t="s">
        <v>133</v>
      </c>
      <c r="Y630" t="s">
        <v>135</v>
      </c>
      <c r="Z630" s="3">
        <v>20190</v>
      </c>
      <c r="AA630" t="s">
        <v>101</v>
      </c>
      <c r="AC630" s="4" t="str">
        <f>"+17036764300"</f>
        <v>+17036764300</v>
      </c>
      <c r="AE630" t="str">
        <f>"541511"</f>
        <v>541511</v>
      </c>
      <c r="AF630" t="s">
        <v>1968</v>
      </c>
      <c r="AG630" t="s">
        <v>1338</v>
      </c>
      <c r="AH630" t="s">
        <v>1435</v>
      </c>
      <c r="AI630" t="s">
        <v>7337</v>
      </c>
      <c r="AJ630" t="s">
        <v>7338</v>
      </c>
      <c r="AK630" t="str">
        <f>"Suite 300"</f>
        <v>Suite 300</v>
      </c>
      <c r="AL630" t="s">
        <v>1521</v>
      </c>
      <c r="AM630" t="s">
        <v>577</v>
      </c>
      <c r="AN630" s="3">
        <v>32826</v>
      </c>
      <c r="AO630" t="s">
        <v>101</v>
      </c>
      <c r="AQ630" t="str">
        <f>"+14072433615"</f>
        <v>+14072433615</v>
      </c>
      <c r="AS630" t="s">
        <v>7339</v>
      </c>
      <c r="AT630" t="s">
        <v>107</v>
      </c>
      <c r="AU630" t="str">
        <f>"Jolic"</f>
        <v>Jolic</v>
      </c>
      <c r="AV630" t="str">
        <f>"Michael"</f>
        <v>Michael</v>
      </c>
      <c r="AW630" t="str">
        <f>"M"</f>
        <v>M</v>
      </c>
      <c r="AX630" t="str">
        <f>"6500 Rockside Road"</f>
        <v>6500 Rockside Road</v>
      </c>
      <c r="AY630" t="str">
        <f>"Suite 180"</f>
        <v>Suite 180</v>
      </c>
      <c r="AZ630" t="str">
        <f>"Independence"</f>
        <v>Independence</v>
      </c>
      <c r="BA630" t="str">
        <f>"OH"</f>
        <v>OH</v>
      </c>
      <c r="BB630" s="3">
        <v>44131</v>
      </c>
      <c r="BC630" t="str">
        <f t="shared" si="38"/>
        <v>UNITED STATES OF AMERICA</v>
      </c>
      <c r="BD630" t="str">
        <f>""</f>
        <v/>
      </c>
      <c r="BE630" t="str">
        <f>"+12163289878"</f>
        <v>+12163289878</v>
      </c>
      <c r="BF630" t="str">
        <f>"107"</f>
        <v>107</v>
      </c>
      <c r="BG630" t="str">
        <f>"michael@mjbimmigration.com"</f>
        <v>michael@mjbimmigration.com</v>
      </c>
      <c r="BH630" t="str">
        <f>"Martin Jolic and Bratton, LLC"</f>
        <v>Martin Jolic and Bratton, LLC</v>
      </c>
      <c r="BI630" t="str">
        <f>"OH"</f>
        <v>OH</v>
      </c>
      <c r="BJ630" t="str">
        <f>"Supreme Court"</f>
        <v>Supreme Court</v>
      </c>
      <c r="BK630">
        <v>1</v>
      </c>
      <c r="BL630" t="s">
        <v>107</v>
      </c>
      <c r="BM630" t="str">
        <f>"County of Orange"</f>
        <v>County of Orange</v>
      </c>
      <c r="BN630" t="s">
        <v>7340</v>
      </c>
      <c r="BP630" t="s">
        <v>3010</v>
      </c>
      <c r="BQ630" t="s">
        <v>377</v>
      </c>
      <c r="BR630" t="s">
        <v>141</v>
      </c>
      <c r="BS630" s="5">
        <v>92701</v>
      </c>
      <c r="BT630" s="2">
        <v>119405.45</v>
      </c>
      <c r="BV630" t="s">
        <v>105</v>
      </c>
      <c r="BW630" s="2">
        <v>99632</v>
      </c>
      <c r="BX630" t="s">
        <v>105</v>
      </c>
      <c r="BZ630" t="s">
        <v>167</v>
      </c>
      <c r="CA630" t="str">
        <f t="shared" ref="CA630:CA661" si="40">"7/1/2020 - 6/30/2021"</f>
        <v>7/1/2020 - 6/30/2021</v>
      </c>
      <c r="CF630">
        <v>2</v>
      </c>
      <c r="CG630" t="s">
        <v>98</v>
      </c>
      <c r="CH630" t="s">
        <v>206</v>
      </c>
      <c r="CI630" t="s">
        <v>206</v>
      </c>
      <c r="CL630" t="s">
        <v>108</v>
      </c>
      <c r="CM630" t="s">
        <v>109</v>
      </c>
      <c r="CN630" t="str">
        <f>""</f>
        <v/>
      </c>
      <c r="CO630" t="str">
        <f>""</f>
        <v/>
      </c>
      <c r="CP630" t="str">
        <f>""</f>
        <v/>
      </c>
      <c r="CQ630" t="str">
        <f>""</f>
        <v/>
      </c>
    </row>
    <row r="631" spans="1:96" x14ac:dyDescent="0.2">
      <c r="A631" t="s">
        <v>7359</v>
      </c>
      <c r="B631" t="s">
        <v>96</v>
      </c>
      <c r="C631" s="1">
        <v>44098</v>
      </c>
      <c r="D631" s="1">
        <v>44105</v>
      </c>
      <c r="F631" t="s">
        <v>97</v>
      </c>
      <c r="G631" t="str">
        <f>"Engineer, Lead Software Development"</f>
        <v>Engineer, Lead Software Development</v>
      </c>
      <c r="H631" t="s">
        <v>12169</v>
      </c>
      <c r="I631" t="s">
        <v>124</v>
      </c>
      <c r="J631" t="s">
        <v>98</v>
      </c>
      <c r="K631" s="1">
        <v>44234</v>
      </c>
      <c r="L631" s="1">
        <v>45328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 t="s">
        <v>7360</v>
      </c>
      <c r="U631" t="str">
        <f>""</f>
        <v/>
      </c>
      <c r="V631" t="s">
        <v>7361</v>
      </c>
      <c r="W631" t="str">
        <f>""</f>
        <v/>
      </c>
      <c r="X631" t="s">
        <v>651</v>
      </c>
      <c r="Y631" t="s">
        <v>141</v>
      </c>
      <c r="Z631" s="3">
        <v>95134</v>
      </c>
      <c r="AA631" t="s">
        <v>101</v>
      </c>
      <c r="AC631" s="4" t="str">
        <f>"+14086206220"</f>
        <v>+14086206220</v>
      </c>
      <c r="AE631" t="str">
        <f>"541511"</f>
        <v>541511</v>
      </c>
      <c r="AF631" t="s">
        <v>7362</v>
      </c>
      <c r="AG631" t="s">
        <v>1022</v>
      </c>
      <c r="AI631" t="s">
        <v>7363</v>
      </c>
      <c r="AJ631" t="s">
        <v>7364</v>
      </c>
      <c r="AK631" t="str">
        <f>""</f>
        <v/>
      </c>
      <c r="AL631" t="s">
        <v>585</v>
      </c>
      <c r="AM631" t="s">
        <v>141</v>
      </c>
      <c r="AN631" s="3">
        <v>95134</v>
      </c>
      <c r="AO631" t="s">
        <v>101</v>
      </c>
      <c r="AQ631" t="str">
        <f>"+14083348079"</f>
        <v>+14083348079</v>
      </c>
      <c r="AS631" t="s">
        <v>7365</v>
      </c>
      <c r="AT631" t="s">
        <v>107</v>
      </c>
      <c r="AU631" t="str">
        <f>"Baker Jones"</f>
        <v>Baker Jones</v>
      </c>
      <c r="AV631" t="str">
        <f>"Lisa"</f>
        <v>Lisa</v>
      </c>
      <c r="AW631" t="str">
        <f>""</f>
        <v/>
      </c>
      <c r="AX631" t="str">
        <f>"2121 Tasman Drive"</f>
        <v>2121 Tasman Drive</v>
      </c>
      <c r="AY631" t="str">
        <f>""</f>
        <v/>
      </c>
      <c r="AZ631" t="str">
        <f>"Santa Clara"</f>
        <v>Santa Clara</v>
      </c>
      <c r="BA631" t="str">
        <f>"CA"</f>
        <v>CA</v>
      </c>
      <c r="BB631" s="3">
        <v>95054</v>
      </c>
      <c r="BC631" t="str">
        <f t="shared" si="38"/>
        <v>UNITED STATES OF AMERICA</v>
      </c>
      <c r="BD631" t="str">
        <f>""</f>
        <v/>
      </c>
      <c r="BE631" t="str">
        <f>"+14089190600"</f>
        <v>+14089190600</v>
      </c>
      <c r="BF631" t="str">
        <f>""</f>
        <v/>
      </c>
      <c r="BG631" t="str">
        <f>"James.Miller@Fragomen.com"</f>
        <v>James.Miller@Fragomen.com</v>
      </c>
      <c r="BH631" t="str">
        <f>"Fragomen, Del Rey, Bernsen &amp; Loewy, LLP"</f>
        <v>Fragomen, Del Rey, Bernsen &amp; Loewy, LLP</v>
      </c>
      <c r="BI631" t="str">
        <f>"CA"</f>
        <v>CA</v>
      </c>
      <c r="BJ631" t="str">
        <f>"Supreme Court"</f>
        <v>Supreme Court</v>
      </c>
      <c r="BK631">
        <v>1</v>
      </c>
      <c r="BL631" t="s">
        <v>102</v>
      </c>
      <c r="BM631" t="str">
        <f>""</f>
        <v/>
      </c>
      <c r="BN631" t="s">
        <v>7364</v>
      </c>
      <c r="BP631" t="s">
        <v>585</v>
      </c>
      <c r="BQ631" t="s">
        <v>230</v>
      </c>
      <c r="BR631" t="s">
        <v>141</v>
      </c>
      <c r="BS631" s="5">
        <v>95134</v>
      </c>
      <c r="BT631" s="2">
        <v>120578</v>
      </c>
      <c r="BU631" s="2">
        <v>167276</v>
      </c>
      <c r="BV631" t="s">
        <v>105</v>
      </c>
      <c r="BW631" s="2">
        <v>120578</v>
      </c>
      <c r="BX631" t="s">
        <v>105</v>
      </c>
      <c r="BZ631" t="s">
        <v>167</v>
      </c>
      <c r="CA631" t="str">
        <f t="shared" si="40"/>
        <v>7/1/2020 - 6/30/2021</v>
      </c>
      <c r="CF631">
        <v>2</v>
      </c>
      <c r="CG631" t="s">
        <v>98</v>
      </c>
      <c r="CH631" t="s">
        <v>206</v>
      </c>
      <c r="CI631" t="s">
        <v>206</v>
      </c>
      <c r="CL631" t="s">
        <v>108</v>
      </c>
      <c r="CM631" t="s">
        <v>109</v>
      </c>
      <c r="CN631" t="str">
        <f>""</f>
        <v/>
      </c>
      <c r="CO631" t="str">
        <f>""</f>
        <v/>
      </c>
      <c r="CP631" t="str">
        <f>""</f>
        <v/>
      </c>
      <c r="CQ631" t="str">
        <f>""</f>
        <v/>
      </c>
    </row>
    <row r="632" spans="1:96" x14ac:dyDescent="0.2">
      <c r="A632" t="s">
        <v>7366</v>
      </c>
      <c r="B632" t="s">
        <v>96</v>
      </c>
      <c r="C632" s="1">
        <v>44098</v>
      </c>
      <c r="D632" s="1">
        <v>44105</v>
      </c>
      <c r="F632" t="s">
        <v>97</v>
      </c>
      <c r="G632" t="str">
        <f>"Computer Programmer"</f>
        <v>Computer Programmer</v>
      </c>
      <c r="H632" t="s">
        <v>12239</v>
      </c>
      <c r="I632" t="s">
        <v>378</v>
      </c>
      <c r="J632" t="s">
        <v>98</v>
      </c>
      <c r="K632" s="1">
        <v>44098</v>
      </c>
      <c r="L632" s="1">
        <v>45192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 t="s">
        <v>7367</v>
      </c>
      <c r="U632" t="str">
        <f>""</f>
        <v/>
      </c>
      <c r="V632" t="s">
        <v>7368</v>
      </c>
      <c r="W632" t="str">
        <f>""</f>
        <v/>
      </c>
      <c r="X632" t="s">
        <v>6832</v>
      </c>
      <c r="Y632" t="s">
        <v>141</v>
      </c>
      <c r="Z632" s="3">
        <v>95677</v>
      </c>
      <c r="AA632" t="s">
        <v>101</v>
      </c>
      <c r="AC632" s="4" t="str">
        <f>"+18334733338"</f>
        <v>+18334733338</v>
      </c>
      <c r="AE632" t="str">
        <f>"541511"</f>
        <v>541511</v>
      </c>
      <c r="AF632" t="s">
        <v>7369</v>
      </c>
      <c r="AG632" t="s">
        <v>2698</v>
      </c>
      <c r="AH632" t="s">
        <v>108</v>
      </c>
      <c r="AI632" t="s">
        <v>2516</v>
      </c>
      <c r="AJ632" t="s">
        <v>7368</v>
      </c>
      <c r="AK632" t="str">
        <f>""</f>
        <v/>
      </c>
      <c r="AL632" t="s">
        <v>6832</v>
      </c>
      <c r="AM632" t="s">
        <v>141</v>
      </c>
      <c r="AN632" s="3">
        <v>95677</v>
      </c>
      <c r="AO632" t="s">
        <v>101</v>
      </c>
      <c r="AQ632" t="str">
        <f>"+18334733338"</f>
        <v>+18334733338</v>
      </c>
      <c r="AS632" t="s">
        <v>7370</v>
      </c>
      <c r="AT632" t="s">
        <v>107</v>
      </c>
      <c r="AU632" t="str">
        <f>"Wang"</f>
        <v>Wang</v>
      </c>
      <c r="AV632" t="str">
        <f>"Chien-Yu"</f>
        <v>Chien-Yu</v>
      </c>
      <c r="AW632" t="str">
        <f>"Michael"</f>
        <v>Michael</v>
      </c>
      <c r="AX632" t="str">
        <f>"2730 Gateway Oaks Drive "</f>
        <v xml:space="preserve">2730 Gateway Oaks Drive </v>
      </c>
      <c r="AY632" t="str">
        <f>"Suite 208"</f>
        <v>Suite 208</v>
      </c>
      <c r="AZ632" t="str">
        <f>"Sacramento"</f>
        <v>Sacramento</v>
      </c>
      <c r="BA632" t="str">
        <f>"CA"</f>
        <v>CA</v>
      </c>
      <c r="BB632" s="3">
        <v>95833</v>
      </c>
      <c r="BC632" t="str">
        <f t="shared" si="38"/>
        <v>UNITED STATES OF AMERICA</v>
      </c>
      <c r="BD632" t="str">
        <f>""</f>
        <v/>
      </c>
      <c r="BE632" t="str">
        <f>"+19166434657"</f>
        <v>+19166434657</v>
      </c>
      <c r="BF632" t="str">
        <f>""</f>
        <v/>
      </c>
      <c r="BG632" t="str">
        <f>"mwang@wilneroreilly.com"</f>
        <v>mwang@wilneroreilly.com</v>
      </c>
      <c r="BH632" t="str">
        <f>"Wilner &amp; O'Reilly, APLC "</f>
        <v xml:space="preserve">Wilner &amp; O'Reilly, APLC </v>
      </c>
      <c r="BI632" t="str">
        <f>"CA"</f>
        <v>CA</v>
      </c>
      <c r="BJ632" t="str">
        <f>"Supreme Court"</f>
        <v>Supreme Court</v>
      </c>
      <c r="BK632">
        <v>1</v>
      </c>
      <c r="BL632" t="s">
        <v>102</v>
      </c>
      <c r="BM632" t="str">
        <f>""</f>
        <v/>
      </c>
      <c r="BN632" t="s">
        <v>7368</v>
      </c>
      <c r="BP632" t="s">
        <v>6832</v>
      </c>
      <c r="BQ632" t="s">
        <v>2273</v>
      </c>
      <c r="BR632" t="s">
        <v>141</v>
      </c>
      <c r="BS632" s="5">
        <v>95677</v>
      </c>
      <c r="BT632" s="2">
        <v>70000</v>
      </c>
      <c r="BV632" t="s">
        <v>105</v>
      </c>
      <c r="BW632" s="2">
        <v>65978</v>
      </c>
      <c r="BX632" t="s">
        <v>105</v>
      </c>
      <c r="BZ632" t="s">
        <v>167</v>
      </c>
      <c r="CA632" t="str">
        <f t="shared" si="40"/>
        <v>7/1/2020 - 6/30/2021</v>
      </c>
      <c r="CF632">
        <v>1</v>
      </c>
      <c r="CG632" t="s">
        <v>98</v>
      </c>
      <c r="CH632" t="s">
        <v>206</v>
      </c>
      <c r="CI632" t="s">
        <v>206</v>
      </c>
      <c r="CL632" t="s">
        <v>108</v>
      </c>
      <c r="CM632" t="s">
        <v>109</v>
      </c>
      <c r="CN632" t="str">
        <f>""</f>
        <v/>
      </c>
      <c r="CO632" t="str">
        <f>""</f>
        <v/>
      </c>
      <c r="CP632" t="str">
        <f>""</f>
        <v/>
      </c>
      <c r="CQ632" t="str">
        <f>""</f>
        <v/>
      </c>
    </row>
    <row r="633" spans="1:96" x14ac:dyDescent="0.2">
      <c r="A633" t="s">
        <v>7371</v>
      </c>
      <c r="B633" t="s">
        <v>96</v>
      </c>
      <c r="C633" s="1">
        <v>44098</v>
      </c>
      <c r="D633" s="1">
        <v>44105</v>
      </c>
      <c r="F633" t="s">
        <v>97</v>
      </c>
      <c r="G633" t="str">
        <f>"Sr. Medical Device Regulatory Affairs Consultant"</f>
        <v>Sr. Medical Device Regulatory Affairs Consultant</v>
      </c>
      <c r="H633" t="s">
        <v>12218</v>
      </c>
      <c r="I633" t="s">
        <v>4120</v>
      </c>
      <c r="J633" t="s">
        <v>98</v>
      </c>
      <c r="K633" s="1">
        <v>44105</v>
      </c>
      <c r="L633" s="1">
        <v>45199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 t="s">
        <v>7372</v>
      </c>
      <c r="U633" t="str">
        <f>""</f>
        <v/>
      </c>
      <c r="V633" t="s">
        <v>7373</v>
      </c>
      <c r="W633" t="str">
        <f>"Ste 300"</f>
        <v>Ste 300</v>
      </c>
      <c r="X633" t="s">
        <v>7269</v>
      </c>
      <c r="Y633" t="s">
        <v>171</v>
      </c>
      <c r="Z633" s="3">
        <v>1845</v>
      </c>
      <c r="AA633" t="s">
        <v>101</v>
      </c>
      <c r="AC633" s="4" t="str">
        <f>"+19783904453"</f>
        <v>+19783904453</v>
      </c>
      <c r="AE633" t="str">
        <f>"541611"</f>
        <v>541611</v>
      </c>
      <c r="AF633" t="s">
        <v>7374</v>
      </c>
      <c r="AG633" t="s">
        <v>2690</v>
      </c>
      <c r="AH633" t="s">
        <v>7375</v>
      </c>
      <c r="AI633" t="s">
        <v>646</v>
      </c>
      <c r="AJ633" t="s">
        <v>7373</v>
      </c>
      <c r="AK633" t="str">
        <f>"Suite 300"</f>
        <v>Suite 300</v>
      </c>
      <c r="AL633" t="s">
        <v>7269</v>
      </c>
      <c r="AM633" t="s">
        <v>171</v>
      </c>
      <c r="AN633" s="3">
        <v>1845</v>
      </c>
      <c r="AO633" t="s">
        <v>101</v>
      </c>
      <c r="AQ633" t="str">
        <f>"+19783904453"</f>
        <v>+19783904453</v>
      </c>
      <c r="AS633" t="s">
        <v>7376</v>
      </c>
      <c r="AT633" t="s">
        <v>107</v>
      </c>
      <c r="AU633" t="str">
        <f>"SU"</f>
        <v>SU</v>
      </c>
      <c r="AV633" t="str">
        <f>"Chenping"</f>
        <v>Chenping</v>
      </c>
      <c r="AW633" t="str">
        <f>""</f>
        <v/>
      </c>
      <c r="AX633" t="str">
        <f>"1065 6th Avenue"</f>
        <v>1065 6th Avenue</v>
      </c>
      <c r="AY633" t="str">
        <f>"Suite 1025"</f>
        <v>Suite 1025</v>
      </c>
      <c r="AZ633" t="str">
        <f>"New York"</f>
        <v>New York</v>
      </c>
      <c r="BA633" t="str">
        <f>"NY"</f>
        <v>NY</v>
      </c>
      <c r="BB633" s="3">
        <v>10018</v>
      </c>
      <c r="BC633" t="str">
        <f t="shared" si="38"/>
        <v>UNITED STATES OF AMERICA</v>
      </c>
      <c r="BD633" t="str">
        <f>""</f>
        <v/>
      </c>
      <c r="BE633" t="str">
        <f>"+12129206947"</f>
        <v>+12129206947</v>
      </c>
      <c r="BF633" t="str">
        <f>""</f>
        <v/>
      </c>
      <c r="BG633" t="str">
        <f>"INFO@NYISLAWFIRM.COM"</f>
        <v>INFO@NYISLAWFIRM.COM</v>
      </c>
      <c r="BH633" t="str">
        <f>"NYIS Law Firm"</f>
        <v>NYIS Law Firm</v>
      </c>
      <c r="BI633" t="str">
        <f>"NY"</f>
        <v>NY</v>
      </c>
      <c r="BJ633" t="str">
        <f>"New York Court of Appeals"</f>
        <v>New York Court of Appeals</v>
      </c>
      <c r="BK633">
        <v>1</v>
      </c>
      <c r="BL633" t="s">
        <v>102</v>
      </c>
      <c r="BM633" t="str">
        <f>""</f>
        <v/>
      </c>
      <c r="BN633" t="s">
        <v>7373</v>
      </c>
      <c r="BO633" t="s">
        <v>754</v>
      </c>
      <c r="BP633" t="s">
        <v>7269</v>
      </c>
      <c r="BQ633" t="s">
        <v>309</v>
      </c>
      <c r="BR633" t="s">
        <v>171</v>
      </c>
      <c r="BS633" s="5">
        <v>1845</v>
      </c>
      <c r="BT633" s="2">
        <v>72000</v>
      </c>
      <c r="BV633" t="s">
        <v>105</v>
      </c>
      <c r="BW633" s="2">
        <v>71032</v>
      </c>
      <c r="BX633" t="s">
        <v>105</v>
      </c>
      <c r="BZ633" t="s">
        <v>167</v>
      </c>
      <c r="CA633" t="str">
        <f t="shared" si="40"/>
        <v>7/1/2020 - 6/30/2021</v>
      </c>
      <c r="CF633">
        <v>2</v>
      </c>
      <c r="CG633" t="s">
        <v>98</v>
      </c>
      <c r="CH633" t="s">
        <v>206</v>
      </c>
      <c r="CI633" t="s">
        <v>206</v>
      </c>
      <c r="CL633" t="s">
        <v>108</v>
      </c>
      <c r="CM633" t="s">
        <v>718</v>
      </c>
      <c r="CN633" t="str">
        <f>""</f>
        <v/>
      </c>
      <c r="CO633" t="str">
        <f>""</f>
        <v/>
      </c>
      <c r="CP633" t="str">
        <f>""</f>
        <v/>
      </c>
      <c r="CQ633" t="str">
        <f>""</f>
        <v/>
      </c>
    </row>
    <row r="634" spans="1:96" x14ac:dyDescent="0.2">
      <c r="A634" t="s">
        <v>7383</v>
      </c>
      <c r="B634" t="s">
        <v>96</v>
      </c>
      <c r="C634" s="1">
        <v>44098</v>
      </c>
      <c r="D634" s="1">
        <v>44105</v>
      </c>
      <c r="F634" t="s">
        <v>97</v>
      </c>
      <c r="G634" t="str">
        <f>"VICE PRESIDENT OF OPERATIONS"</f>
        <v>VICE PRESIDENT OF OPERATIONS</v>
      </c>
      <c r="H634" t="s">
        <v>12230</v>
      </c>
      <c r="I634" t="s">
        <v>3242</v>
      </c>
      <c r="J634" t="s">
        <v>98</v>
      </c>
      <c r="K634" s="1">
        <v>44109</v>
      </c>
      <c r="L634" s="1">
        <v>44473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 t="s">
        <v>7384</v>
      </c>
      <c r="U634" t="str">
        <f>"CAMEO"</f>
        <v>CAMEO</v>
      </c>
      <c r="V634" t="s">
        <v>7385</v>
      </c>
      <c r="W634" t="str">
        <f>"SUITE 5008"</f>
        <v>SUITE 5008</v>
      </c>
      <c r="X634" t="s">
        <v>843</v>
      </c>
      <c r="Y634" t="s">
        <v>345</v>
      </c>
      <c r="Z634" s="3">
        <v>60611</v>
      </c>
      <c r="AA634" t="s">
        <v>101</v>
      </c>
      <c r="AC634" s="4" t="str">
        <f>"+19258180482"</f>
        <v>+19258180482</v>
      </c>
      <c r="AE634" t="str">
        <f>"511210"</f>
        <v>511210</v>
      </c>
      <c r="AF634" t="s">
        <v>224</v>
      </c>
      <c r="AG634" t="s">
        <v>7386</v>
      </c>
      <c r="AI634" t="s">
        <v>2208</v>
      </c>
      <c r="AJ634" t="s">
        <v>7385</v>
      </c>
      <c r="AK634" t="str">
        <f>"SUITE 5008"</f>
        <v>SUITE 5008</v>
      </c>
      <c r="AL634" t="s">
        <v>843</v>
      </c>
      <c r="AM634" t="s">
        <v>345</v>
      </c>
      <c r="AN634" s="3">
        <v>60611</v>
      </c>
      <c r="AO634" t="s">
        <v>101</v>
      </c>
      <c r="AQ634" t="str">
        <f>"+19258180482"</f>
        <v>+19258180482</v>
      </c>
      <c r="AS634" t="s">
        <v>7387</v>
      </c>
      <c r="AT634" t="s">
        <v>107</v>
      </c>
      <c r="AU634" t="str">
        <f>"Kadel"</f>
        <v>Kadel</v>
      </c>
      <c r="AV634" t="str">
        <f>"Sarah"</f>
        <v>Sarah</v>
      </c>
      <c r="AW634" t="str">
        <f>"Maxwell"</f>
        <v>Maxwell</v>
      </c>
      <c r="AX634" t="str">
        <f>"301 Congress Ave"</f>
        <v>301 Congress Ave</v>
      </c>
      <c r="AY634" t="str">
        <f>"Suite 1150"</f>
        <v>Suite 1150</v>
      </c>
      <c r="AZ634" t="str">
        <f>"Austin"</f>
        <v>Austin</v>
      </c>
      <c r="BA634" t="str">
        <f>"TX"</f>
        <v>TX</v>
      </c>
      <c r="BB634" s="3">
        <v>78701</v>
      </c>
      <c r="BC634" t="str">
        <f t="shared" si="38"/>
        <v>UNITED STATES OF AMERICA</v>
      </c>
      <c r="BD634" t="str">
        <f>""</f>
        <v/>
      </c>
      <c r="BE634" t="str">
        <f>"+15126407091"</f>
        <v>+15126407091</v>
      </c>
      <c r="BF634" t="str">
        <f>""</f>
        <v/>
      </c>
      <c r="BG634" t="str">
        <f>"sarah.kadel@ogletree.com"</f>
        <v>sarah.kadel@ogletree.com</v>
      </c>
      <c r="BH634" t="str">
        <f>"Ogletree, Deakins, Nash, Smoak &amp; Stewart, P.C."</f>
        <v>Ogletree, Deakins, Nash, Smoak &amp; Stewart, P.C.</v>
      </c>
      <c r="BI634" t="str">
        <f>"TN"</f>
        <v>TN</v>
      </c>
      <c r="BJ634" t="str">
        <f>"Tennessee Supreme Court"</f>
        <v>Tennessee Supreme Court</v>
      </c>
      <c r="BK634">
        <v>1</v>
      </c>
      <c r="BL634" t="s">
        <v>102</v>
      </c>
      <c r="BM634" t="str">
        <f>""</f>
        <v/>
      </c>
      <c r="BN634" t="s">
        <v>7388</v>
      </c>
      <c r="BP634" t="s">
        <v>2270</v>
      </c>
      <c r="BQ634" t="s">
        <v>1344</v>
      </c>
      <c r="BR634" t="s">
        <v>141</v>
      </c>
      <c r="BS634" s="5">
        <v>94596</v>
      </c>
      <c r="BT634" s="2">
        <v>225000</v>
      </c>
      <c r="BV634" t="s">
        <v>105</v>
      </c>
      <c r="BW634" s="2">
        <v>208000</v>
      </c>
      <c r="BX634" t="s">
        <v>105</v>
      </c>
      <c r="BZ634" t="s">
        <v>108</v>
      </c>
      <c r="CA634" t="str">
        <f t="shared" si="40"/>
        <v>7/1/2020 - 6/30/2021</v>
      </c>
      <c r="CF634">
        <v>1</v>
      </c>
      <c r="CG634" t="s">
        <v>98</v>
      </c>
      <c r="CH634" t="s">
        <v>206</v>
      </c>
      <c r="CI634" t="s">
        <v>206</v>
      </c>
      <c r="CL634" t="s">
        <v>108</v>
      </c>
      <c r="CM634" t="s">
        <v>109</v>
      </c>
      <c r="CN634" t="str">
        <f>""</f>
        <v/>
      </c>
      <c r="CO634" t="str">
        <f>""</f>
        <v/>
      </c>
      <c r="CP634" t="str">
        <f>""</f>
        <v/>
      </c>
      <c r="CQ634" t="str">
        <f>""</f>
        <v/>
      </c>
    </row>
    <row r="635" spans="1:96" x14ac:dyDescent="0.2">
      <c r="A635" t="s">
        <v>7393</v>
      </c>
      <c r="B635" t="s">
        <v>96</v>
      </c>
      <c r="C635" s="1">
        <v>44098</v>
      </c>
      <c r="D635" s="1">
        <v>44105</v>
      </c>
      <c r="F635" t="s">
        <v>97</v>
      </c>
      <c r="G635" t="str">
        <f>"Member of the Technical Staff (Software Engineer)"</f>
        <v>Member of the Technical Staff (Software Engineer)</v>
      </c>
      <c r="H635" t="s">
        <v>12176</v>
      </c>
      <c r="I635" t="s">
        <v>246</v>
      </c>
      <c r="J635" t="s">
        <v>98</v>
      </c>
      <c r="K635" s="1">
        <v>44123</v>
      </c>
      <c r="L635" s="1">
        <v>45217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1460</v>
      </c>
      <c r="U635" t="str">
        <f>""</f>
        <v/>
      </c>
      <c r="V635" t="s">
        <v>1461</v>
      </c>
      <c r="W635" t="str">
        <f>"N/A"</f>
        <v>N/A</v>
      </c>
      <c r="X635" t="s">
        <v>1462</v>
      </c>
      <c r="Y635" t="s">
        <v>141</v>
      </c>
      <c r="Z635" s="3">
        <v>94022</v>
      </c>
      <c r="AA635" t="s">
        <v>101</v>
      </c>
      <c r="AB635" t="s">
        <v>108</v>
      </c>
      <c r="AC635" s="4" t="str">
        <f>"+16509334980"</f>
        <v>+16509334980</v>
      </c>
      <c r="AE635" t="str">
        <f>"541512"</f>
        <v>541512</v>
      </c>
      <c r="AF635" t="s">
        <v>1463</v>
      </c>
      <c r="AG635" t="s">
        <v>1464</v>
      </c>
      <c r="AI635" t="s">
        <v>1057</v>
      </c>
      <c r="AJ635" t="s">
        <v>1465</v>
      </c>
      <c r="AK635" t="str">
        <f>""</f>
        <v/>
      </c>
      <c r="AL635" t="s">
        <v>1466</v>
      </c>
      <c r="AM635" t="s">
        <v>141</v>
      </c>
      <c r="AN635" s="3">
        <v>94022</v>
      </c>
      <c r="AO635" t="s">
        <v>101</v>
      </c>
      <c r="AQ635" t="str">
        <f>"+16509334980"</f>
        <v>+16509334980</v>
      </c>
      <c r="AS635" t="s">
        <v>1467</v>
      </c>
      <c r="AT635" t="s">
        <v>107</v>
      </c>
      <c r="AU635" t="str">
        <f>"LUE"</f>
        <v>LUE</v>
      </c>
      <c r="AV635" t="str">
        <f>"SHARON"</f>
        <v>SHARON</v>
      </c>
      <c r="AW635" t="str">
        <f>"SHYANG"</f>
        <v>SHYANG</v>
      </c>
      <c r="AX635" t="str">
        <f>"20111 STEVENS CREEK BLVD."</f>
        <v>20111 STEVENS CREEK BLVD.</v>
      </c>
      <c r="AY635" t="str">
        <f>"SUITE 210"</f>
        <v>SUITE 210</v>
      </c>
      <c r="AZ635" t="str">
        <f>"CUPERTINO"</f>
        <v>CUPERTINO</v>
      </c>
      <c r="BA635" t="str">
        <f>"CA"</f>
        <v>CA</v>
      </c>
      <c r="BB635" s="3">
        <v>95014</v>
      </c>
      <c r="BC635" t="str">
        <f t="shared" si="38"/>
        <v>UNITED STATES OF AMERICA</v>
      </c>
      <c r="BD635" t="str">
        <f>"N/A"</f>
        <v>N/A</v>
      </c>
      <c r="BE635" t="str">
        <f>"+14082462396"</f>
        <v>+14082462396</v>
      </c>
      <c r="BF635" t="str">
        <f>""</f>
        <v/>
      </c>
      <c r="BG635" t="str">
        <f>"ATTORNEY@SHARONLUE.COM"</f>
        <v>ATTORNEY@SHARONLUE.COM</v>
      </c>
      <c r="BH635" t="str">
        <f>"Law Office of Sharon Lue"</f>
        <v>Law Office of Sharon Lue</v>
      </c>
      <c r="BI635" t="str">
        <f>"CA"</f>
        <v>CA</v>
      </c>
      <c r="BJ635" t="str">
        <f>"SUPREME COURT"</f>
        <v>SUPREME COURT</v>
      </c>
      <c r="BK635">
        <v>1</v>
      </c>
      <c r="BL635" t="s">
        <v>102</v>
      </c>
      <c r="BM635" t="str">
        <f>""</f>
        <v/>
      </c>
      <c r="BN635" t="s">
        <v>7015</v>
      </c>
      <c r="BO635" t="s">
        <v>667</v>
      </c>
      <c r="BP635" t="s">
        <v>1466</v>
      </c>
      <c r="BQ635" t="s">
        <v>230</v>
      </c>
      <c r="BR635" t="s">
        <v>141</v>
      </c>
      <c r="BS635" s="5">
        <v>94022</v>
      </c>
      <c r="BT635" s="2">
        <v>170872</v>
      </c>
      <c r="BU635" s="2">
        <v>185000</v>
      </c>
      <c r="BV635" t="s">
        <v>105</v>
      </c>
      <c r="BW635" s="2">
        <v>170872</v>
      </c>
      <c r="BX635" t="s">
        <v>105</v>
      </c>
      <c r="BZ635" t="s">
        <v>159</v>
      </c>
      <c r="CA635" t="str">
        <f t="shared" si="40"/>
        <v>7/1/2020 - 6/30/2021</v>
      </c>
      <c r="CF635">
        <v>2</v>
      </c>
      <c r="CG635" t="s">
        <v>98</v>
      </c>
      <c r="CH635" t="s">
        <v>206</v>
      </c>
      <c r="CI635" t="s">
        <v>206</v>
      </c>
      <c r="CL635" t="s">
        <v>108</v>
      </c>
      <c r="CM635" t="s">
        <v>109</v>
      </c>
      <c r="CN635" t="str">
        <f>""</f>
        <v/>
      </c>
      <c r="CO635" t="str">
        <f>""</f>
        <v/>
      </c>
      <c r="CP635" t="str">
        <f>""</f>
        <v/>
      </c>
      <c r="CQ635" t="str">
        <f>""</f>
        <v/>
      </c>
    </row>
    <row r="636" spans="1:96" x14ac:dyDescent="0.2">
      <c r="A636" t="s">
        <v>7400</v>
      </c>
      <c r="B636" t="s">
        <v>96</v>
      </c>
      <c r="C636" s="1">
        <v>44098</v>
      </c>
      <c r="D636" s="1">
        <v>44105</v>
      </c>
      <c r="F636" t="s">
        <v>97</v>
      </c>
      <c r="G636" t="str">
        <f>"Senior Consultant "</f>
        <v xml:space="preserve">Senior Consultant </v>
      </c>
      <c r="H636" t="s">
        <v>12169</v>
      </c>
      <c r="I636" t="s">
        <v>124</v>
      </c>
      <c r="J636" t="s">
        <v>98</v>
      </c>
      <c r="K636" s="1">
        <v>44275</v>
      </c>
      <c r="L636" s="1">
        <v>45370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 t="s">
        <v>737</v>
      </c>
      <c r="U636" t="str">
        <f>""</f>
        <v/>
      </c>
      <c r="V636" t="s">
        <v>738</v>
      </c>
      <c r="W636" t="str">
        <f>""</f>
        <v/>
      </c>
      <c r="X636" t="s">
        <v>510</v>
      </c>
      <c r="Y636" t="s">
        <v>127</v>
      </c>
      <c r="Z636" s="3">
        <v>19103</v>
      </c>
      <c r="AA636" t="s">
        <v>101</v>
      </c>
      <c r="AC636" s="4" t="str">
        <f>"+16179608170"</f>
        <v>+16179608170</v>
      </c>
      <c r="AE636" t="str">
        <f>"541611"</f>
        <v>541611</v>
      </c>
      <c r="AF636" t="s">
        <v>739</v>
      </c>
      <c r="AG636" t="s">
        <v>740</v>
      </c>
      <c r="AI636" t="s">
        <v>392</v>
      </c>
      <c r="AJ636" t="s">
        <v>738</v>
      </c>
      <c r="AK636" t="str">
        <f>""</f>
        <v/>
      </c>
      <c r="AL636" t="s">
        <v>510</v>
      </c>
      <c r="AM636" t="s">
        <v>127</v>
      </c>
      <c r="AN636" s="3">
        <v>19103</v>
      </c>
      <c r="AO636" t="s">
        <v>101</v>
      </c>
      <c r="AQ636" t="str">
        <f>"+16179608170"</f>
        <v>+16179608170</v>
      </c>
      <c r="AS636" t="s">
        <v>222</v>
      </c>
      <c r="AT636" t="s">
        <v>107</v>
      </c>
      <c r="AU636" t="str">
        <f>"GANDHI"</f>
        <v>GANDHI</v>
      </c>
      <c r="AV636" t="str">
        <f>"JESSICA"</f>
        <v>JESSICA</v>
      </c>
      <c r="AW636" t="str">
        <f>""</f>
        <v/>
      </c>
      <c r="AX636" t="str">
        <f>"2400 NORTH GLENVILLE DRIVE"</f>
        <v>2400 NORTH GLENVILLE DRIVE</v>
      </c>
      <c r="AY636" t="str">
        <f>"Building A, SUITE 100"</f>
        <v>Building A, SUITE 100</v>
      </c>
      <c r="AZ636" t="str">
        <f>"RICHARDSON"</f>
        <v>RICHARDSON</v>
      </c>
      <c r="BA636" t="str">
        <f>"TX"</f>
        <v>TX</v>
      </c>
      <c r="BB636" s="3">
        <v>75082</v>
      </c>
      <c r="BC636" t="str">
        <f t="shared" si="38"/>
        <v>UNITED STATES OF AMERICA</v>
      </c>
      <c r="BD636" t="str">
        <f>""</f>
        <v/>
      </c>
      <c r="BE636" t="str">
        <f>"+14693003253"</f>
        <v>+14693003253</v>
      </c>
      <c r="BF636" t="str">
        <f>""</f>
        <v/>
      </c>
      <c r="BG636" t="str">
        <f>"JEGANDHI@BALGLOBAL.COM"</f>
        <v>JEGANDHI@BALGLOBAL.COM</v>
      </c>
      <c r="BH636" t="str">
        <f>"BERRY APPLEMAN &amp; LEIDEN LLP"</f>
        <v>BERRY APPLEMAN &amp; LEIDEN LLP</v>
      </c>
      <c r="BI636" t="str">
        <f>"IL"</f>
        <v>IL</v>
      </c>
      <c r="BJ636" t="str">
        <f>"SUPREME COURT OF ILLINOIS"</f>
        <v>SUPREME COURT OF ILLINOIS</v>
      </c>
      <c r="BK636">
        <v>1</v>
      </c>
      <c r="BL636" t="s">
        <v>102</v>
      </c>
      <c r="BM636" t="str">
        <f>""</f>
        <v/>
      </c>
      <c r="BN636" t="s">
        <v>6922</v>
      </c>
      <c r="BO636" t="s">
        <v>1056</v>
      </c>
      <c r="BP636" t="s">
        <v>595</v>
      </c>
      <c r="BQ636" t="s">
        <v>484</v>
      </c>
      <c r="BR636" t="s">
        <v>114</v>
      </c>
      <c r="BS636" s="5">
        <v>75201</v>
      </c>
      <c r="BT636" s="2">
        <v>146000</v>
      </c>
      <c r="BV636" t="s">
        <v>105</v>
      </c>
      <c r="BW636" s="2">
        <v>93558</v>
      </c>
      <c r="BX636" t="s">
        <v>105</v>
      </c>
      <c r="BZ636" t="s">
        <v>167</v>
      </c>
      <c r="CA636" t="str">
        <f t="shared" si="40"/>
        <v>7/1/2020 - 6/30/2021</v>
      </c>
      <c r="CF636">
        <v>2</v>
      </c>
      <c r="CG636" t="s">
        <v>98</v>
      </c>
      <c r="CH636" t="s">
        <v>206</v>
      </c>
      <c r="CI636" t="s">
        <v>206</v>
      </c>
      <c r="CL636" t="s">
        <v>108</v>
      </c>
      <c r="CM636" t="s">
        <v>109</v>
      </c>
      <c r="CN636" t="str">
        <f>"Verrill"</f>
        <v>Verrill</v>
      </c>
      <c r="CO636" t="str">
        <f>"Ruston "</f>
        <v xml:space="preserve">Ruston </v>
      </c>
      <c r="CP636" t="str">
        <f>""</f>
        <v/>
      </c>
      <c r="CQ636" t="str">
        <f>"Berry Appleman &amp; Leiden LLP "</f>
        <v xml:space="preserve">Berry Appleman &amp; Leiden LLP </v>
      </c>
      <c r="CR636" t="s">
        <v>1633</v>
      </c>
    </row>
    <row r="637" spans="1:96" x14ac:dyDescent="0.2">
      <c r="A637" t="s">
        <v>7411</v>
      </c>
      <c r="B637" t="s">
        <v>96</v>
      </c>
      <c r="C637" s="1">
        <v>44098</v>
      </c>
      <c r="D637" s="1">
        <v>44105</v>
      </c>
      <c r="F637" t="s">
        <v>97</v>
      </c>
      <c r="G637" t="str">
        <f>"SENIOR DATA ENGINEER (20012.3395)"</f>
        <v>SENIOR DATA ENGINEER (20012.3395)</v>
      </c>
      <c r="H637" t="s">
        <v>12169</v>
      </c>
      <c r="I637" t="s">
        <v>124</v>
      </c>
      <c r="J637" t="s">
        <v>98</v>
      </c>
      <c r="K637" s="1">
        <v>44109</v>
      </c>
      <c r="L637" s="1">
        <v>45203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3801</v>
      </c>
      <c r="U637" t="str">
        <f>""</f>
        <v/>
      </c>
      <c r="V637" t="s">
        <v>3802</v>
      </c>
      <c r="W637" t="str">
        <f>""</f>
        <v/>
      </c>
      <c r="X637" t="s">
        <v>184</v>
      </c>
      <c r="Y637" t="s">
        <v>186</v>
      </c>
      <c r="Z637" s="3">
        <v>55344</v>
      </c>
      <c r="AA637" t="s">
        <v>101</v>
      </c>
      <c r="AC637" s="4" t="str">
        <f>"+19529361616"</f>
        <v>+19529361616</v>
      </c>
      <c r="AE637" t="str">
        <f>"541512"</f>
        <v>541512</v>
      </c>
      <c r="AF637" t="s">
        <v>3135</v>
      </c>
      <c r="AG637" t="s">
        <v>3136</v>
      </c>
      <c r="AI637" t="s">
        <v>3137</v>
      </c>
      <c r="AJ637" t="s">
        <v>3138</v>
      </c>
      <c r="AK637" t="str">
        <f>""</f>
        <v/>
      </c>
      <c r="AL637" t="s">
        <v>3139</v>
      </c>
      <c r="AM637" t="s">
        <v>186</v>
      </c>
      <c r="AN637" s="3">
        <v>55343</v>
      </c>
      <c r="AO637" t="s">
        <v>101</v>
      </c>
      <c r="AQ637" t="str">
        <f>"+19529361616"</f>
        <v>+19529361616</v>
      </c>
      <c r="AS637" t="s">
        <v>3140</v>
      </c>
      <c r="AT637" t="s">
        <v>107</v>
      </c>
      <c r="AU637" t="str">
        <f>"Petzold"</f>
        <v>Petzold</v>
      </c>
      <c r="AV637" t="str">
        <f>"Rick"</f>
        <v>Rick</v>
      </c>
      <c r="AW637" t="str">
        <f>""</f>
        <v/>
      </c>
      <c r="AX637" t="str">
        <f>"2400 N. Glenville Drive, Building A"</f>
        <v>2400 N. Glenville Drive, Building A</v>
      </c>
      <c r="AY637" t="str">
        <f>"Suite 100"</f>
        <v>Suite 100</v>
      </c>
      <c r="AZ637" t="str">
        <f>"Richardson"</f>
        <v>Richardson</v>
      </c>
      <c r="BA637" t="str">
        <f>"TX"</f>
        <v>TX</v>
      </c>
      <c r="BB637" s="3">
        <v>75082</v>
      </c>
      <c r="BC637" t="str">
        <f t="shared" si="38"/>
        <v>UNITED STATES OF AMERICA</v>
      </c>
      <c r="BD637" t="str">
        <f>""</f>
        <v/>
      </c>
      <c r="BE637" t="str">
        <f>"+19727296094"</f>
        <v>+19727296094</v>
      </c>
      <c r="BF637" t="str">
        <f>""</f>
        <v/>
      </c>
      <c r="BG637" t="str">
        <f>"nchung@balglobal.com"</f>
        <v>nchung@balglobal.com</v>
      </c>
      <c r="BH637" t="str">
        <f>"Berry Appleman &amp; Leiden LLP"</f>
        <v>Berry Appleman &amp; Leiden LLP</v>
      </c>
      <c r="BI637" t="str">
        <f>"NJ"</f>
        <v>NJ</v>
      </c>
      <c r="BJ637" t="str">
        <f>"New Jersey Supreme Court"</f>
        <v>New Jersey Supreme Court</v>
      </c>
      <c r="BK637">
        <v>1</v>
      </c>
      <c r="BL637" t="s">
        <v>102</v>
      </c>
      <c r="BM637" t="str">
        <f>""</f>
        <v/>
      </c>
      <c r="BN637" t="s">
        <v>7412</v>
      </c>
      <c r="BO637" t="s">
        <v>7413</v>
      </c>
      <c r="BP637" t="s">
        <v>2225</v>
      </c>
      <c r="BQ637" t="s">
        <v>547</v>
      </c>
      <c r="BR637" t="s">
        <v>280</v>
      </c>
      <c r="BS637" s="5">
        <v>6103</v>
      </c>
      <c r="BT637" s="2">
        <v>101296</v>
      </c>
      <c r="BU637" s="2">
        <v>126270</v>
      </c>
      <c r="BV637" t="s">
        <v>105</v>
      </c>
      <c r="BW637" s="2">
        <v>101296</v>
      </c>
      <c r="BX637" t="s">
        <v>105</v>
      </c>
      <c r="BZ637" t="s">
        <v>123</v>
      </c>
      <c r="CA637" t="str">
        <f t="shared" si="40"/>
        <v>7/1/2020 - 6/30/2021</v>
      </c>
      <c r="CF637">
        <v>2</v>
      </c>
      <c r="CG637" t="s">
        <v>98</v>
      </c>
      <c r="CH637" t="s">
        <v>206</v>
      </c>
      <c r="CI637" t="s">
        <v>206</v>
      </c>
      <c r="CL637" t="s">
        <v>108</v>
      </c>
      <c r="CM637" t="s">
        <v>109</v>
      </c>
      <c r="CN637" t="str">
        <f>"CHUNG"</f>
        <v>CHUNG</v>
      </c>
      <c r="CO637" t="str">
        <f>"NURI"</f>
        <v>NURI</v>
      </c>
      <c r="CP637" t="str">
        <f>""</f>
        <v/>
      </c>
      <c r="CQ637" t="str">
        <f>"BERRY APPLEMAN &amp; LEIDEN LLP"</f>
        <v>BERRY APPLEMAN &amp; LEIDEN LLP</v>
      </c>
      <c r="CR637" t="s">
        <v>2681</v>
      </c>
    </row>
    <row r="638" spans="1:96" x14ac:dyDescent="0.2">
      <c r="A638" t="s">
        <v>7428</v>
      </c>
      <c r="B638" t="s">
        <v>96</v>
      </c>
      <c r="C638" s="1">
        <v>44098</v>
      </c>
      <c r="D638" s="1">
        <v>44105</v>
      </c>
      <c r="F638" t="s">
        <v>97</v>
      </c>
      <c r="G638" t="str">
        <f>"Software Engineer"</f>
        <v>Software Engineer</v>
      </c>
      <c r="H638" t="s">
        <v>12176</v>
      </c>
      <c r="I638" t="s">
        <v>246</v>
      </c>
      <c r="J638" t="s">
        <v>98</v>
      </c>
      <c r="K638" s="1">
        <v>44117</v>
      </c>
      <c r="L638" s="1">
        <v>45211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 t="s">
        <v>4150</v>
      </c>
      <c r="U638" t="str">
        <f>""</f>
        <v/>
      </c>
      <c r="V638" t="s">
        <v>4151</v>
      </c>
      <c r="W638" t="str">
        <f>""</f>
        <v/>
      </c>
      <c r="X638" t="s">
        <v>468</v>
      </c>
      <c r="Y638" t="s">
        <v>141</v>
      </c>
      <c r="Z638" s="3">
        <v>94025</v>
      </c>
      <c r="AA638" t="s">
        <v>101</v>
      </c>
      <c r="AB638" t="s">
        <v>4245</v>
      </c>
      <c r="AC638" s="4" t="str">
        <f>"+16504601700"</f>
        <v>+16504601700</v>
      </c>
      <c r="AE638" t="str">
        <f>"523120"</f>
        <v>523120</v>
      </c>
      <c r="AF638" t="s">
        <v>4152</v>
      </c>
      <c r="AG638" t="s">
        <v>220</v>
      </c>
      <c r="AH638" t="s">
        <v>108</v>
      </c>
      <c r="AI638" t="s">
        <v>4153</v>
      </c>
      <c r="AJ638" t="s">
        <v>4151</v>
      </c>
      <c r="AK638" t="str">
        <f>""</f>
        <v/>
      </c>
      <c r="AL638" t="s">
        <v>468</v>
      </c>
      <c r="AM638" t="s">
        <v>141</v>
      </c>
      <c r="AN638" s="3">
        <v>94025</v>
      </c>
      <c r="AO638" t="s">
        <v>101</v>
      </c>
      <c r="AQ638" t="str">
        <f>"+16502739734"</f>
        <v>+16502739734</v>
      </c>
      <c r="AS638" t="s">
        <v>4154</v>
      </c>
      <c r="AT638" t="s">
        <v>107</v>
      </c>
      <c r="AU638" t="str">
        <f>"Gillespie"</f>
        <v>Gillespie</v>
      </c>
      <c r="AV638" t="str">
        <f>"Catherine"</f>
        <v>Catherine</v>
      </c>
      <c r="AW638" t="str">
        <f>""</f>
        <v/>
      </c>
      <c r="AX638" t="str">
        <f>"465 California Street"</f>
        <v>465 California Street</v>
      </c>
      <c r="AY638" t="str">
        <f>"Suite 700"</f>
        <v>Suite 700</v>
      </c>
      <c r="AZ638" t="str">
        <f>"San Francisco"</f>
        <v>San Francisco</v>
      </c>
      <c r="BA638" t="str">
        <f>"CA"</f>
        <v>CA</v>
      </c>
      <c r="BB638" s="3">
        <v>94104</v>
      </c>
      <c r="BC638" t="str">
        <f t="shared" si="38"/>
        <v>UNITED STATES OF AMERICA</v>
      </c>
      <c r="BD638" t="str">
        <f>""</f>
        <v/>
      </c>
      <c r="BE638" t="str">
        <f>"+14157717500"</f>
        <v>+14157717500</v>
      </c>
      <c r="BF638" t="str">
        <f>""</f>
        <v/>
      </c>
      <c r="BG638" t="str">
        <f>"robinhood@pearllawgroup.com"</f>
        <v>robinhood@pearllawgroup.com</v>
      </c>
      <c r="BH638" t="str">
        <f>"Pearl Law Group"</f>
        <v>Pearl Law Group</v>
      </c>
      <c r="BI638" t="str">
        <f>"CA"</f>
        <v>CA</v>
      </c>
      <c r="BJ638" t="str">
        <f>"Supreme Court"</f>
        <v>Supreme Court</v>
      </c>
      <c r="BK638">
        <v>1</v>
      </c>
      <c r="BL638" t="s">
        <v>102</v>
      </c>
      <c r="BM638" t="str">
        <f>""</f>
        <v/>
      </c>
      <c r="BN638" t="s">
        <v>4151</v>
      </c>
      <c r="BP638" t="s">
        <v>468</v>
      </c>
      <c r="BQ638" t="s">
        <v>994</v>
      </c>
      <c r="BR638" t="s">
        <v>141</v>
      </c>
      <c r="BS638" s="5">
        <v>94025</v>
      </c>
      <c r="BT638" s="2">
        <v>170000</v>
      </c>
      <c r="BU638" s="2">
        <v>215000</v>
      </c>
      <c r="BV638" t="s">
        <v>105</v>
      </c>
      <c r="BW638" s="2">
        <v>169562</v>
      </c>
      <c r="BX638" t="s">
        <v>105</v>
      </c>
      <c r="BZ638" t="s">
        <v>159</v>
      </c>
      <c r="CA638" t="str">
        <f t="shared" si="40"/>
        <v>7/1/2020 - 6/30/2021</v>
      </c>
      <c r="CF638">
        <v>1</v>
      </c>
      <c r="CG638" t="s">
        <v>98</v>
      </c>
      <c r="CH638" t="s">
        <v>206</v>
      </c>
      <c r="CI638" t="s">
        <v>206</v>
      </c>
      <c r="CL638" t="s">
        <v>108</v>
      </c>
      <c r="CM638" t="s">
        <v>109</v>
      </c>
      <c r="CN638" t="str">
        <f>""</f>
        <v/>
      </c>
      <c r="CO638" t="str">
        <f>""</f>
        <v/>
      </c>
      <c r="CP638" t="str">
        <f>""</f>
        <v/>
      </c>
      <c r="CQ638" t="str">
        <f>""</f>
        <v/>
      </c>
    </row>
    <row r="639" spans="1:96" x14ac:dyDescent="0.2">
      <c r="A639" t="s">
        <v>7450</v>
      </c>
      <c r="B639" t="s">
        <v>96</v>
      </c>
      <c r="C639" s="1">
        <v>44098</v>
      </c>
      <c r="D639" s="1">
        <v>44105</v>
      </c>
      <c r="F639" t="s">
        <v>97</v>
      </c>
      <c r="G639" t="str">
        <f>"Developer II"</f>
        <v>Developer II</v>
      </c>
      <c r="H639" t="s">
        <v>12169</v>
      </c>
      <c r="I639" t="s">
        <v>124</v>
      </c>
      <c r="J639" t="s">
        <v>98</v>
      </c>
      <c r="K639" s="1">
        <v>44109</v>
      </c>
      <c r="L639" s="1">
        <v>45203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 t="s">
        <v>5387</v>
      </c>
      <c r="U639" t="str">
        <f>""</f>
        <v/>
      </c>
      <c r="V639" t="s">
        <v>2249</v>
      </c>
      <c r="W639" t="str">
        <f>""</f>
        <v/>
      </c>
      <c r="X639" t="s">
        <v>1213</v>
      </c>
      <c r="Y639" t="s">
        <v>100</v>
      </c>
      <c r="Z639" s="3">
        <v>7310</v>
      </c>
      <c r="AA639" t="s">
        <v>101</v>
      </c>
      <c r="AC639" s="4" t="str">
        <f>"+12014694107"</f>
        <v>+12014694107</v>
      </c>
      <c r="AE639" t="str">
        <f>"541611"</f>
        <v>541611</v>
      </c>
      <c r="AF639" t="s">
        <v>5388</v>
      </c>
      <c r="AG639" t="s">
        <v>5389</v>
      </c>
      <c r="AI639" t="s">
        <v>7128</v>
      </c>
      <c r="AJ639" t="s">
        <v>2249</v>
      </c>
      <c r="AK639" t="str">
        <f>""</f>
        <v/>
      </c>
      <c r="AL639" t="s">
        <v>1213</v>
      </c>
      <c r="AM639" t="s">
        <v>100</v>
      </c>
      <c r="AN639" s="3">
        <v>7310</v>
      </c>
      <c r="AO639" t="s">
        <v>101</v>
      </c>
      <c r="AQ639" t="str">
        <f>"+12014694107"</f>
        <v>+12014694107</v>
      </c>
      <c r="AS639" t="s">
        <v>7129</v>
      </c>
      <c r="AT639" t="s">
        <v>107</v>
      </c>
      <c r="AU639" t="str">
        <f>"Preston"</f>
        <v>Preston</v>
      </c>
      <c r="AV639" t="str">
        <f>"Christopher"</f>
        <v>Christopher</v>
      </c>
      <c r="AW639" t="str">
        <f>"James"</f>
        <v>James</v>
      </c>
      <c r="AX639" t="str">
        <f>"230 W Monroe Street [625475]"</f>
        <v>230 W Monroe Street [625475]</v>
      </c>
      <c r="AY639" t="str">
        <f>"Suite 2800"</f>
        <v>Suite 2800</v>
      </c>
      <c r="AZ639" t="str">
        <f>"Chicago"</f>
        <v>Chicago</v>
      </c>
      <c r="BA639" t="str">
        <f>"IL"</f>
        <v>IL</v>
      </c>
      <c r="BB639" s="3">
        <v>60606</v>
      </c>
      <c r="BC639" t="str">
        <f t="shared" si="38"/>
        <v>UNITED STATES OF AMERICA</v>
      </c>
      <c r="BD639" t="str">
        <f>""</f>
        <v/>
      </c>
      <c r="BE639" t="str">
        <f>"+13127226300"</f>
        <v>+13127226300</v>
      </c>
      <c r="BF639" t="str">
        <f>""</f>
        <v/>
      </c>
      <c r="BG639" t="str">
        <f>"chris.preston@giafirm.com"</f>
        <v>chris.preston@giafirm.com</v>
      </c>
      <c r="BH639" t="str">
        <f>"Global Immigration Associates, P.C."</f>
        <v>Global Immigration Associates, P.C.</v>
      </c>
      <c r="BI639" t="str">
        <f>"NE"</f>
        <v>NE</v>
      </c>
      <c r="BJ639" t="str">
        <f>"Supreme Court"</f>
        <v>Supreme Court</v>
      </c>
      <c r="BK639">
        <v>1</v>
      </c>
      <c r="BL639" t="s">
        <v>102</v>
      </c>
      <c r="BM639" t="str">
        <f>""</f>
        <v/>
      </c>
      <c r="BN639" t="s">
        <v>2249</v>
      </c>
      <c r="BP639" t="s">
        <v>1213</v>
      </c>
      <c r="BQ639" t="s">
        <v>1214</v>
      </c>
      <c r="BR639" t="s">
        <v>100</v>
      </c>
      <c r="BS639" s="5">
        <v>7310</v>
      </c>
      <c r="BT639" s="2">
        <v>110000</v>
      </c>
      <c r="BV639" t="s">
        <v>105</v>
      </c>
      <c r="BW639" s="2">
        <v>100526</v>
      </c>
      <c r="BX639" t="s">
        <v>105</v>
      </c>
      <c r="BZ639" t="s">
        <v>167</v>
      </c>
      <c r="CA639" t="str">
        <f t="shared" si="40"/>
        <v>7/1/2020 - 6/30/2021</v>
      </c>
      <c r="CF639">
        <v>2</v>
      </c>
      <c r="CG639" t="s">
        <v>98</v>
      </c>
      <c r="CH639" t="s">
        <v>206</v>
      </c>
      <c r="CI639" t="s">
        <v>206</v>
      </c>
      <c r="CL639" t="s">
        <v>108</v>
      </c>
      <c r="CM639" t="s">
        <v>109</v>
      </c>
      <c r="CN639" t="str">
        <f>""</f>
        <v/>
      </c>
      <c r="CO639" t="str">
        <f>""</f>
        <v/>
      </c>
      <c r="CP639" t="str">
        <f>""</f>
        <v/>
      </c>
      <c r="CQ639" t="str">
        <f>""</f>
        <v/>
      </c>
    </row>
    <row r="640" spans="1:96" x14ac:dyDescent="0.2">
      <c r="A640" t="s">
        <v>7468</v>
      </c>
      <c r="B640" t="s">
        <v>96</v>
      </c>
      <c r="C640" s="1">
        <v>44098</v>
      </c>
      <c r="D640" s="1">
        <v>44105</v>
      </c>
      <c r="F640" t="s">
        <v>97</v>
      </c>
      <c r="G640" t="str">
        <f>"Senior Software Engineer"</f>
        <v>Senior Software Engineer</v>
      </c>
      <c r="H640" t="s">
        <v>12176</v>
      </c>
      <c r="I640" t="s">
        <v>246</v>
      </c>
      <c r="J640" t="s">
        <v>98</v>
      </c>
      <c r="K640" s="1">
        <v>44246</v>
      </c>
      <c r="L640" s="1">
        <v>45340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 t="s">
        <v>4848</v>
      </c>
      <c r="U640" t="str">
        <f>""</f>
        <v/>
      </c>
      <c r="V640" t="s">
        <v>4849</v>
      </c>
      <c r="W640" t="str">
        <f>"MC: 482-C32-C66"</f>
        <v>MC: 482-C32-C66</v>
      </c>
      <c r="X640" t="s">
        <v>528</v>
      </c>
      <c r="Y640" t="s">
        <v>265</v>
      </c>
      <c r="Z640" s="3" t="s">
        <v>12296</v>
      </c>
      <c r="AA640" t="s">
        <v>101</v>
      </c>
      <c r="AC640" s="4" t="str">
        <f>"+13135700122"</f>
        <v>+13135700122</v>
      </c>
      <c r="AE640" t="str">
        <f>"3361"</f>
        <v>3361</v>
      </c>
      <c r="AF640" t="s">
        <v>4850</v>
      </c>
      <c r="AG640" t="s">
        <v>1182</v>
      </c>
      <c r="AI640" t="s">
        <v>254</v>
      </c>
      <c r="AJ640" t="s">
        <v>4851</v>
      </c>
      <c r="AK640" t="str">
        <f>"MC: 482-C32-C66"</f>
        <v>MC: 482-C32-C66</v>
      </c>
      <c r="AL640" t="s">
        <v>1682</v>
      </c>
      <c r="AM640" t="s">
        <v>265</v>
      </c>
      <c r="AN640" s="3" t="s">
        <v>12296</v>
      </c>
      <c r="AO640" t="s">
        <v>101</v>
      </c>
      <c r="AQ640" t="str">
        <f>"+13135700122"</f>
        <v>+13135700122</v>
      </c>
      <c r="AS640" t="s">
        <v>4852</v>
      </c>
      <c r="AT640" t="s">
        <v>107</v>
      </c>
      <c r="AU640" t="str">
        <f>"Roby"</f>
        <v>Roby</v>
      </c>
      <c r="AV640" t="str">
        <f>"Anthony"</f>
        <v>Anthony</v>
      </c>
      <c r="AW640" t="str">
        <f>"Michael"</f>
        <v>Michael</v>
      </c>
      <c r="AX640" t="str">
        <f>"566 Ann Street"</f>
        <v>566 Ann Street</v>
      </c>
      <c r="AY640" t="str">
        <f>""</f>
        <v/>
      </c>
      <c r="AZ640" t="str">
        <f>"Birmingham "</f>
        <v xml:space="preserve">Birmingham </v>
      </c>
      <c r="BA640" t="str">
        <f>"MI"</f>
        <v>MI</v>
      </c>
      <c r="BB640" s="3" t="s">
        <v>12307</v>
      </c>
      <c r="BC640" t="str">
        <f t="shared" si="38"/>
        <v>UNITED STATES OF AMERICA</v>
      </c>
      <c r="BD640" t="str">
        <f>""</f>
        <v/>
      </c>
      <c r="BE640" t="str">
        <f>"+12485548500"</f>
        <v>+12485548500</v>
      </c>
      <c r="BF640" t="str">
        <f>""</f>
        <v/>
      </c>
      <c r="BG640" t="str">
        <f>"anthony.roby@robylaw.com"</f>
        <v>anthony.roby@robylaw.com</v>
      </c>
      <c r="BH640" t="str">
        <f>"Roby Law Associates, PLLC"</f>
        <v>Roby Law Associates, PLLC</v>
      </c>
      <c r="BI640" t="str">
        <f>"MI"</f>
        <v>MI</v>
      </c>
      <c r="BJ640" t="str">
        <f>"U.S. Supreme Courts"</f>
        <v>U.S. Supreme Courts</v>
      </c>
      <c r="BK640">
        <v>1</v>
      </c>
      <c r="BL640" t="s">
        <v>102</v>
      </c>
      <c r="BM640" t="str">
        <f>""</f>
        <v/>
      </c>
      <c r="BN640" t="s">
        <v>5505</v>
      </c>
      <c r="BP640" t="s">
        <v>1058</v>
      </c>
      <c r="BQ640" t="s">
        <v>543</v>
      </c>
      <c r="BR640" t="s">
        <v>265</v>
      </c>
      <c r="BS640" s="5">
        <v>48093</v>
      </c>
      <c r="BT640" s="2">
        <v>119909</v>
      </c>
      <c r="BV640" t="s">
        <v>105</v>
      </c>
      <c r="BW640" s="2">
        <v>79248</v>
      </c>
      <c r="BX640" t="s">
        <v>105</v>
      </c>
      <c r="BZ640" t="s">
        <v>167</v>
      </c>
      <c r="CA640" t="str">
        <f t="shared" si="40"/>
        <v>7/1/2020 - 6/30/2021</v>
      </c>
      <c r="CF640">
        <v>2</v>
      </c>
      <c r="CG640" t="s">
        <v>98</v>
      </c>
      <c r="CH640" t="s">
        <v>206</v>
      </c>
      <c r="CI640" t="s">
        <v>206</v>
      </c>
      <c r="CL640" t="s">
        <v>108</v>
      </c>
      <c r="CM640" t="s">
        <v>109</v>
      </c>
      <c r="CN640" t="str">
        <f>""</f>
        <v/>
      </c>
      <c r="CO640" t="str">
        <f>""</f>
        <v/>
      </c>
      <c r="CP640" t="str">
        <f>""</f>
        <v/>
      </c>
      <c r="CQ640" t="str">
        <f>""</f>
        <v/>
      </c>
    </row>
    <row r="641" spans="1:96" x14ac:dyDescent="0.2">
      <c r="A641" t="s">
        <v>7481</v>
      </c>
      <c r="B641" t="s">
        <v>96</v>
      </c>
      <c r="C641" s="1">
        <v>44098</v>
      </c>
      <c r="D641" s="1">
        <v>44105</v>
      </c>
      <c r="F641" t="s">
        <v>97</v>
      </c>
      <c r="G641" t="str">
        <f>"Sr. Systems Engineer"</f>
        <v>Sr. Systems Engineer</v>
      </c>
      <c r="H641" t="s">
        <v>12169</v>
      </c>
      <c r="I641" t="s">
        <v>124</v>
      </c>
      <c r="J641" t="s">
        <v>98</v>
      </c>
      <c r="K641" s="1">
        <v>44105</v>
      </c>
      <c r="L641" s="1">
        <v>45199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 t="s">
        <v>4473</v>
      </c>
      <c r="U641" t="str">
        <f>""</f>
        <v/>
      </c>
      <c r="V641" t="s">
        <v>6350</v>
      </c>
      <c r="W641" t="str">
        <f>"N/A"</f>
        <v>N/A</v>
      </c>
      <c r="X641" t="s">
        <v>1498</v>
      </c>
      <c r="Y641" t="s">
        <v>265</v>
      </c>
      <c r="Z641" s="3">
        <v>48331</v>
      </c>
      <c r="AA641" t="s">
        <v>101</v>
      </c>
      <c r="AC641" s="4" t="str">
        <f>"+12486994012"</f>
        <v>+12486994012</v>
      </c>
      <c r="AE641" t="str">
        <f>"336111"</f>
        <v>336111</v>
      </c>
      <c r="AF641" t="s">
        <v>4472</v>
      </c>
      <c r="AG641" t="s">
        <v>2279</v>
      </c>
      <c r="AH641" t="s">
        <v>108</v>
      </c>
      <c r="AI641" t="s">
        <v>3747</v>
      </c>
      <c r="AJ641" t="s">
        <v>6350</v>
      </c>
      <c r="AK641" t="str">
        <f>"N/A"</f>
        <v>N/A</v>
      </c>
      <c r="AL641" t="s">
        <v>1498</v>
      </c>
      <c r="AM641" t="s">
        <v>265</v>
      </c>
      <c r="AN641" s="3">
        <v>48331</v>
      </c>
      <c r="AO641" t="s">
        <v>101</v>
      </c>
      <c r="AQ641" t="str">
        <f>"+12486994012"</f>
        <v>+12486994012</v>
      </c>
      <c r="AS641" t="s">
        <v>6351</v>
      </c>
      <c r="AT641" t="s">
        <v>107</v>
      </c>
      <c r="AU641" t="str">
        <f>"Terebelo"</f>
        <v>Terebelo</v>
      </c>
      <c r="AV641" t="str">
        <f>"Michal"</f>
        <v>Michal</v>
      </c>
      <c r="AW641" t="str">
        <f>"D."</f>
        <v>D.</v>
      </c>
      <c r="AX641" t="str">
        <f>"5250 Corporate Drive"</f>
        <v>5250 Corporate Drive</v>
      </c>
      <c r="AY641" t="str">
        <f>"Ste. 300"</f>
        <v>Ste. 300</v>
      </c>
      <c r="AZ641" t="str">
        <f>"Troy"</f>
        <v>Troy</v>
      </c>
      <c r="BA641" t="str">
        <f>"MI"</f>
        <v>MI</v>
      </c>
      <c r="BB641" s="3">
        <v>48098</v>
      </c>
      <c r="BC641" t="str">
        <f t="shared" si="38"/>
        <v>UNITED STATES OF AMERICA</v>
      </c>
      <c r="BD641" t="str">
        <f>""</f>
        <v/>
      </c>
      <c r="BE641" t="str">
        <f>"+12486434900"</f>
        <v>+12486434900</v>
      </c>
      <c r="BF641" t="str">
        <f>""</f>
        <v/>
      </c>
      <c r="BG641" t="str">
        <f>"niloysia@employmentimmigration.com"</f>
        <v>niloysia@employmentimmigration.com</v>
      </c>
      <c r="BH641" t="str">
        <f>"Fakhoury Global Immigration, USA PC"</f>
        <v>Fakhoury Global Immigration, USA PC</v>
      </c>
      <c r="BI641" t="str">
        <f>"MI"</f>
        <v>MI</v>
      </c>
      <c r="BJ641" t="str">
        <f>"Supreme Court"</f>
        <v>Supreme Court</v>
      </c>
      <c r="BK641">
        <v>1</v>
      </c>
      <c r="BL641" t="s">
        <v>102</v>
      </c>
      <c r="BM641" t="str">
        <f>""</f>
        <v/>
      </c>
      <c r="BN641" t="s">
        <v>4473</v>
      </c>
      <c r="BO641" t="s">
        <v>4471</v>
      </c>
      <c r="BP641" t="s">
        <v>1498</v>
      </c>
      <c r="BQ641" t="s">
        <v>719</v>
      </c>
      <c r="BR641" t="s">
        <v>265</v>
      </c>
      <c r="BS641" s="5">
        <v>48331</v>
      </c>
      <c r="BT641" s="2">
        <v>104754</v>
      </c>
      <c r="BV641" t="s">
        <v>105</v>
      </c>
      <c r="BW641" s="2">
        <v>95160</v>
      </c>
      <c r="BX641" t="s">
        <v>105</v>
      </c>
      <c r="BZ641" t="s">
        <v>123</v>
      </c>
      <c r="CA641" t="str">
        <f t="shared" si="40"/>
        <v>7/1/2020 - 6/30/2021</v>
      </c>
      <c r="CF641">
        <v>1</v>
      </c>
      <c r="CG641" t="s">
        <v>98</v>
      </c>
      <c r="CH641" t="s">
        <v>206</v>
      </c>
      <c r="CI641" t="s">
        <v>206</v>
      </c>
      <c r="CL641" t="s">
        <v>108</v>
      </c>
      <c r="CM641" t="s">
        <v>109</v>
      </c>
      <c r="CN641" t="str">
        <f>"Terebelo"</f>
        <v>Terebelo</v>
      </c>
      <c r="CO641" t="str">
        <f>"Michal"</f>
        <v>Michal</v>
      </c>
      <c r="CP641" t="str">
        <f>"D."</f>
        <v>D.</v>
      </c>
      <c r="CQ641" t="str">
        <f>"Fakhoury Global Immigration, USA PC"</f>
        <v>Fakhoury Global Immigration, USA PC</v>
      </c>
      <c r="CR641" t="s">
        <v>7482</v>
      </c>
    </row>
    <row r="642" spans="1:96" x14ac:dyDescent="0.2">
      <c r="A642" t="s">
        <v>7483</v>
      </c>
      <c r="B642" t="s">
        <v>96</v>
      </c>
      <c r="C642" s="1">
        <v>44098</v>
      </c>
      <c r="D642" s="1">
        <v>44105</v>
      </c>
      <c r="F642" t="s">
        <v>97</v>
      </c>
      <c r="G642" t="str">
        <f>"Staff Technical Program Manager"</f>
        <v>Staff Technical Program Manager</v>
      </c>
      <c r="H642" t="s">
        <v>12182</v>
      </c>
      <c r="I642" t="s">
        <v>168</v>
      </c>
      <c r="J642" t="s">
        <v>98</v>
      </c>
      <c r="K642" s="1">
        <v>44105</v>
      </c>
      <c r="L642" s="1">
        <v>45199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148</v>
      </c>
      <c r="U642" t="str">
        <f>""</f>
        <v/>
      </c>
      <c r="V642" t="s">
        <v>149</v>
      </c>
      <c r="W642" t="str">
        <f>"N/A"</f>
        <v>N/A</v>
      </c>
      <c r="X642" t="s">
        <v>150</v>
      </c>
      <c r="Y642" t="s">
        <v>141</v>
      </c>
      <c r="Z642" s="3">
        <v>94043</v>
      </c>
      <c r="AA642" t="s">
        <v>101</v>
      </c>
      <c r="AB642" t="s">
        <v>108</v>
      </c>
      <c r="AC642" s="4" t="str">
        <f>"+16509446000"</f>
        <v>+16509446000</v>
      </c>
      <c r="AE642" t="str">
        <f>"541512"</f>
        <v>541512</v>
      </c>
      <c r="AF642" t="s">
        <v>151</v>
      </c>
      <c r="AG642" t="s">
        <v>152</v>
      </c>
      <c r="AI642" t="s">
        <v>153</v>
      </c>
      <c r="AJ642" t="s">
        <v>154</v>
      </c>
      <c r="AK642" t="str">
        <f>""</f>
        <v/>
      </c>
      <c r="AL642" t="s">
        <v>155</v>
      </c>
      <c r="AM642" t="s">
        <v>141</v>
      </c>
      <c r="AN642" s="3">
        <v>94043</v>
      </c>
      <c r="AO642" t="s">
        <v>101</v>
      </c>
      <c r="AQ642" t="str">
        <f>"+16509446000"</f>
        <v>+16509446000</v>
      </c>
      <c r="AS642" t="s">
        <v>156</v>
      </c>
      <c r="AT642" t="s">
        <v>107</v>
      </c>
      <c r="AU642" t="str">
        <f>"Miguel"</f>
        <v>Miguel</v>
      </c>
      <c r="AV642" t="str">
        <f>"Michael Francis"</f>
        <v>Michael Francis</v>
      </c>
      <c r="AW642" t="str">
        <f>"Liao"</f>
        <v>Liao</v>
      </c>
      <c r="AX642" t="str">
        <f>"50 California Street"</f>
        <v>50 California Street</v>
      </c>
      <c r="AY642" t="str">
        <f>"Floor 2"</f>
        <v>Floor 2</v>
      </c>
      <c r="AZ642" t="str">
        <f>"San Francisco"</f>
        <v>San Francisco</v>
      </c>
      <c r="BA642" t="str">
        <f>"CA"</f>
        <v>CA</v>
      </c>
      <c r="BB642" s="3">
        <v>94111</v>
      </c>
      <c r="BC642" t="str">
        <f t="shared" si="38"/>
        <v>UNITED STATES OF AMERICA</v>
      </c>
      <c r="BD642" t="str">
        <f>""</f>
        <v/>
      </c>
      <c r="BE642" t="str">
        <f>"+1469290662"</f>
        <v>+1469290662</v>
      </c>
      <c r="BF642" t="str">
        <f>""</f>
        <v/>
      </c>
      <c r="BG642" t="str">
        <f>"mmiguel@balglobal.com"</f>
        <v>mmiguel@balglobal.com</v>
      </c>
      <c r="BH642" t="str">
        <f>"BERRY APPLEMAN &amp; LEIDEN LLP"</f>
        <v>BERRY APPLEMAN &amp; LEIDEN LLP</v>
      </c>
      <c r="BI642" t="str">
        <f>"CA"</f>
        <v>CA</v>
      </c>
      <c r="BJ642" t="str">
        <f>"SUPREME"</f>
        <v>SUPREME</v>
      </c>
      <c r="BK642">
        <v>1</v>
      </c>
      <c r="BL642" t="s">
        <v>102</v>
      </c>
      <c r="BM642" t="str">
        <f>""</f>
        <v/>
      </c>
      <c r="BN642" t="s">
        <v>2001</v>
      </c>
      <c r="BP642" t="s">
        <v>155</v>
      </c>
      <c r="BQ642" t="s">
        <v>230</v>
      </c>
      <c r="BR642" t="s">
        <v>141</v>
      </c>
      <c r="BS642" s="5">
        <v>94043</v>
      </c>
      <c r="BT642" s="2">
        <v>164000</v>
      </c>
      <c r="BU642" s="2">
        <v>205412</v>
      </c>
      <c r="BV642" t="s">
        <v>105</v>
      </c>
      <c r="BW642" s="2">
        <v>118955</v>
      </c>
      <c r="BX642" t="s">
        <v>105</v>
      </c>
      <c r="BZ642" t="s">
        <v>159</v>
      </c>
      <c r="CA642" t="str">
        <f t="shared" si="40"/>
        <v>7/1/2020 - 6/30/2021</v>
      </c>
      <c r="CF642">
        <v>2</v>
      </c>
      <c r="CG642" t="s">
        <v>98</v>
      </c>
      <c r="CH642" t="s">
        <v>206</v>
      </c>
      <c r="CI642" t="s">
        <v>206</v>
      </c>
      <c r="CL642" t="s">
        <v>108</v>
      </c>
      <c r="CM642" t="s">
        <v>109</v>
      </c>
      <c r="CN642" t="str">
        <f>""</f>
        <v/>
      </c>
      <c r="CO642" t="str">
        <f>""</f>
        <v/>
      </c>
      <c r="CP642" t="str">
        <f>""</f>
        <v/>
      </c>
      <c r="CQ642" t="str">
        <f>""</f>
        <v/>
      </c>
    </row>
    <row r="643" spans="1:96" x14ac:dyDescent="0.2">
      <c r="A643" t="s">
        <v>7499</v>
      </c>
      <c r="B643" t="s">
        <v>96</v>
      </c>
      <c r="C643" s="1">
        <v>44098</v>
      </c>
      <c r="D643" s="1">
        <v>44105</v>
      </c>
      <c r="F643" t="s">
        <v>97</v>
      </c>
      <c r="G643" t="str">
        <f>"Software Developer, Retail Solutions"</f>
        <v>Software Developer, Retail Solutions</v>
      </c>
      <c r="H643" t="s">
        <v>12169</v>
      </c>
      <c r="I643" t="s">
        <v>124</v>
      </c>
      <c r="J643" t="s">
        <v>98</v>
      </c>
      <c r="K643" s="1">
        <v>44099</v>
      </c>
      <c r="L643" s="1">
        <v>45189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4539</v>
      </c>
      <c r="U643" t="str">
        <f>""</f>
        <v/>
      </c>
      <c r="V643" t="s">
        <v>4540</v>
      </c>
      <c r="W643" t="str">
        <f>"Ste. 600"</f>
        <v>Ste. 600</v>
      </c>
      <c r="X643" t="s">
        <v>847</v>
      </c>
      <c r="Y643" t="s">
        <v>215</v>
      </c>
      <c r="Z643" s="3">
        <v>30005</v>
      </c>
      <c r="AA643" t="s">
        <v>101</v>
      </c>
      <c r="AC643" s="4" t="str">
        <f>"+16784561442"</f>
        <v>+16784561442</v>
      </c>
      <c r="AE643" t="str">
        <f>"334118"</f>
        <v>334118</v>
      </c>
      <c r="AF643" t="s">
        <v>4541</v>
      </c>
      <c r="AG643" t="s">
        <v>4542</v>
      </c>
      <c r="AI643" t="s">
        <v>4543</v>
      </c>
      <c r="AJ643" t="s">
        <v>4540</v>
      </c>
      <c r="AK643" t="str">
        <f>"Ste. 600"</f>
        <v>Ste. 600</v>
      </c>
      <c r="AL643" t="s">
        <v>3668</v>
      </c>
      <c r="AM643" t="s">
        <v>215</v>
      </c>
      <c r="AN643" s="3">
        <v>30005</v>
      </c>
      <c r="AO643" t="s">
        <v>101</v>
      </c>
      <c r="AQ643" t="str">
        <f>"+16784561442"</f>
        <v>+16784561442</v>
      </c>
      <c r="AS643" t="s">
        <v>4544</v>
      </c>
      <c r="AT643" t="s">
        <v>107</v>
      </c>
      <c r="AU643" t="str">
        <f>"Rosser"</f>
        <v>Rosser</v>
      </c>
      <c r="AV643" t="str">
        <f>"Adam"</f>
        <v>Adam</v>
      </c>
      <c r="AW643" t="str">
        <f>"John"</f>
        <v>John</v>
      </c>
      <c r="AX643" t="str">
        <f>"2200 Pennsylvania Avenue NW"</f>
        <v>2200 Pennsylvania Avenue NW</v>
      </c>
      <c r="AY643" t="str">
        <f>"Hunton Andrews Kurth LLP"</f>
        <v>Hunton Andrews Kurth LLP</v>
      </c>
      <c r="AZ643" t="str">
        <f>"Washington"</f>
        <v>Washington</v>
      </c>
      <c r="BA643" t="str">
        <f>"DC"</f>
        <v>DC</v>
      </c>
      <c r="BB643" s="3">
        <v>20037</v>
      </c>
      <c r="BC643" t="str">
        <f t="shared" si="38"/>
        <v>UNITED STATES OF AMERICA</v>
      </c>
      <c r="BD643" t="str">
        <f>""</f>
        <v/>
      </c>
      <c r="BE643" t="str">
        <f>"+12024192026"</f>
        <v>+12024192026</v>
      </c>
      <c r="BF643" t="str">
        <f>"000"</f>
        <v>000</v>
      </c>
      <c r="BG643" t="str">
        <f>"arosser@hunton.com"</f>
        <v>arosser@hunton.com</v>
      </c>
      <c r="BH643" t="str">
        <f>"Hunton Andrews Kurth LLP"</f>
        <v>Hunton Andrews Kurth LLP</v>
      </c>
      <c r="BI643" t="str">
        <f>"DC"</f>
        <v>DC</v>
      </c>
      <c r="BJ643" t="str">
        <f>"DC - Court of Appeals"</f>
        <v>DC - Court of Appeals</v>
      </c>
      <c r="BK643">
        <v>1</v>
      </c>
      <c r="BL643" t="s">
        <v>102</v>
      </c>
      <c r="BM643" t="str">
        <f>""</f>
        <v/>
      </c>
      <c r="BN643" t="s">
        <v>4540</v>
      </c>
      <c r="BO643" t="s">
        <v>3066</v>
      </c>
      <c r="BP643" t="s">
        <v>847</v>
      </c>
      <c r="BQ643" t="s">
        <v>214</v>
      </c>
      <c r="BR643" t="s">
        <v>215</v>
      </c>
      <c r="BS643" s="5">
        <v>30005</v>
      </c>
      <c r="BT643" s="2">
        <v>105000</v>
      </c>
      <c r="BU643" s="2">
        <v>155000</v>
      </c>
      <c r="BV643" t="s">
        <v>105</v>
      </c>
      <c r="BW643" s="2">
        <v>103501</v>
      </c>
      <c r="BX643" t="s">
        <v>105</v>
      </c>
      <c r="BZ643" t="s">
        <v>123</v>
      </c>
      <c r="CA643" t="str">
        <f t="shared" si="40"/>
        <v>7/1/2020 - 6/30/2021</v>
      </c>
      <c r="CF643">
        <v>2</v>
      </c>
      <c r="CG643" t="s">
        <v>98</v>
      </c>
      <c r="CH643" t="s">
        <v>206</v>
      </c>
      <c r="CI643" t="s">
        <v>206</v>
      </c>
      <c r="CL643" t="s">
        <v>108</v>
      </c>
      <c r="CM643" t="s">
        <v>109</v>
      </c>
      <c r="CN643" t="str">
        <f>"Gomez Limon"</f>
        <v>Gomez Limon</v>
      </c>
      <c r="CO643" t="str">
        <f>"Alejandra "</f>
        <v xml:space="preserve">Alejandra </v>
      </c>
      <c r="CP643" t="str">
        <f>""</f>
        <v/>
      </c>
      <c r="CQ643" t="str">
        <f>"Hunton Andrews Kurth LLP"</f>
        <v>Hunton Andrews Kurth LLP</v>
      </c>
      <c r="CR643" t="s">
        <v>4545</v>
      </c>
    </row>
    <row r="644" spans="1:96" x14ac:dyDescent="0.2">
      <c r="A644" t="s">
        <v>7519</v>
      </c>
      <c r="B644" t="s">
        <v>96</v>
      </c>
      <c r="C644" s="1">
        <v>44098</v>
      </c>
      <c r="D644" s="1">
        <v>44105</v>
      </c>
      <c r="F644" t="s">
        <v>97</v>
      </c>
      <c r="G644" t="str">
        <f>"SOFTWARE ENGINEERING"</f>
        <v>SOFTWARE ENGINEERING</v>
      </c>
      <c r="H644" t="s">
        <v>12168</v>
      </c>
      <c r="I644" t="s">
        <v>160</v>
      </c>
      <c r="J644" t="s">
        <v>98</v>
      </c>
      <c r="K644" s="1">
        <v>44127</v>
      </c>
      <c r="L644" s="1">
        <v>45221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 t="s">
        <v>1401</v>
      </c>
      <c r="U644" t="str">
        <f>""</f>
        <v/>
      </c>
      <c r="V644" t="s">
        <v>1402</v>
      </c>
      <c r="W644" t="str">
        <f>"20TH FLR., IL 1-0043"</f>
        <v>20TH FLR., IL 1-0043</v>
      </c>
      <c r="X644" t="s">
        <v>843</v>
      </c>
      <c r="Y644" t="s">
        <v>345</v>
      </c>
      <c r="Z644" s="3">
        <v>60603</v>
      </c>
      <c r="AA644" t="s">
        <v>101</v>
      </c>
      <c r="AC644" s="4" t="str">
        <f>"+14153158244"</f>
        <v>+14153158244</v>
      </c>
      <c r="AE644" t="str">
        <f>"551112"</f>
        <v>551112</v>
      </c>
      <c r="AF644" t="s">
        <v>1526</v>
      </c>
      <c r="AG644" t="s">
        <v>1527</v>
      </c>
      <c r="AI644" t="s">
        <v>1528</v>
      </c>
      <c r="AJ644" t="s">
        <v>1402</v>
      </c>
      <c r="AK644" t="str">
        <f>"20TH FLR., IL 1-0043"</f>
        <v>20TH FLR., IL 1-0043</v>
      </c>
      <c r="AL644" t="s">
        <v>843</v>
      </c>
      <c r="AM644" t="s">
        <v>345</v>
      </c>
      <c r="AN644" s="3">
        <v>60603</v>
      </c>
      <c r="AO644" t="s">
        <v>101</v>
      </c>
      <c r="AQ644" t="str">
        <f>"+14153158244"</f>
        <v>+14153158244</v>
      </c>
      <c r="AS644" t="s">
        <v>108</v>
      </c>
      <c r="AT644" t="s">
        <v>107</v>
      </c>
      <c r="AU644" t="str">
        <f>"CHIANG"</f>
        <v>CHIANG</v>
      </c>
      <c r="AV644" t="str">
        <f>"SARAH"</f>
        <v>SARAH</v>
      </c>
      <c r="AW644" t="str">
        <f>""</f>
        <v/>
      </c>
      <c r="AX644" t="str">
        <f>"8529 SIX FORKS ROAD, FORUM IV"</f>
        <v>8529 SIX FORKS ROAD, FORUM IV</v>
      </c>
      <c r="AY644" t="str">
        <f>"SUITE 600"</f>
        <v>SUITE 600</v>
      </c>
      <c r="AZ644" t="str">
        <f>"RALEIGH"</f>
        <v>RALEIGH</v>
      </c>
      <c r="BA644" t="str">
        <f>"NC"</f>
        <v>NC</v>
      </c>
      <c r="BB644" s="3">
        <v>27615</v>
      </c>
      <c r="BC644" t="str">
        <f t="shared" si="38"/>
        <v>UNITED STATES OF AMERICA</v>
      </c>
      <c r="BD644" t="str">
        <f>""</f>
        <v/>
      </c>
      <c r="BE644" t="str">
        <f>"+19197879700"</f>
        <v>+19197879700</v>
      </c>
      <c r="BF644" t="str">
        <f>""</f>
        <v/>
      </c>
      <c r="BG644" t="str">
        <f>"TIFFANY.BOWMAN@OGLETREEDEAKINS.COM"</f>
        <v>TIFFANY.BOWMAN@OGLETREEDEAKINS.COM</v>
      </c>
      <c r="BH644" t="str">
        <f>"OGLETREE, DEAKINS, NASH, SMOAK &amp; STEWART, P.C."</f>
        <v>OGLETREE, DEAKINS, NASH, SMOAK &amp; STEWART, P.C.</v>
      </c>
      <c r="BI644" t="str">
        <f>"MD"</f>
        <v>MD</v>
      </c>
      <c r="BJ644" t="str">
        <f>"COURT OF APPEALS OF MARYLAND"</f>
        <v>COURT OF APPEALS OF MARYLAND</v>
      </c>
      <c r="BK644">
        <v>1</v>
      </c>
      <c r="BL644" t="s">
        <v>102</v>
      </c>
      <c r="BM644" t="str">
        <f>""</f>
        <v/>
      </c>
      <c r="BN644" t="s">
        <v>7520</v>
      </c>
      <c r="BP644" t="s">
        <v>980</v>
      </c>
      <c r="BQ644" t="s">
        <v>556</v>
      </c>
      <c r="BR644" t="s">
        <v>114</v>
      </c>
      <c r="BS644" s="5">
        <v>75024</v>
      </c>
      <c r="BT644" s="2">
        <v>97600</v>
      </c>
      <c r="BV644" t="s">
        <v>105</v>
      </c>
      <c r="BW644" s="2">
        <v>93538</v>
      </c>
      <c r="BX644" t="s">
        <v>105</v>
      </c>
      <c r="BZ644" t="s">
        <v>123</v>
      </c>
      <c r="CA644" t="str">
        <f t="shared" si="40"/>
        <v>7/1/2020 - 6/30/2021</v>
      </c>
      <c r="CF644">
        <v>2</v>
      </c>
      <c r="CG644" t="s">
        <v>98</v>
      </c>
      <c r="CH644" t="s">
        <v>206</v>
      </c>
      <c r="CI644" t="s">
        <v>206</v>
      </c>
      <c r="CL644" t="s">
        <v>108</v>
      </c>
      <c r="CM644" t="s">
        <v>109</v>
      </c>
      <c r="CN644" t="str">
        <f>"CHIANG"</f>
        <v>CHIANG</v>
      </c>
      <c r="CO644" t="str">
        <f>"SARAH"</f>
        <v>SARAH</v>
      </c>
      <c r="CP644" t="str">
        <f>""</f>
        <v/>
      </c>
      <c r="CQ644" t="str">
        <f>"OGLETREE, DEAKINS, NASH, SMOAK &amp; STEWART, P.C."</f>
        <v>OGLETREE, DEAKINS, NASH, SMOAK &amp; STEWART, P.C.</v>
      </c>
      <c r="CR644" t="s">
        <v>1961</v>
      </c>
    </row>
    <row r="645" spans="1:96" x14ac:dyDescent="0.2">
      <c r="A645" t="s">
        <v>7530</v>
      </c>
      <c r="B645" t="s">
        <v>96</v>
      </c>
      <c r="C645" s="1">
        <v>44098</v>
      </c>
      <c r="D645" s="1">
        <v>44105</v>
      </c>
      <c r="F645" t="s">
        <v>97</v>
      </c>
      <c r="G645" t="str">
        <f>"Biologist"</f>
        <v>Biologist</v>
      </c>
      <c r="H645" t="s">
        <v>12223</v>
      </c>
      <c r="I645" t="s">
        <v>486</v>
      </c>
      <c r="J645" t="s">
        <v>98</v>
      </c>
      <c r="K645" s="1">
        <v>44144</v>
      </c>
      <c r="L645" s="1">
        <v>45238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5488</v>
      </c>
      <c r="U645" t="str">
        <f>""</f>
        <v/>
      </c>
      <c r="V645" t="s">
        <v>5489</v>
      </c>
      <c r="W645" t="str">
        <f>""</f>
        <v/>
      </c>
      <c r="X645" t="s">
        <v>381</v>
      </c>
      <c r="Y645" t="s">
        <v>195</v>
      </c>
      <c r="Z645" s="3">
        <v>20852</v>
      </c>
      <c r="AA645" t="s">
        <v>101</v>
      </c>
      <c r="AC645" s="4" t="str">
        <f>"+12405144140"</f>
        <v>+12405144140</v>
      </c>
      <c r="AE645" t="str">
        <f>"5416"</f>
        <v>5416</v>
      </c>
      <c r="AF645" t="s">
        <v>5490</v>
      </c>
      <c r="AG645" t="s">
        <v>3958</v>
      </c>
      <c r="AH645" t="s">
        <v>2975</v>
      </c>
      <c r="AI645" t="s">
        <v>5491</v>
      </c>
      <c r="AJ645" t="s">
        <v>5492</v>
      </c>
      <c r="AK645" t="str">
        <f>""</f>
        <v/>
      </c>
      <c r="AL645" t="s">
        <v>381</v>
      </c>
      <c r="AM645" t="s">
        <v>195</v>
      </c>
      <c r="AN645" s="3">
        <v>20852</v>
      </c>
      <c r="AO645" t="s">
        <v>101</v>
      </c>
      <c r="AQ645" t="str">
        <f>"+13015096776"</f>
        <v>+13015096776</v>
      </c>
      <c r="AS645" t="s">
        <v>5493</v>
      </c>
      <c r="AT645" t="s">
        <v>107</v>
      </c>
      <c r="AU645" t="str">
        <f>"Bord"</f>
        <v>Bord</v>
      </c>
      <c r="AV645" t="str">
        <f>"Eric"</f>
        <v>Eric</v>
      </c>
      <c r="AW645" t="str">
        <f>"S."</f>
        <v>S.</v>
      </c>
      <c r="AX645" t="str">
        <f>"1111 Pennsylvania Ave NW"</f>
        <v>1111 Pennsylvania Ave NW</v>
      </c>
      <c r="AY645" t="str">
        <f>""</f>
        <v/>
      </c>
      <c r="AZ645" t="str">
        <f>"Washington"</f>
        <v>Washington</v>
      </c>
      <c r="BA645" t="str">
        <f>"DC"</f>
        <v>DC</v>
      </c>
      <c r="BB645" s="3">
        <v>20004</v>
      </c>
      <c r="BC645" t="str">
        <f t="shared" si="38"/>
        <v>UNITED STATES OF AMERICA</v>
      </c>
      <c r="BD645" t="str">
        <f>""</f>
        <v/>
      </c>
      <c r="BE645" t="str">
        <f>"+12027396040"</f>
        <v>+12027396040</v>
      </c>
      <c r="BF645" t="str">
        <f>""</f>
        <v/>
      </c>
      <c r="BG645" t="str">
        <f>"eric.bord@morganlewis.com"</f>
        <v>eric.bord@morganlewis.com</v>
      </c>
      <c r="BH645" t="str">
        <f>"Morgan Lewis and Bockius LLP"</f>
        <v>Morgan Lewis and Bockius LLP</v>
      </c>
      <c r="BI645" t="str">
        <f>"DC"</f>
        <v>DC</v>
      </c>
      <c r="BJ645" t="str">
        <f>"U.S. Supreme Court, MD &amp; DC"</f>
        <v>U.S. Supreme Court, MD &amp; DC</v>
      </c>
      <c r="BK645">
        <v>1</v>
      </c>
      <c r="BL645" t="s">
        <v>107</v>
      </c>
      <c r="BM645" t="str">
        <f>"National Institutes of Health"</f>
        <v>National Institutes of Health</v>
      </c>
      <c r="BN645" t="s">
        <v>5902</v>
      </c>
      <c r="BP645" t="s">
        <v>2307</v>
      </c>
      <c r="BQ645" t="s">
        <v>529</v>
      </c>
      <c r="BR645" t="s">
        <v>195</v>
      </c>
      <c r="BS645" s="5">
        <v>20892</v>
      </c>
      <c r="BT645" s="2">
        <v>70500</v>
      </c>
      <c r="BV645" t="s">
        <v>105</v>
      </c>
      <c r="BW645" s="2">
        <v>61006</v>
      </c>
      <c r="BX645" t="s">
        <v>105</v>
      </c>
      <c r="BZ645" t="s">
        <v>123</v>
      </c>
      <c r="CA645" t="str">
        <f t="shared" si="40"/>
        <v>7/1/2020 - 6/30/2021</v>
      </c>
      <c r="CF645">
        <v>1</v>
      </c>
      <c r="CG645" t="s">
        <v>98</v>
      </c>
      <c r="CH645" t="s">
        <v>206</v>
      </c>
      <c r="CI645" t="s">
        <v>206</v>
      </c>
      <c r="CL645" t="s">
        <v>108</v>
      </c>
      <c r="CM645" t="s">
        <v>109</v>
      </c>
      <c r="CN645" t="str">
        <f>"ZHANG"</f>
        <v>ZHANG</v>
      </c>
      <c r="CO645" t="str">
        <f>"Xuefan"</f>
        <v>Xuefan</v>
      </c>
      <c r="CP645" t="str">
        <f>""</f>
        <v/>
      </c>
      <c r="CQ645" t="str">
        <f>"Morgan Lewis and Bockius LLP"</f>
        <v>Morgan Lewis and Bockius LLP</v>
      </c>
      <c r="CR645" t="s">
        <v>4696</v>
      </c>
    </row>
    <row r="646" spans="1:96" x14ac:dyDescent="0.2">
      <c r="A646" t="s">
        <v>7541</v>
      </c>
      <c r="B646" t="s">
        <v>96</v>
      </c>
      <c r="C646" s="1">
        <v>44098</v>
      </c>
      <c r="D646" s="1">
        <v>44105</v>
      </c>
      <c r="F646" t="s">
        <v>97</v>
      </c>
      <c r="G646" t="str">
        <f>"SR. DEVELOPER, IT APPLICATIONS"</f>
        <v>SR. DEVELOPER, IT APPLICATIONS</v>
      </c>
      <c r="H646" t="s">
        <v>12169</v>
      </c>
      <c r="I646" t="s">
        <v>124</v>
      </c>
      <c r="J646" t="s">
        <v>98</v>
      </c>
      <c r="K646" s="1">
        <v>44105</v>
      </c>
      <c r="L646" s="1">
        <v>45199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 t="s">
        <v>2773</v>
      </c>
      <c r="U646" t="str">
        <f>""</f>
        <v/>
      </c>
      <c r="V646" t="s">
        <v>5231</v>
      </c>
      <c r="W646" t="str">
        <f>""</f>
        <v/>
      </c>
      <c r="X646" t="s">
        <v>2775</v>
      </c>
      <c r="Y646" t="s">
        <v>114</v>
      </c>
      <c r="Z646" s="3">
        <v>76155</v>
      </c>
      <c r="AA646" t="s">
        <v>101</v>
      </c>
      <c r="AC646" s="4" t="str">
        <f>"+16822780639"</f>
        <v>+16822780639</v>
      </c>
      <c r="AE646" t="str">
        <f>"481111"</f>
        <v>481111</v>
      </c>
      <c r="AF646" t="s">
        <v>6040</v>
      </c>
      <c r="AG646" t="s">
        <v>5655</v>
      </c>
      <c r="AH646" t="s">
        <v>2280</v>
      </c>
      <c r="AI646" t="s">
        <v>7542</v>
      </c>
      <c r="AJ646" t="s">
        <v>5231</v>
      </c>
      <c r="AK646" t="str">
        <f>""</f>
        <v/>
      </c>
      <c r="AL646" t="s">
        <v>2775</v>
      </c>
      <c r="AM646" t="s">
        <v>114</v>
      </c>
      <c r="AN646" s="3">
        <v>76155</v>
      </c>
      <c r="AO646" t="s">
        <v>101</v>
      </c>
      <c r="AQ646" t="str">
        <f>"+16822780639"</f>
        <v>+16822780639</v>
      </c>
      <c r="AS646" t="s">
        <v>7543</v>
      </c>
      <c r="AT646" t="s">
        <v>107</v>
      </c>
      <c r="AU646" t="str">
        <f>"GARILAS"</f>
        <v>GARILAS</v>
      </c>
      <c r="AV646" t="str">
        <f>"JAMES"</f>
        <v>JAMES</v>
      </c>
      <c r="AW646" t="str">
        <f>"N."</f>
        <v>N.</v>
      </c>
      <c r="AX646" t="str">
        <f>"2142 BOYCE STREET"</f>
        <v>2142 BOYCE STREET</v>
      </c>
      <c r="AY646" t="str">
        <f>"SUITE 401"</f>
        <v>SUITE 401</v>
      </c>
      <c r="AZ646" t="str">
        <f>"COLUMBIA"</f>
        <v>COLUMBIA</v>
      </c>
      <c r="BA646" t="str">
        <f>"SC"</f>
        <v>SC</v>
      </c>
      <c r="BB646" s="3">
        <v>29201</v>
      </c>
      <c r="BC646" t="str">
        <f t="shared" si="38"/>
        <v>UNITED STATES OF AMERICA</v>
      </c>
      <c r="BD646" t="str">
        <f>""</f>
        <v/>
      </c>
      <c r="BE646" t="str">
        <f>"+18032521300"</f>
        <v>+18032521300</v>
      </c>
      <c r="BF646" t="str">
        <f>""</f>
        <v/>
      </c>
      <c r="BG646" t="str">
        <f>"JAMES.GARILAS@OGLETREEDEAKINS.COM"</f>
        <v>JAMES.GARILAS@OGLETREEDEAKINS.COM</v>
      </c>
      <c r="BH646" t="str">
        <f>"OGLETREE DEAKINS LAW FIRM"</f>
        <v>OGLETREE DEAKINS LAW FIRM</v>
      </c>
      <c r="BI646" t="str">
        <f>"SC"</f>
        <v>SC</v>
      </c>
      <c r="BJ646" t="str">
        <f>"SUPREME COURT"</f>
        <v>SUPREME COURT</v>
      </c>
      <c r="BK646">
        <v>1</v>
      </c>
      <c r="BL646" t="s">
        <v>102</v>
      </c>
      <c r="BM646" t="str">
        <f>""</f>
        <v/>
      </c>
      <c r="BN646" t="s">
        <v>7544</v>
      </c>
      <c r="BP646" t="s">
        <v>2687</v>
      </c>
      <c r="BQ646" t="s">
        <v>257</v>
      </c>
      <c r="BR646" t="s">
        <v>258</v>
      </c>
      <c r="BS646" s="5">
        <v>85281</v>
      </c>
      <c r="BT646" s="2">
        <v>83637</v>
      </c>
      <c r="BU646" s="2">
        <v>154706</v>
      </c>
      <c r="BV646" t="s">
        <v>105</v>
      </c>
      <c r="BW646" s="2">
        <v>83637</v>
      </c>
      <c r="BX646" t="s">
        <v>105</v>
      </c>
      <c r="BZ646" t="s">
        <v>167</v>
      </c>
      <c r="CA646" t="str">
        <f t="shared" si="40"/>
        <v>7/1/2020 - 6/30/2021</v>
      </c>
      <c r="CF646">
        <v>1</v>
      </c>
      <c r="CG646" t="s">
        <v>98</v>
      </c>
      <c r="CH646" t="s">
        <v>206</v>
      </c>
      <c r="CI646" t="s">
        <v>206</v>
      </c>
      <c r="CL646" t="s">
        <v>108</v>
      </c>
      <c r="CM646" t="s">
        <v>109</v>
      </c>
      <c r="CN646" t="str">
        <f>""</f>
        <v/>
      </c>
      <c r="CO646" t="str">
        <f>""</f>
        <v/>
      </c>
      <c r="CP646" t="str">
        <f>""</f>
        <v/>
      </c>
      <c r="CQ646" t="str">
        <f>""</f>
        <v/>
      </c>
    </row>
    <row r="647" spans="1:96" x14ac:dyDescent="0.2">
      <c r="A647" t="s">
        <v>7550</v>
      </c>
      <c r="B647" t="s">
        <v>96</v>
      </c>
      <c r="C647" s="1">
        <v>44098</v>
      </c>
      <c r="D647" s="1">
        <v>44105</v>
      </c>
      <c r="F647" t="s">
        <v>97</v>
      </c>
      <c r="G647" t="str">
        <f>"Post-Doctoral Researcher for Metal-Containing Resists"</f>
        <v>Post-Doctoral Researcher for Metal-Containing Resists</v>
      </c>
      <c r="H647" t="s">
        <v>12200</v>
      </c>
      <c r="I647" t="s">
        <v>1587</v>
      </c>
      <c r="J647" t="s">
        <v>98</v>
      </c>
      <c r="K647" s="1">
        <v>44186</v>
      </c>
      <c r="L647" s="1">
        <v>45280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 t="s">
        <v>7551</v>
      </c>
      <c r="U647" t="str">
        <f>""</f>
        <v/>
      </c>
      <c r="V647" t="s">
        <v>7552</v>
      </c>
      <c r="W647" t="str">
        <f>"NanoFab E  "</f>
        <v xml:space="preserve">NanoFab E  </v>
      </c>
      <c r="X647" t="s">
        <v>1941</v>
      </c>
      <c r="Y647" t="s">
        <v>190</v>
      </c>
      <c r="Z647" s="3">
        <v>12203</v>
      </c>
      <c r="AA647" t="s">
        <v>101</v>
      </c>
      <c r="AC647" s="4" t="str">
        <f>"+15189567362"</f>
        <v>+15189567362</v>
      </c>
      <c r="AE647" t="str">
        <f>"541990"</f>
        <v>541990</v>
      </c>
      <c r="AF647" t="s">
        <v>7553</v>
      </c>
      <c r="AG647" t="s">
        <v>2643</v>
      </c>
      <c r="AH647" t="s">
        <v>1126</v>
      </c>
      <c r="AI647" t="s">
        <v>7554</v>
      </c>
      <c r="AJ647" t="s">
        <v>7555</v>
      </c>
      <c r="AK647" t="str">
        <f>"NanoFab East 4230"</f>
        <v>NanoFab East 4230</v>
      </c>
      <c r="AL647" t="s">
        <v>1941</v>
      </c>
      <c r="AM647" t="s">
        <v>190</v>
      </c>
      <c r="AN647" s="3">
        <v>12203</v>
      </c>
      <c r="AO647" t="s">
        <v>101</v>
      </c>
      <c r="AQ647" t="str">
        <f>"+15189567362"</f>
        <v>+15189567362</v>
      </c>
      <c r="AS647" t="s">
        <v>7556</v>
      </c>
      <c r="AT647" t="s">
        <v>107</v>
      </c>
      <c r="AU647" t="str">
        <f>"D'Arrigo"</f>
        <v>D'Arrigo</v>
      </c>
      <c r="AV647" t="str">
        <f>"Leonard"</f>
        <v>Leonard</v>
      </c>
      <c r="AW647" t="str">
        <f>"John"</f>
        <v>John</v>
      </c>
      <c r="AX647" t="str">
        <f>"677 Broadway"</f>
        <v>677 Broadway</v>
      </c>
      <c r="AY647" t="str">
        <f>"Suite 1101"</f>
        <v>Suite 1101</v>
      </c>
      <c r="AZ647" t="str">
        <f>"Albany"</f>
        <v>Albany</v>
      </c>
      <c r="BA647" t="str">
        <f>"NY"</f>
        <v>NY</v>
      </c>
      <c r="BB647" s="3">
        <v>12207</v>
      </c>
      <c r="BC647" t="str">
        <f t="shared" si="38"/>
        <v>UNITED STATES OF AMERICA</v>
      </c>
      <c r="BD647" t="str">
        <f>""</f>
        <v/>
      </c>
      <c r="BE647" t="str">
        <f>"+15187012770"</f>
        <v>+15187012770</v>
      </c>
      <c r="BF647" t="str">
        <f>""</f>
        <v/>
      </c>
      <c r="BG647" t="str">
        <f>"immigrationhb@harrisbeach.com"</f>
        <v>immigrationhb@harrisbeach.com</v>
      </c>
      <c r="BH647" t="str">
        <f>"Harris Beach PLLC"</f>
        <v>Harris Beach PLLC</v>
      </c>
      <c r="BI647" t="str">
        <f>"NY"</f>
        <v>NY</v>
      </c>
      <c r="BJ647" t="str">
        <f>"Court of Appeals"</f>
        <v>Court of Appeals</v>
      </c>
      <c r="BK647">
        <v>1</v>
      </c>
      <c r="BL647" t="s">
        <v>102</v>
      </c>
      <c r="BM647" t="str">
        <f>""</f>
        <v/>
      </c>
      <c r="BN647" t="s">
        <v>7557</v>
      </c>
      <c r="BP647" t="s">
        <v>1941</v>
      </c>
      <c r="BQ647" t="s">
        <v>1933</v>
      </c>
      <c r="BR647" t="s">
        <v>190</v>
      </c>
      <c r="BS647" s="5">
        <v>12203</v>
      </c>
      <c r="BT647" s="2">
        <v>45000</v>
      </c>
      <c r="BV647" t="s">
        <v>105</v>
      </c>
      <c r="BW647" s="2">
        <v>34507</v>
      </c>
      <c r="BX647" t="s">
        <v>105</v>
      </c>
      <c r="BZ647" t="s">
        <v>191</v>
      </c>
      <c r="CA647" t="str">
        <f t="shared" si="40"/>
        <v>7/1/2020 - 6/30/2021</v>
      </c>
      <c r="CF647">
        <v>1</v>
      </c>
      <c r="CG647" t="s">
        <v>98</v>
      </c>
      <c r="CH647" t="s">
        <v>206</v>
      </c>
      <c r="CI647" t="s">
        <v>206</v>
      </c>
      <c r="CL647" t="s">
        <v>108</v>
      </c>
      <c r="CM647" t="s">
        <v>109</v>
      </c>
      <c r="CN647" t="str">
        <f>"Asala"</f>
        <v>Asala</v>
      </c>
      <c r="CO647" t="str">
        <f>"Mary"</f>
        <v>Mary</v>
      </c>
      <c r="CP647" t="str">
        <f>"R"</f>
        <v>R</v>
      </c>
      <c r="CQ647" t="str">
        <f>"Harris Beach PLLC"</f>
        <v>Harris Beach PLLC</v>
      </c>
      <c r="CR647" t="s">
        <v>7558</v>
      </c>
    </row>
    <row r="648" spans="1:96" x14ac:dyDescent="0.2">
      <c r="A648" t="s">
        <v>7560</v>
      </c>
      <c r="B648" t="s">
        <v>96</v>
      </c>
      <c r="C648" s="1">
        <v>44098</v>
      </c>
      <c r="D648" s="1">
        <v>44105</v>
      </c>
      <c r="F648" t="s">
        <v>97</v>
      </c>
      <c r="G648" t="str">
        <f>"LEAD SYSTEMS ENGINEER"</f>
        <v>LEAD SYSTEMS ENGINEER</v>
      </c>
      <c r="H648" t="s">
        <v>12169</v>
      </c>
      <c r="I648" t="s">
        <v>124</v>
      </c>
      <c r="J648" t="s">
        <v>98</v>
      </c>
      <c r="K648" s="1">
        <v>44104</v>
      </c>
      <c r="L648" s="1">
        <v>45198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 t="s">
        <v>548</v>
      </c>
      <c r="U648" t="str">
        <f>""</f>
        <v/>
      </c>
      <c r="V648" t="s">
        <v>549</v>
      </c>
      <c r="W648" t="str">
        <f>"Suite 202"</f>
        <v>Suite 202</v>
      </c>
      <c r="X648" t="s">
        <v>550</v>
      </c>
      <c r="Y648" t="s">
        <v>127</v>
      </c>
      <c r="Z648" s="3">
        <v>18940</v>
      </c>
      <c r="AA648" t="s">
        <v>101</v>
      </c>
      <c r="AC648" s="4" t="str">
        <f>"+12677599000"</f>
        <v>+12677599000</v>
      </c>
      <c r="AE648" t="str">
        <f>"541511"</f>
        <v>541511</v>
      </c>
      <c r="AF648" t="s">
        <v>551</v>
      </c>
      <c r="AG648" t="s">
        <v>552</v>
      </c>
      <c r="AI648" t="s">
        <v>553</v>
      </c>
      <c r="AJ648" t="s">
        <v>549</v>
      </c>
      <c r="AK648" t="str">
        <f>"Suite 202"</f>
        <v>Suite 202</v>
      </c>
      <c r="AL648" t="s">
        <v>550</v>
      </c>
      <c r="AM648" t="s">
        <v>127</v>
      </c>
      <c r="AN648" s="3">
        <v>18940</v>
      </c>
      <c r="AO648" t="s">
        <v>101</v>
      </c>
      <c r="AQ648" t="str">
        <f>"+12677599000"</f>
        <v>+12677599000</v>
      </c>
      <c r="AS648" t="s">
        <v>554</v>
      </c>
      <c r="AT648" t="s">
        <v>107</v>
      </c>
      <c r="AU648" t="str">
        <f>"Pack"</f>
        <v>Pack</v>
      </c>
      <c r="AV648" t="str">
        <f>"James"</f>
        <v>James</v>
      </c>
      <c r="AW648" t="str">
        <f>"Young Ho"</f>
        <v>Young Ho</v>
      </c>
      <c r="AX648" t="str">
        <f>"18401 Von Karman Avenue"</f>
        <v>18401 Von Karman Avenue</v>
      </c>
      <c r="AY648" t="str">
        <f>"Suite 255"</f>
        <v>Suite 255</v>
      </c>
      <c r="AZ648" t="str">
        <f>"Irvine"</f>
        <v>Irvine</v>
      </c>
      <c r="BA648" t="str">
        <f>"CA"</f>
        <v>CA</v>
      </c>
      <c r="BB648" s="3">
        <v>92612</v>
      </c>
      <c r="BC648" t="str">
        <f t="shared" si="38"/>
        <v>UNITED STATES OF AMERICA</v>
      </c>
      <c r="BD648" t="str">
        <f>"N/A"</f>
        <v>N/A</v>
      </c>
      <c r="BE648" t="str">
        <f>"+19492610209"</f>
        <v>+19492610209</v>
      </c>
      <c r="BF648" t="str">
        <f>""</f>
        <v/>
      </c>
      <c r="BG648" t="str">
        <f>"EPAMNIV@fragomen.com"</f>
        <v>EPAMNIV@fragomen.com</v>
      </c>
      <c r="BH648" t="str">
        <f>"Fragomen, Del Rey, Bernsen &amp; Loewy, LLP"</f>
        <v>Fragomen, Del Rey, Bernsen &amp; Loewy, LLP</v>
      </c>
      <c r="BI648" t="str">
        <f>"CA"</f>
        <v>CA</v>
      </c>
      <c r="BJ648" t="str">
        <f>"Supreme"</f>
        <v>Supreme</v>
      </c>
      <c r="BK648">
        <v>1</v>
      </c>
      <c r="BL648" t="s">
        <v>107</v>
      </c>
      <c r="BM648" t="str">
        <f>"UBS AG"</f>
        <v>UBS AG</v>
      </c>
      <c r="BN648" t="s">
        <v>7561</v>
      </c>
      <c r="BO648" t="s">
        <v>7562</v>
      </c>
      <c r="BP648" t="s">
        <v>843</v>
      </c>
      <c r="BQ648" t="s">
        <v>788</v>
      </c>
      <c r="BR648" t="s">
        <v>345</v>
      </c>
      <c r="BS648" s="5">
        <v>60640</v>
      </c>
      <c r="BT648" s="2">
        <v>105000</v>
      </c>
      <c r="BV648" t="s">
        <v>105</v>
      </c>
      <c r="BW648" s="2">
        <v>87838</v>
      </c>
      <c r="BX648" t="s">
        <v>105</v>
      </c>
      <c r="BZ648" t="s">
        <v>167</v>
      </c>
      <c r="CA648" t="str">
        <f t="shared" si="40"/>
        <v>7/1/2020 - 6/30/2021</v>
      </c>
      <c r="CF648">
        <v>2</v>
      </c>
      <c r="CG648" t="s">
        <v>98</v>
      </c>
      <c r="CH648" t="s">
        <v>206</v>
      </c>
      <c r="CI648" t="s">
        <v>206</v>
      </c>
      <c r="CL648" t="s">
        <v>108</v>
      </c>
      <c r="CM648" t="s">
        <v>109</v>
      </c>
      <c r="CN648" t="str">
        <f>"McCain"</f>
        <v>McCain</v>
      </c>
      <c r="CO648" t="str">
        <f>"Gabriela"</f>
        <v>Gabriela</v>
      </c>
      <c r="CP648" t="str">
        <f>""</f>
        <v/>
      </c>
      <c r="CQ648" t="str">
        <f>"Fragomen, Del Rey, Bernsen &amp; Loewy LLP"</f>
        <v>Fragomen, Del Rey, Bernsen &amp; Loewy LLP</v>
      </c>
      <c r="CR648" t="s">
        <v>557</v>
      </c>
    </row>
    <row r="649" spans="1:96" x14ac:dyDescent="0.2">
      <c r="A649" t="s">
        <v>7564</v>
      </c>
      <c r="B649" t="s">
        <v>96</v>
      </c>
      <c r="C649" s="1">
        <v>44098</v>
      </c>
      <c r="D649" s="1">
        <v>44105</v>
      </c>
      <c r="F649" t="s">
        <v>97</v>
      </c>
      <c r="G649" t="str">
        <f>"Software Engineer"</f>
        <v>Software Engineer</v>
      </c>
      <c r="H649" t="s">
        <v>12169</v>
      </c>
      <c r="I649" t="s">
        <v>124</v>
      </c>
      <c r="J649" t="s">
        <v>206</v>
      </c>
      <c r="K649" s="1">
        <v>44145</v>
      </c>
      <c r="L649" s="1">
        <v>45239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 t="s">
        <v>7565</v>
      </c>
      <c r="U649" t="str">
        <f>""</f>
        <v/>
      </c>
      <c r="V649" t="s">
        <v>7566</v>
      </c>
      <c r="W649" t="str">
        <f>""</f>
        <v/>
      </c>
      <c r="X649" t="s">
        <v>7567</v>
      </c>
      <c r="Y649" t="s">
        <v>127</v>
      </c>
      <c r="Z649" s="3">
        <v>19003</v>
      </c>
      <c r="AA649" t="s">
        <v>101</v>
      </c>
      <c r="AC649" s="4" t="str">
        <f>"+12152378888"</f>
        <v>+12152378888</v>
      </c>
      <c r="AE649" t="str">
        <f>"541512"</f>
        <v>541512</v>
      </c>
      <c r="AF649" t="s">
        <v>7568</v>
      </c>
      <c r="AG649" t="s">
        <v>7569</v>
      </c>
      <c r="AI649" t="s">
        <v>508</v>
      </c>
      <c r="AJ649" t="s">
        <v>7566</v>
      </c>
      <c r="AK649" t="str">
        <f>""</f>
        <v/>
      </c>
      <c r="AL649" t="s">
        <v>7567</v>
      </c>
      <c r="AM649" t="s">
        <v>127</v>
      </c>
      <c r="AN649" s="3">
        <v>19003</v>
      </c>
      <c r="AO649" t="s">
        <v>101</v>
      </c>
      <c r="AQ649" t="str">
        <f>"+1814484870"</f>
        <v>+1814484870</v>
      </c>
      <c r="AS649" t="s">
        <v>7570</v>
      </c>
      <c r="AT649" t="s">
        <v>102</v>
      </c>
      <c r="AU649" t="str">
        <f>""</f>
        <v/>
      </c>
      <c r="AV649" t="str">
        <f>""</f>
        <v/>
      </c>
      <c r="AW649" t="str">
        <f>""</f>
        <v/>
      </c>
      <c r="AX649" t="str">
        <f>""</f>
        <v/>
      </c>
      <c r="AY649" t="str">
        <f>""</f>
        <v/>
      </c>
      <c r="AZ649" t="str">
        <f>""</f>
        <v/>
      </c>
      <c r="BA649" t="str">
        <f>""</f>
        <v/>
      </c>
      <c r="BC649" t="str">
        <f>""</f>
        <v/>
      </c>
      <c r="BD649" t="str">
        <f>""</f>
        <v/>
      </c>
      <c r="BE649" t="str">
        <f>""</f>
        <v/>
      </c>
      <c r="BF649" t="str">
        <f>""</f>
        <v/>
      </c>
      <c r="BG649" t="str">
        <f>""</f>
        <v/>
      </c>
      <c r="BH649" t="str">
        <f>""</f>
        <v/>
      </c>
      <c r="BI649" t="str">
        <f>""</f>
        <v/>
      </c>
      <c r="BJ649" t="str">
        <f>""</f>
        <v/>
      </c>
      <c r="BK649">
        <v>1</v>
      </c>
      <c r="BL649" t="s">
        <v>102</v>
      </c>
      <c r="BM649" t="str">
        <f>""</f>
        <v/>
      </c>
      <c r="BN649" t="s">
        <v>7566</v>
      </c>
      <c r="BP649" t="s">
        <v>7567</v>
      </c>
      <c r="BQ649" t="s">
        <v>529</v>
      </c>
      <c r="BR649" t="s">
        <v>127</v>
      </c>
      <c r="BS649" s="5">
        <v>19003</v>
      </c>
      <c r="BT649" s="2">
        <v>43.25</v>
      </c>
      <c r="BU649" s="2">
        <v>43.5</v>
      </c>
      <c r="BV649" t="s">
        <v>210</v>
      </c>
      <c r="BW649" s="2">
        <v>43.16</v>
      </c>
      <c r="BX649" t="s">
        <v>210</v>
      </c>
      <c r="BZ649" t="s">
        <v>167</v>
      </c>
      <c r="CA649" t="str">
        <f t="shared" si="40"/>
        <v>7/1/2020 - 6/30/2021</v>
      </c>
      <c r="CF649">
        <v>1</v>
      </c>
      <c r="CG649" t="s">
        <v>98</v>
      </c>
      <c r="CH649" t="s">
        <v>206</v>
      </c>
      <c r="CI649" t="s">
        <v>206</v>
      </c>
      <c r="CL649" t="s">
        <v>108</v>
      </c>
      <c r="CM649" t="s">
        <v>109</v>
      </c>
      <c r="CN649" t="str">
        <f>""</f>
        <v/>
      </c>
      <c r="CO649" t="str">
        <f>""</f>
        <v/>
      </c>
      <c r="CP649" t="str">
        <f>""</f>
        <v/>
      </c>
      <c r="CQ649" t="str">
        <f>""</f>
        <v/>
      </c>
    </row>
    <row r="650" spans="1:96" x14ac:dyDescent="0.2">
      <c r="A650" t="s">
        <v>7600</v>
      </c>
      <c r="B650" t="s">
        <v>96</v>
      </c>
      <c r="C650" s="1">
        <v>44098</v>
      </c>
      <c r="D650" s="1">
        <v>44105</v>
      </c>
      <c r="F650" t="s">
        <v>97</v>
      </c>
      <c r="G650" t="str">
        <f>"Lead Programmer Analyst"</f>
        <v>Lead Programmer Analyst</v>
      </c>
      <c r="H650" t="s">
        <v>12169</v>
      </c>
      <c r="I650" t="s">
        <v>124</v>
      </c>
      <c r="J650" t="s">
        <v>98</v>
      </c>
      <c r="K650" s="1">
        <v>44249</v>
      </c>
      <c r="L650" s="1">
        <v>45343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 t="s">
        <v>2031</v>
      </c>
      <c r="U650" t="str">
        <f>""</f>
        <v/>
      </c>
      <c r="V650" t="s">
        <v>1972</v>
      </c>
      <c r="W650" t="str">
        <f>""</f>
        <v/>
      </c>
      <c r="X650" t="s">
        <v>1973</v>
      </c>
      <c r="Y650" t="s">
        <v>190</v>
      </c>
      <c r="Z650" s="3">
        <v>11101</v>
      </c>
      <c r="AA650" t="s">
        <v>101</v>
      </c>
      <c r="AC650" s="4" t="str">
        <f>"+19294184149"</f>
        <v>+19294184149</v>
      </c>
      <c r="AE650" t="str">
        <f>"51791"</f>
        <v>51791</v>
      </c>
      <c r="AF650" t="s">
        <v>1974</v>
      </c>
      <c r="AG650" t="s">
        <v>281</v>
      </c>
      <c r="AH650" t="s">
        <v>771</v>
      </c>
      <c r="AI650" t="s">
        <v>3883</v>
      </c>
      <c r="AJ650" t="s">
        <v>1972</v>
      </c>
      <c r="AK650" t="str">
        <f>""</f>
        <v/>
      </c>
      <c r="AL650" t="s">
        <v>1973</v>
      </c>
      <c r="AM650" t="s">
        <v>190</v>
      </c>
      <c r="AN650" s="3">
        <v>11101</v>
      </c>
      <c r="AO650" t="s">
        <v>101</v>
      </c>
      <c r="AQ650" t="str">
        <f>"+19294184149"</f>
        <v>+19294184149</v>
      </c>
      <c r="AS650" t="s">
        <v>1975</v>
      </c>
      <c r="AT650" t="s">
        <v>107</v>
      </c>
      <c r="AU650" t="str">
        <f>"D’Arduini"</f>
        <v>D’Arduini</v>
      </c>
      <c r="AV650" t="str">
        <f>"Timothy"</f>
        <v>Timothy</v>
      </c>
      <c r="AW650" t="str">
        <f>"C."</f>
        <v>C.</v>
      </c>
      <c r="AX650" t="str">
        <f>"1999 K Street, N.W."</f>
        <v>1999 K Street, N.W.</v>
      </c>
      <c r="AY650" t="str">
        <f>""</f>
        <v/>
      </c>
      <c r="AZ650" t="str">
        <f>"Washington"</f>
        <v>Washington</v>
      </c>
      <c r="BA650" t="str">
        <f>"DC"</f>
        <v>DC</v>
      </c>
      <c r="BB650" s="3">
        <v>20006</v>
      </c>
      <c r="BC650" t="str">
        <f>"UNITED STATES OF AMERICA"</f>
        <v>UNITED STATES OF AMERICA</v>
      </c>
      <c r="BD650" t="str">
        <f>""</f>
        <v/>
      </c>
      <c r="BE650" t="str">
        <f>"+12022633887"</f>
        <v>+12022633887</v>
      </c>
      <c r="BF650" t="str">
        <f>""</f>
        <v/>
      </c>
      <c r="BG650" t="str">
        <f>"tdarduini@mayerbrown.com"</f>
        <v>tdarduini@mayerbrown.com</v>
      </c>
      <c r="BH650" t="str">
        <f>"Mayer Brown LLP"</f>
        <v>Mayer Brown LLP</v>
      </c>
      <c r="BI650" t="str">
        <f>"NJ"</f>
        <v>NJ</v>
      </c>
      <c r="BJ650" t="str">
        <f>"Supreme Court of New Jersey"</f>
        <v>Supreme Court of New Jersey</v>
      </c>
      <c r="BK650">
        <v>1</v>
      </c>
      <c r="BL650" t="s">
        <v>102</v>
      </c>
      <c r="BM650" t="str">
        <f>""</f>
        <v/>
      </c>
      <c r="BN650" t="s">
        <v>7601</v>
      </c>
      <c r="BP650" t="s">
        <v>2032</v>
      </c>
      <c r="BQ650" t="s">
        <v>1167</v>
      </c>
      <c r="BR650" t="s">
        <v>190</v>
      </c>
      <c r="BS650" s="5">
        <v>11714</v>
      </c>
      <c r="BT650" s="2">
        <v>150741</v>
      </c>
      <c r="BV650" t="s">
        <v>105</v>
      </c>
      <c r="BW650" s="2">
        <v>143936</v>
      </c>
      <c r="BX650" t="s">
        <v>105</v>
      </c>
      <c r="BZ650" t="s">
        <v>159</v>
      </c>
      <c r="CA650" t="str">
        <f t="shared" si="40"/>
        <v>7/1/2020 - 6/30/2021</v>
      </c>
      <c r="CF650">
        <v>1</v>
      </c>
      <c r="CG650" t="s">
        <v>98</v>
      </c>
      <c r="CH650" t="s">
        <v>206</v>
      </c>
      <c r="CI650" t="s">
        <v>206</v>
      </c>
      <c r="CL650" t="s">
        <v>108</v>
      </c>
      <c r="CM650" t="s">
        <v>109</v>
      </c>
      <c r="CN650" t="str">
        <f>""</f>
        <v/>
      </c>
      <c r="CO650" t="str">
        <f>""</f>
        <v/>
      </c>
      <c r="CP650" t="str">
        <f>""</f>
        <v/>
      </c>
      <c r="CQ650" t="str">
        <f>""</f>
        <v/>
      </c>
    </row>
    <row r="651" spans="1:96" x14ac:dyDescent="0.2">
      <c r="A651" t="s">
        <v>7631</v>
      </c>
      <c r="B651" t="s">
        <v>96</v>
      </c>
      <c r="C651" s="1">
        <v>44098</v>
      </c>
      <c r="D651" s="1">
        <v>44105</v>
      </c>
      <c r="F651" t="s">
        <v>97</v>
      </c>
      <c r="G651" t="str">
        <f>"Staff Software Engineer"</f>
        <v>Staff Software Engineer</v>
      </c>
      <c r="H651" t="s">
        <v>12181</v>
      </c>
      <c r="I651" t="s">
        <v>110</v>
      </c>
      <c r="J651" t="s">
        <v>98</v>
      </c>
      <c r="K651" s="1">
        <v>44249</v>
      </c>
      <c r="L651" s="1">
        <v>45343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 t="s">
        <v>6370</v>
      </c>
      <c r="U651" t="str">
        <f>""</f>
        <v/>
      </c>
      <c r="V651" t="s">
        <v>6371</v>
      </c>
      <c r="W651" t="str">
        <f>""</f>
        <v/>
      </c>
      <c r="X651" t="s">
        <v>140</v>
      </c>
      <c r="Y651" t="s">
        <v>141</v>
      </c>
      <c r="Z651" s="3">
        <v>94109</v>
      </c>
      <c r="AA651" t="s">
        <v>101</v>
      </c>
      <c r="AC651" s="4" t="str">
        <f>"+19162513583"</f>
        <v>+19162513583</v>
      </c>
      <c r="AE651" t="str">
        <f>"4422"</f>
        <v>4422</v>
      </c>
      <c r="AF651" t="s">
        <v>6372</v>
      </c>
      <c r="AG651" t="s">
        <v>6373</v>
      </c>
      <c r="AI651" t="s">
        <v>6374</v>
      </c>
      <c r="AJ651" t="s">
        <v>6375</v>
      </c>
      <c r="AK651" t="str">
        <f>""</f>
        <v/>
      </c>
      <c r="AL651" t="s">
        <v>140</v>
      </c>
      <c r="AM651" t="s">
        <v>141</v>
      </c>
      <c r="AN651" s="3">
        <v>94133</v>
      </c>
      <c r="AO651" t="s">
        <v>101</v>
      </c>
      <c r="AQ651" t="str">
        <f>"+14156452189"</f>
        <v>+14156452189</v>
      </c>
      <c r="AS651" t="s">
        <v>6376</v>
      </c>
      <c r="AT651" t="s">
        <v>107</v>
      </c>
      <c r="AU651" t="str">
        <f>"BAHNAN"</f>
        <v>BAHNAN</v>
      </c>
      <c r="AV651" t="str">
        <f>"NADINE"</f>
        <v>NADINE</v>
      </c>
      <c r="AW651" t="str">
        <f>"KHAMIS"</f>
        <v>KHAMIS</v>
      </c>
      <c r="AX651" t="str">
        <f>"555 MONTGOMERY STREET"</f>
        <v>555 MONTGOMERY STREET</v>
      </c>
      <c r="AY651" t="str">
        <f>"4TH FLOOR"</f>
        <v>4TH FLOOR</v>
      </c>
      <c r="AZ651" t="str">
        <f>"SAN FRANCISCO"</f>
        <v>SAN FRANCISCO</v>
      </c>
      <c r="BA651" t="str">
        <f>"CA"</f>
        <v>CA</v>
      </c>
      <c r="BB651" s="3">
        <v>94111</v>
      </c>
      <c r="BC651" t="str">
        <f>"UNITED STATES OF AMERICA"</f>
        <v>UNITED STATES OF AMERICA</v>
      </c>
      <c r="BD651" t="str">
        <f>""</f>
        <v/>
      </c>
      <c r="BE651" t="str">
        <f>"+14159861446"</f>
        <v>+14159861446</v>
      </c>
      <c r="BF651" t="str">
        <f>""</f>
        <v/>
      </c>
      <c r="BG651" t="str">
        <f>"NBAHNAN@FRAGOMEN.COM"</f>
        <v>NBAHNAN@FRAGOMEN.COM</v>
      </c>
      <c r="BH651" t="str">
        <f>"FRAGOMEN, DEL REY, BERNSEN &amp; LOEWY, LLP"</f>
        <v>FRAGOMEN, DEL REY, BERNSEN &amp; LOEWY, LLP</v>
      </c>
      <c r="BI651" t="str">
        <f>"CA"</f>
        <v>CA</v>
      </c>
      <c r="BJ651" t="str">
        <f>"SUPREME COURT"</f>
        <v>SUPREME COURT</v>
      </c>
      <c r="BK651">
        <v>1</v>
      </c>
      <c r="BL651" t="s">
        <v>102</v>
      </c>
      <c r="BM651" t="str">
        <f>""</f>
        <v/>
      </c>
      <c r="BN651" t="s">
        <v>6377</v>
      </c>
      <c r="BP651" t="s">
        <v>140</v>
      </c>
      <c r="BQ651" t="s">
        <v>147</v>
      </c>
      <c r="BR651" t="s">
        <v>141</v>
      </c>
      <c r="BS651" s="5">
        <v>94133</v>
      </c>
      <c r="BT651" s="2">
        <v>141274</v>
      </c>
      <c r="BU651" s="2">
        <v>192035</v>
      </c>
      <c r="BV651" t="s">
        <v>105</v>
      </c>
      <c r="BW651" s="2">
        <v>141274</v>
      </c>
      <c r="BX651" t="s">
        <v>105</v>
      </c>
      <c r="BZ651" t="s">
        <v>159</v>
      </c>
      <c r="CA651" t="str">
        <f t="shared" si="40"/>
        <v>7/1/2020 - 6/30/2021</v>
      </c>
      <c r="CF651">
        <v>2</v>
      </c>
      <c r="CG651" t="s">
        <v>98</v>
      </c>
      <c r="CH651" t="s">
        <v>206</v>
      </c>
      <c r="CI651" t="s">
        <v>206</v>
      </c>
      <c r="CL651" t="s">
        <v>108</v>
      </c>
      <c r="CM651" t="s">
        <v>109</v>
      </c>
      <c r="CN651" t="str">
        <f>"BAHNAN C#5284446"</f>
        <v>BAHNAN C#5284446</v>
      </c>
      <c r="CO651" t="str">
        <f>"NADINE"</f>
        <v>NADINE</v>
      </c>
      <c r="CP651" t="str">
        <f>"K"</f>
        <v>K</v>
      </c>
      <c r="CQ651" t="str">
        <f>"FRAGOMEN, DEL REY, BERNSEN &amp; LOEWY, LLP"</f>
        <v>FRAGOMEN, DEL REY, BERNSEN &amp; LOEWY, LLP</v>
      </c>
      <c r="CR651" t="s">
        <v>5312</v>
      </c>
    </row>
    <row r="652" spans="1:96" x14ac:dyDescent="0.2">
      <c r="A652" t="s">
        <v>7632</v>
      </c>
      <c r="B652" t="s">
        <v>96</v>
      </c>
      <c r="C652" s="1">
        <v>44098</v>
      </c>
      <c r="D652" s="1">
        <v>44105</v>
      </c>
      <c r="F652" t="s">
        <v>97</v>
      </c>
      <c r="G652" t="str">
        <f>"Tax Analyst III"</f>
        <v>Tax Analyst III</v>
      </c>
      <c r="H652" t="s">
        <v>12192</v>
      </c>
      <c r="I652" t="s">
        <v>1156</v>
      </c>
      <c r="J652" t="s">
        <v>98</v>
      </c>
      <c r="K652" s="1">
        <v>44099</v>
      </c>
      <c r="L652" s="1">
        <v>45193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431</v>
      </c>
      <c r="U652" t="str">
        <f>""</f>
        <v/>
      </c>
      <c r="V652" t="s">
        <v>432</v>
      </c>
      <c r="W652" t="str">
        <f>""</f>
        <v/>
      </c>
      <c r="X652" t="s">
        <v>433</v>
      </c>
      <c r="Y652" t="s">
        <v>176</v>
      </c>
      <c r="Z652" s="3">
        <v>98121</v>
      </c>
      <c r="AA652" t="s">
        <v>101</v>
      </c>
      <c r="AC652" s="4" t="str">
        <f>"+12062661000"</f>
        <v>+12062661000</v>
      </c>
      <c r="AE652" t="str">
        <f>"45411"</f>
        <v>45411</v>
      </c>
      <c r="AF652" t="s">
        <v>4134</v>
      </c>
      <c r="AG652" t="s">
        <v>4135</v>
      </c>
      <c r="AI652" t="s">
        <v>262</v>
      </c>
      <c r="AJ652" t="s">
        <v>432</v>
      </c>
      <c r="AK652" t="str">
        <f>""</f>
        <v/>
      </c>
      <c r="AL652" t="s">
        <v>261</v>
      </c>
      <c r="AM652" t="s">
        <v>176</v>
      </c>
      <c r="AN652" s="3">
        <v>98121</v>
      </c>
      <c r="AO652" t="s">
        <v>101</v>
      </c>
      <c r="AQ652" t="str">
        <f>"+12062661000"</f>
        <v>+12062661000</v>
      </c>
      <c r="AS652" t="s">
        <v>263</v>
      </c>
      <c r="AT652" t="s">
        <v>107</v>
      </c>
      <c r="AU652" t="str">
        <f>"Cespedes"</f>
        <v>Cespedes</v>
      </c>
      <c r="AV652" t="str">
        <f>"Carmiann"</f>
        <v>Carmiann</v>
      </c>
      <c r="AW652" t="str">
        <f>"Sulay"</f>
        <v>Sulay</v>
      </c>
      <c r="AX652" t="str">
        <f>"2400 North Glenville Drive"</f>
        <v>2400 North Glenville Drive</v>
      </c>
      <c r="AY652" t="str">
        <f>"Bldg. A, Suite 100"</f>
        <v>Bldg. A, Suite 100</v>
      </c>
      <c r="AZ652" t="str">
        <f>"Richardson"</f>
        <v>Richardson</v>
      </c>
      <c r="BA652" t="str">
        <f>"TX"</f>
        <v>TX</v>
      </c>
      <c r="BB652" s="3">
        <v>75082</v>
      </c>
      <c r="BC652" t="str">
        <f>"UNITED STATES OF AMERICA"</f>
        <v>UNITED STATES OF AMERICA</v>
      </c>
      <c r="BD652" t="str">
        <f>""</f>
        <v/>
      </c>
      <c r="BE652" t="str">
        <f>"+19728617271"</f>
        <v>+19728617271</v>
      </c>
      <c r="BF652" t="str">
        <f>""</f>
        <v/>
      </c>
      <c r="BG652" t="str">
        <f>"ccespedes@balglobal.com"</f>
        <v>ccespedes@balglobal.com</v>
      </c>
      <c r="BH652" t="str">
        <f>"Berry Appleman and Leiden LLP"</f>
        <v>Berry Appleman and Leiden LLP</v>
      </c>
      <c r="BI652" t="str">
        <f>"PR"</f>
        <v>PR</v>
      </c>
      <c r="BJ652" t="str">
        <f>"Puerto Rico Supreme Court"</f>
        <v>Puerto Rico Supreme Court</v>
      </c>
      <c r="BK652">
        <v>1</v>
      </c>
      <c r="BL652" t="s">
        <v>102</v>
      </c>
      <c r="BM652" t="str">
        <f>""</f>
        <v/>
      </c>
      <c r="BN652" t="s">
        <v>7633</v>
      </c>
      <c r="BP652" t="s">
        <v>435</v>
      </c>
      <c r="BQ652" t="s">
        <v>183</v>
      </c>
      <c r="BR652" t="s">
        <v>176</v>
      </c>
      <c r="BS652" s="5">
        <v>98109</v>
      </c>
      <c r="BT652" s="2">
        <v>115000</v>
      </c>
      <c r="BV652" t="s">
        <v>105</v>
      </c>
      <c r="BW652" s="2">
        <v>86424</v>
      </c>
      <c r="BX652" t="s">
        <v>105</v>
      </c>
      <c r="BZ652" t="s">
        <v>123</v>
      </c>
      <c r="CA652" t="str">
        <f t="shared" si="40"/>
        <v>7/1/2020 - 6/30/2021</v>
      </c>
      <c r="CF652">
        <v>2</v>
      </c>
      <c r="CG652" t="s">
        <v>98</v>
      </c>
      <c r="CH652" t="s">
        <v>206</v>
      </c>
      <c r="CI652" t="s">
        <v>206</v>
      </c>
      <c r="CL652" t="s">
        <v>108</v>
      </c>
      <c r="CM652" t="s">
        <v>109</v>
      </c>
      <c r="CN652" t="str">
        <f>"N/A"</f>
        <v>N/A</v>
      </c>
      <c r="CO652" t="str">
        <f>"N/A"</f>
        <v>N/A</v>
      </c>
      <c r="CP652" t="str">
        <f>"N/A"</f>
        <v>N/A</v>
      </c>
      <c r="CQ652" t="str">
        <f>"Not Applicable "</f>
        <v xml:space="preserve">Not Applicable </v>
      </c>
      <c r="CR652" t="s">
        <v>108</v>
      </c>
    </row>
    <row r="653" spans="1:96" x14ac:dyDescent="0.2">
      <c r="A653" t="s">
        <v>7636</v>
      </c>
      <c r="B653" t="s">
        <v>96</v>
      </c>
      <c r="C653" s="1">
        <v>44098</v>
      </c>
      <c r="D653" s="1">
        <v>44105</v>
      </c>
      <c r="F653" t="s">
        <v>97</v>
      </c>
      <c r="G653" t="str">
        <f>"Quality Assurance Engineer"</f>
        <v>Quality Assurance Engineer</v>
      </c>
      <c r="H653" t="s">
        <v>12168</v>
      </c>
      <c r="I653" t="s">
        <v>319</v>
      </c>
      <c r="J653" t="s">
        <v>98</v>
      </c>
      <c r="K653" s="1">
        <v>44105</v>
      </c>
      <c r="L653" s="1">
        <v>44834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7637</v>
      </c>
      <c r="U653" t="str">
        <f>"dFence"</f>
        <v>dFence</v>
      </c>
      <c r="V653" t="s">
        <v>7638</v>
      </c>
      <c r="W653" t="str">
        <f>""</f>
        <v/>
      </c>
      <c r="X653" t="s">
        <v>299</v>
      </c>
      <c r="Y653" t="s">
        <v>258</v>
      </c>
      <c r="Z653" s="3">
        <v>85044</v>
      </c>
      <c r="AA653" t="s">
        <v>101</v>
      </c>
      <c r="AC653" s="4" t="str">
        <f>"+14802738818"</f>
        <v>+14802738818</v>
      </c>
      <c r="AE653" t="str">
        <f>"334290"</f>
        <v>334290</v>
      </c>
      <c r="AF653" t="s">
        <v>4165</v>
      </c>
      <c r="AG653" t="s">
        <v>1731</v>
      </c>
      <c r="AI653" t="s">
        <v>646</v>
      </c>
      <c r="AJ653" t="s">
        <v>7639</v>
      </c>
      <c r="AK653" t="str">
        <f>"Suite 23-323"</f>
        <v>Suite 23-323</v>
      </c>
      <c r="AL653" t="s">
        <v>299</v>
      </c>
      <c r="AM653" t="s">
        <v>258</v>
      </c>
      <c r="AN653" s="3">
        <v>85044</v>
      </c>
      <c r="AO653" t="s">
        <v>101</v>
      </c>
      <c r="AQ653" t="str">
        <f>"+14802738818"</f>
        <v>+14802738818</v>
      </c>
      <c r="AS653" t="s">
        <v>7640</v>
      </c>
      <c r="AT653" t="s">
        <v>107</v>
      </c>
      <c r="AU653" t="str">
        <f>"Hoballah"</f>
        <v>Hoballah</v>
      </c>
      <c r="AV653" t="str">
        <f>"Wafa"</f>
        <v>Wafa</v>
      </c>
      <c r="AW653" t="str">
        <f>"Jawad"</f>
        <v>Jawad</v>
      </c>
      <c r="AX653" t="str">
        <f>"1901 Avenue of the Stars"</f>
        <v>1901 Avenue of the Stars</v>
      </c>
      <c r="AY653" t="str">
        <f>"Suite 200"</f>
        <v>Suite 200</v>
      </c>
      <c r="AZ653" t="str">
        <f>"Los Angeles"</f>
        <v>Los Angeles</v>
      </c>
      <c r="BA653" t="str">
        <f>"CA"</f>
        <v>CA</v>
      </c>
      <c r="BB653" s="3">
        <v>90067</v>
      </c>
      <c r="BC653" t="str">
        <f>"UNITED STATES OF AMERICA"</f>
        <v>UNITED STATES OF AMERICA</v>
      </c>
      <c r="BD653" t="str">
        <f>""</f>
        <v/>
      </c>
      <c r="BE653" t="str">
        <f>"+13102776953"</f>
        <v>+13102776953</v>
      </c>
      <c r="BF653" t="str">
        <f>""</f>
        <v/>
      </c>
      <c r="BG653" t="str">
        <f>"wafa@wjhlawgroup.com"</f>
        <v>wafa@wjhlawgroup.com</v>
      </c>
      <c r="BH653" t="str">
        <f>"WJH Law Group, APC"</f>
        <v>WJH Law Group, APC</v>
      </c>
      <c r="BI653" t="str">
        <f>"NY"</f>
        <v>NY</v>
      </c>
      <c r="BJ653" t="str">
        <f>"APPELLATE"</f>
        <v>APPELLATE</v>
      </c>
      <c r="BK653">
        <v>1</v>
      </c>
      <c r="BL653" t="s">
        <v>102</v>
      </c>
      <c r="BM653" t="str">
        <f>""</f>
        <v/>
      </c>
      <c r="BN653" t="s">
        <v>7641</v>
      </c>
      <c r="BO653" t="s">
        <v>6634</v>
      </c>
      <c r="BP653" t="s">
        <v>256</v>
      </c>
      <c r="BQ653" t="s">
        <v>257</v>
      </c>
      <c r="BR653" t="s">
        <v>258</v>
      </c>
      <c r="BS653" s="5">
        <v>85226</v>
      </c>
      <c r="BT653" s="2">
        <v>66768</v>
      </c>
      <c r="BV653" t="s">
        <v>105</v>
      </c>
      <c r="BW653" s="2">
        <v>66768</v>
      </c>
      <c r="BX653" t="s">
        <v>105</v>
      </c>
      <c r="BZ653" t="s">
        <v>167</v>
      </c>
      <c r="CA653" t="str">
        <f t="shared" si="40"/>
        <v>7/1/2020 - 6/30/2021</v>
      </c>
      <c r="CF653">
        <v>1</v>
      </c>
      <c r="CG653" t="s">
        <v>98</v>
      </c>
      <c r="CH653" t="s">
        <v>206</v>
      </c>
      <c r="CI653" t="s">
        <v>206</v>
      </c>
      <c r="CL653" t="s">
        <v>108</v>
      </c>
      <c r="CM653" t="s">
        <v>109</v>
      </c>
      <c r="CN653" t="str">
        <f>""</f>
        <v/>
      </c>
      <c r="CO653" t="str">
        <f>""</f>
        <v/>
      </c>
      <c r="CP653" t="str">
        <f>""</f>
        <v/>
      </c>
      <c r="CQ653" t="str">
        <f>""</f>
        <v/>
      </c>
    </row>
    <row r="654" spans="1:96" x14ac:dyDescent="0.2">
      <c r="A654" t="s">
        <v>7642</v>
      </c>
      <c r="B654" t="s">
        <v>96</v>
      </c>
      <c r="C654" s="1">
        <v>44098</v>
      </c>
      <c r="D654" s="1">
        <v>44105</v>
      </c>
      <c r="F654" t="s">
        <v>97</v>
      </c>
      <c r="G654" t="str">
        <f>"Vice President, Sr. Principal Production Services"</f>
        <v>Vice President, Sr. Principal Production Services</v>
      </c>
      <c r="H654" t="s">
        <v>12169</v>
      </c>
      <c r="I654" t="s">
        <v>124</v>
      </c>
      <c r="J654" t="s">
        <v>98</v>
      </c>
      <c r="K654" s="1">
        <v>44109</v>
      </c>
      <c r="L654" s="1">
        <v>45203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5545</v>
      </c>
      <c r="U654" t="str">
        <f>""</f>
        <v/>
      </c>
      <c r="V654" t="s">
        <v>5546</v>
      </c>
      <c r="W654" t="str">
        <f>""</f>
        <v/>
      </c>
      <c r="X654" t="s">
        <v>277</v>
      </c>
      <c r="Y654" t="s">
        <v>190</v>
      </c>
      <c r="Z654" s="3">
        <v>10019</v>
      </c>
      <c r="AA654" t="s">
        <v>101</v>
      </c>
      <c r="AC654" s="4" t="str">
        <f>"+12126679793"</f>
        <v>+12126679793</v>
      </c>
      <c r="AE654" t="str">
        <f>"54151"</f>
        <v>54151</v>
      </c>
      <c r="AF654" t="s">
        <v>5547</v>
      </c>
      <c r="AG654" t="s">
        <v>1767</v>
      </c>
      <c r="AI654" t="s">
        <v>5548</v>
      </c>
      <c r="AJ654" t="s">
        <v>5546</v>
      </c>
      <c r="AK654" t="str">
        <f>""</f>
        <v/>
      </c>
      <c r="AL654" t="s">
        <v>277</v>
      </c>
      <c r="AM654" t="s">
        <v>190</v>
      </c>
      <c r="AN654" s="3">
        <v>10019</v>
      </c>
      <c r="AO654" t="s">
        <v>101</v>
      </c>
      <c r="AQ654" t="str">
        <f>"+12126679793"</f>
        <v>+12126679793</v>
      </c>
      <c r="AS654" t="s">
        <v>5549</v>
      </c>
      <c r="AT654" t="s">
        <v>107</v>
      </c>
      <c r="AU654" t="str">
        <f>"Dunn"</f>
        <v>Dunn</v>
      </c>
      <c r="AV654" t="str">
        <f>"Matthew"</f>
        <v>Matthew</v>
      </c>
      <c r="AW654" t="str">
        <f>"S."</f>
        <v>S.</v>
      </c>
      <c r="AX654" t="str">
        <f>"1177 Avenue of the Americas"</f>
        <v>1177 Avenue of the Americas</v>
      </c>
      <c r="AY654" t="str">
        <f>""</f>
        <v/>
      </c>
      <c r="AZ654" t="str">
        <f>"New York"</f>
        <v>New York</v>
      </c>
      <c r="BA654" t="str">
        <f>"NY"</f>
        <v>NY</v>
      </c>
      <c r="BB654" s="3">
        <v>10036</v>
      </c>
      <c r="BC654" t="str">
        <f>"UNITED STATES OF AMERICA"</f>
        <v>UNITED STATES OF AMERICA</v>
      </c>
      <c r="BD654" t="str">
        <f>""</f>
        <v/>
      </c>
      <c r="BE654" t="str">
        <f>"+12127159408"</f>
        <v>+12127159408</v>
      </c>
      <c r="BF654" t="str">
        <f>""</f>
        <v/>
      </c>
      <c r="BG654" t="str">
        <f>"bmichaels@kramerlevin.com"</f>
        <v>bmichaels@kramerlevin.com</v>
      </c>
      <c r="BH654" t="str">
        <f>"Kramer Levin Naftalis &amp; Frankel LLP"</f>
        <v>Kramer Levin Naftalis &amp; Frankel LLP</v>
      </c>
      <c r="BI654" t="str">
        <f>"NY"</f>
        <v>NY</v>
      </c>
      <c r="BJ654" t="str">
        <f>"Court of Appeals"</f>
        <v>Court of Appeals</v>
      </c>
      <c r="BK654">
        <v>1</v>
      </c>
      <c r="BL654" t="s">
        <v>102</v>
      </c>
      <c r="BM654" t="str">
        <f>""</f>
        <v/>
      </c>
      <c r="BN654" t="s">
        <v>5546</v>
      </c>
      <c r="BP654" t="s">
        <v>277</v>
      </c>
      <c r="BQ654" t="s">
        <v>189</v>
      </c>
      <c r="BR654" t="s">
        <v>190</v>
      </c>
      <c r="BS654" s="5">
        <v>10019</v>
      </c>
      <c r="BT654" s="2">
        <v>150000</v>
      </c>
      <c r="BU654" s="2">
        <v>180000</v>
      </c>
      <c r="BV654" t="s">
        <v>105</v>
      </c>
      <c r="BW654" s="2">
        <v>143936</v>
      </c>
      <c r="BX654" t="s">
        <v>105</v>
      </c>
      <c r="BZ654" t="s">
        <v>159</v>
      </c>
      <c r="CA654" t="str">
        <f t="shared" si="40"/>
        <v>7/1/2020 - 6/30/2021</v>
      </c>
      <c r="CF654">
        <v>2</v>
      </c>
      <c r="CG654" t="s">
        <v>98</v>
      </c>
      <c r="CH654" t="s">
        <v>206</v>
      </c>
      <c r="CI654" t="s">
        <v>206</v>
      </c>
      <c r="CL654" t="s">
        <v>108</v>
      </c>
      <c r="CM654" t="s">
        <v>109</v>
      </c>
      <c r="CN654" t="str">
        <f>"Michaels"</f>
        <v>Michaels</v>
      </c>
      <c r="CO654" t="str">
        <f>"Beth"</f>
        <v>Beth</v>
      </c>
      <c r="CP654" t="str">
        <f>""</f>
        <v/>
      </c>
      <c r="CQ654" t="str">
        <f>"Kramer Levin Naftalis &amp; Frankel LLP"</f>
        <v>Kramer Levin Naftalis &amp; Frankel LLP</v>
      </c>
      <c r="CR654" t="s">
        <v>5550</v>
      </c>
    </row>
    <row r="655" spans="1:96" x14ac:dyDescent="0.2">
      <c r="A655" t="s">
        <v>7647</v>
      </c>
      <c r="B655" t="s">
        <v>96</v>
      </c>
      <c r="C655" s="1">
        <v>44098</v>
      </c>
      <c r="D655" s="1">
        <v>44105</v>
      </c>
      <c r="F655" t="s">
        <v>97</v>
      </c>
      <c r="G655" t="str">
        <f>"Software Engineer"</f>
        <v>Software Engineer</v>
      </c>
      <c r="H655" t="s">
        <v>12169</v>
      </c>
      <c r="I655" t="s">
        <v>124</v>
      </c>
      <c r="J655" t="s">
        <v>98</v>
      </c>
      <c r="K655" s="1">
        <v>44279</v>
      </c>
      <c r="L655" s="1">
        <v>45374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 t="s">
        <v>173</v>
      </c>
      <c r="U655" t="str">
        <f>""</f>
        <v/>
      </c>
      <c r="V655" t="s">
        <v>174</v>
      </c>
      <c r="W655" t="str">
        <f>"N/A"</f>
        <v>N/A</v>
      </c>
      <c r="X655" t="s">
        <v>175</v>
      </c>
      <c r="Y655" t="s">
        <v>176</v>
      </c>
      <c r="Z655" s="3">
        <v>98052</v>
      </c>
      <c r="AA655" t="s">
        <v>101</v>
      </c>
      <c r="AC655" s="4" t="str">
        <f>"+14258828080"</f>
        <v>+14258828080</v>
      </c>
      <c r="AE655" t="str">
        <f>"51121"</f>
        <v>51121</v>
      </c>
      <c r="AF655" t="s">
        <v>177</v>
      </c>
      <c r="AG655" t="s">
        <v>178</v>
      </c>
      <c r="AI655" t="s">
        <v>179</v>
      </c>
      <c r="AJ655" t="s">
        <v>174</v>
      </c>
      <c r="AK655" t="str">
        <f>""</f>
        <v/>
      </c>
      <c r="AL655" t="s">
        <v>175</v>
      </c>
      <c r="AM655" t="s">
        <v>176</v>
      </c>
      <c r="AN655" s="3">
        <v>98052</v>
      </c>
      <c r="AO655" t="s">
        <v>101</v>
      </c>
      <c r="AQ655" t="str">
        <f>"+14258828080"</f>
        <v>+14258828080</v>
      </c>
      <c r="AS655" t="s">
        <v>180</v>
      </c>
      <c r="AT655" t="s">
        <v>102</v>
      </c>
      <c r="AU655" t="str">
        <f>""</f>
        <v/>
      </c>
      <c r="AV655" t="str">
        <f>""</f>
        <v/>
      </c>
      <c r="AW655" t="str">
        <f>""</f>
        <v/>
      </c>
      <c r="AX655" t="str">
        <f>""</f>
        <v/>
      </c>
      <c r="AY655" t="str">
        <f>""</f>
        <v/>
      </c>
      <c r="AZ655" t="str">
        <f>""</f>
        <v/>
      </c>
      <c r="BA655" t="str">
        <f>""</f>
        <v/>
      </c>
      <c r="BC655" t="str">
        <f>""</f>
        <v/>
      </c>
      <c r="BD655" t="str">
        <f>""</f>
        <v/>
      </c>
      <c r="BE655" t="str">
        <f>""</f>
        <v/>
      </c>
      <c r="BF655" t="str">
        <f>""</f>
        <v/>
      </c>
      <c r="BG655" t="str">
        <f>""</f>
        <v/>
      </c>
      <c r="BH655" t="str">
        <f>""</f>
        <v/>
      </c>
      <c r="BI655" t="str">
        <f>""</f>
        <v/>
      </c>
      <c r="BJ655" t="str">
        <f>""</f>
        <v/>
      </c>
      <c r="BK655">
        <v>1</v>
      </c>
      <c r="BL655" t="s">
        <v>102</v>
      </c>
      <c r="BM655" t="str">
        <f>""</f>
        <v/>
      </c>
      <c r="BN655" t="s">
        <v>962</v>
      </c>
      <c r="BP655" t="s">
        <v>175</v>
      </c>
      <c r="BQ655" t="s">
        <v>183</v>
      </c>
      <c r="BR655" t="s">
        <v>176</v>
      </c>
      <c r="BS655" s="5">
        <v>98052</v>
      </c>
      <c r="BT655" s="2">
        <v>149330</v>
      </c>
      <c r="BV655" t="s">
        <v>105</v>
      </c>
      <c r="BW655" s="2">
        <v>113110</v>
      </c>
      <c r="BX655" t="s">
        <v>105</v>
      </c>
      <c r="BZ655" t="s">
        <v>167</v>
      </c>
      <c r="CA655" t="str">
        <f t="shared" si="40"/>
        <v>7/1/2020 - 6/30/2021</v>
      </c>
      <c r="CF655">
        <v>1</v>
      </c>
      <c r="CG655" t="s">
        <v>98</v>
      </c>
      <c r="CH655" t="s">
        <v>206</v>
      </c>
      <c r="CI655" t="s">
        <v>206</v>
      </c>
      <c r="CL655" t="s">
        <v>108</v>
      </c>
      <c r="CM655" t="s">
        <v>109</v>
      </c>
      <c r="CN655" t="str">
        <f>"DSOUZA"</f>
        <v>DSOUZA</v>
      </c>
      <c r="CO655" t="str">
        <f>"MACLIFF"</f>
        <v>MACLIFF</v>
      </c>
      <c r="CP655" t="str">
        <f>"N/A"</f>
        <v>N/A</v>
      </c>
      <c r="CQ655" t="str">
        <f>"INTEGREON MANAGED SOLUTIONS (INDIA) PVT LTD"</f>
        <v>INTEGREON MANAGED SOLUTIONS (INDIA) PVT LTD</v>
      </c>
      <c r="CR655" t="s">
        <v>1842</v>
      </c>
    </row>
    <row r="656" spans="1:96" x14ac:dyDescent="0.2">
      <c r="A656" t="s">
        <v>7648</v>
      </c>
      <c r="B656" t="s">
        <v>96</v>
      </c>
      <c r="C656" s="1">
        <v>44098</v>
      </c>
      <c r="D656" s="1">
        <v>44105</v>
      </c>
      <c r="F656" t="s">
        <v>97</v>
      </c>
      <c r="G656" t="str">
        <f>"Principal Systems Integration"</f>
        <v>Principal Systems Integration</v>
      </c>
      <c r="H656" t="s">
        <v>12168</v>
      </c>
      <c r="I656" t="s">
        <v>160</v>
      </c>
      <c r="J656" t="s">
        <v>98</v>
      </c>
      <c r="K656" s="1">
        <v>44242</v>
      </c>
      <c r="L656" s="1">
        <v>45336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 t="s">
        <v>1915</v>
      </c>
      <c r="U656" t="str">
        <f>""</f>
        <v/>
      </c>
      <c r="V656" t="s">
        <v>1916</v>
      </c>
      <c r="W656" t="str">
        <f>""</f>
        <v/>
      </c>
      <c r="X656" t="s">
        <v>1917</v>
      </c>
      <c r="Y656" t="s">
        <v>577</v>
      </c>
      <c r="Z656" s="3">
        <v>33309</v>
      </c>
      <c r="AA656" t="s">
        <v>101</v>
      </c>
      <c r="AC656" s="4" t="str">
        <f>"+19542673000"</f>
        <v>+19542673000</v>
      </c>
      <c r="AE656" t="str">
        <f>"541511"</f>
        <v>541511</v>
      </c>
      <c r="AF656" t="s">
        <v>1918</v>
      </c>
      <c r="AG656" t="s">
        <v>1919</v>
      </c>
      <c r="AI656" t="s">
        <v>460</v>
      </c>
      <c r="AJ656" t="s">
        <v>1920</v>
      </c>
      <c r="AK656" t="str">
        <f>""</f>
        <v/>
      </c>
      <c r="AL656" t="s">
        <v>1921</v>
      </c>
      <c r="AM656" t="s">
        <v>577</v>
      </c>
      <c r="AN656" s="3">
        <v>33309</v>
      </c>
      <c r="AO656" t="s">
        <v>101</v>
      </c>
      <c r="AQ656" t="str">
        <f>"+19542675177"</f>
        <v>+19542675177</v>
      </c>
      <c r="AS656" t="s">
        <v>1922</v>
      </c>
      <c r="AT656" t="s">
        <v>107</v>
      </c>
      <c r="AU656" t="str">
        <f>"Brooks"</f>
        <v>Brooks</v>
      </c>
      <c r="AV656" t="str">
        <f>"Samantha"</f>
        <v>Samantha</v>
      </c>
      <c r="AW656" t="str">
        <f>""</f>
        <v/>
      </c>
      <c r="AX656" t="str">
        <f>"1355 Peachtree Street NE"</f>
        <v>1355 Peachtree Street NE</v>
      </c>
      <c r="AY656" t="str">
        <f>"Suite 900"</f>
        <v>Suite 900</v>
      </c>
      <c r="AZ656" t="str">
        <f>"Atlanta"</f>
        <v>Atlanta</v>
      </c>
      <c r="BA656" t="str">
        <f>"GA"</f>
        <v>GA</v>
      </c>
      <c r="BB656" s="3">
        <v>30309</v>
      </c>
      <c r="BC656" t="str">
        <f t="shared" ref="BC656:BC669" si="41">"UNITED STATES OF AMERICA"</f>
        <v>UNITED STATES OF AMERICA</v>
      </c>
      <c r="BD656" t="str">
        <f>""</f>
        <v/>
      </c>
      <c r="BE656" t="str">
        <f>"+14048565566"</f>
        <v>+14048565566</v>
      </c>
      <c r="BF656" t="str">
        <f>""</f>
        <v/>
      </c>
      <c r="BG656" t="str">
        <f>"cvaughn@fragomen.com"</f>
        <v>cvaughn@fragomen.com</v>
      </c>
      <c r="BH656" t="str">
        <f>"Fragomen, Del Rey, Bernsen &amp; Loewy, LLP"</f>
        <v>Fragomen, Del Rey, Bernsen &amp; Loewy, LLP</v>
      </c>
      <c r="BI656" t="str">
        <f>"NY"</f>
        <v>NY</v>
      </c>
      <c r="BJ656" t="str">
        <f>"Supreme"</f>
        <v>Supreme</v>
      </c>
      <c r="BK656">
        <v>1</v>
      </c>
      <c r="BL656" t="s">
        <v>102</v>
      </c>
      <c r="BM656" t="str">
        <f>""</f>
        <v/>
      </c>
      <c r="BN656" t="s">
        <v>7649</v>
      </c>
      <c r="BO656" t="s">
        <v>2382</v>
      </c>
      <c r="BP656" t="s">
        <v>1661</v>
      </c>
      <c r="BQ656" t="s">
        <v>576</v>
      </c>
      <c r="BR656" t="s">
        <v>577</v>
      </c>
      <c r="BS656" s="5">
        <v>33069</v>
      </c>
      <c r="BT656" s="2">
        <v>120000</v>
      </c>
      <c r="BU656" s="2">
        <v>140000</v>
      </c>
      <c r="BV656" t="s">
        <v>105</v>
      </c>
      <c r="BW656" s="2">
        <v>98946</v>
      </c>
      <c r="BX656" t="s">
        <v>105</v>
      </c>
      <c r="BZ656" t="s">
        <v>159</v>
      </c>
      <c r="CA656" t="str">
        <f t="shared" si="40"/>
        <v>7/1/2020 - 6/30/2021</v>
      </c>
      <c r="CF656">
        <v>1</v>
      </c>
      <c r="CG656" t="s">
        <v>98</v>
      </c>
      <c r="CH656" t="s">
        <v>206</v>
      </c>
      <c r="CI656" t="s">
        <v>206</v>
      </c>
      <c r="CL656" t="s">
        <v>108</v>
      </c>
      <c r="CM656" t="s">
        <v>109</v>
      </c>
      <c r="CN656" t="str">
        <f>""</f>
        <v/>
      </c>
      <c r="CO656" t="str">
        <f>""</f>
        <v/>
      </c>
      <c r="CP656" t="str">
        <f>""</f>
        <v/>
      </c>
      <c r="CQ656" t="str">
        <f>""</f>
        <v/>
      </c>
    </row>
    <row r="657" spans="1:96" x14ac:dyDescent="0.2">
      <c r="A657" t="s">
        <v>7658</v>
      </c>
      <c r="B657" t="s">
        <v>96</v>
      </c>
      <c r="C657" s="1">
        <v>44098</v>
      </c>
      <c r="D657" s="1">
        <v>44105</v>
      </c>
      <c r="F657" t="s">
        <v>97</v>
      </c>
      <c r="G657" t="str">
        <f>"Quality Validation Engineer"</f>
        <v>Quality Validation Engineer</v>
      </c>
      <c r="H657" t="s">
        <v>12217</v>
      </c>
      <c r="I657" t="s">
        <v>778</v>
      </c>
      <c r="J657" t="s">
        <v>98</v>
      </c>
      <c r="K657" s="1">
        <v>44274</v>
      </c>
      <c r="L657" s="1">
        <v>45369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 t="s">
        <v>7659</v>
      </c>
      <c r="U657" t="str">
        <f>""</f>
        <v/>
      </c>
      <c r="V657" t="s">
        <v>7660</v>
      </c>
      <c r="W657" t="str">
        <f>""</f>
        <v/>
      </c>
      <c r="X657" t="s">
        <v>7661</v>
      </c>
      <c r="Y657" t="s">
        <v>330</v>
      </c>
      <c r="Z657" s="3">
        <v>54751</v>
      </c>
      <c r="AA657" t="s">
        <v>101</v>
      </c>
      <c r="AC657" s="4" t="str">
        <f>"+17152311234"</f>
        <v>+17152311234</v>
      </c>
      <c r="AE657" t="str">
        <f>"5417"</f>
        <v>5417</v>
      </c>
      <c r="AF657" t="s">
        <v>1555</v>
      </c>
      <c r="AG657" t="s">
        <v>7635</v>
      </c>
      <c r="AI657" t="s">
        <v>5913</v>
      </c>
      <c r="AJ657" t="s">
        <v>7662</v>
      </c>
      <c r="AK657" t="str">
        <f>""</f>
        <v/>
      </c>
      <c r="AL657" t="s">
        <v>7661</v>
      </c>
      <c r="AM657" t="s">
        <v>330</v>
      </c>
      <c r="AN657" s="3">
        <v>54751</v>
      </c>
      <c r="AO657" t="s">
        <v>101</v>
      </c>
      <c r="AQ657" t="str">
        <f>"+17152311234"</f>
        <v>+17152311234</v>
      </c>
      <c r="AS657" t="s">
        <v>7663</v>
      </c>
      <c r="AT657" t="s">
        <v>107</v>
      </c>
      <c r="AU657" t="str">
        <f>"Webster "</f>
        <v xml:space="preserve">Webster </v>
      </c>
      <c r="AV657" t="str">
        <f>"Matthew"</f>
        <v>Matthew</v>
      </c>
      <c r="AW657" t="str">
        <f>"P."</f>
        <v>P.</v>
      </c>
      <c r="AX657" t="str">
        <f>"200 South 6th Street "</f>
        <v xml:space="preserve">200 South 6th Street </v>
      </c>
      <c r="AY657" t="str">
        <f>"Suite 4000"</f>
        <v>Suite 4000</v>
      </c>
      <c r="AZ657" t="str">
        <f>"Minneapolis "</f>
        <v xml:space="preserve">Minneapolis </v>
      </c>
      <c r="BA657" t="str">
        <f>"MN"</f>
        <v>MN</v>
      </c>
      <c r="BB657" s="3">
        <v>55402</v>
      </c>
      <c r="BC657" t="str">
        <f t="shared" si="41"/>
        <v>UNITED STATES OF AMERICA</v>
      </c>
      <c r="BD657" t="str">
        <f>""</f>
        <v/>
      </c>
      <c r="BE657" t="str">
        <f>"+16124927234"</f>
        <v>+16124927234</v>
      </c>
      <c r="BF657" t="str">
        <f>""</f>
        <v/>
      </c>
      <c r="BG657" t="str">
        <f>"mwebster@fredlaw.com"</f>
        <v>mwebster@fredlaw.com</v>
      </c>
      <c r="BH657" t="str">
        <f>"Fredrikson &amp; Byron PA "</f>
        <v xml:space="preserve">Fredrikson &amp; Byron PA </v>
      </c>
      <c r="BI657" t="str">
        <f>"MN"</f>
        <v>MN</v>
      </c>
      <c r="BJ657" t="str">
        <f>"Supreme Court "</f>
        <v xml:space="preserve">Supreme Court </v>
      </c>
      <c r="BK657">
        <v>1</v>
      </c>
      <c r="BL657" t="s">
        <v>102</v>
      </c>
      <c r="BM657" t="str">
        <f>""</f>
        <v/>
      </c>
      <c r="BN657" t="s">
        <v>7662</v>
      </c>
      <c r="BP657" t="s">
        <v>7661</v>
      </c>
      <c r="BQ657" t="s">
        <v>7664</v>
      </c>
      <c r="BR657" t="s">
        <v>330</v>
      </c>
      <c r="BS657" s="5">
        <v>54751</v>
      </c>
      <c r="BT657" s="2">
        <v>79500</v>
      </c>
      <c r="BV657" t="s">
        <v>105</v>
      </c>
      <c r="BW657" s="2">
        <v>66955</v>
      </c>
      <c r="BX657" t="s">
        <v>105</v>
      </c>
      <c r="BZ657" t="s">
        <v>167</v>
      </c>
      <c r="CA657" t="str">
        <f t="shared" si="40"/>
        <v>7/1/2020 - 6/30/2021</v>
      </c>
      <c r="CF657">
        <v>3</v>
      </c>
      <c r="CG657" t="s">
        <v>98</v>
      </c>
      <c r="CH657" t="s">
        <v>206</v>
      </c>
      <c r="CI657" t="s">
        <v>206</v>
      </c>
      <c r="CL657" t="s">
        <v>108</v>
      </c>
      <c r="CM657" t="s">
        <v>109</v>
      </c>
      <c r="CN657" t="str">
        <f>""</f>
        <v/>
      </c>
      <c r="CO657" t="str">
        <f>""</f>
        <v/>
      </c>
      <c r="CP657" t="str">
        <f>""</f>
        <v/>
      </c>
      <c r="CQ657" t="str">
        <f>""</f>
        <v/>
      </c>
    </row>
    <row r="658" spans="1:96" x14ac:dyDescent="0.2">
      <c r="A658" t="s">
        <v>7681</v>
      </c>
      <c r="B658" t="s">
        <v>96</v>
      </c>
      <c r="C658" s="1">
        <v>44098</v>
      </c>
      <c r="D658" s="1">
        <v>44105</v>
      </c>
      <c r="F658" t="s">
        <v>97</v>
      </c>
      <c r="G658" t="str">
        <f>"GIS Solutions Engineer"</f>
        <v>GIS Solutions Engineer</v>
      </c>
      <c r="H658" t="s">
        <v>12168</v>
      </c>
      <c r="I658" t="s">
        <v>3387</v>
      </c>
      <c r="J658" t="s">
        <v>98</v>
      </c>
      <c r="K658" s="1">
        <v>44123</v>
      </c>
      <c r="L658" s="1">
        <v>45217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7682</v>
      </c>
      <c r="U658" t="str">
        <f>""</f>
        <v/>
      </c>
      <c r="V658" t="s">
        <v>7683</v>
      </c>
      <c r="W658" t="str">
        <f>"4TH FLOOR"</f>
        <v>4TH FLOOR</v>
      </c>
      <c r="X658" t="s">
        <v>2108</v>
      </c>
      <c r="Y658" t="s">
        <v>100</v>
      </c>
      <c r="Z658" s="3">
        <v>7054</v>
      </c>
      <c r="AA658" t="s">
        <v>101</v>
      </c>
      <c r="AC658" s="4" t="str">
        <f>"+19735604900"</f>
        <v>+19735604900</v>
      </c>
      <c r="AE658" t="str">
        <f>"541330"</f>
        <v>541330</v>
      </c>
      <c r="AF658" t="s">
        <v>7684</v>
      </c>
      <c r="AG658" t="s">
        <v>3618</v>
      </c>
      <c r="AI658" t="s">
        <v>7685</v>
      </c>
      <c r="AJ658" t="s">
        <v>7683</v>
      </c>
      <c r="AK658" t="str">
        <f>"4TH FLOOR "</f>
        <v xml:space="preserve">4TH FLOOR </v>
      </c>
      <c r="AL658" t="s">
        <v>2108</v>
      </c>
      <c r="AM658" t="s">
        <v>100</v>
      </c>
      <c r="AN658" s="3">
        <v>7054</v>
      </c>
      <c r="AO658" t="s">
        <v>101</v>
      </c>
      <c r="AQ658" t="str">
        <f>"+19735604956"</f>
        <v>+19735604956</v>
      </c>
      <c r="AS658" t="s">
        <v>7686</v>
      </c>
      <c r="AT658" t="s">
        <v>107</v>
      </c>
      <c r="AU658" t="str">
        <f>"SIMON"</f>
        <v>SIMON</v>
      </c>
      <c r="AV658" t="str">
        <f>"NICOLE"</f>
        <v>NICOLE</v>
      </c>
      <c r="AW658" t="str">
        <f>"ANN"</f>
        <v>ANN</v>
      </c>
      <c r="AX658" t="str">
        <f>"190 N INDEPENDENCE MALL WEST"</f>
        <v>190 N INDEPENDENCE MALL WEST</v>
      </c>
      <c r="AY658" t="str">
        <f>"SUITE 602"</f>
        <v>SUITE 602</v>
      </c>
      <c r="AZ658" t="str">
        <f>"PHILADELPHIA"</f>
        <v>PHILADELPHIA</v>
      </c>
      <c r="BA658" t="str">
        <f>"PA"</f>
        <v>PA</v>
      </c>
      <c r="BB658" s="3">
        <v>19106</v>
      </c>
      <c r="BC658" t="str">
        <f t="shared" si="41"/>
        <v>UNITED STATES OF AMERICA</v>
      </c>
      <c r="BD658" t="str">
        <f>""</f>
        <v/>
      </c>
      <c r="BE658" t="str">
        <f>"+12159250705"</f>
        <v>+12159250705</v>
      </c>
      <c r="BF658" t="str">
        <f>""</f>
        <v/>
      </c>
      <c r="BG658" t="str">
        <f>"NSIMON@LHSCIMMIGRATION.COM"</f>
        <v>NSIMON@LHSCIMMIGRATION.COM</v>
      </c>
      <c r="BH658" t="str">
        <f>"LANDAU, HESS, SIMON, CHOI &amp; DOEBLEY"</f>
        <v>LANDAU, HESS, SIMON, CHOI &amp; DOEBLEY</v>
      </c>
      <c r="BI658" t="str">
        <f>"CA"</f>
        <v>CA</v>
      </c>
      <c r="BJ658" t="str">
        <f>"SUPREME COURT OF CALIFORNIA"</f>
        <v>SUPREME COURT OF CALIFORNIA</v>
      </c>
      <c r="BK658">
        <v>1</v>
      </c>
      <c r="BL658" t="s">
        <v>102</v>
      </c>
      <c r="BM658" t="str">
        <f>""</f>
        <v/>
      </c>
      <c r="BN658" t="s">
        <v>2977</v>
      </c>
      <c r="BO658" t="s">
        <v>1105</v>
      </c>
      <c r="BP658" t="s">
        <v>1045</v>
      </c>
      <c r="BQ658" t="s">
        <v>1029</v>
      </c>
      <c r="BR658" t="s">
        <v>100</v>
      </c>
      <c r="BS658" s="5">
        <v>7054</v>
      </c>
      <c r="BT658" s="2">
        <v>78000</v>
      </c>
      <c r="BV658" t="s">
        <v>105</v>
      </c>
      <c r="BW658" s="2">
        <v>67766</v>
      </c>
      <c r="BX658" t="s">
        <v>105</v>
      </c>
      <c r="BZ658" t="s">
        <v>167</v>
      </c>
      <c r="CA658" t="str">
        <f t="shared" si="40"/>
        <v>7/1/2020 - 6/30/2021</v>
      </c>
      <c r="CF658">
        <v>2</v>
      </c>
      <c r="CG658" t="s">
        <v>98</v>
      </c>
      <c r="CH658" t="s">
        <v>206</v>
      </c>
      <c r="CI658" t="s">
        <v>206</v>
      </c>
      <c r="CL658" t="s">
        <v>108</v>
      </c>
      <c r="CM658" t="s">
        <v>109</v>
      </c>
      <c r="CN658" t="str">
        <f>""</f>
        <v/>
      </c>
      <c r="CO658" t="str">
        <f>""</f>
        <v/>
      </c>
      <c r="CP658" t="str">
        <f>""</f>
        <v/>
      </c>
      <c r="CQ658" t="str">
        <f>""</f>
        <v/>
      </c>
    </row>
    <row r="659" spans="1:96" x14ac:dyDescent="0.2">
      <c r="A659" t="s">
        <v>7694</v>
      </c>
      <c r="B659" t="s">
        <v>96</v>
      </c>
      <c r="C659" s="1">
        <v>44098</v>
      </c>
      <c r="D659" s="1">
        <v>44105</v>
      </c>
      <c r="F659" t="s">
        <v>97</v>
      </c>
      <c r="G659" t="str">
        <f>"Oracle Business Systems Analyst"</f>
        <v>Oracle Business Systems Analyst</v>
      </c>
      <c r="H659" t="s">
        <v>12168</v>
      </c>
      <c r="I659" t="s">
        <v>160</v>
      </c>
      <c r="J659" t="s">
        <v>98</v>
      </c>
      <c r="K659" s="1">
        <v>44147</v>
      </c>
      <c r="L659" s="1">
        <v>45241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 t="s">
        <v>6562</v>
      </c>
      <c r="U659" t="str">
        <f>""</f>
        <v/>
      </c>
      <c r="V659" t="s">
        <v>6563</v>
      </c>
      <c r="W659" t="str">
        <f>""</f>
        <v/>
      </c>
      <c r="X659" t="s">
        <v>5067</v>
      </c>
      <c r="Y659" t="s">
        <v>190</v>
      </c>
      <c r="Z659" s="3">
        <v>14564</v>
      </c>
      <c r="AA659" t="s">
        <v>101</v>
      </c>
      <c r="AB659" t="s">
        <v>108</v>
      </c>
      <c r="AC659" s="4" t="str">
        <f>"+15857569643"</f>
        <v>+15857569643</v>
      </c>
      <c r="AE659" t="str">
        <f>"339115"</f>
        <v>339115</v>
      </c>
      <c r="AF659" t="s">
        <v>6564</v>
      </c>
      <c r="AG659" t="s">
        <v>1182</v>
      </c>
      <c r="AI659" t="s">
        <v>1183</v>
      </c>
      <c r="AJ659" t="s">
        <v>6563</v>
      </c>
      <c r="AK659" t="str">
        <f>""</f>
        <v/>
      </c>
      <c r="AL659" t="s">
        <v>5067</v>
      </c>
      <c r="AM659" t="s">
        <v>190</v>
      </c>
      <c r="AN659" s="3">
        <v>14564</v>
      </c>
      <c r="AO659" t="s">
        <v>101</v>
      </c>
      <c r="AQ659" t="str">
        <f>"+15857569643"</f>
        <v>+15857569643</v>
      </c>
      <c r="AS659" t="s">
        <v>6565</v>
      </c>
      <c r="AT659" t="s">
        <v>107</v>
      </c>
      <c r="AU659" t="str">
        <f>"Garvin"</f>
        <v>Garvin</v>
      </c>
      <c r="AV659" t="str">
        <f>"Laura"</f>
        <v>Laura</v>
      </c>
      <c r="AW659" t="str">
        <f>"C. "</f>
        <v xml:space="preserve">C. </v>
      </c>
      <c r="AX659" t="str">
        <f>"1111 Pennsylvania Avenue, N.W."</f>
        <v>1111 Pennsylvania Avenue, N.W.</v>
      </c>
      <c r="AY659" t="str">
        <f>""</f>
        <v/>
      </c>
      <c r="AZ659" t="str">
        <f>"Washington"</f>
        <v>Washington</v>
      </c>
      <c r="BA659" t="str">
        <f>"DC"</f>
        <v>DC</v>
      </c>
      <c r="BB659" s="3">
        <v>20004</v>
      </c>
      <c r="BC659" t="str">
        <f t="shared" si="41"/>
        <v>UNITED STATES OF AMERICA</v>
      </c>
      <c r="BD659" t="str">
        <f>""</f>
        <v/>
      </c>
      <c r="BE659" t="str">
        <f>"+13054153442"</f>
        <v>+13054153442</v>
      </c>
      <c r="BF659" t="str">
        <f>""</f>
        <v/>
      </c>
      <c r="BG659" t="str">
        <f>"laura.garvin@morganlewis.com"</f>
        <v>laura.garvin@morganlewis.com</v>
      </c>
      <c r="BH659" t="str">
        <f>"Morgan, Lewis &amp; Bockius LLP"</f>
        <v>Morgan, Lewis &amp; Bockius LLP</v>
      </c>
      <c r="BI659" t="str">
        <f>"DC"</f>
        <v>DC</v>
      </c>
      <c r="BJ659" t="str">
        <f>"Court of Appeals"</f>
        <v>Court of Appeals</v>
      </c>
      <c r="BK659">
        <v>1</v>
      </c>
      <c r="BL659" t="s">
        <v>102</v>
      </c>
      <c r="BM659" t="str">
        <f>""</f>
        <v/>
      </c>
      <c r="BN659" t="s">
        <v>6563</v>
      </c>
      <c r="BP659" t="s">
        <v>5067</v>
      </c>
      <c r="BQ659" t="s">
        <v>5861</v>
      </c>
      <c r="BR659" t="s">
        <v>190</v>
      </c>
      <c r="BS659" s="5">
        <v>14564</v>
      </c>
      <c r="BT659" s="2">
        <v>94952</v>
      </c>
      <c r="BU659" s="2">
        <v>110100</v>
      </c>
      <c r="BV659" t="s">
        <v>105</v>
      </c>
      <c r="BW659" s="2">
        <v>87984</v>
      </c>
      <c r="BX659" t="s">
        <v>105</v>
      </c>
      <c r="BZ659" t="s">
        <v>159</v>
      </c>
      <c r="CA659" t="str">
        <f t="shared" si="40"/>
        <v>7/1/2020 - 6/30/2021</v>
      </c>
      <c r="CF659">
        <v>2</v>
      </c>
      <c r="CG659" t="s">
        <v>98</v>
      </c>
      <c r="CH659" t="s">
        <v>206</v>
      </c>
      <c r="CI659" t="s">
        <v>206</v>
      </c>
      <c r="CL659" t="s">
        <v>108</v>
      </c>
      <c r="CM659" t="s">
        <v>109</v>
      </c>
      <c r="CN659" t="str">
        <f>""</f>
        <v/>
      </c>
      <c r="CO659" t="str">
        <f>""</f>
        <v/>
      </c>
      <c r="CP659" t="str">
        <f>""</f>
        <v/>
      </c>
      <c r="CQ659" t="str">
        <f>""</f>
        <v/>
      </c>
    </row>
    <row r="660" spans="1:96" x14ac:dyDescent="0.2">
      <c r="A660" t="s">
        <v>7713</v>
      </c>
      <c r="B660" t="s">
        <v>96</v>
      </c>
      <c r="C660" s="1">
        <v>44098</v>
      </c>
      <c r="D660" s="1">
        <v>44105</v>
      </c>
      <c r="F660" t="s">
        <v>97</v>
      </c>
      <c r="G660" t="str">
        <f>"Senior Market Innovation and Solutions Engineer II"</f>
        <v>Senior Market Innovation and Solutions Engineer II</v>
      </c>
      <c r="H660" t="s">
        <v>12179</v>
      </c>
      <c r="I660" t="s">
        <v>1357</v>
      </c>
      <c r="J660" t="s">
        <v>98</v>
      </c>
      <c r="K660" s="1">
        <v>44244</v>
      </c>
      <c r="L660" s="1">
        <v>45338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7714</v>
      </c>
      <c r="U660" t="str">
        <f>"M I S O"</f>
        <v>M I S O</v>
      </c>
      <c r="V660" t="s">
        <v>7715</v>
      </c>
      <c r="W660" t="str">
        <f>""</f>
        <v/>
      </c>
      <c r="X660" t="s">
        <v>2665</v>
      </c>
      <c r="Y660" t="s">
        <v>352</v>
      </c>
      <c r="Z660" s="3">
        <v>46032</v>
      </c>
      <c r="AA660" t="s">
        <v>101</v>
      </c>
      <c r="AC660" s="4" t="str">
        <f>"+13172204351"</f>
        <v>+13172204351</v>
      </c>
      <c r="AE660" t="str">
        <f>"221121"</f>
        <v>221121</v>
      </c>
      <c r="AF660" t="s">
        <v>7716</v>
      </c>
      <c r="AG660" t="s">
        <v>7717</v>
      </c>
      <c r="AI660" t="s">
        <v>7718</v>
      </c>
      <c r="AJ660" t="s">
        <v>7715</v>
      </c>
      <c r="AK660" t="str">
        <f>""</f>
        <v/>
      </c>
      <c r="AL660" t="s">
        <v>2665</v>
      </c>
      <c r="AM660" t="s">
        <v>352</v>
      </c>
      <c r="AN660" s="3">
        <v>46032</v>
      </c>
      <c r="AO660" t="s">
        <v>101</v>
      </c>
      <c r="AQ660" t="str">
        <f>"+13172204351"</f>
        <v>+13172204351</v>
      </c>
      <c r="AS660" t="s">
        <v>7719</v>
      </c>
      <c r="AT660" t="s">
        <v>107</v>
      </c>
      <c r="AU660" t="str">
        <f>"Zusy"</f>
        <v>Zusy</v>
      </c>
      <c r="AV660" t="str">
        <f>"Caitlin "</f>
        <v xml:space="preserve">Caitlin </v>
      </c>
      <c r="AW660" t="str">
        <f>"Nadrah"</f>
        <v>Nadrah</v>
      </c>
      <c r="AX660" t="str">
        <f>"333 W. Wacker Drive"</f>
        <v>333 W. Wacker Drive</v>
      </c>
      <c r="AY660" t="str">
        <f>"15th Floor"</f>
        <v>15th Floor</v>
      </c>
      <c r="AZ660" t="str">
        <f>"Chicago"</f>
        <v>Chicago</v>
      </c>
      <c r="BA660" t="str">
        <f>"IL"</f>
        <v>IL</v>
      </c>
      <c r="BB660" s="3">
        <v>60606</v>
      </c>
      <c r="BC660" t="str">
        <f t="shared" si="41"/>
        <v>UNITED STATES OF AMERICA</v>
      </c>
      <c r="BD660" t="str">
        <f>""</f>
        <v/>
      </c>
      <c r="BE660" t="str">
        <f>"+13122636101"</f>
        <v>+13122636101</v>
      </c>
      <c r="BF660" t="str">
        <f>""</f>
        <v/>
      </c>
      <c r="BG660" t="str">
        <f>"Ipiedra@Fragomen.com"</f>
        <v>Ipiedra@Fragomen.com</v>
      </c>
      <c r="BH660" t="str">
        <f>"Fragomen Del Rey Bernsen &amp; Loewy LLP"</f>
        <v>Fragomen Del Rey Bernsen &amp; Loewy LLP</v>
      </c>
      <c r="BI660" t="str">
        <f>"IL"</f>
        <v>IL</v>
      </c>
      <c r="BJ660" t="str">
        <f>"Supreme Court"</f>
        <v>Supreme Court</v>
      </c>
      <c r="BK660">
        <v>1</v>
      </c>
      <c r="BL660" t="s">
        <v>102</v>
      </c>
      <c r="BM660" t="str">
        <f>""</f>
        <v/>
      </c>
      <c r="BN660" t="s">
        <v>7715</v>
      </c>
      <c r="BP660" t="s">
        <v>2665</v>
      </c>
      <c r="BQ660" t="s">
        <v>1624</v>
      </c>
      <c r="BR660" t="s">
        <v>352</v>
      </c>
      <c r="BS660" s="5">
        <v>46032</v>
      </c>
      <c r="BT660" s="2">
        <v>110000</v>
      </c>
      <c r="BU660" s="2">
        <v>125000</v>
      </c>
      <c r="BV660" t="s">
        <v>105</v>
      </c>
      <c r="BW660" s="2">
        <v>108202</v>
      </c>
      <c r="BX660" t="s">
        <v>105</v>
      </c>
      <c r="BZ660" t="s">
        <v>159</v>
      </c>
      <c r="CA660" t="str">
        <f t="shared" si="40"/>
        <v>7/1/2020 - 6/30/2021</v>
      </c>
      <c r="CF660">
        <v>1</v>
      </c>
      <c r="CG660" t="s">
        <v>98</v>
      </c>
      <c r="CH660" t="s">
        <v>206</v>
      </c>
      <c r="CI660" t="s">
        <v>206</v>
      </c>
      <c r="CL660" t="s">
        <v>108</v>
      </c>
      <c r="CM660" t="s">
        <v>109</v>
      </c>
      <c r="CN660" t="str">
        <f>"Piedra"</f>
        <v>Piedra</v>
      </c>
      <c r="CO660" t="str">
        <f>"Isabel"</f>
        <v>Isabel</v>
      </c>
      <c r="CP660" t="str">
        <f>""</f>
        <v/>
      </c>
      <c r="CQ660" t="str">
        <f>"Fragomen Del Rey Bernsen &amp; Loewy LLP"</f>
        <v>Fragomen Del Rey Bernsen &amp; Loewy LLP</v>
      </c>
      <c r="CR660" t="s">
        <v>3309</v>
      </c>
    </row>
    <row r="661" spans="1:96" x14ac:dyDescent="0.2">
      <c r="A661" t="s">
        <v>7760</v>
      </c>
      <c r="B661" t="s">
        <v>96</v>
      </c>
      <c r="C661" s="1">
        <v>44098</v>
      </c>
      <c r="D661" s="1">
        <v>44105</v>
      </c>
      <c r="F661" t="s">
        <v>97</v>
      </c>
      <c r="G661" t="str">
        <f>"Principal Engineer - Mechanical"</f>
        <v>Principal Engineer - Mechanical</v>
      </c>
      <c r="H661" t="s">
        <v>12196</v>
      </c>
      <c r="I661" t="s">
        <v>322</v>
      </c>
      <c r="J661" t="s">
        <v>98</v>
      </c>
      <c r="K661" s="1">
        <v>44105</v>
      </c>
      <c r="L661" s="1">
        <v>45199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 t="s">
        <v>4473</v>
      </c>
      <c r="U661" t="str">
        <f>""</f>
        <v/>
      </c>
      <c r="V661" t="s">
        <v>6350</v>
      </c>
      <c r="W661" t="str">
        <f>"N/A"</f>
        <v>N/A</v>
      </c>
      <c r="X661" t="s">
        <v>1498</v>
      </c>
      <c r="Y661" t="s">
        <v>265</v>
      </c>
      <c r="Z661" s="3">
        <v>48331</v>
      </c>
      <c r="AA661" t="s">
        <v>101</v>
      </c>
      <c r="AC661" s="4" t="str">
        <f>"+12486994012"</f>
        <v>+12486994012</v>
      </c>
      <c r="AE661" t="str">
        <f>"336111"</f>
        <v>336111</v>
      </c>
      <c r="AF661" t="s">
        <v>4472</v>
      </c>
      <c r="AG661" t="s">
        <v>2279</v>
      </c>
      <c r="AH661" t="s">
        <v>108</v>
      </c>
      <c r="AI661" t="s">
        <v>3747</v>
      </c>
      <c r="AJ661" t="s">
        <v>6350</v>
      </c>
      <c r="AK661" t="str">
        <f>"N/A"</f>
        <v>N/A</v>
      </c>
      <c r="AL661" t="s">
        <v>1498</v>
      </c>
      <c r="AM661" t="s">
        <v>265</v>
      </c>
      <c r="AN661" s="3">
        <v>48331</v>
      </c>
      <c r="AO661" t="s">
        <v>101</v>
      </c>
      <c r="AQ661" t="str">
        <f>"+12486994012"</f>
        <v>+12486994012</v>
      </c>
      <c r="AS661" t="s">
        <v>6351</v>
      </c>
      <c r="AT661" t="s">
        <v>107</v>
      </c>
      <c r="AU661" t="str">
        <f>"Terebelo"</f>
        <v>Terebelo</v>
      </c>
      <c r="AV661" t="str">
        <f>"Michal"</f>
        <v>Michal</v>
      </c>
      <c r="AW661" t="str">
        <f>"D"</f>
        <v>D</v>
      </c>
      <c r="AX661" t="str">
        <f>"5250 Corporate Drive"</f>
        <v>5250 Corporate Drive</v>
      </c>
      <c r="AY661" t="str">
        <f>"Ste. 300"</f>
        <v>Ste. 300</v>
      </c>
      <c r="AZ661" t="str">
        <f>"Troy"</f>
        <v>Troy</v>
      </c>
      <c r="BA661" t="str">
        <f>"MI"</f>
        <v>MI</v>
      </c>
      <c r="BB661" s="3">
        <v>48098</v>
      </c>
      <c r="BC661" t="str">
        <f t="shared" si="41"/>
        <v>UNITED STATES OF AMERICA</v>
      </c>
      <c r="BD661" t="str">
        <f>""</f>
        <v/>
      </c>
      <c r="BE661" t="str">
        <f>"+12486434900"</f>
        <v>+12486434900</v>
      </c>
      <c r="BF661" t="str">
        <f>""</f>
        <v/>
      </c>
      <c r="BG661" t="str">
        <f>"Swati@employmentimmigration.com"</f>
        <v>Swati@employmentimmigration.com</v>
      </c>
      <c r="BH661" t="str">
        <f>"Fakhoury Global Immigration, USA PC"</f>
        <v>Fakhoury Global Immigration, USA PC</v>
      </c>
      <c r="BI661" t="str">
        <f>"MI"</f>
        <v>MI</v>
      </c>
      <c r="BJ661" t="str">
        <f>"Supreme Court"</f>
        <v>Supreme Court</v>
      </c>
      <c r="BK661">
        <v>1</v>
      </c>
      <c r="BL661" t="s">
        <v>102</v>
      </c>
      <c r="BM661" t="str">
        <f>""</f>
        <v/>
      </c>
      <c r="BN661" t="s">
        <v>4473</v>
      </c>
      <c r="BO661" t="s">
        <v>4471</v>
      </c>
      <c r="BP661" t="s">
        <v>1498</v>
      </c>
      <c r="BQ661" t="s">
        <v>719</v>
      </c>
      <c r="BR661" t="s">
        <v>265</v>
      </c>
      <c r="BS661" s="5">
        <v>48331</v>
      </c>
      <c r="BT661" s="2">
        <v>118000</v>
      </c>
      <c r="BV661" t="s">
        <v>105</v>
      </c>
      <c r="BW661" s="2">
        <v>97261</v>
      </c>
      <c r="BX661" t="s">
        <v>105</v>
      </c>
      <c r="BZ661" t="s">
        <v>123</v>
      </c>
      <c r="CA661" t="str">
        <f t="shared" si="40"/>
        <v>7/1/2020 - 6/30/2021</v>
      </c>
      <c r="CF661">
        <v>1</v>
      </c>
      <c r="CG661" t="s">
        <v>98</v>
      </c>
      <c r="CH661" t="s">
        <v>206</v>
      </c>
      <c r="CI661" t="s">
        <v>206</v>
      </c>
      <c r="CL661" t="s">
        <v>108</v>
      </c>
      <c r="CM661" t="s">
        <v>109</v>
      </c>
      <c r="CN661" t="str">
        <f>"Terebelo"</f>
        <v>Terebelo</v>
      </c>
      <c r="CO661" t="str">
        <f>"Michal"</f>
        <v>Michal</v>
      </c>
      <c r="CP661" t="str">
        <f>"D"</f>
        <v>D</v>
      </c>
      <c r="CQ661" t="str">
        <f>"Fakhoury Global Immigration, USA PC"</f>
        <v>Fakhoury Global Immigration, USA PC</v>
      </c>
      <c r="CR661" t="s">
        <v>4694</v>
      </c>
    </row>
    <row r="662" spans="1:96" x14ac:dyDescent="0.2">
      <c r="A662" t="s">
        <v>7761</v>
      </c>
      <c r="B662" t="s">
        <v>96</v>
      </c>
      <c r="C662" s="1">
        <v>44098</v>
      </c>
      <c r="D662" s="1">
        <v>44105</v>
      </c>
      <c r="F662" t="s">
        <v>97</v>
      </c>
      <c r="G662" t="str">
        <f>"Sr Research Analyst, Level-II"</f>
        <v>Sr Research Analyst, Level-II</v>
      </c>
      <c r="H662" t="s">
        <v>12220</v>
      </c>
      <c r="I662" t="s">
        <v>963</v>
      </c>
      <c r="J662" t="s">
        <v>98</v>
      </c>
      <c r="K662" s="1">
        <v>44105</v>
      </c>
      <c r="L662" s="1">
        <v>45199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7762</v>
      </c>
      <c r="U662" t="str">
        <f>""</f>
        <v/>
      </c>
      <c r="V662" t="s">
        <v>4195</v>
      </c>
      <c r="W662" t="str">
        <f>"500 Grant Street "</f>
        <v xml:space="preserve">500 Grant Street </v>
      </c>
      <c r="X662" t="s">
        <v>4562</v>
      </c>
      <c r="Y662" t="s">
        <v>127</v>
      </c>
      <c r="Z662" s="3">
        <v>15258</v>
      </c>
      <c r="AA662" t="s">
        <v>101</v>
      </c>
      <c r="AC662" s="4" t="str">
        <f>"+19733602770"</f>
        <v>+19733602770</v>
      </c>
      <c r="AE662" t="str">
        <f>"523110"</f>
        <v>523110</v>
      </c>
      <c r="AF662" t="s">
        <v>5896</v>
      </c>
      <c r="AG662" t="s">
        <v>2446</v>
      </c>
      <c r="AH662" t="s">
        <v>108</v>
      </c>
      <c r="AI662" t="s">
        <v>4886</v>
      </c>
      <c r="AJ662" t="s">
        <v>7763</v>
      </c>
      <c r="AK662" t="str">
        <f>"500 GRANT STREET"</f>
        <v>500 GRANT STREET</v>
      </c>
      <c r="AL662" t="s">
        <v>617</v>
      </c>
      <c r="AM662" t="s">
        <v>127</v>
      </c>
      <c r="AN662" s="3">
        <v>15258</v>
      </c>
      <c r="AO662" t="s">
        <v>101</v>
      </c>
      <c r="AQ662" t="str">
        <f>"+19733602770"</f>
        <v>+19733602770</v>
      </c>
      <c r="AS662" t="s">
        <v>4196</v>
      </c>
      <c r="AT662" t="s">
        <v>107</v>
      </c>
      <c r="AU662" t="str">
        <f>"Atassi"</f>
        <v>Atassi</v>
      </c>
      <c r="AV662" t="str">
        <f>"Isha"</f>
        <v>Isha</v>
      </c>
      <c r="AW662" t="str">
        <f>""</f>
        <v/>
      </c>
      <c r="AX662" t="str">
        <f>"1400 Broadway"</f>
        <v>1400 Broadway</v>
      </c>
      <c r="AY662" t="str">
        <f>""</f>
        <v/>
      </c>
      <c r="AZ662" t="str">
        <f>"New York "</f>
        <v xml:space="preserve">New York </v>
      </c>
      <c r="BA662" t="str">
        <f>"NY"</f>
        <v>NY</v>
      </c>
      <c r="BB662" s="3">
        <v>10018</v>
      </c>
      <c r="BC662" t="str">
        <f t="shared" si="41"/>
        <v>UNITED STATES OF AMERICA</v>
      </c>
      <c r="BD662" t="str">
        <f>""</f>
        <v/>
      </c>
      <c r="BE662" t="str">
        <f>"+12126888555"</f>
        <v>+12126888555</v>
      </c>
      <c r="BF662" t="str">
        <f>""</f>
        <v/>
      </c>
      <c r="BG662" t="str">
        <f>"pbertolino@fragomen.com"</f>
        <v>pbertolino@fragomen.com</v>
      </c>
      <c r="BH662" t="str">
        <f>"Fragomen, Del Rey, Bernsen and Loewy, LLP"</f>
        <v>Fragomen, Del Rey, Bernsen and Loewy, LLP</v>
      </c>
      <c r="BI662" t="str">
        <f>"NY"</f>
        <v>NY</v>
      </c>
      <c r="BJ662" t="str">
        <f>"SUPREME COURT"</f>
        <v>SUPREME COURT</v>
      </c>
      <c r="BK662">
        <v>1</v>
      </c>
      <c r="BL662" t="s">
        <v>102</v>
      </c>
      <c r="BM662" t="str">
        <f>""</f>
        <v/>
      </c>
      <c r="BN662" t="s">
        <v>4350</v>
      </c>
      <c r="BP662" t="s">
        <v>147</v>
      </c>
      <c r="BQ662" t="s">
        <v>147</v>
      </c>
      <c r="BR662" t="s">
        <v>141</v>
      </c>
      <c r="BS662" s="5">
        <v>94105</v>
      </c>
      <c r="BT662" s="2">
        <v>155000</v>
      </c>
      <c r="BV662" t="s">
        <v>105</v>
      </c>
      <c r="BW662" s="2">
        <v>119101</v>
      </c>
      <c r="BX662" t="s">
        <v>105</v>
      </c>
      <c r="BZ662" t="s">
        <v>123</v>
      </c>
      <c r="CA662" t="str">
        <f t="shared" ref="CA662:CA681" si="42">"7/1/2020 - 6/30/2021"</f>
        <v>7/1/2020 - 6/30/2021</v>
      </c>
      <c r="CF662">
        <v>2</v>
      </c>
      <c r="CG662" t="s">
        <v>98</v>
      </c>
      <c r="CH662" t="s">
        <v>206</v>
      </c>
      <c r="CI662" t="s">
        <v>206</v>
      </c>
      <c r="CL662" t="s">
        <v>108</v>
      </c>
      <c r="CM662" t="s">
        <v>109</v>
      </c>
      <c r="CN662" t="str">
        <f>"BERTOLINO"</f>
        <v>BERTOLINO</v>
      </c>
      <c r="CO662" t="str">
        <f>"PETRINA"</f>
        <v>PETRINA</v>
      </c>
      <c r="CP662" t="str">
        <f>""</f>
        <v/>
      </c>
      <c r="CQ662" t="str">
        <f>"FRAGOMEN, DEL REY, BERNSENN &amp; LOEWY, LLP"</f>
        <v>FRAGOMEN, DEL REY, BERNSENN &amp; LOEWY, LLP</v>
      </c>
      <c r="CR662" t="s">
        <v>7764</v>
      </c>
    </row>
    <row r="663" spans="1:96" x14ac:dyDescent="0.2">
      <c r="A663" t="s">
        <v>7768</v>
      </c>
      <c r="B663" t="s">
        <v>96</v>
      </c>
      <c r="C663" s="1">
        <v>44098</v>
      </c>
      <c r="D663" s="1">
        <v>44105</v>
      </c>
      <c r="F663" t="s">
        <v>97</v>
      </c>
      <c r="G663" t="str">
        <f>"Psychiatrist"</f>
        <v>Psychiatrist</v>
      </c>
      <c r="H663" t="s">
        <v>12256</v>
      </c>
      <c r="I663" t="s">
        <v>4931</v>
      </c>
      <c r="J663" t="s">
        <v>98</v>
      </c>
      <c r="K663" s="1">
        <v>44144</v>
      </c>
      <c r="L663" s="1">
        <v>45238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 t="s">
        <v>7769</v>
      </c>
      <c r="U663" t="str">
        <f>"Mark David Levine, M.D., Professional Corporation"</f>
        <v>Mark David Levine, M.D., Professional Corporation</v>
      </c>
      <c r="V663" t="s">
        <v>7770</v>
      </c>
      <c r="W663" t="str">
        <f>"Suite 100"</f>
        <v>Suite 100</v>
      </c>
      <c r="X663" t="s">
        <v>959</v>
      </c>
      <c r="Y663" t="s">
        <v>141</v>
      </c>
      <c r="Z663" s="3">
        <v>95834</v>
      </c>
      <c r="AA663" t="s">
        <v>101</v>
      </c>
      <c r="AC663" s="4" t="str">
        <f>"+19169744999"</f>
        <v>+19169744999</v>
      </c>
      <c r="AE663" t="str">
        <f>"621112"</f>
        <v>621112</v>
      </c>
      <c r="AF663" t="s">
        <v>7771</v>
      </c>
      <c r="AG663" t="s">
        <v>2110</v>
      </c>
      <c r="AI663" t="s">
        <v>1678</v>
      </c>
      <c r="AJ663" t="s">
        <v>7772</v>
      </c>
      <c r="AK663" t="str">
        <f>"Suite 100"</f>
        <v>Suite 100</v>
      </c>
      <c r="AL663" t="s">
        <v>959</v>
      </c>
      <c r="AM663" t="s">
        <v>141</v>
      </c>
      <c r="AN663" s="3">
        <v>95834</v>
      </c>
      <c r="AO663" t="s">
        <v>101</v>
      </c>
      <c r="AQ663" t="str">
        <f>"+19169744999"</f>
        <v>+19169744999</v>
      </c>
      <c r="AS663" t="s">
        <v>7773</v>
      </c>
      <c r="AT663" t="s">
        <v>107</v>
      </c>
      <c r="AU663" t="str">
        <f>"Leibl"</f>
        <v>Leibl</v>
      </c>
      <c r="AV663" t="str">
        <f>"Geoffrey"</f>
        <v>Geoffrey</v>
      </c>
      <c r="AW663" t="str">
        <f>"D."</f>
        <v>D.</v>
      </c>
      <c r="AX663" t="str">
        <f>"12250 El Camino Real"</f>
        <v>12250 El Camino Real</v>
      </c>
      <c r="AY663" t="str">
        <f>"Suite 350"</f>
        <v>Suite 350</v>
      </c>
      <c r="AZ663" t="str">
        <f>"San Diego"</f>
        <v>San Diego</v>
      </c>
      <c r="BA663" t="str">
        <f>"CA"</f>
        <v>CA</v>
      </c>
      <c r="BB663" s="3">
        <v>92130</v>
      </c>
      <c r="BC663" t="str">
        <f t="shared" si="41"/>
        <v>UNITED STATES OF AMERICA</v>
      </c>
      <c r="BD663" t="str">
        <f>""</f>
        <v/>
      </c>
      <c r="BE663" t="str">
        <f>"+18584815211"</f>
        <v>+18584815211</v>
      </c>
      <c r="BF663" t="str">
        <f>""</f>
        <v/>
      </c>
      <c r="BG663" t="str">
        <f>"lorraine@usimmigrationlaw.net"</f>
        <v>lorraine@usimmigrationlaw.net</v>
      </c>
      <c r="BH663" t="str">
        <f>"Leibl &amp; Kirkwood PC"</f>
        <v>Leibl &amp; Kirkwood PC</v>
      </c>
      <c r="BI663" t="str">
        <f>"CA"</f>
        <v>CA</v>
      </c>
      <c r="BJ663" t="str">
        <f>"Supreme Court"</f>
        <v>Supreme Court</v>
      </c>
      <c r="BK663">
        <v>1</v>
      </c>
      <c r="BL663" t="s">
        <v>102</v>
      </c>
      <c r="BM663" t="str">
        <f>""</f>
        <v/>
      </c>
      <c r="BN663" t="s">
        <v>7774</v>
      </c>
      <c r="BO663" t="s">
        <v>1483</v>
      </c>
      <c r="BP663" t="s">
        <v>779</v>
      </c>
      <c r="BQ663" t="s">
        <v>780</v>
      </c>
      <c r="BR663" t="s">
        <v>141</v>
      </c>
      <c r="BS663" s="5">
        <v>95401</v>
      </c>
      <c r="BT663" s="2">
        <v>315000</v>
      </c>
      <c r="BV663" t="s">
        <v>105</v>
      </c>
      <c r="BW663" s="2">
        <v>208000</v>
      </c>
      <c r="BX663" t="s">
        <v>105</v>
      </c>
      <c r="BZ663" t="s">
        <v>108</v>
      </c>
      <c r="CA663" t="str">
        <f t="shared" si="42"/>
        <v>7/1/2020 - 6/30/2021</v>
      </c>
      <c r="CF663">
        <v>1</v>
      </c>
      <c r="CG663" t="s">
        <v>98</v>
      </c>
      <c r="CH663" t="s">
        <v>206</v>
      </c>
      <c r="CI663" t="s">
        <v>206</v>
      </c>
      <c r="CL663" t="s">
        <v>108</v>
      </c>
      <c r="CM663" t="s">
        <v>109</v>
      </c>
      <c r="CN663" t="str">
        <f>"Chiwai"</f>
        <v>Chiwai</v>
      </c>
      <c r="CO663" t="str">
        <f>"Lorraine"</f>
        <v>Lorraine</v>
      </c>
      <c r="CP663" t="str">
        <f>""</f>
        <v/>
      </c>
      <c r="CQ663" t="str">
        <f>"Leibl and Kirkwood PC"</f>
        <v>Leibl and Kirkwood PC</v>
      </c>
      <c r="CR663" t="s">
        <v>6514</v>
      </c>
    </row>
    <row r="664" spans="1:96" x14ac:dyDescent="0.2">
      <c r="A664" t="s">
        <v>7775</v>
      </c>
      <c r="B664" t="s">
        <v>96</v>
      </c>
      <c r="C664" s="1">
        <v>44098</v>
      </c>
      <c r="D664" s="1">
        <v>44105</v>
      </c>
      <c r="F664" t="s">
        <v>97</v>
      </c>
      <c r="G664" t="str">
        <f>"Application Architect V"</f>
        <v>Application Architect V</v>
      </c>
      <c r="H664" t="s">
        <v>12169</v>
      </c>
      <c r="I664" t="s">
        <v>124</v>
      </c>
      <c r="J664" t="s">
        <v>98</v>
      </c>
      <c r="K664" s="1">
        <v>44130</v>
      </c>
      <c r="L664" s="1">
        <v>44860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 t="s">
        <v>5424</v>
      </c>
      <c r="U664" t="str">
        <f>""</f>
        <v/>
      </c>
      <c r="V664" t="s">
        <v>5425</v>
      </c>
      <c r="W664" t="str">
        <f>""</f>
        <v/>
      </c>
      <c r="X664" t="s">
        <v>4781</v>
      </c>
      <c r="Y664" t="s">
        <v>100</v>
      </c>
      <c r="Z664" s="3">
        <v>7920</v>
      </c>
      <c r="AA664" t="s">
        <v>101</v>
      </c>
      <c r="AC664" s="4" t="str">
        <f>"+19738895259"</f>
        <v>+19738895259</v>
      </c>
      <c r="AE664" t="str">
        <f>"541511"</f>
        <v>541511</v>
      </c>
      <c r="AF664" t="s">
        <v>5426</v>
      </c>
      <c r="AG664" t="s">
        <v>5427</v>
      </c>
      <c r="AI664" t="s">
        <v>629</v>
      </c>
      <c r="AJ664" t="s">
        <v>5425</v>
      </c>
      <c r="AK664" t="str">
        <f>""</f>
        <v/>
      </c>
      <c r="AL664" t="s">
        <v>4781</v>
      </c>
      <c r="AM664" t="s">
        <v>100</v>
      </c>
      <c r="AN664" s="3">
        <v>7920</v>
      </c>
      <c r="AO664" t="s">
        <v>101</v>
      </c>
      <c r="AQ664" t="str">
        <f>"+19738895259"</f>
        <v>+19738895259</v>
      </c>
      <c r="AS664" t="s">
        <v>5428</v>
      </c>
      <c r="AT664" t="s">
        <v>107</v>
      </c>
      <c r="AU664" t="str">
        <f>"Dave"</f>
        <v>Dave</v>
      </c>
      <c r="AV664" t="str">
        <f>"Aparna"</f>
        <v>Aparna</v>
      </c>
      <c r="AW664" t="str">
        <f>"Raju"</f>
        <v>Raju</v>
      </c>
      <c r="AX664" t="str">
        <f>"107 Alderwood Drive"</f>
        <v>107 Alderwood Drive</v>
      </c>
      <c r="AY664" t="str">
        <f>""</f>
        <v/>
      </c>
      <c r="AZ664" t="str">
        <f>"Gaithersburg"</f>
        <v>Gaithersburg</v>
      </c>
      <c r="BA664" t="str">
        <f>"MD"</f>
        <v>MD</v>
      </c>
      <c r="BB664" s="3">
        <v>20878</v>
      </c>
      <c r="BC664" t="str">
        <f t="shared" si="41"/>
        <v>UNITED STATES OF AMERICA</v>
      </c>
      <c r="BD664" t="str">
        <f>""</f>
        <v/>
      </c>
      <c r="BE664" t="str">
        <f>"+13013155842"</f>
        <v>+13013155842</v>
      </c>
      <c r="BF664" t="str">
        <f>""</f>
        <v/>
      </c>
      <c r="BG664" t="str">
        <f>"aparnadave@immigration2us.com"</f>
        <v>aparnadave@immigration2us.com</v>
      </c>
      <c r="BH664" t="str">
        <f>"Law Office of Aparna Dave"</f>
        <v>Law Office of Aparna Dave</v>
      </c>
      <c r="BI664" t="str">
        <f>"MA"</f>
        <v>MA</v>
      </c>
      <c r="BJ664" t="str">
        <f>"Supreme Judicial Court"</f>
        <v>Supreme Judicial Court</v>
      </c>
      <c r="BK664">
        <v>1</v>
      </c>
      <c r="BL664" t="s">
        <v>107</v>
      </c>
      <c r="BM664" t="str">
        <f>"Bank of America"</f>
        <v>Bank of America</v>
      </c>
      <c r="BN664" t="s">
        <v>5623</v>
      </c>
      <c r="BP664" t="s">
        <v>277</v>
      </c>
      <c r="BQ664" t="s">
        <v>189</v>
      </c>
      <c r="BR664" t="s">
        <v>190</v>
      </c>
      <c r="BS664" s="5">
        <v>10038</v>
      </c>
      <c r="BT664" s="2">
        <v>77</v>
      </c>
      <c r="BV664" t="s">
        <v>210</v>
      </c>
      <c r="BW664" s="2">
        <v>69.2</v>
      </c>
      <c r="BX664" t="s">
        <v>210</v>
      </c>
      <c r="BZ664" t="s">
        <v>159</v>
      </c>
      <c r="CA664" t="str">
        <f t="shared" si="42"/>
        <v>7/1/2020 - 6/30/2021</v>
      </c>
      <c r="CF664">
        <v>2</v>
      </c>
      <c r="CG664" t="s">
        <v>98</v>
      </c>
      <c r="CH664" t="s">
        <v>206</v>
      </c>
      <c r="CI664" t="s">
        <v>206</v>
      </c>
      <c r="CL664" t="s">
        <v>108</v>
      </c>
      <c r="CM664" t="s">
        <v>109</v>
      </c>
      <c r="CN664" t="str">
        <f>""</f>
        <v/>
      </c>
      <c r="CO664" t="str">
        <f>""</f>
        <v/>
      </c>
      <c r="CP664" t="str">
        <f>""</f>
        <v/>
      </c>
      <c r="CQ664" t="str">
        <f>""</f>
        <v/>
      </c>
    </row>
    <row r="665" spans="1:96" x14ac:dyDescent="0.2">
      <c r="A665" t="s">
        <v>7781</v>
      </c>
      <c r="B665" t="s">
        <v>96</v>
      </c>
      <c r="C665" s="1">
        <v>44098</v>
      </c>
      <c r="D665" s="1">
        <v>44105</v>
      </c>
      <c r="F665" t="s">
        <v>97</v>
      </c>
      <c r="G665" t="str">
        <f>"Software Engineer 1615.54320"</f>
        <v>Software Engineer 1615.54320</v>
      </c>
      <c r="H665" t="s">
        <v>12169</v>
      </c>
      <c r="I665" t="s">
        <v>124</v>
      </c>
      <c r="J665" t="s">
        <v>98</v>
      </c>
      <c r="K665" s="1">
        <v>44103</v>
      </c>
      <c r="L665" s="1">
        <v>45197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 t="s">
        <v>289</v>
      </c>
      <c r="U665" t="str">
        <f>""</f>
        <v/>
      </c>
      <c r="V665" t="s">
        <v>290</v>
      </c>
      <c r="W665" t="str">
        <f>""</f>
        <v/>
      </c>
      <c r="X665" t="s">
        <v>155</v>
      </c>
      <c r="Y665" t="s">
        <v>141</v>
      </c>
      <c r="Z665" s="3">
        <v>94043</v>
      </c>
      <c r="AA665" t="s">
        <v>101</v>
      </c>
      <c r="AC665" s="4" t="str">
        <f>"+16502037602"</f>
        <v>+16502037602</v>
      </c>
      <c r="AE665" t="str">
        <f>"541512"</f>
        <v>541512</v>
      </c>
      <c r="AF665" t="s">
        <v>427</v>
      </c>
      <c r="AG665" t="s">
        <v>1880</v>
      </c>
      <c r="AI665" t="s">
        <v>893</v>
      </c>
      <c r="AJ665" t="s">
        <v>1562</v>
      </c>
      <c r="AK665" t="str">
        <f>""</f>
        <v/>
      </c>
      <c r="AL665" t="s">
        <v>150</v>
      </c>
      <c r="AM665" t="s">
        <v>141</v>
      </c>
      <c r="AN665" s="3">
        <v>94043</v>
      </c>
      <c r="AO665" t="s">
        <v>101</v>
      </c>
      <c r="AQ665" t="str">
        <f>"+16502534513"</f>
        <v>+16502534513</v>
      </c>
      <c r="AS665" t="s">
        <v>429</v>
      </c>
      <c r="AT665" t="s">
        <v>107</v>
      </c>
      <c r="AU665" t="str">
        <f>"Hul"</f>
        <v>Hul</v>
      </c>
      <c r="AV665" t="str">
        <f>"Dennis"</f>
        <v>Dennis</v>
      </c>
      <c r="AW665" t="str">
        <f>""</f>
        <v/>
      </c>
      <c r="AX665" t="str">
        <f>"2400 N. GLENVILLE DRIVE"</f>
        <v>2400 N. GLENVILLE DRIVE</v>
      </c>
      <c r="AY665" t="str">
        <f>"BUILDING A, SUITE 100"</f>
        <v>BUILDING A, SUITE 100</v>
      </c>
      <c r="AZ665" t="str">
        <f>"RICHARDSON"</f>
        <v>RICHARDSON</v>
      </c>
      <c r="BA665" t="str">
        <f>"TX"</f>
        <v>TX</v>
      </c>
      <c r="BB665" s="3">
        <v>75082</v>
      </c>
      <c r="BC665" t="str">
        <f t="shared" si="41"/>
        <v>UNITED STATES OF AMERICA</v>
      </c>
      <c r="BD665" t="str">
        <f>""</f>
        <v/>
      </c>
      <c r="BE665" t="str">
        <f>"+14695052950"</f>
        <v>+14695052950</v>
      </c>
      <c r="BF665" t="str">
        <f>""</f>
        <v/>
      </c>
      <c r="BG665" t="str">
        <f>"GOOGLEDOL@BALGLOBAL.COM"</f>
        <v>GOOGLEDOL@BALGLOBAL.COM</v>
      </c>
      <c r="BH665" t="str">
        <f>"BERRY APPLEMAN &amp; LEIDEN LLP"</f>
        <v>BERRY APPLEMAN &amp; LEIDEN LLP</v>
      </c>
      <c r="BI665" t="str">
        <f>"RI"</f>
        <v>RI</v>
      </c>
      <c r="BJ665" t="str">
        <f>"SUPREME COURT OF RHODE ISLAND"</f>
        <v>SUPREME COURT OF RHODE ISLAND</v>
      </c>
      <c r="BK665">
        <v>1</v>
      </c>
      <c r="BL665" t="s">
        <v>102</v>
      </c>
      <c r="BM665" t="str">
        <f>""</f>
        <v/>
      </c>
      <c r="BN665" t="s">
        <v>7782</v>
      </c>
      <c r="BP665" t="s">
        <v>2078</v>
      </c>
      <c r="BQ665" t="s">
        <v>377</v>
      </c>
      <c r="BR665" t="s">
        <v>141</v>
      </c>
      <c r="BS665" s="5">
        <v>92612</v>
      </c>
      <c r="BT665" s="2">
        <v>120000</v>
      </c>
      <c r="BV665" t="s">
        <v>105</v>
      </c>
      <c r="BW665" s="2">
        <v>99632</v>
      </c>
      <c r="BX665" t="s">
        <v>105</v>
      </c>
      <c r="BZ665" t="s">
        <v>167</v>
      </c>
      <c r="CA665" t="str">
        <f t="shared" si="42"/>
        <v>7/1/2020 - 6/30/2021</v>
      </c>
      <c r="CF665">
        <v>2</v>
      </c>
      <c r="CG665" t="s">
        <v>98</v>
      </c>
      <c r="CH665" t="s">
        <v>206</v>
      </c>
      <c r="CI665" t="s">
        <v>206</v>
      </c>
      <c r="CL665" t="s">
        <v>108</v>
      </c>
      <c r="CM665" t="s">
        <v>109</v>
      </c>
      <c r="CN665" t="str">
        <f>"Hazen"</f>
        <v>Hazen</v>
      </c>
      <c r="CO665" t="str">
        <f>"Ashley"</f>
        <v>Ashley</v>
      </c>
      <c r="CP665" t="str">
        <f>""</f>
        <v/>
      </c>
      <c r="CQ665" t="str">
        <f>"Berry Applemen &amp; Leiden LLP"</f>
        <v>Berry Applemen &amp; Leiden LLP</v>
      </c>
      <c r="CR665" t="s">
        <v>1882</v>
      </c>
    </row>
    <row r="666" spans="1:96" x14ac:dyDescent="0.2">
      <c r="A666" t="s">
        <v>7824</v>
      </c>
      <c r="B666" t="s">
        <v>96</v>
      </c>
      <c r="C666" s="1">
        <v>44098</v>
      </c>
      <c r="D666" s="1">
        <v>44105</v>
      </c>
      <c r="F666" t="s">
        <v>97</v>
      </c>
      <c r="G666" t="str">
        <f>"Associate"</f>
        <v>Associate</v>
      </c>
      <c r="H666" t="s">
        <v>12221</v>
      </c>
      <c r="I666" t="s">
        <v>566</v>
      </c>
      <c r="J666" t="s">
        <v>98</v>
      </c>
      <c r="K666" s="1">
        <v>44253</v>
      </c>
      <c r="L666" s="1">
        <v>45347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 t="s">
        <v>7825</v>
      </c>
      <c r="U666" t="str">
        <f>""</f>
        <v/>
      </c>
      <c r="V666" t="s">
        <v>7826</v>
      </c>
      <c r="W666" t="str">
        <f>"(Eighth Avenue &amp; 41st Street)"</f>
        <v>(Eighth Avenue &amp; 41st Street)</v>
      </c>
      <c r="X666" t="s">
        <v>277</v>
      </c>
      <c r="Y666" t="s">
        <v>190</v>
      </c>
      <c r="Z666" s="3">
        <v>10036</v>
      </c>
      <c r="AA666" t="s">
        <v>101</v>
      </c>
      <c r="AC666" s="4" t="str">
        <f>"+12129693000"</f>
        <v>+12129693000</v>
      </c>
      <c r="AE666" t="str">
        <f>"541110"</f>
        <v>541110</v>
      </c>
      <c r="AF666" t="s">
        <v>7827</v>
      </c>
      <c r="AG666" t="s">
        <v>1166</v>
      </c>
      <c r="AH666" t="s">
        <v>350</v>
      </c>
      <c r="AI666" t="s">
        <v>2371</v>
      </c>
      <c r="AJ666" t="s">
        <v>7826</v>
      </c>
      <c r="AK666" t="str">
        <f>"(Eighth Avenue &amp; 41st Street)"</f>
        <v>(Eighth Avenue &amp; 41st Street)</v>
      </c>
      <c r="AL666" t="s">
        <v>277</v>
      </c>
      <c r="AM666" t="s">
        <v>190</v>
      </c>
      <c r="AN666" s="3">
        <v>10036</v>
      </c>
      <c r="AO666" t="s">
        <v>101</v>
      </c>
      <c r="AQ666" t="str">
        <f>"+12129695197"</f>
        <v>+12129695197</v>
      </c>
      <c r="AS666" t="s">
        <v>7828</v>
      </c>
      <c r="AT666" t="s">
        <v>107</v>
      </c>
      <c r="AU666" t="str">
        <f>"Loomba"</f>
        <v>Loomba</v>
      </c>
      <c r="AV666" t="str">
        <f>"Erica"</f>
        <v>Erica</v>
      </c>
      <c r="AW666" t="str">
        <f>""</f>
        <v/>
      </c>
      <c r="AX666" t="str">
        <f>"Eleven Times Square"</f>
        <v>Eleven Times Square</v>
      </c>
      <c r="AY666" t="str">
        <f>"(Eighth Avenue &amp; 41st Street)"</f>
        <v>(Eighth Avenue &amp; 41st Street)</v>
      </c>
      <c r="AZ666" t="str">
        <f>"New York"</f>
        <v>New York</v>
      </c>
      <c r="BA666" t="str">
        <f>"NY"</f>
        <v>NY</v>
      </c>
      <c r="BB666" s="3">
        <v>10036</v>
      </c>
      <c r="BC666" t="str">
        <f t="shared" si="41"/>
        <v>UNITED STATES OF AMERICA</v>
      </c>
      <c r="BD666" t="str">
        <f>""</f>
        <v/>
      </c>
      <c r="BE666" t="str">
        <f>"+19732743295"</f>
        <v>+19732743295</v>
      </c>
      <c r="BF666" t="str">
        <f>""</f>
        <v/>
      </c>
      <c r="BG666" t="str">
        <f>"eloomba@proskauer.com"</f>
        <v>eloomba@proskauer.com</v>
      </c>
      <c r="BH666" t="str">
        <f>"Proskauer Rose LLP"</f>
        <v>Proskauer Rose LLP</v>
      </c>
      <c r="BI666" t="str">
        <f>"NY"</f>
        <v>NY</v>
      </c>
      <c r="BJ666" t="str">
        <f>"New York Court of Appeals"</f>
        <v>New York Court of Appeals</v>
      </c>
      <c r="BK666">
        <v>1</v>
      </c>
      <c r="BL666" t="s">
        <v>102</v>
      </c>
      <c r="BM666" t="str">
        <f>""</f>
        <v/>
      </c>
      <c r="BN666" t="s">
        <v>7826</v>
      </c>
      <c r="BP666" t="s">
        <v>277</v>
      </c>
      <c r="BQ666" t="s">
        <v>189</v>
      </c>
      <c r="BR666" t="s">
        <v>190</v>
      </c>
      <c r="BS666" s="5">
        <v>10036</v>
      </c>
      <c r="BT666" s="2">
        <v>220854</v>
      </c>
      <c r="BU666" s="2">
        <v>255000</v>
      </c>
      <c r="BV666" t="s">
        <v>105</v>
      </c>
      <c r="BW666" s="2">
        <v>220854</v>
      </c>
      <c r="BX666" t="s">
        <v>105</v>
      </c>
      <c r="BZ666" t="s">
        <v>159</v>
      </c>
      <c r="CA666" t="str">
        <f t="shared" si="42"/>
        <v>7/1/2020 - 6/30/2021</v>
      </c>
      <c r="CF666">
        <v>2</v>
      </c>
      <c r="CG666" t="s">
        <v>98</v>
      </c>
      <c r="CH666" t="s">
        <v>206</v>
      </c>
      <c r="CI666" t="s">
        <v>206</v>
      </c>
      <c r="CL666" t="s">
        <v>108</v>
      </c>
      <c r="CM666" t="s">
        <v>109</v>
      </c>
      <c r="CN666" t="str">
        <f>"Rizzo"</f>
        <v>Rizzo</v>
      </c>
      <c r="CO666" t="str">
        <f>"Jennifer"</f>
        <v>Jennifer</v>
      </c>
      <c r="CP666" t="str">
        <f>"R"</f>
        <v>R</v>
      </c>
      <c r="CQ666" t="str">
        <f>"Proskauer Rose LLP"</f>
        <v>Proskauer Rose LLP</v>
      </c>
      <c r="CR666" t="s">
        <v>4006</v>
      </c>
    </row>
    <row r="667" spans="1:96" x14ac:dyDescent="0.2">
      <c r="A667" t="s">
        <v>7830</v>
      </c>
      <c r="B667" t="s">
        <v>96</v>
      </c>
      <c r="C667" s="1">
        <v>44098</v>
      </c>
      <c r="D667" s="1">
        <v>44105</v>
      </c>
      <c r="F667" t="s">
        <v>97</v>
      </c>
      <c r="G667" t="str">
        <f>"SR. PROJECT DESIGN ENGINEER"</f>
        <v>SR. PROJECT DESIGN ENGINEER</v>
      </c>
      <c r="H667" t="s">
        <v>12200</v>
      </c>
      <c r="I667" t="s">
        <v>1587</v>
      </c>
      <c r="J667" t="s">
        <v>98</v>
      </c>
      <c r="K667" s="1">
        <v>44123</v>
      </c>
      <c r="L667" s="1">
        <v>45217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 t="s">
        <v>7831</v>
      </c>
      <c r="U667" t="str">
        <f>""</f>
        <v/>
      </c>
      <c r="V667" t="s">
        <v>7832</v>
      </c>
      <c r="W667" t="str">
        <f>""</f>
        <v/>
      </c>
      <c r="X667" t="s">
        <v>230</v>
      </c>
      <c r="Y667" t="s">
        <v>141</v>
      </c>
      <c r="Z667" s="3">
        <v>95054</v>
      </c>
      <c r="AA667" t="s">
        <v>101</v>
      </c>
      <c r="AC667" s="4" t="str">
        <f>"+14087644000"</f>
        <v>+14087644000</v>
      </c>
      <c r="AE667" t="str">
        <f>"334516"</f>
        <v>334516</v>
      </c>
      <c r="AF667" t="s">
        <v>7833</v>
      </c>
      <c r="AG667" t="s">
        <v>6231</v>
      </c>
      <c r="AI667" t="s">
        <v>3335</v>
      </c>
      <c r="AJ667" t="s">
        <v>7832</v>
      </c>
      <c r="AK667" t="str">
        <f>""</f>
        <v/>
      </c>
      <c r="AL667" t="s">
        <v>230</v>
      </c>
      <c r="AM667" t="s">
        <v>141</v>
      </c>
      <c r="AN667" s="3">
        <v>95054</v>
      </c>
      <c r="AO667" t="s">
        <v>101</v>
      </c>
      <c r="AQ667" t="str">
        <f>"+14087644000"</f>
        <v>+14087644000</v>
      </c>
      <c r="AS667" t="s">
        <v>7834</v>
      </c>
      <c r="AT667" t="s">
        <v>107</v>
      </c>
      <c r="AU667" t="str">
        <f>"CHOW-GREGORY"</f>
        <v>CHOW-GREGORY</v>
      </c>
      <c r="AV667" t="str">
        <f>"KAREN"</f>
        <v>KAREN</v>
      </c>
      <c r="AW667" t="str">
        <f>""</f>
        <v/>
      </c>
      <c r="AX667" t="str">
        <f>"4966 EL CAMINO REAL"</f>
        <v>4966 EL CAMINO REAL</v>
      </c>
      <c r="AY667" t="str">
        <f>"SUITE 200"</f>
        <v>SUITE 200</v>
      </c>
      <c r="AZ667" t="str">
        <f>"LOS ALTOS"</f>
        <v>LOS ALTOS</v>
      </c>
      <c r="BA667" t="str">
        <f>"CA"</f>
        <v>CA</v>
      </c>
      <c r="BB667" s="3">
        <v>94022</v>
      </c>
      <c r="BC667" t="str">
        <f t="shared" si="41"/>
        <v>UNITED STATES OF AMERICA</v>
      </c>
      <c r="BD667" t="str">
        <f>""</f>
        <v/>
      </c>
      <c r="BE667" t="str">
        <f>"+16506178888"</f>
        <v>+16506178888</v>
      </c>
      <c r="BF667" t="str">
        <f>""</f>
        <v/>
      </c>
      <c r="BG667" t="str">
        <f>"KARENCHOWGREGORY@ROSECARSON.COM"</f>
        <v>KARENCHOWGREGORY@ROSECARSON.COM</v>
      </c>
      <c r="BH667" t="str">
        <f>"ROSE CARSON LLP"</f>
        <v>ROSE CARSON LLP</v>
      </c>
      <c r="BI667" t="str">
        <f>"CA"</f>
        <v>CA</v>
      </c>
      <c r="BJ667" t="str">
        <f>"SUPREME COURT"</f>
        <v>SUPREME COURT</v>
      </c>
      <c r="BK667">
        <v>1</v>
      </c>
      <c r="BL667" t="s">
        <v>102</v>
      </c>
      <c r="BM667" t="str">
        <f>""</f>
        <v/>
      </c>
      <c r="BN667" t="s">
        <v>7835</v>
      </c>
      <c r="BP667" t="s">
        <v>230</v>
      </c>
      <c r="BQ667" t="s">
        <v>230</v>
      </c>
      <c r="BR667" t="s">
        <v>141</v>
      </c>
      <c r="BS667" s="5">
        <v>95054</v>
      </c>
      <c r="BT667" s="2">
        <v>149302.39999999999</v>
      </c>
      <c r="BV667" t="s">
        <v>105</v>
      </c>
      <c r="BW667" s="2">
        <v>104354</v>
      </c>
      <c r="BX667" t="s">
        <v>105</v>
      </c>
      <c r="BZ667" t="s">
        <v>123</v>
      </c>
      <c r="CA667" t="str">
        <f t="shared" si="42"/>
        <v>7/1/2020 - 6/30/2021</v>
      </c>
      <c r="CF667">
        <v>2</v>
      </c>
      <c r="CG667" t="s">
        <v>98</v>
      </c>
      <c r="CH667" t="s">
        <v>206</v>
      </c>
      <c r="CI667" t="s">
        <v>206</v>
      </c>
      <c r="CL667" t="s">
        <v>108</v>
      </c>
      <c r="CM667" t="s">
        <v>109</v>
      </c>
      <c r="CN667" t="str">
        <f>"MCMAHON"</f>
        <v>MCMAHON</v>
      </c>
      <c r="CO667" t="str">
        <f>"DAVID"</f>
        <v>DAVID</v>
      </c>
      <c r="CP667" t="str">
        <f>"S"</f>
        <v>S</v>
      </c>
      <c r="CQ667" t="str">
        <f>"ROSE CARSON LLP"</f>
        <v>ROSE CARSON LLP</v>
      </c>
      <c r="CR667" t="s">
        <v>7836</v>
      </c>
    </row>
    <row r="668" spans="1:96" x14ac:dyDescent="0.2">
      <c r="A668" t="s">
        <v>7837</v>
      </c>
      <c r="B668" t="s">
        <v>96</v>
      </c>
      <c r="C668" s="1">
        <v>44098</v>
      </c>
      <c r="D668" s="1">
        <v>44105</v>
      </c>
      <c r="F668" t="s">
        <v>97</v>
      </c>
      <c r="G668" t="str">
        <f>"Pharmacovigilance Drug Safety Specialist"</f>
        <v>Pharmacovigilance Drug Safety Specialist</v>
      </c>
      <c r="H668" t="s">
        <v>12170</v>
      </c>
      <c r="I668" t="s">
        <v>685</v>
      </c>
      <c r="J668" t="s">
        <v>98</v>
      </c>
      <c r="K668" s="1">
        <v>44105</v>
      </c>
      <c r="L668" s="1">
        <v>45199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3380</v>
      </c>
      <c r="U668" t="str">
        <f>""</f>
        <v/>
      </c>
      <c r="V668" t="s">
        <v>3381</v>
      </c>
      <c r="W668" t="str">
        <f>"310 DNA Way, Bldg 31"</f>
        <v>310 DNA Way, Bldg 31</v>
      </c>
      <c r="X668" t="s">
        <v>888</v>
      </c>
      <c r="Y668" t="s">
        <v>141</v>
      </c>
      <c r="Z668" s="3">
        <v>94080</v>
      </c>
      <c r="AA668" t="s">
        <v>101</v>
      </c>
      <c r="AC668" s="4" t="str">
        <f>"+16502251000"</f>
        <v>+16502251000</v>
      </c>
      <c r="AD668">
        <v>0</v>
      </c>
      <c r="AE668" t="str">
        <f>"54171"</f>
        <v>54171</v>
      </c>
      <c r="AF668" t="s">
        <v>3122</v>
      </c>
      <c r="AG668" t="s">
        <v>3123</v>
      </c>
      <c r="AI668" t="s">
        <v>3124</v>
      </c>
      <c r="AJ668" t="s">
        <v>3125</v>
      </c>
      <c r="AK668" t="str">
        <f>"310 DNA WAY, BLDG. 31"</f>
        <v>310 DNA WAY, BLDG. 31</v>
      </c>
      <c r="AL668" t="s">
        <v>3126</v>
      </c>
      <c r="AM668" t="s">
        <v>141</v>
      </c>
      <c r="AN668" s="3">
        <v>94080</v>
      </c>
      <c r="AO668" t="s">
        <v>101</v>
      </c>
      <c r="AQ668" t="str">
        <f>"+16504674302"</f>
        <v>+16504674302</v>
      </c>
      <c r="AR668">
        <v>0</v>
      </c>
      <c r="AS668" t="s">
        <v>3127</v>
      </c>
      <c r="AT668" t="s">
        <v>107</v>
      </c>
      <c r="AU668" t="str">
        <f>"Parvatiyar"</f>
        <v>Parvatiyar</v>
      </c>
      <c r="AV668" t="str">
        <f>"Survi"</f>
        <v>Survi</v>
      </c>
      <c r="AW668" t="str">
        <f>""</f>
        <v/>
      </c>
      <c r="AX668" t="str">
        <f>"220 Montgomery Street"</f>
        <v>220 Montgomery Street</v>
      </c>
      <c r="AY668" t="str">
        <f>"Suite 810"</f>
        <v>Suite 810</v>
      </c>
      <c r="AZ668" t="str">
        <f>"San Francisco"</f>
        <v>San Francisco</v>
      </c>
      <c r="BA668" t="str">
        <f>"CA"</f>
        <v>CA</v>
      </c>
      <c r="BB668" s="3">
        <v>94104</v>
      </c>
      <c r="BC668" t="str">
        <f t="shared" si="41"/>
        <v>UNITED STATES OF AMERICA</v>
      </c>
      <c r="BD668" t="str">
        <f>""</f>
        <v/>
      </c>
      <c r="BE668" t="str">
        <f>"+14159012270"</f>
        <v>+14159012270</v>
      </c>
      <c r="BF668" t="str">
        <f>"000"</f>
        <v>000</v>
      </c>
      <c r="BG668" t="str">
        <f>"sparvatiyar@gibney.com"</f>
        <v>sparvatiyar@gibney.com</v>
      </c>
      <c r="BH668" t="str">
        <f>"Gibney, Anthony &amp; Flaherty LLP"</f>
        <v>Gibney, Anthony &amp; Flaherty LLP</v>
      </c>
      <c r="BI668" t="str">
        <f>"NY"</f>
        <v>NY</v>
      </c>
      <c r="BJ668" t="str">
        <f>"New York Court of Appeals"</f>
        <v>New York Court of Appeals</v>
      </c>
      <c r="BK668">
        <v>1</v>
      </c>
      <c r="BL668" t="s">
        <v>102</v>
      </c>
      <c r="BM668" t="str">
        <f>""</f>
        <v/>
      </c>
      <c r="BN668" t="s">
        <v>7838</v>
      </c>
      <c r="BP668" t="s">
        <v>888</v>
      </c>
      <c r="BQ668" t="s">
        <v>994</v>
      </c>
      <c r="BR668" t="s">
        <v>141</v>
      </c>
      <c r="BS668" s="5">
        <v>94080</v>
      </c>
      <c r="BT668" s="2">
        <v>99500</v>
      </c>
      <c r="BU668" s="2">
        <v>199000</v>
      </c>
      <c r="BV668" t="s">
        <v>105</v>
      </c>
      <c r="BW668" s="2">
        <v>98654</v>
      </c>
      <c r="BX668" t="s">
        <v>105</v>
      </c>
      <c r="BZ668" t="s">
        <v>167</v>
      </c>
      <c r="CA668" t="str">
        <f t="shared" si="42"/>
        <v>7/1/2020 - 6/30/2021</v>
      </c>
      <c r="CF668">
        <v>2</v>
      </c>
      <c r="CG668" t="s">
        <v>98</v>
      </c>
      <c r="CH668" t="s">
        <v>206</v>
      </c>
      <c r="CI668" t="s">
        <v>206</v>
      </c>
      <c r="CL668" t="s">
        <v>108</v>
      </c>
      <c r="CM668" t="s">
        <v>109</v>
      </c>
      <c r="CN668" t="str">
        <f>"Cooper (13004-02176-005/834A)"</f>
        <v>Cooper (13004-02176-005/834A)</v>
      </c>
      <c r="CO668" t="str">
        <f>"Ann"</f>
        <v>Ann</v>
      </c>
      <c r="CP668" t="str">
        <f>"M"</f>
        <v>M</v>
      </c>
      <c r="CQ668" t="str">
        <f>"Gibney, Anthony and Flaherty, LLP"</f>
        <v>Gibney, Anthony and Flaherty, LLP</v>
      </c>
      <c r="CR668" t="s">
        <v>7839</v>
      </c>
    </row>
    <row r="669" spans="1:96" x14ac:dyDescent="0.2">
      <c r="A669" t="s">
        <v>7858</v>
      </c>
      <c r="B669" t="s">
        <v>96</v>
      </c>
      <c r="C669" s="1">
        <v>44098</v>
      </c>
      <c r="D669" s="1">
        <v>44105</v>
      </c>
      <c r="F669" t="s">
        <v>97</v>
      </c>
      <c r="G669" t="str">
        <f>"Senior Business Analyst"</f>
        <v>Senior Business Analyst</v>
      </c>
      <c r="H669" t="s">
        <v>12181</v>
      </c>
      <c r="I669" t="s">
        <v>110</v>
      </c>
      <c r="J669" t="s">
        <v>98</v>
      </c>
      <c r="K669" s="1">
        <v>44248</v>
      </c>
      <c r="L669" s="1">
        <v>45342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 t="s">
        <v>7859</v>
      </c>
      <c r="U669" t="str">
        <f>"Republic"</f>
        <v>Republic</v>
      </c>
      <c r="V669" t="s">
        <v>7860</v>
      </c>
      <c r="W669" t="str">
        <f>"N/A"</f>
        <v>N/A</v>
      </c>
      <c r="X669" t="s">
        <v>299</v>
      </c>
      <c r="Y669" t="s">
        <v>258</v>
      </c>
      <c r="Z669" s="3">
        <v>85054</v>
      </c>
      <c r="AA669" t="s">
        <v>101</v>
      </c>
      <c r="AB669" t="s">
        <v>108</v>
      </c>
      <c r="AC669" s="4" t="str">
        <f>"+14806272700"</f>
        <v>+14806272700</v>
      </c>
      <c r="AE669" t="str">
        <f>"562111"</f>
        <v>562111</v>
      </c>
      <c r="AF669" t="s">
        <v>7861</v>
      </c>
      <c r="AG669" t="s">
        <v>927</v>
      </c>
      <c r="AH669" t="s">
        <v>108</v>
      </c>
      <c r="AI669" t="s">
        <v>7862</v>
      </c>
      <c r="AJ669" t="s">
        <v>7860</v>
      </c>
      <c r="AK669" t="str">
        <f>"N/A"</f>
        <v>N/A</v>
      </c>
      <c r="AL669" t="s">
        <v>299</v>
      </c>
      <c r="AM669" t="s">
        <v>258</v>
      </c>
      <c r="AN669" s="3">
        <v>85054</v>
      </c>
      <c r="AO669" t="s">
        <v>101</v>
      </c>
      <c r="AQ669" t="str">
        <f>"+14806272767"</f>
        <v>+14806272767</v>
      </c>
      <c r="AS669" t="s">
        <v>7863</v>
      </c>
      <c r="AT669" t="s">
        <v>107</v>
      </c>
      <c r="AU669" t="str">
        <f>"Mozes"</f>
        <v>Mozes</v>
      </c>
      <c r="AV669" t="str">
        <f>"Gabriel"</f>
        <v>Gabriel</v>
      </c>
      <c r="AW669" t="str">
        <f>"H."</f>
        <v>H.</v>
      </c>
      <c r="AX669" t="str">
        <f>"1075 Peachtree St. NE"</f>
        <v>1075 Peachtree St. NE</v>
      </c>
      <c r="AY669" t="str">
        <f>"Suite 2500"</f>
        <v>Suite 2500</v>
      </c>
      <c r="AZ669" t="str">
        <f>"Atlanta"</f>
        <v>Atlanta</v>
      </c>
      <c r="BA669" t="str">
        <f>"GA"</f>
        <v>GA</v>
      </c>
      <c r="BB669" s="3">
        <v>30309</v>
      </c>
      <c r="BC669" t="str">
        <f t="shared" si="41"/>
        <v>UNITED STATES OF AMERICA</v>
      </c>
      <c r="BD669" t="str">
        <f>""</f>
        <v/>
      </c>
      <c r="BE669" t="str">
        <f>"+14048856758"</f>
        <v>+14048856758</v>
      </c>
      <c r="BF669" t="str">
        <f>""</f>
        <v/>
      </c>
      <c r="BG669" t="str">
        <f>"rbeauge@seyfarth.com"</f>
        <v>rbeauge@seyfarth.com</v>
      </c>
      <c r="BH669" t="str">
        <f>"Seyfarth Shaw LLP"</f>
        <v>Seyfarth Shaw LLP</v>
      </c>
      <c r="BI669" t="str">
        <f>"MA"</f>
        <v>MA</v>
      </c>
      <c r="BJ669" t="str">
        <f>"Supreme Judicial Court"</f>
        <v>Supreme Judicial Court</v>
      </c>
      <c r="BK669">
        <v>1</v>
      </c>
      <c r="BL669" t="s">
        <v>102</v>
      </c>
      <c r="BM669" t="str">
        <f>""</f>
        <v/>
      </c>
      <c r="BN669" t="s">
        <v>7864</v>
      </c>
      <c r="BO669" t="s">
        <v>754</v>
      </c>
      <c r="BP669" t="s">
        <v>1708</v>
      </c>
      <c r="BQ669" t="s">
        <v>257</v>
      </c>
      <c r="BR669" t="s">
        <v>258</v>
      </c>
      <c r="BS669" s="5">
        <v>85260</v>
      </c>
      <c r="BT669" s="2">
        <v>77106</v>
      </c>
      <c r="BU669" s="2">
        <v>110227</v>
      </c>
      <c r="BV669" t="s">
        <v>105</v>
      </c>
      <c r="BW669" s="2">
        <v>77106</v>
      </c>
      <c r="BX669" t="s">
        <v>105</v>
      </c>
      <c r="BZ669" t="s">
        <v>167</v>
      </c>
      <c r="CA669" t="str">
        <f t="shared" si="42"/>
        <v>7/1/2020 - 6/30/2021</v>
      </c>
      <c r="CF669">
        <v>1</v>
      </c>
      <c r="CG669" t="s">
        <v>98</v>
      </c>
      <c r="CH669" t="s">
        <v>206</v>
      </c>
      <c r="CI669" t="s">
        <v>206</v>
      </c>
      <c r="CL669" t="s">
        <v>108</v>
      </c>
      <c r="CM669" t="s">
        <v>109</v>
      </c>
      <c r="CN669" t="str">
        <f>"Beauge"</f>
        <v>Beauge</v>
      </c>
      <c r="CO669" t="str">
        <f>"Ruth"</f>
        <v>Ruth</v>
      </c>
      <c r="CP669" t="str">
        <f>"N/A"</f>
        <v>N/A</v>
      </c>
      <c r="CQ669" t="str">
        <f>"Seyfarth Shaw LLP"</f>
        <v>Seyfarth Shaw LLP</v>
      </c>
      <c r="CR669" t="s">
        <v>2292</v>
      </c>
    </row>
    <row r="670" spans="1:96" x14ac:dyDescent="0.2">
      <c r="A670" t="s">
        <v>7897</v>
      </c>
      <c r="B670" t="s">
        <v>96</v>
      </c>
      <c r="C670" s="1">
        <v>44098</v>
      </c>
      <c r="D670" s="1">
        <v>44105</v>
      </c>
      <c r="F670" t="s">
        <v>97</v>
      </c>
      <c r="G670" t="str">
        <f>"Software Engineer"</f>
        <v>Software Engineer</v>
      </c>
      <c r="H670" t="s">
        <v>12169</v>
      </c>
      <c r="I670" t="s">
        <v>124</v>
      </c>
      <c r="J670" t="s">
        <v>98</v>
      </c>
      <c r="K670" s="1">
        <v>44279</v>
      </c>
      <c r="L670" s="1">
        <v>45374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 t="s">
        <v>173</v>
      </c>
      <c r="U670" t="str">
        <f>""</f>
        <v/>
      </c>
      <c r="V670" t="s">
        <v>174</v>
      </c>
      <c r="W670" t="str">
        <f>"N/A"</f>
        <v>N/A</v>
      </c>
      <c r="X670" t="s">
        <v>175</v>
      </c>
      <c r="Y670" t="s">
        <v>176</v>
      </c>
      <c r="Z670" s="3">
        <v>98052</v>
      </c>
      <c r="AA670" t="s">
        <v>101</v>
      </c>
      <c r="AC670" s="4" t="str">
        <f>"+14258828080"</f>
        <v>+14258828080</v>
      </c>
      <c r="AE670" t="str">
        <f>"51121"</f>
        <v>51121</v>
      </c>
      <c r="AF670" t="s">
        <v>177</v>
      </c>
      <c r="AG670" t="s">
        <v>178</v>
      </c>
      <c r="AI670" t="s">
        <v>179</v>
      </c>
      <c r="AJ670" t="s">
        <v>174</v>
      </c>
      <c r="AK670" t="str">
        <f>""</f>
        <v/>
      </c>
      <c r="AL670" t="s">
        <v>175</v>
      </c>
      <c r="AM670" t="s">
        <v>176</v>
      </c>
      <c r="AN670" s="3">
        <v>98052</v>
      </c>
      <c r="AO670" t="s">
        <v>101</v>
      </c>
      <c r="AQ670" t="str">
        <f>"+14258828080"</f>
        <v>+14258828080</v>
      </c>
      <c r="AS670" t="s">
        <v>180</v>
      </c>
      <c r="AT670" t="s">
        <v>102</v>
      </c>
      <c r="AU670" t="str">
        <f>""</f>
        <v/>
      </c>
      <c r="AV670" t="str">
        <f>""</f>
        <v/>
      </c>
      <c r="AW670" t="str">
        <f>""</f>
        <v/>
      </c>
      <c r="AX670" t="str">
        <f>""</f>
        <v/>
      </c>
      <c r="AY670" t="str">
        <f>""</f>
        <v/>
      </c>
      <c r="AZ670" t="str">
        <f>""</f>
        <v/>
      </c>
      <c r="BA670" t="str">
        <f>""</f>
        <v/>
      </c>
      <c r="BC670" t="str">
        <f>""</f>
        <v/>
      </c>
      <c r="BD670" t="str">
        <f>""</f>
        <v/>
      </c>
      <c r="BE670" t="str">
        <f>""</f>
        <v/>
      </c>
      <c r="BF670" t="str">
        <f>""</f>
        <v/>
      </c>
      <c r="BG670" t="str">
        <f>""</f>
        <v/>
      </c>
      <c r="BH670" t="str">
        <f>""</f>
        <v/>
      </c>
      <c r="BI670" t="str">
        <f>""</f>
        <v/>
      </c>
      <c r="BJ670" t="str">
        <f>""</f>
        <v/>
      </c>
      <c r="BK670">
        <v>1</v>
      </c>
      <c r="BL670" t="s">
        <v>102</v>
      </c>
      <c r="BM670" t="str">
        <f>""</f>
        <v/>
      </c>
      <c r="BN670" t="s">
        <v>962</v>
      </c>
      <c r="BP670" t="s">
        <v>175</v>
      </c>
      <c r="BQ670" t="s">
        <v>183</v>
      </c>
      <c r="BR670" t="s">
        <v>176</v>
      </c>
      <c r="BS670" s="5">
        <v>98052</v>
      </c>
      <c r="BT670" s="2">
        <v>146500</v>
      </c>
      <c r="BV670" t="s">
        <v>105</v>
      </c>
      <c r="BW670" s="2">
        <v>113110</v>
      </c>
      <c r="BX670" t="s">
        <v>105</v>
      </c>
      <c r="BZ670" t="s">
        <v>167</v>
      </c>
      <c r="CA670" t="str">
        <f t="shared" si="42"/>
        <v>7/1/2020 - 6/30/2021</v>
      </c>
      <c r="CF670">
        <v>1</v>
      </c>
      <c r="CG670" t="s">
        <v>98</v>
      </c>
      <c r="CH670" t="s">
        <v>206</v>
      </c>
      <c r="CI670" t="s">
        <v>206</v>
      </c>
      <c r="CL670" t="s">
        <v>108</v>
      </c>
      <c r="CM670" t="s">
        <v>109</v>
      </c>
      <c r="CN670" t="str">
        <f>"DSOUZA"</f>
        <v>DSOUZA</v>
      </c>
      <c r="CO670" t="str">
        <f>"MACLIFF"</f>
        <v>MACLIFF</v>
      </c>
      <c r="CP670" t="str">
        <f>"N/A"</f>
        <v>N/A</v>
      </c>
      <c r="CQ670" t="str">
        <f>"INTEGREON MANAGED SOLUTIONS (INDIA) PVT LTD"</f>
        <v>INTEGREON MANAGED SOLUTIONS (INDIA) PVT LTD</v>
      </c>
      <c r="CR670" t="s">
        <v>1842</v>
      </c>
    </row>
    <row r="671" spans="1:96" x14ac:dyDescent="0.2">
      <c r="A671" t="s">
        <v>7898</v>
      </c>
      <c r="B671" t="s">
        <v>96</v>
      </c>
      <c r="C671" s="1">
        <v>44098</v>
      </c>
      <c r="D671" s="1">
        <v>44105</v>
      </c>
      <c r="F671" t="s">
        <v>97</v>
      </c>
      <c r="G671" t="str">
        <f>"Project Manager"</f>
        <v>Project Manager</v>
      </c>
      <c r="H671" t="s">
        <v>12168</v>
      </c>
      <c r="I671" t="s">
        <v>367</v>
      </c>
      <c r="J671" t="s">
        <v>98</v>
      </c>
      <c r="K671" s="1">
        <v>44105</v>
      </c>
      <c r="L671" s="1">
        <v>45199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4366</v>
      </c>
      <c r="U671" t="str">
        <f>""</f>
        <v/>
      </c>
      <c r="V671" t="s">
        <v>4367</v>
      </c>
      <c r="W671" t="str">
        <f>"Suite 1000"</f>
        <v>Suite 1000</v>
      </c>
      <c r="X671" t="s">
        <v>2302</v>
      </c>
      <c r="Y671" t="s">
        <v>171</v>
      </c>
      <c r="Z671" s="3">
        <v>2451</v>
      </c>
      <c r="AA671" t="s">
        <v>101</v>
      </c>
      <c r="AC671" s="4" t="str">
        <f>"+16175745443"</f>
        <v>+16175745443</v>
      </c>
      <c r="AE671" t="str">
        <f>"541511"</f>
        <v>541511</v>
      </c>
      <c r="AF671" t="s">
        <v>4368</v>
      </c>
      <c r="AG671" t="s">
        <v>4369</v>
      </c>
      <c r="AI671" t="s">
        <v>4370</v>
      </c>
      <c r="AJ671" t="s">
        <v>4367</v>
      </c>
      <c r="AK671" t="str">
        <f>"Suite 1000"</f>
        <v>Suite 1000</v>
      </c>
      <c r="AL671" t="s">
        <v>2302</v>
      </c>
      <c r="AM671" t="s">
        <v>171</v>
      </c>
      <c r="AN671" s="3">
        <v>2451</v>
      </c>
      <c r="AO671" t="s">
        <v>101</v>
      </c>
      <c r="AQ671" t="str">
        <f>"+18573059652"</f>
        <v>+18573059652</v>
      </c>
      <c r="AS671" t="s">
        <v>4371</v>
      </c>
      <c r="AT671" t="s">
        <v>107</v>
      </c>
      <c r="AU671" t="str">
        <f>"Matrician"</f>
        <v>Matrician</v>
      </c>
      <c r="AV671" t="str">
        <f>"Miki"</f>
        <v>Miki</v>
      </c>
      <c r="AW671" t="str">
        <f>"K."</f>
        <v>K.</v>
      </c>
      <c r="AX671" t="str">
        <f>"100 High Street"</f>
        <v>100 High Street</v>
      </c>
      <c r="AY671" t="str">
        <f>"Suite 1300"</f>
        <v>Suite 1300</v>
      </c>
      <c r="AZ671" t="str">
        <f>"Boston"</f>
        <v>Boston</v>
      </c>
      <c r="BA671" t="str">
        <f>"MA"</f>
        <v>MA</v>
      </c>
      <c r="BB671" s="3">
        <v>2110</v>
      </c>
      <c r="BC671" t="str">
        <f t="shared" ref="BC671:BC676" si="43">"UNITED STATES OF AMERICA"</f>
        <v>UNITED STATES OF AMERICA</v>
      </c>
      <c r="BD671" t="str">
        <f>""</f>
        <v/>
      </c>
      <c r="BE671" t="str">
        <f>"+16174821775"</f>
        <v>+16174821775</v>
      </c>
      <c r="BF671" t="str">
        <f>""</f>
        <v/>
      </c>
      <c r="BG671" t="str">
        <f>"mmatrician@chincurtis.com"</f>
        <v>mmatrician@chincurtis.com</v>
      </c>
      <c r="BH671" t="str">
        <f>"Chin &amp; Curtis, LLP"</f>
        <v>Chin &amp; Curtis, LLP</v>
      </c>
      <c r="BI671" t="str">
        <f>"MA"</f>
        <v>MA</v>
      </c>
      <c r="BJ671" t="str">
        <f>"Supreme Judicial Court"</f>
        <v>Supreme Judicial Court</v>
      </c>
      <c r="BK671">
        <v>1</v>
      </c>
      <c r="BL671" t="s">
        <v>102</v>
      </c>
      <c r="BM671" t="str">
        <f>""</f>
        <v/>
      </c>
      <c r="BN671" t="s">
        <v>4367</v>
      </c>
      <c r="BO671" t="s">
        <v>3048</v>
      </c>
      <c r="BP671" t="s">
        <v>2302</v>
      </c>
      <c r="BQ671" t="s">
        <v>3935</v>
      </c>
      <c r="BR671" t="s">
        <v>171</v>
      </c>
      <c r="BS671" s="5">
        <v>2451</v>
      </c>
      <c r="BT671" s="2">
        <v>80400</v>
      </c>
      <c r="BU671" s="2">
        <v>118582</v>
      </c>
      <c r="BV671" t="s">
        <v>105</v>
      </c>
      <c r="BW671" s="2">
        <v>72030</v>
      </c>
      <c r="BX671" t="s">
        <v>105</v>
      </c>
      <c r="BZ671" t="s">
        <v>167</v>
      </c>
      <c r="CA671" t="str">
        <f t="shared" si="42"/>
        <v>7/1/2020 - 6/30/2021</v>
      </c>
      <c r="CF671">
        <v>1</v>
      </c>
      <c r="CG671" t="s">
        <v>98</v>
      </c>
      <c r="CH671" t="s">
        <v>206</v>
      </c>
      <c r="CI671" t="s">
        <v>206</v>
      </c>
      <c r="CL671" t="s">
        <v>108</v>
      </c>
      <c r="CM671" t="s">
        <v>109</v>
      </c>
      <c r="CN671" t="str">
        <f>""</f>
        <v/>
      </c>
      <c r="CO671" t="str">
        <f>""</f>
        <v/>
      </c>
      <c r="CP671" t="str">
        <f>""</f>
        <v/>
      </c>
      <c r="CQ671" t="str">
        <f>""</f>
        <v/>
      </c>
    </row>
    <row r="672" spans="1:96" x14ac:dyDescent="0.2">
      <c r="A672" t="s">
        <v>7930</v>
      </c>
      <c r="B672" t="s">
        <v>96</v>
      </c>
      <c r="C672" s="1">
        <v>44098</v>
      </c>
      <c r="D672" s="1">
        <v>44105</v>
      </c>
      <c r="F672" t="s">
        <v>97</v>
      </c>
      <c r="G672" t="str">
        <f>"Quality Engineer, Industrial"</f>
        <v>Quality Engineer, Industrial</v>
      </c>
      <c r="H672" t="s">
        <v>12224</v>
      </c>
      <c r="I672" t="s">
        <v>198</v>
      </c>
      <c r="J672" t="s">
        <v>98</v>
      </c>
      <c r="K672" s="1">
        <v>44105</v>
      </c>
      <c r="L672" s="1">
        <v>45199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7931</v>
      </c>
      <c r="U672" t="str">
        <f>""</f>
        <v/>
      </c>
      <c r="V672" t="s">
        <v>7932</v>
      </c>
      <c r="W672" t="str">
        <f>""</f>
        <v/>
      </c>
      <c r="X672" t="s">
        <v>7933</v>
      </c>
      <c r="Y672" t="s">
        <v>577</v>
      </c>
      <c r="Z672" s="3" t="s">
        <v>12297</v>
      </c>
      <c r="AA672" t="s">
        <v>101</v>
      </c>
      <c r="AC672" s="4" t="str">
        <f>"+19547181700"</f>
        <v>+19547181700</v>
      </c>
      <c r="AD672">
        <v>154</v>
      </c>
      <c r="AE672" t="str">
        <f>"332119"</f>
        <v>332119</v>
      </c>
      <c r="AF672" t="s">
        <v>591</v>
      </c>
      <c r="AG672" t="s">
        <v>2174</v>
      </c>
      <c r="AI672" t="s">
        <v>1203</v>
      </c>
      <c r="AJ672" t="s">
        <v>7932</v>
      </c>
      <c r="AK672" t="str">
        <f>""</f>
        <v/>
      </c>
      <c r="AL672" t="s">
        <v>7933</v>
      </c>
      <c r="AM672" t="s">
        <v>577</v>
      </c>
      <c r="AN672" s="3" t="s">
        <v>12297</v>
      </c>
      <c r="AO672" t="s">
        <v>101</v>
      </c>
      <c r="AQ672" t="str">
        <f>"+19547181700"</f>
        <v>+19547181700</v>
      </c>
      <c r="AR672">
        <v>154</v>
      </c>
      <c r="AS672" t="s">
        <v>7934</v>
      </c>
      <c r="AT672" t="s">
        <v>107</v>
      </c>
      <c r="AU672" t="str">
        <f>"Miller"</f>
        <v>Miller</v>
      </c>
      <c r="AV672" t="str">
        <f>"Terri"</f>
        <v>Terri</v>
      </c>
      <c r="AW672" t="str">
        <f>"Senesac"</f>
        <v>Senesac</v>
      </c>
      <c r="AX672" t="str">
        <f>"12441 Ventura Boulevard"</f>
        <v>12441 Ventura Boulevard</v>
      </c>
      <c r="AY672" t="str">
        <f>""</f>
        <v/>
      </c>
      <c r="AZ672" t="str">
        <f>"Studio City"</f>
        <v>Studio City</v>
      </c>
      <c r="BA672" t="str">
        <f>"CA"</f>
        <v>CA</v>
      </c>
      <c r="BB672" s="3" t="s">
        <v>12308</v>
      </c>
      <c r="BC672" t="str">
        <f t="shared" si="43"/>
        <v>UNITED STATES OF AMERICA</v>
      </c>
      <c r="BD672" t="str">
        <f>""</f>
        <v/>
      </c>
      <c r="BE672" t="str">
        <f>"+18185089005"</f>
        <v>+18185089005</v>
      </c>
      <c r="BF672" t="str">
        <f>"106"</f>
        <v>106</v>
      </c>
      <c r="BG672" t="str">
        <f>"tmiller@millerlawoffices.com"</f>
        <v>tmiller@millerlawoffices.com</v>
      </c>
      <c r="BH672" t="str">
        <f>"The Miller Law Offices"</f>
        <v>The Miller Law Offices</v>
      </c>
      <c r="BI672" t="str">
        <f>"CA"</f>
        <v>CA</v>
      </c>
      <c r="BJ672" t="str">
        <f>"Supreme Court"</f>
        <v>Supreme Court</v>
      </c>
      <c r="BK672">
        <v>1</v>
      </c>
      <c r="BL672" t="s">
        <v>102</v>
      </c>
      <c r="BM672" t="str">
        <f>""</f>
        <v/>
      </c>
      <c r="BN672" t="s">
        <v>7932</v>
      </c>
      <c r="BP672" t="s">
        <v>7933</v>
      </c>
      <c r="BQ672" t="s">
        <v>576</v>
      </c>
      <c r="BR672" t="s">
        <v>577</v>
      </c>
      <c r="BS672" s="5" t="s">
        <v>12297</v>
      </c>
      <c r="BT672" s="2">
        <v>85000</v>
      </c>
      <c r="BV672" t="s">
        <v>105</v>
      </c>
      <c r="BW672" s="2">
        <v>64563</v>
      </c>
      <c r="BX672" t="s">
        <v>105</v>
      </c>
      <c r="BZ672" t="s">
        <v>167</v>
      </c>
      <c r="CA672" t="str">
        <f t="shared" si="42"/>
        <v>7/1/2020 - 6/30/2021</v>
      </c>
      <c r="CF672">
        <v>1</v>
      </c>
      <c r="CG672" t="s">
        <v>98</v>
      </c>
      <c r="CH672" t="s">
        <v>206</v>
      </c>
      <c r="CI672" t="s">
        <v>206</v>
      </c>
      <c r="CL672" t="s">
        <v>108</v>
      </c>
      <c r="CM672" t="s">
        <v>109</v>
      </c>
      <c r="CN672" t="str">
        <f>""</f>
        <v/>
      </c>
      <c r="CO672" t="str">
        <f>""</f>
        <v/>
      </c>
      <c r="CP672" t="str">
        <f>""</f>
        <v/>
      </c>
      <c r="CQ672" t="str">
        <f>""</f>
        <v/>
      </c>
    </row>
    <row r="673" spans="1:96" x14ac:dyDescent="0.2">
      <c r="A673" t="s">
        <v>7939</v>
      </c>
      <c r="B673" t="s">
        <v>96</v>
      </c>
      <c r="C673" s="1">
        <v>44098</v>
      </c>
      <c r="D673" s="1">
        <v>44105</v>
      </c>
      <c r="F673" t="s">
        <v>97</v>
      </c>
      <c r="G673" t="str">
        <f>"Software Developer"</f>
        <v>Software Developer</v>
      </c>
      <c r="H673" t="s">
        <v>12169</v>
      </c>
      <c r="I673" t="s">
        <v>124</v>
      </c>
      <c r="J673" t="s">
        <v>98</v>
      </c>
      <c r="K673" s="1">
        <v>44109</v>
      </c>
      <c r="L673" s="1">
        <v>45203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 t="s">
        <v>7940</v>
      </c>
      <c r="U673" t="str">
        <f>""</f>
        <v/>
      </c>
      <c r="V673" t="s">
        <v>7941</v>
      </c>
      <c r="W673" t="str">
        <f>""</f>
        <v/>
      </c>
      <c r="X673" t="s">
        <v>7942</v>
      </c>
      <c r="Y673" t="s">
        <v>1776</v>
      </c>
      <c r="Z673" s="3">
        <v>19702</v>
      </c>
      <c r="AA673" t="s">
        <v>101</v>
      </c>
      <c r="AC673" s="4" t="str">
        <f>"+13022323555"</f>
        <v>+13022323555</v>
      </c>
      <c r="AE673" t="str">
        <f>"541511"</f>
        <v>541511</v>
      </c>
      <c r="AF673" t="s">
        <v>7943</v>
      </c>
      <c r="AG673" t="s">
        <v>7944</v>
      </c>
      <c r="AI673" t="s">
        <v>508</v>
      </c>
      <c r="AJ673" t="s">
        <v>7941</v>
      </c>
      <c r="AK673" t="str">
        <f>""</f>
        <v/>
      </c>
      <c r="AL673" t="s">
        <v>7942</v>
      </c>
      <c r="AM673" t="s">
        <v>1776</v>
      </c>
      <c r="AN673" s="3">
        <v>19702</v>
      </c>
      <c r="AO673" t="s">
        <v>101</v>
      </c>
      <c r="AQ673" t="str">
        <f>"+13022323555"</f>
        <v>+13022323555</v>
      </c>
      <c r="AS673" t="s">
        <v>7945</v>
      </c>
      <c r="AT673" t="s">
        <v>107</v>
      </c>
      <c r="AU673" t="str">
        <f>"Vemuru"</f>
        <v>Vemuru</v>
      </c>
      <c r="AV673" t="str">
        <f>"Suneil"</f>
        <v>Suneil</v>
      </c>
      <c r="AW673" t="str">
        <f>""</f>
        <v/>
      </c>
      <c r="AX673" t="str">
        <f>"8170 Lark Brown Road"</f>
        <v>8170 Lark Brown Road</v>
      </c>
      <c r="AY673" t="str">
        <f>"Suite 202"</f>
        <v>Suite 202</v>
      </c>
      <c r="AZ673" t="str">
        <f>"Elkridge"</f>
        <v>Elkridge</v>
      </c>
      <c r="BA673" t="str">
        <f>"MD"</f>
        <v>MD</v>
      </c>
      <c r="BB673" s="3">
        <v>21075</v>
      </c>
      <c r="BC673" t="str">
        <f t="shared" si="43"/>
        <v>UNITED STATES OF AMERICA</v>
      </c>
      <c r="BD673" t="str">
        <f>""</f>
        <v/>
      </c>
      <c r="BE673" t="str">
        <f>"+14109757575"</f>
        <v>+14109757575</v>
      </c>
      <c r="BF673" t="str">
        <f>""</f>
        <v/>
      </c>
      <c r="BG673" t="str">
        <f>"support@immiservice.com"</f>
        <v>support@immiservice.com</v>
      </c>
      <c r="BH673" t="str">
        <f>"Vegesna and Vemuru Associates LLC"</f>
        <v>Vegesna and Vemuru Associates LLC</v>
      </c>
      <c r="BI673" t="str">
        <f>"MD"</f>
        <v>MD</v>
      </c>
      <c r="BJ673" t="str">
        <f>"Maryland Court of Appeals"</f>
        <v>Maryland Court of Appeals</v>
      </c>
      <c r="BK673">
        <v>1</v>
      </c>
      <c r="BL673" t="s">
        <v>107</v>
      </c>
      <c r="BM673" t="str">
        <f>"Comcast"</f>
        <v>Comcast</v>
      </c>
      <c r="BN673" t="s">
        <v>3900</v>
      </c>
      <c r="BP673" t="s">
        <v>218</v>
      </c>
      <c r="BQ673" t="s">
        <v>510</v>
      </c>
      <c r="BR673" t="s">
        <v>127</v>
      </c>
      <c r="BS673" s="5">
        <v>19103</v>
      </c>
      <c r="BT673" s="2">
        <v>90000</v>
      </c>
      <c r="BV673" t="s">
        <v>105</v>
      </c>
      <c r="BW673" s="2">
        <v>89773</v>
      </c>
      <c r="BX673" t="s">
        <v>105</v>
      </c>
      <c r="BZ673" t="s">
        <v>167</v>
      </c>
      <c r="CA673" t="str">
        <f t="shared" si="42"/>
        <v>7/1/2020 - 6/30/2021</v>
      </c>
      <c r="CF673">
        <v>2</v>
      </c>
      <c r="CG673" t="s">
        <v>98</v>
      </c>
      <c r="CH673" t="s">
        <v>206</v>
      </c>
      <c r="CI673" t="s">
        <v>206</v>
      </c>
      <c r="CL673" t="s">
        <v>108</v>
      </c>
      <c r="CM673" t="s">
        <v>109</v>
      </c>
      <c r="CN673" t="str">
        <f>""</f>
        <v/>
      </c>
      <c r="CO673" t="str">
        <f>""</f>
        <v/>
      </c>
      <c r="CP673" t="str">
        <f>""</f>
        <v/>
      </c>
      <c r="CQ673" t="str">
        <f>""</f>
        <v/>
      </c>
    </row>
    <row r="674" spans="1:96" x14ac:dyDescent="0.2">
      <c r="A674" t="s">
        <v>7956</v>
      </c>
      <c r="B674" t="s">
        <v>96</v>
      </c>
      <c r="C674" s="1">
        <v>44098</v>
      </c>
      <c r="D674" s="1">
        <v>44105</v>
      </c>
      <c r="F674" t="s">
        <v>97</v>
      </c>
      <c r="G674" t="str">
        <f>"SOFTWARE DEVELOPMENT ENGINEER II"</f>
        <v>SOFTWARE DEVELOPMENT ENGINEER II</v>
      </c>
      <c r="H674" t="s">
        <v>12169</v>
      </c>
      <c r="I674" t="s">
        <v>124</v>
      </c>
      <c r="J674" t="s">
        <v>98</v>
      </c>
      <c r="K674" s="1">
        <v>44278</v>
      </c>
      <c r="L674" s="1">
        <v>45373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 t="s">
        <v>440</v>
      </c>
      <c r="U674" t="str">
        <f>""</f>
        <v/>
      </c>
      <c r="V674" t="s">
        <v>809</v>
      </c>
      <c r="W674" t="str">
        <f>"SUITE 500"</f>
        <v>SUITE 500</v>
      </c>
      <c r="X674" t="s">
        <v>433</v>
      </c>
      <c r="Y674" t="s">
        <v>176</v>
      </c>
      <c r="Z674" s="3">
        <v>98121</v>
      </c>
      <c r="AA674" t="s">
        <v>101</v>
      </c>
      <c r="AC674" s="4" t="str">
        <f>"+12062661000"</f>
        <v>+12062661000</v>
      </c>
      <c r="AE674" t="str">
        <f>"454110"</f>
        <v>454110</v>
      </c>
      <c r="AF674" t="s">
        <v>442</v>
      </c>
      <c r="AG674" t="s">
        <v>443</v>
      </c>
      <c r="AH674" t="s">
        <v>108</v>
      </c>
      <c r="AI674" t="s">
        <v>434</v>
      </c>
      <c r="AJ674" t="s">
        <v>809</v>
      </c>
      <c r="AK674" t="str">
        <f>"SUITE 500"</f>
        <v>SUITE 500</v>
      </c>
      <c r="AL674" t="s">
        <v>433</v>
      </c>
      <c r="AM674" t="s">
        <v>176</v>
      </c>
      <c r="AN674" s="3">
        <v>98121</v>
      </c>
      <c r="AO674" t="s">
        <v>101</v>
      </c>
      <c r="AQ674" t="str">
        <f>"+12062661000"</f>
        <v>+12062661000</v>
      </c>
      <c r="AS674" t="s">
        <v>263</v>
      </c>
      <c r="AT674" t="s">
        <v>107</v>
      </c>
      <c r="AU674" t="str">
        <f>"MARANCI"</f>
        <v>MARANCI</v>
      </c>
      <c r="AV674" t="str">
        <f>"DANIEL"</f>
        <v>DANIEL</v>
      </c>
      <c r="AW674" t="str">
        <f>"N/A"</f>
        <v>N/A</v>
      </c>
      <c r="AX674" t="str">
        <f>"100 HIGH STREET"</f>
        <v>100 HIGH STREET</v>
      </c>
      <c r="AY674" t="str">
        <f>"3RD FLOOR C#5266085"</f>
        <v>3RD FLOOR C#5266085</v>
      </c>
      <c r="AZ674" t="str">
        <f>"BOSTON"</f>
        <v>BOSTON</v>
      </c>
      <c r="BA674" t="str">
        <f>"MA"</f>
        <v>MA</v>
      </c>
      <c r="BB674" s="3">
        <v>2110</v>
      </c>
      <c r="BC674" t="str">
        <f t="shared" si="43"/>
        <v>UNITED STATES OF AMERICA</v>
      </c>
      <c r="BD674" t="str">
        <f>""</f>
        <v/>
      </c>
      <c r="BE674" t="str">
        <f>"+16175740400"</f>
        <v>+16175740400</v>
      </c>
      <c r="BF674" t="str">
        <f>""</f>
        <v/>
      </c>
      <c r="BG674" t="str">
        <f>"AMAZONINDIA@FRAGOMEN.COM"</f>
        <v>AMAZONINDIA@FRAGOMEN.COM</v>
      </c>
      <c r="BH674" t="str">
        <f>"FRAGOMEN, DEL REY, BERNSEN &amp; LOEWY, LLP"</f>
        <v>FRAGOMEN, DEL REY, BERNSEN &amp; LOEWY, LLP</v>
      </c>
      <c r="BI674" t="str">
        <f>"MA"</f>
        <v>MA</v>
      </c>
      <c r="BJ674" t="str">
        <f>"SUPREME JUDICIAL COURT"</f>
        <v>SUPREME JUDICIAL COURT</v>
      </c>
      <c r="BK674">
        <v>1</v>
      </c>
      <c r="BL674" t="s">
        <v>102</v>
      </c>
      <c r="BM674" t="str">
        <f>""</f>
        <v/>
      </c>
      <c r="BN674" t="s">
        <v>4073</v>
      </c>
      <c r="BP674" t="s">
        <v>433</v>
      </c>
      <c r="BQ674" t="s">
        <v>183</v>
      </c>
      <c r="BR674" t="s">
        <v>176</v>
      </c>
      <c r="BS674" s="5">
        <v>98121</v>
      </c>
      <c r="BT674" s="2">
        <v>152000</v>
      </c>
      <c r="BV674" t="s">
        <v>105</v>
      </c>
      <c r="BW674" s="2">
        <v>113110</v>
      </c>
      <c r="BX674" t="s">
        <v>105</v>
      </c>
      <c r="BZ674" t="s">
        <v>167</v>
      </c>
      <c r="CA674" t="str">
        <f t="shared" si="42"/>
        <v>7/1/2020 - 6/30/2021</v>
      </c>
      <c r="CF674">
        <v>1</v>
      </c>
      <c r="CG674" t="s">
        <v>98</v>
      </c>
      <c r="CH674" t="s">
        <v>206</v>
      </c>
      <c r="CI674" t="s">
        <v>206</v>
      </c>
      <c r="CL674" t="s">
        <v>108</v>
      </c>
      <c r="CM674" t="s">
        <v>109</v>
      </c>
      <c r="CN674" t="str">
        <f>"SUNNY"</f>
        <v>SUNNY</v>
      </c>
      <c r="CO674" t="str">
        <f>"JASMIN"</f>
        <v>JASMIN</v>
      </c>
      <c r="CP674" t="str">
        <f>"N/A"</f>
        <v>N/A</v>
      </c>
      <c r="CQ674" t="str">
        <f>"FRAGOMEN, DEL REY, BERNSEN &amp; LOEWY, LLP"</f>
        <v>FRAGOMEN, DEL REY, BERNSEN &amp; LOEWY, LLP</v>
      </c>
      <c r="CR674" t="s">
        <v>650</v>
      </c>
    </row>
    <row r="675" spans="1:96" x14ac:dyDescent="0.2">
      <c r="A675" t="s">
        <v>7957</v>
      </c>
      <c r="B675" t="s">
        <v>96</v>
      </c>
      <c r="C675" s="1">
        <v>44098</v>
      </c>
      <c r="D675" s="1">
        <v>44105</v>
      </c>
      <c r="F675" t="s">
        <v>97</v>
      </c>
      <c r="G675" t="str">
        <f>"Statistician"</f>
        <v>Statistician</v>
      </c>
      <c r="H675" t="s">
        <v>12180</v>
      </c>
      <c r="I675" t="s">
        <v>390</v>
      </c>
      <c r="J675" t="s">
        <v>98</v>
      </c>
      <c r="K675" s="1">
        <v>44099</v>
      </c>
      <c r="L675" s="1">
        <v>45193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 t="s">
        <v>7958</v>
      </c>
      <c r="U675" t="str">
        <f>""</f>
        <v/>
      </c>
      <c r="V675" t="s">
        <v>7959</v>
      </c>
      <c r="W675" t="str">
        <f>""</f>
        <v/>
      </c>
      <c r="X675" t="s">
        <v>394</v>
      </c>
      <c r="Y675" t="s">
        <v>114</v>
      </c>
      <c r="Z675" s="3">
        <v>77087</v>
      </c>
      <c r="AA675" t="s">
        <v>101</v>
      </c>
      <c r="AC675" s="4" t="str">
        <f>"+17136737701"</f>
        <v>+17136737701</v>
      </c>
      <c r="AE675" t="str">
        <f>"423810"</f>
        <v>423810</v>
      </c>
      <c r="AF675" t="s">
        <v>7960</v>
      </c>
      <c r="AG675" t="s">
        <v>1767</v>
      </c>
      <c r="AI675" t="s">
        <v>646</v>
      </c>
      <c r="AJ675" t="s">
        <v>7959</v>
      </c>
      <c r="AK675" t="str">
        <f>""</f>
        <v/>
      </c>
      <c r="AL675" t="s">
        <v>394</v>
      </c>
      <c r="AM675" t="s">
        <v>114</v>
      </c>
      <c r="AN675" s="3">
        <v>77087</v>
      </c>
      <c r="AO675" t="s">
        <v>101</v>
      </c>
      <c r="AQ675" t="str">
        <f>"+17136737701"</f>
        <v>+17136737701</v>
      </c>
      <c r="AS675" t="s">
        <v>7961</v>
      </c>
      <c r="AT675" t="s">
        <v>107</v>
      </c>
      <c r="AU675" t="str">
        <f>"Williams"</f>
        <v>Williams</v>
      </c>
      <c r="AV675" t="str">
        <f>"Brandy"</f>
        <v>Brandy</v>
      </c>
      <c r="AW675" t="str">
        <f>""</f>
        <v/>
      </c>
      <c r="AX675" t="str">
        <f>"1225 North Loop West"</f>
        <v>1225 North Loop West</v>
      </c>
      <c r="AY675" t="str">
        <f>"Ste 825"</f>
        <v>Ste 825</v>
      </c>
      <c r="AZ675" t="str">
        <f>"Houston"</f>
        <v>Houston</v>
      </c>
      <c r="BA675" t="str">
        <f>"TX"</f>
        <v>TX</v>
      </c>
      <c r="BB675" s="3">
        <v>77008</v>
      </c>
      <c r="BC675" t="str">
        <f t="shared" si="43"/>
        <v>UNITED STATES OF AMERICA</v>
      </c>
      <c r="BD675" t="str">
        <f>""</f>
        <v/>
      </c>
      <c r="BE675" t="str">
        <f>"+17136218588"</f>
        <v>+17136218588</v>
      </c>
      <c r="BF675" t="str">
        <f>""</f>
        <v/>
      </c>
      <c r="BG675" t="str">
        <f>"Brandy@toppinslawfirm.com"</f>
        <v>Brandy@toppinslawfirm.com</v>
      </c>
      <c r="BH675" t="str">
        <f>"Toppins Law Firm PC"</f>
        <v>Toppins Law Firm PC</v>
      </c>
      <c r="BI675" t="str">
        <f>"TX"</f>
        <v>TX</v>
      </c>
      <c r="BJ675" t="str">
        <f>"Texas Supreme Court"</f>
        <v>Texas Supreme Court</v>
      </c>
      <c r="BK675">
        <v>1</v>
      </c>
      <c r="BL675" t="s">
        <v>102</v>
      </c>
      <c r="BM675" t="str">
        <f>""</f>
        <v/>
      </c>
      <c r="BN675" t="s">
        <v>7962</v>
      </c>
      <c r="BP675" t="s">
        <v>394</v>
      </c>
      <c r="BQ675" t="s">
        <v>395</v>
      </c>
      <c r="BR675" t="s">
        <v>114</v>
      </c>
      <c r="BS675" s="5">
        <v>77087</v>
      </c>
      <c r="BT675" s="2">
        <v>68827</v>
      </c>
      <c r="BV675" t="s">
        <v>105</v>
      </c>
      <c r="BW675" s="2">
        <v>68827</v>
      </c>
      <c r="BX675" t="s">
        <v>105</v>
      </c>
      <c r="BZ675" t="s">
        <v>167</v>
      </c>
      <c r="CA675" t="str">
        <f t="shared" si="42"/>
        <v>7/1/2020 - 6/30/2021</v>
      </c>
      <c r="CF675">
        <v>1</v>
      </c>
      <c r="CG675" t="s">
        <v>98</v>
      </c>
      <c r="CH675" t="s">
        <v>206</v>
      </c>
      <c r="CI675" t="s">
        <v>206</v>
      </c>
      <c r="CL675" t="s">
        <v>108</v>
      </c>
      <c r="CM675" t="s">
        <v>109</v>
      </c>
      <c r="CN675" t="str">
        <f>"Williams"</f>
        <v>Williams</v>
      </c>
      <c r="CO675" t="str">
        <f>"Brandy"</f>
        <v>Brandy</v>
      </c>
      <c r="CP675" t="str">
        <f>""</f>
        <v/>
      </c>
      <c r="CQ675" t="str">
        <f>"Toppins Law Firm PC"</f>
        <v>Toppins Law Firm PC</v>
      </c>
      <c r="CR675" t="s">
        <v>7963</v>
      </c>
    </row>
    <row r="676" spans="1:96" x14ac:dyDescent="0.2">
      <c r="A676" t="s">
        <v>7964</v>
      </c>
      <c r="B676" t="s">
        <v>96</v>
      </c>
      <c r="C676" s="1">
        <v>44098</v>
      </c>
      <c r="D676" s="1">
        <v>44105</v>
      </c>
      <c r="F676" t="s">
        <v>97</v>
      </c>
      <c r="G676" t="str">
        <f>"Lead Technical Consultant"</f>
        <v>Lead Technical Consultant</v>
      </c>
      <c r="H676" t="s">
        <v>12169</v>
      </c>
      <c r="I676" t="s">
        <v>124</v>
      </c>
      <c r="J676" t="s">
        <v>98</v>
      </c>
      <c r="K676" s="1">
        <v>44197</v>
      </c>
      <c r="L676" s="1">
        <v>45291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 t="s">
        <v>7965</v>
      </c>
      <c r="U676" t="str">
        <f>""</f>
        <v/>
      </c>
      <c r="V676" t="s">
        <v>7966</v>
      </c>
      <c r="W676" t="str">
        <f>"STE 100"</f>
        <v>STE 100</v>
      </c>
      <c r="X676" t="s">
        <v>1487</v>
      </c>
      <c r="Y676" t="s">
        <v>114</v>
      </c>
      <c r="Z676" s="3">
        <v>75062</v>
      </c>
      <c r="AA676" t="s">
        <v>101</v>
      </c>
      <c r="AC676" s="4" t="str">
        <f>"+12143363959"</f>
        <v>+12143363959</v>
      </c>
      <c r="AE676" t="str">
        <f>"541511"</f>
        <v>541511</v>
      </c>
      <c r="AF676" t="s">
        <v>7967</v>
      </c>
      <c r="AG676" t="s">
        <v>619</v>
      </c>
      <c r="AI676" t="s">
        <v>3683</v>
      </c>
      <c r="AJ676" t="s">
        <v>7966</v>
      </c>
      <c r="AK676" t="str">
        <f>"STE 100"</f>
        <v>STE 100</v>
      </c>
      <c r="AL676" t="s">
        <v>1487</v>
      </c>
      <c r="AM676" t="s">
        <v>114</v>
      </c>
      <c r="AN676" s="3">
        <v>75062</v>
      </c>
      <c r="AO676" t="s">
        <v>101</v>
      </c>
      <c r="AQ676" t="str">
        <f>"+12143363959"</f>
        <v>+12143363959</v>
      </c>
      <c r="AS676" t="s">
        <v>7968</v>
      </c>
      <c r="AT676" t="s">
        <v>107</v>
      </c>
      <c r="AU676" t="str">
        <f>"Azhar"</f>
        <v>Azhar</v>
      </c>
      <c r="AV676" t="str">
        <f>"Furqan"</f>
        <v>Furqan</v>
      </c>
      <c r="AW676" t="str">
        <f>"Sunny"</f>
        <v>Sunny</v>
      </c>
      <c r="AX676" t="str">
        <f>"614 S. Watters Rd"</f>
        <v>614 S. Watters Rd</v>
      </c>
      <c r="AY676" t="str">
        <f>"Ste. C"</f>
        <v>Ste. C</v>
      </c>
      <c r="AZ676" t="str">
        <f>"Allen"</f>
        <v>Allen</v>
      </c>
      <c r="BA676" t="str">
        <f>"TX"</f>
        <v>TX</v>
      </c>
      <c r="BB676" s="3">
        <v>75013</v>
      </c>
      <c r="BC676" t="str">
        <f t="shared" si="43"/>
        <v>UNITED STATES OF AMERICA</v>
      </c>
      <c r="BD676" t="str">
        <f>""</f>
        <v/>
      </c>
      <c r="BE676" t="str">
        <f>"+12144201200"</f>
        <v>+12144201200</v>
      </c>
      <c r="BF676" t="str">
        <f>""</f>
        <v/>
      </c>
      <c r="BG676" t="str">
        <f>"FURQAN@AZHARLAWFIRM.COM"</f>
        <v>FURQAN@AZHARLAWFIRM.COM</v>
      </c>
      <c r="BH676" t="str">
        <f>"Azhar and Azhar, PLLC"</f>
        <v>Azhar and Azhar, PLLC</v>
      </c>
      <c r="BI676" t="str">
        <f>"OK"</f>
        <v>OK</v>
      </c>
      <c r="BJ676" t="str">
        <f>"OKLAHOMA SUPREME COURT"</f>
        <v>OKLAHOMA SUPREME COURT</v>
      </c>
      <c r="BK676">
        <v>1</v>
      </c>
      <c r="BL676" t="s">
        <v>107</v>
      </c>
      <c r="BM676" t="str">
        <f>"Carter’s, Inc."</f>
        <v>Carter’s, Inc.</v>
      </c>
      <c r="BN676" t="s">
        <v>7969</v>
      </c>
      <c r="BP676" t="s">
        <v>213</v>
      </c>
      <c r="BQ676" t="s">
        <v>214</v>
      </c>
      <c r="BR676" t="s">
        <v>215</v>
      </c>
      <c r="BS676" s="5">
        <v>30326</v>
      </c>
      <c r="BT676" s="2">
        <v>118000</v>
      </c>
      <c r="BU676" s="2">
        <v>118001</v>
      </c>
      <c r="BV676" t="s">
        <v>105</v>
      </c>
      <c r="BW676" s="2">
        <v>103501</v>
      </c>
      <c r="BX676" t="s">
        <v>105</v>
      </c>
      <c r="BZ676" t="s">
        <v>123</v>
      </c>
      <c r="CA676" t="str">
        <f t="shared" si="42"/>
        <v>7/1/2020 - 6/30/2021</v>
      </c>
      <c r="CF676">
        <v>1</v>
      </c>
      <c r="CG676" t="s">
        <v>98</v>
      </c>
      <c r="CH676" t="s">
        <v>206</v>
      </c>
      <c r="CI676" t="s">
        <v>206</v>
      </c>
      <c r="CL676" t="s">
        <v>108</v>
      </c>
      <c r="CM676" t="s">
        <v>109</v>
      </c>
      <c r="CN676" t="str">
        <f>""</f>
        <v/>
      </c>
      <c r="CO676" t="str">
        <f>""</f>
        <v/>
      </c>
      <c r="CP676" t="str">
        <f>""</f>
        <v/>
      </c>
      <c r="CQ676" t="str">
        <f>""</f>
        <v/>
      </c>
    </row>
    <row r="677" spans="1:96" x14ac:dyDescent="0.2">
      <c r="A677" t="s">
        <v>7998</v>
      </c>
      <c r="B677" t="s">
        <v>96</v>
      </c>
      <c r="C677" s="1">
        <v>44098</v>
      </c>
      <c r="D677" s="1">
        <v>44105</v>
      </c>
      <c r="F677" t="s">
        <v>97</v>
      </c>
      <c r="G677" t="str">
        <f>"Staff Scientist"</f>
        <v>Staff Scientist</v>
      </c>
      <c r="H677" t="s">
        <v>12195</v>
      </c>
      <c r="I677" t="s">
        <v>5792</v>
      </c>
      <c r="J677" t="s">
        <v>98</v>
      </c>
      <c r="K677" s="1">
        <v>44171</v>
      </c>
      <c r="L677" s="1">
        <v>44900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4623</v>
      </c>
      <c r="U677" t="str">
        <f>""</f>
        <v/>
      </c>
      <c r="V677" t="s">
        <v>4624</v>
      </c>
      <c r="W677" t="str">
        <f>"31 Center Drive MSC 2028"</f>
        <v>31 Center Drive MSC 2028</v>
      </c>
      <c r="X677" t="s">
        <v>2307</v>
      </c>
      <c r="Y677" t="s">
        <v>195</v>
      </c>
      <c r="Z677" s="3">
        <v>20892</v>
      </c>
      <c r="AA677" t="s">
        <v>101</v>
      </c>
      <c r="AC677" s="4" t="str">
        <f>"+13014966166"</f>
        <v>+13014966166</v>
      </c>
      <c r="AE677" t="str">
        <f>"54171"</f>
        <v>54171</v>
      </c>
      <c r="AF677" t="s">
        <v>407</v>
      </c>
      <c r="AG677" t="s">
        <v>2306</v>
      </c>
      <c r="AI677" t="s">
        <v>221</v>
      </c>
      <c r="AJ677" t="s">
        <v>4625</v>
      </c>
      <c r="AK677" t="str">
        <f>"B2B07"</f>
        <v>B2B07</v>
      </c>
      <c r="AL677" t="s">
        <v>2307</v>
      </c>
      <c r="AM677" t="s">
        <v>195</v>
      </c>
      <c r="AN677" s="3">
        <v>20892</v>
      </c>
      <c r="AO677" t="s">
        <v>101</v>
      </c>
      <c r="AQ677" t="str">
        <f>"+15712640093"</f>
        <v>+15712640093</v>
      </c>
      <c r="AS677" t="s">
        <v>4626</v>
      </c>
      <c r="AT677" t="s">
        <v>102</v>
      </c>
      <c r="AU677" t="str">
        <f>""</f>
        <v/>
      </c>
      <c r="AV677" t="str">
        <f>""</f>
        <v/>
      </c>
      <c r="AW677" t="str">
        <f>""</f>
        <v/>
      </c>
      <c r="AX677" t="str">
        <f>""</f>
        <v/>
      </c>
      <c r="AY677" t="str">
        <f>""</f>
        <v/>
      </c>
      <c r="AZ677" t="str">
        <f>""</f>
        <v/>
      </c>
      <c r="BA677" t="str">
        <f>""</f>
        <v/>
      </c>
      <c r="BC677" t="str">
        <f>""</f>
        <v/>
      </c>
      <c r="BD677" t="str">
        <f>""</f>
        <v/>
      </c>
      <c r="BE677" t="str">
        <f>""</f>
        <v/>
      </c>
      <c r="BF677" t="str">
        <f>""</f>
        <v/>
      </c>
      <c r="BG677" t="str">
        <f>""</f>
        <v/>
      </c>
      <c r="BH677" t="str">
        <f>""</f>
        <v/>
      </c>
      <c r="BI677" t="str">
        <f>""</f>
        <v/>
      </c>
      <c r="BJ677" t="str">
        <f>""</f>
        <v/>
      </c>
      <c r="BK677">
        <v>1</v>
      </c>
      <c r="BL677" t="s">
        <v>102</v>
      </c>
      <c r="BM677" t="str">
        <f>""</f>
        <v/>
      </c>
      <c r="BN677" t="s">
        <v>7999</v>
      </c>
      <c r="BP677" t="s">
        <v>2307</v>
      </c>
      <c r="BQ677" t="s">
        <v>529</v>
      </c>
      <c r="BR677" t="s">
        <v>195</v>
      </c>
      <c r="BS677" s="5">
        <v>20892</v>
      </c>
      <c r="BT677" s="2">
        <v>122500</v>
      </c>
      <c r="BV677" t="s">
        <v>105</v>
      </c>
      <c r="BW677" s="2">
        <v>84448</v>
      </c>
      <c r="BX677" t="s">
        <v>105</v>
      </c>
      <c r="BZ677" t="s">
        <v>123</v>
      </c>
      <c r="CA677" t="str">
        <f t="shared" si="42"/>
        <v>7/1/2020 - 6/30/2021</v>
      </c>
      <c r="CF677">
        <v>2</v>
      </c>
      <c r="CG677" t="s">
        <v>98</v>
      </c>
      <c r="CH677" t="s">
        <v>206</v>
      </c>
      <c r="CI677" t="s">
        <v>206</v>
      </c>
      <c r="CL677" t="s">
        <v>108</v>
      </c>
      <c r="CM677" t="s">
        <v>109</v>
      </c>
      <c r="CN677" t="str">
        <f>""</f>
        <v/>
      </c>
      <c r="CO677" t="str">
        <f>""</f>
        <v/>
      </c>
      <c r="CP677" t="str">
        <f>""</f>
        <v/>
      </c>
      <c r="CQ677" t="str">
        <f>""</f>
        <v/>
      </c>
    </row>
    <row r="678" spans="1:96" x14ac:dyDescent="0.2">
      <c r="A678" t="s">
        <v>8000</v>
      </c>
      <c r="B678" t="s">
        <v>96</v>
      </c>
      <c r="C678" s="1">
        <v>44098</v>
      </c>
      <c r="D678" s="1">
        <v>44105</v>
      </c>
      <c r="F678" t="s">
        <v>97</v>
      </c>
      <c r="G678" t="str">
        <f>"HARDWARE DEVELOPMENT ENGINEER"</f>
        <v>HARDWARE DEVELOPMENT ENGINEER</v>
      </c>
      <c r="H678" t="s">
        <v>12186</v>
      </c>
      <c r="I678" t="s">
        <v>232</v>
      </c>
      <c r="J678" t="s">
        <v>98</v>
      </c>
      <c r="K678" s="1">
        <v>44260</v>
      </c>
      <c r="L678" s="1">
        <v>45355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 t="s">
        <v>233</v>
      </c>
      <c r="U678" t="str">
        <f>""</f>
        <v/>
      </c>
      <c r="V678" t="s">
        <v>234</v>
      </c>
      <c r="W678" t="str">
        <f>""</f>
        <v/>
      </c>
      <c r="X678" t="s">
        <v>235</v>
      </c>
      <c r="Y678" t="s">
        <v>141</v>
      </c>
      <c r="Z678" s="3">
        <v>95014</v>
      </c>
      <c r="AA678" t="s">
        <v>101</v>
      </c>
      <c r="AC678" s="4" t="str">
        <f>"+14089742562"</f>
        <v>+14089742562</v>
      </c>
      <c r="AE678" t="str">
        <f>"334111"</f>
        <v>334111</v>
      </c>
      <c r="AF678" t="s">
        <v>236</v>
      </c>
      <c r="AG678" t="s">
        <v>237</v>
      </c>
      <c r="AH678" t="s">
        <v>108</v>
      </c>
      <c r="AI678" t="s">
        <v>238</v>
      </c>
      <c r="AJ678" t="s">
        <v>239</v>
      </c>
      <c r="AK678" t="str">
        <f>"N/A"</f>
        <v>N/A</v>
      </c>
      <c r="AL678" t="s">
        <v>240</v>
      </c>
      <c r="AM678" t="s">
        <v>141</v>
      </c>
      <c r="AN678" s="3">
        <v>95014</v>
      </c>
      <c r="AO678" t="s">
        <v>101</v>
      </c>
      <c r="AQ678" t="str">
        <f>"+14089742562"</f>
        <v>+14089742562</v>
      </c>
      <c r="AS678" t="s">
        <v>241</v>
      </c>
      <c r="AT678" t="s">
        <v>107</v>
      </c>
      <c r="AU678" t="str">
        <f>"Nadig"</f>
        <v>Nadig</v>
      </c>
      <c r="AV678" t="str">
        <f>"Anjali"</f>
        <v>Anjali</v>
      </c>
      <c r="AW678" t="str">
        <f>""</f>
        <v/>
      </c>
      <c r="AX678" t="str">
        <f>"555 MONTGOMERY STREET"</f>
        <v>555 MONTGOMERY STREET</v>
      </c>
      <c r="AY678" t="str">
        <f>"4TH FLOOR C#4960143"</f>
        <v>4TH FLOOR C#4960143</v>
      </c>
      <c r="AZ678" t="str">
        <f>"SAN FRANCISCO"</f>
        <v>SAN FRANCISCO</v>
      </c>
      <c r="BA678" t="str">
        <f>"CA"</f>
        <v>CA</v>
      </c>
      <c r="BB678" s="3">
        <v>94111</v>
      </c>
      <c r="BC678" t="str">
        <f t="shared" ref="BC678:BC685" si="44">"UNITED STATES OF AMERICA"</f>
        <v>UNITED STATES OF AMERICA</v>
      </c>
      <c r="BD678" t="str">
        <f>""</f>
        <v/>
      </c>
      <c r="BE678" t="str">
        <f>"+14159861446"</f>
        <v>+14159861446</v>
      </c>
      <c r="BF678" t="str">
        <f>""</f>
        <v/>
      </c>
      <c r="BG678" t="str">
        <f>"APPLE-USIMM@FRAGOMEN.COM"</f>
        <v>APPLE-USIMM@FRAGOMEN.COM</v>
      </c>
      <c r="BH678" t="str">
        <f>"FRAGOMEN, DEL REY, BERNSEN &amp; LOEWY, LLP."</f>
        <v>FRAGOMEN, DEL REY, BERNSEN &amp; LOEWY, LLP.</v>
      </c>
      <c r="BI678" t="str">
        <f>"CA"</f>
        <v>CA</v>
      </c>
      <c r="BJ678" t="str">
        <f>"SUPREME COURT"</f>
        <v>SUPREME COURT</v>
      </c>
      <c r="BK678">
        <v>1</v>
      </c>
      <c r="BL678" t="s">
        <v>102</v>
      </c>
      <c r="BM678" t="str">
        <f>""</f>
        <v/>
      </c>
      <c r="BN678" t="s">
        <v>239</v>
      </c>
      <c r="BP678" t="s">
        <v>240</v>
      </c>
      <c r="BQ678" t="s">
        <v>230</v>
      </c>
      <c r="BR678" t="s">
        <v>141</v>
      </c>
      <c r="BS678" s="5">
        <v>95014</v>
      </c>
      <c r="BT678" s="2">
        <v>155250</v>
      </c>
      <c r="BV678" t="s">
        <v>105</v>
      </c>
      <c r="BW678" s="2">
        <v>117291</v>
      </c>
      <c r="BX678" t="s">
        <v>105</v>
      </c>
      <c r="BZ678" t="s">
        <v>167</v>
      </c>
      <c r="CA678" t="str">
        <f t="shared" si="42"/>
        <v>7/1/2020 - 6/30/2021</v>
      </c>
      <c r="CF678">
        <v>1</v>
      </c>
      <c r="CG678" t="s">
        <v>98</v>
      </c>
      <c r="CH678" t="s">
        <v>206</v>
      </c>
      <c r="CI678" t="s">
        <v>206</v>
      </c>
      <c r="CL678" t="s">
        <v>108</v>
      </c>
      <c r="CM678" t="s">
        <v>109</v>
      </c>
      <c r="CN678" t="str">
        <f>"Nadig"</f>
        <v>Nadig</v>
      </c>
      <c r="CO678" t="str">
        <f>"Anjali"</f>
        <v>Anjali</v>
      </c>
      <c r="CP678" t="str">
        <f>""</f>
        <v/>
      </c>
      <c r="CQ678" t="str">
        <f>"FRAGOMEN, DEL REY, BERNSEN &amp; LOEWY, LLP"</f>
        <v>FRAGOMEN, DEL REY, BERNSEN &amp; LOEWY, LLP</v>
      </c>
      <c r="CR678" t="s">
        <v>242</v>
      </c>
    </row>
    <row r="679" spans="1:96" x14ac:dyDescent="0.2">
      <c r="A679" t="s">
        <v>8001</v>
      </c>
      <c r="B679" t="s">
        <v>96</v>
      </c>
      <c r="C679" s="1">
        <v>44098</v>
      </c>
      <c r="D679" s="1">
        <v>44105</v>
      </c>
      <c r="F679" t="s">
        <v>97</v>
      </c>
      <c r="G679" t="str">
        <f>"Senior AI Engineer"</f>
        <v>Senior AI Engineer</v>
      </c>
      <c r="H679" t="s">
        <v>12168</v>
      </c>
      <c r="I679" t="s">
        <v>354</v>
      </c>
      <c r="J679" t="s">
        <v>98</v>
      </c>
      <c r="K679" s="1">
        <v>44159</v>
      </c>
      <c r="L679" s="1">
        <v>45253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 t="s">
        <v>2519</v>
      </c>
      <c r="U679" t="str">
        <f>""</f>
        <v/>
      </c>
      <c r="V679" t="s">
        <v>2520</v>
      </c>
      <c r="W679" t="str">
        <f>""</f>
        <v/>
      </c>
      <c r="X679" t="s">
        <v>1339</v>
      </c>
      <c r="Y679" t="s">
        <v>186</v>
      </c>
      <c r="Z679" s="3">
        <v>55403</v>
      </c>
      <c r="AA679" t="s">
        <v>101</v>
      </c>
      <c r="AC679" s="4" t="str">
        <f>"+16126964229"</f>
        <v>+16126964229</v>
      </c>
      <c r="AE679" t="str">
        <f>"45231"</f>
        <v>45231</v>
      </c>
      <c r="AF679" t="s">
        <v>1968</v>
      </c>
      <c r="AG679" t="s">
        <v>1003</v>
      </c>
      <c r="AI679" t="s">
        <v>2521</v>
      </c>
      <c r="AJ679" t="s">
        <v>2522</v>
      </c>
      <c r="AK679" t="str">
        <f>""</f>
        <v/>
      </c>
      <c r="AL679" t="s">
        <v>1339</v>
      </c>
      <c r="AM679" t="s">
        <v>186</v>
      </c>
      <c r="AN679" s="3">
        <v>55402</v>
      </c>
      <c r="AO679" t="s">
        <v>101</v>
      </c>
      <c r="AQ679" t="str">
        <f>"+16126964229"</f>
        <v>+16126964229</v>
      </c>
      <c r="AS679" t="s">
        <v>2523</v>
      </c>
      <c r="AT679" t="s">
        <v>107</v>
      </c>
      <c r="AU679" t="str">
        <f>"Gurley"</f>
        <v>Gurley</v>
      </c>
      <c r="AV679" t="str">
        <f>"Marit"</f>
        <v>Marit</v>
      </c>
      <c r="AW679" t="str">
        <f>"Elizabeth"</f>
        <v>Elizabeth</v>
      </c>
      <c r="AX679" t="str">
        <f>"2950 Metro Drive"</f>
        <v>2950 Metro Drive</v>
      </c>
      <c r="AY679" t="str">
        <f>"Suite 201"</f>
        <v>Suite 201</v>
      </c>
      <c r="AZ679" t="str">
        <f>"Bloomington"</f>
        <v>Bloomington</v>
      </c>
      <c r="BA679" t="str">
        <f>"MN"</f>
        <v>MN</v>
      </c>
      <c r="BB679" s="3">
        <v>55425</v>
      </c>
      <c r="BC679" t="str">
        <f t="shared" si="44"/>
        <v>UNITED STATES OF AMERICA</v>
      </c>
      <c r="BD679" t="str">
        <f>""</f>
        <v/>
      </c>
      <c r="BE679" t="str">
        <f>"+19528543313"</f>
        <v>+19528543313</v>
      </c>
      <c r="BF679" t="str">
        <f>"537"</f>
        <v>537</v>
      </c>
      <c r="BG679" t="str">
        <f>"marit@karamlaw.com"</f>
        <v>marit@karamlaw.com</v>
      </c>
      <c r="BH679" t="str">
        <f>"Karam Law"</f>
        <v>Karam Law</v>
      </c>
      <c r="BI679" t="str">
        <f>"MN"</f>
        <v>MN</v>
      </c>
      <c r="BJ679" t="str">
        <f>"MINNESOTA SUPREME COURT"</f>
        <v>MINNESOTA SUPREME COURT</v>
      </c>
      <c r="BK679">
        <v>1</v>
      </c>
      <c r="BL679" t="s">
        <v>102</v>
      </c>
      <c r="BM679" t="str">
        <f>""</f>
        <v/>
      </c>
      <c r="BN679" t="s">
        <v>2524</v>
      </c>
      <c r="BO679" t="s">
        <v>754</v>
      </c>
      <c r="BP679" t="s">
        <v>229</v>
      </c>
      <c r="BQ679" t="s">
        <v>230</v>
      </c>
      <c r="BR679" t="s">
        <v>141</v>
      </c>
      <c r="BS679" s="5">
        <v>94086</v>
      </c>
      <c r="BT679" s="2">
        <v>110926</v>
      </c>
      <c r="BU679" s="2">
        <v>165400</v>
      </c>
      <c r="BV679" t="s">
        <v>105</v>
      </c>
      <c r="BW679" s="2">
        <v>110926</v>
      </c>
      <c r="BX679" t="s">
        <v>105</v>
      </c>
      <c r="BZ679" t="s">
        <v>167</v>
      </c>
      <c r="CA679" t="str">
        <f t="shared" si="42"/>
        <v>7/1/2020 - 6/30/2021</v>
      </c>
      <c r="CF679">
        <v>2</v>
      </c>
      <c r="CG679" t="s">
        <v>98</v>
      </c>
      <c r="CH679" t="s">
        <v>206</v>
      </c>
      <c r="CI679" t="s">
        <v>206</v>
      </c>
      <c r="CL679" t="s">
        <v>108</v>
      </c>
      <c r="CM679" t="s">
        <v>109</v>
      </c>
      <c r="CN679" t="str">
        <f>""</f>
        <v/>
      </c>
      <c r="CO679" t="str">
        <f>""</f>
        <v/>
      </c>
      <c r="CP679" t="str">
        <f>""</f>
        <v/>
      </c>
      <c r="CQ679" t="str">
        <f>""</f>
        <v/>
      </c>
    </row>
    <row r="680" spans="1:96" x14ac:dyDescent="0.2">
      <c r="A680" t="s">
        <v>8002</v>
      </c>
      <c r="B680" t="s">
        <v>96</v>
      </c>
      <c r="C680" s="1">
        <v>44098</v>
      </c>
      <c r="D680" s="1">
        <v>44105</v>
      </c>
      <c r="F680" t="s">
        <v>97</v>
      </c>
      <c r="G680" t="str">
        <f>"IT Project Manager"</f>
        <v>IT Project Manager</v>
      </c>
      <c r="H680" t="s">
        <v>12168</v>
      </c>
      <c r="I680" t="s">
        <v>367</v>
      </c>
      <c r="J680" t="s">
        <v>98</v>
      </c>
      <c r="K680" s="1">
        <v>44105</v>
      </c>
      <c r="L680" s="1">
        <v>45199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8003</v>
      </c>
      <c r="U680" t="str">
        <f>""</f>
        <v/>
      </c>
      <c r="V680" t="s">
        <v>8004</v>
      </c>
      <c r="W680" t="str">
        <f>"Suite 3"</f>
        <v>Suite 3</v>
      </c>
      <c r="X680" t="s">
        <v>8005</v>
      </c>
      <c r="Y680" t="s">
        <v>171</v>
      </c>
      <c r="Z680" s="3">
        <v>2760</v>
      </c>
      <c r="AA680" t="s">
        <v>101</v>
      </c>
      <c r="AC680" s="4" t="str">
        <f>"+17188839485"</f>
        <v>+17188839485</v>
      </c>
      <c r="AE680" t="str">
        <f>"541511"</f>
        <v>541511</v>
      </c>
      <c r="AF680" t="s">
        <v>8006</v>
      </c>
      <c r="AG680" t="s">
        <v>8007</v>
      </c>
      <c r="AI680" t="s">
        <v>4107</v>
      </c>
      <c r="AJ680" t="s">
        <v>8004</v>
      </c>
      <c r="AK680" t="str">
        <f>"Suite 3"</f>
        <v>Suite 3</v>
      </c>
      <c r="AL680" t="s">
        <v>8005</v>
      </c>
      <c r="AM680" t="s">
        <v>171</v>
      </c>
      <c r="AN680" s="3">
        <v>2760</v>
      </c>
      <c r="AO680" t="s">
        <v>101</v>
      </c>
      <c r="AQ680" t="str">
        <f>"+17188839485"</f>
        <v>+17188839485</v>
      </c>
      <c r="AS680" t="s">
        <v>8008</v>
      </c>
      <c r="AT680" t="s">
        <v>107</v>
      </c>
      <c r="AU680" t="str">
        <f>"Wiegel"</f>
        <v>Wiegel</v>
      </c>
      <c r="AV680" t="str">
        <f>"Sylvia"</f>
        <v>Sylvia</v>
      </c>
      <c r="AW680" t="str">
        <f>"Ristic"</f>
        <v>Ristic</v>
      </c>
      <c r="AX680" t="str">
        <f>"5250 Corporate Dr."</f>
        <v>5250 Corporate Dr.</v>
      </c>
      <c r="AY680" t="str">
        <f>"Suite 300"</f>
        <v>Suite 300</v>
      </c>
      <c r="AZ680" t="str">
        <f>"Troy"</f>
        <v>Troy</v>
      </c>
      <c r="BA680" t="str">
        <f>"MI"</f>
        <v>MI</v>
      </c>
      <c r="BB680" s="3">
        <v>48098</v>
      </c>
      <c r="BC680" t="str">
        <f t="shared" si="44"/>
        <v>UNITED STATES OF AMERICA</v>
      </c>
      <c r="BD680" t="str">
        <f>""</f>
        <v/>
      </c>
      <c r="BE680" t="str">
        <f>"+12486434900"</f>
        <v>+12486434900</v>
      </c>
      <c r="BF680" t="str">
        <f>""</f>
        <v/>
      </c>
      <c r="BG680" t="str">
        <f>"sylviaw@employmentimmigration.com"</f>
        <v>sylviaw@employmentimmigration.com</v>
      </c>
      <c r="BH680" t="str">
        <f>"Fakhoury Global Immigration, USA PC"</f>
        <v>Fakhoury Global Immigration, USA PC</v>
      </c>
      <c r="BI680" t="str">
        <f>"MI"</f>
        <v>MI</v>
      </c>
      <c r="BJ680" t="str">
        <f>"Supreme Court"</f>
        <v>Supreme Court</v>
      </c>
      <c r="BK680">
        <v>1</v>
      </c>
      <c r="BL680" t="s">
        <v>102</v>
      </c>
      <c r="BM680" t="str">
        <f>""</f>
        <v/>
      </c>
      <c r="BN680" t="s">
        <v>8009</v>
      </c>
      <c r="BO680" t="s">
        <v>8010</v>
      </c>
      <c r="BP680" t="s">
        <v>8005</v>
      </c>
      <c r="BQ680" t="s">
        <v>8011</v>
      </c>
      <c r="BR680" t="s">
        <v>171</v>
      </c>
      <c r="BS680" s="5">
        <v>2760</v>
      </c>
      <c r="BT680" s="2">
        <v>71000</v>
      </c>
      <c r="BV680" t="s">
        <v>105</v>
      </c>
      <c r="BW680" s="2">
        <v>64938</v>
      </c>
      <c r="BX680" t="s">
        <v>105</v>
      </c>
      <c r="BZ680" t="s">
        <v>167</v>
      </c>
      <c r="CA680" t="str">
        <f t="shared" si="42"/>
        <v>7/1/2020 - 6/30/2021</v>
      </c>
      <c r="CF680">
        <v>2</v>
      </c>
      <c r="CG680" t="s">
        <v>98</v>
      </c>
      <c r="CH680" t="s">
        <v>206</v>
      </c>
      <c r="CI680" t="s">
        <v>206</v>
      </c>
      <c r="CL680" t="s">
        <v>108</v>
      </c>
      <c r="CM680" t="s">
        <v>109</v>
      </c>
      <c r="CN680" t="str">
        <f>"Wiegel"</f>
        <v>Wiegel</v>
      </c>
      <c r="CO680" t="str">
        <f>"Sylvia"</f>
        <v>Sylvia</v>
      </c>
      <c r="CP680" t="str">
        <f>"R"</f>
        <v>R</v>
      </c>
      <c r="CQ680" t="str">
        <f>"Fakhoury Global Immigration, USA PC"</f>
        <v>Fakhoury Global Immigration, USA PC</v>
      </c>
      <c r="CR680" t="s">
        <v>8012</v>
      </c>
    </row>
    <row r="681" spans="1:96" x14ac:dyDescent="0.2">
      <c r="A681" t="s">
        <v>8029</v>
      </c>
      <c r="B681" t="s">
        <v>96</v>
      </c>
      <c r="C681" s="1">
        <v>44098</v>
      </c>
      <c r="D681" s="1">
        <v>44105</v>
      </c>
      <c r="F681" t="s">
        <v>97</v>
      </c>
      <c r="G681" t="str">
        <f>"IT Data Engineer"</f>
        <v>IT Data Engineer</v>
      </c>
      <c r="H681" t="s">
        <v>12169</v>
      </c>
      <c r="I681" t="s">
        <v>124</v>
      </c>
      <c r="J681" t="s">
        <v>98</v>
      </c>
      <c r="K681" s="1">
        <v>44109</v>
      </c>
      <c r="L681" s="1">
        <v>45203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 t="s">
        <v>8030</v>
      </c>
      <c r="U681" t="str">
        <f>""</f>
        <v/>
      </c>
      <c r="V681" t="s">
        <v>8031</v>
      </c>
      <c r="W681" t="str">
        <f>""</f>
        <v/>
      </c>
      <c r="X681" t="s">
        <v>2186</v>
      </c>
      <c r="Y681" t="s">
        <v>122</v>
      </c>
      <c r="Z681" s="3">
        <v>27409</v>
      </c>
      <c r="AA681" t="s">
        <v>101</v>
      </c>
      <c r="AC681" s="4" t="str">
        <f>"+13366326000"</f>
        <v>+13366326000</v>
      </c>
      <c r="AE681" t="str">
        <f>"541714"</f>
        <v>541714</v>
      </c>
      <c r="AF681" t="s">
        <v>489</v>
      </c>
      <c r="AG681" t="s">
        <v>4072</v>
      </c>
      <c r="AH681" t="s">
        <v>108</v>
      </c>
      <c r="AI681" t="s">
        <v>8032</v>
      </c>
      <c r="AJ681" t="s">
        <v>8031</v>
      </c>
      <c r="AK681" t="str">
        <f>""</f>
        <v/>
      </c>
      <c r="AL681" t="s">
        <v>2186</v>
      </c>
      <c r="AM681" t="s">
        <v>122</v>
      </c>
      <c r="AN681" s="3" t="s">
        <v>12302</v>
      </c>
      <c r="AO681" t="s">
        <v>101</v>
      </c>
      <c r="AQ681" t="str">
        <f>"+13366326247"</f>
        <v>+13366326247</v>
      </c>
      <c r="AS681" t="s">
        <v>8033</v>
      </c>
      <c r="AT681" t="s">
        <v>107</v>
      </c>
      <c r="AU681" t="str">
        <f>"Kumpula"</f>
        <v>Kumpula</v>
      </c>
      <c r="AV681" t="str">
        <f>"Elaine"</f>
        <v>Elaine</v>
      </c>
      <c r="AW681" t="str">
        <f>"M"</f>
        <v>M</v>
      </c>
      <c r="AX681" t="str">
        <f>"90 S 7th Street"</f>
        <v>90 S 7th Street</v>
      </c>
      <c r="AY681" t="str">
        <f>"STE 2200"</f>
        <v>STE 2200</v>
      </c>
      <c r="AZ681" t="str">
        <f>"Minneapolis"</f>
        <v>Minneapolis</v>
      </c>
      <c r="BA681" t="str">
        <f>"MN"</f>
        <v>MN</v>
      </c>
      <c r="BB681" s="3">
        <v>55402</v>
      </c>
      <c r="BC681" t="str">
        <f t="shared" si="44"/>
        <v>UNITED STATES OF AMERICA</v>
      </c>
      <c r="BD681" t="str">
        <f>""</f>
        <v/>
      </c>
      <c r="BE681" t="str">
        <f>"+16127668967"</f>
        <v>+16127668967</v>
      </c>
      <c r="BF681" t="str">
        <f>""</f>
        <v/>
      </c>
      <c r="BG681" t="str">
        <f>"elaine.kumpula@faegredrinker.com"</f>
        <v>elaine.kumpula@faegredrinker.com</v>
      </c>
      <c r="BH681" t="str">
        <f>"Faegre Drinker Biddle &amp; Reath LLP"</f>
        <v>Faegre Drinker Biddle &amp; Reath LLP</v>
      </c>
      <c r="BI681" t="str">
        <f>"MN"</f>
        <v>MN</v>
      </c>
      <c r="BJ681" t="str">
        <f>"Minnesota Supreme Court"</f>
        <v>Minnesota Supreme Court</v>
      </c>
      <c r="BK681">
        <v>1</v>
      </c>
      <c r="BL681" t="s">
        <v>102</v>
      </c>
      <c r="BM681" t="str">
        <f>""</f>
        <v/>
      </c>
      <c r="BN681" t="s">
        <v>8031</v>
      </c>
      <c r="BP681" t="s">
        <v>2186</v>
      </c>
      <c r="BQ681" t="s">
        <v>462</v>
      </c>
      <c r="BR681" t="s">
        <v>122</v>
      </c>
      <c r="BS681" s="5">
        <v>27409</v>
      </c>
      <c r="BT681" s="2">
        <v>115586</v>
      </c>
      <c r="BU681" s="2">
        <v>135000</v>
      </c>
      <c r="BV681" t="s">
        <v>105</v>
      </c>
      <c r="BW681" s="2">
        <v>115586</v>
      </c>
      <c r="BX681" t="s">
        <v>105</v>
      </c>
      <c r="BZ681" t="s">
        <v>159</v>
      </c>
      <c r="CA681" t="str">
        <f t="shared" si="42"/>
        <v>7/1/2020 - 6/30/2021</v>
      </c>
      <c r="CF681">
        <v>2</v>
      </c>
      <c r="CG681" t="s">
        <v>98</v>
      </c>
      <c r="CH681" t="s">
        <v>206</v>
      </c>
      <c r="CI681" t="s">
        <v>206</v>
      </c>
      <c r="CL681" t="s">
        <v>108</v>
      </c>
      <c r="CM681" t="s">
        <v>109</v>
      </c>
      <c r="CN681" t="str">
        <f>""</f>
        <v/>
      </c>
      <c r="CO681" t="str">
        <f>""</f>
        <v/>
      </c>
      <c r="CP681" t="str">
        <f>""</f>
        <v/>
      </c>
      <c r="CQ681" t="str">
        <f>""</f>
        <v/>
      </c>
    </row>
    <row r="682" spans="1:96" x14ac:dyDescent="0.2">
      <c r="A682" t="s">
        <v>8042</v>
      </c>
      <c r="B682" t="s">
        <v>96</v>
      </c>
      <c r="C682" s="1">
        <v>44098</v>
      </c>
      <c r="D682" s="1">
        <v>44105</v>
      </c>
      <c r="F682" t="s">
        <v>97</v>
      </c>
      <c r="G682" t="str">
        <f>"Technical Support Engineer "</f>
        <v xml:space="preserve">Technical Support Engineer </v>
      </c>
      <c r="H682" t="s">
        <v>12168</v>
      </c>
      <c r="I682" t="s">
        <v>722</v>
      </c>
      <c r="J682" t="s">
        <v>98</v>
      </c>
      <c r="K682" s="1">
        <v>44105</v>
      </c>
      <c r="L682" s="1">
        <v>44806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8043</v>
      </c>
      <c r="U682" t="str">
        <f>""</f>
        <v/>
      </c>
      <c r="V682" t="s">
        <v>8044</v>
      </c>
      <c r="W682" t="str">
        <f>"3rd Floor"</f>
        <v>3rd Floor</v>
      </c>
      <c r="X682" t="s">
        <v>911</v>
      </c>
      <c r="Y682" t="s">
        <v>166</v>
      </c>
      <c r="Z682" s="3">
        <v>80202</v>
      </c>
      <c r="AA682" t="s">
        <v>101</v>
      </c>
      <c r="AC682" s="4" t="str">
        <f>"+17039996282"</f>
        <v>+17039996282</v>
      </c>
      <c r="AE682" t="str">
        <f>"541512"</f>
        <v>541512</v>
      </c>
      <c r="AF682" t="s">
        <v>8045</v>
      </c>
      <c r="AG682" t="s">
        <v>1013</v>
      </c>
      <c r="AI682" t="s">
        <v>596</v>
      </c>
      <c r="AJ682" t="s">
        <v>8044</v>
      </c>
      <c r="AK682" t="str">
        <f>"3rd Floor "</f>
        <v xml:space="preserve">3rd Floor </v>
      </c>
      <c r="AL682" t="s">
        <v>911</v>
      </c>
      <c r="AM682" t="s">
        <v>166</v>
      </c>
      <c r="AN682" s="3">
        <v>80202</v>
      </c>
      <c r="AO682" t="s">
        <v>101</v>
      </c>
      <c r="AQ682" t="str">
        <f>"+17039996282"</f>
        <v>+17039996282</v>
      </c>
      <c r="AS682" t="s">
        <v>8046</v>
      </c>
      <c r="AT682" t="s">
        <v>107</v>
      </c>
      <c r="AU682" t="str">
        <f>"Leibl"</f>
        <v>Leibl</v>
      </c>
      <c r="AV682" t="str">
        <f>"Geoffrey"</f>
        <v>Geoffrey</v>
      </c>
      <c r="AW682" t="str">
        <f>"D"</f>
        <v>D</v>
      </c>
      <c r="AX682" t="str">
        <f>"12250 El Camino Real"</f>
        <v>12250 El Camino Real</v>
      </c>
      <c r="AY682" t="str">
        <f>"Suite 350"</f>
        <v>Suite 350</v>
      </c>
      <c r="AZ682" t="str">
        <f>"San Diego"</f>
        <v>San Diego</v>
      </c>
      <c r="BA682" t="str">
        <f>"CA"</f>
        <v>CA</v>
      </c>
      <c r="BB682" s="3">
        <v>92130</v>
      </c>
      <c r="BC682" t="str">
        <f t="shared" si="44"/>
        <v>UNITED STATES OF AMERICA</v>
      </c>
      <c r="BD682" t="str">
        <f>""</f>
        <v/>
      </c>
      <c r="BE682" t="str">
        <f>"+18584815211"</f>
        <v>+18584815211</v>
      </c>
      <c r="BF682" t="str">
        <f>""</f>
        <v/>
      </c>
      <c r="BG682" t="str">
        <f>"cheryl@usimmigrationlaw.net"</f>
        <v>cheryl@usimmigrationlaw.net</v>
      </c>
      <c r="BH682" t="str">
        <f>"Leibl &amp; Kirkwood PC "</f>
        <v xml:space="preserve">Leibl &amp; Kirkwood PC </v>
      </c>
      <c r="BI682" t="str">
        <f>"CA"</f>
        <v>CA</v>
      </c>
      <c r="BJ682" t="str">
        <f>"Supreme Court "</f>
        <v xml:space="preserve">Supreme Court </v>
      </c>
      <c r="BK682">
        <v>1</v>
      </c>
      <c r="BL682" t="s">
        <v>102</v>
      </c>
      <c r="BM682" t="str">
        <f>""</f>
        <v/>
      </c>
      <c r="BN682" t="s">
        <v>8047</v>
      </c>
      <c r="BO682">
        <v>557</v>
      </c>
      <c r="BP682" t="s">
        <v>7060</v>
      </c>
      <c r="BQ682" t="s">
        <v>230</v>
      </c>
      <c r="BR682" t="s">
        <v>141</v>
      </c>
      <c r="BS682" s="5">
        <v>95035</v>
      </c>
      <c r="BT682" s="2">
        <v>76000</v>
      </c>
      <c r="BV682" t="s">
        <v>105</v>
      </c>
      <c r="BW682" s="2">
        <v>70354</v>
      </c>
      <c r="BX682" t="s">
        <v>105</v>
      </c>
      <c r="CA682" t="str">
        <f>""</f>
        <v/>
      </c>
      <c r="CB682" t="s">
        <v>244</v>
      </c>
      <c r="CC682">
        <v>2020</v>
      </c>
      <c r="CD682" t="s">
        <v>2537</v>
      </c>
      <c r="CE682" t="s">
        <v>5283</v>
      </c>
      <c r="CF682">
        <v>1</v>
      </c>
      <c r="CG682" t="s">
        <v>98</v>
      </c>
      <c r="CH682" t="s">
        <v>206</v>
      </c>
      <c r="CI682" t="s">
        <v>206</v>
      </c>
      <c r="CL682" t="s">
        <v>108</v>
      </c>
      <c r="CM682" t="s">
        <v>109</v>
      </c>
      <c r="CN682" t="str">
        <f>"Lagar"</f>
        <v>Lagar</v>
      </c>
      <c r="CO682" t="str">
        <f>"Cheryl"</f>
        <v>Cheryl</v>
      </c>
      <c r="CP682" t="str">
        <f>""</f>
        <v/>
      </c>
      <c r="CQ682" t="str">
        <f>"Leibl &amp; Kirkwood PC "</f>
        <v xml:space="preserve">Leibl &amp; Kirkwood PC </v>
      </c>
      <c r="CR682" t="s">
        <v>8048</v>
      </c>
    </row>
    <row r="683" spans="1:96" x14ac:dyDescent="0.2">
      <c r="A683" t="s">
        <v>8057</v>
      </c>
      <c r="B683" t="s">
        <v>96</v>
      </c>
      <c r="C683" s="1">
        <v>44098</v>
      </c>
      <c r="D683" s="1">
        <v>44105</v>
      </c>
      <c r="F683" t="s">
        <v>97</v>
      </c>
      <c r="G683" t="str">
        <f>"Lead Application Architect"</f>
        <v>Lead Application Architect</v>
      </c>
      <c r="H683" t="s">
        <v>12168</v>
      </c>
      <c r="I683" t="s">
        <v>160</v>
      </c>
      <c r="J683" t="s">
        <v>98</v>
      </c>
      <c r="K683" s="1">
        <v>44136</v>
      </c>
      <c r="L683" s="1">
        <v>45230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1797</v>
      </c>
      <c r="U683" t="str">
        <f>""</f>
        <v/>
      </c>
      <c r="V683" t="s">
        <v>1798</v>
      </c>
      <c r="W683" t="str">
        <f>"10th Floor"</f>
        <v>10th Floor</v>
      </c>
      <c r="X683" t="s">
        <v>207</v>
      </c>
      <c r="Y683" t="s">
        <v>171</v>
      </c>
      <c r="Z683" s="3">
        <v>2210</v>
      </c>
      <c r="AA683" t="s">
        <v>101</v>
      </c>
      <c r="AC683" s="4" t="str">
        <f>"+18572015798"</f>
        <v>+18572015798</v>
      </c>
      <c r="AE683" t="str">
        <f>"541511"</f>
        <v>541511</v>
      </c>
      <c r="AF683" t="s">
        <v>1799</v>
      </c>
      <c r="AG683" t="s">
        <v>1800</v>
      </c>
      <c r="AH683" t="s">
        <v>1435</v>
      </c>
      <c r="AI683" t="s">
        <v>1801</v>
      </c>
      <c r="AJ683" t="s">
        <v>1798</v>
      </c>
      <c r="AK683" t="str">
        <f>"10th Floor"</f>
        <v>10th Floor</v>
      </c>
      <c r="AL683" t="s">
        <v>207</v>
      </c>
      <c r="AM683" t="s">
        <v>171</v>
      </c>
      <c r="AN683" s="3">
        <v>2210</v>
      </c>
      <c r="AO683" t="s">
        <v>101</v>
      </c>
      <c r="AQ683" t="str">
        <f>"+18572015798"</f>
        <v>+18572015798</v>
      </c>
      <c r="AS683" t="s">
        <v>1802</v>
      </c>
      <c r="AT683" t="s">
        <v>107</v>
      </c>
      <c r="AU683" t="str">
        <f>"Dallman"</f>
        <v>Dallman</v>
      </c>
      <c r="AV683" t="str">
        <f>"Christian"</f>
        <v>Christian</v>
      </c>
      <c r="AW683" t="str">
        <f>"M"</f>
        <v>M</v>
      </c>
      <c r="AX683" t="str">
        <f>"755 W Big Beaver Road"</f>
        <v>755 W Big Beaver Road</v>
      </c>
      <c r="AY683" t="str">
        <f>"Suite 750"</f>
        <v>Suite 750</v>
      </c>
      <c r="AZ683" t="str">
        <f>"Troy"</f>
        <v>Troy</v>
      </c>
      <c r="BA683" t="str">
        <f>"MI"</f>
        <v>MI</v>
      </c>
      <c r="BB683" s="3">
        <v>48084</v>
      </c>
      <c r="BC683" t="str">
        <f t="shared" si="44"/>
        <v>UNITED STATES OF AMERICA</v>
      </c>
      <c r="BD683" t="str">
        <f>""</f>
        <v/>
      </c>
      <c r="BE683" t="str">
        <f>"+12484954046"</f>
        <v>+12484954046</v>
      </c>
      <c r="BF683" t="str">
        <f>""</f>
        <v/>
      </c>
      <c r="BG683" t="str">
        <f>"tanderson@fragomen.com"</f>
        <v>tanderson@fragomen.com</v>
      </c>
      <c r="BH683" t="str">
        <f>"Fragomen, Del Rey, Bernsen &amp; Loewy LLP"</f>
        <v>Fragomen, Del Rey, Bernsen &amp; Loewy LLP</v>
      </c>
      <c r="BI683" t="str">
        <f>"MI"</f>
        <v>MI</v>
      </c>
      <c r="BJ683" t="str">
        <f>"Supreme Court of Michigan"</f>
        <v>Supreme Court of Michigan</v>
      </c>
      <c r="BK683">
        <v>1</v>
      </c>
      <c r="BL683" t="s">
        <v>102</v>
      </c>
      <c r="BM683" t="str">
        <f>""</f>
        <v/>
      </c>
      <c r="BN683" t="s">
        <v>1803</v>
      </c>
      <c r="BO683" t="s">
        <v>132</v>
      </c>
      <c r="BP683" t="s">
        <v>199</v>
      </c>
      <c r="BQ683" t="s">
        <v>715</v>
      </c>
      <c r="BR683" t="s">
        <v>594</v>
      </c>
      <c r="BS683" s="5">
        <v>29201</v>
      </c>
      <c r="BT683" s="2">
        <v>143950</v>
      </c>
      <c r="BV683" t="s">
        <v>105</v>
      </c>
      <c r="BW683" s="2">
        <v>107952</v>
      </c>
      <c r="BX683" t="s">
        <v>105</v>
      </c>
      <c r="BZ683" t="s">
        <v>159</v>
      </c>
      <c r="CA683" t="str">
        <f t="shared" ref="CA683:CA691" si="45">"7/1/2020 - 6/30/2021"</f>
        <v>7/1/2020 - 6/30/2021</v>
      </c>
      <c r="CF683">
        <v>2</v>
      </c>
      <c r="CG683" t="s">
        <v>98</v>
      </c>
      <c r="CH683" t="s">
        <v>206</v>
      </c>
      <c r="CI683" t="s">
        <v>206</v>
      </c>
      <c r="CL683" t="s">
        <v>108</v>
      </c>
      <c r="CM683" t="s">
        <v>109</v>
      </c>
      <c r="CN683" t="str">
        <f>""</f>
        <v/>
      </c>
      <c r="CO683" t="str">
        <f>""</f>
        <v/>
      </c>
      <c r="CP683" t="str">
        <f>""</f>
        <v/>
      </c>
      <c r="CQ683" t="str">
        <f>""</f>
        <v/>
      </c>
    </row>
    <row r="684" spans="1:96" x14ac:dyDescent="0.2">
      <c r="A684" t="s">
        <v>8058</v>
      </c>
      <c r="B684" t="s">
        <v>96</v>
      </c>
      <c r="C684" s="1">
        <v>44098</v>
      </c>
      <c r="D684" s="1">
        <v>44105</v>
      </c>
      <c r="F684" t="s">
        <v>97</v>
      </c>
      <c r="G684" t="str">
        <f>"SENIOR SOFTWARE ENGINEER"</f>
        <v>SENIOR SOFTWARE ENGINEER</v>
      </c>
      <c r="H684" t="s">
        <v>12169</v>
      </c>
      <c r="I684" t="s">
        <v>124</v>
      </c>
      <c r="J684" t="s">
        <v>98</v>
      </c>
      <c r="K684" s="1">
        <v>44105</v>
      </c>
      <c r="L684" s="1">
        <v>45199</v>
      </c>
      <c r="M684">
        <v>20</v>
      </c>
      <c r="N684">
        <v>4</v>
      </c>
      <c r="O684">
        <v>4</v>
      </c>
      <c r="P684">
        <v>4</v>
      </c>
      <c r="Q684">
        <v>0</v>
      </c>
      <c r="R684">
        <v>4</v>
      </c>
      <c r="S684">
        <v>4</v>
      </c>
      <c r="T684" t="s">
        <v>1949</v>
      </c>
      <c r="U684" t="str">
        <f>""</f>
        <v/>
      </c>
      <c r="V684" t="s">
        <v>1950</v>
      </c>
      <c r="W684" t="str">
        <f>""</f>
        <v/>
      </c>
      <c r="X684" t="s">
        <v>1133</v>
      </c>
      <c r="Y684" t="s">
        <v>141</v>
      </c>
      <c r="Z684" s="3">
        <v>94063</v>
      </c>
      <c r="AA684" t="s">
        <v>101</v>
      </c>
      <c r="AC684" s="4" t="str">
        <f>"+16503855000"</f>
        <v>+16503855000</v>
      </c>
      <c r="AE684" t="str">
        <f>"54151"</f>
        <v>54151</v>
      </c>
      <c r="AF684" t="s">
        <v>1951</v>
      </c>
      <c r="AG684" t="s">
        <v>1654</v>
      </c>
      <c r="AI684" t="s">
        <v>1952</v>
      </c>
      <c r="AJ684" t="s">
        <v>1953</v>
      </c>
      <c r="AK684" t="str">
        <f>""</f>
        <v/>
      </c>
      <c r="AL684" t="s">
        <v>1133</v>
      </c>
      <c r="AM684" t="s">
        <v>141</v>
      </c>
      <c r="AN684" s="3">
        <v>94063</v>
      </c>
      <c r="AO684" t="s">
        <v>101</v>
      </c>
      <c r="AQ684" t="str">
        <f>"+16503855215"</f>
        <v>+16503855215</v>
      </c>
      <c r="AS684" t="s">
        <v>1954</v>
      </c>
      <c r="AT684" t="s">
        <v>107</v>
      </c>
      <c r="AU684" t="str">
        <f>"Salaheldin"</f>
        <v>Salaheldin</v>
      </c>
      <c r="AV684" t="str">
        <f>"Waleed"</f>
        <v>Waleed</v>
      </c>
      <c r="AW684" t="str">
        <f>""</f>
        <v/>
      </c>
      <c r="AX684" t="str">
        <f>"2121 Tasman Drive"</f>
        <v>2121 Tasman Drive</v>
      </c>
      <c r="AY684" t="str">
        <f>""</f>
        <v/>
      </c>
      <c r="AZ684" t="str">
        <f>"Santa Clara"</f>
        <v>Santa Clara</v>
      </c>
      <c r="BA684" t="str">
        <f>"CA"</f>
        <v>CA</v>
      </c>
      <c r="BB684" s="3">
        <v>95054</v>
      </c>
      <c r="BC684" t="str">
        <f t="shared" si="44"/>
        <v>UNITED STATES OF AMERICA</v>
      </c>
      <c r="BD684" t="str">
        <f>""</f>
        <v/>
      </c>
      <c r="BE684" t="str">
        <f>"+14089190600"</f>
        <v>+14089190600</v>
      </c>
      <c r="BF684" t="str">
        <f>""</f>
        <v/>
      </c>
      <c r="BG684" t="str">
        <f>"informatica@fragomen.com"</f>
        <v>informatica@fragomen.com</v>
      </c>
      <c r="BH684" t="str">
        <f>"Fragomen, Del Rey, Bernsen &amp; Loewy LLP"</f>
        <v>Fragomen, Del Rey, Bernsen &amp; Loewy LLP</v>
      </c>
      <c r="BI684" t="str">
        <f>"CA"</f>
        <v>CA</v>
      </c>
      <c r="BJ684" t="str">
        <f>"Supreme Court"</f>
        <v>Supreme Court</v>
      </c>
      <c r="BK684">
        <v>20</v>
      </c>
      <c r="BL684" t="s">
        <v>102</v>
      </c>
      <c r="BM684" t="str">
        <f>""</f>
        <v/>
      </c>
      <c r="BN684" t="s">
        <v>8059</v>
      </c>
      <c r="BO684" t="s">
        <v>5126</v>
      </c>
      <c r="BP684" t="s">
        <v>8052</v>
      </c>
      <c r="BQ684" t="s">
        <v>1382</v>
      </c>
      <c r="BR684" t="s">
        <v>345</v>
      </c>
      <c r="BS684" s="5">
        <v>60563</v>
      </c>
      <c r="BT684" s="2">
        <v>104624</v>
      </c>
      <c r="BU684" s="2">
        <v>132000</v>
      </c>
      <c r="BV684" t="s">
        <v>105</v>
      </c>
      <c r="BW684" s="2">
        <v>104624</v>
      </c>
      <c r="BX684" t="s">
        <v>105</v>
      </c>
      <c r="BZ684" t="s">
        <v>123</v>
      </c>
      <c r="CA684" t="str">
        <f t="shared" si="45"/>
        <v>7/1/2020 - 6/30/2021</v>
      </c>
      <c r="CF684">
        <v>1</v>
      </c>
      <c r="CG684" t="s">
        <v>98</v>
      </c>
      <c r="CH684" t="s">
        <v>206</v>
      </c>
      <c r="CI684" t="s">
        <v>206</v>
      </c>
      <c r="CL684" t="s">
        <v>108</v>
      </c>
      <c r="CM684" t="s">
        <v>109</v>
      </c>
      <c r="CN684" t="str">
        <f>""</f>
        <v/>
      </c>
      <c r="CO684" t="str">
        <f>""</f>
        <v/>
      </c>
      <c r="CP684" t="str">
        <f>""</f>
        <v/>
      </c>
      <c r="CQ684" t="str">
        <f>""</f>
        <v/>
      </c>
    </row>
    <row r="685" spans="1:96" x14ac:dyDescent="0.2">
      <c r="A685" t="s">
        <v>8060</v>
      </c>
      <c r="B685" t="s">
        <v>96</v>
      </c>
      <c r="C685" s="1">
        <v>44098</v>
      </c>
      <c r="D685" s="1">
        <v>44105</v>
      </c>
      <c r="F685" t="s">
        <v>97</v>
      </c>
      <c r="G685" t="str">
        <f>"Software Engineer 1615.42365"</f>
        <v>Software Engineer 1615.42365</v>
      </c>
      <c r="H685" t="s">
        <v>12169</v>
      </c>
      <c r="I685" t="s">
        <v>124</v>
      </c>
      <c r="J685" t="s">
        <v>98</v>
      </c>
      <c r="K685" s="1">
        <v>44104</v>
      </c>
      <c r="L685" s="1">
        <v>45198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289</v>
      </c>
      <c r="U685" t="str">
        <f>""</f>
        <v/>
      </c>
      <c r="V685" t="s">
        <v>290</v>
      </c>
      <c r="W685" t="str">
        <f>"N/A"</f>
        <v>N/A</v>
      </c>
      <c r="X685" t="s">
        <v>155</v>
      </c>
      <c r="Y685" t="s">
        <v>141</v>
      </c>
      <c r="Z685" s="3">
        <v>94043</v>
      </c>
      <c r="AA685" t="s">
        <v>101</v>
      </c>
      <c r="AC685" s="4" t="str">
        <f>"+16502534513"</f>
        <v>+16502534513</v>
      </c>
      <c r="AE685" t="str">
        <f>"541512"</f>
        <v>541512</v>
      </c>
      <c r="AF685" t="s">
        <v>291</v>
      </c>
      <c r="AG685" t="s">
        <v>292</v>
      </c>
      <c r="AH685" t="s">
        <v>108</v>
      </c>
      <c r="AI685" t="s">
        <v>293</v>
      </c>
      <c r="AJ685" t="s">
        <v>290</v>
      </c>
      <c r="AK685" t="str">
        <f>"N/A"</f>
        <v>N/A</v>
      </c>
      <c r="AL685" t="s">
        <v>155</v>
      </c>
      <c r="AM685" t="s">
        <v>141</v>
      </c>
      <c r="AN685" s="3">
        <v>94043</v>
      </c>
      <c r="AO685" t="s">
        <v>101</v>
      </c>
      <c r="AQ685" t="str">
        <f>"+16502534513"</f>
        <v>+16502534513</v>
      </c>
      <c r="AS685" t="s">
        <v>294</v>
      </c>
      <c r="AT685" t="s">
        <v>107</v>
      </c>
      <c r="AU685" t="str">
        <f>"Hussain"</f>
        <v>Hussain</v>
      </c>
      <c r="AV685" t="str">
        <f>"Saima"</f>
        <v>Saima</v>
      </c>
      <c r="AW685" t="str">
        <f>"N/A"</f>
        <v>N/A</v>
      </c>
      <c r="AX685" t="str">
        <f>"2400 N Glenville Dr, Building A"</f>
        <v>2400 N Glenville Dr, Building A</v>
      </c>
      <c r="AY685" t="str">
        <f>"Suite 100"</f>
        <v>Suite 100</v>
      </c>
      <c r="AZ685" t="str">
        <f>"Richardson "</f>
        <v xml:space="preserve">Richardson </v>
      </c>
      <c r="BA685" t="str">
        <f>"TX"</f>
        <v>TX</v>
      </c>
      <c r="BB685" s="3">
        <v>75082</v>
      </c>
      <c r="BC685" t="str">
        <f t="shared" si="44"/>
        <v>UNITED STATES OF AMERICA</v>
      </c>
      <c r="BD685" t="str">
        <f>""</f>
        <v/>
      </c>
      <c r="BE685" t="str">
        <f>"+19727296272"</f>
        <v>+19727296272</v>
      </c>
      <c r="BF685" t="str">
        <f>""</f>
        <v/>
      </c>
      <c r="BG685" t="str">
        <f>"googledol@balglobal.com"</f>
        <v>googledol@balglobal.com</v>
      </c>
      <c r="BH685" t="str">
        <f>"Berry Appleman &amp; Leiden LLP"</f>
        <v>Berry Appleman &amp; Leiden LLP</v>
      </c>
      <c r="BI685" t="str">
        <f>"TX"</f>
        <v>TX</v>
      </c>
      <c r="BJ685" t="str">
        <f>"Supreme Court of Texas"</f>
        <v>Supreme Court of Texas</v>
      </c>
      <c r="BK685">
        <v>1</v>
      </c>
      <c r="BL685" t="s">
        <v>102</v>
      </c>
      <c r="BM685" t="str">
        <f>""</f>
        <v/>
      </c>
      <c r="BN685" t="s">
        <v>6506</v>
      </c>
      <c r="BP685" t="s">
        <v>5487</v>
      </c>
      <c r="BQ685" t="s">
        <v>183</v>
      </c>
      <c r="BR685" t="s">
        <v>176</v>
      </c>
      <c r="BS685" s="5">
        <v>98033</v>
      </c>
      <c r="BT685" s="2">
        <v>118000</v>
      </c>
      <c r="BV685" t="s">
        <v>105</v>
      </c>
      <c r="BW685" s="2">
        <v>92102</v>
      </c>
      <c r="BX685" t="s">
        <v>105</v>
      </c>
      <c r="BZ685" t="s">
        <v>191</v>
      </c>
      <c r="CA685" t="str">
        <f t="shared" si="45"/>
        <v>7/1/2020 - 6/30/2021</v>
      </c>
      <c r="CF685">
        <v>2</v>
      </c>
      <c r="CG685" t="s">
        <v>98</v>
      </c>
      <c r="CH685" t="s">
        <v>206</v>
      </c>
      <c r="CI685" t="s">
        <v>206</v>
      </c>
      <c r="CL685" t="s">
        <v>108</v>
      </c>
      <c r="CM685" t="s">
        <v>109</v>
      </c>
      <c r="CN685" t="str">
        <f>"Allen "</f>
        <v xml:space="preserve">Allen </v>
      </c>
      <c r="CO685" t="str">
        <f>"Deezana "</f>
        <v xml:space="preserve">Deezana </v>
      </c>
      <c r="CP685" t="str">
        <f>"S"</f>
        <v>S</v>
      </c>
      <c r="CQ685" t="str">
        <f>"Berry Appleman &amp; Leiden LLP "</f>
        <v xml:space="preserve">Berry Appleman &amp; Leiden LLP </v>
      </c>
      <c r="CR685" t="s">
        <v>296</v>
      </c>
    </row>
    <row r="686" spans="1:96" x14ac:dyDescent="0.2">
      <c r="A686" t="s">
        <v>8081</v>
      </c>
      <c r="B686" t="s">
        <v>96</v>
      </c>
      <c r="C686" s="1">
        <v>44098</v>
      </c>
      <c r="D686" s="1">
        <v>44105</v>
      </c>
      <c r="F686" t="s">
        <v>97</v>
      </c>
      <c r="G686" t="str">
        <f>"Applications Development and Support Engineer II"</f>
        <v>Applications Development and Support Engineer II</v>
      </c>
      <c r="H686" t="s">
        <v>12169</v>
      </c>
      <c r="I686" t="s">
        <v>124</v>
      </c>
      <c r="J686" t="s">
        <v>98</v>
      </c>
      <c r="K686" s="1">
        <v>44116</v>
      </c>
      <c r="L686" s="1">
        <v>45210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8082</v>
      </c>
      <c r="U686" t="str">
        <f>""</f>
        <v/>
      </c>
      <c r="V686" t="s">
        <v>6147</v>
      </c>
      <c r="W686" t="str">
        <f>""</f>
        <v/>
      </c>
      <c r="X686" t="s">
        <v>761</v>
      </c>
      <c r="Y686" t="s">
        <v>114</v>
      </c>
      <c r="Z686" s="3">
        <v>75080</v>
      </c>
      <c r="AA686" t="s">
        <v>101</v>
      </c>
      <c r="AB686" t="s">
        <v>1936</v>
      </c>
      <c r="AC686" s="4" t="str">
        <f>"+12145845895"</f>
        <v>+12145845895</v>
      </c>
      <c r="AE686" t="str">
        <f>"541512"</f>
        <v>541512</v>
      </c>
      <c r="AF686" t="s">
        <v>5622</v>
      </c>
      <c r="AG686" t="s">
        <v>692</v>
      </c>
      <c r="AH686" t="s">
        <v>1126</v>
      </c>
      <c r="AI686" t="s">
        <v>6148</v>
      </c>
      <c r="AJ686" t="s">
        <v>6147</v>
      </c>
      <c r="AK686" t="str">
        <f>""</f>
        <v/>
      </c>
      <c r="AL686" t="s">
        <v>761</v>
      </c>
      <c r="AM686" t="s">
        <v>114</v>
      </c>
      <c r="AN686" s="3">
        <v>75080</v>
      </c>
      <c r="AO686" t="s">
        <v>101</v>
      </c>
      <c r="AQ686" t="str">
        <f>"+12145845895"</f>
        <v>+12145845895</v>
      </c>
      <c r="AS686" t="s">
        <v>6149</v>
      </c>
      <c r="AT686" t="s">
        <v>102</v>
      </c>
      <c r="AU686" t="str">
        <f>""</f>
        <v/>
      </c>
      <c r="AV686" t="str">
        <f>""</f>
        <v/>
      </c>
      <c r="AW686" t="str">
        <f>""</f>
        <v/>
      </c>
      <c r="AX686" t="str">
        <f>""</f>
        <v/>
      </c>
      <c r="AY686" t="str">
        <f>""</f>
        <v/>
      </c>
      <c r="AZ686" t="str">
        <f>""</f>
        <v/>
      </c>
      <c r="BA686" t="str">
        <f>""</f>
        <v/>
      </c>
      <c r="BC686" t="str">
        <f>""</f>
        <v/>
      </c>
      <c r="BD686" t="str">
        <f>""</f>
        <v/>
      </c>
      <c r="BE686" t="str">
        <f>""</f>
        <v/>
      </c>
      <c r="BF686" t="str">
        <f>""</f>
        <v/>
      </c>
      <c r="BG686" t="str">
        <f>""</f>
        <v/>
      </c>
      <c r="BH686" t="str">
        <f>""</f>
        <v/>
      </c>
      <c r="BI686" t="str">
        <f>""</f>
        <v/>
      </c>
      <c r="BJ686" t="str">
        <f>""</f>
        <v/>
      </c>
      <c r="BK686">
        <v>1</v>
      </c>
      <c r="BL686" t="s">
        <v>102</v>
      </c>
      <c r="BM686" t="str">
        <f>""</f>
        <v/>
      </c>
      <c r="BN686" t="s">
        <v>8083</v>
      </c>
      <c r="BP686" t="s">
        <v>762</v>
      </c>
      <c r="BQ686" t="s">
        <v>230</v>
      </c>
      <c r="BR686" t="s">
        <v>141</v>
      </c>
      <c r="BS686" s="5">
        <v>95035</v>
      </c>
      <c r="BT686" s="2">
        <v>95527</v>
      </c>
      <c r="BU686" s="2">
        <v>110274</v>
      </c>
      <c r="BV686" t="s">
        <v>105</v>
      </c>
      <c r="BW686" s="2">
        <v>95430</v>
      </c>
      <c r="BX686" t="s">
        <v>105</v>
      </c>
      <c r="BZ686" t="s">
        <v>191</v>
      </c>
      <c r="CA686" t="str">
        <f t="shared" si="45"/>
        <v>7/1/2020 - 6/30/2021</v>
      </c>
      <c r="CF686">
        <v>1</v>
      </c>
      <c r="CG686" t="s">
        <v>98</v>
      </c>
      <c r="CH686" t="s">
        <v>206</v>
      </c>
      <c r="CI686" t="s">
        <v>206</v>
      </c>
      <c r="CL686" t="s">
        <v>108</v>
      </c>
      <c r="CM686" t="s">
        <v>109</v>
      </c>
      <c r="CN686" t="str">
        <f>"Stewart"</f>
        <v>Stewart</v>
      </c>
      <c r="CO686" t="str">
        <f>"Amanda"</f>
        <v>Amanda</v>
      </c>
      <c r="CP686" t="str">
        <f>"L."</f>
        <v>L.</v>
      </c>
      <c r="CQ686" t="str">
        <f>"Conduent Business Services, LLC"</f>
        <v>Conduent Business Services, LLC</v>
      </c>
      <c r="CR686" t="s">
        <v>6150</v>
      </c>
    </row>
    <row r="687" spans="1:96" x14ac:dyDescent="0.2">
      <c r="A687" t="s">
        <v>8113</v>
      </c>
      <c r="B687" t="s">
        <v>96</v>
      </c>
      <c r="C687" s="1">
        <v>44098</v>
      </c>
      <c r="D687" s="1">
        <v>44105</v>
      </c>
      <c r="F687" t="s">
        <v>97</v>
      </c>
      <c r="G687" t="str">
        <f>"Senior Software Developer"</f>
        <v>Senior Software Developer</v>
      </c>
      <c r="H687" t="s">
        <v>12168</v>
      </c>
      <c r="I687" t="s">
        <v>319</v>
      </c>
      <c r="J687" t="s">
        <v>98</v>
      </c>
      <c r="K687" s="1">
        <v>44111</v>
      </c>
      <c r="L687" s="1">
        <v>45205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1189</v>
      </c>
      <c r="U687" t="str">
        <f>""</f>
        <v/>
      </c>
      <c r="V687" t="s">
        <v>1190</v>
      </c>
      <c r="W687" t="str">
        <f>"THIRD FLOOR"</f>
        <v>THIRD FLOOR</v>
      </c>
      <c r="X687" t="s">
        <v>1191</v>
      </c>
      <c r="Y687" t="s">
        <v>171</v>
      </c>
      <c r="Z687" s="3">
        <v>1801</v>
      </c>
      <c r="AA687" t="s">
        <v>101</v>
      </c>
      <c r="AC687" s="4" t="str">
        <f>"+17819391720"</f>
        <v>+17819391720</v>
      </c>
      <c r="AE687" t="str">
        <f>"541511"</f>
        <v>541511</v>
      </c>
      <c r="AF687" t="s">
        <v>1192</v>
      </c>
      <c r="AG687" t="s">
        <v>1193</v>
      </c>
      <c r="AH687" t="s">
        <v>1080</v>
      </c>
      <c r="AI687" t="s">
        <v>1194</v>
      </c>
      <c r="AJ687" t="s">
        <v>1195</v>
      </c>
      <c r="AK687" t="str">
        <f>"Third Floor"</f>
        <v>Third Floor</v>
      </c>
      <c r="AL687" t="s">
        <v>1196</v>
      </c>
      <c r="AM687" t="s">
        <v>171</v>
      </c>
      <c r="AN687" s="3">
        <v>1801</v>
      </c>
      <c r="AO687" t="s">
        <v>101</v>
      </c>
      <c r="AQ687" t="str">
        <f>"+17819391720"</f>
        <v>+17819391720</v>
      </c>
      <c r="AS687" t="s">
        <v>1197</v>
      </c>
      <c r="AT687" t="s">
        <v>107</v>
      </c>
      <c r="AU687" t="str">
        <f>"Tadmor"</f>
        <v>Tadmor</v>
      </c>
      <c r="AV687" t="str">
        <f>"Yoav"</f>
        <v>Yoav</v>
      </c>
      <c r="AW687" t="str">
        <f>""</f>
        <v/>
      </c>
      <c r="AX687" t="str">
        <f>"340 Main Street "</f>
        <v xml:space="preserve">340 Main Street </v>
      </c>
      <c r="AY687" t="str">
        <f>"Suite 610"</f>
        <v>Suite 610</v>
      </c>
      <c r="AZ687" t="str">
        <f>"Worcester "</f>
        <v xml:space="preserve">Worcester </v>
      </c>
      <c r="BA687" t="str">
        <f>"MA"</f>
        <v>MA</v>
      </c>
      <c r="BB687" s="3">
        <v>1608</v>
      </c>
      <c r="BC687" t="str">
        <f>"UNITED STATES OF AMERICA"</f>
        <v>UNITED STATES OF AMERICA</v>
      </c>
      <c r="BD687" t="str">
        <f>""</f>
        <v/>
      </c>
      <c r="BE687" t="str">
        <f>"+15087919400"</f>
        <v>+15087919400</v>
      </c>
      <c r="BF687" t="str">
        <f>""</f>
        <v/>
      </c>
      <c r="BG687" t="str">
        <f>"yoav@tadmorlaw.com"</f>
        <v>yoav@tadmorlaw.com</v>
      </c>
      <c r="BH687" t="str">
        <f>"Tadmor &amp; Tadmor LLP"</f>
        <v>Tadmor &amp; Tadmor LLP</v>
      </c>
      <c r="BI687" t="str">
        <f>"MA"</f>
        <v>MA</v>
      </c>
      <c r="BJ687" t="str">
        <f>"Supreme Judicial Court"</f>
        <v>Supreme Judicial Court</v>
      </c>
      <c r="BK687">
        <v>1</v>
      </c>
      <c r="BL687" t="s">
        <v>107</v>
      </c>
      <c r="BM687" t="str">
        <f>"Private National Mortgage Acceptance Company, LLC "</f>
        <v xml:space="preserve">Private National Mortgage Acceptance Company, LLC </v>
      </c>
      <c r="BN687" t="s">
        <v>8114</v>
      </c>
      <c r="BP687" t="s">
        <v>8115</v>
      </c>
      <c r="BQ687" t="s">
        <v>121</v>
      </c>
      <c r="BR687" t="s">
        <v>122</v>
      </c>
      <c r="BS687" s="5">
        <v>28031</v>
      </c>
      <c r="BT687" s="2">
        <v>122000</v>
      </c>
      <c r="BV687" t="s">
        <v>105</v>
      </c>
      <c r="BW687" s="2">
        <v>93413</v>
      </c>
      <c r="BX687" t="s">
        <v>105</v>
      </c>
      <c r="BZ687" t="s">
        <v>123</v>
      </c>
      <c r="CA687" t="str">
        <f t="shared" si="45"/>
        <v>7/1/2020 - 6/30/2021</v>
      </c>
      <c r="CF687">
        <v>2</v>
      </c>
      <c r="CG687" t="s">
        <v>98</v>
      </c>
      <c r="CH687" t="s">
        <v>206</v>
      </c>
      <c r="CI687" t="s">
        <v>206</v>
      </c>
      <c r="CL687" t="s">
        <v>108</v>
      </c>
      <c r="CM687" t="s">
        <v>109</v>
      </c>
      <c r="CN687" t="str">
        <f>""</f>
        <v/>
      </c>
      <c r="CO687" t="str">
        <f>""</f>
        <v/>
      </c>
      <c r="CP687" t="str">
        <f>""</f>
        <v/>
      </c>
      <c r="CQ687" t="str">
        <f>""</f>
        <v/>
      </c>
    </row>
    <row r="688" spans="1:96" x14ac:dyDescent="0.2">
      <c r="A688" t="s">
        <v>8128</v>
      </c>
      <c r="B688" t="s">
        <v>96</v>
      </c>
      <c r="C688" s="1">
        <v>44098</v>
      </c>
      <c r="D688" s="1">
        <v>44105</v>
      </c>
      <c r="F688" t="s">
        <v>97</v>
      </c>
      <c r="G688" t="str">
        <f>"Senior Data Scientist"</f>
        <v>Senior Data Scientist</v>
      </c>
      <c r="H688" t="s">
        <v>12180</v>
      </c>
      <c r="I688" t="s">
        <v>390</v>
      </c>
      <c r="J688" t="s">
        <v>98</v>
      </c>
      <c r="K688" s="1">
        <v>44106</v>
      </c>
      <c r="L688" s="1">
        <v>45089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1601</v>
      </c>
      <c r="U688" t="str">
        <f>"IBM CORPORATION"</f>
        <v>IBM CORPORATION</v>
      </c>
      <c r="V688" t="s">
        <v>1602</v>
      </c>
      <c r="W688" t="str">
        <f>"BUILDING 002 "</f>
        <v xml:space="preserve">BUILDING 002 </v>
      </c>
      <c r="X688" t="s">
        <v>302</v>
      </c>
      <c r="Y688" t="s">
        <v>122</v>
      </c>
      <c r="Z688" s="3" t="s">
        <v>12292</v>
      </c>
      <c r="AA688" t="s">
        <v>101</v>
      </c>
      <c r="AB688" t="s">
        <v>122</v>
      </c>
      <c r="AC688" s="4" t="str">
        <f>"+19195430507"</f>
        <v>+19195430507</v>
      </c>
      <c r="AE688" t="str">
        <f>"54151"</f>
        <v>54151</v>
      </c>
      <c r="AF688" t="s">
        <v>2080</v>
      </c>
      <c r="AG688" t="s">
        <v>2081</v>
      </c>
      <c r="AI688" t="s">
        <v>305</v>
      </c>
      <c r="AJ688" t="s">
        <v>301</v>
      </c>
      <c r="AK688" t="str">
        <f>""</f>
        <v/>
      </c>
      <c r="AL688" t="s">
        <v>302</v>
      </c>
      <c r="AM688" t="s">
        <v>122</v>
      </c>
      <c r="AN688" s="3">
        <v>27709</v>
      </c>
      <c r="AO688" t="s">
        <v>101</v>
      </c>
      <c r="AQ688" t="str">
        <f>"+19195435386"</f>
        <v>+19195435386</v>
      </c>
      <c r="AS688" t="s">
        <v>2082</v>
      </c>
      <c r="AT688" t="s">
        <v>102</v>
      </c>
      <c r="AU688" t="str">
        <f>""</f>
        <v/>
      </c>
      <c r="AV688" t="str">
        <f>""</f>
        <v/>
      </c>
      <c r="AW688" t="str">
        <f>""</f>
        <v/>
      </c>
      <c r="AX688" t="str">
        <f>""</f>
        <v/>
      </c>
      <c r="AY688" t="str">
        <f>""</f>
        <v/>
      </c>
      <c r="AZ688" t="str">
        <f>""</f>
        <v/>
      </c>
      <c r="BA688" t="str">
        <f>""</f>
        <v/>
      </c>
      <c r="BC688" t="str">
        <f>""</f>
        <v/>
      </c>
      <c r="BD688" t="str">
        <f>""</f>
        <v/>
      </c>
      <c r="BE688" t="str">
        <f>""</f>
        <v/>
      </c>
      <c r="BF688" t="str">
        <f>""</f>
        <v/>
      </c>
      <c r="BG688" t="str">
        <f>""</f>
        <v/>
      </c>
      <c r="BH688" t="str">
        <f>""</f>
        <v/>
      </c>
      <c r="BI688" t="str">
        <f>""</f>
        <v/>
      </c>
      <c r="BJ688" t="str">
        <f>""</f>
        <v/>
      </c>
      <c r="BK688">
        <v>1</v>
      </c>
      <c r="BL688" t="s">
        <v>102</v>
      </c>
      <c r="BM688" t="str">
        <f>""</f>
        <v/>
      </c>
      <c r="BN688" t="s">
        <v>8129</v>
      </c>
      <c r="BP688" t="s">
        <v>1113</v>
      </c>
      <c r="BQ688" t="s">
        <v>302</v>
      </c>
      <c r="BR688" t="s">
        <v>122</v>
      </c>
      <c r="BS688" s="5">
        <v>27709</v>
      </c>
      <c r="BT688" s="2">
        <v>87838</v>
      </c>
      <c r="BU688" s="2">
        <v>178600</v>
      </c>
      <c r="BV688" t="s">
        <v>105</v>
      </c>
      <c r="BW688" s="2">
        <v>87838</v>
      </c>
      <c r="BX688" t="s">
        <v>105</v>
      </c>
      <c r="BZ688" t="s">
        <v>167</v>
      </c>
      <c r="CA688" t="str">
        <f t="shared" si="45"/>
        <v>7/1/2020 - 6/30/2021</v>
      </c>
      <c r="CF688">
        <v>2</v>
      </c>
      <c r="CG688" t="s">
        <v>98</v>
      </c>
      <c r="CH688" t="s">
        <v>206</v>
      </c>
      <c r="CI688" t="s">
        <v>206</v>
      </c>
      <c r="CL688" t="s">
        <v>108</v>
      </c>
      <c r="CM688" t="s">
        <v>109</v>
      </c>
      <c r="CN688" t="str">
        <f>""</f>
        <v/>
      </c>
      <c r="CO688" t="str">
        <f>""</f>
        <v/>
      </c>
      <c r="CP688" t="str">
        <f>""</f>
        <v/>
      </c>
      <c r="CQ688" t="str">
        <f>""</f>
        <v/>
      </c>
    </row>
    <row r="689" spans="1:96" x14ac:dyDescent="0.2">
      <c r="A689" t="s">
        <v>8137</v>
      </c>
      <c r="B689" t="s">
        <v>96</v>
      </c>
      <c r="C689" s="1">
        <v>44098</v>
      </c>
      <c r="D689" s="1">
        <v>44105</v>
      </c>
      <c r="F689" t="s">
        <v>97</v>
      </c>
      <c r="G689" t="str">
        <f>"Senior Research Associate, Formulation Chemistry"</f>
        <v>Senior Research Associate, Formulation Chemistry</v>
      </c>
      <c r="H689" t="s">
        <v>12198</v>
      </c>
      <c r="I689" t="s">
        <v>402</v>
      </c>
      <c r="J689" t="s">
        <v>98</v>
      </c>
      <c r="K689" s="1">
        <v>44105</v>
      </c>
      <c r="L689" s="1">
        <v>45199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731</v>
      </c>
      <c r="U689" t="str">
        <f>""</f>
        <v/>
      </c>
      <c r="V689" t="s">
        <v>732</v>
      </c>
      <c r="W689" t="str">
        <f>""</f>
        <v/>
      </c>
      <c r="X689" t="s">
        <v>140</v>
      </c>
      <c r="Y689" t="s">
        <v>141</v>
      </c>
      <c r="Z689" s="3">
        <v>94107</v>
      </c>
      <c r="AA689" t="s">
        <v>101</v>
      </c>
      <c r="AC689" s="4" t="str">
        <f>"+16507315582"</f>
        <v>+16507315582</v>
      </c>
      <c r="AE689" t="str">
        <f>"335210"</f>
        <v>335210</v>
      </c>
      <c r="AF689" t="s">
        <v>733</v>
      </c>
      <c r="AG689" t="s">
        <v>734</v>
      </c>
      <c r="AI689" t="s">
        <v>735</v>
      </c>
      <c r="AJ689" t="s">
        <v>732</v>
      </c>
      <c r="AK689" t="str">
        <f>""</f>
        <v/>
      </c>
      <c r="AL689" t="s">
        <v>140</v>
      </c>
      <c r="AM689" t="s">
        <v>141</v>
      </c>
      <c r="AN689" s="3">
        <v>94107</v>
      </c>
      <c r="AO689" t="s">
        <v>101</v>
      </c>
      <c r="AQ689" t="str">
        <f>"+13108802679"</f>
        <v>+13108802679</v>
      </c>
      <c r="AS689" t="s">
        <v>8138</v>
      </c>
      <c r="AT689" t="s">
        <v>107</v>
      </c>
      <c r="AU689" t="str">
        <f>"AVAREGAN"</f>
        <v>AVAREGAN</v>
      </c>
      <c r="AV689" t="str">
        <f>"NEGIN"</f>
        <v>NEGIN</v>
      </c>
      <c r="AW689" t="str">
        <f>""</f>
        <v/>
      </c>
      <c r="AX689" t="str">
        <f>"555 MONTGOMERY STREET"</f>
        <v>555 MONTGOMERY STREET</v>
      </c>
      <c r="AY689" t="str">
        <f>"4TH FLOOR"</f>
        <v>4TH FLOOR</v>
      </c>
      <c r="AZ689" t="str">
        <f>"SAN FRANCISCO"</f>
        <v>SAN FRANCISCO</v>
      </c>
      <c r="BA689" t="str">
        <f>"CA"</f>
        <v>CA</v>
      </c>
      <c r="BB689" s="3">
        <v>94111</v>
      </c>
      <c r="BC689" t="str">
        <f>"UNITED STATES OF AMERICA"</f>
        <v>UNITED STATES OF AMERICA</v>
      </c>
      <c r="BD689" t="str">
        <f>""</f>
        <v/>
      </c>
      <c r="BE689" t="str">
        <f>"+14159861446"</f>
        <v>+14159861446</v>
      </c>
      <c r="BF689" t="str">
        <f>""</f>
        <v/>
      </c>
      <c r="BG689" t="str">
        <f>"ImmigrationSpecialist@fragomen.com"</f>
        <v>ImmigrationSpecialist@fragomen.com</v>
      </c>
      <c r="BH689" t="str">
        <f>"FRAGOMEN, DEL REY, BERNSEN &amp; LOEWY, LLP"</f>
        <v>FRAGOMEN, DEL REY, BERNSEN &amp; LOEWY, LLP</v>
      </c>
      <c r="BI689" t="str">
        <f>"CA"</f>
        <v>CA</v>
      </c>
      <c r="BJ689" t="str">
        <f>"SUPREME COURT"</f>
        <v>SUPREME COURT</v>
      </c>
      <c r="BK689">
        <v>1</v>
      </c>
      <c r="BL689" t="s">
        <v>102</v>
      </c>
      <c r="BM689" t="str">
        <f>""</f>
        <v/>
      </c>
      <c r="BN689" t="s">
        <v>8139</v>
      </c>
      <c r="BP689" t="s">
        <v>155</v>
      </c>
      <c r="BQ689" t="s">
        <v>230</v>
      </c>
      <c r="BR689" t="s">
        <v>141</v>
      </c>
      <c r="BS689" s="5">
        <v>94043</v>
      </c>
      <c r="BT689" s="2">
        <v>88026</v>
      </c>
      <c r="BV689" t="s">
        <v>105</v>
      </c>
      <c r="BW689" s="2">
        <v>88026</v>
      </c>
      <c r="BX689" t="s">
        <v>105</v>
      </c>
      <c r="BZ689" t="s">
        <v>167</v>
      </c>
      <c r="CA689" t="str">
        <f t="shared" si="45"/>
        <v>7/1/2020 - 6/30/2021</v>
      </c>
      <c r="CF689">
        <v>2</v>
      </c>
      <c r="CG689" t="s">
        <v>98</v>
      </c>
      <c r="CH689" t="s">
        <v>206</v>
      </c>
      <c r="CI689" t="s">
        <v>206</v>
      </c>
      <c r="CL689" t="s">
        <v>108</v>
      </c>
      <c r="CM689" t="s">
        <v>109</v>
      </c>
      <c r="CN689" t="str">
        <f>"AVAREGAN C#5269097"</f>
        <v>AVAREGAN C#5269097</v>
      </c>
      <c r="CO689" t="str">
        <f>"NEGIN"</f>
        <v>NEGIN</v>
      </c>
      <c r="CP689" t="str">
        <f>""</f>
        <v/>
      </c>
      <c r="CQ689" t="str">
        <f>"FRAGOMEN, DEL REY, BERNSEN &amp; LOEWY, LLP"</f>
        <v>FRAGOMEN, DEL REY, BERNSEN &amp; LOEWY, LLP</v>
      </c>
      <c r="CR689" t="s">
        <v>5990</v>
      </c>
    </row>
    <row r="690" spans="1:96" x14ac:dyDescent="0.2">
      <c r="A690" t="s">
        <v>8143</v>
      </c>
      <c r="B690" t="s">
        <v>96</v>
      </c>
      <c r="C690" s="1">
        <v>44098</v>
      </c>
      <c r="D690" s="1">
        <v>44105</v>
      </c>
      <c r="F690" t="s">
        <v>97</v>
      </c>
      <c r="G690" t="str">
        <f>"DATA ENGINEER III"</f>
        <v>DATA ENGINEER III</v>
      </c>
      <c r="H690" t="s">
        <v>12180</v>
      </c>
      <c r="I690" t="s">
        <v>390</v>
      </c>
      <c r="J690" t="s">
        <v>98</v>
      </c>
      <c r="K690" s="1">
        <v>44275</v>
      </c>
      <c r="L690" s="1">
        <v>45370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 t="s">
        <v>440</v>
      </c>
      <c r="U690" t="str">
        <f>""</f>
        <v/>
      </c>
      <c r="V690" t="s">
        <v>809</v>
      </c>
      <c r="W690" t="str">
        <f>"SUITE 500"</f>
        <v>SUITE 500</v>
      </c>
      <c r="X690" t="s">
        <v>433</v>
      </c>
      <c r="Y690" t="s">
        <v>176</v>
      </c>
      <c r="Z690" s="3">
        <v>98121</v>
      </c>
      <c r="AA690" t="s">
        <v>101</v>
      </c>
      <c r="AC690" s="4" t="str">
        <f>"+12062661000"</f>
        <v>+12062661000</v>
      </c>
      <c r="AE690" t="str">
        <f>"454110"</f>
        <v>454110</v>
      </c>
      <c r="AF690" t="s">
        <v>442</v>
      </c>
      <c r="AG690" t="s">
        <v>443</v>
      </c>
      <c r="AH690" t="s">
        <v>108</v>
      </c>
      <c r="AI690" t="s">
        <v>434</v>
      </c>
      <c r="AJ690" t="s">
        <v>809</v>
      </c>
      <c r="AK690" t="str">
        <f>"SUITE 500"</f>
        <v>SUITE 500</v>
      </c>
      <c r="AL690" t="s">
        <v>433</v>
      </c>
      <c r="AM690" t="s">
        <v>176</v>
      </c>
      <c r="AN690" s="3">
        <v>98121</v>
      </c>
      <c r="AO690" t="s">
        <v>101</v>
      </c>
      <c r="AQ690" t="str">
        <f>"+12062661000"</f>
        <v>+12062661000</v>
      </c>
      <c r="AS690" t="s">
        <v>263</v>
      </c>
      <c r="AT690" t="s">
        <v>107</v>
      </c>
      <c r="AU690" t="str">
        <f>"MARANCI"</f>
        <v>MARANCI</v>
      </c>
      <c r="AV690" t="str">
        <f>"DANIEL"</f>
        <v>DANIEL</v>
      </c>
      <c r="AW690" t="str">
        <f>"N/A"</f>
        <v>N/A</v>
      </c>
      <c r="AX690" t="str">
        <f>"100 HIGH STREET"</f>
        <v>100 HIGH STREET</v>
      </c>
      <c r="AY690" t="str">
        <f>"3RD FLOOR C#5257130"</f>
        <v>3RD FLOOR C#5257130</v>
      </c>
      <c r="AZ690" t="str">
        <f>"BOSTON"</f>
        <v>BOSTON</v>
      </c>
      <c r="BA690" t="str">
        <f>"MA"</f>
        <v>MA</v>
      </c>
      <c r="BB690" s="3">
        <v>2110</v>
      </c>
      <c r="BC690" t="str">
        <f>"UNITED STATES OF AMERICA"</f>
        <v>UNITED STATES OF AMERICA</v>
      </c>
      <c r="BD690" t="str">
        <f>""</f>
        <v/>
      </c>
      <c r="BE690" t="str">
        <f>"+16175740400"</f>
        <v>+16175740400</v>
      </c>
      <c r="BF690" t="str">
        <f>""</f>
        <v/>
      </c>
      <c r="BG690" t="str">
        <f>"AMAZONINDIA@FRAGOMEN.COM"</f>
        <v>AMAZONINDIA@FRAGOMEN.COM</v>
      </c>
      <c r="BH690" t="str">
        <f>"FRAGOMEN, DEL REY, BERNSEN &amp; LOEWY, LLP"</f>
        <v>FRAGOMEN, DEL REY, BERNSEN &amp; LOEWY, LLP</v>
      </c>
      <c r="BI690" t="str">
        <f>"MA"</f>
        <v>MA</v>
      </c>
      <c r="BJ690" t="str">
        <f>"SUPREME JUDICIAL COURT"</f>
        <v>SUPREME JUDICIAL COURT</v>
      </c>
      <c r="BK690">
        <v>1</v>
      </c>
      <c r="BL690" t="s">
        <v>102</v>
      </c>
      <c r="BM690" t="str">
        <f>""</f>
        <v/>
      </c>
      <c r="BN690" t="s">
        <v>4073</v>
      </c>
      <c r="BP690" t="s">
        <v>433</v>
      </c>
      <c r="BQ690" t="s">
        <v>183</v>
      </c>
      <c r="BR690" t="s">
        <v>176</v>
      </c>
      <c r="BS690" s="5">
        <v>98121</v>
      </c>
      <c r="BT690" s="2">
        <v>140100</v>
      </c>
      <c r="BV690" t="s">
        <v>105</v>
      </c>
      <c r="BW690" s="2">
        <v>106288</v>
      </c>
      <c r="BX690" t="s">
        <v>105</v>
      </c>
      <c r="BZ690" t="s">
        <v>123</v>
      </c>
      <c r="CA690" t="str">
        <f t="shared" si="45"/>
        <v>7/1/2020 - 6/30/2021</v>
      </c>
      <c r="CF690">
        <v>1</v>
      </c>
      <c r="CG690" t="s">
        <v>98</v>
      </c>
      <c r="CH690" t="s">
        <v>206</v>
      </c>
      <c r="CI690" t="s">
        <v>206</v>
      </c>
      <c r="CL690" t="s">
        <v>108</v>
      </c>
      <c r="CM690" t="s">
        <v>109</v>
      </c>
      <c r="CN690" t="str">
        <f>"SUNNY"</f>
        <v>SUNNY</v>
      </c>
      <c r="CO690" t="str">
        <f>"JASMIN"</f>
        <v>JASMIN</v>
      </c>
      <c r="CP690" t="str">
        <f>"N/A"</f>
        <v>N/A</v>
      </c>
      <c r="CQ690" t="str">
        <f>"FRAGOMEN, DEL REY, BERNSEN &amp; LOEWY, LLP"</f>
        <v>FRAGOMEN, DEL REY, BERNSEN &amp; LOEWY, LLP</v>
      </c>
      <c r="CR690" t="s">
        <v>650</v>
      </c>
    </row>
    <row r="691" spans="1:96" x14ac:dyDescent="0.2">
      <c r="A691" t="s">
        <v>8145</v>
      </c>
      <c r="B691" t="s">
        <v>96</v>
      </c>
      <c r="C691" s="1">
        <v>44098</v>
      </c>
      <c r="D691" s="1">
        <v>44105</v>
      </c>
      <c r="F691" t="s">
        <v>97</v>
      </c>
      <c r="G691" t="str">
        <f>"Data Engineer"</f>
        <v>Data Engineer</v>
      </c>
      <c r="H691" t="s">
        <v>12169</v>
      </c>
      <c r="I691" t="s">
        <v>124</v>
      </c>
      <c r="J691" t="s">
        <v>98</v>
      </c>
      <c r="K691" s="1">
        <v>44102</v>
      </c>
      <c r="L691" s="1">
        <v>45196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 t="s">
        <v>8146</v>
      </c>
      <c r="U691" t="str">
        <f>""</f>
        <v/>
      </c>
      <c r="V691" t="s">
        <v>8147</v>
      </c>
      <c r="W691" t="str">
        <f>"Suite 2A"</f>
        <v>Suite 2A</v>
      </c>
      <c r="X691" t="s">
        <v>3119</v>
      </c>
      <c r="Y691" t="s">
        <v>545</v>
      </c>
      <c r="Z691" s="3">
        <v>38017</v>
      </c>
      <c r="AA691" t="s">
        <v>101</v>
      </c>
      <c r="AC691" s="4" t="str">
        <f>"+19013167898"</f>
        <v>+19013167898</v>
      </c>
      <c r="AE691" t="str">
        <f>"541511"</f>
        <v>541511</v>
      </c>
      <c r="AF691" t="s">
        <v>8148</v>
      </c>
      <c r="AG691" t="s">
        <v>8149</v>
      </c>
      <c r="AI691" t="s">
        <v>508</v>
      </c>
      <c r="AJ691" t="s">
        <v>8147</v>
      </c>
      <c r="AK691" t="str">
        <f>"Suite 2A"</f>
        <v>Suite 2A</v>
      </c>
      <c r="AL691" t="s">
        <v>3119</v>
      </c>
      <c r="AM691" t="s">
        <v>545</v>
      </c>
      <c r="AN691" s="3">
        <v>38017</v>
      </c>
      <c r="AO691" t="s">
        <v>101</v>
      </c>
      <c r="AQ691" t="str">
        <f>"+19013167898"</f>
        <v>+19013167898</v>
      </c>
      <c r="AS691" t="s">
        <v>8150</v>
      </c>
      <c r="AT691" t="s">
        <v>107</v>
      </c>
      <c r="AU691" t="str">
        <f>"PARVATHANENI"</f>
        <v>PARVATHANENI</v>
      </c>
      <c r="AV691" t="str">
        <f>"D. CHAND"</f>
        <v>D. CHAND</v>
      </c>
      <c r="AW691" t="str">
        <f>""</f>
        <v/>
      </c>
      <c r="AX691" t="str">
        <f>"3010 LBJ Freeway"</f>
        <v>3010 LBJ Freeway</v>
      </c>
      <c r="AY691" t="str">
        <f>"Suite#130"</f>
        <v>Suite#130</v>
      </c>
      <c r="AZ691" t="str">
        <f>"Dallas"</f>
        <v>Dallas</v>
      </c>
      <c r="BA691" t="str">
        <f>"TX"</f>
        <v>TX</v>
      </c>
      <c r="BB691" s="3">
        <v>75234</v>
      </c>
      <c r="BC691" t="str">
        <f>"UNITED STATES OF AMERICA"</f>
        <v>UNITED STATES OF AMERICA</v>
      </c>
      <c r="BD691" t="str">
        <f>""</f>
        <v/>
      </c>
      <c r="BE691" t="str">
        <f>"+19723751000"</f>
        <v>+19723751000</v>
      </c>
      <c r="BF691" t="str">
        <f>""</f>
        <v/>
      </c>
      <c r="BG691" t="str">
        <f>"chand@spblawfirm.com"</f>
        <v>chand@spblawfirm.com</v>
      </c>
      <c r="BH691" t="str">
        <f>"THE LAW FIRM OF SIM, PARVATHANENI AND BROWN PLLC"</f>
        <v>THE LAW FIRM OF SIM, PARVATHANENI AND BROWN PLLC</v>
      </c>
      <c r="BI691" t="str">
        <f>"TX"</f>
        <v>TX</v>
      </c>
      <c r="BJ691" t="str">
        <f>"SUPREME COURT OF TEXAS"</f>
        <v>SUPREME COURT OF TEXAS</v>
      </c>
      <c r="BK691">
        <v>1</v>
      </c>
      <c r="BL691" t="s">
        <v>107</v>
      </c>
      <c r="BM691" t="str">
        <f>"Vanguard "</f>
        <v xml:space="preserve">Vanguard </v>
      </c>
      <c r="BN691" t="s">
        <v>8151</v>
      </c>
      <c r="BP691" t="s">
        <v>8152</v>
      </c>
      <c r="BQ691" t="s">
        <v>1238</v>
      </c>
      <c r="BR691" t="s">
        <v>127</v>
      </c>
      <c r="BS691" s="5">
        <v>19335</v>
      </c>
      <c r="BT691" s="2">
        <v>89773</v>
      </c>
      <c r="BV691" t="s">
        <v>105</v>
      </c>
      <c r="BW691" s="2">
        <v>89773</v>
      </c>
      <c r="BX691" t="s">
        <v>105</v>
      </c>
      <c r="BZ691" t="s">
        <v>167</v>
      </c>
      <c r="CA691" t="str">
        <f t="shared" si="45"/>
        <v>7/1/2020 - 6/30/2021</v>
      </c>
      <c r="CF691">
        <v>1</v>
      </c>
      <c r="CG691" t="s">
        <v>98</v>
      </c>
      <c r="CH691" t="s">
        <v>206</v>
      </c>
      <c r="CI691" t="s">
        <v>206</v>
      </c>
      <c r="CL691" t="s">
        <v>108</v>
      </c>
      <c r="CM691" t="s">
        <v>109</v>
      </c>
      <c r="CN691" t="str">
        <f>""</f>
        <v/>
      </c>
      <c r="CO691" t="str">
        <f>""</f>
        <v/>
      </c>
      <c r="CP691" t="str">
        <f>""</f>
        <v/>
      </c>
      <c r="CQ691" t="str">
        <f>""</f>
        <v/>
      </c>
    </row>
    <row r="692" spans="1:96" x14ac:dyDescent="0.2">
      <c r="A692" t="s">
        <v>8158</v>
      </c>
      <c r="B692" t="s">
        <v>96</v>
      </c>
      <c r="C692" s="1">
        <v>44098</v>
      </c>
      <c r="D692" s="1">
        <v>44105</v>
      </c>
      <c r="F692" t="s">
        <v>97</v>
      </c>
      <c r="G692" t="str">
        <f>"Research Associate"</f>
        <v>Research Associate</v>
      </c>
      <c r="H692" t="s">
        <v>12198</v>
      </c>
      <c r="I692" t="s">
        <v>402</v>
      </c>
      <c r="J692" t="s">
        <v>206</v>
      </c>
      <c r="K692" s="1">
        <v>44204</v>
      </c>
      <c r="L692" s="1">
        <v>45298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2923</v>
      </c>
      <c r="U692" t="str">
        <f>""</f>
        <v/>
      </c>
      <c r="V692" t="s">
        <v>2923</v>
      </c>
      <c r="W692" t="str">
        <f>"1600 SW Western Blvd."</f>
        <v>1600 SW Western Blvd.</v>
      </c>
      <c r="X692" t="s">
        <v>2924</v>
      </c>
      <c r="Y692" t="s">
        <v>814</v>
      </c>
      <c r="Z692" s="3">
        <v>97333</v>
      </c>
      <c r="AA692" t="s">
        <v>101</v>
      </c>
      <c r="AC692" s="4" t="str">
        <f>"+15417376468"</f>
        <v>+15417376468</v>
      </c>
      <c r="AE692" t="str">
        <f>"611310"</f>
        <v>611310</v>
      </c>
      <c r="AF692" t="s">
        <v>2925</v>
      </c>
      <c r="AG692" t="s">
        <v>278</v>
      </c>
      <c r="AI692" t="s">
        <v>1679</v>
      </c>
      <c r="AJ692" t="s">
        <v>2926</v>
      </c>
      <c r="AK692" t="str">
        <f>"1600 SW Western Blvd Suite 130"</f>
        <v>1600 SW Western Blvd Suite 130</v>
      </c>
      <c r="AL692" t="s">
        <v>2924</v>
      </c>
      <c r="AM692" t="s">
        <v>814</v>
      </c>
      <c r="AN692" s="3">
        <v>97333</v>
      </c>
      <c r="AO692" t="s">
        <v>101</v>
      </c>
      <c r="AQ692" t="str">
        <f>"+15417476449"</f>
        <v>+15417476449</v>
      </c>
      <c r="AS692" t="s">
        <v>2927</v>
      </c>
      <c r="AT692" t="s">
        <v>102</v>
      </c>
      <c r="AU692" t="str">
        <f>""</f>
        <v/>
      </c>
      <c r="AV692" t="str">
        <f>""</f>
        <v/>
      </c>
      <c r="AW692" t="str">
        <f>""</f>
        <v/>
      </c>
      <c r="AX692" t="str">
        <f>""</f>
        <v/>
      </c>
      <c r="AY692" t="str">
        <f>""</f>
        <v/>
      </c>
      <c r="AZ692" t="str">
        <f>""</f>
        <v/>
      </c>
      <c r="BA692" t="str">
        <f>""</f>
        <v/>
      </c>
      <c r="BC692" t="str">
        <f>""</f>
        <v/>
      </c>
      <c r="BD692" t="str">
        <f>""</f>
        <v/>
      </c>
      <c r="BE692" t="str">
        <f>""</f>
        <v/>
      </c>
      <c r="BF692" t="str">
        <f>""</f>
        <v/>
      </c>
      <c r="BG692" t="str">
        <f>""</f>
        <v/>
      </c>
      <c r="BH692" t="str">
        <f>""</f>
        <v/>
      </c>
      <c r="BI692" t="str">
        <f>""</f>
        <v/>
      </c>
      <c r="BJ692" t="str">
        <f>""</f>
        <v/>
      </c>
      <c r="BK692">
        <v>1</v>
      </c>
      <c r="BL692" t="s">
        <v>102</v>
      </c>
      <c r="BM692" t="str">
        <f>""</f>
        <v/>
      </c>
      <c r="BN692" t="s">
        <v>2923</v>
      </c>
      <c r="BO692" t="s">
        <v>8159</v>
      </c>
      <c r="BP692" t="s">
        <v>2924</v>
      </c>
      <c r="BQ692" t="s">
        <v>640</v>
      </c>
      <c r="BR692" t="s">
        <v>814</v>
      </c>
      <c r="BS692" s="5">
        <v>97331</v>
      </c>
      <c r="BT692" s="2">
        <v>24.4</v>
      </c>
      <c r="BV692" t="s">
        <v>210</v>
      </c>
      <c r="BW692" s="2">
        <v>21.16</v>
      </c>
      <c r="BX692" t="s">
        <v>210</v>
      </c>
      <c r="CA692" t="str">
        <f>""</f>
        <v/>
      </c>
      <c r="CB692" t="s">
        <v>106</v>
      </c>
      <c r="CC692">
        <v>2020</v>
      </c>
      <c r="CF692">
        <v>1</v>
      </c>
      <c r="CG692" t="s">
        <v>98</v>
      </c>
      <c r="CH692" t="s">
        <v>206</v>
      </c>
      <c r="CI692" t="s">
        <v>206</v>
      </c>
      <c r="CL692" t="s">
        <v>108</v>
      </c>
      <c r="CM692" t="s">
        <v>109</v>
      </c>
      <c r="CN692" t="str">
        <f>""</f>
        <v/>
      </c>
      <c r="CO692" t="str">
        <f>""</f>
        <v/>
      </c>
      <c r="CP692" t="str">
        <f>""</f>
        <v/>
      </c>
      <c r="CQ692" t="str">
        <f>""</f>
        <v/>
      </c>
    </row>
    <row r="693" spans="1:96" x14ac:dyDescent="0.2">
      <c r="A693" t="s">
        <v>8162</v>
      </c>
      <c r="B693" t="s">
        <v>96</v>
      </c>
      <c r="C693" s="1">
        <v>44098</v>
      </c>
      <c r="D693" s="1">
        <v>44105</v>
      </c>
      <c r="F693" t="s">
        <v>97</v>
      </c>
      <c r="G693" t="str">
        <f>"ICT Program Director"</f>
        <v>ICT Program Director</v>
      </c>
      <c r="H693" t="s">
        <v>12171</v>
      </c>
      <c r="I693" t="s">
        <v>2140</v>
      </c>
      <c r="J693" t="s">
        <v>98</v>
      </c>
      <c r="K693" s="1">
        <v>44105</v>
      </c>
      <c r="L693" s="1">
        <v>45199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2802</v>
      </c>
      <c r="U693" t="str">
        <f>""</f>
        <v/>
      </c>
      <c r="V693" t="s">
        <v>2803</v>
      </c>
      <c r="W693" t="str">
        <f>""</f>
        <v/>
      </c>
      <c r="X693" t="s">
        <v>297</v>
      </c>
      <c r="Y693" t="s">
        <v>114</v>
      </c>
      <c r="Z693" s="3">
        <v>75024</v>
      </c>
      <c r="AA693" t="s">
        <v>101</v>
      </c>
      <c r="AC693" s="4" t="str">
        <f>"+14692663038"</f>
        <v>+14692663038</v>
      </c>
      <c r="AE693" t="str">
        <f>"33422"</f>
        <v>33422</v>
      </c>
      <c r="AF693" t="s">
        <v>1272</v>
      </c>
      <c r="AG693" t="s">
        <v>2804</v>
      </c>
      <c r="AI693" t="s">
        <v>2805</v>
      </c>
      <c r="AJ693" t="s">
        <v>2803</v>
      </c>
      <c r="AK693" t="str">
        <f>""</f>
        <v/>
      </c>
      <c r="AL693" t="s">
        <v>297</v>
      </c>
      <c r="AM693" t="s">
        <v>114</v>
      </c>
      <c r="AN693" s="3">
        <v>75024</v>
      </c>
      <c r="AO693" t="s">
        <v>101</v>
      </c>
      <c r="AQ693" t="str">
        <f>"+14692663038"</f>
        <v>+14692663038</v>
      </c>
      <c r="AS693" t="s">
        <v>2806</v>
      </c>
      <c r="AT693" t="s">
        <v>107</v>
      </c>
      <c r="AU693" t="str">
        <f>"Steger"</f>
        <v>Steger</v>
      </c>
      <c r="AV693" t="str">
        <f>"Susan"</f>
        <v>Susan</v>
      </c>
      <c r="AW693" t="str">
        <f>"Z. "</f>
        <v xml:space="preserve">Z. </v>
      </c>
      <c r="AX693" t="str">
        <f>"5080 Spectrum Drive"</f>
        <v>5080 Spectrum Drive</v>
      </c>
      <c r="AY693" t="str">
        <f>"Suite 850W"</f>
        <v>Suite 850W</v>
      </c>
      <c r="AZ693" t="str">
        <f>"Addison"</f>
        <v>Addison</v>
      </c>
      <c r="BA693" t="str">
        <f>"TX"</f>
        <v>TX</v>
      </c>
      <c r="BB693" s="3">
        <v>75001</v>
      </c>
      <c r="BC693" t="str">
        <f>"UNITED STATES OF AMERICA"</f>
        <v>UNITED STATES OF AMERICA</v>
      </c>
      <c r="BD693" t="str">
        <f>""</f>
        <v/>
      </c>
      <c r="BE693" t="str">
        <f>"+19722336646"</f>
        <v>+19722336646</v>
      </c>
      <c r="BF693" t="str">
        <f>""</f>
        <v/>
      </c>
      <c r="BG693" t="str">
        <f>"chamyra.davis@fragomen.com"</f>
        <v>chamyra.davis@fragomen.com</v>
      </c>
      <c r="BH693" t="str">
        <f>"Fragomen, Del Rey, Bernsen &amp; Loewy, LLP"</f>
        <v>Fragomen, Del Rey, Bernsen &amp; Loewy, LLP</v>
      </c>
      <c r="BI693" t="str">
        <f>"TX"</f>
        <v>TX</v>
      </c>
      <c r="BJ693" t="str">
        <f>"SUPREME COURT OF TEXAS"</f>
        <v>SUPREME COURT OF TEXAS</v>
      </c>
      <c r="BK693">
        <v>1</v>
      </c>
      <c r="BL693" t="s">
        <v>102</v>
      </c>
      <c r="BM693" t="str">
        <f>""</f>
        <v/>
      </c>
      <c r="BN693" t="s">
        <v>6431</v>
      </c>
      <c r="BP693" t="s">
        <v>297</v>
      </c>
      <c r="BQ693" t="s">
        <v>556</v>
      </c>
      <c r="BR693" t="s">
        <v>114</v>
      </c>
      <c r="BS693" s="5">
        <v>75024</v>
      </c>
      <c r="BT693" s="2">
        <v>133661</v>
      </c>
      <c r="BU693" s="2">
        <v>209533</v>
      </c>
      <c r="BV693" t="s">
        <v>105</v>
      </c>
      <c r="BW693" s="2">
        <v>133661</v>
      </c>
      <c r="BX693" t="s">
        <v>105</v>
      </c>
      <c r="BZ693" t="s">
        <v>167</v>
      </c>
      <c r="CA693" t="str">
        <f t="shared" ref="CA693:CA734" si="46">"7/1/2020 - 6/30/2021"</f>
        <v>7/1/2020 - 6/30/2021</v>
      </c>
      <c r="CF693">
        <v>2</v>
      </c>
      <c r="CG693" t="s">
        <v>98</v>
      </c>
      <c r="CH693" t="s">
        <v>206</v>
      </c>
      <c r="CI693" t="s">
        <v>206</v>
      </c>
      <c r="CL693" t="s">
        <v>108</v>
      </c>
      <c r="CM693" t="s">
        <v>109</v>
      </c>
      <c r="CN693" t="str">
        <f>""</f>
        <v/>
      </c>
      <c r="CO693" t="str">
        <f>""</f>
        <v/>
      </c>
      <c r="CP693" t="str">
        <f>""</f>
        <v/>
      </c>
      <c r="CQ693" t="str">
        <f>""</f>
        <v/>
      </c>
    </row>
    <row r="694" spans="1:96" x14ac:dyDescent="0.2">
      <c r="A694" t="s">
        <v>8181</v>
      </c>
      <c r="B694" t="s">
        <v>96</v>
      </c>
      <c r="C694" s="1">
        <v>44098</v>
      </c>
      <c r="D694" s="1">
        <v>44105</v>
      </c>
      <c r="F694" t="s">
        <v>97</v>
      </c>
      <c r="G694" t="str">
        <f>"Senior Software Design Engineer"</f>
        <v>Senior Software Design Engineer</v>
      </c>
      <c r="H694" t="s">
        <v>12176</v>
      </c>
      <c r="I694" t="s">
        <v>246</v>
      </c>
      <c r="J694" t="s">
        <v>98</v>
      </c>
      <c r="K694" s="1">
        <v>44105</v>
      </c>
      <c r="L694" s="1">
        <v>45199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 t="s">
        <v>6112</v>
      </c>
      <c r="U694" t="str">
        <f>""</f>
        <v/>
      </c>
      <c r="V694" t="s">
        <v>6113</v>
      </c>
      <c r="W694" t="str">
        <f>""</f>
        <v/>
      </c>
      <c r="X694" t="s">
        <v>982</v>
      </c>
      <c r="Y694" t="s">
        <v>265</v>
      </c>
      <c r="Z694" s="3">
        <v>48150</v>
      </c>
      <c r="AA694" t="s">
        <v>101</v>
      </c>
      <c r="AC694" s="4" t="str">
        <f>"+17348552654"</f>
        <v>+17348552654</v>
      </c>
      <c r="AE694" t="str">
        <f>"336111"</f>
        <v>336111</v>
      </c>
      <c r="AF694" t="s">
        <v>8182</v>
      </c>
      <c r="AG694" t="s">
        <v>1084</v>
      </c>
      <c r="AH694" t="s">
        <v>108</v>
      </c>
      <c r="AI694" t="s">
        <v>5609</v>
      </c>
      <c r="AJ694" t="s">
        <v>6113</v>
      </c>
      <c r="AK694" t="str">
        <f>""</f>
        <v/>
      </c>
      <c r="AL694" t="s">
        <v>982</v>
      </c>
      <c r="AM694" t="s">
        <v>265</v>
      </c>
      <c r="AN694" s="3">
        <v>48150</v>
      </c>
      <c r="AO694" t="s">
        <v>101</v>
      </c>
      <c r="AQ694" t="str">
        <f>"+17348552654"</f>
        <v>+17348552654</v>
      </c>
      <c r="AS694" t="s">
        <v>8183</v>
      </c>
      <c r="AT694" t="s">
        <v>107</v>
      </c>
      <c r="AU694" t="str">
        <f>"Terebelo"</f>
        <v>Terebelo</v>
      </c>
      <c r="AV694" t="str">
        <f>"Michal"</f>
        <v>Michal</v>
      </c>
      <c r="AW694" t="str">
        <f>"D"</f>
        <v>D</v>
      </c>
      <c r="AX694" t="str">
        <f>"5250 Corporate Drive"</f>
        <v>5250 Corporate Drive</v>
      </c>
      <c r="AY694" t="str">
        <f>"Ste. 300"</f>
        <v>Ste. 300</v>
      </c>
      <c r="AZ694" t="str">
        <f>"Troy"</f>
        <v>Troy</v>
      </c>
      <c r="BA694" t="str">
        <f>"MI"</f>
        <v>MI</v>
      </c>
      <c r="BB694" s="3">
        <v>48098</v>
      </c>
      <c r="BC694" t="str">
        <f>"UNITED STATES OF AMERICA"</f>
        <v>UNITED STATES OF AMERICA</v>
      </c>
      <c r="BD694" t="str">
        <f>""</f>
        <v/>
      </c>
      <c r="BE694" t="str">
        <f>"+12486434900"</f>
        <v>+12486434900</v>
      </c>
      <c r="BF694" t="str">
        <f>""</f>
        <v/>
      </c>
      <c r="BG694" t="str">
        <f>"Nikhilsunr@employmentimmigration.com"</f>
        <v>Nikhilsunr@employmentimmigration.com</v>
      </c>
      <c r="BH694" t="str">
        <f>"Fakhoury Global Immigration, USA PC"</f>
        <v>Fakhoury Global Immigration, USA PC</v>
      </c>
      <c r="BI694" t="str">
        <f>"MI"</f>
        <v>MI</v>
      </c>
      <c r="BJ694" t="str">
        <f>"Supreme Court"</f>
        <v>Supreme Court</v>
      </c>
      <c r="BK694">
        <v>1</v>
      </c>
      <c r="BL694" t="s">
        <v>102</v>
      </c>
      <c r="BM694" t="str">
        <f>""</f>
        <v/>
      </c>
      <c r="BN694" t="s">
        <v>8184</v>
      </c>
      <c r="BO694" t="s">
        <v>8185</v>
      </c>
      <c r="BP694" t="s">
        <v>982</v>
      </c>
      <c r="BQ694" t="s">
        <v>533</v>
      </c>
      <c r="BR694" t="s">
        <v>265</v>
      </c>
      <c r="BS694" s="5">
        <v>48150</v>
      </c>
      <c r="BT694" s="2">
        <v>105268</v>
      </c>
      <c r="BV694" t="s">
        <v>105</v>
      </c>
      <c r="BW694" s="2">
        <v>95160</v>
      </c>
      <c r="BX694" t="s">
        <v>105</v>
      </c>
      <c r="BZ694" t="s">
        <v>123</v>
      </c>
      <c r="CA694" t="str">
        <f t="shared" si="46"/>
        <v>7/1/2020 - 6/30/2021</v>
      </c>
      <c r="CF694">
        <v>1</v>
      </c>
      <c r="CG694" t="s">
        <v>98</v>
      </c>
      <c r="CH694" t="s">
        <v>206</v>
      </c>
      <c r="CI694" t="s">
        <v>206</v>
      </c>
      <c r="CL694" t="s">
        <v>108</v>
      </c>
      <c r="CM694" t="s">
        <v>109</v>
      </c>
      <c r="CN694" t="str">
        <f>"Terebelo"</f>
        <v>Terebelo</v>
      </c>
      <c r="CO694" t="str">
        <f>"Michal"</f>
        <v>Michal</v>
      </c>
      <c r="CP694" t="str">
        <f>"D"</f>
        <v>D</v>
      </c>
      <c r="CQ694" t="str">
        <f>"Fakhoury Global Immigration, USA PC"</f>
        <v>Fakhoury Global Immigration, USA PC</v>
      </c>
      <c r="CR694" t="s">
        <v>5667</v>
      </c>
    </row>
    <row r="695" spans="1:96" x14ac:dyDescent="0.2">
      <c r="A695" t="s">
        <v>8197</v>
      </c>
      <c r="B695" t="s">
        <v>96</v>
      </c>
      <c r="C695" s="1">
        <v>44098</v>
      </c>
      <c r="D695" s="1">
        <v>44105</v>
      </c>
      <c r="F695" t="s">
        <v>97</v>
      </c>
      <c r="G695" t="str">
        <f>"Software Engineer"</f>
        <v>Software Engineer</v>
      </c>
      <c r="H695" t="s">
        <v>12169</v>
      </c>
      <c r="I695" t="s">
        <v>124</v>
      </c>
      <c r="J695" t="s">
        <v>98</v>
      </c>
      <c r="K695" s="1">
        <v>44279</v>
      </c>
      <c r="L695" s="1">
        <v>45374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 t="s">
        <v>173</v>
      </c>
      <c r="U695" t="str">
        <f>""</f>
        <v/>
      </c>
      <c r="V695" t="s">
        <v>174</v>
      </c>
      <c r="W695" t="str">
        <f>"N/A"</f>
        <v>N/A</v>
      </c>
      <c r="X695" t="s">
        <v>175</v>
      </c>
      <c r="Y695" t="s">
        <v>176</v>
      </c>
      <c r="Z695" s="3">
        <v>98052</v>
      </c>
      <c r="AA695" t="s">
        <v>101</v>
      </c>
      <c r="AC695" s="4" t="str">
        <f>"+14258828080"</f>
        <v>+14258828080</v>
      </c>
      <c r="AE695" t="str">
        <f>"51121"</f>
        <v>51121</v>
      </c>
      <c r="AF695" t="s">
        <v>177</v>
      </c>
      <c r="AG695" t="s">
        <v>178</v>
      </c>
      <c r="AI695" t="s">
        <v>179</v>
      </c>
      <c r="AJ695" t="s">
        <v>174</v>
      </c>
      <c r="AK695" t="str">
        <f>""</f>
        <v/>
      </c>
      <c r="AL695" t="s">
        <v>175</v>
      </c>
      <c r="AM695" t="s">
        <v>176</v>
      </c>
      <c r="AN695" s="3">
        <v>98052</v>
      </c>
      <c r="AO695" t="s">
        <v>101</v>
      </c>
      <c r="AQ695" t="str">
        <f>"+14258828080"</f>
        <v>+14258828080</v>
      </c>
      <c r="AS695" t="s">
        <v>180</v>
      </c>
      <c r="AT695" t="s">
        <v>102</v>
      </c>
      <c r="AU695" t="str">
        <f>""</f>
        <v/>
      </c>
      <c r="AV695" t="str">
        <f>""</f>
        <v/>
      </c>
      <c r="AW695" t="str">
        <f>""</f>
        <v/>
      </c>
      <c r="AX695" t="str">
        <f>""</f>
        <v/>
      </c>
      <c r="AY695" t="str">
        <f>""</f>
        <v/>
      </c>
      <c r="AZ695" t="str">
        <f>""</f>
        <v/>
      </c>
      <c r="BA695" t="str">
        <f>""</f>
        <v/>
      </c>
      <c r="BC695" t="str">
        <f>""</f>
        <v/>
      </c>
      <c r="BD695" t="str">
        <f>""</f>
        <v/>
      </c>
      <c r="BE695" t="str">
        <f>""</f>
        <v/>
      </c>
      <c r="BF695" t="str">
        <f>""</f>
        <v/>
      </c>
      <c r="BG695" t="str">
        <f>""</f>
        <v/>
      </c>
      <c r="BH695" t="str">
        <f>""</f>
        <v/>
      </c>
      <c r="BI695" t="str">
        <f>""</f>
        <v/>
      </c>
      <c r="BJ695" t="str">
        <f>""</f>
        <v/>
      </c>
      <c r="BK695">
        <v>1</v>
      </c>
      <c r="BL695" t="s">
        <v>102</v>
      </c>
      <c r="BM695" t="str">
        <f>""</f>
        <v/>
      </c>
      <c r="BN695" t="s">
        <v>962</v>
      </c>
      <c r="BP695" t="s">
        <v>175</v>
      </c>
      <c r="BQ695" t="s">
        <v>183</v>
      </c>
      <c r="BR695" t="s">
        <v>176</v>
      </c>
      <c r="BS695" s="5">
        <v>98052</v>
      </c>
      <c r="BT695" s="2">
        <v>143068</v>
      </c>
      <c r="BV695" t="s">
        <v>105</v>
      </c>
      <c r="BW695" s="2">
        <v>113110</v>
      </c>
      <c r="BX695" t="s">
        <v>105</v>
      </c>
      <c r="BZ695" t="s">
        <v>167</v>
      </c>
      <c r="CA695" t="str">
        <f t="shared" si="46"/>
        <v>7/1/2020 - 6/30/2021</v>
      </c>
      <c r="CF695">
        <v>1</v>
      </c>
      <c r="CG695" t="s">
        <v>98</v>
      </c>
      <c r="CH695" t="s">
        <v>206</v>
      </c>
      <c r="CI695" t="s">
        <v>206</v>
      </c>
      <c r="CL695" t="s">
        <v>108</v>
      </c>
      <c r="CM695" t="s">
        <v>109</v>
      </c>
      <c r="CN695" t="str">
        <f>"DSOUZA"</f>
        <v>DSOUZA</v>
      </c>
      <c r="CO695" t="str">
        <f>"MACLIFF"</f>
        <v>MACLIFF</v>
      </c>
      <c r="CP695" t="str">
        <f>"N/A"</f>
        <v>N/A</v>
      </c>
      <c r="CQ695" t="str">
        <f>"INTEGREON MANAGED SOLUTIONS (INDIA) PVT LTD"</f>
        <v>INTEGREON MANAGED SOLUTIONS (INDIA) PVT LTD</v>
      </c>
      <c r="CR695" t="s">
        <v>1842</v>
      </c>
    </row>
    <row r="696" spans="1:96" x14ac:dyDescent="0.2">
      <c r="A696" t="s">
        <v>8213</v>
      </c>
      <c r="B696" t="s">
        <v>96</v>
      </c>
      <c r="C696" s="1">
        <v>44098</v>
      </c>
      <c r="D696" s="1">
        <v>44105</v>
      </c>
      <c r="F696" t="s">
        <v>97</v>
      </c>
      <c r="G696" t="str">
        <f>"Engineer in Training"</f>
        <v>Engineer in Training</v>
      </c>
      <c r="H696" t="s">
        <v>12205</v>
      </c>
      <c r="I696" t="s">
        <v>665</v>
      </c>
      <c r="J696" t="s">
        <v>98</v>
      </c>
      <c r="K696" s="1">
        <v>44116</v>
      </c>
      <c r="L696" s="1">
        <v>45210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 t="s">
        <v>8214</v>
      </c>
      <c r="U696" t="str">
        <f>""</f>
        <v/>
      </c>
      <c r="V696" t="s">
        <v>8215</v>
      </c>
      <c r="W696" t="str">
        <f>""</f>
        <v/>
      </c>
      <c r="X696" t="s">
        <v>394</v>
      </c>
      <c r="Y696" t="s">
        <v>114</v>
      </c>
      <c r="Z696" s="3">
        <v>77084</v>
      </c>
      <c r="AA696" t="s">
        <v>101</v>
      </c>
      <c r="AC696" s="4" t="str">
        <f>"+12814934140"</f>
        <v>+12814934140</v>
      </c>
      <c r="AE696" t="str">
        <f>"541330"</f>
        <v>541330</v>
      </c>
      <c r="AF696" t="s">
        <v>8216</v>
      </c>
      <c r="AG696" t="s">
        <v>5830</v>
      </c>
      <c r="AH696" t="s">
        <v>2367</v>
      </c>
      <c r="AI696" t="s">
        <v>763</v>
      </c>
      <c r="AJ696" t="s">
        <v>8215</v>
      </c>
      <c r="AK696" t="str">
        <f>""</f>
        <v/>
      </c>
      <c r="AL696" t="s">
        <v>394</v>
      </c>
      <c r="AM696" t="s">
        <v>114</v>
      </c>
      <c r="AN696" s="3">
        <v>77084</v>
      </c>
      <c r="AO696" t="s">
        <v>101</v>
      </c>
      <c r="AQ696" t="str">
        <f>"+12814934140"</f>
        <v>+12814934140</v>
      </c>
      <c r="AR696">
        <v>4238</v>
      </c>
      <c r="AS696" t="s">
        <v>8217</v>
      </c>
      <c r="AT696" t="s">
        <v>107</v>
      </c>
      <c r="AU696" t="str">
        <f>"Iyer"</f>
        <v>Iyer</v>
      </c>
      <c r="AV696" t="str">
        <f>"Sarah"</f>
        <v>Sarah</v>
      </c>
      <c r="AW696" t="str">
        <f>"Ann"</f>
        <v>Ann</v>
      </c>
      <c r="AX696" t="str">
        <f>"155 North Wacker Drive"</f>
        <v>155 North Wacker Drive</v>
      </c>
      <c r="AY696" t="str">
        <f>"Suite 3100"</f>
        <v>Suite 3100</v>
      </c>
      <c r="AZ696" t="str">
        <f>"Chicago"</f>
        <v>Chicago</v>
      </c>
      <c r="BA696" t="str">
        <f>"IL"</f>
        <v>IL</v>
      </c>
      <c r="BB696" s="3">
        <v>60606</v>
      </c>
      <c r="BC696" t="str">
        <f>"UNITED STATES OF AMERICA"</f>
        <v>UNITED STATES OF AMERICA</v>
      </c>
      <c r="BD696" t="str">
        <f>""</f>
        <v/>
      </c>
      <c r="BE696" t="str">
        <f>"+13127019375"</f>
        <v>+13127019375</v>
      </c>
      <c r="BF696" t="str">
        <f>""</f>
        <v/>
      </c>
      <c r="BG696" t="str">
        <f>"siyer@honigman.com"</f>
        <v>siyer@honigman.com</v>
      </c>
      <c r="BH696" t="str">
        <f>"Honigman LLP"</f>
        <v>Honigman LLP</v>
      </c>
      <c r="BI696" t="str">
        <f>"IL"</f>
        <v>IL</v>
      </c>
      <c r="BJ696" t="str">
        <f>"Illinois Supreme Court"</f>
        <v>Illinois Supreme Court</v>
      </c>
      <c r="BK696">
        <v>1</v>
      </c>
      <c r="BL696" t="s">
        <v>102</v>
      </c>
      <c r="BM696" t="str">
        <f>""</f>
        <v/>
      </c>
      <c r="BN696" t="s">
        <v>8218</v>
      </c>
      <c r="BO696" t="s">
        <v>2053</v>
      </c>
      <c r="BP696" t="s">
        <v>595</v>
      </c>
      <c r="BQ696" t="s">
        <v>484</v>
      </c>
      <c r="BR696" t="s">
        <v>114</v>
      </c>
      <c r="BS696" s="5">
        <v>75240</v>
      </c>
      <c r="BT696" s="2">
        <v>70000</v>
      </c>
      <c r="BV696" t="s">
        <v>105</v>
      </c>
      <c r="BW696" s="2">
        <v>58594</v>
      </c>
      <c r="BX696" t="s">
        <v>105</v>
      </c>
      <c r="BZ696" t="s">
        <v>191</v>
      </c>
      <c r="CA696" t="str">
        <f t="shared" si="46"/>
        <v>7/1/2020 - 6/30/2021</v>
      </c>
      <c r="CF696">
        <v>1</v>
      </c>
      <c r="CG696" t="s">
        <v>98</v>
      </c>
      <c r="CH696" t="s">
        <v>206</v>
      </c>
      <c r="CI696" t="s">
        <v>206</v>
      </c>
      <c r="CL696" t="s">
        <v>108</v>
      </c>
      <c r="CM696" t="s">
        <v>109</v>
      </c>
      <c r="CN696" t="str">
        <f>"Iyer"</f>
        <v>Iyer</v>
      </c>
      <c r="CO696" t="str">
        <f>"Sarah"</f>
        <v>Sarah</v>
      </c>
      <c r="CP696" t="str">
        <f>"A"</f>
        <v>A</v>
      </c>
      <c r="CQ696" t="str">
        <f>"Honigman LLP"</f>
        <v>Honigman LLP</v>
      </c>
      <c r="CR696" t="s">
        <v>7188</v>
      </c>
    </row>
    <row r="697" spans="1:96" x14ac:dyDescent="0.2">
      <c r="A697" t="s">
        <v>8237</v>
      </c>
      <c r="B697" t="s">
        <v>96</v>
      </c>
      <c r="C697" s="1">
        <v>44098</v>
      </c>
      <c r="D697" s="1">
        <v>44105</v>
      </c>
      <c r="F697" t="s">
        <v>97</v>
      </c>
      <c r="G697" t="str">
        <f>"Product Manager, Sourcing Operations"</f>
        <v>Product Manager, Sourcing Operations</v>
      </c>
      <c r="H697" t="s">
        <v>12182</v>
      </c>
      <c r="I697" t="s">
        <v>168</v>
      </c>
      <c r="J697" t="s">
        <v>98</v>
      </c>
      <c r="K697" s="1">
        <v>44105</v>
      </c>
      <c r="L697" s="1">
        <v>45199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731</v>
      </c>
      <c r="U697" t="str">
        <f>""</f>
        <v/>
      </c>
      <c r="V697" t="s">
        <v>732</v>
      </c>
      <c r="W697" t="str">
        <f>""</f>
        <v/>
      </c>
      <c r="X697" t="s">
        <v>140</v>
      </c>
      <c r="Y697" t="s">
        <v>141</v>
      </c>
      <c r="Z697" s="3">
        <v>94107</v>
      </c>
      <c r="AA697" t="s">
        <v>101</v>
      </c>
      <c r="AC697" s="4" t="str">
        <f>"+16507315582"</f>
        <v>+16507315582</v>
      </c>
      <c r="AE697" t="str">
        <f>"335210"</f>
        <v>335210</v>
      </c>
      <c r="AF697" t="s">
        <v>733</v>
      </c>
      <c r="AG697" t="s">
        <v>734</v>
      </c>
      <c r="AI697" t="s">
        <v>735</v>
      </c>
      <c r="AJ697" t="s">
        <v>732</v>
      </c>
      <c r="AK697" t="str">
        <f>""</f>
        <v/>
      </c>
      <c r="AL697" t="s">
        <v>140</v>
      </c>
      <c r="AM697" t="s">
        <v>141</v>
      </c>
      <c r="AN697" s="3">
        <v>94107</v>
      </c>
      <c r="AO697" t="s">
        <v>101</v>
      </c>
      <c r="AQ697" t="str">
        <f>"+18452355908"</f>
        <v>+18452355908</v>
      </c>
      <c r="AS697" t="s">
        <v>8238</v>
      </c>
      <c r="AT697" t="s">
        <v>107</v>
      </c>
      <c r="AU697" t="str">
        <f>"AVAREGAN"</f>
        <v>AVAREGAN</v>
      </c>
      <c r="AV697" t="str">
        <f>"NEGIN"</f>
        <v>NEGIN</v>
      </c>
      <c r="AW697" t="str">
        <f>""</f>
        <v/>
      </c>
      <c r="AX697" t="str">
        <f>"555 MONTGOMERY STREET"</f>
        <v>555 MONTGOMERY STREET</v>
      </c>
      <c r="AY697" t="str">
        <f>"4TH FLOOR C#4926094"</f>
        <v>4TH FLOOR C#4926094</v>
      </c>
      <c r="AZ697" t="str">
        <f>"SAN FRANCISCO"</f>
        <v>SAN FRANCISCO</v>
      </c>
      <c r="BA697" t="str">
        <f>"CA"</f>
        <v>CA</v>
      </c>
      <c r="BB697" s="3">
        <v>94111</v>
      </c>
      <c r="BC697" t="str">
        <f>"UNITED STATES OF AMERICA"</f>
        <v>UNITED STATES OF AMERICA</v>
      </c>
      <c r="BD697" t="str">
        <f>""</f>
        <v/>
      </c>
      <c r="BE697" t="str">
        <f>"+14159861446"</f>
        <v>+14159861446</v>
      </c>
      <c r="BF697" t="str">
        <f>""</f>
        <v/>
      </c>
      <c r="BG697" t="str">
        <f>"ImmigrationSpecialist@fragomen.com"</f>
        <v>ImmigrationSpecialist@fragomen.com</v>
      </c>
      <c r="BH697" t="str">
        <f>"FRAGOMEN, DEL REY, BERNSEN &amp; LOEWY, LLP"</f>
        <v>FRAGOMEN, DEL REY, BERNSEN &amp; LOEWY, LLP</v>
      </c>
      <c r="BI697" t="str">
        <f>"CA"</f>
        <v>CA</v>
      </c>
      <c r="BJ697" t="str">
        <f>"SUPREME COURT"</f>
        <v>SUPREME COURT</v>
      </c>
      <c r="BK697">
        <v>1</v>
      </c>
      <c r="BL697" t="s">
        <v>102</v>
      </c>
      <c r="BM697" t="str">
        <f>""</f>
        <v/>
      </c>
      <c r="BN697" t="s">
        <v>8239</v>
      </c>
      <c r="BP697" t="s">
        <v>155</v>
      </c>
      <c r="BQ697" t="s">
        <v>230</v>
      </c>
      <c r="BR697" t="s">
        <v>141</v>
      </c>
      <c r="BS697" s="5">
        <v>94043</v>
      </c>
      <c r="BT697" s="2">
        <v>116917</v>
      </c>
      <c r="BV697" t="s">
        <v>105</v>
      </c>
      <c r="BW697" s="2">
        <v>99258</v>
      </c>
      <c r="BX697" t="s">
        <v>105</v>
      </c>
      <c r="BZ697" t="s">
        <v>123</v>
      </c>
      <c r="CA697" t="str">
        <f t="shared" si="46"/>
        <v>7/1/2020 - 6/30/2021</v>
      </c>
      <c r="CF697">
        <v>2</v>
      </c>
      <c r="CG697" t="s">
        <v>98</v>
      </c>
      <c r="CH697" t="s">
        <v>206</v>
      </c>
      <c r="CI697" t="s">
        <v>206</v>
      </c>
      <c r="CL697" t="s">
        <v>108</v>
      </c>
      <c r="CM697" t="s">
        <v>109</v>
      </c>
      <c r="CN697" t="str">
        <f>"AVAREGAN"</f>
        <v>AVAREGAN</v>
      </c>
      <c r="CO697" t="str">
        <f>"NEGIN"</f>
        <v>NEGIN</v>
      </c>
      <c r="CP697" t="str">
        <f>""</f>
        <v/>
      </c>
      <c r="CQ697" t="str">
        <f>"FRAGOMEN, DEL REY, BERNSEN &amp; LOEWY, LLP"</f>
        <v>FRAGOMEN, DEL REY, BERNSEN &amp; LOEWY, LLP</v>
      </c>
      <c r="CR697" t="s">
        <v>5990</v>
      </c>
    </row>
    <row r="698" spans="1:96" x14ac:dyDescent="0.2">
      <c r="A698" t="s">
        <v>8245</v>
      </c>
      <c r="B698" t="s">
        <v>96</v>
      </c>
      <c r="C698" s="1">
        <v>44098</v>
      </c>
      <c r="D698" s="1">
        <v>44105</v>
      </c>
      <c r="F698" t="s">
        <v>97</v>
      </c>
      <c r="G698" t="str">
        <f>"RF Engineer"</f>
        <v>RF Engineer</v>
      </c>
      <c r="H698" t="s">
        <v>12183</v>
      </c>
      <c r="I698" t="s">
        <v>2335</v>
      </c>
      <c r="J698" t="s">
        <v>98</v>
      </c>
      <c r="K698" s="1">
        <v>44105</v>
      </c>
      <c r="L698" s="1">
        <v>45199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 t="s">
        <v>3084</v>
      </c>
      <c r="U698" t="str">
        <f>""</f>
        <v/>
      </c>
      <c r="V698" t="s">
        <v>3085</v>
      </c>
      <c r="W698" t="str">
        <f>"Suite 210"</f>
        <v>Suite 210</v>
      </c>
      <c r="X698" t="s">
        <v>3086</v>
      </c>
      <c r="Y698" t="s">
        <v>135</v>
      </c>
      <c r="Z698" s="3">
        <v>20152</v>
      </c>
      <c r="AA698" t="s">
        <v>101</v>
      </c>
      <c r="AC698" s="4" t="str">
        <f>"+17037609507"</f>
        <v>+17037609507</v>
      </c>
      <c r="AE698" t="str">
        <f>"5416"</f>
        <v>5416</v>
      </c>
      <c r="AF698" t="s">
        <v>3087</v>
      </c>
      <c r="AG698" t="s">
        <v>3088</v>
      </c>
      <c r="AI698" t="s">
        <v>298</v>
      </c>
      <c r="AJ698" t="s">
        <v>3085</v>
      </c>
      <c r="AK698" t="str">
        <f>"Suite 210"</f>
        <v>Suite 210</v>
      </c>
      <c r="AL698" t="s">
        <v>3086</v>
      </c>
      <c r="AM698" t="s">
        <v>135</v>
      </c>
      <c r="AN698" s="3">
        <v>20152</v>
      </c>
      <c r="AO698" t="s">
        <v>101</v>
      </c>
      <c r="AQ698" t="str">
        <f>"+17037609507"</f>
        <v>+17037609507</v>
      </c>
      <c r="AS698" t="s">
        <v>3089</v>
      </c>
      <c r="AT698" t="s">
        <v>107</v>
      </c>
      <c r="AU698" t="str">
        <f>"ADHIKARI"</f>
        <v>ADHIKARI</v>
      </c>
      <c r="AV698" t="str">
        <f>"Niranjan"</f>
        <v>Niranjan</v>
      </c>
      <c r="AW698" t="str">
        <f>""</f>
        <v/>
      </c>
      <c r="AX698" t="str">
        <f>"1627 K ST NW"</f>
        <v>1627 K ST NW</v>
      </c>
      <c r="AY698" t="str">
        <f>"Suite 500"</f>
        <v>Suite 500</v>
      </c>
      <c r="AZ698" t="str">
        <f>"Washington"</f>
        <v>Washington</v>
      </c>
      <c r="BA698" t="str">
        <f>"DC"</f>
        <v>DC</v>
      </c>
      <c r="BB698" s="3">
        <v>20006</v>
      </c>
      <c r="BC698" t="str">
        <f>"UNITED STATES OF AMERICA"</f>
        <v>UNITED STATES OF AMERICA</v>
      </c>
      <c r="BD698" t="str">
        <f>""</f>
        <v/>
      </c>
      <c r="BE698" t="str">
        <f>"+12026007742"</f>
        <v>+12026007742</v>
      </c>
      <c r="BF698" t="str">
        <f>""</f>
        <v/>
      </c>
      <c r="BG698" t="str">
        <f>"support@adhikarilaw.com"</f>
        <v>support@adhikarilaw.com</v>
      </c>
      <c r="BH698" t="str">
        <f>"Adhikari Law PLLC"</f>
        <v>Adhikari Law PLLC</v>
      </c>
      <c r="BI698" t="str">
        <f>"NY"</f>
        <v>NY</v>
      </c>
      <c r="BJ698" t="str">
        <f>"The New York Court of Appeals"</f>
        <v>The New York Court of Appeals</v>
      </c>
      <c r="BK698">
        <v>1</v>
      </c>
      <c r="BL698" t="s">
        <v>102</v>
      </c>
      <c r="BM698" t="str">
        <f>""</f>
        <v/>
      </c>
      <c r="BN698" t="s">
        <v>8246</v>
      </c>
      <c r="BO698" t="s">
        <v>5157</v>
      </c>
      <c r="BP698" t="s">
        <v>755</v>
      </c>
      <c r="BQ698" t="s">
        <v>3047</v>
      </c>
      <c r="BR698" t="s">
        <v>135</v>
      </c>
      <c r="BS698" s="5">
        <v>20171</v>
      </c>
      <c r="BT698" s="2">
        <v>87000</v>
      </c>
      <c r="BV698" t="s">
        <v>105</v>
      </c>
      <c r="BW698" s="2">
        <v>85155</v>
      </c>
      <c r="BX698" t="s">
        <v>105</v>
      </c>
      <c r="BZ698" t="s">
        <v>191</v>
      </c>
      <c r="CA698" t="str">
        <f t="shared" si="46"/>
        <v>7/1/2020 - 6/30/2021</v>
      </c>
      <c r="CF698">
        <v>1</v>
      </c>
      <c r="CG698" t="s">
        <v>98</v>
      </c>
      <c r="CH698" t="s">
        <v>206</v>
      </c>
      <c r="CI698" t="s">
        <v>206</v>
      </c>
      <c r="CL698" t="s">
        <v>108</v>
      </c>
      <c r="CM698" t="s">
        <v>109</v>
      </c>
      <c r="CN698" t="str">
        <f>"Soopramanien"</f>
        <v>Soopramanien</v>
      </c>
      <c r="CO698" t="str">
        <f>"Sanjay"</f>
        <v>Sanjay</v>
      </c>
      <c r="CP698" t="str">
        <f>"D"</f>
        <v>D</v>
      </c>
      <c r="CQ698" t="str">
        <f>"Adhikari Law PLLC"</f>
        <v>Adhikari Law PLLC</v>
      </c>
      <c r="CR698" t="s">
        <v>3090</v>
      </c>
    </row>
    <row r="699" spans="1:96" x14ac:dyDescent="0.2">
      <c r="A699" t="s">
        <v>8255</v>
      </c>
      <c r="B699" t="s">
        <v>96</v>
      </c>
      <c r="C699" s="1">
        <v>44098</v>
      </c>
      <c r="D699" s="1">
        <v>44105</v>
      </c>
      <c r="F699" t="s">
        <v>97</v>
      </c>
      <c r="G699" t="str">
        <f>"Advisory Associate"</f>
        <v>Advisory Associate</v>
      </c>
      <c r="H699" t="s">
        <v>12182</v>
      </c>
      <c r="I699" t="s">
        <v>168</v>
      </c>
      <c r="J699" t="s">
        <v>98</v>
      </c>
      <c r="K699" s="1">
        <v>44105</v>
      </c>
      <c r="L699" s="1">
        <v>45199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1023</v>
      </c>
      <c r="U699" t="str">
        <f>""</f>
        <v/>
      </c>
      <c r="V699" t="s">
        <v>1024</v>
      </c>
      <c r="W699" t="str">
        <f>""</f>
        <v/>
      </c>
      <c r="X699" t="s">
        <v>1025</v>
      </c>
      <c r="Y699" t="s">
        <v>577</v>
      </c>
      <c r="Z699" s="3">
        <v>33607</v>
      </c>
      <c r="AA699" t="s">
        <v>101</v>
      </c>
      <c r="AC699" s="4" t="str">
        <f>"+18133487000"</f>
        <v>+18133487000</v>
      </c>
      <c r="AE699" t="str">
        <f>"541611"</f>
        <v>541611</v>
      </c>
      <c r="AF699" t="s">
        <v>1158</v>
      </c>
      <c r="AG699" t="s">
        <v>1159</v>
      </c>
      <c r="AI699" t="s">
        <v>910</v>
      </c>
      <c r="AJ699" t="s">
        <v>1160</v>
      </c>
      <c r="AK699" t="str">
        <f>""</f>
        <v/>
      </c>
      <c r="AL699" t="s">
        <v>1107</v>
      </c>
      <c r="AM699" t="s">
        <v>577</v>
      </c>
      <c r="AN699" s="3">
        <v>33607</v>
      </c>
      <c r="AO699" t="s">
        <v>101</v>
      </c>
      <c r="AQ699" t="str">
        <f>"+19084512046"</f>
        <v>+19084512046</v>
      </c>
      <c r="AS699" t="s">
        <v>1161</v>
      </c>
      <c r="AT699" t="s">
        <v>102</v>
      </c>
      <c r="AU699" t="str">
        <f>""</f>
        <v/>
      </c>
      <c r="AV699" t="str">
        <f>""</f>
        <v/>
      </c>
      <c r="AW699" t="str">
        <f>""</f>
        <v/>
      </c>
      <c r="AX699" t="str">
        <f>""</f>
        <v/>
      </c>
      <c r="AY699" t="str">
        <f>""</f>
        <v/>
      </c>
      <c r="AZ699" t="str">
        <f>""</f>
        <v/>
      </c>
      <c r="BA699" t="str">
        <f>""</f>
        <v/>
      </c>
      <c r="BC699" t="str">
        <f>""</f>
        <v/>
      </c>
      <c r="BD699" t="str">
        <f>""</f>
        <v/>
      </c>
      <c r="BE699" t="str">
        <f>""</f>
        <v/>
      </c>
      <c r="BF699" t="str">
        <f>""</f>
        <v/>
      </c>
      <c r="BG699" t="str">
        <f>""</f>
        <v/>
      </c>
      <c r="BH699" t="str">
        <f>""</f>
        <v/>
      </c>
      <c r="BI699" t="str">
        <f>""</f>
        <v/>
      </c>
      <c r="BJ699" t="str">
        <f>""</f>
        <v/>
      </c>
      <c r="BK699">
        <v>1</v>
      </c>
      <c r="BL699" t="s">
        <v>102</v>
      </c>
      <c r="BM699" t="str">
        <f>""</f>
        <v/>
      </c>
      <c r="BN699" t="s">
        <v>3414</v>
      </c>
      <c r="BO699" t="s">
        <v>664</v>
      </c>
      <c r="BP699" t="s">
        <v>140</v>
      </c>
      <c r="BQ699" t="s">
        <v>147</v>
      </c>
      <c r="BR699" t="s">
        <v>141</v>
      </c>
      <c r="BS699" s="5">
        <v>94105</v>
      </c>
      <c r="BT699" s="2">
        <v>80000</v>
      </c>
      <c r="BU699" s="2">
        <v>138000</v>
      </c>
      <c r="BV699" t="s">
        <v>105</v>
      </c>
      <c r="BW699" s="2">
        <v>74069</v>
      </c>
      <c r="BX699" t="s">
        <v>105</v>
      </c>
      <c r="BZ699" t="s">
        <v>191</v>
      </c>
      <c r="CA699" t="str">
        <f t="shared" si="46"/>
        <v>7/1/2020 - 6/30/2021</v>
      </c>
      <c r="CF699">
        <v>2</v>
      </c>
      <c r="CG699" t="s">
        <v>98</v>
      </c>
      <c r="CH699" t="s">
        <v>206</v>
      </c>
      <c r="CI699" t="s">
        <v>206</v>
      </c>
      <c r="CL699" t="s">
        <v>108</v>
      </c>
      <c r="CM699" t="s">
        <v>109</v>
      </c>
      <c r="CN699" t="str">
        <f>"Mistry"</f>
        <v>Mistry</v>
      </c>
      <c r="CO699" t="str">
        <f>"Nimesh"</f>
        <v>Nimesh</v>
      </c>
      <c r="CP699" t="str">
        <f>""</f>
        <v/>
      </c>
      <c r="CQ699" t="str">
        <f>"PwC Law LLP"</f>
        <v>PwC Law LLP</v>
      </c>
      <c r="CR699" t="s">
        <v>3669</v>
      </c>
    </row>
    <row r="700" spans="1:96" x14ac:dyDescent="0.2">
      <c r="A700" t="s">
        <v>8261</v>
      </c>
      <c r="B700" t="s">
        <v>96</v>
      </c>
      <c r="C700" s="1">
        <v>44098</v>
      </c>
      <c r="D700" s="1">
        <v>44105</v>
      </c>
      <c r="F700" t="s">
        <v>97</v>
      </c>
      <c r="G700" t="str">
        <f>"SOFTWARE DEVELOPMENT ENGINEER I"</f>
        <v>SOFTWARE DEVELOPMENT ENGINEER I</v>
      </c>
      <c r="H700" t="s">
        <v>12169</v>
      </c>
      <c r="I700" t="s">
        <v>124</v>
      </c>
      <c r="J700" t="s">
        <v>98</v>
      </c>
      <c r="K700" s="1">
        <v>44109</v>
      </c>
      <c r="L700" s="1">
        <v>45203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440</v>
      </c>
      <c r="U700" t="str">
        <f>""</f>
        <v/>
      </c>
      <c r="V700" t="s">
        <v>809</v>
      </c>
      <c r="W700" t="str">
        <f>"SUITE 500"</f>
        <v>SUITE 500</v>
      </c>
      <c r="X700" t="s">
        <v>433</v>
      </c>
      <c r="Y700" t="s">
        <v>176</v>
      </c>
      <c r="Z700" s="3">
        <v>98121</v>
      </c>
      <c r="AA700" t="s">
        <v>101</v>
      </c>
      <c r="AC700" s="4" t="str">
        <f>"+12062661000"</f>
        <v>+12062661000</v>
      </c>
      <c r="AE700" t="str">
        <f>"454110"</f>
        <v>454110</v>
      </c>
      <c r="AF700" t="s">
        <v>442</v>
      </c>
      <c r="AG700" t="s">
        <v>443</v>
      </c>
      <c r="AH700" t="s">
        <v>108</v>
      </c>
      <c r="AI700" t="s">
        <v>434</v>
      </c>
      <c r="AJ700" t="s">
        <v>809</v>
      </c>
      <c r="AK700" t="str">
        <f>"SUITE 500"</f>
        <v>SUITE 500</v>
      </c>
      <c r="AL700" t="s">
        <v>433</v>
      </c>
      <c r="AM700" t="s">
        <v>176</v>
      </c>
      <c r="AN700" s="3">
        <v>98121</v>
      </c>
      <c r="AO700" t="s">
        <v>101</v>
      </c>
      <c r="AQ700" t="str">
        <f>"+12062661000"</f>
        <v>+12062661000</v>
      </c>
      <c r="AS700" t="s">
        <v>263</v>
      </c>
      <c r="AT700" t="s">
        <v>107</v>
      </c>
      <c r="AU700" t="str">
        <f>"MARANCI"</f>
        <v>MARANCI</v>
      </c>
      <c r="AV700" t="str">
        <f>"DANIEL"</f>
        <v>DANIEL</v>
      </c>
      <c r="AW700" t="str">
        <f>"N/A"</f>
        <v>N/A</v>
      </c>
      <c r="AX700" t="str">
        <f>"100 HIGH STREET"</f>
        <v>100 HIGH STREET</v>
      </c>
      <c r="AY700" t="str">
        <f>"3RD FLOOR C#5316191"</f>
        <v>3RD FLOOR C#5316191</v>
      </c>
      <c r="AZ700" t="str">
        <f>"BOSTON"</f>
        <v>BOSTON</v>
      </c>
      <c r="BA700" t="str">
        <f>"MA"</f>
        <v>MA</v>
      </c>
      <c r="BB700" s="3">
        <v>2110</v>
      </c>
      <c r="BC700" t="str">
        <f>"UNITED STATES OF AMERICA"</f>
        <v>UNITED STATES OF AMERICA</v>
      </c>
      <c r="BD700" t="str">
        <f>""</f>
        <v/>
      </c>
      <c r="BE700" t="str">
        <f>"+16175740400"</f>
        <v>+16175740400</v>
      </c>
      <c r="BF700" t="str">
        <f>""</f>
        <v/>
      </c>
      <c r="BG700" t="str">
        <f>"AMAZONINDIA@FRAGOMEN.COM"</f>
        <v>AMAZONINDIA@FRAGOMEN.COM</v>
      </c>
      <c r="BH700" t="str">
        <f>"FRAGOMEN, DEL REY, BERNSEN &amp; LOEWY, LLP"</f>
        <v>FRAGOMEN, DEL REY, BERNSEN &amp; LOEWY, LLP</v>
      </c>
      <c r="BI700" t="str">
        <f>"MA"</f>
        <v>MA</v>
      </c>
      <c r="BJ700" t="str">
        <f>"SUPREME JUDICIAL COURT"</f>
        <v>SUPREME JUDICIAL COURT</v>
      </c>
      <c r="BK700">
        <v>1</v>
      </c>
      <c r="BL700" t="s">
        <v>102</v>
      </c>
      <c r="BM700" t="str">
        <f>""</f>
        <v/>
      </c>
      <c r="BN700" t="s">
        <v>1356</v>
      </c>
      <c r="BP700" t="s">
        <v>189</v>
      </c>
      <c r="BQ700" t="s">
        <v>189</v>
      </c>
      <c r="BR700" t="s">
        <v>190</v>
      </c>
      <c r="BS700" s="5">
        <v>10001</v>
      </c>
      <c r="BT700" s="2">
        <v>120000</v>
      </c>
      <c r="BV700" t="s">
        <v>105</v>
      </c>
      <c r="BW700" s="2">
        <v>78811</v>
      </c>
      <c r="BX700" t="s">
        <v>105</v>
      </c>
      <c r="BZ700" t="s">
        <v>191</v>
      </c>
      <c r="CA700" t="str">
        <f t="shared" si="46"/>
        <v>7/1/2020 - 6/30/2021</v>
      </c>
      <c r="CF700">
        <v>1</v>
      </c>
      <c r="CG700" t="s">
        <v>98</v>
      </c>
      <c r="CH700" t="s">
        <v>206</v>
      </c>
      <c r="CI700" t="s">
        <v>206</v>
      </c>
      <c r="CL700" t="s">
        <v>108</v>
      </c>
      <c r="CM700" t="s">
        <v>109</v>
      </c>
      <c r="CN700" t="str">
        <f>"SUNNY"</f>
        <v>SUNNY</v>
      </c>
      <c r="CO700" t="str">
        <f>"JASMIN"</f>
        <v>JASMIN</v>
      </c>
      <c r="CP700" t="str">
        <f>"N/A"</f>
        <v>N/A</v>
      </c>
      <c r="CQ700" t="str">
        <f>"FRAGOMEN, DEL REY, BERNSEN &amp; LOEWY, LLP"</f>
        <v>FRAGOMEN, DEL REY, BERNSEN &amp; LOEWY, LLP</v>
      </c>
      <c r="CR700" t="s">
        <v>650</v>
      </c>
    </row>
    <row r="701" spans="1:96" x14ac:dyDescent="0.2">
      <c r="A701" t="s">
        <v>8269</v>
      </c>
      <c r="B701" t="s">
        <v>96</v>
      </c>
      <c r="C701" s="1">
        <v>44098</v>
      </c>
      <c r="D701" s="1">
        <v>44105</v>
      </c>
      <c r="F701" t="s">
        <v>97</v>
      </c>
      <c r="G701" t="str">
        <f>"Business Intelligence Developer"</f>
        <v>Business Intelligence Developer</v>
      </c>
      <c r="H701" t="s">
        <v>12168</v>
      </c>
      <c r="I701" t="s">
        <v>249</v>
      </c>
      <c r="J701" t="s">
        <v>98</v>
      </c>
      <c r="K701" s="1">
        <v>44105</v>
      </c>
      <c r="L701" s="1">
        <v>45199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7791</v>
      </c>
      <c r="U701" t="str">
        <f>""</f>
        <v/>
      </c>
      <c r="V701" t="s">
        <v>7792</v>
      </c>
      <c r="W701" t="str">
        <f>"Suite 102"</f>
        <v>Suite 102</v>
      </c>
      <c r="X701" t="s">
        <v>213</v>
      </c>
      <c r="Y701" t="s">
        <v>215</v>
      </c>
      <c r="Z701" s="3">
        <v>30338</v>
      </c>
      <c r="AA701" t="s">
        <v>101</v>
      </c>
      <c r="AC701" s="4" t="str">
        <f>"+17704451228"</f>
        <v>+17704451228</v>
      </c>
      <c r="AE701" t="str">
        <f>"611420"</f>
        <v>611420</v>
      </c>
      <c r="AF701" t="s">
        <v>7793</v>
      </c>
      <c r="AG701" t="s">
        <v>7794</v>
      </c>
      <c r="AH701" t="s">
        <v>108</v>
      </c>
      <c r="AI701" t="s">
        <v>629</v>
      </c>
      <c r="AJ701" t="s">
        <v>7792</v>
      </c>
      <c r="AK701" t="str">
        <f>"Suite 102"</f>
        <v>Suite 102</v>
      </c>
      <c r="AL701" t="s">
        <v>213</v>
      </c>
      <c r="AM701" t="s">
        <v>215</v>
      </c>
      <c r="AN701" s="3">
        <v>30338</v>
      </c>
      <c r="AO701" t="s">
        <v>101</v>
      </c>
      <c r="AP701" t="s">
        <v>1446</v>
      </c>
      <c r="AQ701" t="str">
        <f>"+17704551228"</f>
        <v>+17704551228</v>
      </c>
      <c r="AS701" t="s">
        <v>7795</v>
      </c>
      <c r="AT701" t="s">
        <v>107</v>
      </c>
      <c r="AU701" t="str">
        <f>"Chiu"</f>
        <v>Chiu</v>
      </c>
      <c r="AV701" t="str">
        <f>"Pei-Yao"</f>
        <v>Pei-Yao</v>
      </c>
      <c r="AW701" t="str">
        <f>"N/A"</f>
        <v>N/A</v>
      </c>
      <c r="AX701" t="str">
        <f>"4491 Peachtree Industrial Blvd."</f>
        <v>4491 Peachtree Industrial Blvd.</v>
      </c>
      <c r="AY701" t="str">
        <f>""</f>
        <v/>
      </c>
      <c r="AZ701" t="str">
        <f>"Berkeley Lake"</f>
        <v>Berkeley Lake</v>
      </c>
      <c r="BA701" t="str">
        <f>"GA"</f>
        <v>GA</v>
      </c>
      <c r="BB701" s="3">
        <v>30092</v>
      </c>
      <c r="BC701" t="str">
        <f>"UNITED STATES OF AMERICA"</f>
        <v>UNITED STATES OF AMERICA</v>
      </c>
      <c r="BD701" t="str">
        <f>""</f>
        <v/>
      </c>
      <c r="BE701" t="str">
        <f>"+17704161850"</f>
        <v>+17704161850</v>
      </c>
      <c r="BF701" t="str">
        <f>""</f>
        <v/>
      </c>
      <c r="BG701" t="str">
        <f>"montyc@montychiu.com"</f>
        <v>montyc@montychiu.com</v>
      </c>
      <c r="BH701" t="str">
        <f>"Monty Chiu &amp; Associates, P.C."</f>
        <v>Monty Chiu &amp; Associates, P.C.</v>
      </c>
      <c r="BI701" t="str">
        <f>"NY"</f>
        <v>NY</v>
      </c>
      <c r="BJ701" t="str">
        <f>"Court of Appeals"</f>
        <v>Court of Appeals</v>
      </c>
      <c r="BK701">
        <v>1</v>
      </c>
      <c r="BL701" t="s">
        <v>102</v>
      </c>
      <c r="BM701" t="str">
        <f>""</f>
        <v/>
      </c>
      <c r="BN701" t="s">
        <v>7792</v>
      </c>
      <c r="BO701" t="s">
        <v>1134</v>
      </c>
      <c r="BP701" t="s">
        <v>213</v>
      </c>
      <c r="BQ701" t="s">
        <v>481</v>
      </c>
      <c r="BR701" t="s">
        <v>215</v>
      </c>
      <c r="BS701" s="5">
        <v>30338</v>
      </c>
      <c r="BT701" s="2">
        <v>94453</v>
      </c>
      <c r="BV701" t="s">
        <v>105</v>
      </c>
      <c r="BW701" s="2">
        <v>94453</v>
      </c>
      <c r="BX701" t="s">
        <v>105</v>
      </c>
      <c r="BZ701" t="s">
        <v>123</v>
      </c>
      <c r="CA701" t="str">
        <f t="shared" si="46"/>
        <v>7/1/2020 - 6/30/2021</v>
      </c>
      <c r="CF701">
        <v>1</v>
      </c>
      <c r="CG701" t="s">
        <v>98</v>
      </c>
      <c r="CH701" t="s">
        <v>206</v>
      </c>
      <c r="CI701" t="s">
        <v>206</v>
      </c>
      <c r="CL701" t="s">
        <v>108</v>
      </c>
      <c r="CM701" t="s">
        <v>109</v>
      </c>
      <c r="CN701" t="str">
        <f>""</f>
        <v/>
      </c>
      <c r="CO701" t="str">
        <f>""</f>
        <v/>
      </c>
      <c r="CP701" t="str">
        <f>""</f>
        <v/>
      </c>
      <c r="CQ701" t="str">
        <f>""</f>
        <v/>
      </c>
    </row>
    <row r="702" spans="1:96" x14ac:dyDescent="0.2">
      <c r="A702" t="s">
        <v>8275</v>
      </c>
      <c r="B702" t="s">
        <v>96</v>
      </c>
      <c r="C702" s="1">
        <v>44098</v>
      </c>
      <c r="D702" s="1">
        <v>44105</v>
      </c>
      <c r="F702" t="s">
        <v>97</v>
      </c>
      <c r="G702" t="str">
        <f>"Research Assistant Professor"</f>
        <v>Research Assistant Professor</v>
      </c>
      <c r="H702" t="s">
        <v>12203</v>
      </c>
      <c r="I702" t="s">
        <v>525</v>
      </c>
      <c r="J702" t="s">
        <v>98</v>
      </c>
      <c r="K702" s="1">
        <v>44144</v>
      </c>
      <c r="L702" s="1">
        <v>45238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8276</v>
      </c>
      <c r="U702" t="str">
        <f>""</f>
        <v/>
      </c>
      <c r="V702" t="s">
        <v>8277</v>
      </c>
      <c r="W702" t="str">
        <f>""</f>
        <v/>
      </c>
      <c r="X702" t="s">
        <v>8278</v>
      </c>
      <c r="Y702" t="s">
        <v>545</v>
      </c>
      <c r="Z702" s="3">
        <v>37614</v>
      </c>
      <c r="AA702" t="s">
        <v>101</v>
      </c>
      <c r="AC702" s="4" t="str">
        <f>"+14234398550"</f>
        <v>+14234398550</v>
      </c>
      <c r="AE702" t="str">
        <f>"611310"</f>
        <v>611310</v>
      </c>
      <c r="AF702" t="s">
        <v>8279</v>
      </c>
      <c r="AG702" t="s">
        <v>1182</v>
      </c>
      <c r="AH702" t="s">
        <v>2455</v>
      </c>
      <c r="AI702" t="s">
        <v>1686</v>
      </c>
      <c r="AJ702" t="s">
        <v>8280</v>
      </c>
      <c r="AK702" t="str">
        <f>""</f>
        <v/>
      </c>
      <c r="AL702" t="s">
        <v>8278</v>
      </c>
      <c r="AM702" t="s">
        <v>545</v>
      </c>
      <c r="AN702" s="3">
        <v>37614</v>
      </c>
      <c r="AO702" t="s">
        <v>101</v>
      </c>
      <c r="AQ702" t="str">
        <f>"+14234398550"</f>
        <v>+14234398550</v>
      </c>
      <c r="AS702" t="s">
        <v>8281</v>
      </c>
      <c r="AT702" t="s">
        <v>102</v>
      </c>
      <c r="AU702" t="str">
        <f>""</f>
        <v/>
      </c>
      <c r="AV702" t="str">
        <f>""</f>
        <v/>
      </c>
      <c r="AW702" t="str">
        <f>""</f>
        <v/>
      </c>
      <c r="AX702" t="str">
        <f>""</f>
        <v/>
      </c>
      <c r="AY702" t="str">
        <f>""</f>
        <v/>
      </c>
      <c r="AZ702" t="str">
        <f>""</f>
        <v/>
      </c>
      <c r="BA702" t="str">
        <f>""</f>
        <v/>
      </c>
      <c r="BC702" t="str">
        <f>""</f>
        <v/>
      </c>
      <c r="BD702" t="str">
        <f>""</f>
        <v/>
      </c>
      <c r="BE702" t="str">
        <f>""</f>
        <v/>
      </c>
      <c r="BF702" t="str">
        <f>""</f>
        <v/>
      </c>
      <c r="BG702" t="str">
        <f>""</f>
        <v/>
      </c>
      <c r="BH702" t="str">
        <f>""</f>
        <v/>
      </c>
      <c r="BI702" t="str">
        <f>""</f>
        <v/>
      </c>
      <c r="BJ702" t="str">
        <f>""</f>
        <v/>
      </c>
      <c r="BK702">
        <v>1</v>
      </c>
      <c r="BL702" t="s">
        <v>102</v>
      </c>
      <c r="BM702" t="str">
        <f>""</f>
        <v/>
      </c>
      <c r="BN702" t="s">
        <v>8277</v>
      </c>
      <c r="BP702" t="s">
        <v>8278</v>
      </c>
      <c r="BQ702" t="s">
        <v>813</v>
      </c>
      <c r="BR702" t="s">
        <v>545</v>
      </c>
      <c r="BS702" s="5">
        <v>37614</v>
      </c>
      <c r="BT702" s="2">
        <v>73000</v>
      </c>
      <c r="BV702" t="s">
        <v>105</v>
      </c>
      <c r="BW702" s="2">
        <v>55810</v>
      </c>
      <c r="BX702" t="s">
        <v>105</v>
      </c>
      <c r="BZ702" t="s">
        <v>191</v>
      </c>
      <c r="CA702" t="str">
        <f t="shared" si="46"/>
        <v>7/1/2020 - 6/30/2021</v>
      </c>
      <c r="CF702">
        <v>1</v>
      </c>
      <c r="CG702" t="s">
        <v>98</v>
      </c>
      <c r="CH702" t="s">
        <v>206</v>
      </c>
      <c r="CI702" t="s">
        <v>206</v>
      </c>
      <c r="CL702" t="s">
        <v>108</v>
      </c>
      <c r="CM702" t="s">
        <v>718</v>
      </c>
      <c r="CN702" t="str">
        <f>""</f>
        <v/>
      </c>
      <c r="CO702" t="str">
        <f>""</f>
        <v/>
      </c>
      <c r="CP702" t="str">
        <f>""</f>
        <v/>
      </c>
      <c r="CQ702" t="str">
        <f>""</f>
        <v/>
      </c>
    </row>
    <row r="703" spans="1:96" x14ac:dyDescent="0.2">
      <c r="A703" t="s">
        <v>8283</v>
      </c>
      <c r="B703" t="s">
        <v>96</v>
      </c>
      <c r="C703" s="1">
        <v>44098</v>
      </c>
      <c r="D703" s="1">
        <v>44105</v>
      </c>
      <c r="F703" t="s">
        <v>97</v>
      </c>
      <c r="G703" t="str">
        <f>"Software Engineer"</f>
        <v>Software Engineer</v>
      </c>
      <c r="H703" t="s">
        <v>12169</v>
      </c>
      <c r="I703" t="s">
        <v>124</v>
      </c>
      <c r="J703" t="s">
        <v>98</v>
      </c>
      <c r="K703" s="1">
        <v>44279</v>
      </c>
      <c r="L703" s="1">
        <v>45374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 t="s">
        <v>173</v>
      </c>
      <c r="U703" t="str">
        <f>""</f>
        <v/>
      </c>
      <c r="V703" t="s">
        <v>174</v>
      </c>
      <c r="W703" t="str">
        <f>"N/A"</f>
        <v>N/A</v>
      </c>
      <c r="X703" t="s">
        <v>175</v>
      </c>
      <c r="Y703" t="s">
        <v>176</v>
      </c>
      <c r="Z703" s="3">
        <v>98052</v>
      </c>
      <c r="AA703" t="s">
        <v>101</v>
      </c>
      <c r="AC703" s="4" t="str">
        <f>"+14258828080"</f>
        <v>+14258828080</v>
      </c>
      <c r="AE703" t="str">
        <f>"51121"</f>
        <v>51121</v>
      </c>
      <c r="AF703" t="s">
        <v>177</v>
      </c>
      <c r="AG703" t="s">
        <v>178</v>
      </c>
      <c r="AI703" t="s">
        <v>179</v>
      </c>
      <c r="AJ703" t="s">
        <v>174</v>
      </c>
      <c r="AK703" t="str">
        <f>""</f>
        <v/>
      </c>
      <c r="AL703" t="s">
        <v>175</v>
      </c>
      <c r="AM703" t="s">
        <v>176</v>
      </c>
      <c r="AN703" s="3">
        <v>98052</v>
      </c>
      <c r="AO703" t="s">
        <v>101</v>
      </c>
      <c r="AQ703" t="str">
        <f>"+14258828080"</f>
        <v>+14258828080</v>
      </c>
      <c r="AS703" t="s">
        <v>180</v>
      </c>
      <c r="AT703" t="s">
        <v>102</v>
      </c>
      <c r="AU703" t="str">
        <f>""</f>
        <v/>
      </c>
      <c r="AV703" t="str">
        <f>""</f>
        <v/>
      </c>
      <c r="AW703" t="str">
        <f>""</f>
        <v/>
      </c>
      <c r="AX703" t="str">
        <f>""</f>
        <v/>
      </c>
      <c r="AY703" t="str">
        <f>""</f>
        <v/>
      </c>
      <c r="AZ703" t="str">
        <f>""</f>
        <v/>
      </c>
      <c r="BA703" t="str">
        <f>""</f>
        <v/>
      </c>
      <c r="BC703" t="str">
        <f>""</f>
        <v/>
      </c>
      <c r="BD703" t="str">
        <f>""</f>
        <v/>
      </c>
      <c r="BE703" t="str">
        <f>""</f>
        <v/>
      </c>
      <c r="BF703" t="str">
        <f>""</f>
        <v/>
      </c>
      <c r="BG703" t="str">
        <f>""</f>
        <v/>
      </c>
      <c r="BH703" t="str">
        <f>""</f>
        <v/>
      </c>
      <c r="BI703" t="str">
        <f>""</f>
        <v/>
      </c>
      <c r="BJ703" t="str">
        <f>""</f>
        <v/>
      </c>
      <c r="BK703">
        <v>1</v>
      </c>
      <c r="BL703" t="s">
        <v>102</v>
      </c>
      <c r="BM703" t="str">
        <f>""</f>
        <v/>
      </c>
      <c r="BN703" t="s">
        <v>962</v>
      </c>
      <c r="BP703" t="s">
        <v>175</v>
      </c>
      <c r="BQ703" t="s">
        <v>183</v>
      </c>
      <c r="BR703" t="s">
        <v>176</v>
      </c>
      <c r="BS703" s="5">
        <v>98052</v>
      </c>
      <c r="BT703" s="2">
        <v>147561</v>
      </c>
      <c r="BV703" t="s">
        <v>105</v>
      </c>
      <c r="BW703" s="2">
        <v>113110</v>
      </c>
      <c r="BX703" t="s">
        <v>105</v>
      </c>
      <c r="BZ703" t="s">
        <v>167</v>
      </c>
      <c r="CA703" t="str">
        <f t="shared" si="46"/>
        <v>7/1/2020 - 6/30/2021</v>
      </c>
      <c r="CF703">
        <v>1</v>
      </c>
      <c r="CG703" t="s">
        <v>98</v>
      </c>
      <c r="CH703" t="s">
        <v>206</v>
      </c>
      <c r="CI703" t="s">
        <v>206</v>
      </c>
      <c r="CL703" t="s">
        <v>108</v>
      </c>
      <c r="CM703" t="s">
        <v>109</v>
      </c>
      <c r="CN703" t="str">
        <f>"DSOUZA"</f>
        <v>DSOUZA</v>
      </c>
      <c r="CO703" t="str">
        <f>"MACLIFF"</f>
        <v>MACLIFF</v>
      </c>
      <c r="CP703" t="str">
        <f>"N/A"</f>
        <v>N/A</v>
      </c>
      <c r="CQ703" t="str">
        <f>"INTEGREON MANAGED SOLUTIONS (INDIA) PVT LTD"</f>
        <v>INTEGREON MANAGED SOLUTIONS (INDIA) PVT LTD</v>
      </c>
      <c r="CR703" t="s">
        <v>1842</v>
      </c>
    </row>
    <row r="704" spans="1:96" x14ac:dyDescent="0.2">
      <c r="A704" t="s">
        <v>8303</v>
      </c>
      <c r="B704" t="s">
        <v>96</v>
      </c>
      <c r="C704" s="1">
        <v>44098</v>
      </c>
      <c r="D704" s="1">
        <v>44105</v>
      </c>
      <c r="F704" t="s">
        <v>97</v>
      </c>
      <c r="G704" t="str">
        <f>"Analyst, IT Compliance"</f>
        <v>Analyst, IT Compliance</v>
      </c>
      <c r="H704" t="s">
        <v>12218</v>
      </c>
      <c r="I704" t="s">
        <v>4120</v>
      </c>
      <c r="J704" t="s">
        <v>98</v>
      </c>
      <c r="K704" s="1">
        <v>44131</v>
      </c>
      <c r="L704" s="1">
        <v>45225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t="s">
        <v>5577</v>
      </c>
      <c r="U704" t="str">
        <f>""</f>
        <v/>
      </c>
      <c r="V704" t="s">
        <v>882</v>
      </c>
      <c r="W704" t="str">
        <f>"AP34-2"</f>
        <v>AP34-2</v>
      </c>
      <c r="X704" t="s">
        <v>883</v>
      </c>
      <c r="Y704" t="s">
        <v>345</v>
      </c>
      <c r="Z704" s="3">
        <v>60064</v>
      </c>
      <c r="AA704" t="s">
        <v>101</v>
      </c>
      <c r="AC704" s="4" t="str">
        <f>"+18479370609"</f>
        <v>+18479370609</v>
      </c>
      <c r="AE704" t="str">
        <f>"3254"</f>
        <v>3254</v>
      </c>
      <c r="AF704" t="s">
        <v>884</v>
      </c>
      <c r="AG704" t="s">
        <v>885</v>
      </c>
      <c r="AI704" t="s">
        <v>886</v>
      </c>
      <c r="AJ704" t="s">
        <v>882</v>
      </c>
      <c r="AK704" t="str">
        <f>"AP34-2"</f>
        <v>AP34-2</v>
      </c>
      <c r="AL704" t="s">
        <v>883</v>
      </c>
      <c r="AM704" t="s">
        <v>345</v>
      </c>
      <c r="AN704" s="3">
        <v>60064</v>
      </c>
      <c r="AO704" t="s">
        <v>101</v>
      </c>
      <c r="AQ704" t="str">
        <f>"+18479370609"</f>
        <v>+18479370609</v>
      </c>
      <c r="AS704" t="s">
        <v>887</v>
      </c>
      <c r="AT704" t="s">
        <v>107</v>
      </c>
      <c r="AU704" t="str">
        <f>"Bendersky"</f>
        <v>Bendersky</v>
      </c>
      <c r="AV704" t="str">
        <f>"Jordan"</f>
        <v>Jordan</v>
      </c>
      <c r="AW704" t="str">
        <f>""</f>
        <v/>
      </c>
      <c r="AX704" t="str">
        <f>"350 N Clark Street"</f>
        <v>350 N Clark Street</v>
      </c>
      <c r="AY704" t="str">
        <f>"Suite 600"</f>
        <v>Suite 600</v>
      </c>
      <c r="AZ704" t="str">
        <f>"Chicago"</f>
        <v>Chicago</v>
      </c>
      <c r="BA704" t="str">
        <f>"IL"</f>
        <v>IL</v>
      </c>
      <c r="BB704" s="3">
        <v>60654</v>
      </c>
      <c r="BC704" t="str">
        <f t="shared" ref="BC704:BC713" si="47">"UNITED STATES OF AMERICA"</f>
        <v>UNITED STATES OF AMERICA</v>
      </c>
      <c r="BD704" t="str">
        <f>""</f>
        <v/>
      </c>
      <c r="BE704" t="str">
        <f>"+13124649330"</f>
        <v>+13124649330</v>
      </c>
      <c r="BF704" t="str">
        <f>""</f>
        <v/>
      </c>
      <c r="BG704" t="str">
        <f>"jbendersky@hebf.com"</f>
        <v>jbendersky@hebf.com</v>
      </c>
      <c r="BH704" t="str">
        <f>"Hussain, Bendersky &amp; Liston LLC"</f>
        <v>Hussain, Bendersky &amp; Liston LLC</v>
      </c>
      <c r="BI704" t="str">
        <f>"IL"</f>
        <v>IL</v>
      </c>
      <c r="BJ704" t="str">
        <f>"Supreme Court of Illinois "</f>
        <v xml:space="preserve">Supreme Court of Illinois </v>
      </c>
      <c r="BK704">
        <v>1</v>
      </c>
      <c r="BL704" t="s">
        <v>102</v>
      </c>
      <c r="BM704" t="str">
        <f>""</f>
        <v/>
      </c>
      <c r="BN704" t="s">
        <v>882</v>
      </c>
      <c r="BP704" t="s">
        <v>883</v>
      </c>
      <c r="BQ704" t="s">
        <v>691</v>
      </c>
      <c r="BR704" t="s">
        <v>345</v>
      </c>
      <c r="BS704" s="5">
        <v>60064</v>
      </c>
      <c r="BT704" s="2">
        <v>79000</v>
      </c>
      <c r="BU704" s="2">
        <v>109000</v>
      </c>
      <c r="BV704" t="s">
        <v>105</v>
      </c>
      <c r="BW704" s="2">
        <v>78437</v>
      </c>
      <c r="BX704" t="s">
        <v>105</v>
      </c>
      <c r="BZ704" t="s">
        <v>123</v>
      </c>
      <c r="CA704" t="str">
        <f t="shared" si="46"/>
        <v>7/1/2020 - 6/30/2021</v>
      </c>
      <c r="CF704">
        <v>1</v>
      </c>
      <c r="CG704" t="s">
        <v>98</v>
      </c>
      <c r="CH704" t="s">
        <v>206</v>
      </c>
      <c r="CI704" t="s">
        <v>206</v>
      </c>
      <c r="CL704" t="s">
        <v>108</v>
      </c>
      <c r="CM704" t="s">
        <v>109</v>
      </c>
      <c r="CN704" t="str">
        <f>"Carter"</f>
        <v>Carter</v>
      </c>
      <c r="CO704" t="str">
        <f>"Katherine"</f>
        <v>Katherine</v>
      </c>
      <c r="CP704" t="str">
        <f>"H"</f>
        <v>H</v>
      </c>
      <c r="CQ704" t="str">
        <f>"Hussain, Bendersky &amp; Liston LLC"</f>
        <v>Hussain, Bendersky &amp; Liston LLC</v>
      </c>
      <c r="CR704" t="s">
        <v>889</v>
      </c>
    </row>
    <row r="705" spans="1:96" x14ac:dyDescent="0.2">
      <c r="A705" t="s">
        <v>8327</v>
      </c>
      <c r="B705" t="s">
        <v>96</v>
      </c>
      <c r="C705" s="1">
        <v>44098</v>
      </c>
      <c r="D705" s="1">
        <v>44105</v>
      </c>
      <c r="F705" t="s">
        <v>97</v>
      </c>
      <c r="G705" t="str">
        <f>"Staff ML Software Engineer "</f>
        <v xml:space="preserve">Staff ML Software Engineer </v>
      </c>
      <c r="H705" t="s">
        <v>12176</v>
      </c>
      <c r="I705" t="s">
        <v>246</v>
      </c>
      <c r="J705" t="s">
        <v>98</v>
      </c>
      <c r="K705" s="1">
        <v>44098</v>
      </c>
      <c r="L705" s="1">
        <v>45192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 t="s">
        <v>4244</v>
      </c>
      <c r="U705" t="str">
        <f>""</f>
        <v/>
      </c>
      <c r="V705" t="s">
        <v>4102</v>
      </c>
      <c r="W705" t="str">
        <f>"Ste. 900"</f>
        <v>Ste. 900</v>
      </c>
      <c r="X705" t="s">
        <v>140</v>
      </c>
      <c r="Y705" t="s">
        <v>141</v>
      </c>
      <c r="Z705" s="3">
        <v>94103</v>
      </c>
      <c r="AA705" t="s">
        <v>101</v>
      </c>
      <c r="AB705" t="s">
        <v>4245</v>
      </c>
      <c r="AC705" s="4" t="str">
        <f>"+15108271637"</f>
        <v>+15108271637</v>
      </c>
      <c r="AE705" t="str">
        <f>"541511"</f>
        <v>541511</v>
      </c>
      <c r="AF705" t="s">
        <v>6181</v>
      </c>
      <c r="AG705" t="s">
        <v>1662</v>
      </c>
      <c r="AI705" t="s">
        <v>4246</v>
      </c>
      <c r="AJ705" t="s">
        <v>4102</v>
      </c>
      <c r="AK705" t="str">
        <f>"Ste. 900"</f>
        <v>Ste. 900</v>
      </c>
      <c r="AL705" t="s">
        <v>140</v>
      </c>
      <c r="AM705" t="s">
        <v>141</v>
      </c>
      <c r="AN705" s="3">
        <v>94103</v>
      </c>
      <c r="AO705" t="s">
        <v>101</v>
      </c>
      <c r="AQ705" t="str">
        <f>"+14156347402"</f>
        <v>+14156347402</v>
      </c>
      <c r="AS705" t="s">
        <v>4247</v>
      </c>
      <c r="AT705" t="s">
        <v>107</v>
      </c>
      <c r="AU705" t="str">
        <f>"Kim"</f>
        <v>Kim</v>
      </c>
      <c r="AV705" t="str">
        <f>"Naomi "</f>
        <v xml:space="preserve">Naomi </v>
      </c>
      <c r="AW705" t="str">
        <f>"Young"</f>
        <v>Young</v>
      </c>
      <c r="AX705" t="str">
        <f>"2101 Wilson Blvd."</f>
        <v>2101 Wilson Blvd.</v>
      </c>
      <c r="AY705" t="str">
        <f>"Suite 1100"</f>
        <v>Suite 1100</v>
      </c>
      <c r="AZ705" t="str">
        <f>"Arlington"</f>
        <v>Arlington</v>
      </c>
      <c r="BA705" t="str">
        <f>"VA"</f>
        <v>VA</v>
      </c>
      <c r="BB705" s="3">
        <v>22201</v>
      </c>
      <c r="BC705" t="str">
        <f t="shared" si="47"/>
        <v>UNITED STATES OF AMERICA</v>
      </c>
      <c r="BD705" t="str">
        <f>""</f>
        <v/>
      </c>
      <c r="BE705" t="str">
        <f>"+17036784000"</f>
        <v>+17036784000</v>
      </c>
      <c r="BF705" t="str">
        <f>""</f>
        <v/>
      </c>
      <c r="BG705" t="str">
        <f>"naomi@eiglaw.com"</f>
        <v>naomi@eiglaw.com</v>
      </c>
      <c r="BH705" t="str">
        <f>"Erickson Immigration Group"</f>
        <v>Erickson Immigration Group</v>
      </c>
      <c r="BI705" t="str">
        <f>"NY"</f>
        <v>NY</v>
      </c>
      <c r="BJ705" t="str">
        <f>"New York Court of Appeals"</f>
        <v>New York Court of Appeals</v>
      </c>
      <c r="BK705">
        <v>1</v>
      </c>
      <c r="BL705" t="s">
        <v>102</v>
      </c>
      <c r="BM705" t="str">
        <f>""</f>
        <v/>
      </c>
      <c r="BN705" t="s">
        <v>6182</v>
      </c>
      <c r="BO705" t="s">
        <v>2771</v>
      </c>
      <c r="BP705" t="s">
        <v>146</v>
      </c>
      <c r="BQ705" t="s">
        <v>147</v>
      </c>
      <c r="BR705" t="s">
        <v>141</v>
      </c>
      <c r="BS705" s="5">
        <v>94103</v>
      </c>
      <c r="BT705" s="2">
        <v>219350</v>
      </c>
      <c r="BV705" t="s">
        <v>105</v>
      </c>
      <c r="BW705" s="2">
        <v>169562</v>
      </c>
      <c r="BX705" t="s">
        <v>105</v>
      </c>
      <c r="BZ705" t="s">
        <v>159</v>
      </c>
      <c r="CA705" t="str">
        <f t="shared" si="46"/>
        <v>7/1/2020 - 6/30/2021</v>
      </c>
      <c r="CF705">
        <v>3</v>
      </c>
      <c r="CG705" t="s">
        <v>98</v>
      </c>
      <c r="CH705" t="s">
        <v>206</v>
      </c>
      <c r="CI705" t="s">
        <v>206</v>
      </c>
      <c r="CL705" t="s">
        <v>108</v>
      </c>
      <c r="CM705" t="s">
        <v>109</v>
      </c>
      <c r="CN705" t="str">
        <f>"Castro"</f>
        <v>Castro</v>
      </c>
      <c r="CO705" t="str">
        <f>"Chanleakna"</f>
        <v>Chanleakna</v>
      </c>
      <c r="CP705" t="str">
        <f>""</f>
        <v/>
      </c>
      <c r="CQ705" t="str">
        <f>"Erickson Immigration Group "</f>
        <v xml:space="preserve">Erickson Immigration Group </v>
      </c>
      <c r="CR705" t="s">
        <v>259</v>
      </c>
    </row>
    <row r="706" spans="1:96" x14ac:dyDescent="0.2">
      <c r="A706" t="s">
        <v>8328</v>
      </c>
      <c r="B706" t="s">
        <v>96</v>
      </c>
      <c r="C706" s="1">
        <v>44098</v>
      </c>
      <c r="D706" s="1">
        <v>44105</v>
      </c>
      <c r="F706" t="s">
        <v>97</v>
      </c>
      <c r="G706" t="str">
        <f>"MANAGER II, SOFTWARE DEVELOPMENT"</f>
        <v>MANAGER II, SOFTWARE DEVELOPMENT</v>
      </c>
      <c r="H706" t="s">
        <v>12178</v>
      </c>
      <c r="I706" t="s">
        <v>582</v>
      </c>
      <c r="J706" t="s">
        <v>98</v>
      </c>
      <c r="K706" s="1">
        <v>44260</v>
      </c>
      <c r="L706" s="1">
        <v>45355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 t="s">
        <v>440</v>
      </c>
      <c r="U706" t="str">
        <f>""</f>
        <v/>
      </c>
      <c r="V706" t="s">
        <v>809</v>
      </c>
      <c r="W706" t="str">
        <f>"SUITE 500"</f>
        <v>SUITE 500</v>
      </c>
      <c r="X706" t="s">
        <v>433</v>
      </c>
      <c r="Y706" t="s">
        <v>176</v>
      </c>
      <c r="Z706" s="3">
        <v>98121</v>
      </c>
      <c r="AA706" t="s">
        <v>101</v>
      </c>
      <c r="AC706" s="4" t="str">
        <f>"+12062661000"</f>
        <v>+12062661000</v>
      </c>
      <c r="AE706" t="str">
        <f>"454110"</f>
        <v>454110</v>
      </c>
      <c r="AF706" t="s">
        <v>442</v>
      </c>
      <c r="AG706" t="s">
        <v>443</v>
      </c>
      <c r="AH706" t="s">
        <v>108</v>
      </c>
      <c r="AI706" t="s">
        <v>434</v>
      </c>
      <c r="AJ706" t="s">
        <v>809</v>
      </c>
      <c r="AK706" t="str">
        <f>"SUITE 500"</f>
        <v>SUITE 500</v>
      </c>
      <c r="AL706" t="s">
        <v>433</v>
      </c>
      <c r="AM706" t="s">
        <v>176</v>
      </c>
      <c r="AN706" s="3">
        <v>98121</v>
      </c>
      <c r="AO706" t="s">
        <v>101</v>
      </c>
      <c r="AQ706" t="str">
        <f>"+12062661000"</f>
        <v>+12062661000</v>
      </c>
      <c r="AS706" t="s">
        <v>263</v>
      </c>
      <c r="AT706" t="s">
        <v>107</v>
      </c>
      <c r="AU706" t="str">
        <f>"MARANCI"</f>
        <v>MARANCI</v>
      </c>
      <c r="AV706" t="str">
        <f>"DANIEL"</f>
        <v>DANIEL</v>
      </c>
      <c r="AW706" t="str">
        <f>"N/A"</f>
        <v>N/A</v>
      </c>
      <c r="AX706" t="str">
        <f>"100 HIGH STREET"</f>
        <v>100 HIGH STREET</v>
      </c>
      <c r="AY706" t="str">
        <f>"3RD FLOOR C#5219516"</f>
        <v>3RD FLOOR C#5219516</v>
      </c>
      <c r="AZ706" t="str">
        <f>"BOSTON"</f>
        <v>BOSTON</v>
      </c>
      <c r="BA706" t="str">
        <f>"MA"</f>
        <v>MA</v>
      </c>
      <c r="BB706" s="3">
        <v>2110</v>
      </c>
      <c r="BC706" t="str">
        <f t="shared" si="47"/>
        <v>UNITED STATES OF AMERICA</v>
      </c>
      <c r="BD706" t="str">
        <f>""</f>
        <v/>
      </c>
      <c r="BE706" t="str">
        <f>"+16175740400"</f>
        <v>+16175740400</v>
      </c>
      <c r="BF706" t="str">
        <f>""</f>
        <v/>
      </c>
      <c r="BG706" t="str">
        <f>"AMAZONINDIA@FRAGOMEN.COM"</f>
        <v>AMAZONINDIA@FRAGOMEN.COM</v>
      </c>
      <c r="BH706" t="str">
        <f>"FRAGOMEN, DEL REY, BERNSEN &amp; LOEWY, LLP"</f>
        <v>FRAGOMEN, DEL REY, BERNSEN &amp; LOEWY, LLP</v>
      </c>
      <c r="BI706" t="str">
        <f>"MA"</f>
        <v>MA</v>
      </c>
      <c r="BJ706" t="str">
        <f>"SUPREME JUDICIAL COURT"</f>
        <v>SUPREME JUDICIAL COURT</v>
      </c>
      <c r="BK706">
        <v>1</v>
      </c>
      <c r="BL706" t="s">
        <v>102</v>
      </c>
      <c r="BM706" t="str">
        <f>""</f>
        <v/>
      </c>
      <c r="BN706" t="s">
        <v>4176</v>
      </c>
      <c r="BP706" t="s">
        <v>433</v>
      </c>
      <c r="BQ706" t="s">
        <v>183</v>
      </c>
      <c r="BR706" t="s">
        <v>176</v>
      </c>
      <c r="BS706" s="5">
        <v>98121</v>
      </c>
      <c r="BT706" s="2">
        <v>151600</v>
      </c>
      <c r="BV706" t="s">
        <v>105</v>
      </c>
      <c r="BW706" s="2">
        <v>143998</v>
      </c>
      <c r="BX706" t="s">
        <v>105</v>
      </c>
      <c r="BZ706" t="s">
        <v>167</v>
      </c>
      <c r="CA706" t="str">
        <f t="shared" si="46"/>
        <v>7/1/2020 - 6/30/2021</v>
      </c>
      <c r="CF706">
        <v>1</v>
      </c>
      <c r="CG706" t="s">
        <v>98</v>
      </c>
      <c r="CH706" t="s">
        <v>206</v>
      </c>
      <c r="CI706" t="s">
        <v>206</v>
      </c>
      <c r="CL706" t="s">
        <v>108</v>
      </c>
      <c r="CM706" t="s">
        <v>109</v>
      </c>
      <c r="CN706" t="str">
        <f>"SUNNY"</f>
        <v>SUNNY</v>
      </c>
      <c r="CO706" t="str">
        <f>"JASMIN"</f>
        <v>JASMIN</v>
      </c>
      <c r="CP706" t="str">
        <f>"N/A"</f>
        <v>N/A</v>
      </c>
      <c r="CQ706" t="str">
        <f>"FRAGOMEN, DEL REY, BERNSEN &amp; LOEWY, LLP"</f>
        <v>FRAGOMEN, DEL REY, BERNSEN &amp; LOEWY, LLP</v>
      </c>
      <c r="CR706" t="s">
        <v>650</v>
      </c>
    </row>
    <row r="707" spans="1:96" x14ac:dyDescent="0.2">
      <c r="A707" t="s">
        <v>8342</v>
      </c>
      <c r="B707" t="s">
        <v>96</v>
      </c>
      <c r="C707" s="1">
        <v>44098</v>
      </c>
      <c r="D707" s="1">
        <v>44105</v>
      </c>
      <c r="F707" t="s">
        <v>97</v>
      </c>
      <c r="G707" t="str">
        <f>"Software Engineer (1615.36128)"</f>
        <v>Software Engineer (1615.36128)</v>
      </c>
      <c r="H707" t="s">
        <v>12169</v>
      </c>
      <c r="I707" t="s">
        <v>124</v>
      </c>
      <c r="J707" t="s">
        <v>98</v>
      </c>
      <c r="K707" s="1">
        <v>44105</v>
      </c>
      <c r="L707" s="1">
        <v>45199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289</v>
      </c>
      <c r="U707" t="str">
        <f>""</f>
        <v/>
      </c>
      <c r="V707" t="s">
        <v>290</v>
      </c>
      <c r="W707" t="str">
        <f>""</f>
        <v/>
      </c>
      <c r="X707" t="s">
        <v>155</v>
      </c>
      <c r="Y707" t="s">
        <v>141</v>
      </c>
      <c r="Z707" s="3">
        <v>94043</v>
      </c>
      <c r="AA707" t="s">
        <v>101</v>
      </c>
      <c r="AC707" s="4" t="str">
        <f>"+16502534513"</f>
        <v>+16502534513</v>
      </c>
      <c r="AE707" t="str">
        <f>"541512"</f>
        <v>541512</v>
      </c>
      <c r="AF707" t="s">
        <v>291</v>
      </c>
      <c r="AG707" t="s">
        <v>6058</v>
      </c>
      <c r="AI707" t="s">
        <v>3132</v>
      </c>
      <c r="AJ707" t="s">
        <v>290</v>
      </c>
      <c r="AK707" t="str">
        <f>""</f>
        <v/>
      </c>
      <c r="AL707" t="s">
        <v>155</v>
      </c>
      <c r="AM707" t="s">
        <v>141</v>
      </c>
      <c r="AN707" s="3">
        <v>94043</v>
      </c>
      <c r="AO707" t="s">
        <v>101</v>
      </c>
      <c r="AQ707" t="str">
        <f>"+16502534513"</f>
        <v>+16502534513</v>
      </c>
      <c r="AS707" t="s">
        <v>294</v>
      </c>
      <c r="AT707" t="s">
        <v>107</v>
      </c>
      <c r="AU707" t="str">
        <f>"Shim"</f>
        <v>Shim</v>
      </c>
      <c r="AV707" t="str">
        <f>"Diana"</f>
        <v>Diana</v>
      </c>
      <c r="AW707" t="str">
        <f>""</f>
        <v/>
      </c>
      <c r="AX707" t="str">
        <f>"2400 N Glenville Dr, Building A"</f>
        <v>2400 N Glenville Dr, Building A</v>
      </c>
      <c r="AY707" t="str">
        <f>"Suite 100"</f>
        <v>Suite 100</v>
      </c>
      <c r="AZ707" t="str">
        <f>"Richardson"</f>
        <v>Richardson</v>
      </c>
      <c r="BA707" t="str">
        <f>"TX"</f>
        <v>TX</v>
      </c>
      <c r="BB707" s="3">
        <v>75082</v>
      </c>
      <c r="BC707" t="str">
        <f t="shared" si="47"/>
        <v>UNITED STATES OF AMERICA</v>
      </c>
      <c r="BD707" t="str">
        <f>""</f>
        <v/>
      </c>
      <c r="BE707" t="str">
        <f>"+14695052766"</f>
        <v>+14695052766</v>
      </c>
      <c r="BF707" t="str">
        <f>""</f>
        <v/>
      </c>
      <c r="BG707" t="str">
        <f>"googledol@balglobal.com"</f>
        <v>googledol@balglobal.com</v>
      </c>
      <c r="BH707" t="str">
        <f>"Berry Appleman &amp; Leiden LLP"</f>
        <v>Berry Appleman &amp; Leiden LLP</v>
      </c>
      <c r="BI707" t="str">
        <f>"TX"</f>
        <v>TX</v>
      </c>
      <c r="BJ707" t="str">
        <f>"Supreme Court of Texas"</f>
        <v>Supreme Court of Texas</v>
      </c>
      <c r="BK707">
        <v>1</v>
      </c>
      <c r="BL707" t="s">
        <v>102</v>
      </c>
      <c r="BM707" t="str">
        <f>""</f>
        <v/>
      </c>
      <c r="BN707" t="s">
        <v>1059</v>
      </c>
      <c r="BP707" t="s">
        <v>229</v>
      </c>
      <c r="BQ707" t="s">
        <v>230</v>
      </c>
      <c r="BR707" t="s">
        <v>141</v>
      </c>
      <c r="BS707" s="5">
        <v>94089</v>
      </c>
      <c r="BT707" s="2">
        <v>139670</v>
      </c>
      <c r="BV707" t="s">
        <v>105</v>
      </c>
      <c r="BW707" s="2">
        <v>120578</v>
      </c>
      <c r="BX707" t="s">
        <v>105</v>
      </c>
      <c r="BZ707" t="s">
        <v>167</v>
      </c>
      <c r="CA707" t="str">
        <f t="shared" si="46"/>
        <v>7/1/2020 - 6/30/2021</v>
      </c>
      <c r="CF707">
        <v>2</v>
      </c>
      <c r="CG707" t="s">
        <v>98</v>
      </c>
      <c r="CH707" t="s">
        <v>206</v>
      </c>
      <c r="CI707" t="s">
        <v>206</v>
      </c>
      <c r="CL707" t="s">
        <v>108</v>
      </c>
      <c r="CM707" t="s">
        <v>109</v>
      </c>
      <c r="CN707" t="str">
        <f>"Mata"</f>
        <v>Mata</v>
      </c>
      <c r="CO707" t="str">
        <f>"Juan"</f>
        <v>Juan</v>
      </c>
      <c r="CP707" t="str">
        <f>""</f>
        <v/>
      </c>
      <c r="CQ707" t="str">
        <f>"Berry Appleman &amp; Leiden LLP"</f>
        <v>Berry Appleman &amp; Leiden LLP</v>
      </c>
      <c r="CR707" t="s">
        <v>6059</v>
      </c>
    </row>
    <row r="708" spans="1:96" x14ac:dyDescent="0.2">
      <c r="A708" t="s">
        <v>8348</v>
      </c>
      <c r="B708" t="s">
        <v>96</v>
      </c>
      <c r="C708" s="1">
        <v>44098</v>
      </c>
      <c r="D708" s="1">
        <v>44105</v>
      </c>
      <c r="F708" t="s">
        <v>97</v>
      </c>
      <c r="G708" t="str">
        <f>"Data Architect"</f>
        <v>Data Architect</v>
      </c>
      <c r="H708" t="s">
        <v>12168</v>
      </c>
      <c r="I708" t="s">
        <v>354</v>
      </c>
      <c r="J708" t="s">
        <v>98</v>
      </c>
      <c r="K708" s="1">
        <v>44115</v>
      </c>
      <c r="L708" s="1">
        <v>45209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 t="s">
        <v>8349</v>
      </c>
      <c r="U708" t="str">
        <f>""</f>
        <v/>
      </c>
      <c r="V708" t="s">
        <v>4621</v>
      </c>
      <c r="W708" t="str">
        <f>""</f>
        <v/>
      </c>
      <c r="X708" t="s">
        <v>277</v>
      </c>
      <c r="Y708" t="s">
        <v>190</v>
      </c>
      <c r="Z708" s="3">
        <v>10001</v>
      </c>
      <c r="AA708" t="s">
        <v>101</v>
      </c>
      <c r="AC708" s="4" t="str">
        <f>"+12124848000"</f>
        <v>+12124848000</v>
      </c>
      <c r="AE708" t="str">
        <f>"515120"</f>
        <v>515120</v>
      </c>
      <c r="AF708" t="s">
        <v>8350</v>
      </c>
      <c r="AG708" t="s">
        <v>8351</v>
      </c>
      <c r="AI708" t="s">
        <v>3319</v>
      </c>
      <c r="AJ708" t="s">
        <v>7865</v>
      </c>
      <c r="AK708" t="str">
        <f>""</f>
        <v/>
      </c>
      <c r="AL708" t="s">
        <v>213</v>
      </c>
      <c r="AM708" t="s">
        <v>215</v>
      </c>
      <c r="AN708" s="3">
        <v>30303</v>
      </c>
      <c r="AO708" t="s">
        <v>101</v>
      </c>
      <c r="AQ708" t="str">
        <f>"+14048271563"</f>
        <v>+14048271563</v>
      </c>
      <c r="AS708" t="s">
        <v>8352</v>
      </c>
      <c r="AT708" t="s">
        <v>107</v>
      </c>
      <c r="AU708" t="str">
        <f>"Winarsky"</f>
        <v>Winarsky</v>
      </c>
      <c r="AV708" t="str">
        <f>"Karen"</f>
        <v>Karen</v>
      </c>
      <c r="AW708" t="str">
        <f>""</f>
        <v/>
      </c>
      <c r="AX708" t="str">
        <f>"1355 Peachtree St NE"</f>
        <v>1355 Peachtree St NE</v>
      </c>
      <c r="AY708" t="str">
        <f>"Suite 900"</f>
        <v>Suite 900</v>
      </c>
      <c r="AZ708" t="str">
        <f>"Atlanta"</f>
        <v>Atlanta</v>
      </c>
      <c r="BA708" t="str">
        <f>"GA"</f>
        <v>GA</v>
      </c>
      <c r="BB708" s="3">
        <v>30309</v>
      </c>
      <c r="BC708" t="str">
        <f t="shared" si="47"/>
        <v>UNITED STATES OF AMERICA</v>
      </c>
      <c r="BD708" t="str">
        <f>""</f>
        <v/>
      </c>
      <c r="BE708" t="str">
        <f>"+14048565527"</f>
        <v>+14048565527</v>
      </c>
      <c r="BF708" t="str">
        <f>""</f>
        <v/>
      </c>
      <c r="BG708" t="str">
        <f>"OMcBride@fragomen.com"</f>
        <v>OMcBride@fragomen.com</v>
      </c>
      <c r="BH708" t="str">
        <f>"Fragomen, Del Rey, Bernsen &amp; Loewy, LLP"</f>
        <v>Fragomen, Del Rey, Bernsen &amp; Loewy, LLP</v>
      </c>
      <c r="BI708" t="str">
        <f>"GA"</f>
        <v>GA</v>
      </c>
      <c r="BJ708" t="str">
        <f>"Supreme Court"</f>
        <v>Supreme Court</v>
      </c>
      <c r="BK708">
        <v>1</v>
      </c>
      <c r="BL708" t="s">
        <v>102</v>
      </c>
      <c r="BM708" t="str">
        <f>""</f>
        <v/>
      </c>
      <c r="BN708" t="s">
        <v>8353</v>
      </c>
      <c r="BP708" t="s">
        <v>261</v>
      </c>
      <c r="BQ708" t="s">
        <v>183</v>
      </c>
      <c r="BR708" t="s">
        <v>176</v>
      </c>
      <c r="BS708" s="5">
        <v>98101</v>
      </c>
      <c r="BT708" s="2">
        <v>165000</v>
      </c>
      <c r="BU708" s="2">
        <v>205000</v>
      </c>
      <c r="BV708" t="s">
        <v>105</v>
      </c>
      <c r="BW708" s="2">
        <v>117125</v>
      </c>
      <c r="BX708" t="s">
        <v>105</v>
      </c>
      <c r="BZ708" t="s">
        <v>159</v>
      </c>
      <c r="CA708" t="str">
        <f t="shared" si="46"/>
        <v>7/1/2020 - 6/30/2021</v>
      </c>
      <c r="CF708">
        <v>2</v>
      </c>
      <c r="CG708" t="s">
        <v>98</v>
      </c>
      <c r="CH708" t="s">
        <v>206</v>
      </c>
      <c r="CI708" t="s">
        <v>206</v>
      </c>
      <c r="CL708" t="s">
        <v>108</v>
      </c>
      <c r="CM708" t="s">
        <v>109</v>
      </c>
      <c r="CN708" t="str">
        <f>""</f>
        <v/>
      </c>
      <c r="CO708" t="str">
        <f>""</f>
        <v/>
      </c>
      <c r="CP708" t="str">
        <f>""</f>
        <v/>
      </c>
      <c r="CQ708" t="str">
        <f>""</f>
        <v/>
      </c>
    </row>
    <row r="709" spans="1:96" x14ac:dyDescent="0.2">
      <c r="A709" t="s">
        <v>8360</v>
      </c>
      <c r="B709" t="s">
        <v>96</v>
      </c>
      <c r="C709" s="1">
        <v>44098</v>
      </c>
      <c r="D709" s="1">
        <v>44105</v>
      </c>
      <c r="F709" t="s">
        <v>97</v>
      </c>
      <c r="G709" t="str">
        <f>"Senior Software Design Engineer"</f>
        <v>Senior Software Design Engineer</v>
      </c>
      <c r="H709" t="s">
        <v>12176</v>
      </c>
      <c r="I709" t="s">
        <v>246</v>
      </c>
      <c r="J709" t="s">
        <v>98</v>
      </c>
      <c r="K709" s="1">
        <v>44105</v>
      </c>
      <c r="L709" s="1">
        <v>45199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6112</v>
      </c>
      <c r="U709" t="str">
        <f>""</f>
        <v/>
      </c>
      <c r="V709" t="s">
        <v>6113</v>
      </c>
      <c r="W709" t="str">
        <f>""</f>
        <v/>
      </c>
      <c r="X709" t="s">
        <v>982</v>
      </c>
      <c r="Y709" t="s">
        <v>265</v>
      </c>
      <c r="Z709" s="3">
        <v>48150</v>
      </c>
      <c r="AA709" t="s">
        <v>101</v>
      </c>
      <c r="AC709" s="4" t="str">
        <f>"+17348552654"</f>
        <v>+17348552654</v>
      </c>
      <c r="AE709" t="str">
        <f>"336111"</f>
        <v>336111</v>
      </c>
      <c r="AF709" t="s">
        <v>8182</v>
      </c>
      <c r="AG709" t="s">
        <v>1084</v>
      </c>
      <c r="AI709" t="s">
        <v>5609</v>
      </c>
      <c r="AJ709" t="s">
        <v>6113</v>
      </c>
      <c r="AK709" t="str">
        <f>""</f>
        <v/>
      </c>
      <c r="AL709" t="s">
        <v>982</v>
      </c>
      <c r="AM709" t="s">
        <v>265</v>
      </c>
      <c r="AN709" s="3">
        <v>48150</v>
      </c>
      <c r="AO709" t="s">
        <v>101</v>
      </c>
      <c r="AQ709" t="str">
        <f>"+17348552654"</f>
        <v>+17348552654</v>
      </c>
      <c r="AS709" t="s">
        <v>8183</v>
      </c>
      <c r="AT709" t="s">
        <v>107</v>
      </c>
      <c r="AU709" t="str">
        <f>"Terebelo"</f>
        <v>Terebelo</v>
      </c>
      <c r="AV709" t="str">
        <f>"Michal"</f>
        <v>Michal</v>
      </c>
      <c r="AW709" t="str">
        <f>"D."</f>
        <v>D.</v>
      </c>
      <c r="AX709" t="str">
        <f>"5250 Corporate Drive"</f>
        <v>5250 Corporate Drive</v>
      </c>
      <c r="AY709" t="str">
        <f>"Ste. 300"</f>
        <v>Ste. 300</v>
      </c>
      <c r="AZ709" t="str">
        <f>"Troy"</f>
        <v>Troy</v>
      </c>
      <c r="BA709" t="str">
        <f>"MI"</f>
        <v>MI</v>
      </c>
      <c r="BB709" s="3">
        <v>48098</v>
      </c>
      <c r="BC709" t="str">
        <f t="shared" si="47"/>
        <v>UNITED STATES OF AMERICA</v>
      </c>
      <c r="BD709" t="str">
        <f>""</f>
        <v/>
      </c>
      <c r="BE709" t="str">
        <f>"+12486434900"</f>
        <v>+12486434900</v>
      </c>
      <c r="BF709" t="str">
        <f>""</f>
        <v/>
      </c>
      <c r="BG709" t="str">
        <f>"Kanhaiyalal@employmentimmigration.com"</f>
        <v>Kanhaiyalal@employmentimmigration.com</v>
      </c>
      <c r="BH709" t="str">
        <f>"Fakhoury Global Immigration, USA PC"</f>
        <v>Fakhoury Global Immigration, USA PC</v>
      </c>
      <c r="BI709" t="str">
        <f>"MI"</f>
        <v>MI</v>
      </c>
      <c r="BJ709" t="str">
        <f>"Supreme Court"</f>
        <v>Supreme Court</v>
      </c>
      <c r="BK709">
        <v>1</v>
      </c>
      <c r="BL709" t="s">
        <v>102</v>
      </c>
      <c r="BM709" t="str">
        <f>""</f>
        <v/>
      </c>
      <c r="BN709" t="s">
        <v>6112</v>
      </c>
      <c r="BO709" t="s">
        <v>8185</v>
      </c>
      <c r="BP709" t="s">
        <v>982</v>
      </c>
      <c r="BQ709" t="s">
        <v>533</v>
      </c>
      <c r="BR709" t="s">
        <v>265</v>
      </c>
      <c r="BS709" s="5">
        <v>48150</v>
      </c>
      <c r="BT709" s="2">
        <v>114948</v>
      </c>
      <c r="BV709" t="s">
        <v>105</v>
      </c>
      <c r="BW709" s="2">
        <v>95160</v>
      </c>
      <c r="BX709" t="s">
        <v>105</v>
      </c>
      <c r="BZ709" t="s">
        <v>123</v>
      </c>
      <c r="CA709" t="str">
        <f t="shared" si="46"/>
        <v>7/1/2020 - 6/30/2021</v>
      </c>
      <c r="CF709">
        <v>1</v>
      </c>
      <c r="CG709" t="s">
        <v>98</v>
      </c>
      <c r="CH709" t="s">
        <v>206</v>
      </c>
      <c r="CI709" t="s">
        <v>206</v>
      </c>
      <c r="CL709" t="s">
        <v>108</v>
      </c>
      <c r="CM709" t="s">
        <v>109</v>
      </c>
      <c r="CN709" t="str">
        <f>"Terebelo"</f>
        <v>Terebelo</v>
      </c>
      <c r="CO709" t="str">
        <f>"Michal"</f>
        <v>Michal</v>
      </c>
      <c r="CP709" t="str">
        <f>"D."</f>
        <v>D.</v>
      </c>
      <c r="CQ709" t="str">
        <f>"Fakhoury Global Immigration, USA PC"</f>
        <v>Fakhoury Global Immigration, USA PC</v>
      </c>
      <c r="CR709" t="s">
        <v>3917</v>
      </c>
    </row>
    <row r="710" spans="1:96" x14ac:dyDescent="0.2">
      <c r="A710" t="s">
        <v>8361</v>
      </c>
      <c r="B710" t="s">
        <v>96</v>
      </c>
      <c r="C710" s="1">
        <v>44098</v>
      </c>
      <c r="D710" s="1">
        <v>44105</v>
      </c>
      <c r="F710" t="s">
        <v>97</v>
      </c>
      <c r="G710" t="str">
        <f>"Staff Accountant II"</f>
        <v>Staff Accountant II</v>
      </c>
      <c r="H710" t="s">
        <v>12192</v>
      </c>
      <c r="I710" t="s">
        <v>855</v>
      </c>
      <c r="J710" t="s">
        <v>98</v>
      </c>
      <c r="K710" s="1">
        <v>44105</v>
      </c>
      <c r="L710" s="1">
        <v>45199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 t="s">
        <v>4841</v>
      </c>
      <c r="U710" t="str">
        <f>""</f>
        <v/>
      </c>
      <c r="V710" t="s">
        <v>4842</v>
      </c>
      <c r="W710" t="str">
        <f>""</f>
        <v/>
      </c>
      <c r="X710" t="s">
        <v>4046</v>
      </c>
      <c r="Y710" t="s">
        <v>141</v>
      </c>
      <c r="Z710" s="3">
        <v>91789</v>
      </c>
      <c r="AA710" t="s">
        <v>101</v>
      </c>
      <c r="AC710" s="4" t="str">
        <f>"+19093481739"</f>
        <v>+19093481739</v>
      </c>
      <c r="AE710" t="str">
        <f>"33641"</f>
        <v>33641</v>
      </c>
      <c r="AF710" t="s">
        <v>4843</v>
      </c>
      <c r="AG710" t="s">
        <v>4844</v>
      </c>
      <c r="AI710" t="s">
        <v>4845</v>
      </c>
      <c r="AJ710" t="s">
        <v>4846</v>
      </c>
      <c r="AK710" t="str">
        <f>""</f>
        <v/>
      </c>
      <c r="AL710" t="s">
        <v>4046</v>
      </c>
      <c r="AM710" t="s">
        <v>141</v>
      </c>
      <c r="AN710" s="3">
        <v>91789</v>
      </c>
      <c r="AO710" t="s">
        <v>101</v>
      </c>
      <c r="AQ710" t="str">
        <f>"+19093481739"</f>
        <v>+19093481739</v>
      </c>
      <c r="AS710" t="s">
        <v>4847</v>
      </c>
      <c r="AT710" t="s">
        <v>107</v>
      </c>
      <c r="AU710" t="str">
        <f>"Vishwanath"</f>
        <v>Vishwanath</v>
      </c>
      <c r="AV710" t="str">
        <f>"Kruthi"</f>
        <v>Kruthi</v>
      </c>
      <c r="AW710" t="str">
        <f>""</f>
        <v/>
      </c>
      <c r="AX710" t="str">
        <f>"90 New Montgomery Street"</f>
        <v>90 New Montgomery Street</v>
      </c>
      <c r="AY710" t="str">
        <f>"Suite 750"</f>
        <v>Suite 750</v>
      </c>
      <c r="AZ710" t="str">
        <f>"San Francisco"</f>
        <v>San Francisco</v>
      </c>
      <c r="BA710" t="str">
        <f>"CA"</f>
        <v>CA</v>
      </c>
      <c r="BB710" s="3">
        <v>94105</v>
      </c>
      <c r="BC710" t="str">
        <f t="shared" si="47"/>
        <v>UNITED STATES OF AMERICA</v>
      </c>
      <c r="BD710" t="str">
        <f>""</f>
        <v/>
      </c>
      <c r="BE710" t="str">
        <f>"+14154801625"</f>
        <v>+14154801625</v>
      </c>
      <c r="BF710" t="str">
        <f>""</f>
        <v/>
      </c>
      <c r="BG710" t="str">
        <f>"gov@bridge.legal"</f>
        <v>gov@bridge.legal</v>
      </c>
      <c r="BH710" t="str">
        <f>"ImmiPartner, PC"</f>
        <v>ImmiPartner, PC</v>
      </c>
      <c r="BI710" t="str">
        <f>"NY"</f>
        <v>NY</v>
      </c>
      <c r="BJ710" t="str">
        <f>"The New York Court of Appeals"</f>
        <v>The New York Court of Appeals</v>
      </c>
      <c r="BK710">
        <v>1</v>
      </c>
      <c r="BL710" t="s">
        <v>102</v>
      </c>
      <c r="BM710" t="str">
        <f>""</f>
        <v/>
      </c>
      <c r="BN710" t="s">
        <v>4846</v>
      </c>
      <c r="BP710" t="s">
        <v>4046</v>
      </c>
      <c r="BQ710" t="s">
        <v>365</v>
      </c>
      <c r="BR710" t="s">
        <v>141</v>
      </c>
      <c r="BS710" s="5">
        <v>91789</v>
      </c>
      <c r="BT710" s="2">
        <v>32.26</v>
      </c>
      <c r="BV710" t="s">
        <v>210</v>
      </c>
      <c r="BW710" s="2">
        <v>31.13</v>
      </c>
      <c r="BX710" t="s">
        <v>210</v>
      </c>
      <c r="BZ710" t="s">
        <v>167</v>
      </c>
      <c r="CA710" t="str">
        <f t="shared" si="46"/>
        <v>7/1/2020 - 6/30/2021</v>
      </c>
      <c r="CF710">
        <v>1</v>
      </c>
      <c r="CG710" t="s">
        <v>98</v>
      </c>
      <c r="CH710" t="s">
        <v>206</v>
      </c>
      <c r="CI710" t="s">
        <v>206</v>
      </c>
      <c r="CL710" t="s">
        <v>108</v>
      </c>
      <c r="CM710" t="s">
        <v>109</v>
      </c>
      <c r="CN710" t="str">
        <f>""</f>
        <v/>
      </c>
      <c r="CO710" t="str">
        <f>""</f>
        <v/>
      </c>
      <c r="CP710" t="str">
        <f>""</f>
        <v/>
      </c>
      <c r="CQ710" t="str">
        <f>""</f>
        <v/>
      </c>
    </row>
    <row r="711" spans="1:96" x14ac:dyDescent="0.2">
      <c r="A711" t="s">
        <v>8363</v>
      </c>
      <c r="B711" t="s">
        <v>96</v>
      </c>
      <c r="C711" s="1">
        <v>44098</v>
      </c>
      <c r="D711" s="1">
        <v>44105</v>
      </c>
      <c r="F711" t="s">
        <v>97</v>
      </c>
      <c r="G711" t="str">
        <f>"Assistant Professor of Medicinal Chemistry"</f>
        <v>Assistant Professor of Medicinal Chemistry</v>
      </c>
      <c r="H711" t="s">
        <v>12203</v>
      </c>
      <c r="I711" t="s">
        <v>525</v>
      </c>
      <c r="J711" t="s">
        <v>98</v>
      </c>
      <c r="K711" s="1">
        <v>44197</v>
      </c>
      <c r="L711" s="1">
        <v>44561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 t="s">
        <v>8364</v>
      </c>
      <c r="U711" t="str">
        <f>"Concordia University Wisconsin"</f>
        <v>Concordia University Wisconsin</v>
      </c>
      <c r="V711" t="s">
        <v>8365</v>
      </c>
      <c r="W711" t="str">
        <f>""</f>
        <v/>
      </c>
      <c r="X711" t="s">
        <v>6555</v>
      </c>
      <c r="Y711" t="s">
        <v>330</v>
      </c>
      <c r="Z711" s="3">
        <v>53097</v>
      </c>
      <c r="AA711" t="s">
        <v>101</v>
      </c>
      <c r="AC711" s="4" t="str">
        <f>"+12622434303"</f>
        <v>+12622434303</v>
      </c>
      <c r="AE711" t="str">
        <f>"6113"</f>
        <v>6113</v>
      </c>
      <c r="AF711" t="s">
        <v>8366</v>
      </c>
      <c r="AG711" t="s">
        <v>2495</v>
      </c>
      <c r="AH711" t="s">
        <v>1559</v>
      </c>
      <c r="AI711" t="s">
        <v>8367</v>
      </c>
      <c r="AJ711" t="s">
        <v>8365</v>
      </c>
      <c r="AK711" t="str">
        <f>""</f>
        <v/>
      </c>
      <c r="AL711" t="s">
        <v>6555</v>
      </c>
      <c r="AM711" t="s">
        <v>330</v>
      </c>
      <c r="AN711" s="3">
        <v>53097</v>
      </c>
      <c r="AO711" t="s">
        <v>101</v>
      </c>
      <c r="AQ711" t="str">
        <f>"+12622434303"</f>
        <v>+12622434303</v>
      </c>
      <c r="AS711" t="s">
        <v>8368</v>
      </c>
      <c r="AT711" t="s">
        <v>107</v>
      </c>
      <c r="AU711" t="str">
        <f>"Schaeffer, Jr."</f>
        <v>Schaeffer, Jr.</v>
      </c>
      <c r="AV711" t="str">
        <f>"Gene"</f>
        <v>Gene</v>
      </c>
      <c r="AW711" t="str">
        <f>"Thomas"</f>
        <v>Thomas</v>
      </c>
      <c r="AX711" t="str">
        <f>"1 E. Main Street"</f>
        <v>1 E. Main Street</v>
      </c>
      <c r="AY711" t="str">
        <f>"Suite 500"</f>
        <v>Suite 500</v>
      </c>
      <c r="AZ711" t="str">
        <f>"Madison"</f>
        <v>Madison</v>
      </c>
      <c r="BA711" t="str">
        <f>"WI"</f>
        <v>WI</v>
      </c>
      <c r="BB711" s="3">
        <v>53703</v>
      </c>
      <c r="BC711" t="str">
        <f t="shared" si="47"/>
        <v>UNITED STATES OF AMERICA</v>
      </c>
      <c r="BD711" t="str">
        <f>""</f>
        <v/>
      </c>
      <c r="BE711" t="str">
        <f>"+16082573911"</f>
        <v>+16082573911</v>
      </c>
      <c r="BF711" t="str">
        <f>""</f>
        <v/>
      </c>
      <c r="BG711" t="str">
        <f>"gschaeffer@gklaw.com"</f>
        <v>gschaeffer@gklaw.com</v>
      </c>
      <c r="BH711" t="str">
        <f>"Godfrey &amp; Kahn, S.C."</f>
        <v>Godfrey &amp; Kahn, S.C.</v>
      </c>
      <c r="BI711" t="str">
        <f>"WI"</f>
        <v>WI</v>
      </c>
      <c r="BJ711" t="str">
        <f>"Wisconsin Supreme Court"</f>
        <v>Wisconsin Supreme Court</v>
      </c>
      <c r="BK711">
        <v>1</v>
      </c>
      <c r="BL711" t="s">
        <v>102</v>
      </c>
      <c r="BM711" t="str">
        <f>""</f>
        <v/>
      </c>
      <c r="BN711" t="s">
        <v>8369</v>
      </c>
      <c r="BP711" t="s">
        <v>6555</v>
      </c>
      <c r="BQ711" t="s">
        <v>1431</v>
      </c>
      <c r="BR711" t="s">
        <v>330</v>
      </c>
      <c r="BS711" s="5">
        <v>53097</v>
      </c>
      <c r="BT711" s="2">
        <v>101200</v>
      </c>
      <c r="BV711" t="s">
        <v>105</v>
      </c>
      <c r="BW711" s="2">
        <v>63663</v>
      </c>
      <c r="BX711" t="s">
        <v>105</v>
      </c>
      <c r="BZ711" t="s">
        <v>167</v>
      </c>
      <c r="CA711" t="str">
        <f t="shared" si="46"/>
        <v>7/1/2020 - 6/30/2021</v>
      </c>
      <c r="CF711">
        <v>2</v>
      </c>
      <c r="CG711" t="s">
        <v>98</v>
      </c>
      <c r="CH711" t="s">
        <v>206</v>
      </c>
      <c r="CI711" t="s">
        <v>206</v>
      </c>
      <c r="CL711" t="s">
        <v>108</v>
      </c>
      <c r="CM711" t="s">
        <v>109</v>
      </c>
      <c r="CN711" t="str">
        <f>""</f>
        <v/>
      </c>
      <c r="CO711" t="str">
        <f>""</f>
        <v/>
      </c>
      <c r="CP711" t="str">
        <f>""</f>
        <v/>
      </c>
      <c r="CQ711" t="str">
        <f>""</f>
        <v/>
      </c>
    </row>
    <row r="712" spans="1:96" x14ac:dyDescent="0.2">
      <c r="A712" t="s">
        <v>8370</v>
      </c>
      <c r="B712" t="s">
        <v>96</v>
      </c>
      <c r="C712" s="1">
        <v>44098</v>
      </c>
      <c r="D712" s="1">
        <v>44105</v>
      </c>
      <c r="F712" t="s">
        <v>97</v>
      </c>
      <c r="G712" t="str">
        <f>"AO/Senior Quality Assurance Analyst"</f>
        <v>AO/Senior Quality Assurance Analyst</v>
      </c>
      <c r="H712" t="s">
        <v>12168</v>
      </c>
      <c r="I712" t="s">
        <v>319</v>
      </c>
      <c r="J712" t="s">
        <v>98</v>
      </c>
      <c r="K712" s="1">
        <v>44205</v>
      </c>
      <c r="L712" s="1">
        <v>45299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 t="s">
        <v>3345</v>
      </c>
      <c r="U712" t="str">
        <f>""</f>
        <v/>
      </c>
      <c r="V712" t="s">
        <v>3346</v>
      </c>
      <c r="W712" t="str">
        <f>""</f>
        <v/>
      </c>
      <c r="X712" t="s">
        <v>277</v>
      </c>
      <c r="Y712" t="s">
        <v>190</v>
      </c>
      <c r="Z712" s="3">
        <v>10105</v>
      </c>
      <c r="AA712" t="s">
        <v>101</v>
      </c>
      <c r="AC712" s="4" t="str">
        <f>"+12129691000"</f>
        <v>+12129691000</v>
      </c>
      <c r="AE712" t="str">
        <f>"523920"</f>
        <v>523920</v>
      </c>
      <c r="AF712" t="s">
        <v>5347</v>
      </c>
      <c r="AG712" t="s">
        <v>3348</v>
      </c>
      <c r="AI712" t="s">
        <v>3044</v>
      </c>
      <c r="AJ712" t="s">
        <v>3349</v>
      </c>
      <c r="AK712" t="str">
        <f>""</f>
        <v/>
      </c>
      <c r="AL712" t="s">
        <v>1368</v>
      </c>
      <c r="AM712" t="s">
        <v>545</v>
      </c>
      <c r="AN712" s="3">
        <v>37219</v>
      </c>
      <c r="AO712" t="s">
        <v>101</v>
      </c>
      <c r="AQ712" t="str">
        <f>"+16292135803"</f>
        <v>+16292135803</v>
      </c>
      <c r="AS712" t="s">
        <v>3350</v>
      </c>
      <c r="AT712" t="s">
        <v>107</v>
      </c>
      <c r="AU712" t="str">
        <f>"Soni"</f>
        <v>Soni</v>
      </c>
      <c r="AV712" t="str">
        <f>"Rahul"</f>
        <v>Rahul</v>
      </c>
      <c r="AW712" t="str">
        <f>""</f>
        <v/>
      </c>
      <c r="AX712" t="str">
        <f>"1400 Broadway"</f>
        <v>1400 Broadway</v>
      </c>
      <c r="AY712" t="str">
        <f>""</f>
        <v/>
      </c>
      <c r="AZ712" t="str">
        <f>"New York"</f>
        <v>New York</v>
      </c>
      <c r="BA712" t="str">
        <f>"NY"</f>
        <v>NY</v>
      </c>
      <c r="BB712" s="3">
        <v>10018</v>
      </c>
      <c r="BC712" t="str">
        <f t="shared" si="47"/>
        <v>UNITED STATES OF AMERICA</v>
      </c>
      <c r="BD712" t="str">
        <f>""</f>
        <v/>
      </c>
      <c r="BE712" t="str">
        <f>"+12126888555"</f>
        <v>+12126888555</v>
      </c>
      <c r="BF712" t="str">
        <f>""</f>
        <v/>
      </c>
      <c r="BG712" t="str">
        <f>"nhigdon@fragomen.com"</f>
        <v>nhigdon@fragomen.com</v>
      </c>
      <c r="BH712" t="str">
        <f>"Fragomen, Del Rey, Bernsen &amp; Loewy, LLP"</f>
        <v>Fragomen, Del Rey, Bernsen &amp; Loewy, LLP</v>
      </c>
      <c r="BI712" t="str">
        <f>"CA"</f>
        <v>CA</v>
      </c>
      <c r="BJ712" t="str">
        <f>"Supreme Court"</f>
        <v>Supreme Court</v>
      </c>
      <c r="BK712">
        <v>1</v>
      </c>
      <c r="BL712" t="s">
        <v>102</v>
      </c>
      <c r="BM712" t="str">
        <f>""</f>
        <v/>
      </c>
      <c r="BN712" t="s">
        <v>8371</v>
      </c>
      <c r="BO712" t="s">
        <v>8372</v>
      </c>
      <c r="BP712" t="s">
        <v>6252</v>
      </c>
      <c r="BQ712" t="s">
        <v>1664</v>
      </c>
      <c r="BR712" t="s">
        <v>545</v>
      </c>
      <c r="BS712" s="5">
        <v>37076</v>
      </c>
      <c r="BT712" s="2">
        <v>86611</v>
      </c>
      <c r="BU712" s="2">
        <v>95000</v>
      </c>
      <c r="BV712" t="s">
        <v>105</v>
      </c>
      <c r="BW712" s="2">
        <v>86611</v>
      </c>
      <c r="BX712" t="s">
        <v>105</v>
      </c>
      <c r="BZ712" t="s">
        <v>159</v>
      </c>
      <c r="CA712" t="str">
        <f t="shared" si="46"/>
        <v>7/1/2020 - 6/30/2021</v>
      </c>
      <c r="CF712">
        <v>1</v>
      </c>
      <c r="CG712" t="s">
        <v>98</v>
      </c>
      <c r="CH712" t="s">
        <v>206</v>
      </c>
      <c r="CI712" t="s">
        <v>206</v>
      </c>
      <c r="CL712" t="s">
        <v>108</v>
      </c>
      <c r="CM712" t="s">
        <v>353</v>
      </c>
      <c r="CN712" t="str">
        <f>"Higdon"</f>
        <v>Higdon</v>
      </c>
      <c r="CO712" t="str">
        <f>"Nathaniel"</f>
        <v>Nathaniel</v>
      </c>
      <c r="CP712" t="str">
        <f>""</f>
        <v/>
      </c>
      <c r="CQ712" t="str">
        <f>"Fragomen, Del Rey, Bernsen &amp; Loewy, LLP"</f>
        <v>Fragomen, Del Rey, Bernsen &amp; Loewy, LLP</v>
      </c>
      <c r="CR712" t="s">
        <v>5348</v>
      </c>
    </row>
    <row r="713" spans="1:96" x14ac:dyDescent="0.2">
      <c r="A713" t="s">
        <v>8374</v>
      </c>
      <c r="B713" t="s">
        <v>96</v>
      </c>
      <c r="C713" s="1">
        <v>44098</v>
      </c>
      <c r="D713" s="1">
        <v>44105</v>
      </c>
      <c r="F713" t="s">
        <v>97</v>
      </c>
      <c r="G713" t="str">
        <f>"Sr Application Analyst"</f>
        <v>Sr Application Analyst</v>
      </c>
      <c r="H713" t="s">
        <v>12169</v>
      </c>
      <c r="I713" t="s">
        <v>124</v>
      </c>
      <c r="J713" t="s">
        <v>98</v>
      </c>
      <c r="K713" s="1">
        <v>44197</v>
      </c>
      <c r="L713" s="1">
        <v>45291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 t="s">
        <v>1036</v>
      </c>
      <c r="U713" t="str">
        <f>""</f>
        <v/>
      </c>
      <c r="V713" t="s">
        <v>1037</v>
      </c>
      <c r="W713" t="str">
        <f>""</f>
        <v/>
      </c>
      <c r="X713" t="s">
        <v>1015</v>
      </c>
      <c r="Y713" t="s">
        <v>330</v>
      </c>
      <c r="Z713" s="3">
        <v>53045</v>
      </c>
      <c r="AA713" t="s">
        <v>101</v>
      </c>
      <c r="AC713" s="4" t="str">
        <f>"+12628795000"</f>
        <v>+12628795000</v>
      </c>
      <c r="AE713" t="str">
        <f>"518210"</f>
        <v>518210</v>
      </c>
      <c r="AF713" t="s">
        <v>8375</v>
      </c>
      <c r="AG713" t="s">
        <v>927</v>
      </c>
      <c r="AI713" t="s">
        <v>5333</v>
      </c>
      <c r="AJ713" t="s">
        <v>1326</v>
      </c>
      <c r="AK713" t="str">
        <f>""</f>
        <v/>
      </c>
      <c r="AL713" t="s">
        <v>1327</v>
      </c>
      <c r="AM713" t="s">
        <v>330</v>
      </c>
      <c r="AN713" s="3">
        <v>53045</v>
      </c>
      <c r="AO713" t="s">
        <v>101</v>
      </c>
      <c r="AQ713" t="str">
        <f>"+12628795000"</f>
        <v>+12628795000</v>
      </c>
      <c r="AS713" t="s">
        <v>1043</v>
      </c>
      <c r="AT713" t="s">
        <v>107</v>
      </c>
      <c r="AU713" t="str">
        <f>"OLIVER"</f>
        <v>OLIVER</v>
      </c>
      <c r="AV713" t="str">
        <f>"BRENDA"</f>
        <v>BRENDA</v>
      </c>
      <c r="AW713" t="str">
        <f>"J"</f>
        <v>J</v>
      </c>
      <c r="AX713" t="str">
        <f>"1101 15TH STREET, NW"</f>
        <v>1101 15TH STREET, NW</v>
      </c>
      <c r="AY713" t="str">
        <f>"SUITE 700"</f>
        <v>SUITE 700</v>
      </c>
      <c r="AZ713" t="str">
        <f>"Washington"</f>
        <v>Washington</v>
      </c>
      <c r="BA713" t="str">
        <f>"DC"</f>
        <v>DC</v>
      </c>
      <c r="BB713" s="3">
        <v>20005</v>
      </c>
      <c r="BC713" t="str">
        <f t="shared" si="47"/>
        <v>UNITED STATES OF AMERICA</v>
      </c>
      <c r="BD713" t="str">
        <f>""</f>
        <v/>
      </c>
      <c r="BE713" t="str">
        <f>"+12022235515"</f>
        <v>+12022235515</v>
      </c>
      <c r="BF713" t="str">
        <f>""</f>
        <v/>
      </c>
      <c r="BG713" t="str">
        <f>"LCATeamPham@Fragomen.com"</f>
        <v>LCATeamPham@Fragomen.com</v>
      </c>
      <c r="BH713" t="str">
        <f>"Fragomen, Del Rey, Bernsen &amp; Loewy, LLP"</f>
        <v>Fragomen, Del Rey, Bernsen &amp; Loewy, LLP</v>
      </c>
      <c r="BI713" t="str">
        <f>"DC"</f>
        <v>DC</v>
      </c>
      <c r="BJ713" t="str">
        <f>"COURT OF APPEALS"</f>
        <v>COURT OF APPEALS</v>
      </c>
      <c r="BK713">
        <v>1</v>
      </c>
      <c r="BL713" t="s">
        <v>102</v>
      </c>
      <c r="BM713" t="str">
        <f>""</f>
        <v/>
      </c>
      <c r="BN713" t="s">
        <v>5043</v>
      </c>
      <c r="BP713" t="s">
        <v>847</v>
      </c>
      <c r="BQ713" t="s">
        <v>214</v>
      </c>
      <c r="BR713" t="s">
        <v>215</v>
      </c>
      <c r="BS713" s="5">
        <v>30004</v>
      </c>
      <c r="BT713" s="2">
        <v>120000</v>
      </c>
      <c r="BU713" s="2">
        <v>140000</v>
      </c>
      <c r="BV713" t="s">
        <v>105</v>
      </c>
      <c r="BW713" s="2">
        <v>103501</v>
      </c>
      <c r="BX713" t="s">
        <v>105</v>
      </c>
      <c r="BZ713" t="s">
        <v>123</v>
      </c>
      <c r="CA713" t="str">
        <f t="shared" si="46"/>
        <v>7/1/2020 - 6/30/2021</v>
      </c>
      <c r="CF713">
        <v>2</v>
      </c>
      <c r="CG713" t="s">
        <v>98</v>
      </c>
      <c r="CH713" t="s">
        <v>206</v>
      </c>
      <c r="CI713" t="s">
        <v>206</v>
      </c>
      <c r="CL713" t="s">
        <v>108</v>
      </c>
      <c r="CM713" t="s">
        <v>109</v>
      </c>
      <c r="CN713" t="str">
        <f>"McGarry"</f>
        <v>McGarry</v>
      </c>
      <c r="CO713" t="str">
        <f>"Enya"</f>
        <v>Enya</v>
      </c>
      <c r="CP713" t="str">
        <f>""</f>
        <v/>
      </c>
      <c r="CQ713" t="str">
        <f>"Fragomen, Del Rey, Bernsen &amp; Loewy, LLP"</f>
        <v>Fragomen, Del Rey, Bernsen &amp; Loewy, LLP</v>
      </c>
      <c r="CR713" t="s">
        <v>1329</v>
      </c>
    </row>
    <row r="714" spans="1:96" x14ac:dyDescent="0.2">
      <c r="A714" t="s">
        <v>8382</v>
      </c>
      <c r="B714" t="s">
        <v>96</v>
      </c>
      <c r="C714" s="1">
        <v>44098</v>
      </c>
      <c r="D714" s="1">
        <v>44105</v>
      </c>
      <c r="F714" t="s">
        <v>97</v>
      </c>
      <c r="G714" t="str">
        <f>"Postdoctoral Scholar"</f>
        <v>Postdoctoral Scholar</v>
      </c>
      <c r="H714" t="s">
        <v>12177</v>
      </c>
      <c r="I714" t="s">
        <v>1897</v>
      </c>
      <c r="J714" t="s">
        <v>98</v>
      </c>
      <c r="K714" s="1">
        <v>44197</v>
      </c>
      <c r="L714" s="1">
        <v>44742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4532</v>
      </c>
      <c r="U714" t="str">
        <f>""</f>
        <v/>
      </c>
      <c r="V714" t="s">
        <v>4533</v>
      </c>
      <c r="W714" t="str">
        <f>""</f>
        <v/>
      </c>
      <c r="X714" t="s">
        <v>1647</v>
      </c>
      <c r="Y714" t="s">
        <v>225</v>
      </c>
      <c r="Z714" s="3">
        <v>44106</v>
      </c>
      <c r="AA714" t="s">
        <v>101</v>
      </c>
      <c r="AC714" s="4" t="str">
        <f>"+12163686964"</f>
        <v>+12163686964</v>
      </c>
      <c r="AE714" t="str">
        <f>"611310"</f>
        <v>611310</v>
      </c>
      <c r="AF714" t="s">
        <v>4534</v>
      </c>
      <c r="AG714" t="s">
        <v>349</v>
      </c>
      <c r="AI714" t="s">
        <v>910</v>
      </c>
      <c r="AJ714" t="s">
        <v>4533</v>
      </c>
      <c r="AK714" t="str">
        <f>""</f>
        <v/>
      </c>
      <c r="AL714" t="s">
        <v>1647</v>
      </c>
      <c r="AM714" t="s">
        <v>225</v>
      </c>
      <c r="AN714" s="3">
        <v>44106</v>
      </c>
      <c r="AO714" t="s">
        <v>101</v>
      </c>
      <c r="AQ714" t="str">
        <f>"+12163686964"</f>
        <v>+12163686964</v>
      </c>
      <c r="AS714" t="s">
        <v>4535</v>
      </c>
      <c r="AT714" t="s">
        <v>102</v>
      </c>
      <c r="AU714" t="str">
        <f>""</f>
        <v/>
      </c>
      <c r="AV714" t="str">
        <f>""</f>
        <v/>
      </c>
      <c r="AW714" t="str">
        <f>""</f>
        <v/>
      </c>
      <c r="AX714" t="str">
        <f>""</f>
        <v/>
      </c>
      <c r="AY714" t="str">
        <f>""</f>
        <v/>
      </c>
      <c r="AZ714" t="str">
        <f>""</f>
        <v/>
      </c>
      <c r="BA714" t="str">
        <f>""</f>
        <v/>
      </c>
      <c r="BC714" t="str">
        <f>""</f>
        <v/>
      </c>
      <c r="BD714" t="str">
        <f>""</f>
        <v/>
      </c>
      <c r="BE714" t="str">
        <f>""</f>
        <v/>
      </c>
      <c r="BF714" t="str">
        <f>""</f>
        <v/>
      </c>
      <c r="BG714" t="str">
        <f>""</f>
        <v/>
      </c>
      <c r="BH714" t="str">
        <f>""</f>
        <v/>
      </c>
      <c r="BI714" t="str">
        <f>""</f>
        <v/>
      </c>
      <c r="BJ714" t="str">
        <f>""</f>
        <v/>
      </c>
      <c r="BK714">
        <v>1</v>
      </c>
      <c r="BL714" t="s">
        <v>102</v>
      </c>
      <c r="BM714" t="str">
        <f>""</f>
        <v/>
      </c>
      <c r="BN714" t="s">
        <v>4536</v>
      </c>
      <c r="BP714" t="s">
        <v>1647</v>
      </c>
      <c r="BQ714" t="s">
        <v>1087</v>
      </c>
      <c r="BR714" t="s">
        <v>225</v>
      </c>
      <c r="BS714" s="5">
        <v>44106</v>
      </c>
      <c r="BT714" s="2">
        <v>52704</v>
      </c>
      <c r="BV714" t="s">
        <v>105</v>
      </c>
      <c r="BW714" s="2">
        <v>48797</v>
      </c>
      <c r="BX714" t="s">
        <v>105</v>
      </c>
      <c r="BZ714" t="s">
        <v>167</v>
      </c>
      <c r="CA714" t="str">
        <f t="shared" si="46"/>
        <v>7/1/2020 - 6/30/2021</v>
      </c>
      <c r="CF714">
        <v>1</v>
      </c>
      <c r="CG714" t="s">
        <v>98</v>
      </c>
      <c r="CH714" t="s">
        <v>206</v>
      </c>
      <c r="CI714" t="s">
        <v>206</v>
      </c>
      <c r="CL714" t="s">
        <v>108</v>
      </c>
      <c r="CM714" t="s">
        <v>109</v>
      </c>
      <c r="CN714" t="str">
        <f>"Kalan"</f>
        <v>Kalan</v>
      </c>
      <c r="CO714" t="str">
        <f>"Christian"</f>
        <v>Christian</v>
      </c>
      <c r="CP714" t="str">
        <f>"M"</f>
        <v>M</v>
      </c>
      <c r="CQ714" t="str">
        <f>"Case Western Reserve University"</f>
        <v>Case Western Reserve University</v>
      </c>
      <c r="CR714" t="s">
        <v>4537</v>
      </c>
    </row>
    <row r="715" spans="1:96" x14ac:dyDescent="0.2">
      <c r="A715" t="s">
        <v>8408</v>
      </c>
      <c r="B715" t="s">
        <v>96</v>
      </c>
      <c r="C715" s="1">
        <v>44098</v>
      </c>
      <c r="D715" s="1">
        <v>44105</v>
      </c>
      <c r="F715" t="s">
        <v>97</v>
      </c>
      <c r="G715" t="str">
        <f>"Research Specialist"</f>
        <v>Research Specialist</v>
      </c>
      <c r="H715" t="s">
        <v>12235</v>
      </c>
      <c r="I715" t="s">
        <v>1962</v>
      </c>
      <c r="J715" t="s">
        <v>98</v>
      </c>
      <c r="K715" s="1">
        <v>44136</v>
      </c>
      <c r="L715" s="1">
        <v>45230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3733</v>
      </c>
      <c r="U715" t="str">
        <f>""</f>
        <v/>
      </c>
      <c r="V715" t="s">
        <v>8409</v>
      </c>
      <c r="W715" t="str">
        <f>""</f>
        <v/>
      </c>
      <c r="X715" t="s">
        <v>3734</v>
      </c>
      <c r="Y715" t="s">
        <v>371</v>
      </c>
      <c r="Z715" s="3">
        <v>74078</v>
      </c>
      <c r="AA715" t="s">
        <v>101</v>
      </c>
      <c r="AC715" s="4" t="str">
        <f>"+14057445459"</f>
        <v>+14057445459</v>
      </c>
      <c r="AE715" t="str">
        <f>"611310"</f>
        <v>611310</v>
      </c>
      <c r="AF715" t="s">
        <v>1913</v>
      </c>
      <c r="AG715" t="s">
        <v>7397</v>
      </c>
      <c r="AH715" t="s">
        <v>3385</v>
      </c>
      <c r="AI715" t="s">
        <v>2184</v>
      </c>
      <c r="AJ715" t="s">
        <v>8409</v>
      </c>
      <c r="AK715" t="str">
        <f>""</f>
        <v/>
      </c>
      <c r="AL715" t="s">
        <v>3734</v>
      </c>
      <c r="AM715" t="s">
        <v>371</v>
      </c>
      <c r="AN715" s="3">
        <v>74078</v>
      </c>
      <c r="AO715" t="s">
        <v>101</v>
      </c>
      <c r="AQ715" t="str">
        <f>"+14057445469"</f>
        <v>+14057445469</v>
      </c>
      <c r="AS715" t="s">
        <v>8410</v>
      </c>
      <c r="AT715" t="s">
        <v>107</v>
      </c>
      <c r="AU715" t="str">
        <f>"Stump"</f>
        <v>Stump</v>
      </c>
      <c r="AV715" t="str">
        <f>"Matthew"</f>
        <v>Matthew</v>
      </c>
      <c r="AW715" t="str">
        <f>"Douglas"</f>
        <v>Douglas</v>
      </c>
      <c r="AX715" t="str">
        <f>"6307 Waterford Blvd."</f>
        <v>6307 Waterford Blvd.</v>
      </c>
      <c r="AY715" t="str">
        <f>"Suite 222"</f>
        <v>Suite 222</v>
      </c>
      <c r="AZ715" t="str">
        <f>"Oklahoma City"</f>
        <v>Oklahoma City</v>
      </c>
      <c r="BA715" t="str">
        <f>"OK"</f>
        <v>OK</v>
      </c>
      <c r="BB715" s="3">
        <v>73118</v>
      </c>
      <c r="BC715" t="str">
        <f>"UNITED STATES OF AMERICA"</f>
        <v>UNITED STATES OF AMERICA</v>
      </c>
      <c r="BD715" t="str">
        <f>""</f>
        <v/>
      </c>
      <c r="BE715" t="str">
        <f>"+14058790800"</f>
        <v>+14058790800</v>
      </c>
      <c r="BF715" t="str">
        <f>""</f>
        <v/>
      </c>
      <c r="BG715" t="str">
        <f>"mstump@usvisagroup.com"</f>
        <v>mstump@usvisagroup.com</v>
      </c>
      <c r="BH715" t="str">
        <f>"Stump and Associates, PC"</f>
        <v>Stump and Associates, PC</v>
      </c>
      <c r="BI715" t="str">
        <f>"OK"</f>
        <v>OK</v>
      </c>
      <c r="BJ715" t="str">
        <f>"Oklahoma Supreme Court"</f>
        <v>Oklahoma Supreme Court</v>
      </c>
      <c r="BK715">
        <v>1</v>
      </c>
      <c r="BL715" t="s">
        <v>102</v>
      </c>
      <c r="BM715" t="str">
        <f>""</f>
        <v/>
      </c>
      <c r="BN715" t="s">
        <v>8409</v>
      </c>
      <c r="BP715" t="s">
        <v>3734</v>
      </c>
      <c r="BQ715" t="s">
        <v>3735</v>
      </c>
      <c r="BR715" t="s">
        <v>371</v>
      </c>
      <c r="BS715" s="5">
        <v>74078</v>
      </c>
      <c r="BT715" s="2">
        <v>47362</v>
      </c>
      <c r="BU715" s="2">
        <v>50000</v>
      </c>
      <c r="BV715" t="s">
        <v>105</v>
      </c>
      <c r="BW715" s="2">
        <v>47362</v>
      </c>
      <c r="BX715" t="s">
        <v>105</v>
      </c>
      <c r="BZ715" t="s">
        <v>191</v>
      </c>
      <c r="CA715" t="str">
        <f t="shared" si="46"/>
        <v>7/1/2020 - 6/30/2021</v>
      </c>
      <c r="CF715">
        <v>1</v>
      </c>
      <c r="CG715" t="s">
        <v>98</v>
      </c>
      <c r="CH715" t="s">
        <v>206</v>
      </c>
      <c r="CI715" t="s">
        <v>206</v>
      </c>
      <c r="CL715" t="s">
        <v>108</v>
      </c>
      <c r="CM715" t="s">
        <v>353</v>
      </c>
      <c r="CN715" t="str">
        <f>"Stump"</f>
        <v>Stump</v>
      </c>
      <c r="CO715" t="str">
        <f>"Matthew"</f>
        <v>Matthew</v>
      </c>
      <c r="CP715" t="str">
        <f>"D."</f>
        <v>D.</v>
      </c>
      <c r="CQ715" t="str">
        <f>"Stump and Associates, PC"</f>
        <v>Stump and Associates, PC</v>
      </c>
      <c r="CR715" t="s">
        <v>3514</v>
      </c>
    </row>
    <row r="716" spans="1:96" x14ac:dyDescent="0.2">
      <c r="A716" t="s">
        <v>8411</v>
      </c>
      <c r="B716" t="s">
        <v>96</v>
      </c>
      <c r="C716" s="1">
        <v>44098</v>
      </c>
      <c r="D716" s="1">
        <v>44105</v>
      </c>
      <c r="F716" t="s">
        <v>97</v>
      </c>
      <c r="G716" t="str">
        <f>"Market Research Analyst "</f>
        <v xml:space="preserve">Market Research Analyst </v>
      </c>
      <c r="H716" t="s">
        <v>12174</v>
      </c>
      <c r="I716" t="s">
        <v>1795</v>
      </c>
      <c r="J716" t="s">
        <v>98</v>
      </c>
      <c r="K716" s="1">
        <v>44105</v>
      </c>
      <c r="L716" s="1">
        <v>45199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8412</v>
      </c>
      <c r="U716" t="str">
        <f>""</f>
        <v/>
      </c>
      <c r="V716" t="s">
        <v>8413</v>
      </c>
      <c r="W716" t="str">
        <f>"Suite 11-017"</f>
        <v>Suite 11-017</v>
      </c>
      <c r="X716" t="s">
        <v>277</v>
      </c>
      <c r="Y716" t="s">
        <v>190</v>
      </c>
      <c r="Z716" s="3">
        <v>10022</v>
      </c>
      <c r="AA716" t="s">
        <v>101</v>
      </c>
      <c r="AC716" s="4" t="str">
        <f>"+16468834221"</f>
        <v>+16468834221</v>
      </c>
      <c r="AE716" t="str">
        <f>"425120"</f>
        <v>425120</v>
      </c>
      <c r="AF716" t="s">
        <v>8414</v>
      </c>
      <c r="AG716" t="s">
        <v>3410</v>
      </c>
      <c r="AI716" t="s">
        <v>629</v>
      </c>
      <c r="AJ716" t="s">
        <v>8413</v>
      </c>
      <c r="AK716" t="str">
        <f>"Suite 11-017"</f>
        <v>Suite 11-017</v>
      </c>
      <c r="AL716" t="s">
        <v>277</v>
      </c>
      <c r="AM716" t="s">
        <v>190</v>
      </c>
      <c r="AN716" s="3">
        <v>10022</v>
      </c>
      <c r="AO716" t="s">
        <v>101</v>
      </c>
      <c r="AQ716" t="str">
        <f>"+16468834221"</f>
        <v>+16468834221</v>
      </c>
      <c r="AS716" t="s">
        <v>8415</v>
      </c>
      <c r="AT716" t="s">
        <v>107</v>
      </c>
      <c r="AU716" t="str">
        <f>"DARYANANI"</f>
        <v>DARYANANI</v>
      </c>
      <c r="AV716" t="str">
        <f>"PROTIMA"</f>
        <v>PROTIMA</v>
      </c>
      <c r="AW716" t="str">
        <f>"A"</f>
        <v>A</v>
      </c>
      <c r="AX716" t="str">
        <f>"330 SEVENTH AVENUE"</f>
        <v>330 SEVENTH AVENUE</v>
      </c>
      <c r="AY716" t="str">
        <f>"SUITE 2003"</f>
        <v>SUITE 2003</v>
      </c>
      <c r="AZ716" t="str">
        <f>"New York"</f>
        <v>New York</v>
      </c>
      <c r="BA716" t="str">
        <f>"NY"</f>
        <v>NY</v>
      </c>
      <c r="BB716" s="3">
        <v>10001</v>
      </c>
      <c r="BC716" t="str">
        <f>"UNITED STATES OF AMERICA"</f>
        <v>UNITED STATES OF AMERICA</v>
      </c>
      <c r="BD716" t="str">
        <f>""</f>
        <v/>
      </c>
      <c r="BE716" t="str">
        <f>"+12124315576"</f>
        <v>+12124315576</v>
      </c>
      <c r="BF716" t="str">
        <f>""</f>
        <v/>
      </c>
      <c r="BG716" t="str">
        <f>"PAD@DLGVISA.COM"</f>
        <v>PAD@DLGVISA.COM</v>
      </c>
      <c r="BH716" t="str">
        <f>"DARYANANI LAW GROUP, PC"</f>
        <v>DARYANANI LAW GROUP, PC</v>
      </c>
      <c r="BI716" t="str">
        <f>"NY"</f>
        <v>NY</v>
      </c>
      <c r="BJ716" t="str">
        <f>"NEW YORK COURT OF APPEALS"</f>
        <v>NEW YORK COURT OF APPEALS</v>
      </c>
      <c r="BK716">
        <v>1</v>
      </c>
      <c r="BL716" t="s">
        <v>102</v>
      </c>
      <c r="BM716" t="str">
        <f>""</f>
        <v/>
      </c>
      <c r="BN716" t="s">
        <v>6814</v>
      </c>
      <c r="BO716" t="s">
        <v>8416</v>
      </c>
      <c r="BP716" t="s">
        <v>277</v>
      </c>
      <c r="BQ716" t="s">
        <v>189</v>
      </c>
      <c r="BR716" t="s">
        <v>190</v>
      </c>
      <c r="BS716" s="5">
        <v>10036</v>
      </c>
      <c r="BT716" s="2">
        <v>50000</v>
      </c>
      <c r="BV716" t="s">
        <v>105</v>
      </c>
      <c r="BW716" s="2">
        <v>47590</v>
      </c>
      <c r="BX716" t="s">
        <v>105</v>
      </c>
      <c r="BZ716" t="s">
        <v>191</v>
      </c>
      <c r="CA716" t="str">
        <f t="shared" si="46"/>
        <v>7/1/2020 - 6/30/2021</v>
      </c>
      <c r="CF716">
        <v>2</v>
      </c>
      <c r="CG716" t="s">
        <v>98</v>
      </c>
      <c r="CH716" t="s">
        <v>206</v>
      </c>
      <c r="CI716" t="s">
        <v>206</v>
      </c>
      <c r="CL716" t="s">
        <v>108</v>
      </c>
      <c r="CM716" t="s">
        <v>353</v>
      </c>
      <c r="CN716" t="str">
        <f>""</f>
        <v/>
      </c>
      <c r="CO716" t="str">
        <f>""</f>
        <v/>
      </c>
      <c r="CP716" t="str">
        <f>""</f>
        <v/>
      </c>
      <c r="CQ716" t="str">
        <f>""</f>
        <v/>
      </c>
    </row>
    <row r="717" spans="1:96" x14ac:dyDescent="0.2">
      <c r="A717" t="s">
        <v>8430</v>
      </c>
      <c r="B717" t="s">
        <v>96</v>
      </c>
      <c r="C717" s="1">
        <v>44098</v>
      </c>
      <c r="D717" s="1">
        <v>44105</v>
      </c>
      <c r="F717" t="s">
        <v>97</v>
      </c>
      <c r="G717" t="str">
        <f>"Associate"</f>
        <v>Associate</v>
      </c>
      <c r="H717" t="s">
        <v>12221</v>
      </c>
      <c r="I717" t="s">
        <v>566</v>
      </c>
      <c r="J717" t="s">
        <v>98</v>
      </c>
      <c r="K717" s="1">
        <v>44105</v>
      </c>
      <c r="L717" s="1">
        <v>45199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 t="s">
        <v>8431</v>
      </c>
      <c r="U717" t="str">
        <f>""</f>
        <v/>
      </c>
      <c r="V717" t="s">
        <v>8432</v>
      </c>
      <c r="W717" t="str">
        <f>"Suite 2809"</f>
        <v>Suite 2809</v>
      </c>
      <c r="X717" t="s">
        <v>277</v>
      </c>
      <c r="Y717" t="s">
        <v>190</v>
      </c>
      <c r="Z717" s="3">
        <v>10006</v>
      </c>
      <c r="AA717" t="s">
        <v>101</v>
      </c>
      <c r="AC717" s="4" t="str">
        <f>"+16464529982"</f>
        <v>+16464529982</v>
      </c>
      <c r="AE717" t="str">
        <f>"541110"</f>
        <v>541110</v>
      </c>
      <c r="AF717" t="s">
        <v>4770</v>
      </c>
      <c r="AG717" t="s">
        <v>8433</v>
      </c>
      <c r="AH717" t="s">
        <v>108</v>
      </c>
      <c r="AI717" t="s">
        <v>790</v>
      </c>
      <c r="AJ717" t="s">
        <v>8432</v>
      </c>
      <c r="AK717" t="str">
        <f>"Suite 2809"</f>
        <v>Suite 2809</v>
      </c>
      <c r="AL717" t="s">
        <v>277</v>
      </c>
      <c r="AM717" t="s">
        <v>190</v>
      </c>
      <c r="AN717" s="3">
        <v>10006</v>
      </c>
      <c r="AO717" t="s">
        <v>101</v>
      </c>
      <c r="AQ717" t="str">
        <f>"+16464529982"</f>
        <v>+16464529982</v>
      </c>
      <c r="AS717" t="s">
        <v>8434</v>
      </c>
      <c r="AT717" t="s">
        <v>102</v>
      </c>
      <c r="AU717" t="str">
        <f>""</f>
        <v/>
      </c>
      <c r="AV717" t="str">
        <f>""</f>
        <v/>
      </c>
      <c r="AW717" t="str">
        <f>""</f>
        <v/>
      </c>
      <c r="AX717" t="str">
        <f>""</f>
        <v/>
      </c>
      <c r="AY717" t="str">
        <f>""</f>
        <v/>
      </c>
      <c r="AZ717" t="str">
        <f>""</f>
        <v/>
      </c>
      <c r="BA717" t="str">
        <f>""</f>
        <v/>
      </c>
      <c r="BC717" t="str">
        <f>""</f>
        <v/>
      </c>
      <c r="BD717" t="str">
        <f>""</f>
        <v/>
      </c>
      <c r="BE717" t="str">
        <f>""</f>
        <v/>
      </c>
      <c r="BF717" t="str">
        <f>""</f>
        <v/>
      </c>
      <c r="BG717" t="str">
        <f>""</f>
        <v/>
      </c>
      <c r="BH717" t="str">
        <f>""</f>
        <v/>
      </c>
      <c r="BI717" t="str">
        <f>""</f>
        <v/>
      </c>
      <c r="BJ717" t="str">
        <f>""</f>
        <v/>
      </c>
      <c r="BK717">
        <v>1</v>
      </c>
      <c r="BL717" t="s">
        <v>102</v>
      </c>
      <c r="BM717" t="str">
        <f>""</f>
        <v/>
      </c>
      <c r="BN717" t="s">
        <v>8432</v>
      </c>
      <c r="BO717" t="s">
        <v>8435</v>
      </c>
      <c r="BP717" t="s">
        <v>277</v>
      </c>
      <c r="BQ717" t="s">
        <v>189</v>
      </c>
      <c r="BR717" t="s">
        <v>190</v>
      </c>
      <c r="BS717" s="5">
        <v>10006</v>
      </c>
      <c r="BT717" s="2">
        <v>82472</v>
      </c>
      <c r="BU717" s="2">
        <v>82473</v>
      </c>
      <c r="BV717" t="s">
        <v>105</v>
      </c>
      <c r="BW717" s="2">
        <v>82472</v>
      </c>
      <c r="BX717" t="s">
        <v>105</v>
      </c>
      <c r="BZ717" t="s">
        <v>191</v>
      </c>
      <c r="CA717" t="str">
        <f t="shared" si="46"/>
        <v>7/1/2020 - 6/30/2021</v>
      </c>
      <c r="CF717">
        <v>1</v>
      </c>
      <c r="CG717" t="s">
        <v>98</v>
      </c>
      <c r="CH717" t="s">
        <v>206</v>
      </c>
      <c r="CI717" t="s">
        <v>206</v>
      </c>
      <c r="CL717" t="s">
        <v>108</v>
      </c>
      <c r="CM717" t="s">
        <v>718</v>
      </c>
      <c r="CN717" t="str">
        <f>"Anderson"</f>
        <v>Anderson</v>
      </c>
      <c r="CO717" t="str">
        <f>"Yen-Yi"</f>
        <v>Yen-Yi</v>
      </c>
      <c r="CP717" t="str">
        <f>"N/A"</f>
        <v>N/A</v>
      </c>
      <c r="CQ717" t="str">
        <f>"Anderson and Associates LLP"</f>
        <v>Anderson and Associates LLP</v>
      </c>
      <c r="CR717" t="s">
        <v>2164</v>
      </c>
    </row>
    <row r="718" spans="1:96" x14ac:dyDescent="0.2">
      <c r="A718" t="s">
        <v>8443</v>
      </c>
      <c r="B718" t="s">
        <v>96</v>
      </c>
      <c r="C718" s="1">
        <v>44098</v>
      </c>
      <c r="D718" s="1">
        <v>44105</v>
      </c>
      <c r="F718" t="s">
        <v>97</v>
      </c>
      <c r="G718" t="str">
        <f>"QA Analyst IV - Internal Applications"</f>
        <v>QA Analyst IV - Internal Applications</v>
      </c>
      <c r="H718" t="s">
        <v>12169</v>
      </c>
      <c r="I718" t="s">
        <v>124</v>
      </c>
      <c r="J718" t="s">
        <v>98</v>
      </c>
      <c r="K718" s="1">
        <v>44105</v>
      </c>
      <c r="L718" s="1">
        <v>45199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 t="s">
        <v>3947</v>
      </c>
      <c r="U718" t="str">
        <f>""</f>
        <v/>
      </c>
      <c r="V718" t="s">
        <v>3948</v>
      </c>
      <c r="W718" t="str">
        <f>"One AMC Way"</f>
        <v>One AMC Way</v>
      </c>
      <c r="X718" t="s">
        <v>3949</v>
      </c>
      <c r="Y718" t="s">
        <v>193</v>
      </c>
      <c r="Z718" s="3">
        <v>66211</v>
      </c>
      <c r="AA718" t="s">
        <v>101</v>
      </c>
      <c r="AC718" s="4" t="str">
        <f>"+19132132243"</f>
        <v>+19132132243</v>
      </c>
      <c r="AE718" t="str">
        <f>"512131"</f>
        <v>512131</v>
      </c>
      <c r="AF718" t="s">
        <v>3950</v>
      </c>
      <c r="AG718" t="s">
        <v>200</v>
      </c>
      <c r="AH718" t="s">
        <v>3951</v>
      </c>
      <c r="AI718" t="s">
        <v>3952</v>
      </c>
      <c r="AJ718" t="s">
        <v>3953</v>
      </c>
      <c r="AK718" t="str">
        <f>"One AMC Way"</f>
        <v>One AMC Way</v>
      </c>
      <c r="AL718" t="s">
        <v>3949</v>
      </c>
      <c r="AM718" t="s">
        <v>193</v>
      </c>
      <c r="AN718" s="3">
        <v>66211</v>
      </c>
      <c r="AO718" t="s">
        <v>101</v>
      </c>
      <c r="AQ718" t="str">
        <f>"+19132132243"</f>
        <v>+19132132243</v>
      </c>
      <c r="AS718" t="s">
        <v>3954</v>
      </c>
      <c r="AT718" t="s">
        <v>107</v>
      </c>
      <c r="AU718" t="str">
        <f>"Benet"</f>
        <v>Benet</v>
      </c>
      <c r="AV718" t="str">
        <f>"William"</f>
        <v>William</v>
      </c>
      <c r="AW718" t="str">
        <f>"N."</f>
        <v>N.</v>
      </c>
      <c r="AX718" t="str">
        <f>"2000 S Colorado Blvd."</f>
        <v>2000 S Colorado Blvd.</v>
      </c>
      <c r="AY718" t="str">
        <f>"Tower 3, Suite 900"</f>
        <v>Tower 3, Suite 900</v>
      </c>
      <c r="AZ718" t="str">
        <f>"Denver"</f>
        <v>Denver</v>
      </c>
      <c r="BA718" t="str">
        <f>"CO"</f>
        <v>CO</v>
      </c>
      <c r="BB718" s="3">
        <v>80222</v>
      </c>
      <c r="BC718" t="str">
        <f>"UNITED STATES OF AMERICA"</f>
        <v>UNITED STATES OF AMERICA</v>
      </c>
      <c r="BD718" t="str">
        <f>""</f>
        <v/>
      </c>
      <c r="BE718" t="str">
        <f>"+13037646800"</f>
        <v>+13037646800</v>
      </c>
      <c r="BF718" t="str">
        <f>""</f>
        <v/>
      </c>
      <c r="BG718" t="str">
        <f>"william.benet@ogletree.com"</f>
        <v>william.benet@ogletree.com</v>
      </c>
      <c r="BH718" t="str">
        <f>"Ogletree Deakins"</f>
        <v>Ogletree Deakins</v>
      </c>
      <c r="BI718" t="str">
        <f>"MN"</f>
        <v>MN</v>
      </c>
      <c r="BJ718" t="str">
        <f>"Minnesota Supreme Court"</f>
        <v>Minnesota Supreme Court</v>
      </c>
      <c r="BK718">
        <v>1</v>
      </c>
      <c r="BL718" t="s">
        <v>102</v>
      </c>
      <c r="BM718" t="str">
        <f>""</f>
        <v/>
      </c>
      <c r="BN718" t="s">
        <v>8444</v>
      </c>
      <c r="BP718" t="s">
        <v>3949</v>
      </c>
      <c r="BQ718" t="s">
        <v>1372</v>
      </c>
      <c r="BR718" t="s">
        <v>193</v>
      </c>
      <c r="BS718" s="5">
        <v>66211</v>
      </c>
      <c r="BT718" s="2">
        <v>44.49</v>
      </c>
      <c r="BU718" s="2">
        <v>45.57</v>
      </c>
      <c r="BV718" t="s">
        <v>210</v>
      </c>
      <c r="BW718" s="2">
        <v>44.49</v>
      </c>
      <c r="BX718" t="s">
        <v>210</v>
      </c>
      <c r="BZ718" t="s">
        <v>123</v>
      </c>
      <c r="CA718" t="str">
        <f t="shared" si="46"/>
        <v>7/1/2020 - 6/30/2021</v>
      </c>
      <c r="CF718">
        <v>1</v>
      </c>
      <c r="CG718" t="s">
        <v>98</v>
      </c>
      <c r="CH718" t="s">
        <v>206</v>
      </c>
      <c r="CI718" t="s">
        <v>206</v>
      </c>
      <c r="CL718" t="s">
        <v>108</v>
      </c>
      <c r="CM718" t="s">
        <v>109</v>
      </c>
      <c r="CN718" t="str">
        <f>"Windhausen"</f>
        <v>Windhausen</v>
      </c>
      <c r="CO718" t="str">
        <f>"Michelle"</f>
        <v>Michelle</v>
      </c>
      <c r="CP718" t="str">
        <f>"A"</f>
        <v>A</v>
      </c>
      <c r="CQ718" t="str">
        <f>"Ogletree Deakins"</f>
        <v>Ogletree Deakins</v>
      </c>
      <c r="CR718" t="s">
        <v>1785</v>
      </c>
    </row>
    <row r="719" spans="1:96" x14ac:dyDescent="0.2">
      <c r="A719" t="s">
        <v>8447</v>
      </c>
      <c r="B719" t="s">
        <v>96</v>
      </c>
      <c r="C719" s="1">
        <v>44098</v>
      </c>
      <c r="D719" s="1">
        <v>44105</v>
      </c>
      <c r="F719" t="s">
        <v>97</v>
      </c>
      <c r="G719" t="str">
        <f>"Team Lead, Information Technology - KBGFJG75266-1"</f>
        <v>Team Lead, Information Technology - KBGFJG75266-1</v>
      </c>
      <c r="H719" t="s">
        <v>12169</v>
      </c>
      <c r="I719" t="s">
        <v>124</v>
      </c>
      <c r="J719" t="s">
        <v>98</v>
      </c>
      <c r="K719" s="1">
        <v>44218</v>
      </c>
      <c r="L719" s="1">
        <v>45312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 t="s">
        <v>6682</v>
      </c>
      <c r="U719" t="str">
        <f>""</f>
        <v/>
      </c>
      <c r="V719" t="s">
        <v>3491</v>
      </c>
      <c r="W719" t="str">
        <f>""</f>
        <v/>
      </c>
      <c r="X719" t="s">
        <v>1613</v>
      </c>
      <c r="Y719" t="s">
        <v>330</v>
      </c>
      <c r="Z719" s="3">
        <v>53204</v>
      </c>
      <c r="AA719" t="s">
        <v>101</v>
      </c>
      <c r="AC719" s="4" t="str">
        <f>"+14142175533"</f>
        <v>+14142175533</v>
      </c>
      <c r="AE719" t="str">
        <f>"335314"</f>
        <v>335314</v>
      </c>
      <c r="AF719" t="s">
        <v>3487</v>
      </c>
      <c r="AG719" t="s">
        <v>3488</v>
      </c>
      <c r="AH719" t="s">
        <v>3489</v>
      </c>
      <c r="AI719" t="s">
        <v>3490</v>
      </c>
      <c r="AJ719" t="s">
        <v>3491</v>
      </c>
      <c r="AK719" t="str">
        <f>""</f>
        <v/>
      </c>
      <c r="AL719" t="s">
        <v>1613</v>
      </c>
      <c r="AM719" t="s">
        <v>330</v>
      </c>
      <c r="AN719" s="3">
        <v>53204</v>
      </c>
      <c r="AO719" t="s">
        <v>101</v>
      </c>
      <c r="AQ719" t="str">
        <f>"+14143825930"</f>
        <v>+14143825930</v>
      </c>
      <c r="AS719" t="s">
        <v>3492</v>
      </c>
      <c r="AT719" t="s">
        <v>102</v>
      </c>
      <c r="AU719" t="str">
        <f>""</f>
        <v/>
      </c>
      <c r="AV719" t="str">
        <f>""</f>
        <v/>
      </c>
      <c r="AW719" t="str">
        <f>""</f>
        <v/>
      </c>
      <c r="AX719" t="str">
        <f>""</f>
        <v/>
      </c>
      <c r="AY719" t="str">
        <f>""</f>
        <v/>
      </c>
      <c r="AZ719" t="str">
        <f>""</f>
        <v/>
      </c>
      <c r="BA719" t="str">
        <f>""</f>
        <v/>
      </c>
      <c r="BC719" t="str">
        <f>""</f>
        <v/>
      </c>
      <c r="BD719" t="str">
        <f>""</f>
        <v/>
      </c>
      <c r="BE719" t="str">
        <f>""</f>
        <v/>
      </c>
      <c r="BF719" t="str">
        <f>""</f>
        <v/>
      </c>
      <c r="BG719" t="str">
        <f>""</f>
        <v/>
      </c>
      <c r="BH719" t="str">
        <f>""</f>
        <v/>
      </c>
      <c r="BI719" t="str">
        <f>""</f>
        <v/>
      </c>
      <c r="BJ719" t="str">
        <f>""</f>
        <v/>
      </c>
      <c r="BK719">
        <v>1</v>
      </c>
      <c r="BL719" t="s">
        <v>102</v>
      </c>
      <c r="BM719" t="str">
        <f>""</f>
        <v/>
      </c>
      <c r="BN719" t="s">
        <v>8448</v>
      </c>
      <c r="BP719" t="s">
        <v>1613</v>
      </c>
      <c r="BQ719" t="s">
        <v>1614</v>
      </c>
      <c r="BR719" t="s">
        <v>330</v>
      </c>
      <c r="BS719" s="5">
        <v>53204</v>
      </c>
      <c r="BT719" s="2">
        <v>115856</v>
      </c>
      <c r="BU719" s="2">
        <v>168000</v>
      </c>
      <c r="BV719" t="s">
        <v>105</v>
      </c>
      <c r="BW719" s="2">
        <v>115856</v>
      </c>
      <c r="BX719" t="s">
        <v>105</v>
      </c>
      <c r="BZ719" t="s">
        <v>159</v>
      </c>
      <c r="CA719" t="str">
        <f t="shared" si="46"/>
        <v>7/1/2020 - 6/30/2021</v>
      </c>
      <c r="CF719">
        <v>1</v>
      </c>
      <c r="CG719" t="s">
        <v>98</v>
      </c>
      <c r="CH719" t="s">
        <v>206</v>
      </c>
      <c r="CI719" t="s">
        <v>206</v>
      </c>
      <c r="CL719" t="s">
        <v>108</v>
      </c>
      <c r="CM719" t="s">
        <v>109</v>
      </c>
      <c r="CN719" t="str">
        <f>"Bertram"</f>
        <v>Bertram</v>
      </c>
      <c r="CO719" t="str">
        <f>"Tara "</f>
        <v xml:space="preserve">Tara </v>
      </c>
      <c r="CP719" t="str">
        <f>""</f>
        <v/>
      </c>
      <c r="CQ719" t="str">
        <f>"EY Law LLP"</f>
        <v>EY Law LLP</v>
      </c>
      <c r="CR719" t="s">
        <v>6683</v>
      </c>
    </row>
    <row r="720" spans="1:96" x14ac:dyDescent="0.2">
      <c r="A720" t="s">
        <v>8458</v>
      </c>
      <c r="B720" t="s">
        <v>96</v>
      </c>
      <c r="C720" s="1">
        <v>44098</v>
      </c>
      <c r="D720" s="1">
        <v>44105</v>
      </c>
      <c r="F720" t="s">
        <v>97</v>
      </c>
      <c r="G720" t="str">
        <f>"MANAGER III, SOFTWARE DEVELOPMENT"</f>
        <v>MANAGER III, SOFTWARE DEVELOPMENT</v>
      </c>
      <c r="H720" t="s">
        <v>12178</v>
      </c>
      <c r="I720" t="s">
        <v>582</v>
      </c>
      <c r="J720" t="s">
        <v>98</v>
      </c>
      <c r="K720" s="1">
        <v>44109</v>
      </c>
      <c r="L720" s="1">
        <v>45203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 t="s">
        <v>440</v>
      </c>
      <c r="U720" t="str">
        <f>""</f>
        <v/>
      </c>
      <c r="V720" t="s">
        <v>809</v>
      </c>
      <c r="W720" t="str">
        <f>"SUITE 500"</f>
        <v>SUITE 500</v>
      </c>
      <c r="X720" t="s">
        <v>433</v>
      </c>
      <c r="Y720" t="s">
        <v>176</v>
      </c>
      <c r="Z720" s="3">
        <v>98121</v>
      </c>
      <c r="AA720" t="s">
        <v>101</v>
      </c>
      <c r="AC720" s="4" t="str">
        <f>"+12062661000"</f>
        <v>+12062661000</v>
      </c>
      <c r="AE720" t="str">
        <f>"454110"</f>
        <v>454110</v>
      </c>
      <c r="AF720" t="s">
        <v>442</v>
      </c>
      <c r="AG720" t="s">
        <v>443</v>
      </c>
      <c r="AH720" t="s">
        <v>108</v>
      </c>
      <c r="AI720" t="s">
        <v>434</v>
      </c>
      <c r="AJ720" t="s">
        <v>809</v>
      </c>
      <c r="AK720" t="str">
        <f>"SUITE 500"</f>
        <v>SUITE 500</v>
      </c>
      <c r="AL720" t="s">
        <v>433</v>
      </c>
      <c r="AM720" t="s">
        <v>176</v>
      </c>
      <c r="AN720" s="3">
        <v>98121</v>
      </c>
      <c r="AO720" t="s">
        <v>101</v>
      </c>
      <c r="AQ720" t="str">
        <f>"+12062661000"</f>
        <v>+12062661000</v>
      </c>
      <c r="AS720" t="s">
        <v>263</v>
      </c>
      <c r="AT720" t="s">
        <v>107</v>
      </c>
      <c r="AU720" t="str">
        <f>"MARANCI"</f>
        <v>MARANCI</v>
      </c>
      <c r="AV720" t="str">
        <f>"DANIEL"</f>
        <v>DANIEL</v>
      </c>
      <c r="AW720" t="str">
        <f>"N/A"</f>
        <v>N/A</v>
      </c>
      <c r="AX720" t="str">
        <f>"100 HIGH STREET"</f>
        <v>100 HIGH STREET</v>
      </c>
      <c r="AY720" t="str">
        <f>"3RD FLOOR C#5316564"</f>
        <v>3RD FLOOR C#5316564</v>
      </c>
      <c r="AZ720" t="str">
        <f>"BOSTON"</f>
        <v>BOSTON</v>
      </c>
      <c r="BA720" t="str">
        <f>"MA"</f>
        <v>MA</v>
      </c>
      <c r="BB720" s="3">
        <v>2110</v>
      </c>
      <c r="BC720" t="str">
        <f>"UNITED STATES OF AMERICA"</f>
        <v>UNITED STATES OF AMERICA</v>
      </c>
      <c r="BD720" t="str">
        <f>""</f>
        <v/>
      </c>
      <c r="BE720" t="str">
        <f>"+16175740400"</f>
        <v>+16175740400</v>
      </c>
      <c r="BF720" t="str">
        <f>""</f>
        <v/>
      </c>
      <c r="BG720" t="str">
        <f>"AMAZONINDIA@FRAGOMEN.COM"</f>
        <v>AMAZONINDIA@FRAGOMEN.COM</v>
      </c>
      <c r="BH720" t="str">
        <f>"FRAGOMEN, DEL REY, BERNSEN &amp; LOEWY, LLP"</f>
        <v>FRAGOMEN, DEL REY, BERNSEN &amp; LOEWY, LLP</v>
      </c>
      <c r="BI720" t="str">
        <f>"MA"</f>
        <v>MA</v>
      </c>
      <c r="BJ720" t="str">
        <f>"SUPREME JUDICIAL COURT"</f>
        <v>SUPREME JUDICIAL COURT</v>
      </c>
      <c r="BK720">
        <v>1</v>
      </c>
      <c r="BL720" t="s">
        <v>102</v>
      </c>
      <c r="BM720" t="str">
        <f>""</f>
        <v/>
      </c>
      <c r="BN720" t="s">
        <v>3827</v>
      </c>
      <c r="BP720" t="s">
        <v>720</v>
      </c>
      <c r="BQ720" t="s">
        <v>721</v>
      </c>
      <c r="BR720" t="s">
        <v>114</v>
      </c>
      <c r="BS720" s="5">
        <v>78758</v>
      </c>
      <c r="BT720" s="2">
        <v>160000</v>
      </c>
      <c r="BV720" t="s">
        <v>105</v>
      </c>
      <c r="BW720" s="2">
        <v>128606</v>
      </c>
      <c r="BX720" t="s">
        <v>105</v>
      </c>
      <c r="BZ720" t="s">
        <v>167</v>
      </c>
      <c r="CA720" t="str">
        <f t="shared" si="46"/>
        <v>7/1/2020 - 6/30/2021</v>
      </c>
      <c r="CF720">
        <v>2</v>
      </c>
      <c r="CG720" t="s">
        <v>98</v>
      </c>
      <c r="CH720" t="s">
        <v>206</v>
      </c>
      <c r="CI720" t="s">
        <v>206</v>
      </c>
      <c r="CL720" t="s">
        <v>108</v>
      </c>
      <c r="CM720" t="s">
        <v>109</v>
      </c>
      <c r="CN720" t="str">
        <f>"SUNNY"</f>
        <v>SUNNY</v>
      </c>
      <c r="CO720" t="str">
        <f>"JASMIN"</f>
        <v>JASMIN</v>
      </c>
      <c r="CP720" t="str">
        <f>"N/A"</f>
        <v>N/A</v>
      </c>
      <c r="CQ720" t="str">
        <f>"FRAGOMEN, DEL REY, BERNSEN &amp; LOEWY, LLP"</f>
        <v>FRAGOMEN, DEL REY, BERNSEN &amp; LOEWY, LLP</v>
      </c>
      <c r="CR720" t="s">
        <v>650</v>
      </c>
    </row>
    <row r="721" spans="1:96" x14ac:dyDescent="0.2">
      <c r="A721" t="s">
        <v>8470</v>
      </c>
      <c r="B721" t="s">
        <v>96</v>
      </c>
      <c r="C721" s="1">
        <v>44098</v>
      </c>
      <c r="D721" s="1">
        <v>44105</v>
      </c>
      <c r="F721" t="s">
        <v>97</v>
      </c>
      <c r="G721" t="str">
        <f>"SOFTWARE DEVELOPMENT ENGINEER II"</f>
        <v>SOFTWARE DEVELOPMENT ENGINEER II</v>
      </c>
      <c r="H721" t="s">
        <v>12169</v>
      </c>
      <c r="I721" t="s">
        <v>124</v>
      </c>
      <c r="J721" t="s">
        <v>98</v>
      </c>
      <c r="K721" s="1">
        <v>44279</v>
      </c>
      <c r="L721" s="1">
        <v>45374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 t="s">
        <v>440</v>
      </c>
      <c r="U721" t="str">
        <f>""</f>
        <v/>
      </c>
      <c r="V721" t="s">
        <v>809</v>
      </c>
      <c r="W721" t="str">
        <f>"SUITE 500"</f>
        <v>SUITE 500</v>
      </c>
      <c r="X721" t="s">
        <v>433</v>
      </c>
      <c r="Y721" t="s">
        <v>176</v>
      </c>
      <c r="Z721" s="3">
        <v>98121</v>
      </c>
      <c r="AA721" t="s">
        <v>101</v>
      </c>
      <c r="AC721" s="4" t="str">
        <f>"+12062661000"</f>
        <v>+12062661000</v>
      </c>
      <c r="AE721" t="str">
        <f>"454110"</f>
        <v>454110</v>
      </c>
      <c r="AF721" t="s">
        <v>442</v>
      </c>
      <c r="AG721" t="s">
        <v>443</v>
      </c>
      <c r="AH721" t="s">
        <v>108</v>
      </c>
      <c r="AI721" t="s">
        <v>434</v>
      </c>
      <c r="AJ721" t="s">
        <v>809</v>
      </c>
      <c r="AK721" t="str">
        <f>"SUITE 500"</f>
        <v>SUITE 500</v>
      </c>
      <c r="AL721" t="s">
        <v>433</v>
      </c>
      <c r="AM721" t="s">
        <v>176</v>
      </c>
      <c r="AN721" s="3">
        <v>98121</v>
      </c>
      <c r="AO721" t="s">
        <v>101</v>
      </c>
      <c r="AQ721" t="str">
        <f>"+12062661000"</f>
        <v>+12062661000</v>
      </c>
      <c r="AS721" t="s">
        <v>263</v>
      </c>
      <c r="AT721" t="s">
        <v>107</v>
      </c>
      <c r="AU721" t="str">
        <f>"MARANCI"</f>
        <v>MARANCI</v>
      </c>
      <c r="AV721" t="str">
        <f>"DANIEL"</f>
        <v>DANIEL</v>
      </c>
      <c r="AW721" t="str">
        <f>"N/A"</f>
        <v>N/A</v>
      </c>
      <c r="AX721" t="str">
        <f>"100 HIGH STREET"</f>
        <v>100 HIGH STREET</v>
      </c>
      <c r="AY721" t="str">
        <f>"3RD FLOOR C#5310867"</f>
        <v>3RD FLOOR C#5310867</v>
      </c>
      <c r="AZ721" t="str">
        <f>"BOSTON"</f>
        <v>BOSTON</v>
      </c>
      <c r="BA721" t="str">
        <f>"MA"</f>
        <v>MA</v>
      </c>
      <c r="BB721" s="3">
        <v>2110</v>
      </c>
      <c r="BC721" t="str">
        <f>"UNITED STATES OF AMERICA"</f>
        <v>UNITED STATES OF AMERICA</v>
      </c>
      <c r="BD721" t="str">
        <f>""</f>
        <v/>
      </c>
      <c r="BE721" t="str">
        <f>"+16175740400"</f>
        <v>+16175740400</v>
      </c>
      <c r="BF721" t="str">
        <f>""</f>
        <v/>
      </c>
      <c r="BG721" t="str">
        <f>"AMAZONINDIA@FRAGOMEN.COM"</f>
        <v>AMAZONINDIA@FRAGOMEN.COM</v>
      </c>
      <c r="BH721" t="str">
        <f>"FRAGOMEN, DEL REY, BERNSEN &amp; LOEWY, LLP"</f>
        <v>FRAGOMEN, DEL REY, BERNSEN &amp; LOEWY, LLP</v>
      </c>
      <c r="BI721" t="str">
        <f>"MA"</f>
        <v>MA</v>
      </c>
      <c r="BJ721" t="str">
        <f>"SUPREME JUDICIAL COURT"</f>
        <v>SUPREME JUDICIAL COURT</v>
      </c>
      <c r="BK721">
        <v>1</v>
      </c>
      <c r="BL721" t="s">
        <v>102</v>
      </c>
      <c r="BM721" t="str">
        <f>""</f>
        <v/>
      </c>
      <c r="BN721" t="s">
        <v>441</v>
      </c>
      <c r="BP721" t="s">
        <v>433</v>
      </c>
      <c r="BQ721" t="s">
        <v>183</v>
      </c>
      <c r="BR721" t="s">
        <v>176</v>
      </c>
      <c r="BS721" s="5">
        <v>98121</v>
      </c>
      <c r="BT721" s="2">
        <v>142400</v>
      </c>
      <c r="BV721" t="s">
        <v>105</v>
      </c>
      <c r="BW721" s="2">
        <v>113110</v>
      </c>
      <c r="BX721" t="s">
        <v>105</v>
      </c>
      <c r="BZ721" t="s">
        <v>167</v>
      </c>
      <c r="CA721" t="str">
        <f t="shared" si="46"/>
        <v>7/1/2020 - 6/30/2021</v>
      </c>
      <c r="CF721">
        <v>1</v>
      </c>
      <c r="CG721" t="s">
        <v>98</v>
      </c>
      <c r="CH721" t="s">
        <v>206</v>
      </c>
      <c r="CI721" t="s">
        <v>206</v>
      </c>
      <c r="CL721" t="s">
        <v>108</v>
      </c>
      <c r="CM721" t="s">
        <v>109</v>
      </c>
      <c r="CN721" t="str">
        <f>"SUNNY"</f>
        <v>SUNNY</v>
      </c>
      <c r="CO721" t="str">
        <f>"JASMIN"</f>
        <v>JASMIN</v>
      </c>
      <c r="CP721" t="str">
        <f>"N/A"</f>
        <v>N/A</v>
      </c>
      <c r="CQ721" t="str">
        <f>"FRAGOMEN, DEL REY, BERNSEN &amp; LOEWY, LLP"</f>
        <v>FRAGOMEN, DEL REY, BERNSEN &amp; LOEWY, LLP</v>
      </c>
      <c r="CR721" t="s">
        <v>650</v>
      </c>
    </row>
    <row r="722" spans="1:96" x14ac:dyDescent="0.2">
      <c r="A722" t="s">
        <v>8471</v>
      </c>
      <c r="B722" t="s">
        <v>96</v>
      </c>
      <c r="C722" s="1">
        <v>44098</v>
      </c>
      <c r="D722" s="1">
        <v>44105</v>
      </c>
      <c r="F722" t="s">
        <v>97</v>
      </c>
      <c r="G722" t="str">
        <f>"Site Reliability Developer"</f>
        <v>Site Reliability Developer</v>
      </c>
      <c r="H722" t="s">
        <v>12176</v>
      </c>
      <c r="I722" t="s">
        <v>246</v>
      </c>
      <c r="J722" t="s">
        <v>98</v>
      </c>
      <c r="K722" s="1">
        <v>44102</v>
      </c>
      <c r="L722" s="1">
        <v>45196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 t="s">
        <v>5123</v>
      </c>
      <c r="U722" t="str">
        <f>""</f>
        <v/>
      </c>
      <c r="V722" t="s">
        <v>2176</v>
      </c>
      <c r="W722" t="str">
        <f>""</f>
        <v/>
      </c>
      <c r="X722" t="s">
        <v>2177</v>
      </c>
      <c r="Y722" t="s">
        <v>141</v>
      </c>
      <c r="Z722" s="3">
        <v>94065</v>
      </c>
      <c r="AA722" t="s">
        <v>101</v>
      </c>
      <c r="AC722" s="4" t="str">
        <f>"+16505067000"</f>
        <v>+16505067000</v>
      </c>
      <c r="AE722" t="str">
        <f>"511210"</f>
        <v>511210</v>
      </c>
      <c r="AF722" t="s">
        <v>2173</v>
      </c>
      <c r="AG722" t="s">
        <v>2174</v>
      </c>
      <c r="AI722" t="s">
        <v>2175</v>
      </c>
      <c r="AJ722" t="s">
        <v>2176</v>
      </c>
      <c r="AK722" t="str">
        <f>""</f>
        <v/>
      </c>
      <c r="AL722" t="s">
        <v>2177</v>
      </c>
      <c r="AM722" t="s">
        <v>141</v>
      </c>
      <c r="AN722" s="3">
        <v>94065</v>
      </c>
      <c r="AO722" t="s">
        <v>101</v>
      </c>
      <c r="AQ722" t="str">
        <f>"+16505067000"</f>
        <v>+16505067000</v>
      </c>
      <c r="AS722" t="s">
        <v>2178</v>
      </c>
      <c r="AT722" t="s">
        <v>107</v>
      </c>
      <c r="AU722" t="str">
        <f>"Thiel"</f>
        <v>Thiel</v>
      </c>
      <c r="AV722" t="str">
        <f>"Timothy"</f>
        <v>Timothy</v>
      </c>
      <c r="AW722" t="str">
        <f>""</f>
        <v/>
      </c>
      <c r="AX722" t="str">
        <f>"100 Pringle Ave"</f>
        <v>100 Pringle Ave</v>
      </c>
      <c r="AY722" t="str">
        <f>"Suite 300"</f>
        <v>Suite 300</v>
      </c>
      <c r="AZ722" t="str">
        <f>"Walnut Creek"</f>
        <v>Walnut Creek</v>
      </c>
      <c r="BA722" t="str">
        <f>"CA"</f>
        <v>CA</v>
      </c>
      <c r="BB722" s="3">
        <v>94596</v>
      </c>
      <c r="BC722" t="str">
        <f>"UNITED STATES OF AMERICA"</f>
        <v>UNITED STATES OF AMERICA</v>
      </c>
      <c r="BD722" t="str">
        <f>"CA"</f>
        <v>CA</v>
      </c>
      <c r="BE722" t="str">
        <f>"+19259514102"</f>
        <v>+19259514102</v>
      </c>
      <c r="BF722" t="str">
        <f>""</f>
        <v/>
      </c>
      <c r="BG722" t="str">
        <f>"tthiel@balglobal.com"</f>
        <v>tthiel@balglobal.com</v>
      </c>
      <c r="BH722" t="str">
        <f>"Berry Appleman and Leiden LLP"</f>
        <v>Berry Appleman and Leiden LLP</v>
      </c>
      <c r="BI722" t="str">
        <f>"CA"</f>
        <v>CA</v>
      </c>
      <c r="BJ722" t="str">
        <f>"Supreme"</f>
        <v>Supreme</v>
      </c>
      <c r="BK722">
        <v>1</v>
      </c>
      <c r="BL722" t="s">
        <v>102</v>
      </c>
      <c r="BM722" t="str">
        <f>""</f>
        <v/>
      </c>
      <c r="BN722" t="s">
        <v>8472</v>
      </c>
      <c r="BP722" t="s">
        <v>2917</v>
      </c>
      <c r="BQ722" t="s">
        <v>852</v>
      </c>
      <c r="BR722" t="s">
        <v>215</v>
      </c>
      <c r="BS722" s="5">
        <v>30040</v>
      </c>
      <c r="BT722" s="2">
        <v>121139</v>
      </c>
      <c r="BU722" s="2">
        <v>133545</v>
      </c>
      <c r="BV722" t="s">
        <v>105</v>
      </c>
      <c r="BW722" s="2">
        <v>121139</v>
      </c>
      <c r="BX722" t="s">
        <v>105</v>
      </c>
      <c r="BZ722" t="s">
        <v>159</v>
      </c>
      <c r="CA722" t="str">
        <f t="shared" si="46"/>
        <v>7/1/2020 - 6/30/2021</v>
      </c>
      <c r="CF722">
        <v>1</v>
      </c>
      <c r="CG722" t="s">
        <v>98</v>
      </c>
      <c r="CH722" t="s">
        <v>206</v>
      </c>
      <c r="CI722" t="s">
        <v>206</v>
      </c>
      <c r="CL722" t="s">
        <v>108</v>
      </c>
      <c r="CM722" t="s">
        <v>109</v>
      </c>
      <c r="CN722" t="str">
        <f>""</f>
        <v/>
      </c>
      <c r="CO722" t="str">
        <f>""</f>
        <v/>
      </c>
      <c r="CP722" t="str">
        <f>""</f>
        <v/>
      </c>
      <c r="CQ722" t="str">
        <f>""</f>
        <v/>
      </c>
    </row>
    <row r="723" spans="1:96" x14ac:dyDescent="0.2">
      <c r="A723" t="s">
        <v>8473</v>
      </c>
      <c r="B723" t="s">
        <v>96</v>
      </c>
      <c r="C723" s="1">
        <v>44098</v>
      </c>
      <c r="D723" s="1">
        <v>44105</v>
      </c>
      <c r="F723" t="s">
        <v>97</v>
      </c>
      <c r="G723" t="str">
        <f>"Veterinarian"</f>
        <v>Veterinarian</v>
      </c>
      <c r="H723" t="s">
        <v>12211</v>
      </c>
      <c r="I723" t="s">
        <v>3846</v>
      </c>
      <c r="J723" t="s">
        <v>98</v>
      </c>
      <c r="K723" s="1">
        <v>44105</v>
      </c>
      <c r="L723" s="1">
        <v>45199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8474</v>
      </c>
      <c r="U723" t="str">
        <f>""</f>
        <v/>
      </c>
      <c r="V723" t="s">
        <v>8475</v>
      </c>
      <c r="W723" t="str">
        <f>""</f>
        <v/>
      </c>
      <c r="X723" t="s">
        <v>687</v>
      </c>
      <c r="Y723" t="s">
        <v>370</v>
      </c>
      <c r="Z723" s="3">
        <v>40511</v>
      </c>
      <c r="AA723" t="s">
        <v>101</v>
      </c>
      <c r="AC723" s="4" t="str">
        <f>"+18592330371"</f>
        <v>+18592330371</v>
      </c>
      <c r="AE723" t="str">
        <f>"112920"</f>
        <v>112920</v>
      </c>
      <c r="AF723" t="s">
        <v>8476</v>
      </c>
      <c r="AG723" t="s">
        <v>1193</v>
      </c>
      <c r="AI723" t="s">
        <v>7174</v>
      </c>
      <c r="AJ723" t="s">
        <v>8477</v>
      </c>
      <c r="AK723" t="str">
        <f>""</f>
        <v/>
      </c>
      <c r="AL723" t="s">
        <v>687</v>
      </c>
      <c r="AM723" t="s">
        <v>370</v>
      </c>
      <c r="AN723" s="3">
        <v>40511</v>
      </c>
      <c r="AO723" t="s">
        <v>101</v>
      </c>
      <c r="AQ723" t="str">
        <f>"+18592330371"</f>
        <v>+18592330371</v>
      </c>
      <c r="AS723" t="s">
        <v>8478</v>
      </c>
      <c r="AT723" t="s">
        <v>107</v>
      </c>
      <c r="AU723" t="str">
        <f>"Wagner"</f>
        <v>Wagner</v>
      </c>
      <c r="AV723" t="str">
        <f>"David"</f>
        <v>David</v>
      </c>
      <c r="AW723" t="str">
        <f>"J."</f>
        <v>J.</v>
      </c>
      <c r="AX723" t="str">
        <f>"2000 S Colorado Blvd."</f>
        <v>2000 S Colorado Blvd.</v>
      </c>
      <c r="AY723" t="str">
        <f>"Tower 3, Suite 900"</f>
        <v>Tower 3, Suite 900</v>
      </c>
      <c r="AZ723" t="str">
        <f>"Denver "</f>
        <v xml:space="preserve">Denver </v>
      </c>
      <c r="BA723" t="str">
        <f>"CO"</f>
        <v>CO</v>
      </c>
      <c r="BB723" s="3">
        <v>80222</v>
      </c>
      <c r="BC723" t="str">
        <f>"UNITED STATES OF AMERICA"</f>
        <v>UNITED STATES OF AMERICA</v>
      </c>
      <c r="BD723" t="str">
        <f>""</f>
        <v/>
      </c>
      <c r="BE723" t="str">
        <f>"+13037646802"</f>
        <v>+13037646802</v>
      </c>
      <c r="BF723" t="str">
        <f>""</f>
        <v/>
      </c>
      <c r="BG723" t="str">
        <f>"david.wagner@ogletree.com"</f>
        <v>david.wagner@ogletree.com</v>
      </c>
      <c r="BH723" t="str">
        <f>"Ogletree Deakins"</f>
        <v>Ogletree Deakins</v>
      </c>
      <c r="BI723" t="str">
        <f>"IL"</f>
        <v>IL</v>
      </c>
      <c r="BJ723" t="str">
        <f>"Illinois Supreme Court"</f>
        <v>Illinois Supreme Court</v>
      </c>
      <c r="BK723">
        <v>1</v>
      </c>
      <c r="BL723" t="s">
        <v>102</v>
      </c>
      <c r="BM723" t="str">
        <f>""</f>
        <v/>
      </c>
      <c r="BN723" t="s">
        <v>8475</v>
      </c>
      <c r="BP723" t="s">
        <v>687</v>
      </c>
      <c r="BQ723" t="s">
        <v>688</v>
      </c>
      <c r="BR723" t="s">
        <v>370</v>
      </c>
      <c r="BS723" s="5">
        <v>40511</v>
      </c>
      <c r="BT723" s="2">
        <v>50000</v>
      </c>
      <c r="BV723" t="s">
        <v>105</v>
      </c>
      <c r="BW723" s="2">
        <v>31470</v>
      </c>
      <c r="BX723" t="s">
        <v>105</v>
      </c>
      <c r="BZ723" t="s">
        <v>191</v>
      </c>
      <c r="CA723" t="str">
        <f t="shared" si="46"/>
        <v>7/1/2020 - 6/30/2021</v>
      </c>
      <c r="CF723">
        <v>1</v>
      </c>
      <c r="CG723" t="s">
        <v>98</v>
      </c>
      <c r="CH723" t="s">
        <v>206</v>
      </c>
      <c r="CI723" t="s">
        <v>206</v>
      </c>
      <c r="CL723" t="s">
        <v>108</v>
      </c>
      <c r="CM723" t="s">
        <v>109</v>
      </c>
      <c r="CN723" t="str">
        <f>"DeLilli"</f>
        <v>DeLilli</v>
      </c>
      <c r="CO723" t="str">
        <f>"Pamela"</f>
        <v>Pamela</v>
      </c>
      <c r="CP723" t="str">
        <f>"V."</f>
        <v>V.</v>
      </c>
      <c r="CQ723" t="str">
        <f>"Ogletree Deakins"</f>
        <v>Ogletree Deakins</v>
      </c>
      <c r="CR723" t="s">
        <v>8479</v>
      </c>
    </row>
    <row r="724" spans="1:96" x14ac:dyDescent="0.2">
      <c r="A724" t="s">
        <v>8504</v>
      </c>
      <c r="B724" t="s">
        <v>96</v>
      </c>
      <c r="C724" s="1">
        <v>44098</v>
      </c>
      <c r="D724" s="1">
        <v>44105</v>
      </c>
      <c r="F724" t="s">
        <v>97</v>
      </c>
      <c r="G724" t="str">
        <f>"Application Development Engineer"</f>
        <v>Application Development Engineer</v>
      </c>
      <c r="H724" t="s">
        <v>12196</v>
      </c>
      <c r="I724" t="s">
        <v>322</v>
      </c>
      <c r="J724" t="s">
        <v>98</v>
      </c>
      <c r="K724" s="1">
        <v>44123</v>
      </c>
      <c r="L724" s="1">
        <v>45217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 t="s">
        <v>8505</v>
      </c>
      <c r="U724" t="str">
        <f>""</f>
        <v/>
      </c>
      <c r="V724" t="s">
        <v>8506</v>
      </c>
      <c r="W724" t="str">
        <f>""</f>
        <v/>
      </c>
      <c r="X724" t="s">
        <v>8507</v>
      </c>
      <c r="Y724" t="s">
        <v>265</v>
      </c>
      <c r="Z724" s="3">
        <v>48043</v>
      </c>
      <c r="AA724" t="s">
        <v>101</v>
      </c>
      <c r="AC724" s="4" t="str">
        <f>"+15864692700"</f>
        <v>+15864692700</v>
      </c>
      <c r="AE724" t="str">
        <f>"3399"</f>
        <v>3399</v>
      </c>
      <c r="AF724" t="s">
        <v>8508</v>
      </c>
      <c r="AG724" t="s">
        <v>1662</v>
      </c>
      <c r="AI724" t="s">
        <v>201</v>
      </c>
      <c r="AJ724" t="s">
        <v>8509</v>
      </c>
      <c r="AK724" t="str">
        <f>""</f>
        <v/>
      </c>
      <c r="AL724" t="s">
        <v>4764</v>
      </c>
      <c r="AM724" t="s">
        <v>1035</v>
      </c>
      <c r="AN724" s="3">
        <v>3060</v>
      </c>
      <c r="AO724" t="s">
        <v>101</v>
      </c>
      <c r="AQ724" t="str">
        <f>"+16035216251"</f>
        <v>+16035216251</v>
      </c>
      <c r="AS724" t="s">
        <v>8510</v>
      </c>
      <c r="AT724" t="s">
        <v>107</v>
      </c>
      <c r="AU724" t="str">
        <f>"Riccio"</f>
        <v>Riccio</v>
      </c>
      <c r="AV724" t="str">
        <f>"Laurie"</f>
        <v>Laurie</v>
      </c>
      <c r="AW724" t="str">
        <f>"B."</f>
        <v>B.</v>
      </c>
      <c r="AX724" t="str">
        <f>"18 Tremont Street"</f>
        <v>18 Tremont Street</v>
      </c>
      <c r="AY724" t="str">
        <f>"Suite 601"</f>
        <v>Suite 601</v>
      </c>
      <c r="AZ724" t="str">
        <f>"Boston"</f>
        <v>Boston</v>
      </c>
      <c r="BA724" t="str">
        <f>"MA"</f>
        <v>MA</v>
      </c>
      <c r="BB724" s="3">
        <v>2108</v>
      </c>
      <c r="BC724" t="str">
        <f>"UNITED STATES OF AMERICA"</f>
        <v>UNITED STATES OF AMERICA</v>
      </c>
      <c r="BD724" t="str">
        <f>"MA"</f>
        <v>MA</v>
      </c>
      <c r="BE724" t="str">
        <f>"+16177424444"</f>
        <v>+16177424444</v>
      </c>
      <c r="BF724" t="str">
        <f>"104"</f>
        <v>104</v>
      </c>
      <c r="BG724" t="str">
        <f>"MelissaF@costariccio.com"</f>
        <v>MelissaF@costariccio.com</v>
      </c>
      <c r="BH724" t="str">
        <f>"Costa &amp; Riccio LLP"</f>
        <v>Costa &amp; Riccio LLP</v>
      </c>
      <c r="BI724" t="str">
        <f>"MA"</f>
        <v>MA</v>
      </c>
      <c r="BJ724" t="str">
        <f>"Massachusetts Supreme Judicial Court"</f>
        <v>Massachusetts Supreme Judicial Court</v>
      </c>
      <c r="BK724">
        <v>1</v>
      </c>
      <c r="BL724" t="s">
        <v>102</v>
      </c>
      <c r="BM724" t="str">
        <f>""</f>
        <v/>
      </c>
      <c r="BN724" t="s">
        <v>8506</v>
      </c>
      <c r="BP724" t="s">
        <v>8507</v>
      </c>
      <c r="BQ724" t="s">
        <v>543</v>
      </c>
      <c r="BR724" t="s">
        <v>265</v>
      </c>
      <c r="BS724" s="5">
        <v>48043</v>
      </c>
      <c r="BT724" s="2">
        <v>83000</v>
      </c>
      <c r="BU724" s="2">
        <v>93000</v>
      </c>
      <c r="BV724" t="s">
        <v>105</v>
      </c>
      <c r="BW724" s="2">
        <v>82555</v>
      </c>
      <c r="BX724" t="s">
        <v>105</v>
      </c>
      <c r="BZ724" t="s">
        <v>167</v>
      </c>
      <c r="CA724" t="str">
        <f t="shared" si="46"/>
        <v>7/1/2020 - 6/30/2021</v>
      </c>
      <c r="CF724">
        <v>1</v>
      </c>
      <c r="CG724" t="s">
        <v>98</v>
      </c>
      <c r="CH724" t="s">
        <v>206</v>
      </c>
      <c r="CI724" t="s">
        <v>206</v>
      </c>
      <c r="CL724" t="s">
        <v>108</v>
      </c>
      <c r="CM724" t="s">
        <v>109</v>
      </c>
      <c r="CN724" t="str">
        <f>"Glassbrenner"</f>
        <v>Glassbrenner</v>
      </c>
      <c r="CO724" t="str">
        <f>"Melissa"</f>
        <v>Melissa</v>
      </c>
      <c r="CP724" t="str">
        <f>"M"</f>
        <v>M</v>
      </c>
      <c r="CQ724" t="str">
        <f>"Costa &amp; Riccio LLP"</f>
        <v>Costa &amp; Riccio LLP</v>
      </c>
      <c r="CR724" t="s">
        <v>5840</v>
      </c>
    </row>
    <row r="725" spans="1:96" x14ac:dyDescent="0.2">
      <c r="A725" t="s">
        <v>8520</v>
      </c>
      <c r="B725" t="s">
        <v>96</v>
      </c>
      <c r="C725" s="1">
        <v>44098</v>
      </c>
      <c r="D725" s="1">
        <v>44105</v>
      </c>
      <c r="F725" t="s">
        <v>97</v>
      </c>
      <c r="G725" t="str">
        <f>"Postdoctoral Associate"</f>
        <v>Postdoctoral Associate</v>
      </c>
      <c r="H725" t="s">
        <v>12209</v>
      </c>
      <c r="I725" t="s">
        <v>3589</v>
      </c>
      <c r="J725" t="s">
        <v>98</v>
      </c>
      <c r="K725" s="1">
        <v>44197</v>
      </c>
      <c r="L725" s="1">
        <v>45291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 t="s">
        <v>1836</v>
      </c>
      <c r="U725" t="str">
        <f>""</f>
        <v/>
      </c>
      <c r="V725" t="s">
        <v>1837</v>
      </c>
      <c r="W725" t="str">
        <f>""</f>
        <v/>
      </c>
      <c r="X725" t="s">
        <v>295</v>
      </c>
      <c r="Y725" t="s">
        <v>190</v>
      </c>
      <c r="Z725" s="3">
        <v>10003</v>
      </c>
      <c r="AA725" t="s">
        <v>101</v>
      </c>
      <c r="AC725" s="4" t="str">
        <f>"+12129984720"</f>
        <v>+12129984720</v>
      </c>
      <c r="AE725" t="str">
        <f>"611310"</f>
        <v>611310</v>
      </c>
      <c r="AF725" t="s">
        <v>3034</v>
      </c>
      <c r="AG725" t="s">
        <v>152</v>
      </c>
      <c r="AH725" t="s">
        <v>926</v>
      </c>
      <c r="AI725" t="s">
        <v>1742</v>
      </c>
      <c r="AJ725" t="s">
        <v>1837</v>
      </c>
      <c r="AK725" t="str">
        <f>""</f>
        <v/>
      </c>
      <c r="AL725" t="s">
        <v>277</v>
      </c>
      <c r="AM725" t="s">
        <v>190</v>
      </c>
      <c r="AN725" s="3">
        <v>10003</v>
      </c>
      <c r="AO725" t="s">
        <v>101</v>
      </c>
      <c r="AQ725" t="str">
        <f>"+12129988914"</f>
        <v>+12129988914</v>
      </c>
      <c r="AS725" t="s">
        <v>3035</v>
      </c>
      <c r="AT725" t="s">
        <v>102</v>
      </c>
      <c r="AU725" t="str">
        <f>""</f>
        <v/>
      </c>
      <c r="AV725" t="str">
        <f>""</f>
        <v/>
      </c>
      <c r="AW725" t="str">
        <f>""</f>
        <v/>
      </c>
      <c r="AX725" t="str">
        <f>""</f>
        <v/>
      </c>
      <c r="AY725" t="str">
        <f>""</f>
        <v/>
      </c>
      <c r="AZ725" t="str">
        <f>""</f>
        <v/>
      </c>
      <c r="BA725" t="str">
        <f>""</f>
        <v/>
      </c>
      <c r="BC725" t="str">
        <f>""</f>
        <v/>
      </c>
      <c r="BD725" t="str">
        <f>""</f>
        <v/>
      </c>
      <c r="BE725" t="str">
        <f>""</f>
        <v/>
      </c>
      <c r="BF725" t="str">
        <f>""</f>
        <v/>
      </c>
      <c r="BG725" t="str">
        <f>""</f>
        <v/>
      </c>
      <c r="BH725" t="str">
        <f>""</f>
        <v/>
      </c>
      <c r="BI725" t="str">
        <f>""</f>
        <v/>
      </c>
      <c r="BJ725" t="str">
        <f>""</f>
        <v/>
      </c>
      <c r="BK725">
        <v>1</v>
      </c>
      <c r="BL725" t="s">
        <v>102</v>
      </c>
      <c r="BM725" t="str">
        <f>""</f>
        <v/>
      </c>
      <c r="BN725" t="s">
        <v>8521</v>
      </c>
      <c r="BO725" t="s">
        <v>8522</v>
      </c>
      <c r="BP725" t="s">
        <v>277</v>
      </c>
      <c r="BQ725" t="s">
        <v>189</v>
      </c>
      <c r="BR725" t="s">
        <v>190</v>
      </c>
      <c r="BS725" s="5">
        <v>10012</v>
      </c>
      <c r="BT725" s="2">
        <v>71750</v>
      </c>
      <c r="BV725" t="s">
        <v>105</v>
      </c>
      <c r="BW725" s="2">
        <v>49982</v>
      </c>
      <c r="BX725" t="s">
        <v>105</v>
      </c>
      <c r="BZ725" t="s">
        <v>191</v>
      </c>
      <c r="CA725" t="str">
        <f t="shared" si="46"/>
        <v>7/1/2020 - 6/30/2021</v>
      </c>
      <c r="CF725">
        <v>1</v>
      </c>
      <c r="CG725" t="s">
        <v>98</v>
      </c>
      <c r="CH725" t="s">
        <v>206</v>
      </c>
      <c r="CI725" t="s">
        <v>206</v>
      </c>
      <c r="CL725" t="s">
        <v>108</v>
      </c>
      <c r="CM725" t="s">
        <v>109</v>
      </c>
      <c r="CN725" t="str">
        <f>""</f>
        <v/>
      </c>
      <c r="CO725" t="str">
        <f>""</f>
        <v/>
      </c>
      <c r="CP725" t="str">
        <f>""</f>
        <v/>
      </c>
      <c r="CQ725" t="str">
        <f>""</f>
        <v/>
      </c>
    </row>
    <row r="726" spans="1:96" x14ac:dyDescent="0.2">
      <c r="A726" t="s">
        <v>8526</v>
      </c>
      <c r="B726" t="s">
        <v>96</v>
      </c>
      <c r="C726" s="1">
        <v>44098</v>
      </c>
      <c r="D726" s="1">
        <v>44105</v>
      </c>
      <c r="F726" t="s">
        <v>97</v>
      </c>
      <c r="G726" t="str">
        <f>"Associate Attorney"</f>
        <v>Associate Attorney</v>
      </c>
      <c r="H726" t="s">
        <v>12221</v>
      </c>
      <c r="I726" t="s">
        <v>566</v>
      </c>
      <c r="J726" t="s">
        <v>98</v>
      </c>
      <c r="K726" s="1">
        <v>44103</v>
      </c>
      <c r="L726" s="1">
        <v>45197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 t="s">
        <v>7177</v>
      </c>
      <c r="U726" t="str">
        <f>""</f>
        <v/>
      </c>
      <c r="V726" t="s">
        <v>4563</v>
      </c>
      <c r="W726" t="str">
        <f>""</f>
        <v/>
      </c>
      <c r="X726" t="s">
        <v>277</v>
      </c>
      <c r="Y726" t="s">
        <v>190</v>
      </c>
      <c r="Z726" s="3">
        <v>10020</v>
      </c>
      <c r="AA726" t="s">
        <v>101</v>
      </c>
      <c r="AC726" s="4" t="str">
        <f>"+12125062812"</f>
        <v>+12125062812</v>
      </c>
      <c r="AE726" t="str">
        <f>"541110"</f>
        <v>541110</v>
      </c>
      <c r="AF726" t="s">
        <v>7178</v>
      </c>
      <c r="AG726" t="s">
        <v>375</v>
      </c>
      <c r="AI726" t="s">
        <v>7179</v>
      </c>
      <c r="AJ726" t="s">
        <v>4563</v>
      </c>
      <c r="AK726" t="str">
        <f>""</f>
        <v/>
      </c>
      <c r="AL726" t="s">
        <v>277</v>
      </c>
      <c r="AM726" t="s">
        <v>190</v>
      </c>
      <c r="AN726" s="3">
        <v>10020</v>
      </c>
      <c r="AO726" t="s">
        <v>101</v>
      </c>
      <c r="AQ726" t="str">
        <f>"+12125062812"</f>
        <v>+12125062812</v>
      </c>
      <c r="AS726" t="s">
        <v>7180</v>
      </c>
      <c r="AT726" t="s">
        <v>107</v>
      </c>
      <c r="AU726" t="str">
        <f>"Del Rey"</f>
        <v>Del Rey</v>
      </c>
      <c r="AV726" t="str">
        <f>"Maximillian"</f>
        <v>Maximillian</v>
      </c>
      <c r="AW726" t="str">
        <f>""</f>
        <v/>
      </c>
      <c r="AX726" t="str">
        <f>"1999 K Street, N.W."</f>
        <v>1999 K Street, N.W.</v>
      </c>
      <c r="AY726" t="str">
        <f>""</f>
        <v/>
      </c>
      <c r="AZ726" t="str">
        <f>"Washington"</f>
        <v>Washington</v>
      </c>
      <c r="BA726" t="str">
        <f>"DC"</f>
        <v>DC</v>
      </c>
      <c r="BB726" s="3">
        <v>20006</v>
      </c>
      <c r="BC726" t="str">
        <f>"UNITED STATES OF AMERICA"</f>
        <v>UNITED STATES OF AMERICA</v>
      </c>
      <c r="BD726" t="str">
        <f>""</f>
        <v/>
      </c>
      <c r="BE726" t="str">
        <f>"+12022633350"</f>
        <v>+12022633350</v>
      </c>
      <c r="BF726" t="str">
        <f>""</f>
        <v/>
      </c>
      <c r="BG726" t="str">
        <f>"mdelrey@mayerbrown.com"</f>
        <v>mdelrey@mayerbrown.com</v>
      </c>
      <c r="BH726" t="str">
        <f>"Mayer Brown LLP"</f>
        <v>Mayer Brown LLP</v>
      </c>
      <c r="BI726" t="str">
        <f>"CA"</f>
        <v>CA</v>
      </c>
      <c r="BJ726" t="str">
        <f>"Supreme Court of California"</f>
        <v>Supreme Court of California</v>
      </c>
      <c r="BK726">
        <v>1</v>
      </c>
      <c r="BL726" t="s">
        <v>102</v>
      </c>
      <c r="BM726" t="str">
        <f>""</f>
        <v/>
      </c>
      <c r="BN726" t="s">
        <v>7181</v>
      </c>
      <c r="BP726" t="s">
        <v>833</v>
      </c>
      <c r="BQ726" t="s">
        <v>788</v>
      </c>
      <c r="BR726" t="s">
        <v>345</v>
      </c>
      <c r="BS726" s="5">
        <v>60606</v>
      </c>
      <c r="BT726" s="2">
        <v>190000</v>
      </c>
      <c r="BU726" s="2">
        <v>380000</v>
      </c>
      <c r="BV726" t="s">
        <v>105</v>
      </c>
      <c r="BW726" s="2">
        <v>162490</v>
      </c>
      <c r="BX726" t="s">
        <v>105</v>
      </c>
      <c r="BZ726" t="s">
        <v>123</v>
      </c>
      <c r="CA726" t="str">
        <f t="shared" si="46"/>
        <v>7/1/2020 - 6/30/2021</v>
      </c>
      <c r="CF726">
        <v>1</v>
      </c>
      <c r="CG726" t="s">
        <v>98</v>
      </c>
      <c r="CH726" t="s">
        <v>206</v>
      </c>
      <c r="CI726" t="s">
        <v>206</v>
      </c>
      <c r="CL726" t="s">
        <v>108</v>
      </c>
      <c r="CM726" t="s">
        <v>109</v>
      </c>
      <c r="CN726" t="str">
        <f>""</f>
        <v/>
      </c>
      <c r="CO726" t="str">
        <f>""</f>
        <v/>
      </c>
      <c r="CP726" t="str">
        <f>""</f>
        <v/>
      </c>
      <c r="CQ726" t="str">
        <f>""</f>
        <v/>
      </c>
    </row>
    <row r="727" spans="1:96" x14ac:dyDescent="0.2">
      <c r="A727" t="s">
        <v>8527</v>
      </c>
      <c r="B727" t="s">
        <v>96</v>
      </c>
      <c r="C727" s="1">
        <v>44098</v>
      </c>
      <c r="D727" s="1">
        <v>44105</v>
      </c>
      <c r="F727" t="s">
        <v>97</v>
      </c>
      <c r="G727" t="str">
        <f>"Technology Specialist"</f>
        <v>Technology Specialist</v>
      </c>
      <c r="H727" t="s">
        <v>12169</v>
      </c>
      <c r="I727" t="s">
        <v>124</v>
      </c>
      <c r="J727" t="s">
        <v>98</v>
      </c>
      <c r="K727" s="1">
        <v>44105</v>
      </c>
      <c r="L727" s="1">
        <v>45199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8528</v>
      </c>
      <c r="U727" t="str">
        <f>""</f>
        <v/>
      </c>
      <c r="V727" t="s">
        <v>4125</v>
      </c>
      <c r="W727" t="str">
        <f>"Ste. 301"</f>
        <v>Ste. 301</v>
      </c>
      <c r="X727" t="s">
        <v>947</v>
      </c>
      <c r="Y727" t="s">
        <v>100</v>
      </c>
      <c r="Z727" s="3">
        <v>8540</v>
      </c>
      <c r="AA727" t="s">
        <v>101</v>
      </c>
      <c r="AC727" s="4" t="str">
        <f>"+17702906191"</f>
        <v>+17702906191</v>
      </c>
      <c r="AE727" t="str">
        <f>"541511"</f>
        <v>541511</v>
      </c>
      <c r="AF727" t="s">
        <v>4126</v>
      </c>
      <c r="AG727" t="s">
        <v>4127</v>
      </c>
      <c r="AI727" t="s">
        <v>8529</v>
      </c>
      <c r="AJ727" t="s">
        <v>4125</v>
      </c>
      <c r="AK727" t="str">
        <f>"Ste. 301"</f>
        <v>Ste. 301</v>
      </c>
      <c r="AL727" t="s">
        <v>947</v>
      </c>
      <c r="AM727" t="s">
        <v>100</v>
      </c>
      <c r="AN727" s="3">
        <v>8540</v>
      </c>
      <c r="AO727" t="s">
        <v>101</v>
      </c>
      <c r="AQ727" t="str">
        <f>"+17702906191"</f>
        <v>+17702906191</v>
      </c>
      <c r="AS727" t="s">
        <v>4128</v>
      </c>
      <c r="AT727" t="s">
        <v>107</v>
      </c>
      <c r="AU727" t="str">
        <f>"Nasr"</f>
        <v>Nasr</v>
      </c>
      <c r="AV727" t="str">
        <f>"Catherine"</f>
        <v>Catherine</v>
      </c>
      <c r="AW727" t="str">
        <f>""</f>
        <v/>
      </c>
      <c r="AX727" t="str">
        <f>"5250 Corporate Drive"</f>
        <v>5250 Corporate Drive</v>
      </c>
      <c r="AY727" t="str">
        <f>"Ste. 300"</f>
        <v>Ste. 300</v>
      </c>
      <c r="AZ727" t="str">
        <f>"Troy"</f>
        <v>Troy</v>
      </c>
      <c r="BA727" t="str">
        <f>"MI"</f>
        <v>MI</v>
      </c>
      <c r="BB727" s="3">
        <v>48098</v>
      </c>
      <c r="BC727" t="str">
        <f>"UNITED STATES OF AMERICA"</f>
        <v>UNITED STATES OF AMERICA</v>
      </c>
      <c r="BD727" t="str">
        <f>""</f>
        <v/>
      </c>
      <c r="BE727" t="str">
        <f>"+12486434900"</f>
        <v>+12486434900</v>
      </c>
      <c r="BF727" t="str">
        <f>""</f>
        <v/>
      </c>
      <c r="BG727" t="str">
        <f>"Dena@employmentimmigration.com"</f>
        <v>Dena@employmentimmigration.com</v>
      </c>
      <c r="BH727" t="str">
        <f>"Fakhoury Global Immigration, USA PC"</f>
        <v>Fakhoury Global Immigration, USA PC</v>
      </c>
      <c r="BI727" t="str">
        <f>"MI"</f>
        <v>MI</v>
      </c>
      <c r="BJ727" t="str">
        <f>"Supreme Court"</f>
        <v>Supreme Court</v>
      </c>
      <c r="BK727">
        <v>1</v>
      </c>
      <c r="BL727" t="s">
        <v>102</v>
      </c>
      <c r="BM727" t="str">
        <f>""</f>
        <v/>
      </c>
      <c r="BN727" t="s">
        <v>8530</v>
      </c>
      <c r="BO727" t="s">
        <v>8531</v>
      </c>
      <c r="BP727" t="s">
        <v>947</v>
      </c>
      <c r="BQ727" t="s">
        <v>404</v>
      </c>
      <c r="BR727" t="s">
        <v>100</v>
      </c>
      <c r="BS727" s="5">
        <v>8540</v>
      </c>
      <c r="BT727" s="2">
        <v>90002</v>
      </c>
      <c r="BV727" t="s">
        <v>105</v>
      </c>
      <c r="BW727" s="2">
        <v>90002</v>
      </c>
      <c r="BX727" t="s">
        <v>105</v>
      </c>
      <c r="BZ727" t="s">
        <v>167</v>
      </c>
      <c r="CA727" t="str">
        <f t="shared" si="46"/>
        <v>7/1/2020 - 6/30/2021</v>
      </c>
      <c r="CF727">
        <v>1</v>
      </c>
      <c r="CG727" t="s">
        <v>98</v>
      </c>
      <c r="CH727" t="s">
        <v>206</v>
      </c>
      <c r="CI727" t="s">
        <v>206</v>
      </c>
      <c r="CL727" t="s">
        <v>108</v>
      </c>
      <c r="CM727" t="s">
        <v>109</v>
      </c>
      <c r="CN727" t="str">
        <f>"Nasr"</f>
        <v>Nasr</v>
      </c>
      <c r="CO727" t="str">
        <f>"Catherine"</f>
        <v>Catherine</v>
      </c>
      <c r="CP727" t="str">
        <f>""</f>
        <v/>
      </c>
      <c r="CQ727" t="str">
        <f>"Fakhoury Global Immigration, USA PC"</f>
        <v>Fakhoury Global Immigration, USA PC</v>
      </c>
      <c r="CR727" t="s">
        <v>3322</v>
      </c>
    </row>
    <row r="728" spans="1:96" x14ac:dyDescent="0.2">
      <c r="A728" t="s">
        <v>8538</v>
      </c>
      <c r="B728" t="s">
        <v>96</v>
      </c>
      <c r="C728" s="1">
        <v>44098</v>
      </c>
      <c r="D728" s="1">
        <v>44105</v>
      </c>
      <c r="F728" t="s">
        <v>97</v>
      </c>
      <c r="G728" t="str">
        <f>"Application Development Engineering Specialist"</f>
        <v>Application Development Engineering Specialist</v>
      </c>
      <c r="H728" t="s">
        <v>12169</v>
      </c>
      <c r="I728" t="s">
        <v>124</v>
      </c>
      <c r="J728" t="s">
        <v>98</v>
      </c>
      <c r="K728" s="1">
        <v>44105</v>
      </c>
      <c r="L728" s="1">
        <v>45199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 t="s">
        <v>4351</v>
      </c>
      <c r="U728" t="str">
        <f>""</f>
        <v/>
      </c>
      <c r="V728" t="s">
        <v>1017</v>
      </c>
      <c r="W728" t="str">
        <f>""</f>
        <v/>
      </c>
      <c r="X728" t="s">
        <v>1018</v>
      </c>
      <c r="Y728" t="s">
        <v>330</v>
      </c>
      <c r="Z728" s="3">
        <v>53783</v>
      </c>
      <c r="AA728" t="s">
        <v>101</v>
      </c>
      <c r="AC728" s="4" t="str">
        <f>"+16082424100"</f>
        <v>+16082424100</v>
      </c>
      <c r="AE728" t="str">
        <f>"524113"</f>
        <v>524113</v>
      </c>
      <c r="AF728" t="s">
        <v>1558</v>
      </c>
      <c r="AG728" t="s">
        <v>1559</v>
      </c>
      <c r="AI728" t="s">
        <v>1560</v>
      </c>
      <c r="AJ728" t="s">
        <v>1017</v>
      </c>
      <c r="AK728" t="str">
        <f>""</f>
        <v/>
      </c>
      <c r="AL728" t="s">
        <v>1018</v>
      </c>
      <c r="AM728" t="s">
        <v>330</v>
      </c>
      <c r="AN728" s="3">
        <v>53783</v>
      </c>
      <c r="AO728" t="s">
        <v>101</v>
      </c>
      <c r="AQ728" t="str">
        <f>"+16082424100"</f>
        <v>+16082424100</v>
      </c>
      <c r="AS728" t="s">
        <v>1561</v>
      </c>
      <c r="AT728" t="s">
        <v>107</v>
      </c>
      <c r="AU728" t="str">
        <f>"Kilborn"</f>
        <v>Kilborn</v>
      </c>
      <c r="AV728" t="str">
        <f>"Cheryl"</f>
        <v>Cheryl</v>
      </c>
      <c r="AW728" t="str">
        <f>""</f>
        <v/>
      </c>
      <c r="AX728" t="str">
        <f>"211 S. Clark Street"</f>
        <v>211 S. Clark Street</v>
      </c>
      <c r="AY728" t="str">
        <f>"735"</f>
        <v>735</v>
      </c>
      <c r="AZ728" t="str">
        <f>"Chicago"</f>
        <v>Chicago</v>
      </c>
      <c r="BA728" t="str">
        <f>"IL"</f>
        <v>IL</v>
      </c>
      <c r="BB728" s="3">
        <v>60690</v>
      </c>
      <c r="BC728" t="str">
        <f>"UNITED STATES OF AMERICA"</f>
        <v>UNITED STATES OF AMERICA</v>
      </c>
      <c r="BD728" t="str">
        <f>""</f>
        <v/>
      </c>
      <c r="BE728" t="str">
        <f>"+13126201001"</f>
        <v>+13126201001</v>
      </c>
      <c r="BF728" t="str">
        <f>""</f>
        <v/>
      </c>
      <c r="BG728" t="str">
        <f>"gov@meltzerhellrung.com"</f>
        <v>gov@meltzerhellrung.com</v>
      </c>
      <c r="BH728" t="str">
        <f>"Meltzer Hellrung, LLC"</f>
        <v>Meltzer Hellrung, LLC</v>
      </c>
      <c r="BI728" t="str">
        <f>"IL"</f>
        <v>IL</v>
      </c>
      <c r="BJ728" t="str">
        <f>"Supreme Court of Illinois"</f>
        <v>Supreme Court of Illinois</v>
      </c>
      <c r="BK728">
        <v>1</v>
      </c>
      <c r="BL728" t="s">
        <v>102</v>
      </c>
      <c r="BM728" t="str">
        <f>""</f>
        <v/>
      </c>
      <c r="BN728" t="s">
        <v>1017</v>
      </c>
      <c r="BP728" t="s">
        <v>1018</v>
      </c>
      <c r="BQ728" t="s">
        <v>1019</v>
      </c>
      <c r="BR728" t="s">
        <v>330</v>
      </c>
      <c r="BS728" s="5">
        <v>53718</v>
      </c>
      <c r="BT728" s="2">
        <v>116480</v>
      </c>
      <c r="BV728" t="s">
        <v>105</v>
      </c>
      <c r="BW728" s="2">
        <v>94619</v>
      </c>
      <c r="BX728" t="s">
        <v>105</v>
      </c>
      <c r="BZ728" t="s">
        <v>123</v>
      </c>
      <c r="CA728" t="str">
        <f t="shared" si="46"/>
        <v>7/1/2020 - 6/30/2021</v>
      </c>
      <c r="CF728">
        <v>2</v>
      </c>
      <c r="CG728" t="s">
        <v>98</v>
      </c>
      <c r="CH728" t="s">
        <v>206</v>
      </c>
      <c r="CI728" t="s">
        <v>206</v>
      </c>
      <c r="CL728" t="s">
        <v>108</v>
      </c>
      <c r="CM728" t="s">
        <v>109</v>
      </c>
      <c r="CN728" t="str">
        <f>"Salviati"</f>
        <v>Salviati</v>
      </c>
      <c r="CO728" t="str">
        <f>"Jennifer"</f>
        <v>Jennifer</v>
      </c>
      <c r="CP728" t="str">
        <f>"A"</f>
        <v>A</v>
      </c>
      <c r="CQ728" t="str">
        <f>"Meltzer Hellrung, LLC"</f>
        <v>Meltzer Hellrung, LLC</v>
      </c>
      <c r="CR728" t="s">
        <v>3849</v>
      </c>
    </row>
    <row r="729" spans="1:96" x14ac:dyDescent="0.2">
      <c r="A729" t="s">
        <v>8576</v>
      </c>
      <c r="B729" t="s">
        <v>96</v>
      </c>
      <c r="C729" s="1">
        <v>44098</v>
      </c>
      <c r="D729" s="1">
        <v>44105</v>
      </c>
      <c r="F729" t="s">
        <v>97</v>
      </c>
      <c r="G729" t="str">
        <f>"SOFTWARE DEVELOPMENT ENGINEER II"</f>
        <v>SOFTWARE DEVELOPMENT ENGINEER II</v>
      </c>
      <c r="H729" t="s">
        <v>12169</v>
      </c>
      <c r="I729" t="s">
        <v>124</v>
      </c>
      <c r="J729" t="s">
        <v>98</v>
      </c>
      <c r="K729" s="1">
        <v>44278</v>
      </c>
      <c r="L729" s="1">
        <v>45373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 t="s">
        <v>440</v>
      </c>
      <c r="U729" t="str">
        <f>""</f>
        <v/>
      </c>
      <c r="V729" t="s">
        <v>809</v>
      </c>
      <c r="W729" t="str">
        <f>"SUITE 500"</f>
        <v>SUITE 500</v>
      </c>
      <c r="X729" t="s">
        <v>433</v>
      </c>
      <c r="Y729" t="s">
        <v>176</v>
      </c>
      <c r="Z729" s="3">
        <v>98121</v>
      </c>
      <c r="AA729" t="s">
        <v>101</v>
      </c>
      <c r="AC729" s="4" t="str">
        <f>"+12062661000"</f>
        <v>+12062661000</v>
      </c>
      <c r="AE729" t="str">
        <f>"454110"</f>
        <v>454110</v>
      </c>
      <c r="AF729" t="s">
        <v>442</v>
      </c>
      <c r="AG729" t="s">
        <v>443</v>
      </c>
      <c r="AH729" t="s">
        <v>108</v>
      </c>
      <c r="AI729" t="s">
        <v>434</v>
      </c>
      <c r="AJ729" t="s">
        <v>809</v>
      </c>
      <c r="AK729" t="str">
        <f>"SUITE 500"</f>
        <v>SUITE 500</v>
      </c>
      <c r="AL729" t="s">
        <v>433</v>
      </c>
      <c r="AM729" t="s">
        <v>176</v>
      </c>
      <c r="AN729" s="3">
        <v>98121</v>
      </c>
      <c r="AO729" t="s">
        <v>101</v>
      </c>
      <c r="AQ729" t="str">
        <f>"+12062661000"</f>
        <v>+12062661000</v>
      </c>
      <c r="AS729" t="s">
        <v>263</v>
      </c>
      <c r="AT729" t="s">
        <v>107</v>
      </c>
      <c r="AU729" t="str">
        <f>"MARANCI"</f>
        <v>MARANCI</v>
      </c>
      <c r="AV729" t="str">
        <f>"DANIEL"</f>
        <v>DANIEL</v>
      </c>
      <c r="AW729" t="str">
        <f>"N/A"</f>
        <v>N/A</v>
      </c>
      <c r="AX729" t="str">
        <f>"100 HIGH STREET"</f>
        <v>100 HIGH STREET</v>
      </c>
      <c r="AY729" t="str">
        <f>"3RD FLOOR C#5269454"</f>
        <v>3RD FLOOR C#5269454</v>
      </c>
      <c r="AZ729" t="str">
        <f>"BOSTON"</f>
        <v>BOSTON</v>
      </c>
      <c r="BA729" t="str">
        <f>"MA"</f>
        <v>MA</v>
      </c>
      <c r="BB729" s="3">
        <v>2110</v>
      </c>
      <c r="BC729" t="str">
        <f>"UNITED STATES OF AMERICA"</f>
        <v>UNITED STATES OF AMERICA</v>
      </c>
      <c r="BD729" t="str">
        <f>""</f>
        <v/>
      </c>
      <c r="BE729" t="str">
        <f>"+16175740400"</f>
        <v>+16175740400</v>
      </c>
      <c r="BF729" t="str">
        <f>""</f>
        <v/>
      </c>
      <c r="BG729" t="str">
        <f>"AMAZONINDIA@FRAGOMEN.COM"</f>
        <v>AMAZONINDIA@FRAGOMEN.COM</v>
      </c>
      <c r="BH729" t="str">
        <f>"FRAGOMEN, DEL REY, BERNSEN &amp; LOEWY, LLP"</f>
        <v>FRAGOMEN, DEL REY, BERNSEN &amp; LOEWY, LLP</v>
      </c>
      <c r="BI729" t="str">
        <f>"MA"</f>
        <v>MA</v>
      </c>
      <c r="BJ729" t="str">
        <f>"SUPREME JUDICIAL COURT"</f>
        <v>SUPREME JUDICIAL COURT</v>
      </c>
      <c r="BK729">
        <v>1</v>
      </c>
      <c r="BL729" t="s">
        <v>102</v>
      </c>
      <c r="BM729" t="str">
        <f>""</f>
        <v/>
      </c>
      <c r="BN729" t="s">
        <v>3743</v>
      </c>
      <c r="BP729" t="s">
        <v>433</v>
      </c>
      <c r="BQ729" t="s">
        <v>183</v>
      </c>
      <c r="BR729" t="s">
        <v>176</v>
      </c>
      <c r="BS729" s="5">
        <v>98109</v>
      </c>
      <c r="BT729" s="2">
        <v>140100</v>
      </c>
      <c r="BV729" t="s">
        <v>105</v>
      </c>
      <c r="BW729" s="2">
        <v>113110</v>
      </c>
      <c r="BX729" t="s">
        <v>105</v>
      </c>
      <c r="BZ729" t="s">
        <v>167</v>
      </c>
      <c r="CA729" t="str">
        <f t="shared" si="46"/>
        <v>7/1/2020 - 6/30/2021</v>
      </c>
      <c r="CF729">
        <v>1</v>
      </c>
      <c r="CG729" t="s">
        <v>98</v>
      </c>
      <c r="CH729" t="s">
        <v>206</v>
      </c>
      <c r="CI729" t="s">
        <v>206</v>
      </c>
      <c r="CL729" t="s">
        <v>108</v>
      </c>
      <c r="CM729" t="s">
        <v>109</v>
      </c>
      <c r="CN729" t="str">
        <f>"SUNNY"</f>
        <v>SUNNY</v>
      </c>
      <c r="CO729" t="str">
        <f>"JASMIN"</f>
        <v>JASMIN</v>
      </c>
      <c r="CP729" t="str">
        <f>"N/A"</f>
        <v>N/A</v>
      </c>
      <c r="CQ729" t="str">
        <f>"FRAGOMEN, DEL REY, BERNSEN &amp; LOEWY, LLP"</f>
        <v>FRAGOMEN, DEL REY, BERNSEN &amp; LOEWY, LLP</v>
      </c>
      <c r="CR729" t="s">
        <v>650</v>
      </c>
    </row>
    <row r="730" spans="1:96" x14ac:dyDescent="0.2">
      <c r="A730" t="s">
        <v>8584</v>
      </c>
      <c r="B730" t="s">
        <v>96</v>
      </c>
      <c r="C730" s="1">
        <v>44098</v>
      </c>
      <c r="D730" s="1">
        <v>44105</v>
      </c>
      <c r="F730" t="s">
        <v>97</v>
      </c>
      <c r="G730" t="str">
        <f>"SOFTWARE DEVELOPER"</f>
        <v>SOFTWARE DEVELOPER</v>
      </c>
      <c r="H730" t="s">
        <v>12169</v>
      </c>
      <c r="I730" t="s">
        <v>124</v>
      </c>
      <c r="J730" t="s">
        <v>98</v>
      </c>
      <c r="K730" s="1">
        <v>44109</v>
      </c>
      <c r="L730" s="1">
        <v>44824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 t="s">
        <v>8585</v>
      </c>
      <c r="U730" t="str">
        <f>""</f>
        <v/>
      </c>
      <c r="V730" t="s">
        <v>8586</v>
      </c>
      <c r="W730" t="str">
        <f>"Ste. D100"</f>
        <v>Ste. D100</v>
      </c>
      <c r="X730" t="s">
        <v>1632</v>
      </c>
      <c r="Y730" t="s">
        <v>814</v>
      </c>
      <c r="Z730" s="3">
        <v>97006</v>
      </c>
      <c r="AA730" t="s">
        <v>101</v>
      </c>
      <c r="AC730" s="4" t="str">
        <f>"+15033365685"</f>
        <v>+15033365685</v>
      </c>
      <c r="AE730" t="str">
        <f>"541511"</f>
        <v>541511</v>
      </c>
      <c r="AF730" t="s">
        <v>8035</v>
      </c>
      <c r="AG730" t="s">
        <v>3919</v>
      </c>
      <c r="AH730" t="s">
        <v>8587</v>
      </c>
      <c r="AI730" t="s">
        <v>425</v>
      </c>
      <c r="AJ730" t="s">
        <v>8588</v>
      </c>
      <c r="AK730" t="str">
        <f>"STE. D100"</f>
        <v>STE. D100</v>
      </c>
      <c r="AL730" t="s">
        <v>1631</v>
      </c>
      <c r="AM730" t="s">
        <v>814</v>
      </c>
      <c r="AN730" s="3">
        <v>97006</v>
      </c>
      <c r="AO730" t="s">
        <v>101</v>
      </c>
      <c r="AQ730" t="str">
        <f>"+15033365685"</f>
        <v>+15033365685</v>
      </c>
      <c r="AS730" t="s">
        <v>8589</v>
      </c>
      <c r="AT730" t="s">
        <v>102</v>
      </c>
      <c r="AU730" t="str">
        <f>""</f>
        <v/>
      </c>
      <c r="AV730" t="str">
        <f>""</f>
        <v/>
      </c>
      <c r="AW730" t="str">
        <f>""</f>
        <v/>
      </c>
      <c r="AX730" t="str">
        <f>""</f>
        <v/>
      </c>
      <c r="AY730" t="str">
        <f>""</f>
        <v/>
      </c>
      <c r="AZ730" t="str">
        <f>""</f>
        <v/>
      </c>
      <c r="BA730" t="str">
        <f>""</f>
        <v/>
      </c>
      <c r="BC730" t="str">
        <f>""</f>
        <v/>
      </c>
      <c r="BD730" t="str">
        <f>""</f>
        <v/>
      </c>
      <c r="BE730" t="str">
        <f>""</f>
        <v/>
      </c>
      <c r="BF730" t="str">
        <f>""</f>
        <v/>
      </c>
      <c r="BG730" t="str">
        <f>""</f>
        <v/>
      </c>
      <c r="BH730" t="str">
        <f>""</f>
        <v/>
      </c>
      <c r="BI730" t="str">
        <f>""</f>
        <v/>
      </c>
      <c r="BJ730" t="str">
        <f>""</f>
        <v/>
      </c>
      <c r="BK730">
        <v>1</v>
      </c>
      <c r="BL730" t="s">
        <v>102</v>
      </c>
      <c r="BM730" t="str">
        <f>""</f>
        <v/>
      </c>
      <c r="BN730" t="s">
        <v>8590</v>
      </c>
      <c r="BP730" t="s">
        <v>604</v>
      </c>
      <c r="BQ730" t="s">
        <v>121</v>
      </c>
      <c r="BR730" t="s">
        <v>122</v>
      </c>
      <c r="BS730" s="5">
        <v>28262</v>
      </c>
      <c r="BT730" s="2">
        <v>90000</v>
      </c>
      <c r="BV730" t="s">
        <v>105</v>
      </c>
      <c r="BW730" s="2">
        <v>85488</v>
      </c>
      <c r="BX730" t="s">
        <v>105</v>
      </c>
      <c r="BZ730" t="s">
        <v>167</v>
      </c>
      <c r="CA730" t="str">
        <f t="shared" si="46"/>
        <v>7/1/2020 - 6/30/2021</v>
      </c>
      <c r="CF730">
        <v>2</v>
      </c>
      <c r="CG730" t="s">
        <v>98</v>
      </c>
      <c r="CH730" t="s">
        <v>206</v>
      </c>
      <c r="CI730" t="s">
        <v>206</v>
      </c>
      <c r="CL730" t="s">
        <v>108</v>
      </c>
      <c r="CM730" t="s">
        <v>109</v>
      </c>
      <c r="CN730" t="str">
        <f>""</f>
        <v/>
      </c>
      <c r="CO730" t="str">
        <f>""</f>
        <v/>
      </c>
      <c r="CP730" t="str">
        <f>""</f>
        <v/>
      </c>
      <c r="CQ730" t="str">
        <f>""</f>
        <v/>
      </c>
    </row>
    <row r="731" spans="1:96" x14ac:dyDescent="0.2">
      <c r="A731" t="s">
        <v>8593</v>
      </c>
      <c r="B731" t="s">
        <v>96</v>
      </c>
      <c r="C731" s="1">
        <v>44098</v>
      </c>
      <c r="D731" s="1">
        <v>44105</v>
      </c>
      <c r="F731" t="s">
        <v>97</v>
      </c>
      <c r="G731" t="str">
        <f>"Lead, Learned Driving Team"</f>
        <v>Lead, Learned Driving Team</v>
      </c>
      <c r="H731" t="s">
        <v>12176</v>
      </c>
      <c r="I731" t="s">
        <v>246</v>
      </c>
      <c r="J731" t="s">
        <v>98</v>
      </c>
      <c r="K731" s="1">
        <v>44265</v>
      </c>
      <c r="L731" s="1">
        <v>45360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 t="s">
        <v>7354</v>
      </c>
      <c r="U731" t="str">
        <f>""</f>
        <v/>
      </c>
      <c r="V731" t="s">
        <v>7357</v>
      </c>
      <c r="W731" t="str">
        <f>""</f>
        <v/>
      </c>
      <c r="X731" t="s">
        <v>147</v>
      </c>
      <c r="Y731" t="s">
        <v>141</v>
      </c>
      <c r="Z731" s="3">
        <v>94107</v>
      </c>
      <c r="AA731" t="s">
        <v>101</v>
      </c>
      <c r="AC731" s="4" t="str">
        <f>"+14157429970"</f>
        <v>+14157429970</v>
      </c>
      <c r="AE731" t="str">
        <f>"511210"</f>
        <v>511210</v>
      </c>
      <c r="AF731" t="s">
        <v>7356</v>
      </c>
      <c r="AG731" t="s">
        <v>1208</v>
      </c>
      <c r="AI731" t="s">
        <v>6494</v>
      </c>
      <c r="AJ731" t="s">
        <v>7357</v>
      </c>
      <c r="AK731" t="str">
        <f>""</f>
        <v/>
      </c>
      <c r="AL731" t="s">
        <v>147</v>
      </c>
      <c r="AM731" t="s">
        <v>141</v>
      </c>
      <c r="AN731" s="3">
        <v>94107</v>
      </c>
      <c r="AO731" t="s">
        <v>101</v>
      </c>
      <c r="AQ731" t="str">
        <f>"+14157429970"</f>
        <v>+14157429970</v>
      </c>
      <c r="AS731" t="s">
        <v>7358</v>
      </c>
      <c r="AT731" t="s">
        <v>107</v>
      </c>
      <c r="AU731" t="str">
        <f>"NAGAHORI"</f>
        <v>NAGAHORI</v>
      </c>
      <c r="AV731" t="str">
        <f>"RANDI"</f>
        <v>RANDI</v>
      </c>
      <c r="AW731" t="str">
        <f>""</f>
        <v/>
      </c>
      <c r="AX731" t="str">
        <f>"235 MONTGOMERY STREET"</f>
        <v>235 MONTGOMERY STREET</v>
      </c>
      <c r="AY731" t="str">
        <f>"SUITE 629"</f>
        <v>SUITE 629</v>
      </c>
      <c r="AZ731" t="str">
        <f>"SAN FRANCISCO"</f>
        <v>SAN FRANCISCO</v>
      </c>
      <c r="BA731" t="str">
        <f>"CA"</f>
        <v>CA</v>
      </c>
      <c r="BB731" s="3">
        <v>94104</v>
      </c>
      <c r="BC731" t="str">
        <f>"UNITED STATES OF AMERICA"</f>
        <v>UNITED STATES OF AMERICA</v>
      </c>
      <c r="BD731" t="str">
        <f>""</f>
        <v/>
      </c>
      <c r="BE731" t="str">
        <f>"+14158053900"</f>
        <v>+14158053900</v>
      </c>
      <c r="BF731" t="str">
        <f>""</f>
        <v/>
      </c>
      <c r="BG731" t="str">
        <f>"LCA@GOLAWCORP.COM"</f>
        <v>LCA@GOLAWCORP.COM</v>
      </c>
      <c r="BH731" t="str">
        <f>"GOESCHL LAW CORPORATION"</f>
        <v>GOESCHL LAW CORPORATION</v>
      </c>
      <c r="BI731" t="str">
        <f>"CA"</f>
        <v>CA</v>
      </c>
      <c r="BJ731" t="str">
        <f>"SUPREME COURT"</f>
        <v>SUPREME COURT</v>
      </c>
      <c r="BK731">
        <v>1</v>
      </c>
      <c r="BL731" t="s">
        <v>102</v>
      </c>
      <c r="BM731" t="str">
        <f>""</f>
        <v/>
      </c>
      <c r="BN731" t="s">
        <v>7357</v>
      </c>
      <c r="BP731" t="s">
        <v>147</v>
      </c>
      <c r="BQ731" t="s">
        <v>147</v>
      </c>
      <c r="BR731" t="s">
        <v>141</v>
      </c>
      <c r="BS731" s="5">
        <v>94107</v>
      </c>
      <c r="BT731" s="2">
        <v>171000</v>
      </c>
      <c r="BV731" t="s">
        <v>105</v>
      </c>
      <c r="BW731" s="2">
        <v>169562</v>
      </c>
      <c r="BX731" t="s">
        <v>105</v>
      </c>
      <c r="BZ731" t="s">
        <v>159</v>
      </c>
      <c r="CA731" t="str">
        <f t="shared" si="46"/>
        <v>7/1/2020 - 6/30/2021</v>
      </c>
      <c r="CF731">
        <v>1</v>
      </c>
      <c r="CG731" t="s">
        <v>98</v>
      </c>
      <c r="CH731" t="s">
        <v>206</v>
      </c>
      <c r="CI731" t="s">
        <v>206</v>
      </c>
      <c r="CL731" t="s">
        <v>108</v>
      </c>
      <c r="CM731" t="s">
        <v>109</v>
      </c>
      <c r="CN731" t="str">
        <f>""</f>
        <v/>
      </c>
      <c r="CO731" t="str">
        <f>""</f>
        <v/>
      </c>
      <c r="CP731" t="str">
        <f>""</f>
        <v/>
      </c>
      <c r="CQ731" t="str">
        <f>""</f>
        <v/>
      </c>
    </row>
    <row r="732" spans="1:96" x14ac:dyDescent="0.2">
      <c r="A732" t="s">
        <v>8599</v>
      </c>
      <c r="B732" t="s">
        <v>96</v>
      </c>
      <c r="C732" s="1">
        <v>44098</v>
      </c>
      <c r="D732" s="1">
        <v>44105</v>
      </c>
      <c r="F732" t="s">
        <v>97</v>
      </c>
      <c r="G732" t="str">
        <f>"Sr. Mgr, Software Dev Engineering"</f>
        <v>Sr. Mgr, Software Dev Engineering</v>
      </c>
      <c r="H732" t="s">
        <v>12169</v>
      </c>
      <c r="I732" t="s">
        <v>124</v>
      </c>
      <c r="J732" t="s">
        <v>98</v>
      </c>
      <c r="K732" s="1">
        <v>44099</v>
      </c>
      <c r="L732" s="1">
        <v>45193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1966</v>
      </c>
      <c r="U732" t="str">
        <f>""</f>
        <v/>
      </c>
      <c r="V732" t="s">
        <v>1967</v>
      </c>
      <c r="W732" t="str">
        <f>""</f>
        <v/>
      </c>
      <c r="X732" t="s">
        <v>229</v>
      </c>
      <c r="Y732" t="s">
        <v>141</v>
      </c>
      <c r="Z732" s="3">
        <v>94089</v>
      </c>
      <c r="AA732" t="s">
        <v>101</v>
      </c>
      <c r="AC732" s="4" t="str">
        <f>"+14153981800"</f>
        <v>+14153981800</v>
      </c>
      <c r="AE732" t="str">
        <f>"519130"</f>
        <v>519130</v>
      </c>
      <c r="AF732" t="s">
        <v>1968</v>
      </c>
      <c r="AG732" t="s">
        <v>1912</v>
      </c>
      <c r="AI732" t="s">
        <v>221</v>
      </c>
      <c r="AJ732" t="s">
        <v>1969</v>
      </c>
      <c r="AK732" t="str">
        <f>""</f>
        <v/>
      </c>
      <c r="AL732" t="s">
        <v>229</v>
      </c>
      <c r="AM732" t="s">
        <v>141</v>
      </c>
      <c r="AN732" s="3">
        <v>94089</v>
      </c>
      <c r="AO732" t="s">
        <v>101</v>
      </c>
      <c r="AQ732" t="str">
        <f>"+16692490206"</f>
        <v>+16692490206</v>
      </c>
      <c r="AS732" t="s">
        <v>2985</v>
      </c>
      <c r="AT732" t="s">
        <v>107</v>
      </c>
      <c r="AU732" t="str">
        <f>"SNIDER"</f>
        <v>SNIDER</v>
      </c>
      <c r="AV732" t="str">
        <f>"LAURIE"</f>
        <v>LAURIE</v>
      </c>
      <c r="AW732" t="str">
        <f>"Elizabeth"</f>
        <v>Elizabeth</v>
      </c>
      <c r="AX732" t="str">
        <f>"5080 SPECTRUM DRIVE"</f>
        <v>5080 SPECTRUM DRIVE</v>
      </c>
      <c r="AY732" t="str">
        <f>"850W"</f>
        <v>850W</v>
      </c>
      <c r="AZ732" t="str">
        <f>"ADDISON"</f>
        <v>ADDISON</v>
      </c>
      <c r="BA732" t="str">
        <f>"TX"</f>
        <v>TX</v>
      </c>
      <c r="BB732" s="3">
        <v>75001</v>
      </c>
      <c r="BC732" t="str">
        <f>"UNITED STATES OF AMERICA"</f>
        <v>UNITED STATES OF AMERICA</v>
      </c>
      <c r="BD732" t="str">
        <f>""</f>
        <v/>
      </c>
      <c r="BE732" t="str">
        <f>"+14697910361"</f>
        <v>+14697910361</v>
      </c>
      <c r="BF732" t="str">
        <f>""</f>
        <v/>
      </c>
      <c r="BG732" t="str">
        <f>"LSNIDER@FRAGOMEN.COM"</f>
        <v>LSNIDER@FRAGOMEN.COM</v>
      </c>
      <c r="BH732" t="str">
        <f>"Fragomen, Del Rey, Bernsen &amp; Loewy, LLP"</f>
        <v>Fragomen, Del Rey, Bernsen &amp; Loewy, LLP</v>
      </c>
      <c r="BI732" t="str">
        <f>"TX"</f>
        <v>TX</v>
      </c>
      <c r="BJ732" t="str">
        <f>"SUPREME COURT OF TEXAS"</f>
        <v>SUPREME COURT OF TEXAS</v>
      </c>
      <c r="BK732">
        <v>1</v>
      </c>
      <c r="BL732" t="s">
        <v>102</v>
      </c>
      <c r="BM732" t="str">
        <f>""</f>
        <v/>
      </c>
      <c r="BN732" t="s">
        <v>1967</v>
      </c>
      <c r="BP732" t="s">
        <v>8600</v>
      </c>
      <c r="BQ732" t="s">
        <v>230</v>
      </c>
      <c r="BR732" t="s">
        <v>141</v>
      </c>
      <c r="BS732" s="5">
        <v>94089</v>
      </c>
      <c r="BT732" s="2">
        <v>192022.9</v>
      </c>
      <c r="BV732" t="s">
        <v>105</v>
      </c>
      <c r="BW732" s="2">
        <v>170872</v>
      </c>
      <c r="BX732" t="s">
        <v>105</v>
      </c>
      <c r="BZ732" t="s">
        <v>159</v>
      </c>
      <c r="CA732" t="str">
        <f t="shared" si="46"/>
        <v>7/1/2020 - 6/30/2021</v>
      </c>
      <c r="CF732">
        <v>2</v>
      </c>
      <c r="CG732" t="s">
        <v>98</v>
      </c>
      <c r="CH732" t="s">
        <v>206</v>
      </c>
      <c r="CI732" t="s">
        <v>206</v>
      </c>
      <c r="CL732" t="s">
        <v>108</v>
      </c>
      <c r="CM732" t="s">
        <v>109</v>
      </c>
      <c r="CN732" t="str">
        <f>"lay"</f>
        <v>lay</v>
      </c>
      <c r="CO732" t="str">
        <f>"danielle"</f>
        <v>danielle</v>
      </c>
      <c r="CP732" t="str">
        <f>""</f>
        <v/>
      </c>
      <c r="CQ732" t="str">
        <f>"FRAGOMEN, DEL REY, BERNSEN &amp; LOEWY, LLP   "</f>
        <v xml:space="preserve">FRAGOMEN, DEL REY, BERNSEN &amp; LOEWY, LLP   </v>
      </c>
      <c r="CR732" t="s">
        <v>4651</v>
      </c>
    </row>
    <row r="733" spans="1:96" x14ac:dyDescent="0.2">
      <c r="A733" t="s">
        <v>8603</v>
      </c>
      <c r="B733" t="s">
        <v>96</v>
      </c>
      <c r="C733" s="1">
        <v>44098</v>
      </c>
      <c r="D733" s="1">
        <v>44105</v>
      </c>
      <c r="F733" t="s">
        <v>97</v>
      </c>
      <c r="G733" t="str">
        <f>"Power BI Developer"</f>
        <v>Power BI Developer</v>
      </c>
      <c r="H733" t="s">
        <v>12169</v>
      </c>
      <c r="I733" t="s">
        <v>124</v>
      </c>
      <c r="J733" t="s">
        <v>98</v>
      </c>
      <c r="K733" s="1">
        <v>44105</v>
      </c>
      <c r="L733" s="1">
        <v>45199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8604</v>
      </c>
      <c r="U733" t="str">
        <f>""</f>
        <v/>
      </c>
      <c r="V733" t="s">
        <v>8605</v>
      </c>
      <c r="W733" t="str">
        <f>"UNIT 107,"</f>
        <v>UNIT 107,</v>
      </c>
      <c r="X733" t="s">
        <v>1507</v>
      </c>
      <c r="Y733" t="s">
        <v>135</v>
      </c>
      <c r="Z733" s="3">
        <v>20170</v>
      </c>
      <c r="AA733" t="s">
        <v>101</v>
      </c>
      <c r="AC733" s="4" t="str">
        <f>"+17038567952"</f>
        <v>+17038567952</v>
      </c>
      <c r="AE733" t="str">
        <f>"541511"</f>
        <v>541511</v>
      </c>
      <c r="AF733" t="s">
        <v>8606</v>
      </c>
      <c r="AG733" t="s">
        <v>8607</v>
      </c>
      <c r="AI733" t="s">
        <v>425</v>
      </c>
      <c r="AJ733" t="s">
        <v>8605</v>
      </c>
      <c r="AK733" t="str">
        <f>"UNIT 107,"</f>
        <v>UNIT 107,</v>
      </c>
      <c r="AL733" t="s">
        <v>1507</v>
      </c>
      <c r="AM733" t="s">
        <v>135</v>
      </c>
      <c r="AN733" s="3">
        <v>20170</v>
      </c>
      <c r="AO733" t="s">
        <v>101</v>
      </c>
      <c r="AQ733" t="str">
        <f>"+17038567952"</f>
        <v>+17038567952</v>
      </c>
      <c r="AS733" t="s">
        <v>8608</v>
      </c>
      <c r="AT733" t="s">
        <v>102</v>
      </c>
      <c r="AU733" t="str">
        <f>""</f>
        <v/>
      </c>
      <c r="AV733" t="str">
        <f>""</f>
        <v/>
      </c>
      <c r="AW733" t="str">
        <f>""</f>
        <v/>
      </c>
      <c r="AX733" t="str">
        <f>""</f>
        <v/>
      </c>
      <c r="AY733" t="str">
        <f>""</f>
        <v/>
      </c>
      <c r="AZ733" t="str">
        <f>""</f>
        <v/>
      </c>
      <c r="BA733" t="str">
        <f>""</f>
        <v/>
      </c>
      <c r="BC733" t="str">
        <f>""</f>
        <v/>
      </c>
      <c r="BD733" t="str">
        <f>""</f>
        <v/>
      </c>
      <c r="BE733" t="str">
        <f>""</f>
        <v/>
      </c>
      <c r="BF733" t="str">
        <f>""</f>
        <v/>
      </c>
      <c r="BG733" t="str">
        <f>""</f>
        <v/>
      </c>
      <c r="BH733" t="str">
        <f>""</f>
        <v/>
      </c>
      <c r="BI733" t="str">
        <f>""</f>
        <v/>
      </c>
      <c r="BJ733" t="str">
        <f>""</f>
        <v/>
      </c>
      <c r="BK733">
        <v>1</v>
      </c>
      <c r="BL733" t="s">
        <v>107</v>
      </c>
      <c r="BM733" t="str">
        <f>"Indiana University Health"</f>
        <v>Indiana University Health</v>
      </c>
      <c r="BN733" t="s">
        <v>8609</v>
      </c>
      <c r="BO733" t="s">
        <v>754</v>
      </c>
      <c r="BP733" t="s">
        <v>794</v>
      </c>
      <c r="BQ733" t="s">
        <v>795</v>
      </c>
      <c r="BR733" t="s">
        <v>352</v>
      </c>
      <c r="BS733" s="5">
        <v>46204</v>
      </c>
      <c r="BT733" s="2">
        <v>93371</v>
      </c>
      <c r="BU733" s="2">
        <v>94000</v>
      </c>
      <c r="BV733" t="s">
        <v>105</v>
      </c>
      <c r="BW733" s="2">
        <v>93371</v>
      </c>
      <c r="BX733" t="s">
        <v>105</v>
      </c>
      <c r="BZ733" t="s">
        <v>123</v>
      </c>
      <c r="CA733" t="str">
        <f t="shared" si="46"/>
        <v>7/1/2020 - 6/30/2021</v>
      </c>
      <c r="CF733">
        <v>1</v>
      </c>
      <c r="CG733" t="s">
        <v>98</v>
      </c>
      <c r="CH733" t="s">
        <v>206</v>
      </c>
      <c r="CI733" t="s">
        <v>206</v>
      </c>
      <c r="CL733" t="s">
        <v>108</v>
      </c>
      <c r="CM733" t="s">
        <v>109</v>
      </c>
      <c r="CN733" t="str">
        <f>""</f>
        <v/>
      </c>
      <c r="CO733" t="str">
        <f>""</f>
        <v/>
      </c>
      <c r="CP733" t="str">
        <f>""</f>
        <v/>
      </c>
      <c r="CQ733" t="str">
        <f>""</f>
        <v/>
      </c>
    </row>
    <row r="734" spans="1:96" x14ac:dyDescent="0.2">
      <c r="A734" t="s">
        <v>8613</v>
      </c>
      <c r="B734" t="s">
        <v>96</v>
      </c>
      <c r="C734" s="1">
        <v>44098</v>
      </c>
      <c r="D734" s="1">
        <v>44105</v>
      </c>
      <c r="F734" t="s">
        <v>97</v>
      </c>
      <c r="G734" t="str">
        <f>"SAP Configuration Analyst"</f>
        <v>SAP Configuration Analyst</v>
      </c>
      <c r="H734" t="s">
        <v>12176</v>
      </c>
      <c r="I734" t="s">
        <v>246</v>
      </c>
      <c r="J734" t="s">
        <v>98</v>
      </c>
      <c r="K734" s="1">
        <v>44098</v>
      </c>
      <c r="L734" s="1">
        <v>45192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 t="s">
        <v>6993</v>
      </c>
      <c r="U734" t="str">
        <f>""</f>
        <v/>
      </c>
      <c r="V734" t="s">
        <v>6994</v>
      </c>
      <c r="W734" t="str">
        <f>"SUITE 3430"</f>
        <v>SUITE 3430</v>
      </c>
      <c r="X734" t="s">
        <v>2577</v>
      </c>
      <c r="Y734" t="s">
        <v>225</v>
      </c>
      <c r="Z734" s="3">
        <v>43017</v>
      </c>
      <c r="AA734" t="s">
        <v>101</v>
      </c>
      <c r="AC734" s="4" t="str">
        <f>"+16148056929"</f>
        <v>+16148056929</v>
      </c>
      <c r="AE734" t="str">
        <f>"541511"</f>
        <v>541511</v>
      </c>
      <c r="AF734" t="s">
        <v>6995</v>
      </c>
      <c r="AG734" t="s">
        <v>6177</v>
      </c>
      <c r="AI734" t="s">
        <v>876</v>
      </c>
      <c r="AJ734" t="s">
        <v>6996</v>
      </c>
      <c r="AK734" t="str">
        <f>"Suite 3430"</f>
        <v>Suite 3430</v>
      </c>
      <c r="AL734" t="s">
        <v>223</v>
      </c>
      <c r="AM734" t="s">
        <v>225</v>
      </c>
      <c r="AN734" s="3">
        <v>43017</v>
      </c>
      <c r="AO734" t="s">
        <v>101</v>
      </c>
      <c r="AQ734" t="str">
        <f>"+16148056929"</f>
        <v>+16148056929</v>
      </c>
      <c r="AS734" t="s">
        <v>6997</v>
      </c>
      <c r="AT734" t="s">
        <v>107</v>
      </c>
      <c r="AU734" t="str">
        <f>"Jutur"</f>
        <v>Jutur</v>
      </c>
      <c r="AV734" t="str">
        <f>"Bharath "</f>
        <v xml:space="preserve">Bharath </v>
      </c>
      <c r="AW734" t="str">
        <f>""</f>
        <v/>
      </c>
      <c r="AX734" t="str">
        <f>"802 E WOODFIELD ROAD"</f>
        <v>802 E WOODFIELD ROAD</v>
      </c>
      <c r="AY734" t="str">
        <f>"SUITE G 400"</f>
        <v>SUITE G 400</v>
      </c>
      <c r="AZ734" t="str">
        <f>"SCHAUMBURG"</f>
        <v>SCHAUMBURG</v>
      </c>
      <c r="BA734" t="str">
        <f>"IL"</f>
        <v>IL</v>
      </c>
      <c r="BB734" s="3">
        <v>60173</v>
      </c>
      <c r="BC734" t="str">
        <f>"UNITED STATES OF AMERICA"</f>
        <v>UNITED STATES OF AMERICA</v>
      </c>
      <c r="BD734" t="str">
        <f>""</f>
        <v/>
      </c>
      <c r="BE734" t="str">
        <f>"+18479951515"</f>
        <v>+18479951515</v>
      </c>
      <c r="BF734" t="str">
        <f>"227"</f>
        <v>227</v>
      </c>
      <c r="BG734" t="str">
        <f>"ICERT@BIZLEGALSERVICES.COM"</f>
        <v>ICERT@BIZLEGALSERVICES.COM</v>
      </c>
      <c r="BH734" t="str">
        <f>"INTERNATIONAL LEGAL AND BUSINESS SERVICES GROUP LLP"</f>
        <v>INTERNATIONAL LEGAL AND BUSINESS SERVICES GROUP LLP</v>
      </c>
      <c r="BI734" t="str">
        <f>"NY"</f>
        <v>NY</v>
      </c>
      <c r="BJ734" t="str">
        <f>"New York Supreme Court"</f>
        <v>New York Supreme Court</v>
      </c>
      <c r="BK734">
        <v>1</v>
      </c>
      <c r="BL734" t="s">
        <v>102</v>
      </c>
      <c r="BM734" t="str">
        <f>""</f>
        <v/>
      </c>
      <c r="BN734" t="s">
        <v>6996</v>
      </c>
      <c r="BO734" t="s">
        <v>8614</v>
      </c>
      <c r="BP734" t="s">
        <v>223</v>
      </c>
      <c r="BQ734" t="s">
        <v>224</v>
      </c>
      <c r="BR734" t="s">
        <v>225</v>
      </c>
      <c r="BS734" s="5">
        <v>43017</v>
      </c>
      <c r="BT734" s="2">
        <v>90000</v>
      </c>
      <c r="BU734" s="2">
        <v>90001</v>
      </c>
      <c r="BV734" t="s">
        <v>105</v>
      </c>
      <c r="BW734" s="2">
        <v>83075</v>
      </c>
      <c r="BX734" t="s">
        <v>105</v>
      </c>
      <c r="BZ734" t="s">
        <v>167</v>
      </c>
      <c r="CA734" t="str">
        <f t="shared" si="46"/>
        <v>7/1/2020 - 6/30/2021</v>
      </c>
      <c r="CF734">
        <v>1</v>
      </c>
      <c r="CG734" t="s">
        <v>98</v>
      </c>
      <c r="CH734" t="s">
        <v>206</v>
      </c>
      <c r="CI734" t="s">
        <v>206</v>
      </c>
      <c r="CL734" t="s">
        <v>108</v>
      </c>
      <c r="CM734" t="s">
        <v>109</v>
      </c>
      <c r="CN734" t="str">
        <f>""</f>
        <v/>
      </c>
      <c r="CO734" t="str">
        <f>""</f>
        <v/>
      </c>
      <c r="CP734" t="str">
        <f>""</f>
        <v/>
      </c>
      <c r="CQ734" t="str">
        <f>""</f>
        <v/>
      </c>
    </row>
    <row r="735" spans="1:96" x14ac:dyDescent="0.2">
      <c r="A735" t="s">
        <v>8624</v>
      </c>
      <c r="B735" t="s">
        <v>96</v>
      </c>
      <c r="C735" s="1">
        <v>44098</v>
      </c>
      <c r="D735" s="1">
        <v>44105</v>
      </c>
      <c r="F735" t="s">
        <v>97</v>
      </c>
      <c r="G735" t="str">
        <f>"Global Integration Specialist"</f>
        <v>Global Integration Specialist</v>
      </c>
      <c r="H735" t="s">
        <v>12168</v>
      </c>
      <c r="I735" t="s">
        <v>160</v>
      </c>
      <c r="J735" t="s">
        <v>98</v>
      </c>
      <c r="K735" s="1">
        <v>44105</v>
      </c>
      <c r="L735" s="1">
        <v>45199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8625</v>
      </c>
      <c r="U735" t="str">
        <f>""</f>
        <v/>
      </c>
      <c r="V735" t="s">
        <v>8626</v>
      </c>
      <c r="W735" t="str">
        <f>"Bldg 3"</f>
        <v>Bldg 3</v>
      </c>
      <c r="X735" t="s">
        <v>631</v>
      </c>
      <c r="Y735" t="s">
        <v>141</v>
      </c>
      <c r="Z735" s="3">
        <v>94588</v>
      </c>
      <c r="AA735" t="s">
        <v>101</v>
      </c>
      <c r="AC735" s="4" t="str">
        <f>"+16172455510"</f>
        <v>+16172455510</v>
      </c>
      <c r="AE735" t="str">
        <f>"51919"</f>
        <v>51919</v>
      </c>
      <c r="AF735" t="s">
        <v>499</v>
      </c>
      <c r="AG735" t="s">
        <v>422</v>
      </c>
      <c r="AI735" t="s">
        <v>500</v>
      </c>
      <c r="AJ735" t="s">
        <v>501</v>
      </c>
      <c r="AK735" t="str">
        <f>""</f>
        <v/>
      </c>
      <c r="AL735" t="s">
        <v>436</v>
      </c>
      <c r="AM735" t="s">
        <v>171</v>
      </c>
      <c r="AN735" s="3">
        <v>2141</v>
      </c>
      <c r="AO735" t="s">
        <v>101</v>
      </c>
      <c r="AQ735" t="str">
        <f>"+16172455510"</f>
        <v>+16172455510</v>
      </c>
      <c r="AS735" t="s">
        <v>502</v>
      </c>
      <c r="AT735" t="s">
        <v>107</v>
      </c>
      <c r="AU735" t="str">
        <f>"Lin"</f>
        <v>Lin</v>
      </c>
      <c r="AV735" t="str">
        <f>"Jennifer"</f>
        <v>Jennifer</v>
      </c>
      <c r="AW735" t="str">
        <f>"N/A"</f>
        <v>N/A</v>
      </c>
      <c r="AX735" t="str">
        <f>"2121 Tasman Drive"</f>
        <v>2121 Tasman Drive</v>
      </c>
      <c r="AY735" t="str">
        <f>""</f>
        <v/>
      </c>
      <c r="AZ735" t="str">
        <f>"Santa Clara"</f>
        <v>Santa Clara</v>
      </c>
      <c r="BA735" t="str">
        <f>"CA"</f>
        <v>CA</v>
      </c>
      <c r="BB735" s="3">
        <v>95054</v>
      </c>
      <c r="BC735" t="str">
        <f>"UNITED STATES OF AMERICA"</f>
        <v>UNITED STATES OF AMERICA</v>
      </c>
      <c r="BD735" t="str">
        <f>""</f>
        <v/>
      </c>
      <c r="BE735" t="str">
        <f>"+14089190600"</f>
        <v>+14089190600</v>
      </c>
      <c r="BF735" t="str">
        <f>""</f>
        <v/>
      </c>
      <c r="BG735" t="str">
        <f>"Jennifer.Lin@Fragomen.com"</f>
        <v>Jennifer.Lin@Fragomen.com</v>
      </c>
      <c r="BH735" t="str">
        <f>"Fragomen, Del Rey, Bernsen &amp; Loewy, LLP"</f>
        <v>Fragomen, Del Rey, Bernsen &amp; Loewy, LLP</v>
      </c>
      <c r="BI735" t="str">
        <f>"CA"</f>
        <v>CA</v>
      </c>
      <c r="BJ735" t="str">
        <f>"California Supreme Court"</f>
        <v>California Supreme Court</v>
      </c>
      <c r="BK735">
        <v>1</v>
      </c>
      <c r="BL735" t="s">
        <v>102</v>
      </c>
      <c r="BM735" t="str">
        <f>""</f>
        <v/>
      </c>
      <c r="BN735" t="s">
        <v>8627</v>
      </c>
      <c r="BO735" t="s">
        <v>8628</v>
      </c>
      <c r="BP735" t="s">
        <v>585</v>
      </c>
      <c r="BQ735" t="s">
        <v>230</v>
      </c>
      <c r="BR735" t="s">
        <v>141</v>
      </c>
      <c r="BS735" s="5">
        <v>95118</v>
      </c>
      <c r="BT735" s="2">
        <v>129811</v>
      </c>
      <c r="BV735" t="s">
        <v>105</v>
      </c>
      <c r="BW735" s="2">
        <v>129811</v>
      </c>
      <c r="BX735" t="s">
        <v>105</v>
      </c>
      <c r="CA735" t="str">
        <f>""</f>
        <v/>
      </c>
      <c r="CB735" t="s">
        <v>244</v>
      </c>
      <c r="CC735">
        <v>2020</v>
      </c>
      <c r="CD735" t="s">
        <v>2074</v>
      </c>
      <c r="CE735" t="s">
        <v>355</v>
      </c>
      <c r="CF735">
        <v>1</v>
      </c>
      <c r="CG735" t="s">
        <v>98</v>
      </c>
      <c r="CH735" t="s">
        <v>206</v>
      </c>
      <c r="CI735" t="s">
        <v>206</v>
      </c>
      <c r="CL735" t="s">
        <v>108</v>
      </c>
      <c r="CM735" t="s">
        <v>109</v>
      </c>
      <c r="CN735" t="str">
        <f>"Lin"</f>
        <v>Lin</v>
      </c>
      <c r="CO735" t="str">
        <f>"Jennifer"</f>
        <v>Jennifer</v>
      </c>
      <c r="CP735" t="str">
        <f>""</f>
        <v/>
      </c>
      <c r="CQ735" t="str">
        <f>"Fragomen, Del Rey, Bernsen &amp; Lowey LLP"</f>
        <v>Fragomen, Del Rey, Bernsen &amp; Lowey LLP</v>
      </c>
      <c r="CR735" t="s">
        <v>6524</v>
      </c>
    </row>
    <row r="736" spans="1:96" x14ac:dyDescent="0.2">
      <c r="A736" t="s">
        <v>8632</v>
      </c>
      <c r="B736" t="s">
        <v>96</v>
      </c>
      <c r="C736" s="1">
        <v>44098</v>
      </c>
      <c r="D736" s="1">
        <v>44105</v>
      </c>
      <c r="F736" t="s">
        <v>97</v>
      </c>
      <c r="G736" t="str">
        <f>"Senior Controls Engineer 20521.486"</f>
        <v>Senior Controls Engineer 20521.486</v>
      </c>
      <c r="H736" t="s">
        <v>12179</v>
      </c>
      <c r="I736" t="s">
        <v>1357</v>
      </c>
      <c r="J736" t="s">
        <v>98</v>
      </c>
      <c r="K736" s="1">
        <v>44109</v>
      </c>
      <c r="L736" s="1">
        <v>45203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6757</v>
      </c>
      <c r="U736" t="str">
        <f>""</f>
        <v/>
      </c>
      <c r="V736" t="s">
        <v>6758</v>
      </c>
      <c r="W736" t="str">
        <f>""</f>
        <v/>
      </c>
      <c r="X736" t="s">
        <v>1133</v>
      </c>
      <c r="Y736" t="s">
        <v>141</v>
      </c>
      <c r="Z736" s="3">
        <v>94065</v>
      </c>
      <c r="AA736" t="s">
        <v>101</v>
      </c>
      <c r="AC736" s="4" t="str">
        <f>"+16505986000"</f>
        <v>+16505986000</v>
      </c>
      <c r="AE736" t="str">
        <f>"541519"</f>
        <v>541519</v>
      </c>
      <c r="AF736" t="s">
        <v>6759</v>
      </c>
      <c r="AG736" t="s">
        <v>6760</v>
      </c>
      <c r="AI736" t="s">
        <v>460</v>
      </c>
      <c r="AJ736" t="s">
        <v>6758</v>
      </c>
      <c r="AK736" t="str">
        <f>""</f>
        <v/>
      </c>
      <c r="AL736" t="s">
        <v>1133</v>
      </c>
      <c r="AM736" t="s">
        <v>141</v>
      </c>
      <c r="AN736" s="3">
        <v>94065</v>
      </c>
      <c r="AO736" t="s">
        <v>101</v>
      </c>
      <c r="AQ736" t="str">
        <f>"+16505986071"</f>
        <v>+16505986071</v>
      </c>
      <c r="AS736" t="s">
        <v>6761</v>
      </c>
      <c r="AT736" t="s">
        <v>107</v>
      </c>
      <c r="AU736" t="str">
        <f>"Petzold"</f>
        <v>Petzold</v>
      </c>
      <c r="AV736" t="str">
        <f>"Rick"</f>
        <v>Rick</v>
      </c>
      <c r="AW736" t="str">
        <f>""</f>
        <v/>
      </c>
      <c r="AX736" t="str">
        <f>"2400 N Glenville Drive, Building A"</f>
        <v>2400 N Glenville Drive, Building A</v>
      </c>
      <c r="AY736" t="str">
        <f>"Suite 100"</f>
        <v>Suite 100</v>
      </c>
      <c r="AZ736" t="str">
        <f>"Richardson"</f>
        <v>Richardson</v>
      </c>
      <c r="BA736" t="str">
        <f>"TX"</f>
        <v>TX</v>
      </c>
      <c r="BB736" s="3">
        <v>75082</v>
      </c>
      <c r="BC736" t="str">
        <f>"UNITED STATES OF AMERICA"</f>
        <v>UNITED STATES OF AMERICA</v>
      </c>
      <c r="BD736" t="str">
        <f>""</f>
        <v/>
      </c>
      <c r="BE736" t="str">
        <f>"+19727296094"</f>
        <v>+19727296094</v>
      </c>
      <c r="BF736" t="str">
        <f>""</f>
        <v/>
      </c>
      <c r="BG736" t="str">
        <f>"mperez@balglobal.com"</f>
        <v>mperez@balglobal.com</v>
      </c>
      <c r="BH736" t="str">
        <f>"Berry Appleman &amp; Leiden LLP"</f>
        <v>Berry Appleman &amp; Leiden LLP</v>
      </c>
      <c r="BI736" t="str">
        <f>"NJ"</f>
        <v>NJ</v>
      </c>
      <c r="BJ736" t="str">
        <f>"New Jersey Supreme Court"</f>
        <v>New Jersey Supreme Court</v>
      </c>
      <c r="BK736">
        <v>1</v>
      </c>
      <c r="BL736" t="s">
        <v>102</v>
      </c>
      <c r="BM736" t="str">
        <f>""</f>
        <v/>
      </c>
      <c r="BN736" t="s">
        <v>8633</v>
      </c>
      <c r="BP736" t="s">
        <v>2124</v>
      </c>
      <c r="BQ736" t="s">
        <v>365</v>
      </c>
      <c r="BR736" t="s">
        <v>141</v>
      </c>
      <c r="BS736" s="5">
        <v>90501</v>
      </c>
      <c r="BT736" s="2">
        <v>118000</v>
      </c>
      <c r="BU736" s="2">
        <v>176000</v>
      </c>
      <c r="BV736" t="s">
        <v>105</v>
      </c>
      <c r="BW736" s="2">
        <v>116022</v>
      </c>
      <c r="BX736" t="s">
        <v>105</v>
      </c>
      <c r="BZ736" t="s">
        <v>123</v>
      </c>
      <c r="CA736" t="str">
        <f t="shared" ref="CA736:CA741" si="48">"7/1/2020 - 6/30/2021"</f>
        <v>7/1/2020 - 6/30/2021</v>
      </c>
      <c r="CF736">
        <v>2</v>
      </c>
      <c r="CG736" t="s">
        <v>98</v>
      </c>
      <c r="CH736" t="s">
        <v>206</v>
      </c>
      <c r="CI736" t="s">
        <v>206</v>
      </c>
      <c r="CL736" t="s">
        <v>108</v>
      </c>
      <c r="CM736" t="s">
        <v>109</v>
      </c>
      <c r="CN736" t="str">
        <f>"Eubanks"</f>
        <v>Eubanks</v>
      </c>
      <c r="CO736" t="str">
        <f>"Maria"</f>
        <v>Maria</v>
      </c>
      <c r="CP736" t="str">
        <f>""</f>
        <v/>
      </c>
      <c r="CQ736" t="str">
        <f>"Berry Appleman &amp; Leiden LLP"</f>
        <v>Berry Appleman &amp; Leiden LLP</v>
      </c>
      <c r="CR736" t="s">
        <v>6762</v>
      </c>
    </row>
    <row r="737" spans="1:96" x14ac:dyDescent="0.2">
      <c r="A737" t="s">
        <v>8660</v>
      </c>
      <c r="B737" t="s">
        <v>96</v>
      </c>
      <c r="C737" s="1">
        <v>44098</v>
      </c>
      <c r="D737" s="1">
        <v>44105</v>
      </c>
      <c r="F737" t="s">
        <v>97</v>
      </c>
      <c r="G737" t="str">
        <f>"Software Engineer"</f>
        <v>Software Engineer</v>
      </c>
      <c r="H737" t="s">
        <v>12176</v>
      </c>
      <c r="I737" t="s">
        <v>246</v>
      </c>
      <c r="J737" t="s">
        <v>98</v>
      </c>
      <c r="K737" s="1">
        <v>44197</v>
      </c>
      <c r="L737" s="1">
        <v>45291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1522</v>
      </c>
      <c r="U737" t="str">
        <f>""</f>
        <v/>
      </c>
      <c r="V737" t="s">
        <v>1281</v>
      </c>
      <c r="W737" t="str">
        <f>""</f>
        <v/>
      </c>
      <c r="X737" t="s">
        <v>538</v>
      </c>
      <c r="Y737" t="s">
        <v>135</v>
      </c>
      <c r="Z737" s="3">
        <v>22030</v>
      </c>
      <c r="AA737" t="s">
        <v>101</v>
      </c>
      <c r="AC737" s="4" t="str">
        <f>"+17032678000"</f>
        <v>+17032678000</v>
      </c>
      <c r="AD737">
        <v>0</v>
      </c>
      <c r="AE737" t="str">
        <f>"541512"</f>
        <v>541512</v>
      </c>
      <c r="AF737" t="s">
        <v>1282</v>
      </c>
      <c r="AG737" t="s">
        <v>1283</v>
      </c>
      <c r="AI737" t="s">
        <v>1284</v>
      </c>
      <c r="AJ737" t="s">
        <v>1281</v>
      </c>
      <c r="AK737" t="str">
        <f>""</f>
        <v/>
      </c>
      <c r="AL737" t="s">
        <v>538</v>
      </c>
      <c r="AM737" t="s">
        <v>135</v>
      </c>
      <c r="AN737" s="3">
        <v>22030</v>
      </c>
      <c r="AO737" t="s">
        <v>101</v>
      </c>
      <c r="AQ737" t="str">
        <f>"+17324282390"</f>
        <v>+17324282390</v>
      </c>
      <c r="AS737" t="s">
        <v>1285</v>
      </c>
      <c r="AT737" t="s">
        <v>107</v>
      </c>
      <c r="AU737" t="str">
        <f>"SMITH"</f>
        <v>SMITH</v>
      </c>
      <c r="AV737" t="str">
        <f>"MICHAEL"</f>
        <v>MICHAEL</v>
      </c>
      <c r="AW737" t="str">
        <f>"FRANCIS"</f>
        <v>FRANCIS</v>
      </c>
      <c r="AX737" t="str">
        <f>"1101 15TH STREET, NW"</f>
        <v>1101 15TH STREET, NW</v>
      </c>
      <c r="AY737" t="str">
        <f>"SUITE 700"</f>
        <v>SUITE 700</v>
      </c>
      <c r="AZ737" t="str">
        <f>"WASHINGTON"</f>
        <v>WASHINGTON</v>
      </c>
      <c r="BA737" t="str">
        <f>"DC"</f>
        <v>DC</v>
      </c>
      <c r="BB737" s="3">
        <v>20005</v>
      </c>
      <c r="BC737" t="str">
        <f>"UNITED STATES OF AMERICA"</f>
        <v>UNITED STATES OF AMERICA</v>
      </c>
      <c r="BD737" t="str">
        <f>""</f>
        <v/>
      </c>
      <c r="BE737" t="str">
        <f>"+12022235515"</f>
        <v>+12022235515</v>
      </c>
      <c r="BF737" t="str">
        <f>""</f>
        <v/>
      </c>
      <c r="BG737" t="str">
        <f>"LCATeamPham@Fragomen.com"</f>
        <v>LCATeamPham@Fragomen.com</v>
      </c>
      <c r="BH737" t="str">
        <f>"Fragomen, Del Rey, Bernsen &amp; Loewy, LLP"</f>
        <v>Fragomen, Del Rey, Bernsen &amp; Loewy, LLP</v>
      </c>
      <c r="BI737" t="str">
        <f>"DC"</f>
        <v>DC</v>
      </c>
      <c r="BJ737" t="str">
        <f>"DISTRICT OF COLUMBIA COURT OF APPEALS"</f>
        <v>DISTRICT OF COLUMBIA COURT OF APPEALS</v>
      </c>
      <c r="BK737">
        <v>1</v>
      </c>
      <c r="BL737" t="s">
        <v>107</v>
      </c>
      <c r="BM737" t="str">
        <f>"The PNC Financial Services Group, Inc."</f>
        <v>The PNC Financial Services Group, Inc.</v>
      </c>
      <c r="BN737" t="s">
        <v>3787</v>
      </c>
      <c r="BP737" t="s">
        <v>333</v>
      </c>
      <c r="BQ737" t="s">
        <v>861</v>
      </c>
      <c r="BR737" t="s">
        <v>127</v>
      </c>
      <c r="BS737" s="5">
        <v>15222</v>
      </c>
      <c r="BT737" s="2">
        <v>101500</v>
      </c>
      <c r="BV737" t="s">
        <v>105</v>
      </c>
      <c r="BW737" s="2">
        <v>80142</v>
      </c>
      <c r="BX737" t="s">
        <v>105</v>
      </c>
      <c r="BZ737" t="s">
        <v>167</v>
      </c>
      <c r="CA737" t="str">
        <f t="shared" si="48"/>
        <v>7/1/2020 - 6/30/2021</v>
      </c>
      <c r="CF737">
        <v>2</v>
      </c>
      <c r="CG737" t="s">
        <v>98</v>
      </c>
      <c r="CH737" t="s">
        <v>206</v>
      </c>
      <c r="CI737" t="s">
        <v>206</v>
      </c>
      <c r="CL737" t="s">
        <v>108</v>
      </c>
      <c r="CM737" t="s">
        <v>109</v>
      </c>
      <c r="CN737" t="str">
        <f>"ALI"</f>
        <v>ALI</v>
      </c>
      <c r="CO737" t="str">
        <f>"ADAM"</f>
        <v>ADAM</v>
      </c>
      <c r="CP737" t="str">
        <f>"P"</f>
        <v>P</v>
      </c>
      <c r="CQ737" t="str">
        <f>"Fragomen, Del Rey, Bernsen &amp; Loewy, LLP"</f>
        <v>Fragomen, Del Rey, Bernsen &amp; Loewy, LLP</v>
      </c>
      <c r="CR737" t="s">
        <v>4452</v>
      </c>
    </row>
    <row r="738" spans="1:96" x14ac:dyDescent="0.2">
      <c r="A738" t="s">
        <v>8675</v>
      </c>
      <c r="B738" t="s">
        <v>96</v>
      </c>
      <c r="C738" s="1">
        <v>44098</v>
      </c>
      <c r="D738" s="1">
        <v>44105</v>
      </c>
      <c r="F738" t="s">
        <v>97</v>
      </c>
      <c r="G738" t="str">
        <f>"Senior Software Engineer - KBGFJG75385-5"</f>
        <v>Senior Software Engineer - KBGFJG75385-5</v>
      </c>
      <c r="H738" t="s">
        <v>12168</v>
      </c>
      <c r="I738" t="s">
        <v>160</v>
      </c>
      <c r="J738" t="s">
        <v>98</v>
      </c>
      <c r="K738" s="1">
        <v>44142</v>
      </c>
      <c r="L738" s="1">
        <v>45236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 t="s">
        <v>6682</v>
      </c>
      <c r="U738" t="str">
        <f>""</f>
        <v/>
      </c>
      <c r="V738" t="s">
        <v>3491</v>
      </c>
      <c r="W738" t="str">
        <f>""</f>
        <v/>
      </c>
      <c r="X738" t="s">
        <v>1613</v>
      </c>
      <c r="Y738" t="s">
        <v>330</v>
      </c>
      <c r="Z738" s="3">
        <v>53204</v>
      </c>
      <c r="AA738" t="s">
        <v>101</v>
      </c>
      <c r="AC738" s="4" t="str">
        <f>"+14142175533"</f>
        <v>+14142175533</v>
      </c>
      <c r="AE738" t="str">
        <f>"335314"</f>
        <v>335314</v>
      </c>
      <c r="AF738" t="s">
        <v>3487</v>
      </c>
      <c r="AG738" t="s">
        <v>3488</v>
      </c>
      <c r="AH738" t="s">
        <v>3489</v>
      </c>
      <c r="AI738" t="s">
        <v>3490</v>
      </c>
      <c r="AJ738" t="s">
        <v>3491</v>
      </c>
      <c r="AK738" t="str">
        <f>""</f>
        <v/>
      </c>
      <c r="AL738" t="s">
        <v>1613</v>
      </c>
      <c r="AM738" t="s">
        <v>330</v>
      </c>
      <c r="AN738" s="3">
        <v>53204</v>
      </c>
      <c r="AO738" t="s">
        <v>101</v>
      </c>
      <c r="AQ738" t="str">
        <f>"+14143825930"</f>
        <v>+14143825930</v>
      </c>
      <c r="AS738" t="s">
        <v>3492</v>
      </c>
      <c r="AT738" t="s">
        <v>102</v>
      </c>
      <c r="AU738" t="str">
        <f>""</f>
        <v/>
      </c>
      <c r="AV738" t="str">
        <f>""</f>
        <v/>
      </c>
      <c r="AW738" t="str">
        <f>""</f>
        <v/>
      </c>
      <c r="AX738" t="str">
        <f>""</f>
        <v/>
      </c>
      <c r="AY738" t="str">
        <f>""</f>
        <v/>
      </c>
      <c r="AZ738" t="str">
        <f>""</f>
        <v/>
      </c>
      <c r="BA738" t="str">
        <f>""</f>
        <v/>
      </c>
      <c r="BC738" t="str">
        <f>""</f>
        <v/>
      </c>
      <c r="BD738" t="str">
        <f>""</f>
        <v/>
      </c>
      <c r="BE738" t="str">
        <f>""</f>
        <v/>
      </c>
      <c r="BF738" t="str">
        <f>""</f>
        <v/>
      </c>
      <c r="BG738" t="str">
        <f>""</f>
        <v/>
      </c>
      <c r="BH738" t="str">
        <f>""</f>
        <v/>
      </c>
      <c r="BI738" t="str">
        <f>""</f>
        <v/>
      </c>
      <c r="BJ738" t="str">
        <f>""</f>
        <v/>
      </c>
      <c r="BK738">
        <v>1</v>
      </c>
      <c r="BL738" t="s">
        <v>102</v>
      </c>
      <c r="BM738" t="str">
        <f>""</f>
        <v/>
      </c>
      <c r="BN738" t="s">
        <v>8676</v>
      </c>
      <c r="BP738" t="s">
        <v>3282</v>
      </c>
      <c r="BQ738" t="s">
        <v>556</v>
      </c>
      <c r="BR738" t="s">
        <v>114</v>
      </c>
      <c r="BS738" s="5">
        <v>75070</v>
      </c>
      <c r="BT738" s="2">
        <v>101701.86</v>
      </c>
      <c r="BV738" t="s">
        <v>105</v>
      </c>
      <c r="BW738" s="2">
        <v>74027</v>
      </c>
      <c r="BX738" t="s">
        <v>105</v>
      </c>
      <c r="BZ738" t="s">
        <v>167</v>
      </c>
      <c r="CA738" t="str">
        <f t="shared" si="48"/>
        <v>7/1/2020 - 6/30/2021</v>
      </c>
      <c r="CF738">
        <v>1</v>
      </c>
      <c r="CG738" t="s">
        <v>98</v>
      </c>
      <c r="CH738" t="s">
        <v>206</v>
      </c>
      <c r="CI738" t="s">
        <v>206</v>
      </c>
      <c r="CL738" t="s">
        <v>108</v>
      </c>
      <c r="CM738" t="s">
        <v>109</v>
      </c>
      <c r="CN738" t="str">
        <f>"Bertram"</f>
        <v>Bertram</v>
      </c>
      <c r="CO738" t="str">
        <f>"Tara "</f>
        <v xml:space="preserve">Tara </v>
      </c>
      <c r="CP738" t="str">
        <f>""</f>
        <v/>
      </c>
      <c r="CQ738" t="str">
        <f>"EY LAW LLP"</f>
        <v>EY LAW LLP</v>
      </c>
      <c r="CR738" t="s">
        <v>6683</v>
      </c>
    </row>
    <row r="739" spans="1:96" x14ac:dyDescent="0.2">
      <c r="A739" t="s">
        <v>8688</v>
      </c>
      <c r="B739" t="s">
        <v>96</v>
      </c>
      <c r="C739" s="1">
        <v>44098</v>
      </c>
      <c r="D739" s="1">
        <v>44105</v>
      </c>
      <c r="F739" t="s">
        <v>97</v>
      </c>
      <c r="G739" t="str">
        <f>"Sr. Engineer - Mechanical"</f>
        <v>Sr. Engineer - Mechanical</v>
      </c>
      <c r="H739" t="s">
        <v>12196</v>
      </c>
      <c r="I739" t="s">
        <v>322</v>
      </c>
      <c r="J739" t="s">
        <v>98</v>
      </c>
      <c r="K739" s="1">
        <v>44105</v>
      </c>
      <c r="L739" s="1">
        <v>45199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 t="s">
        <v>4473</v>
      </c>
      <c r="U739" t="str">
        <f>""</f>
        <v/>
      </c>
      <c r="V739" t="s">
        <v>6350</v>
      </c>
      <c r="W739" t="str">
        <f>"N/A"</f>
        <v>N/A</v>
      </c>
      <c r="X739" t="s">
        <v>1498</v>
      </c>
      <c r="Y739" t="s">
        <v>265</v>
      </c>
      <c r="Z739" s="3">
        <v>48331</v>
      </c>
      <c r="AA739" t="s">
        <v>101</v>
      </c>
      <c r="AC739" s="4" t="str">
        <f>"+12486994012"</f>
        <v>+12486994012</v>
      </c>
      <c r="AE739" t="str">
        <f>"336111"</f>
        <v>336111</v>
      </c>
      <c r="AF739" t="s">
        <v>4472</v>
      </c>
      <c r="AG739" t="s">
        <v>2279</v>
      </c>
      <c r="AH739" t="s">
        <v>108</v>
      </c>
      <c r="AI739" t="s">
        <v>3747</v>
      </c>
      <c r="AJ739" t="s">
        <v>6350</v>
      </c>
      <c r="AK739" t="str">
        <f>"N/A"</f>
        <v>N/A</v>
      </c>
      <c r="AL739" t="s">
        <v>1498</v>
      </c>
      <c r="AM739" t="s">
        <v>265</v>
      </c>
      <c r="AN739" s="3">
        <v>48331</v>
      </c>
      <c r="AO739" t="s">
        <v>101</v>
      </c>
      <c r="AQ739" t="str">
        <f>"+12486994012"</f>
        <v>+12486994012</v>
      </c>
      <c r="AS739" t="s">
        <v>6351</v>
      </c>
      <c r="AT739" t="s">
        <v>107</v>
      </c>
      <c r="AU739" t="str">
        <f>"Terebelo"</f>
        <v>Terebelo</v>
      </c>
      <c r="AV739" t="str">
        <f>"Michal"</f>
        <v>Michal</v>
      </c>
      <c r="AW739" t="str">
        <f>"D."</f>
        <v>D.</v>
      </c>
      <c r="AX739" t="str">
        <f>"5250 Corporate Drive"</f>
        <v>5250 Corporate Drive</v>
      </c>
      <c r="AY739" t="str">
        <f>"Ste. 300"</f>
        <v>Ste. 300</v>
      </c>
      <c r="AZ739" t="str">
        <f>"Troy"</f>
        <v>Troy</v>
      </c>
      <c r="BA739" t="str">
        <f>"MI"</f>
        <v>MI</v>
      </c>
      <c r="BB739" s="3">
        <v>48098</v>
      </c>
      <c r="BC739" t="str">
        <f>"UNITED STATES OF AMERICA"</f>
        <v>UNITED STATES OF AMERICA</v>
      </c>
      <c r="BD739" t="str">
        <f>""</f>
        <v/>
      </c>
      <c r="BE739" t="str">
        <f>"+12486434900"</f>
        <v>+12486434900</v>
      </c>
      <c r="BF739" t="str">
        <f>""</f>
        <v/>
      </c>
      <c r="BG739" t="str">
        <f>"kriselle@employmentimmigration.com"</f>
        <v>kriselle@employmentimmigration.com</v>
      </c>
      <c r="BH739" t="str">
        <f>"Fakhoury Global Immigration, USA PC"</f>
        <v>Fakhoury Global Immigration, USA PC</v>
      </c>
      <c r="BI739" t="str">
        <f>"MI"</f>
        <v>MI</v>
      </c>
      <c r="BJ739" t="str">
        <f>"Supreme Court"</f>
        <v>Supreme Court</v>
      </c>
      <c r="BK739">
        <v>1</v>
      </c>
      <c r="BL739" t="s">
        <v>102</v>
      </c>
      <c r="BM739" t="str">
        <f>""</f>
        <v/>
      </c>
      <c r="BN739" t="s">
        <v>4473</v>
      </c>
      <c r="BO739" t="s">
        <v>4471</v>
      </c>
      <c r="BP739" t="s">
        <v>1498</v>
      </c>
      <c r="BQ739" t="s">
        <v>719</v>
      </c>
      <c r="BR739" t="s">
        <v>265</v>
      </c>
      <c r="BS739" s="5">
        <v>48331</v>
      </c>
      <c r="BT739" s="2">
        <v>104000</v>
      </c>
      <c r="BV739" t="s">
        <v>105</v>
      </c>
      <c r="BW739" s="2">
        <v>97261</v>
      </c>
      <c r="BX739" t="s">
        <v>105</v>
      </c>
      <c r="BZ739" t="s">
        <v>123</v>
      </c>
      <c r="CA739" t="str">
        <f t="shared" si="48"/>
        <v>7/1/2020 - 6/30/2021</v>
      </c>
      <c r="CF739">
        <v>1</v>
      </c>
      <c r="CG739" t="s">
        <v>98</v>
      </c>
      <c r="CH739" t="s">
        <v>206</v>
      </c>
      <c r="CI739" t="s">
        <v>206</v>
      </c>
      <c r="CL739" t="s">
        <v>108</v>
      </c>
      <c r="CM739" t="s">
        <v>109</v>
      </c>
      <c r="CN739" t="str">
        <f>"Terebelo"</f>
        <v>Terebelo</v>
      </c>
      <c r="CO739" t="str">
        <f>"Michal"</f>
        <v>Michal</v>
      </c>
      <c r="CP739" t="str">
        <f>"D."</f>
        <v>D.</v>
      </c>
      <c r="CQ739" t="str">
        <f>"Fakhoury Global Immigration, USA PC"</f>
        <v>Fakhoury Global Immigration, USA PC</v>
      </c>
      <c r="CR739" t="s">
        <v>7464</v>
      </c>
    </row>
    <row r="740" spans="1:96" x14ac:dyDescent="0.2">
      <c r="A740" t="s">
        <v>8692</v>
      </c>
      <c r="B740" t="s">
        <v>96</v>
      </c>
      <c r="C740" s="1">
        <v>44098</v>
      </c>
      <c r="D740" s="1">
        <v>44105</v>
      </c>
      <c r="F740" t="s">
        <v>97</v>
      </c>
      <c r="G740" t="str">
        <f>"Software Developer"</f>
        <v>Software Developer</v>
      </c>
      <c r="H740" t="s">
        <v>12169</v>
      </c>
      <c r="I740" t="s">
        <v>124</v>
      </c>
      <c r="J740" t="s">
        <v>98</v>
      </c>
      <c r="K740" s="1">
        <v>44098</v>
      </c>
      <c r="L740" s="1">
        <v>45192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8693</v>
      </c>
      <c r="U740" t="str">
        <f>""</f>
        <v/>
      </c>
      <c r="V740" t="s">
        <v>8694</v>
      </c>
      <c r="W740" t="str">
        <f>"Suite # 108"</f>
        <v>Suite # 108</v>
      </c>
      <c r="X740" t="s">
        <v>2187</v>
      </c>
      <c r="Y740" t="s">
        <v>135</v>
      </c>
      <c r="Z740" s="3">
        <v>20151</v>
      </c>
      <c r="AA740" t="s">
        <v>101</v>
      </c>
      <c r="AC740" s="4" t="str">
        <f>"+17032461616"</f>
        <v>+17032461616</v>
      </c>
      <c r="AE740" t="str">
        <f>"541511"</f>
        <v>541511</v>
      </c>
      <c r="AF740" t="s">
        <v>8695</v>
      </c>
      <c r="AG740" t="s">
        <v>8696</v>
      </c>
      <c r="AI740" t="s">
        <v>2935</v>
      </c>
      <c r="AJ740" t="s">
        <v>8694</v>
      </c>
      <c r="AK740" t="str">
        <f>"Suite #108"</f>
        <v>Suite #108</v>
      </c>
      <c r="AL740" t="s">
        <v>2187</v>
      </c>
      <c r="AM740" t="s">
        <v>135</v>
      </c>
      <c r="AN740" s="3">
        <v>20151</v>
      </c>
      <c r="AO740" t="s">
        <v>101</v>
      </c>
      <c r="AQ740" t="str">
        <f>"+17032461616"</f>
        <v>+17032461616</v>
      </c>
      <c r="AS740" t="s">
        <v>8697</v>
      </c>
      <c r="AT740" t="s">
        <v>107</v>
      </c>
      <c r="AU740" t="str">
        <f>"Ilindra"</f>
        <v>Ilindra</v>
      </c>
      <c r="AV740" t="str">
        <f>"Bhanu"</f>
        <v>Bhanu</v>
      </c>
      <c r="AW740" t="str">
        <f>"B"</f>
        <v>B</v>
      </c>
      <c r="AX740" t="str">
        <f>"P.O. Box 1114"</f>
        <v>P.O. Box 1114</v>
      </c>
      <c r="AY740" t="str">
        <f>""</f>
        <v/>
      </c>
      <c r="AZ740" t="str">
        <f>"Herndon"</f>
        <v>Herndon</v>
      </c>
      <c r="BA740" t="str">
        <f>"VA"</f>
        <v>VA</v>
      </c>
      <c r="BB740" s="3">
        <v>20170</v>
      </c>
      <c r="BC740" t="str">
        <f>"UNITED STATES OF AMERICA"</f>
        <v>UNITED STATES OF AMERICA</v>
      </c>
      <c r="BD740" t="str">
        <f>""</f>
        <v/>
      </c>
      <c r="BE740" t="str">
        <f>"+17034967722"</f>
        <v>+17034967722</v>
      </c>
      <c r="BF740" t="str">
        <f>""</f>
        <v/>
      </c>
      <c r="BG740" t="str">
        <f>"bhanu@bbilawgroup.com"</f>
        <v>bhanu@bbilawgroup.com</v>
      </c>
      <c r="BH740" t="str">
        <f>"BBI Law Group, P.C."</f>
        <v>BBI Law Group, P.C.</v>
      </c>
      <c r="BI740" t="str">
        <f>"NY"</f>
        <v>NY</v>
      </c>
      <c r="BJ740" t="str">
        <f>"THIRD APPELLATE COURT"</f>
        <v>THIRD APPELLATE COURT</v>
      </c>
      <c r="BK740">
        <v>1</v>
      </c>
      <c r="BL740" t="s">
        <v>102</v>
      </c>
      <c r="BM740" t="str">
        <f>""</f>
        <v/>
      </c>
      <c r="BN740" t="s">
        <v>8698</v>
      </c>
      <c r="BO740" t="s">
        <v>8699</v>
      </c>
      <c r="BP740" t="s">
        <v>8700</v>
      </c>
      <c r="BQ740" t="s">
        <v>454</v>
      </c>
      <c r="BR740" t="s">
        <v>135</v>
      </c>
      <c r="BS740" s="5">
        <v>20151</v>
      </c>
      <c r="BT740" s="2">
        <v>97410</v>
      </c>
      <c r="BV740" t="s">
        <v>105</v>
      </c>
      <c r="BW740" s="2">
        <v>97406</v>
      </c>
      <c r="BX740" t="s">
        <v>105</v>
      </c>
      <c r="BZ740" t="s">
        <v>167</v>
      </c>
      <c r="CA740" t="str">
        <f t="shared" si="48"/>
        <v>7/1/2020 - 6/30/2021</v>
      </c>
      <c r="CF740">
        <v>1</v>
      </c>
      <c r="CG740" t="s">
        <v>98</v>
      </c>
      <c r="CH740" t="s">
        <v>206</v>
      </c>
      <c r="CI740" t="s">
        <v>206</v>
      </c>
      <c r="CL740" t="s">
        <v>108</v>
      </c>
      <c r="CM740" t="s">
        <v>109</v>
      </c>
      <c r="CN740" t="str">
        <f>"Ilindra"</f>
        <v>Ilindra</v>
      </c>
      <c r="CO740" t="str">
        <f>"Bhanu"</f>
        <v>Bhanu</v>
      </c>
      <c r="CP740" t="str">
        <f>"B"</f>
        <v>B</v>
      </c>
      <c r="CQ740" t="str">
        <f>"BBI Law Group P.C."</f>
        <v>BBI Law Group P.C.</v>
      </c>
      <c r="CR740" t="s">
        <v>3331</v>
      </c>
    </row>
    <row r="741" spans="1:96" x14ac:dyDescent="0.2">
      <c r="A741" t="s">
        <v>8705</v>
      </c>
      <c r="B741" t="s">
        <v>96</v>
      </c>
      <c r="C741" s="1">
        <v>44098</v>
      </c>
      <c r="D741" s="1">
        <v>44105</v>
      </c>
      <c r="F741" t="s">
        <v>97</v>
      </c>
      <c r="G741" t="str">
        <f>"Software Engineer"</f>
        <v>Software Engineer</v>
      </c>
      <c r="H741" t="s">
        <v>12169</v>
      </c>
      <c r="I741" t="s">
        <v>124</v>
      </c>
      <c r="J741" t="s">
        <v>98</v>
      </c>
      <c r="K741" s="1">
        <v>44279</v>
      </c>
      <c r="L741" s="1">
        <v>45374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 t="s">
        <v>173</v>
      </c>
      <c r="U741" t="str">
        <f>""</f>
        <v/>
      </c>
      <c r="V741" t="s">
        <v>174</v>
      </c>
      <c r="W741" t="str">
        <f>"N/A"</f>
        <v>N/A</v>
      </c>
      <c r="X741" t="s">
        <v>175</v>
      </c>
      <c r="Y741" t="s">
        <v>176</v>
      </c>
      <c r="Z741" s="3">
        <v>98052</v>
      </c>
      <c r="AA741" t="s">
        <v>101</v>
      </c>
      <c r="AC741" s="4" t="str">
        <f>"+14258828080"</f>
        <v>+14258828080</v>
      </c>
      <c r="AE741" t="str">
        <f>"51121"</f>
        <v>51121</v>
      </c>
      <c r="AF741" t="s">
        <v>177</v>
      </c>
      <c r="AG741" t="s">
        <v>178</v>
      </c>
      <c r="AI741" t="s">
        <v>179</v>
      </c>
      <c r="AJ741" t="s">
        <v>174</v>
      </c>
      <c r="AK741" t="str">
        <f>""</f>
        <v/>
      </c>
      <c r="AL741" t="s">
        <v>175</v>
      </c>
      <c r="AM741" t="s">
        <v>176</v>
      </c>
      <c r="AN741" s="3">
        <v>98052</v>
      </c>
      <c r="AO741" t="s">
        <v>101</v>
      </c>
      <c r="AQ741" t="str">
        <f>"+14258828080"</f>
        <v>+14258828080</v>
      </c>
      <c r="AS741" t="s">
        <v>180</v>
      </c>
      <c r="AT741" t="s">
        <v>102</v>
      </c>
      <c r="AU741" t="str">
        <f>""</f>
        <v/>
      </c>
      <c r="AV741" t="str">
        <f>""</f>
        <v/>
      </c>
      <c r="AW741" t="str">
        <f>""</f>
        <v/>
      </c>
      <c r="AX741" t="str">
        <f>""</f>
        <v/>
      </c>
      <c r="AY741" t="str">
        <f>""</f>
        <v/>
      </c>
      <c r="AZ741" t="str">
        <f>""</f>
        <v/>
      </c>
      <c r="BA741" t="str">
        <f>""</f>
        <v/>
      </c>
      <c r="BC741" t="str">
        <f>""</f>
        <v/>
      </c>
      <c r="BD741" t="str">
        <f>""</f>
        <v/>
      </c>
      <c r="BE741" t="str">
        <f>""</f>
        <v/>
      </c>
      <c r="BF741" t="str">
        <f>""</f>
        <v/>
      </c>
      <c r="BG741" t="str">
        <f>""</f>
        <v/>
      </c>
      <c r="BH741" t="str">
        <f>""</f>
        <v/>
      </c>
      <c r="BI741" t="str">
        <f>""</f>
        <v/>
      </c>
      <c r="BJ741" t="str">
        <f>""</f>
        <v/>
      </c>
      <c r="BK741">
        <v>1</v>
      </c>
      <c r="BL741" t="s">
        <v>102</v>
      </c>
      <c r="BM741" t="str">
        <f>""</f>
        <v/>
      </c>
      <c r="BN741" t="s">
        <v>962</v>
      </c>
      <c r="BP741" t="s">
        <v>175</v>
      </c>
      <c r="BQ741" t="s">
        <v>183</v>
      </c>
      <c r="BR741" t="s">
        <v>176</v>
      </c>
      <c r="BS741" s="5">
        <v>98052</v>
      </c>
      <c r="BT741" s="2">
        <v>164041</v>
      </c>
      <c r="BV741" t="s">
        <v>105</v>
      </c>
      <c r="BW741" s="2">
        <v>134098</v>
      </c>
      <c r="BX741" t="s">
        <v>105</v>
      </c>
      <c r="BZ741" t="s">
        <v>123</v>
      </c>
      <c r="CA741" t="str">
        <f t="shared" si="48"/>
        <v>7/1/2020 - 6/30/2021</v>
      </c>
      <c r="CF741">
        <v>1</v>
      </c>
      <c r="CG741" t="s">
        <v>98</v>
      </c>
      <c r="CH741" t="s">
        <v>206</v>
      </c>
      <c r="CI741" t="s">
        <v>206</v>
      </c>
      <c r="CL741" t="s">
        <v>108</v>
      </c>
      <c r="CM741" t="s">
        <v>109</v>
      </c>
      <c r="CN741" t="str">
        <f>"DSOUZA"</f>
        <v>DSOUZA</v>
      </c>
      <c r="CO741" t="str">
        <f>"MACLIFF"</f>
        <v>MACLIFF</v>
      </c>
      <c r="CP741" t="str">
        <f>"N/A"</f>
        <v>N/A</v>
      </c>
      <c r="CQ741" t="str">
        <f>"INTEGREON MANAGED SOLUTIONS (INDIA) PVT LTD"</f>
        <v>INTEGREON MANAGED SOLUTIONS (INDIA) PVT LTD</v>
      </c>
      <c r="CR741" t="s">
        <v>1842</v>
      </c>
    </row>
    <row r="742" spans="1:96" x14ac:dyDescent="0.2">
      <c r="A742" t="s">
        <v>8712</v>
      </c>
      <c r="B742" t="s">
        <v>96</v>
      </c>
      <c r="C742" s="1">
        <v>44098</v>
      </c>
      <c r="D742" s="1">
        <v>44105</v>
      </c>
      <c r="F742" t="s">
        <v>97</v>
      </c>
      <c r="G742" t="str">
        <f>"Research Associate"</f>
        <v>Research Associate</v>
      </c>
      <c r="H742" t="s">
        <v>12216</v>
      </c>
      <c r="I742" t="s">
        <v>4593</v>
      </c>
      <c r="J742" t="s">
        <v>206</v>
      </c>
      <c r="K742" s="1">
        <v>44204</v>
      </c>
      <c r="L742" s="1">
        <v>45298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2923</v>
      </c>
      <c r="U742" t="str">
        <f>""</f>
        <v/>
      </c>
      <c r="V742" t="s">
        <v>2923</v>
      </c>
      <c r="W742" t="str">
        <f>"1600 SW Western Blvd."</f>
        <v>1600 SW Western Blvd.</v>
      </c>
      <c r="X742" t="s">
        <v>2924</v>
      </c>
      <c r="Y742" t="s">
        <v>814</v>
      </c>
      <c r="Z742" s="3">
        <v>97333</v>
      </c>
      <c r="AA742" t="s">
        <v>101</v>
      </c>
      <c r="AC742" s="4" t="str">
        <f>"+15417376468"</f>
        <v>+15417376468</v>
      </c>
      <c r="AE742" t="str">
        <f>"611310"</f>
        <v>611310</v>
      </c>
      <c r="AF742" t="s">
        <v>2925</v>
      </c>
      <c r="AG742" t="s">
        <v>278</v>
      </c>
      <c r="AI742" t="s">
        <v>1679</v>
      </c>
      <c r="AJ742" t="s">
        <v>2926</v>
      </c>
      <c r="AK742" t="str">
        <f>"1600 SW Western Blvd Suite 130"</f>
        <v>1600 SW Western Blvd Suite 130</v>
      </c>
      <c r="AL742" t="s">
        <v>2924</v>
      </c>
      <c r="AM742" t="s">
        <v>814</v>
      </c>
      <c r="AN742" s="3">
        <v>97333</v>
      </c>
      <c r="AO742" t="s">
        <v>101</v>
      </c>
      <c r="AQ742" t="str">
        <f>"+15417476449"</f>
        <v>+15417476449</v>
      </c>
      <c r="AS742" t="s">
        <v>2927</v>
      </c>
      <c r="AT742" t="s">
        <v>102</v>
      </c>
      <c r="AU742" t="str">
        <f>""</f>
        <v/>
      </c>
      <c r="AV742" t="str">
        <f>""</f>
        <v/>
      </c>
      <c r="AW742" t="str">
        <f>""</f>
        <v/>
      </c>
      <c r="AX742" t="str">
        <f>""</f>
        <v/>
      </c>
      <c r="AY742" t="str">
        <f>""</f>
        <v/>
      </c>
      <c r="AZ742" t="str">
        <f>""</f>
        <v/>
      </c>
      <c r="BA742" t="str">
        <f>""</f>
        <v/>
      </c>
      <c r="BC742" t="str">
        <f>""</f>
        <v/>
      </c>
      <c r="BD742" t="str">
        <f>""</f>
        <v/>
      </c>
      <c r="BE742" t="str">
        <f>""</f>
        <v/>
      </c>
      <c r="BF742" t="str">
        <f>""</f>
        <v/>
      </c>
      <c r="BG742" t="str">
        <f>""</f>
        <v/>
      </c>
      <c r="BH742" t="str">
        <f>""</f>
        <v/>
      </c>
      <c r="BI742" t="str">
        <f>""</f>
        <v/>
      </c>
      <c r="BJ742" t="str">
        <f>""</f>
        <v/>
      </c>
      <c r="BK742">
        <v>1</v>
      </c>
      <c r="BL742" t="s">
        <v>102</v>
      </c>
      <c r="BM742" t="str">
        <f>""</f>
        <v/>
      </c>
      <c r="BN742" t="s">
        <v>2923</v>
      </c>
      <c r="BO742" t="s">
        <v>8159</v>
      </c>
      <c r="BP742" t="s">
        <v>2924</v>
      </c>
      <c r="BQ742" t="s">
        <v>640</v>
      </c>
      <c r="BR742" t="s">
        <v>814</v>
      </c>
      <c r="BS742" s="5">
        <v>97331</v>
      </c>
      <c r="BT742" s="2">
        <v>24.4</v>
      </c>
      <c r="BV742" t="s">
        <v>210</v>
      </c>
      <c r="BW742" s="2">
        <v>21.16</v>
      </c>
      <c r="BX742" t="s">
        <v>210</v>
      </c>
      <c r="CA742" t="str">
        <f>""</f>
        <v/>
      </c>
      <c r="CB742" t="s">
        <v>106</v>
      </c>
      <c r="CC742">
        <v>2020</v>
      </c>
      <c r="CF742">
        <v>1</v>
      </c>
      <c r="CG742" t="s">
        <v>98</v>
      </c>
      <c r="CH742" t="s">
        <v>206</v>
      </c>
      <c r="CI742" t="s">
        <v>206</v>
      </c>
      <c r="CL742" t="s">
        <v>108</v>
      </c>
      <c r="CM742" t="s">
        <v>109</v>
      </c>
      <c r="CN742" t="str">
        <f>""</f>
        <v/>
      </c>
      <c r="CO742" t="str">
        <f>""</f>
        <v/>
      </c>
      <c r="CP742" t="str">
        <f>""</f>
        <v/>
      </c>
      <c r="CQ742" t="str">
        <f>""</f>
        <v/>
      </c>
    </row>
    <row r="743" spans="1:96" x14ac:dyDescent="0.2">
      <c r="A743" t="s">
        <v>8714</v>
      </c>
      <c r="B743" t="s">
        <v>96</v>
      </c>
      <c r="C743" s="1">
        <v>44098</v>
      </c>
      <c r="D743" s="1">
        <v>44105</v>
      </c>
      <c r="F743" t="s">
        <v>97</v>
      </c>
      <c r="G743" t="str">
        <f>"FRONT-END ENGINEER I"</f>
        <v>FRONT-END ENGINEER I</v>
      </c>
      <c r="H743" t="s">
        <v>12169</v>
      </c>
      <c r="I743" t="s">
        <v>124</v>
      </c>
      <c r="J743" t="s">
        <v>98</v>
      </c>
      <c r="K743" s="1">
        <v>44109</v>
      </c>
      <c r="L743" s="1">
        <v>45203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 t="s">
        <v>3960</v>
      </c>
      <c r="U743" t="str">
        <f>""</f>
        <v/>
      </c>
      <c r="V743" t="s">
        <v>809</v>
      </c>
      <c r="W743" t="str">
        <f>"SUITE 500"</f>
        <v>SUITE 500</v>
      </c>
      <c r="X743" t="s">
        <v>433</v>
      </c>
      <c r="Y743" t="s">
        <v>176</v>
      </c>
      <c r="Z743" s="3">
        <v>98121</v>
      </c>
      <c r="AA743" t="s">
        <v>101</v>
      </c>
      <c r="AC743" s="4" t="str">
        <f>"+12062661000"</f>
        <v>+12062661000</v>
      </c>
      <c r="AE743" t="str">
        <f>"454110"</f>
        <v>454110</v>
      </c>
      <c r="AF743" t="s">
        <v>442</v>
      </c>
      <c r="AG743" t="s">
        <v>443</v>
      </c>
      <c r="AH743" t="s">
        <v>108</v>
      </c>
      <c r="AI743" t="s">
        <v>434</v>
      </c>
      <c r="AJ743" t="s">
        <v>809</v>
      </c>
      <c r="AK743" t="str">
        <f>"SUITE 500"</f>
        <v>SUITE 500</v>
      </c>
      <c r="AL743" t="s">
        <v>433</v>
      </c>
      <c r="AM743" t="s">
        <v>176</v>
      </c>
      <c r="AN743" s="3">
        <v>98121</v>
      </c>
      <c r="AO743" t="s">
        <v>101</v>
      </c>
      <c r="AQ743" t="str">
        <f>"+12062661000"</f>
        <v>+12062661000</v>
      </c>
      <c r="AS743" t="s">
        <v>263</v>
      </c>
      <c r="AT743" t="s">
        <v>107</v>
      </c>
      <c r="AU743" t="str">
        <f>"MARANCI"</f>
        <v>MARANCI</v>
      </c>
      <c r="AV743" t="str">
        <f>"DANIEL"</f>
        <v>DANIEL</v>
      </c>
      <c r="AW743" t="str">
        <f>"N/A"</f>
        <v>N/A</v>
      </c>
      <c r="AX743" t="str">
        <f>"100 HIGH STREET"</f>
        <v>100 HIGH STREET</v>
      </c>
      <c r="AY743" t="str">
        <f>"3RD FLOOR C#5316616"</f>
        <v>3RD FLOOR C#5316616</v>
      </c>
      <c r="AZ743" t="str">
        <f>"BOSTON"</f>
        <v>BOSTON</v>
      </c>
      <c r="BA743" t="str">
        <f>"MA"</f>
        <v>MA</v>
      </c>
      <c r="BB743" s="3">
        <v>2110</v>
      </c>
      <c r="BC743" t="str">
        <f t="shared" ref="BC743:BC749" si="49">"UNITED STATES OF AMERICA"</f>
        <v>UNITED STATES OF AMERICA</v>
      </c>
      <c r="BD743" t="str">
        <f>""</f>
        <v/>
      </c>
      <c r="BE743" t="str">
        <f>"+16175740400"</f>
        <v>+16175740400</v>
      </c>
      <c r="BF743" t="str">
        <f>""</f>
        <v/>
      </c>
      <c r="BG743" t="str">
        <f>"AMAZONINDIA@FRAGOMEN.COM"</f>
        <v>AMAZONINDIA@FRAGOMEN.COM</v>
      </c>
      <c r="BH743" t="str">
        <f>"FRAGOMEN, DEL REY, BERNSEN &amp; LOEWY, LLP"</f>
        <v>FRAGOMEN, DEL REY, BERNSEN &amp; LOEWY, LLP</v>
      </c>
      <c r="BI743" t="str">
        <f>"MA"</f>
        <v>MA</v>
      </c>
      <c r="BJ743" t="str">
        <f>"SUPREME JUDICIAL COURT"</f>
        <v>SUPREME JUDICIAL COURT</v>
      </c>
      <c r="BK743">
        <v>1</v>
      </c>
      <c r="BL743" t="s">
        <v>102</v>
      </c>
      <c r="BM743" t="str">
        <f>""</f>
        <v/>
      </c>
      <c r="BN743" t="s">
        <v>5801</v>
      </c>
      <c r="BP743" t="s">
        <v>2383</v>
      </c>
      <c r="BQ743" t="s">
        <v>1250</v>
      </c>
      <c r="BR743" t="s">
        <v>171</v>
      </c>
      <c r="BS743" s="5">
        <v>2140</v>
      </c>
      <c r="BT743" s="2">
        <v>135000</v>
      </c>
      <c r="BV743" t="s">
        <v>105</v>
      </c>
      <c r="BW743" s="2">
        <v>76523</v>
      </c>
      <c r="BX743" t="s">
        <v>105</v>
      </c>
      <c r="BZ743" t="s">
        <v>191</v>
      </c>
      <c r="CA743" t="str">
        <f t="shared" ref="CA743:CA761" si="50">"7/1/2020 - 6/30/2021"</f>
        <v>7/1/2020 - 6/30/2021</v>
      </c>
      <c r="CF743">
        <v>2</v>
      </c>
      <c r="CG743" t="s">
        <v>98</v>
      </c>
      <c r="CH743" t="s">
        <v>206</v>
      </c>
      <c r="CI743" t="s">
        <v>206</v>
      </c>
      <c r="CL743" t="s">
        <v>108</v>
      </c>
      <c r="CM743" t="s">
        <v>109</v>
      </c>
      <c r="CN743" t="str">
        <f>"SUNNY"</f>
        <v>SUNNY</v>
      </c>
      <c r="CO743" t="str">
        <f>"JASMIN"</f>
        <v>JASMIN</v>
      </c>
      <c r="CP743" t="str">
        <f>"N/A"</f>
        <v>N/A</v>
      </c>
      <c r="CQ743" t="str">
        <f>"FRAGOMEN, DEL REY, BERNSEN &amp; LOEWY, LLP"</f>
        <v>FRAGOMEN, DEL REY, BERNSEN &amp; LOEWY, LLP</v>
      </c>
      <c r="CR743" t="s">
        <v>650</v>
      </c>
    </row>
    <row r="744" spans="1:96" x14ac:dyDescent="0.2">
      <c r="A744" t="s">
        <v>8730</v>
      </c>
      <c r="B744" t="s">
        <v>96</v>
      </c>
      <c r="C744" s="1">
        <v>44098</v>
      </c>
      <c r="D744" s="1">
        <v>44105</v>
      </c>
      <c r="F744" t="s">
        <v>97</v>
      </c>
      <c r="G744" t="str">
        <f>"Senior Product Manager "</f>
        <v xml:space="preserve">Senior Product Manager </v>
      </c>
      <c r="H744" t="s">
        <v>12189</v>
      </c>
      <c r="I744" t="s">
        <v>730</v>
      </c>
      <c r="J744" t="s">
        <v>98</v>
      </c>
      <c r="K744" s="1">
        <v>44109</v>
      </c>
      <c r="L744" s="1">
        <v>45203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4332</v>
      </c>
      <c r="U744" t="str">
        <f>""</f>
        <v/>
      </c>
      <c r="V744" t="s">
        <v>4333</v>
      </c>
      <c r="W744" t="str">
        <f>"#600"</f>
        <v>#600</v>
      </c>
      <c r="X744" t="s">
        <v>4334</v>
      </c>
      <c r="Y744" t="s">
        <v>176</v>
      </c>
      <c r="Z744" s="3">
        <v>98004</v>
      </c>
      <c r="AA744" t="s">
        <v>101</v>
      </c>
      <c r="AC744" s="4" t="str">
        <f>"+14254535861"</f>
        <v>+14254535861</v>
      </c>
      <c r="AE744" t="str">
        <f>"541511"</f>
        <v>541511</v>
      </c>
      <c r="AF744" t="s">
        <v>4335</v>
      </c>
      <c r="AG744" t="s">
        <v>4336</v>
      </c>
      <c r="AH744" t="s">
        <v>4337</v>
      </c>
      <c r="AI744" t="s">
        <v>4338</v>
      </c>
      <c r="AJ744" t="s">
        <v>4333</v>
      </c>
      <c r="AK744" t="str">
        <f>"#600 "</f>
        <v xml:space="preserve">#600 </v>
      </c>
      <c r="AL744" t="s">
        <v>4334</v>
      </c>
      <c r="AM744" t="s">
        <v>176</v>
      </c>
      <c r="AN744" s="3">
        <v>98004</v>
      </c>
      <c r="AO744" t="s">
        <v>101</v>
      </c>
      <c r="AQ744" t="str">
        <f>"+14254535861"</f>
        <v>+14254535861</v>
      </c>
      <c r="AS744" t="s">
        <v>4339</v>
      </c>
      <c r="AT744" t="s">
        <v>107</v>
      </c>
      <c r="AU744" t="str">
        <f>"Kye"</f>
        <v>Kye</v>
      </c>
      <c r="AV744" t="str">
        <f>"Edwina"</f>
        <v>Edwina</v>
      </c>
      <c r="AW744" t="str">
        <f>"C."</f>
        <v>C.</v>
      </c>
      <c r="AX744" t="str">
        <f>"1201 Third Avenue"</f>
        <v>1201 Third Avenue</v>
      </c>
      <c r="AY744" t="str">
        <f>"Suite 2750"</f>
        <v>Suite 2750</v>
      </c>
      <c r="AZ744" t="str">
        <f>"Seattle"</f>
        <v>Seattle</v>
      </c>
      <c r="BA744" t="str">
        <f>"WA"</f>
        <v>WA</v>
      </c>
      <c r="BB744" s="3">
        <v>98101</v>
      </c>
      <c r="BC744" t="str">
        <f t="shared" si="49"/>
        <v>UNITED STATES OF AMERICA</v>
      </c>
      <c r="BD744" t="str">
        <f>""</f>
        <v/>
      </c>
      <c r="BE744" t="str">
        <f>"+12066822308"</f>
        <v>+12066822308</v>
      </c>
      <c r="BF744" t="str">
        <f>""</f>
        <v/>
      </c>
      <c r="BG744" t="str">
        <f>"sea-immigration@fisherphillips.com"</f>
        <v>sea-immigration@fisherphillips.com</v>
      </c>
      <c r="BH744" t="str">
        <f>"Fisher &amp; Phillips LLP"</f>
        <v>Fisher &amp; Phillips LLP</v>
      </c>
      <c r="BI744" t="str">
        <f>"NY"</f>
        <v>NY</v>
      </c>
      <c r="BJ744" t="str">
        <f>"Court of Appeals"</f>
        <v>Court of Appeals</v>
      </c>
      <c r="BK744">
        <v>1</v>
      </c>
      <c r="BL744" t="s">
        <v>102</v>
      </c>
      <c r="BM744" t="str">
        <f>""</f>
        <v/>
      </c>
      <c r="BN744" t="s">
        <v>8731</v>
      </c>
      <c r="BP744" t="s">
        <v>3281</v>
      </c>
      <c r="BQ744" t="s">
        <v>183</v>
      </c>
      <c r="BR744" t="s">
        <v>176</v>
      </c>
      <c r="BS744" s="5">
        <v>98034</v>
      </c>
      <c r="BT744" s="2">
        <v>150000</v>
      </c>
      <c r="BV744" t="s">
        <v>105</v>
      </c>
      <c r="BW744" s="2">
        <v>133619</v>
      </c>
      <c r="BX744" t="s">
        <v>105</v>
      </c>
      <c r="BZ744" t="s">
        <v>167</v>
      </c>
      <c r="CA744" t="str">
        <f t="shared" si="50"/>
        <v>7/1/2020 - 6/30/2021</v>
      </c>
      <c r="CF744">
        <v>1</v>
      </c>
      <c r="CG744" t="s">
        <v>98</v>
      </c>
      <c r="CH744" t="s">
        <v>206</v>
      </c>
      <c r="CI744" t="s">
        <v>206</v>
      </c>
      <c r="CL744" t="s">
        <v>108</v>
      </c>
      <c r="CM744" t="s">
        <v>109</v>
      </c>
      <c r="CN744" t="str">
        <f>"Oem"</f>
        <v>Oem</v>
      </c>
      <c r="CO744" t="str">
        <f>"Clara"</f>
        <v>Clara</v>
      </c>
      <c r="CP744" t="str">
        <f>"C"</f>
        <v>C</v>
      </c>
      <c r="CQ744" t="str">
        <f>"Fisher &amp; Phillips LLP"</f>
        <v>Fisher &amp; Phillips LLP</v>
      </c>
      <c r="CR744" t="s">
        <v>4340</v>
      </c>
    </row>
    <row r="745" spans="1:96" x14ac:dyDescent="0.2">
      <c r="A745" t="s">
        <v>8741</v>
      </c>
      <c r="B745" t="s">
        <v>96</v>
      </c>
      <c r="C745" s="1">
        <v>44098</v>
      </c>
      <c r="D745" s="1">
        <v>44105</v>
      </c>
      <c r="F745" t="s">
        <v>97</v>
      </c>
      <c r="G745" t="str">
        <f>"DATA SCIENTIST"</f>
        <v>DATA SCIENTIST</v>
      </c>
      <c r="H745" t="s">
        <v>12180</v>
      </c>
      <c r="I745" t="s">
        <v>390</v>
      </c>
      <c r="J745" t="s">
        <v>98</v>
      </c>
      <c r="K745" s="1">
        <v>44116</v>
      </c>
      <c r="L745" s="1">
        <v>45210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 t="s">
        <v>5515</v>
      </c>
      <c r="U745" t="str">
        <f>""</f>
        <v/>
      </c>
      <c r="V745" t="s">
        <v>5516</v>
      </c>
      <c r="W745" t="str">
        <f>""</f>
        <v/>
      </c>
      <c r="X745" t="s">
        <v>5517</v>
      </c>
      <c r="Y745" t="s">
        <v>857</v>
      </c>
      <c r="Z745" s="3">
        <v>2865</v>
      </c>
      <c r="AA745" t="s">
        <v>101</v>
      </c>
      <c r="AC745" s="4" t="str">
        <f>"+14017701621"</f>
        <v>+14017701621</v>
      </c>
      <c r="AE745" t="str">
        <f>"524114"</f>
        <v>524114</v>
      </c>
      <c r="AF745" t="s">
        <v>5518</v>
      </c>
      <c r="AG745" t="s">
        <v>5519</v>
      </c>
      <c r="AH745" t="s">
        <v>5520</v>
      </c>
      <c r="AI745" t="s">
        <v>5521</v>
      </c>
      <c r="AJ745" t="s">
        <v>5522</v>
      </c>
      <c r="AK745" t="str">
        <f>"695 GEORGE WASHINGTON HWY, MAIL CODE HR695"</f>
        <v>695 GEORGE WASHINGTON HWY, MAIL CODE HR695</v>
      </c>
      <c r="AL745" t="s">
        <v>5517</v>
      </c>
      <c r="AM745" t="s">
        <v>857</v>
      </c>
      <c r="AN745" s="3">
        <v>2865</v>
      </c>
      <c r="AO745" t="s">
        <v>101</v>
      </c>
      <c r="AQ745" t="str">
        <f>"+14017701621"</f>
        <v>+14017701621</v>
      </c>
      <c r="AS745" t="s">
        <v>5523</v>
      </c>
      <c r="AT745" t="s">
        <v>107</v>
      </c>
      <c r="AU745" t="str">
        <f>"WEINTRAUB"</f>
        <v>WEINTRAUB</v>
      </c>
      <c r="AV745" t="str">
        <f>"FREDDI"</f>
        <v>FREDDI</v>
      </c>
      <c r="AW745" t="str">
        <f>"M."</f>
        <v>M.</v>
      </c>
      <c r="AX745" t="str">
        <f>"1400 BROADWAY"</f>
        <v>1400 BROADWAY</v>
      </c>
      <c r="AY745" t="str">
        <f>"9TH FL"</f>
        <v>9TH FL</v>
      </c>
      <c r="AZ745" t="str">
        <f>"NEW YORK"</f>
        <v>NEW YORK</v>
      </c>
      <c r="BA745" t="str">
        <f>"NY"</f>
        <v>NY</v>
      </c>
      <c r="BB745" s="3">
        <v>10018</v>
      </c>
      <c r="BC745" t="str">
        <f t="shared" si="49"/>
        <v>UNITED STATES OF AMERICA</v>
      </c>
      <c r="BD745" t="str">
        <f>""</f>
        <v/>
      </c>
      <c r="BE745" t="str">
        <f>"+12126888555"</f>
        <v>+12126888555</v>
      </c>
      <c r="BF745" t="str">
        <f>""</f>
        <v/>
      </c>
      <c r="BG745" t="str">
        <f>"MARK.GARCERAN@FRAGOMEN.COM"</f>
        <v>MARK.GARCERAN@FRAGOMEN.COM</v>
      </c>
      <c r="BH745" t="str">
        <f>"FRAGOMEN, DEL REY, BERNSEN &amp; LOEWY, LLP"</f>
        <v>FRAGOMEN, DEL REY, BERNSEN &amp; LOEWY, LLP</v>
      </c>
      <c r="BI745" t="str">
        <f>"NY"</f>
        <v>NY</v>
      </c>
      <c r="BJ745" t="str">
        <f>"NEW YORK STATE COURT OF APPEALS"</f>
        <v>NEW YORK STATE COURT OF APPEALS</v>
      </c>
      <c r="BK745">
        <v>1</v>
      </c>
      <c r="BL745" t="s">
        <v>102</v>
      </c>
      <c r="BM745" t="str">
        <f>""</f>
        <v/>
      </c>
      <c r="BN745" t="s">
        <v>5524</v>
      </c>
      <c r="BO745" t="s">
        <v>8742</v>
      </c>
      <c r="BP745" t="s">
        <v>5362</v>
      </c>
      <c r="BQ745" t="s">
        <v>2007</v>
      </c>
      <c r="BR745" t="s">
        <v>190</v>
      </c>
      <c r="BS745" s="5">
        <v>11101</v>
      </c>
      <c r="BT745" s="2">
        <v>120000</v>
      </c>
      <c r="BV745" t="s">
        <v>105</v>
      </c>
      <c r="BW745" s="2">
        <v>107141</v>
      </c>
      <c r="BX745" t="s">
        <v>105</v>
      </c>
      <c r="BZ745" t="s">
        <v>123</v>
      </c>
      <c r="CA745" t="str">
        <f t="shared" si="50"/>
        <v>7/1/2020 - 6/30/2021</v>
      </c>
      <c r="CF745">
        <v>2</v>
      </c>
      <c r="CG745" t="s">
        <v>98</v>
      </c>
      <c r="CH745" t="s">
        <v>206</v>
      </c>
      <c r="CI745" t="s">
        <v>206</v>
      </c>
      <c r="CL745" t="s">
        <v>108</v>
      </c>
      <c r="CM745" t="s">
        <v>109</v>
      </c>
      <c r="CN745" t="str">
        <f>"GARCERAN"</f>
        <v>GARCERAN</v>
      </c>
      <c r="CO745" t="str">
        <f>"MARK"</f>
        <v>MARK</v>
      </c>
      <c r="CP745" t="str">
        <f>""</f>
        <v/>
      </c>
      <c r="CQ745" t="str">
        <f>"FRAGOMEN, DEL REY, BERNSEN &amp; LOEWY, LLP"</f>
        <v>FRAGOMEN, DEL REY, BERNSEN &amp; LOEWY, LLP</v>
      </c>
      <c r="CR745" t="s">
        <v>5526</v>
      </c>
    </row>
    <row r="746" spans="1:96" x14ac:dyDescent="0.2">
      <c r="A746" t="s">
        <v>8743</v>
      </c>
      <c r="B746" t="s">
        <v>96</v>
      </c>
      <c r="C746" s="1">
        <v>44098</v>
      </c>
      <c r="D746" s="1">
        <v>44105</v>
      </c>
      <c r="F746" t="s">
        <v>97</v>
      </c>
      <c r="G746" t="str">
        <f>"4G/5G Systems Processing Engineer"</f>
        <v>4G/5G Systems Processing Engineer</v>
      </c>
      <c r="H746" t="s">
        <v>12186</v>
      </c>
      <c r="I746" t="s">
        <v>232</v>
      </c>
      <c r="J746" t="s">
        <v>98</v>
      </c>
      <c r="K746" s="1">
        <v>44123</v>
      </c>
      <c r="L746" s="1">
        <v>45217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 t="s">
        <v>3215</v>
      </c>
      <c r="U746" t="str">
        <f>"WorldLink"</f>
        <v>WorldLink</v>
      </c>
      <c r="V746" t="s">
        <v>3216</v>
      </c>
      <c r="W746" t="str">
        <f>"Ste 204"</f>
        <v>Ste 204</v>
      </c>
      <c r="X746" t="s">
        <v>555</v>
      </c>
      <c r="Y746" t="s">
        <v>114</v>
      </c>
      <c r="Z746" s="3">
        <v>75034</v>
      </c>
      <c r="AA746" t="s">
        <v>101</v>
      </c>
      <c r="AC746" s="4" t="str">
        <f>"+19726713434"</f>
        <v>+19726713434</v>
      </c>
      <c r="AE746" t="str">
        <f>"541513"</f>
        <v>541513</v>
      </c>
      <c r="AF746" t="s">
        <v>3217</v>
      </c>
      <c r="AG746" t="s">
        <v>3218</v>
      </c>
      <c r="AH746" t="s">
        <v>8744</v>
      </c>
      <c r="AI746" t="s">
        <v>646</v>
      </c>
      <c r="AJ746" t="s">
        <v>3216</v>
      </c>
      <c r="AK746" t="str">
        <f>"Ste 204"</f>
        <v>Ste 204</v>
      </c>
      <c r="AL746" t="s">
        <v>555</v>
      </c>
      <c r="AM746" t="s">
        <v>114</v>
      </c>
      <c r="AN746" s="3">
        <v>75034</v>
      </c>
      <c r="AO746" t="s">
        <v>101</v>
      </c>
      <c r="AQ746" t="str">
        <f>"+19726713434"</f>
        <v>+19726713434</v>
      </c>
      <c r="AS746" t="s">
        <v>3219</v>
      </c>
      <c r="AT746" t="s">
        <v>107</v>
      </c>
      <c r="AU746" t="str">
        <f>"Wiemann"</f>
        <v>Wiemann</v>
      </c>
      <c r="AV746" t="str">
        <f>"Maria"</f>
        <v>Maria</v>
      </c>
      <c r="AW746" t="str">
        <f>""</f>
        <v/>
      </c>
      <c r="AX746" t="str">
        <f>"3880 Parkwood Blvd"</f>
        <v>3880 Parkwood Blvd</v>
      </c>
      <c r="AY746" t="str">
        <f>"Ste 204"</f>
        <v>Ste 204</v>
      </c>
      <c r="AZ746" t="str">
        <f>"Frisco"</f>
        <v>Frisco</v>
      </c>
      <c r="BA746" t="str">
        <f>"TX"</f>
        <v>TX</v>
      </c>
      <c r="BB746" s="3">
        <v>75034</v>
      </c>
      <c r="BC746" t="str">
        <f t="shared" si="49"/>
        <v>UNITED STATES OF AMERICA</v>
      </c>
      <c r="BD746" t="str">
        <f>""</f>
        <v/>
      </c>
      <c r="BE746" t="str">
        <f>"+19726713434"</f>
        <v>+19726713434</v>
      </c>
      <c r="BF746" t="str">
        <f>""</f>
        <v/>
      </c>
      <c r="BG746" t="str">
        <f>"visas@worldlink-us.com"</f>
        <v>visas@worldlink-us.com</v>
      </c>
      <c r="BH746" t="str">
        <f>"Adi WorldLink LLC"</f>
        <v>Adi WorldLink LLC</v>
      </c>
      <c r="BI746" t="str">
        <f>"TX"</f>
        <v>TX</v>
      </c>
      <c r="BJ746" t="str">
        <f>"Supreme Court"</f>
        <v>Supreme Court</v>
      </c>
      <c r="BK746">
        <v>1</v>
      </c>
      <c r="BL746" t="s">
        <v>107</v>
      </c>
      <c r="BM746" t="str">
        <f>"Samsung Electronics America"</f>
        <v>Samsung Electronics America</v>
      </c>
      <c r="BN746" t="s">
        <v>2260</v>
      </c>
      <c r="BP746" t="s">
        <v>297</v>
      </c>
      <c r="BQ746" t="s">
        <v>556</v>
      </c>
      <c r="BR746" t="s">
        <v>114</v>
      </c>
      <c r="BS746" s="5">
        <v>75023</v>
      </c>
      <c r="BT746" s="2">
        <v>122000</v>
      </c>
      <c r="BU746" s="2">
        <v>142000</v>
      </c>
      <c r="BV746" t="s">
        <v>105</v>
      </c>
      <c r="BW746" s="2">
        <v>121701</v>
      </c>
      <c r="BX746" t="s">
        <v>105</v>
      </c>
      <c r="BZ746" t="s">
        <v>123</v>
      </c>
      <c r="CA746" t="str">
        <f t="shared" si="50"/>
        <v>7/1/2020 - 6/30/2021</v>
      </c>
      <c r="CF746">
        <v>2</v>
      </c>
      <c r="CG746" t="s">
        <v>98</v>
      </c>
      <c r="CH746" t="s">
        <v>206</v>
      </c>
      <c r="CI746" t="s">
        <v>206</v>
      </c>
      <c r="CL746" t="s">
        <v>108</v>
      </c>
      <c r="CM746" t="s">
        <v>109</v>
      </c>
      <c r="CN746" t="str">
        <f>""</f>
        <v/>
      </c>
      <c r="CO746" t="str">
        <f>""</f>
        <v/>
      </c>
      <c r="CP746" t="str">
        <f>""</f>
        <v/>
      </c>
      <c r="CQ746" t="str">
        <f>""</f>
        <v/>
      </c>
    </row>
    <row r="747" spans="1:96" x14ac:dyDescent="0.2">
      <c r="A747" t="s">
        <v>8745</v>
      </c>
      <c r="B747" t="s">
        <v>96</v>
      </c>
      <c r="C747" s="1">
        <v>44098</v>
      </c>
      <c r="D747" s="1">
        <v>44105</v>
      </c>
      <c r="F747" t="s">
        <v>97</v>
      </c>
      <c r="G747" t="str">
        <f>"Principal Solutions Architect"</f>
        <v>Principal Solutions Architect</v>
      </c>
      <c r="H747" t="s">
        <v>12169</v>
      </c>
      <c r="I747" t="s">
        <v>124</v>
      </c>
      <c r="J747" t="s">
        <v>98</v>
      </c>
      <c r="K747" s="1">
        <v>44105</v>
      </c>
      <c r="L747" s="1">
        <v>45199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8746</v>
      </c>
      <c r="U747" t="str">
        <f>""</f>
        <v/>
      </c>
      <c r="V747" t="s">
        <v>8747</v>
      </c>
      <c r="W747" t="str">
        <f>""</f>
        <v/>
      </c>
      <c r="X747" t="s">
        <v>3689</v>
      </c>
      <c r="Y747" t="s">
        <v>122</v>
      </c>
      <c r="Z747" s="3">
        <v>27513</v>
      </c>
      <c r="AA747" t="s">
        <v>101</v>
      </c>
      <c r="AC747" s="4" t="str">
        <f>"+19196778000"</f>
        <v>+19196778000</v>
      </c>
      <c r="AE747" t="str">
        <f>"541511"</f>
        <v>541511</v>
      </c>
      <c r="AF747" t="s">
        <v>8748</v>
      </c>
      <c r="AG747" t="s">
        <v>8749</v>
      </c>
      <c r="AI747" t="s">
        <v>8750</v>
      </c>
      <c r="AJ747" t="s">
        <v>8751</v>
      </c>
      <c r="AK747" t="str">
        <f>""</f>
        <v/>
      </c>
      <c r="AL747" t="s">
        <v>3689</v>
      </c>
      <c r="AM747" t="s">
        <v>122</v>
      </c>
      <c r="AN747" s="3">
        <v>27513</v>
      </c>
      <c r="AO747" t="s">
        <v>101</v>
      </c>
      <c r="AQ747" t="str">
        <f>"+19196778000"</f>
        <v>+19196778000</v>
      </c>
      <c r="AS747" t="s">
        <v>108</v>
      </c>
      <c r="AT747" t="s">
        <v>107</v>
      </c>
      <c r="AU747" t="str">
        <f>"Drozdowski"</f>
        <v>Drozdowski</v>
      </c>
      <c r="AV747" t="str">
        <f>"Andrew"</f>
        <v>Andrew</v>
      </c>
      <c r="AW747" t="str">
        <f>"G."</f>
        <v>G.</v>
      </c>
      <c r="AX747" t="str">
        <f>"P.O. BOX 31608"</f>
        <v>P.O. BOX 31608</v>
      </c>
      <c r="AY747" t="str">
        <f>""</f>
        <v/>
      </c>
      <c r="AZ747" t="str">
        <f>"RALEIGH"</f>
        <v>RALEIGH</v>
      </c>
      <c r="BA747" t="str">
        <f>"NC"</f>
        <v>NC</v>
      </c>
      <c r="BB747" s="3">
        <v>27622</v>
      </c>
      <c r="BC747" t="str">
        <f t="shared" si="49"/>
        <v>UNITED STATES OF AMERICA</v>
      </c>
      <c r="BD747" t="str">
        <f>""</f>
        <v/>
      </c>
      <c r="BE747" t="str">
        <f>"+19197879700"</f>
        <v>+19197879700</v>
      </c>
      <c r="BF747" t="str">
        <f>""</f>
        <v/>
      </c>
      <c r="BG747" t="str">
        <f>"TORRANCE.SMITH@ODNSS.COM"</f>
        <v>TORRANCE.SMITH@ODNSS.COM</v>
      </c>
      <c r="BH747" t="str">
        <f>"OGLETREE, DEAKINS, NASH, SMOAK &amp; STEWART, P.C."</f>
        <v>OGLETREE, DEAKINS, NASH, SMOAK &amp; STEWART, P.C.</v>
      </c>
      <c r="BI747" t="str">
        <f>"NY"</f>
        <v>NY</v>
      </c>
      <c r="BJ747" t="str">
        <f>"NY SUPREME COURT"</f>
        <v>NY SUPREME COURT</v>
      </c>
      <c r="BK747">
        <v>1</v>
      </c>
      <c r="BL747" t="s">
        <v>102</v>
      </c>
      <c r="BM747" t="str">
        <f>""</f>
        <v/>
      </c>
      <c r="BN747" t="s">
        <v>3241</v>
      </c>
      <c r="BP747" t="s">
        <v>2854</v>
      </c>
      <c r="BQ747" t="s">
        <v>1067</v>
      </c>
      <c r="BR747" t="s">
        <v>122</v>
      </c>
      <c r="BS747" s="5">
        <v>27513</v>
      </c>
      <c r="BT747" s="2">
        <v>126027</v>
      </c>
      <c r="BU747" s="2">
        <v>156027</v>
      </c>
      <c r="BV747" t="s">
        <v>105</v>
      </c>
      <c r="BW747" s="2">
        <v>126027</v>
      </c>
      <c r="BX747" t="s">
        <v>105</v>
      </c>
      <c r="BZ747" t="s">
        <v>159</v>
      </c>
      <c r="CA747" t="str">
        <f t="shared" si="50"/>
        <v>7/1/2020 - 6/30/2021</v>
      </c>
      <c r="CF747">
        <v>2</v>
      </c>
      <c r="CG747" t="s">
        <v>98</v>
      </c>
      <c r="CH747" t="s">
        <v>206</v>
      </c>
      <c r="CI747" t="s">
        <v>206</v>
      </c>
      <c r="CL747" t="s">
        <v>108</v>
      </c>
      <c r="CM747" t="s">
        <v>109</v>
      </c>
      <c r="CN747" t="str">
        <f>"Drozdowski"</f>
        <v>Drozdowski</v>
      </c>
      <c r="CO747" t="str">
        <f>"Andrew"</f>
        <v>Andrew</v>
      </c>
      <c r="CP747" t="str">
        <f>"G."</f>
        <v>G.</v>
      </c>
      <c r="CQ747" t="str">
        <f>"Ogletree, Deakins, Nash, Smoak &amp; Stewart, P.C."</f>
        <v>Ogletree, Deakins, Nash, Smoak &amp; Stewart, P.C.</v>
      </c>
      <c r="CR747" t="s">
        <v>1367</v>
      </c>
    </row>
    <row r="748" spans="1:96" x14ac:dyDescent="0.2">
      <c r="A748" t="s">
        <v>8754</v>
      </c>
      <c r="B748" t="s">
        <v>96</v>
      </c>
      <c r="C748" s="1">
        <v>44098</v>
      </c>
      <c r="D748" s="1">
        <v>44105</v>
      </c>
      <c r="F748" t="s">
        <v>97</v>
      </c>
      <c r="G748" t="str">
        <f>"Software Engineer"</f>
        <v>Software Engineer</v>
      </c>
      <c r="H748" t="s">
        <v>12169</v>
      </c>
      <c r="I748" t="s">
        <v>124</v>
      </c>
      <c r="J748" t="s">
        <v>98</v>
      </c>
      <c r="K748" s="1">
        <v>44116</v>
      </c>
      <c r="L748" s="1">
        <v>45210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8755</v>
      </c>
      <c r="U748" t="str">
        <f>"CodeMetro"</f>
        <v>CodeMetro</v>
      </c>
      <c r="V748" t="s">
        <v>8756</v>
      </c>
      <c r="W748" t="str">
        <f>"Suite 350"</f>
        <v>Suite 350</v>
      </c>
      <c r="X748" t="s">
        <v>3981</v>
      </c>
      <c r="Y748" t="s">
        <v>141</v>
      </c>
      <c r="Z748" s="3">
        <v>91016</v>
      </c>
      <c r="AA748" t="s">
        <v>101</v>
      </c>
      <c r="AC748" s="4" t="str">
        <f>"+12054980050"</f>
        <v>+12054980050</v>
      </c>
      <c r="AE748" t="str">
        <f>"541511"</f>
        <v>541511</v>
      </c>
      <c r="AF748" t="s">
        <v>7949</v>
      </c>
      <c r="AG748" t="s">
        <v>1514</v>
      </c>
      <c r="AI748" t="s">
        <v>8757</v>
      </c>
      <c r="AJ748" t="s">
        <v>8756</v>
      </c>
      <c r="AK748" t="str">
        <f>"Suite 350"</f>
        <v>Suite 350</v>
      </c>
      <c r="AL748" t="s">
        <v>3981</v>
      </c>
      <c r="AM748" t="s">
        <v>141</v>
      </c>
      <c r="AN748" s="3">
        <v>91016</v>
      </c>
      <c r="AO748" t="s">
        <v>101</v>
      </c>
      <c r="AQ748" t="str">
        <f>"+12054980050"</f>
        <v>+12054980050</v>
      </c>
      <c r="AS748" t="s">
        <v>8758</v>
      </c>
      <c r="AT748" t="s">
        <v>107</v>
      </c>
      <c r="AU748" t="str">
        <f>"Davis"</f>
        <v>Davis</v>
      </c>
      <c r="AV748" t="str">
        <f>"Stephen"</f>
        <v>Stephen</v>
      </c>
      <c r="AW748" t="str">
        <f>"D"</f>
        <v>D</v>
      </c>
      <c r="AX748" t="str">
        <f>"655 Gallatin Street SW"</f>
        <v>655 Gallatin Street SW</v>
      </c>
      <c r="AY748" t="str">
        <f>""</f>
        <v/>
      </c>
      <c r="AZ748" t="str">
        <f>"Huntsville"</f>
        <v>Huntsville</v>
      </c>
      <c r="BA748" t="str">
        <f>"AL"</f>
        <v>AL</v>
      </c>
      <c r="BB748" s="3">
        <v>35801</v>
      </c>
      <c r="BC748" t="str">
        <f t="shared" si="49"/>
        <v>UNITED STATES OF AMERICA</v>
      </c>
      <c r="BD748" t="str">
        <f>""</f>
        <v/>
      </c>
      <c r="BE748" t="str">
        <f>"+12565120101"</f>
        <v>+12565120101</v>
      </c>
      <c r="BF748" t="str">
        <f>""</f>
        <v/>
      </c>
      <c r="BG748" t="str">
        <f>"sdavis@maynardcooper.com"</f>
        <v>sdavis@maynardcooper.com</v>
      </c>
      <c r="BH748" t="str">
        <f>"Maynard Cooper &amp; Gale"</f>
        <v>Maynard Cooper &amp; Gale</v>
      </c>
      <c r="BI748" t="str">
        <f>"AL"</f>
        <v>AL</v>
      </c>
      <c r="BJ748" t="str">
        <f>"Alabama Supreme Court"</f>
        <v>Alabama Supreme Court</v>
      </c>
      <c r="BK748">
        <v>1</v>
      </c>
      <c r="BL748" t="s">
        <v>102</v>
      </c>
      <c r="BM748" t="str">
        <f>""</f>
        <v/>
      </c>
      <c r="BN748" t="s">
        <v>7840</v>
      </c>
      <c r="BO748" t="s">
        <v>7890</v>
      </c>
      <c r="BP748" t="s">
        <v>4222</v>
      </c>
      <c r="BQ748" t="s">
        <v>861</v>
      </c>
      <c r="BR748" t="s">
        <v>127</v>
      </c>
      <c r="BS748" s="5">
        <v>15106</v>
      </c>
      <c r="BT748" s="2">
        <v>70000</v>
      </c>
      <c r="BV748" t="s">
        <v>105</v>
      </c>
      <c r="BW748" s="2">
        <v>65000</v>
      </c>
      <c r="BX748" t="s">
        <v>105</v>
      </c>
      <c r="BZ748" t="s">
        <v>191</v>
      </c>
      <c r="CA748" t="str">
        <f t="shared" si="50"/>
        <v>7/1/2020 - 6/30/2021</v>
      </c>
      <c r="CF748">
        <v>1</v>
      </c>
      <c r="CG748" t="s">
        <v>98</v>
      </c>
      <c r="CH748" t="s">
        <v>206</v>
      </c>
      <c r="CI748" t="s">
        <v>206</v>
      </c>
      <c r="CL748" t="s">
        <v>108</v>
      </c>
      <c r="CM748" t="s">
        <v>109</v>
      </c>
      <c r="CN748" t="str">
        <f>"Davis"</f>
        <v>Davis</v>
      </c>
      <c r="CO748" t="str">
        <f>"Stephen"</f>
        <v>Stephen</v>
      </c>
      <c r="CP748" t="str">
        <f>"D"</f>
        <v>D</v>
      </c>
      <c r="CQ748" t="str">
        <f>"Maynard Cooper &amp; Gale"</f>
        <v>Maynard Cooper &amp; Gale</v>
      </c>
      <c r="CR748" t="s">
        <v>713</v>
      </c>
    </row>
    <row r="749" spans="1:96" x14ac:dyDescent="0.2">
      <c r="A749" t="s">
        <v>8774</v>
      </c>
      <c r="B749" t="s">
        <v>96</v>
      </c>
      <c r="C749" s="1">
        <v>44098</v>
      </c>
      <c r="D749" s="1">
        <v>44105</v>
      </c>
      <c r="F749" t="s">
        <v>97</v>
      </c>
      <c r="G749" t="str">
        <f>"Associate Partner "</f>
        <v xml:space="preserve">Associate Partner </v>
      </c>
      <c r="H749" t="s">
        <v>12214</v>
      </c>
      <c r="I749" t="s">
        <v>276</v>
      </c>
      <c r="J749" t="s">
        <v>98</v>
      </c>
      <c r="K749" s="1">
        <v>44279</v>
      </c>
      <c r="L749" s="1">
        <v>45374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 t="s">
        <v>5170</v>
      </c>
      <c r="U749" t="str">
        <f>""</f>
        <v/>
      </c>
      <c r="V749" t="s">
        <v>5171</v>
      </c>
      <c r="W749" t="str">
        <f>""</f>
        <v/>
      </c>
      <c r="X749" t="s">
        <v>207</v>
      </c>
      <c r="Y749" t="s">
        <v>171</v>
      </c>
      <c r="Z749" s="3">
        <v>2116</v>
      </c>
      <c r="AA749" t="s">
        <v>101</v>
      </c>
      <c r="AC749" s="4" t="str">
        <f>"+16175722319"</f>
        <v>+16175722319</v>
      </c>
      <c r="AE749" t="str">
        <f>"541611"</f>
        <v>541611</v>
      </c>
      <c r="AF749" t="s">
        <v>6716</v>
      </c>
      <c r="AG749" t="s">
        <v>2713</v>
      </c>
      <c r="AI749" t="s">
        <v>8775</v>
      </c>
      <c r="AJ749" t="s">
        <v>5171</v>
      </c>
      <c r="AK749" t="str">
        <f>""</f>
        <v/>
      </c>
      <c r="AL749" t="s">
        <v>207</v>
      </c>
      <c r="AM749" t="s">
        <v>171</v>
      </c>
      <c r="AN749" s="3">
        <v>2116</v>
      </c>
      <c r="AO749" t="s">
        <v>101</v>
      </c>
      <c r="AQ749" t="str">
        <f>"+16175722319"</f>
        <v>+16175722319</v>
      </c>
      <c r="AS749" t="s">
        <v>8776</v>
      </c>
      <c r="AT749" t="s">
        <v>107</v>
      </c>
      <c r="AU749" t="str">
        <f>"Renaud"</f>
        <v>Renaud</v>
      </c>
      <c r="AV749" t="str">
        <f>"Kelly"</f>
        <v>Kelly</v>
      </c>
      <c r="AW749" t="str">
        <f>""</f>
        <v/>
      </c>
      <c r="AX749" t="str">
        <f>"100 High Street"</f>
        <v>100 High Street</v>
      </c>
      <c r="AY749" t="str">
        <f>"3rd Floor"</f>
        <v>3rd Floor</v>
      </c>
      <c r="AZ749" t="str">
        <f>"Boston"</f>
        <v>Boston</v>
      </c>
      <c r="BA749" t="str">
        <f>"MA"</f>
        <v>MA</v>
      </c>
      <c r="BB749" s="3">
        <v>2110</v>
      </c>
      <c r="BC749" t="str">
        <f t="shared" si="49"/>
        <v>UNITED STATES OF AMERICA</v>
      </c>
      <c r="BD749" t="str">
        <f>""</f>
        <v/>
      </c>
      <c r="BE749" t="str">
        <f>"+16175740400"</f>
        <v>+16175740400</v>
      </c>
      <c r="BF749" t="str">
        <f>""</f>
        <v/>
      </c>
      <c r="BG749" t="str">
        <f>"apotts@fragomen.com"</f>
        <v>apotts@fragomen.com</v>
      </c>
      <c r="BH749" t="str">
        <f>"Fragomen Del Rey Bernsen &amp; Loewy LLP"</f>
        <v>Fragomen Del Rey Bernsen &amp; Loewy LLP</v>
      </c>
      <c r="BI749" t="str">
        <f>"MA"</f>
        <v>MA</v>
      </c>
      <c r="BJ749" t="str">
        <f>"Supreme Judicial Court"</f>
        <v>Supreme Judicial Court</v>
      </c>
      <c r="BK749">
        <v>1</v>
      </c>
      <c r="BL749" t="s">
        <v>102</v>
      </c>
      <c r="BM749" t="str">
        <f>""</f>
        <v/>
      </c>
      <c r="BN749" t="s">
        <v>5172</v>
      </c>
      <c r="BO749" t="s">
        <v>4823</v>
      </c>
      <c r="BP749" t="s">
        <v>833</v>
      </c>
      <c r="BQ749" t="s">
        <v>788</v>
      </c>
      <c r="BR749" t="s">
        <v>345</v>
      </c>
      <c r="BS749" s="5">
        <v>60603</v>
      </c>
      <c r="BT749" s="2">
        <v>225000</v>
      </c>
      <c r="BV749" t="s">
        <v>105</v>
      </c>
      <c r="BW749" s="2">
        <v>125861</v>
      </c>
      <c r="BX749" t="s">
        <v>105</v>
      </c>
      <c r="BZ749" t="s">
        <v>159</v>
      </c>
      <c r="CA749" t="str">
        <f t="shared" si="50"/>
        <v>7/1/2020 - 6/30/2021</v>
      </c>
      <c r="CF749">
        <v>1</v>
      </c>
      <c r="CG749" t="s">
        <v>98</v>
      </c>
      <c r="CH749" t="s">
        <v>206</v>
      </c>
      <c r="CI749" t="s">
        <v>206</v>
      </c>
      <c r="CL749" t="s">
        <v>108</v>
      </c>
      <c r="CM749" t="s">
        <v>109</v>
      </c>
      <c r="CN749" t="str">
        <f>"Potts"</f>
        <v>Potts</v>
      </c>
      <c r="CO749" t="str">
        <f>"Alexandra"</f>
        <v>Alexandra</v>
      </c>
      <c r="CP749" t="str">
        <f>""</f>
        <v/>
      </c>
      <c r="CQ749" t="str">
        <f>"Fragomen, del Rey, Bernsen &amp; Loewy, LLP"</f>
        <v>Fragomen, del Rey, Bernsen &amp; Loewy, LLP</v>
      </c>
      <c r="CR749" t="s">
        <v>6246</v>
      </c>
    </row>
    <row r="750" spans="1:96" x14ac:dyDescent="0.2">
      <c r="A750" t="s">
        <v>8800</v>
      </c>
      <c r="B750" t="s">
        <v>96</v>
      </c>
      <c r="C750" s="1">
        <v>44098</v>
      </c>
      <c r="D750" s="1">
        <v>44105</v>
      </c>
      <c r="F750" t="s">
        <v>97</v>
      </c>
      <c r="G750" t="str">
        <f>"Postdoctoral Research Assoc.-High Temperature Oxidation"</f>
        <v>Postdoctoral Research Assoc.-High Temperature Oxidation</v>
      </c>
      <c r="H750" t="s">
        <v>12200</v>
      </c>
      <c r="I750" t="s">
        <v>1587</v>
      </c>
      <c r="J750" t="s">
        <v>98</v>
      </c>
      <c r="K750" s="1">
        <v>44203</v>
      </c>
      <c r="L750" s="1">
        <v>44567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 t="s">
        <v>1650</v>
      </c>
      <c r="U750" t="str">
        <f>""</f>
        <v/>
      </c>
      <c r="V750" t="s">
        <v>1651</v>
      </c>
      <c r="W750" t="str">
        <f>""</f>
        <v/>
      </c>
      <c r="X750" t="s">
        <v>1652</v>
      </c>
      <c r="Y750" t="s">
        <v>545</v>
      </c>
      <c r="Z750" s="3">
        <v>37831</v>
      </c>
      <c r="AA750" t="s">
        <v>101</v>
      </c>
      <c r="AC750" s="4" t="str">
        <f>"+18652419404"</f>
        <v>+18652419404</v>
      </c>
      <c r="AE750" t="str">
        <f>"54171"</f>
        <v>54171</v>
      </c>
      <c r="AF750" t="s">
        <v>1653</v>
      </c>
      <c r="AG750" t="s">
        <v>1654</v>
      </c>
      <c r="AH750" t="s">
        <v>611</v>
      </c>
      <c r="AI750" t="s">
        <v>221</v>
      </c>
      <c r="AJ750" t="s">
        <v>1655</v>
      </c>
      <c r="AK750" t="str">
        <f>""</f>
        <v/>
      </c>
      <c r="AL750" t="s">
        <v>1656</v>
      </c>
      <c r="AM750" t="s">
        <v>545</v>
      </c>
      <c r="AN750" s="3">
        <v>37831</v>
      </c>
      <c r="AO750" t="s">
        <v>101</v>
      </c>
      <c r="AQ750" t="str">
        <f>"+18652419404"</f>
        <v>+18652419404</v>
      </c>
      <c r="AS750" t="s">
        <v>1657</v>
      </c>
      <c r="AT750" t="s">
        <v>102</v>
      </c>
      <c r="AU750" t="str">
        <f>""</f>
        <v/>
      </c>
      <c r="AV750" t="str">
        <f>""</f>
        <v/>
      </c>
      <c r="AW750" t="str">
        <f>""</f>
        <v/>
      </c>
      <c r="AX750" t="str">
        <f>""</f>
        <v/>
      </c>
      <c r="AY750" t="str">
        <f>""</f>
        <v/>
      </c>
      <c r="AZ750" t="str">
        <f>""</f>
        <v/>
      </c>
      <c r="BA750" t="str">
        <f>""</f>
        <v/>
      </c>
      <c r="BC750" t="str">
        <f>""</f>
        <v/>
      </c>
      <c r="BD750" t="str">
        <f>""</f>
        <v/>
      </c>
      <c r="BE750" t="str">
        <f>""</f>
        <v/>
      </c>
      <c r="BF750" t="str">
        <f>""</f>
        <v/>
      </c>
      <c r="BG750" t="str">
        <f>""</f>
        <v/>
      </c>
      <c r="BH750" t="str">
        <f>""</f>
        <v/>
      </c>
      <c r="BI750" t="str">
        <f>""</f>
        <v/>
      </c>
      <c r="BJ750" t="str">
        <f>""</f>
        <v/>
      </c>
      <c r="BK750">
        <v>1</v>
      </c>
      <c r="BL750" t="s">
        <v>102</v>
      </c>
      <c r="BM750" t="str">
        <f>""</f>
        <v/>
      </c>
      <c r="BN750" t="s">
        <v>1721</v>
      </c>
      <c r="BP750" t="s">
        <v>1656</v>
      </c>
      <c r="BQ750" t="s">
        <v>1658</v>
      </c>
      <c r="BR750" t="s">
        <v>545</v>
      </c>
      <c r="BS750" s="5">
        <v>37831</v>
      </c>
      <c r="BT750" s="2">
        <v>73145</v>
      </c>
      <c r="BV750" t="s">
        <v>105</v>
      </c>
      <c r="BW750" s="2">
        <v>65229</v>
      </c>
      <c r="BX750" t="s">
        <v>105</v>
      </c>
      <c r="BZ750" t="s">
        <v>167</v>
      </c>
      <c r="CA750" t="str">
        <f t="shared" si="50"/>
        <v>7/1/2020 - 6/30/2021</v>
      </c>
      <c r="CF750">
        <v>1</v>
      </c>
      <c r="CG750" t="s">
        <v>98</v>
      </c>
      <c r="CH750" t="s">
        <v>206</v>
      </c>
      <c r="CI750" t="s">
        <v>206</v>
      </c>
      <c r="CL750" t="s">
        <v>108</v>
      </c>
      <c r="CM750" t="s">
        <v>718</v>
      </c>
      <c r="CN750" t="str">
        <f>""</f>
        <v/>
      </c>
      <c r="CO750" t="str">
        <f>""</f>
        <v/>
      </c>
      <c r="CP750" t="str">
        <f>""</f>
        <v/>
      </c>
      <c r="CQ750" t="str">
        <f>""</f>
        <v/>
      </c>
    </row>
    <row r="751" spans="1:96" x14ac:dyDescent="0.2">
      <c r="A751" t="s">
        <v>8810</v>
      </c>
      <c r="B751" t="s">
        <v>96</v>
      </c>
      <c r="C751" s="1">
        <v>44098</v>
      </c>
      <c r="D751" s="1">
        <v>44105</v>
      </c>
      <c r="F751" t="s">
        <v>97</v>
      </c>
      <c r="G751" t="str">
        <f>"Software Engineer"</f>
        <v>Software Engineer</v>
      </c>
      <c r="H751" t="s">
        <v>12169</v>
      </c>
      <c r="I751" t="s">
        <v>124</v>
      </c>
      <c r="J751" t="s">
        <v>98</v>
      </c>
      <c r="K751" s="1">
        <v>44116</v>
      </c>
      <c r="L751" s="1">
        <v>45210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 t="s">
        <v>5200</v>
      </c>
      <c r="U751" t="str">
        <f>""</f>
        <v/>
      </c>
      <c r="V751" t="s">
        <v>5201</v>
      </c>
      <c r="W751" t="str">
        <f>""</f>
        <v/>
      </c>
      <c r="X751" t="s">
        <v>140</v>
      </c>
      <c r="Y751" t="s">
        <v>141</v>
      </c>
      <c r="Z751" s="3">
        <v>94104</v>
      </c>
      <c r="AA751" t="s">
        <v>101</v>
      </c>
      <c r="AC751" s="4" t="str">
        <f>"+13474099979"</f>
        <v>+13474099979</v>
      </c>
      <c r="AE751" t="str">
        <f>"525990"</f>
        <v>525990</v>
      </c>
      <c r="AF751" t="s">
        <v>4432</v>
      </c>
      <c r="AG751" t="s">
        <v>1076</v>
      </c>
      <c r="AI751" t="s">
        <v>5003</v>
      </c>
      <c r="AJ751" t="s">
        <v>5201</v>
      </c>
      <c r="AK751" t="str">
        <f>""</f>
        <v/>
      </c>
      <c r="AL751" t="s">
        <v>140</v>
      </c>
      <c r="AM751" t="s">
        <v>141</v>
      </c>
      <c r="AN751" s="3">
        <v>94104</v>
      </c>
      <c r="AO751" t="s">
        <v>101</v>
      </c>
      <c r="AQ751" t="str">
        <f>"+12672654846"</f>
        <v>+12672654846</v>
      </c>
      <c r="AS751" t="s">
        <v>5004</v>
      </c>
      <c r="AT751" t="s">
        <v>107</v>
      </c>
      <c r="AU751" t="str">
        <f>"Pettit"</f>
        <v>Pettit</v>
      </c>
      <c r="AV751" t="str">
        <f>"Jaclyn"</f>
        <v>Jaclyn</v>
      </c>
      <c r="AW751" t="str">
        <f>"Elizabeth"</f>
        <v>Elizabeth</v>
      </c>
      <c r="AX751" t="str">
        <f>"230 W. Monroe St."</f>
        <v>230 W. Monroe St.</v>
      </c>
      <c r="AY751" t="str">
        <f>"Suite 2800"</f>
        <v>Suite 2800</v>
      </c>
      <c r="AZ751" t="str">
        <f>"Chicago"</f>
        <v>Chicago</v>
      </c>
      <c r="BA751" t="str">
        <f>"IL"</f>
        <v>IL</v>
      </c>
      <c r="BB751" s="3">
        <v>60606</v>
      </c>
      <c r="BC751" t="str">
        <f>"UNITED STATES OF AMERICA"</f>
        <v>UNITED STATES OF AMERICA</v>
      </c>
      <c r="BD751" t="str">
        <f>""</f>
        <v/>
      </c>
      <c r="BE751" t="str">
        <f>"+13127226300"</f>
        <v>+13127226300</v>
      </c>
      <c r="BF751" t="str">
        <f>""</f>
        <v/>
      </c>
      <c r="BG751" t="str">
        <f>"gov@giafirm.com"</f>
        <v>gov@giafirm.com</v>
      </c>
      <c r="BH751" t="str">
        <f>"Global Immigration Associates, P.C."</f>
        <v>Global Immigration Associates, P.C.</v>
      </c>
      <c r="BI751" t="str">
        <f>"IL"</f>
        <v>IL</v>
      </c>
      <c r="BJ751" t="str">
        <f>"Supreme Court"</f>
        <v>Supreme Court</v>
      </c>
      <c r="BK751">
        <v>1</v>
      </c>
      <c r="BL751" t="s">
        <v>102</v>
      </c>
      <c r="BM751" t="str">
        <f>""</f>
        <v/>
      </c>
      <c r="BN751" t="s">
        <v>8811</v>
      </c>
      <c r="BP751" t="s">
        <v>765</v>
      </c>
      <c r="BQ751" t="s">
        <v>721</v>
      </c>
      <c r="BR751" t="s">
        <v>114</v>
      </c>
      <c r="BS751" s="5">
        <v>78726</v>
      </c>
      <c r="BT751" s="2">
        <v>169562</v>
      </c>
      <c r="BV751" t="s">
        <v>105</v>
      </c>
      <c r="BW751" s="2">
        <v>124550</v>
      </c>
      <c r="BX751" t="s">
        <v>105</v>
      </c>
      <c r="BZ751" t="s">
        <v>159</v>
      </c>
      <c r="CA751" t="str">
        <f t="shared" si="50"/>
        <v>7/1/2020 - 6/30/2021</v>
      </c>
      <c r="CF751">
        <v>1</v>
      </c>
      <c r="CG751" t="s">
        <v>98</v>
      </c>
      <c r="CH751" t="s">
        <v>206</v>
      </c>
      <c r="CI751" t="s">
        <v>206</v>
      </c>
      <c r="CL751" t="s">
        <v>108</v>
      </c>
      <c r="CM751" t="s">
        <v>109</v>
      </c>
      <c r="CN751" t="str">
        <f>""</f>
        <v/>
      </c>
      <c r="CO751" t="str">
        <f>""</f>
        <v/>
      </c>
      <c r="CP751" t="str">
        <f>""</f>
        <v/>
      </c>
      <c r="CQ751" t="str">
        <f>""</f>
        <v/>
      </c>
    </row>
    <row r="752" spans="1:96" x14ac:dyDescent="0.2">
      <c r="A752" t="s">
        <v>8828</v>
      </c>
      <c r="B752" t="s">
        <v>96</v>
      </c>
      <c r="C752" s="1">
        <v>44098</v>
      </c>
      <c r="D752" s="1">
        <v>44105</v>
      </c>
      <c r="F752" t="s">
        <v>97</v>
      </c>
      <c r="G752" t="str">
        <f>"Senior Business Analyst"</f>
        <v>Senior Business Analyst</v>
      </c>
      <c r="H752" t="s">
        <v>12214</v>
      </c>
      <c r="I752" t="s">
        <v>276</v>
      </c>
      <c r="J752" t="s">
        <v>98</v>
      </c>
      <c r="K752" s="1">
        <v>44105</v>
      </c>
      <c r="L752" s="1">
        <v>45199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4423</v>
      </c>
      <c r="U752" t="str">
        <f>""</f>
        <v/>
      </c>
      <c r="V752" t="s">
        <v>4424</v>
      </c>
      <c r="W752" t="str">
        <f>"FOURTH FLOOR "</f>
        <v xml:space="preserve">FOURTH FLOOR </v>
      </c>
      <c r="X752" t="s">
        <v>189</v>
      </c>
      <c r="Y752" t="s">
        <v>190</v>
      </c>
      <c r="Z752" s="3">
        <v>10017</v>
      </c>
      <c r="AA752" t="s">
        <v>101</v>
      </c>
      <c r="AC752" s="4" t="str">
        <f>"+12124151882"</f>
        <v>+12124151882</v>
      </c>
      <c r="AE752" t="str">
        <f>"54161"</f>
        <v>54161</v>
      </c>
      <c r="AF752" t="s">
        <v>2077</v>
      </c>
      <c r="AG752" t="s">
        <v>1239</v>
      </c>
      <c r="AI752" t="s">
        <v>4425</v>
      </c>
      <c r="AJ752" t="s">
        <v>4426</v>
      </c>
      <c r="AK752" t="str">
        <f>"FOURTH FLOOR"</f>
        <v>FOURTH FLOOR</v>
      </c>
      <c r="AL752" t="s">
        <v>189</v>
      </c>
      <c r="AM752" t="s">
        <v>190</v>
      </c>
      <c r="AN752" s="3">
        <v>10017</v>
      </c>
      <c r="AO752" t="s">
        <v>101</v>
      </c>
      <c r="AQ752" t="str">
        <f>"+12124151882"</f>
        <v>+12124151882</v>
      </c>
      <c r="AS752" t="s">
        <v>4427</v>
      </c>
      <c r="AT752" t="s">
        <v>107</v>
      </c>
      <c r="AU752" t="str">
        <f>"WEINTRAUB"</f>
        <v>WEINTRAUB</v>
      </c>
      <c r="AV752" t="str">
        <f>"FREDDI"</f>
        <v>FREDDI</v>
      </c>
      <c r="AW752" t="str">
        <f>"M."</f>
        <v>M.</v>
      </c>
      <c r="AX752" t="str">
        <f>"1400 BROADWAY "</f>
        <v xml:space="preserve">1400 BROADWAY </v>
      </c>
      <c r="AY752" t="str">
        <f>"9TH FLOOR"</f>
        <v>9TH FLOOR</v>
      </c>
      <c r="AZ752" t="str">
        <f>"NEW YORK "</f>
        <v xml:space="preserve">NEW YORK </v>
      </c>
      <c r="BA752" t="str">
        <f>"NY"</f>
        <v>NY</v>
      </c>
      <c r="BB752" s="3">
        <v>10018</v>
      </c>
      <c r="BC752" t="str">
        <f>"UNITED STATES OF AMERICA"</f>
        <v>UNITED STATES OF AMERICA</v>
      </c>
      <c r="BD752" t="str">
        <f>""</f>
        <v/>
      </c>
      <c r="BE752" t="str">
        <f>"+12126888555"</f>
        <v>+12126888555</v>
      </c>
      <c r="BF752" t="str">
        <f>""</f>
        <v/>
      </c>
      <c r="BG752" t="str">
        <f>"JRANDOLPH@FRAGOMEN.COM"</f>
        <v>JRANDOLPH@FRAGOMEN.COM</v>
      </c>
      <c r="BH752" t="str">
        <f>"FRAGOMEN, DEL REY, BERNSEN &amp; LOEWY, LLP"</f>
        <v>FRAGOMEN, DEL REY, BERNSEN &amp; LOEWY, LLP</v>
      </c>
      <c r="BI752" t="str">
        <f>"NY"</f>
        <v>NY</v>
      </c>
      <c r="BJ752" t="str">
        <f>"NEW YORK STATE COURT OF APPEALS"</f>
        <v>NEW YORK STATE COURT OF APPEALS</v>
      </c>
      <c r="BK752">
        <v>1</v>
      </c>
      <c r="BL752" t="s">
        <v>102</v>
      </c>
      <c r="BM752" t="str">
        <f>""</f>
        <v/>
      </c>
      <c r="BN752" t="s">
        <v>8829</v>
      </c>
      <c r="BP752" t="s">
        <v>218</v>
      </c>
      <c r="BQ752" t="s">
        <v>510</v>
      </c>
      <c r="BR752" t="s">
        <v>127</v>
      </c>
      <c r="BS752" s="5">
        <v>19104</v>
      </c>
      <c r="BT752" s="2">
        <v>95000</v>
      </c>
      <c r="BU752" s="2">
        <v>185000</v>
      </c>
      <c r="BV752" t="s">
        <v>105</v>
      </c>
      <c r="BW752" s="2">
        <v>79851</v>
      </c>
      <c r="BX752" t="s">
        <v>105</v>
      </c>
      <c r="BZ752" t="s">
        <v>167</v>
      </c>
      <c r="CA752" t="str">
        <f t="shared" si="50"/>
        <v>7/1/2020 - 6/30/2021</v>
      </c>
      <c r="CF752">
        <v>1</v>
      </c>
      <c r="CG752" t="s">
        <v>98</v>
      </c>
      <c r="CH752" t="s">
        <v>206</v>
      </c>
      <c r="CI752" t="s">
        <v>206</v>
      </c>
      <c r="CL752" t="s">
        <v>108</v>
      </c>
      <c r="CM752" t="s">
        <v>109</v>
      </c>
      <c r="CN752" t="str">
        <f>"Randolph"</f>
        <v>Randolph</v>
      </c>
      <c r="CO752" t="str">
        <f>"Janay"</f>
        <v>Janay</v>
      </c>
      <c r="CP752" t="str">
        <f>"N"</f>
        <v>N</v>
      </c>
      <c r="CQ752" t="str">
        <f>"FRAGOMEN, DEL REY, BERNSEN &amp; LOEWY, LLP"</f>
        <v>FRAGOMEN, DEL REY, BERNSEN &amp; LOEWY, LLP</v>
      </c>
      <c r="CR752" t="s">
        <v>4508</v>
      </c>
    </row>
    <row r="753" spans="1:96" x14ac:dyDescent="0.2">
      <c r="A753" t="s">
        <v>8830</v>
      </c>
      <c r="B753" t="s">
        <v>96</v>
      </c>
      <c r="C753" s="1">
        <v>44098</v>
      </c>
      <c r="D753" s="1">
        <v>44105</v>
      </c>
      <c r="F753" t="s">
        <v>97</v>
      </c>
      <c r="G753" t="str">
        <f>"Family Medicine Physician"</f>
        <v>Family Medicine Physician</v>
      </c>
      <c r="H753" t="s">
        <v>12236</v>
      </c>
      <c r="I753" t="s">
        <v>1787</v>
      </c>
      <c r="J753" t="s">
        <v>98</v>
      </c>
      <c r="K753" s="1">
        <v>44119</v>
      </c>
      <c r="L753" s="1">
        <v>45214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8831</v>
      </c>
      <c r="U753" t="str">
        <f>"Eaton Rapids Medical Center Family Practice"</f>
        <v>Eaton Rapids Medical Center Family Practice</v>
      </c>
      <c r="V753" t="s">
        <v>8832</v>
      </c>
      <c r="W753" t="str">
        <f>""</f>
        <v/>
      </c>
      <c r="X753" t="s">
        <v>8833</v>
      </c>
      <c r="Y753" t="s">
        <v>265</v>
      </c>
      <c r="Z753" s="3">
        <v>48827</v>
      </c>
      <c r="AA753" t="s">
        <v>101</v>
      </c>
      <c r="AC753" s="4" t="str">
        <f>"+15176632671"</f>
        <v>+15176632671</v>
      </c>
      <c r="AE753" t="str">
        <f>"621111"</f>
        <v>621111</v>
      </c>
      <c r="AF753" t="s">
        <v>4925</v>
      </c>
      <c r="AG753" t="s">
        <v>1929</v>
      </c>
      <c r="AH753" t="s">
        <v>1079</v>
      </c>
      <c r="AI753" t="s">
        <v>7200</v>
      </c>
      <c r="AJ753" t="s">
        <v>8832</v>
      </c>
      <c r="AK753" t="str">
        <f>""</f>
        <v/>
      </c>
      <c r="AL753" t="s">
        <v>8833</v>
      </c>
      <c r="AM753" t="s">
        <v>265</v>
      </c>
      <c r="AN753" s="3">
        <v>48827</v>
      </c>
      <c r="AO753" t="s">
        <v>101</v>
      </c>
      <c r="AQ753" t="str">
        <f>"+15176632671"</f>
        <v>+15176632671</v>
      </c>
      <c r="AS753" t="s">
        <v>8834</v>
      </c>
      <c r="AT753" t="s">
        <v>107</v>
      </c>
      <c r="AU753" t="str">
        <f>"Wooley"</f>
        <v>Wooley</v>
      </c>
      <c r="AV753" t="str">
        <f>"Michael"</f>
        <v>Michael</v>
      </c>
      <c r="AW753" t="str">
        <f>"E"</f>
        <v>E</v>
      </c>
      <c r="AX753" t="str">
        <f>"715 E. Main Street"</f>
        <v>715 E. Main Street</v>
      </c>
      <c r="AY753" t="str">
        <f>"Suite 110"</f>
        <v>Suite 110</v>
      </c>
      <c r="AZ753" t="str">
        <f>"Midland"</f>
        <v>Midland</v>
      </c>
      <c r="BA753" t="str">
        <f>"MI"</f>
        <v>MI</v>
      </c>
      <c r="BB753" s="3">
        <v>48640</v>
      </c>
      <c r="BC753" t="str">
        <f>"UNITED STATES OF AMERICA"</f>
        <v>UNITED STATES OF AMERICA</v>
      </c>
      <c r="BD753" t="str">
        <f>""</f>
        <v/>
      </c>
      <c r="BE753" t="str">
        <f>"+19896983715"</f>
        <v>+19896983715</v>
      </c>
      <c r="BF753" t="str">
        <f>""</f>
        <v/>
      </c>
      <c r="BG753" t="str">
        <f>"mwooley@wnj.com"</f>
        <v>mwooley@wnj.com</v>
      </c>
      <c r="BH753" t="str">
        <f>"Warner Norcross + Judd LLP"</f>
        <v>Warner Norcross + Judd LLP</v>
      </c>
      <c r="BI753" t="str">
        <f>"MI"</f>
        <v>MI</v>
      </c>
      <c r="BJ753" t="str">
        <f>"Supreme Court"</f>
        <v>Supreme Court</v>
      </c>
      <c r="BK753">
        <v>1</v>
      </c>
      <c r="BL753" t="s">
        <v>102</v>
      </c>
      <c r="BM753" t="str">
        <f>""</f>
        <v/>
      </c>
      <c r="BN753" t="s">
        <v>8832</v>
      </c>
      <c r="BP753" t="s">
        <v>8833</v>
      </c>
      <c r="BQ753" t="s">
        <v>264</v>
      </c>
      <c r="BR753" t="s">
        <v>265</v>
      </c>
      <c r="BS753" s="5">
        <v>48827</v>
      </c>
      <c r="BT753" s="2">
        <v>190000</v>
      </c>
      <c r="BV753" t="s">
        <v>105</v>
      </c>
      <c r="BW753" s="2">
        <v>145392</v>
      </c>
      <c r="BX753" t="s">
        <v>105</v>
      </c>
      <c r="BZ753" t="s">
        <v>167</v>
      </c>
      <c r="CA753" t="str">
        <f t="shared" si="50"/>
        <v>7/1/2020 - 6/30/2021</v>
      </c>
      <c r="CF753">
        <v>1</v>
      </c>
      <c r="CG753" t="s">
        <v>98</v>
      </c>
      <c r="CH753" t="s">
        <v>206</v>
      </c>
      <c r="CI753" t="s">
        <v>206</v>
      </c>
      <c r="CL753" t="s">
        <v>108</v>
      </c>
      <c r="CM753" t="s">
        <v>109</v>
      </c>
      <c r="CN753" t="str">
        <f>""</f>
        <v/>
      </c>
      <c r="CO753" t="str">
        <f>""</f>
        <v/>
      </c>
      <c r="CP753" t="str">
        <f>""</f>
        <v/>
      </c>
      <c r="CQ753" t="str">
        <f>""</f>
        <v/>
      </c>
    </row>
    <row r="754" spans="1:96" x14ac:dyDescent="0.2">
      <c r="A754" t="s">
        <v>8835</v>
      </c>
      <c r="B754" t="s">
        <v>96</v>
      </c>
      <c r="C754" s="1">
        <v>44098</v>
      </c>
      <c r="D754" s="1">
        <v>44105</v>
      </c>
      <c r="F754" t="s">
        <v>97</v>
      </c>
      <c r="G754" t="str">
        <f>"EXPERT"</f>
        <v>EXPERT</v>
      </c>
      <c r="H754" t="s">
        <v>12214</v>
      </c>
      <c r="I754" t="s">
        <v>276</v>
      </c>
      <c r="J754" t="s">
        <v>98</v>
      </c>
      <c r="K754" s="1">
        <v>44105</v>
      </c>
      <c r="L754" s="1">
        <v>45199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4423</v>
      </c>
      <c r="U754" t="str">
        <f>""</f>
        <v/>
      </c>
      <c r="V754" t="s">
        <v>4505</v>
      </c>
      <c r="W754" t="str">
        <f>"FOURTH FLOOR"</f>
        <v>FOURTH FLOOR</v>
      </c>
      <c r="X754" t="s">
        <v>189</v>
      </c>
      <c r="Y754" t="s">
        <v>190</v>
      </c>
      <c r="Z754" s="3">
        <v>10017</v>
      </c>
      <c r="AA754" t="s">
        <v>101</v>
      </c>
      <c r="AC754" s="4" t="str">
        <f>"+12124467000"</f>
        <v>+12124467000</v>
      </c>
      <c r="AE754" t="str">
        <f>"54161"</f>
        <v>54161</v>
      </c>
      <c r="AF754" t="s">
        <v>4506</v>
      </c>
      <c r="AG754" t="s">
        <v>1804</v>
      </c>
      <c r="AI754" t="s">
        <v>4425</v>
      </c>
      <c r="AJ754" t="s">
        <v>4507</v>
      </c>
      <c r="AK754" t="str">
        <f>"FOURTH FLOOR"</f>
        <v>FOURTH FLOOR</v>
      </c>
      <c r="AL754" t="s">
        <v>189</v>
      </c>
      <c r="AM754" t="s">
        <v>190</v>
      </c>
      <c r="AN754" s="3">
        <v>10017</v>
      </c>
      <c r="AO754" t="s">
        <v>101</v>
      </c>
      <c r="AQ754" t="str">
        <f>"+12124151882"</f>
        <v>+12124151882</v>
      </c>
      <c r="AS754" t="s">
        <v>4427</v>
      </c>
      <c r="AT754" t="s">
        <v>107</v>
      </c>
      <c r="AU754" t="str">
        <f>"WEINTRAUB"</f>
        <v>WEINTRAUB</v>
      </c>
      <c r="AV754" t="str">
        <f>"FREDDI"</f>
        <v>FREDDI</v>
      </c>
      <c r="AW754" t="str">
        <f>"M"</f>
        <v>M</v>
      </c>
      <c r="AX754" t="str">
        <f>"1400 BROADWAY"</f>
        <v>1400 BROADWAY</v>
      </c>
      <c r="AY754" t="str">
        <f>"9TH FLOOR"</f>
        <v>9TH FLOOR</v>
      </c>
      <c r="AZ754" t="str">
        <f>"NEW YORK"</f>
        <v>NEW YORK</v>
      </c>
      <c r="BA754" t="str">
        <f>"NY"</f>
        <v>NY</v>
      </c>
      <c r="BB754" s="3">
        <v>10018</v>
      </c>
      <c r="BC754" t="str">
        <f>"UNITED STATES OF AMERICA"</f>
        <v>UNITED STATES OF AMERICA</v>
      </c>
      <c r="BD754" t="str">
        <f>""</f>
        <v/>
      </c>
      <c r="BE754" t="str">
        <f>"+12126888555"</f>
        <v>+12126888555</v>
      </c>
      <c r="BF754" t="str">
        <f>""</f>
        <v/>
      </c>
      <c r="BG754" t="str">
        <f>"JRANDOLPH@FRAGOMEN.COM"</f>
        <v>JRANDOLPH@FRAGOMEN.COM</v>
      </c>
      <c r="BH754" t="str">
        <f>"FRAGOMEN, DEL REY, BERNSEN &amp; LOEWY, LLP"</f>
        <v>FRAGOMEN, DEL REY, BERNSEN &amp; LOEWY, LLP</v>
      </c>
      <c r="BI754" t="str">
        <f>"NY"</f>
        <v>NY</v>
      </c>
      <c r="BJ754" t="str">
        <f>"NEW YORK STATE COURT OF APPEALS"</f>
        <v>NEW YORK STATE COURT OF APPEALS</v>
      </c>
      <c r="BK754">
        <v>1</v>
      </c>
      <c r="BL754" t="s">
        <v>102</v>
      </c>
      <c r="BM754" t="str">
        <f>""</f>
        <v/>
      </c>
      <c r="BN754" t="s">
        <v>8836</v>
      </c>
      <c r="BO754" t="s">
        <v>6919</v>
      </c>
      <c r="BP754" t="s">
        <v>1877</v>
      </c>
      <c r="BQ754" t="s">
        <v>1792</v>
      </c>
      <c r="BR754" t="s">
        <v>190</v>
      </c>
      <c r="BS754" s="5">
        <v>11222</v>
      </c>
      <c r="BT754" s="2">
        <v>201600</v>
      </c>
      <c r="BV754" t="s">
        <v>105</v>
      </c>
      <c r="BW754" s="2">
        <v>144040</v>
      </c>
      <c r="BX754" t="s">
        <v>105</v>
      </c>
      <c r="BZ754" t="s">
        <v>159</v>
      </c>
      <c r="CA754" t="str">
        <f t="shared" si="50"/>
        <v>7/1/2020 - 6/30/2021</v>
      </c>
      <c r="CF754">
        <v>1</v>
      </c>
      <c r="CG754" t="s">
        <v>98</v>
      </c>
      <c r="CH754" t="s">
        <v>206</v>
      </c>
      <c r="CI754" t="s">
        <v>206</v>
      </c>
      <c r="CL754" t="s">
        <v>108</v>
      </c>
      <c r="CM754" t="s">
        <v>109</v>
      </c>
      <c r="CN754" t="str">
        <f>"RANDOLPH"</f>
        <v>RANDOLPH</v>
      </c>
      <c r="CO754" t="str">
        <f>"JANAY"</f>
        <v>JANAY</v>
      </c>
      <c r="CP754" t="str">
        <f>"N "</f>
        <v xml:space="preserve">N </v>
      </c>
      <c r="CQ754" t="str">
        <f>"FRAGOMEN, DEL REY, BERNSEN &amp; LOEWY, LLP"</f>
        <v>FRAGOMEN, DEL REY, BERNSEN &amp; LOEWY, LLP</v>
      </c>
      <c r="CR754" t="s">
        <v>4508</v>
      </c>
    </row>
    <row r="755" spans="1:96" x14ac:dyDescent="0.2">
      <c r="A755" t="s">
        <v>8837</v>
      </c>
      <c r="B755" t="s">
        <v>96</v>
      </c>
      <c r="C755" s="1">
        <v>44098</v>
      </c>
      <c r="D755" s="1">
        <v>44105</v>
      </c>
      <c r="F755" t="s">
        <v>97</v>
      </c>
      <c r="G755" t="str">
        <f>"Vice President "</f>
        <v xml:space="preserve">Vice President </v>
      </c>
      <c r="H755" t="s">
        <v>12169</v>
      </c>
      <c r="I755" t="s">
        <v>124</v>
      </c>
      <c r="J755" t="s">
        <v>98</v>
      </c>
      <c r="K755" s="1">
        <v>44273</v>
      </c>
      <c r="L755" s="1">
        <v>45368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 t="s">
        <v>1163</v>
      </c>
      <c r="U755" t="str">
        <f>""</f>
        <v/>
      </c>
      <c r="V755" t="s">
        <v>3384</v>
      </c>
      <c r="W755" t="str">
        <f>""</f>
        <v/>
      </c>
      <c r="X755" t="s">
        <v>277</v>
      </c>
      <c r="Y755" t="s">
        <v>190</v>
      </c>
      <c r="Z755" s="3">
        <v>10036</v>
      </c>
      <c r="AA755" t="s">
        <v>101</v>
      </c>
      <c r="AC755" s="4" t="str">
        <f>"+12127614000"</f>
        <v>+12127614000</v>
      </c>
      <c r="AE755" t="str">
        <f>"52311"</f>
        <v>52311</v>
      </c>
      <c r="AF755" t="s">
        <v>5344</v>
      </c>
      <c r="AG755" t="s">
        <v>3512</v>
      </c>
      <c r="AI755" t="s">
        <v>3666</v>
      </c>
      <c r="AJ755" t="s">
        <v>3384</v>
      </c>
      <c r="AK755" t="str">
        <f>""</f>
        <v/>
      </c>
      <c r="AL755" t="s">
        <v>277</v>
      </c>
      <c r="AM755" t="s">
        <v>190</v>
      </c>
      <c r="AN755" s="3">
        <v>10036</v>
      </c>
      <c r="AO755" t="s">
        <v>101</v>
      </c>
      <c r="AQ755" t="str">
        <f>"+12127619306"</f>
        <v>+12127619306</v>
      </c>
      <c r="AS755" t="s">
        <v>108</v>
      </c>
      <c r="AT755" t="s">
        <v>107</v>
      </c>
      <c r="AU755" t="str">
        <f>"Lancaster"</f>
        <v>Lancaster</v>
      </c>
      <c r="AV755" t="str">
        <f>"Kara"</f>
        <v>Kara</v>
      </c>
      <c r="AW755" t="str">
        <f>"K"</f>
        <v>K</v>
      </c>
      <c r="AX755" t="str">
        <f>"P.O. BOX 31608"</f>
        <v>P.O. BOX 31608</v>
      </c>
      <c r="AY755" t="str">
        <f>""</f>
        <v/>
      </c>
      <c r="AZ755" t="str">
        <f>"Raleigh"</f>
        <v>Raleigh</v>
      </c>
      <c r="BA755" t="str">
        <f>"NC"</f>
        <v>NC</v>
      </c>
      <c r="BB755" s="3">
        <v>27622</v>
      </c>
      <c r="BC755" t="str">
        <f>"UNITED STATES OF AMERICA"</f>
        <v>UNITED STATES OF AMERICA</v>
      </c>
      <c r="BD755" t="str">
        <f>"NORTH CAROLINA"</f>
        <v>NORTH CAROLINA</v>
      </c>
      <c r="BE755" t="str">
        <f>"+19197879700"</f>
        <v>+19197879700</v>
      </c>
      <c r="BF755" t="str">
        <f>""</f>
        <v/>
      </c>
      <c r="BG755" t="str">
        <f>"mabel.vargas@ogletreedeakins.com"</f>
        <v>mabel.vargas@ogletreedeakins.com</v>
      </c>
      <c r="BH755" t="str">
        <f>"Ogletree, Deakins, Nash, Smoak &amp; Stewart, P.C"</f>
        <v>Ogletree, Deakins, Nash, Smoak &amp; Stewart, P.C</v>
      </c>
      <c r="BI755" t="str">
        <f>"NY"</f>
        <v>NY</v>
      </c>
      <c r="BJ755" t="str">
        <f>"NY COURT OF APPEALS"</f>
        <v>NY COURT OF APPEALS</v>
      </c>
      <c r="BK755">
        <v>1</v>
      </c>
      <c r="BL755" t="s">
        <v>102</v>
      </c>
      <c r="BM755" t="str">
        <f>""</f>
        <v/>
      </c>
      <c r="BN755" t="s">
        <v>8838</v>
      </c>
      <c r="BP755" t="s">
        <v>295</v>
      </c>
      <c r="BQ755" t="s">
        <v>189</v>
      </c>
      <c r="BR755" t="s">
        <v>190</v>
      </c>
      <c r="BS755" s="5">
        <v>10004</v>
      </c>
      <c r="BT755" s="2">
        <v>150000</v>
      </c>
      <c r="BV755" t="s">
        <v>105</v>
      </c>
      <c r="BW755" s="2">
        <v>122221</v>
      </c>
      <c r="BX755" t="s">
        <v>105</v>
      </c>
      <c r="BZ755" t="s">
        <v>123</v>
      </c>
      <c r="CA755" t="str">
        <f t="shared" si="50"/>
        <v>7/1/2020 - 6/30/2021</v>
      </c>
      <c r="CF755">
        <v>2</v>
      </c>
      <c r="CG755" t="s">
        <v>98</v>
      </c>
      <c r="CH755" t="s">
        <v>206</v>
      </c>
      <c r="CI755" t="s">
        <v>206</v>
      </c>
      <c r="CL755" t="s">
        <v>108</v>
      </c>
      <c r="CM755" t="s">
        <v>109</v>
      </c>
      <c r="CN755" t="str">
        <f>"Lancaster "</f>
        <v xml:space="preserve">Lancaster </v>
      </c>
      <c r="CO755" t="str">
        <f>"Kara "</f>
        <v xml:space="preserve">Kara </v>
      </c>
      <c r="CP755" t="str">
        <f>""</f>
        <v/>
      </c>
      <c r="CQ755" t="str">
        <f>"Ogletree, Deakins, Nash, Smoak &amp; Stewart, P.C."</f>
        <v>Ogletree, Deakins, Nash, Smoak &amp; Stewart, P.C.</v>
      </c>
      <c r="CR755" t="s">
        <v>3513</v>
      </c>
    </row>
    <row r="756" spans="1:96" x14ac:dyDescent="0.2">
      <c r="A756" t="s">
        <v>8844</v>
      </c>
      <c r="B756" t="s">
        <v>96</v>
      </c>
      <c r="C756" s="1">
        <v>44098</v>
      </c>
      <c r="D756" s="1">
        <v>44105</v>
      </c>
      <c r="F756" t="s">
        <v>97</v>
      </c>
      <c r="G756" t="str">
        <f>"Software Engineer"</f>
        <v>Software Engineer</v>
      </c>
      <c r="H756" t="s">
        <v>12169</v>
      </c>
      <c r="I756" t="s">
        <v>124</v>
      </c>
      <c r="J756" t="s">
        <v>98</v>
      </c>
      <c r="K756" s="1">
        <v>44105</v>
      </c>
      <c r="L756" s="1">
        <v>45199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173</v>
      </c>
      <c r="U756" t="str">
        <f>""</f>
        <v/>
      </c>
      <c r="V756" t="s">
        <v>174</v>
      </c>
      <c r="W756" t="str">
        <f>"N/A"</f>
        <v>N/A</v>
      </c>
      <c r="X756" t="s">
        <v>175</v>
      </c>
      <c r="Y756" t="s">
        <v>176</v>
      </c>
      <c r="Z756" s="3">
        <v>98052</v>
      </c>
      <c r="AA756" t="s">
        <v>101</v>
      </c>
      <c r="AC756" s="4" t="str">
        <f>"+14258828080"</f>
        <v>+14258828080</v>
      </c>
      <c r="AE756" t="str">
        <f>"51121"</f>
        <v>51121</v>
      </c>
      <c r="AF756" t="s">
        <v>177</v>
      </c>
      <c r="AG756" t="s">
        <v>178</v>
      </c>
      <c r="AI756" t="s">
        <v>179</v>
      </c>
      <c r="AJ756" t="s">
        <v>174</v>
      </c>
      <c r="AK756" t="str">
        <f>""</f>
        <v/>
      </c>
      <c r="AL756" t="s">
        <v>175</v>
      </c>
      <c r="AM756" t="s">
        <v>176</v>
      </c>
      <c r="AN756" s="3">
        <v>98052</v>
      </c>
      <c r="AO756" t="s">
        <v>101</v>
      </c>
      <c r="AQ756" t="str">
        <f>"+14258828080"</f>
        <v>+14258828080</v>
      </c>
      <c r="AS756" t="s">
        <v>180</v>
      </c>
      <c r="AT756" t="s">
        <v>102</v>
      </c>
      <c r="AU756" t="str">
        <f>""</f>
        <v/>
      </c>
      <c r="AV756" t="str">
        <f>""</f>
        <v/>
      </c>
      <c r="AW756" t="str">
        <f>""</f>
        <v/>
      </c>
      <c r="AX756" t="str">
        <f>""</f>
        <v/>
      </c>
      <c r="AY756" t="str">
        <f>""</f>
        <v/>
      </c>
      <c r="AZ756" t="str">
        <f>""</f>
        <v/>
      </c>
      <c r="BA756" t="str">
        <f>""</f>
        <v/>
      </c>
      <c r="BC756" t="str">
        <f>""</f>
        <v/>
      </c>
      <c r="BD756" t="str">
        <f>""</f>
        <v/>
      </c>
      <c r="BE756" t="str">
        <f>""</f>
        <v/>
      </c>
      <c r="BF756" t="str">
        <f>""</f>
        <v/>
      </c>
      <c r="BG756" t="str">
        <f>""</f>
        <v/>
      </c>
      <c r="BH756" t="str">
        <f>""</f>
        <v/>
      </c>
      <c r="BI756" t="str">
        <f>""</f>
        <v/>
      </c>
      <c r="BJ756" t="str">
        <f>""</f>
        <v/>
      </c>
      <c r="BK756">
        <v>1</v>
      </c>
      <c r="BL756" t="s">
        <v>102</v>
      </c>
      <c r="BM756" t="str">
        <f>""</f>
        <v/>
      </c>
      <c r="BN756" t="s">
        <v>181</v>
      </c>
      <c r="BP756" t="s">
        <v>197</v>
      </c>
      <c r="BQ756" t="s">
        <v>183</v>
      </c>
      <c r="BR756" t="s">
        <v>176</v>
      </c>
      <c r="BS756" s="5">
        <v>98008</v>
      </c>
      <c r="BT756" s="2">
        <v>113600</v>
      </c>
      <c r="BV756" t="s">
        <v>105</v>
      </c>
      <c r="BW756" s="2">
        <v>92102</v>
      </c>
      <c r="BX756" t="s">
        <v>105</v>
      </c>
      <c r="BZ756" t="s">
        <v>191</v>
      </c>
      <c r="CA756" t="str">
        <f t="shared" si="50"/>
        <v>7/1/2020 - 6/30/2021</v>
      </c>
      <c r="CF756">
        <v>1</v>
      </c>
      <c r="CG756" t="s">
        <v>98</v>
      </c>
      <c r="CH756" t="s">
        <v>206</v>
      </c>
      <c r="CI756" t="s">
        <v>206</v>
      </c>
      <c r="CL756" t="s">
        <v>108</v>
      </c>
      <c r="CM756" t="s">
        <v>109</v>
      </c>
      <c r="CN756" t="str">
        <f>"DSOUZA"</f>
        <v>DSOUZA</v>
      </c>
      <c r="CO756" t="str">
        <f>"MACLIFF"</f>
        <v>MACLIFF</v>
      </c>
      <c r="CP756" t="str">
        <f>"N/A"</f>
        <v>N/A</v>
      </c>
      <c r="CQ756" t="str">
        <f>"INTEGREON MANAGED SOLUTIONS (INDIA) PVT LTD"</f>
        <v>INTEGREON MANAGED SOLUTIONS (INDIA) PVT LTD</v>
      </c>
      <c r="CR756" t="s">
        <v>1842</v>
      </c>
    </row>
    <row r="757" spans="1:96" x14ac:dyDescent="0.2">
      <c r="A757" t="s">
        <v>8851</v>
      </c>
      <c r="B757" t="s">
        <v>96</v>
      </c>
      <c r="C757" s="1">
        <v>44098</v>
      </c>
      <c r="D757" s="1">
        <v>44105</v>
      </c>
      <c r="F757" t="s">
        <v>97</v>
      </c>
      <c r="G757" t="str">
        <f>"Senior Engineer"</f>
        <v>Senior Engineer</v>
      </c>
      <c r="H757" t="s">
        <v>12169</v>
      </c>
      <c r="I757" t="s">
        <v>124</v>
      </c>
      <c r="J757" t="s">
        <v>98</v>
      </c>
      <c r="K757" s="1">
        <v>44155</v>
      </c>
      <c r="L757" s="1">
        <v>45249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 t="s">
        <v>829</v>
      </c>
      <c r="U757" t="str">
        <f>""</f>
        <v/>
      </c>
      <c r="V757" t="s">
        <v>830</v>
      </c>
      <c r="W757" t="str">
        <f>""</f>
        <v/>
      </c>
      <c r="X757" t="s">
        <v>295</v>
      </c>
      <c r="Y757" t="s">
        <v>190</v>
      </c>
      <c r="Z757" s="3">
        <v>10285</v>
      </c>
      <c r="AA757" t="s">
        <v>101</v>
      </c>
      <c r="AC757" s="4" t="str">
        <f>"+12126402000"</f>
        <v>+12126402000</v>
      </c>
      <c r="AE757" t="str">
        <f>"522210"</f>
        <v>522210</v>
      </c>
      <c r="AF757" t="s">
        <v>2841</v>
      </c>
      <c r="AG757" t="s">
        <v>740</v>
      </c>
      <c r="AH757" t="s">
        <v>1080</v>
      </c>
      <c r="AI757" t="s">
        <v>2842</v>
      </c>
      <c r="AJ757" t="s">
        <v>2843</v>
      </c>
      <c r="AK757" t="str">
        <f>"MC 01-49-06"</f>
        <v>MC 01-49-06</v>
      </c>
      <c r="AL757" t="s">
        <v>189</v>
      </c>
      <c r="AM757" t="s">
        <v>190</v>
      </c>
      <c r="AN757" s="3">
        <v>10285</v>
      </c>
      <c r="AO757" t="s">
        <v>101</v>
      </c>
      <c r="AQ757" t="str">
        <f>"+12122251788"</f>
        <v>+12122251788</v>
      </c>
      <c r="AS757" t="s">
        <v>2844</v>
      </c>
      <c r="AT757" t="s">
        <v>102</v>
      </c>
      <c r="AU757" t="str">
        <f>""</f>
        <v/>
      </c>
      <c r="AV757" t="str">
        <f>""</f>
        <v/>
      </c>
      <c r="AW757" t="str">
        <f>""</f>
        <v/>
      </c>
      <c r="AX757" t="str">
        <f>""</f>
        <v/>
      </c>
      <c r="AY757" t="str">
        <f>""</f>
        <v/>
      </c>
      <c r="AZ757" t="str">
        <f>""</f>
        <v/>
      </c>
      <c r="BA757" t="str">
        <f>""</f>
        <v/>
      </c>
      <c r="BC757" t="str">
        <f>""</f>
        <v/>
      </c>
      <c r="BD757" t="str">
        <f>""</f>
        <v/>
      </c>
      <c r="BE757" t="str">
        <f>""</f>
        <v/>
      </c>
      <c r="BF757" t="str">
        <f>""</f>
        <v/>
      </c>
      <c r="BG757" t="str">
        <f>""</f>
        <v/>
      </c>
      <c r="BH757" t="str">
        <f>""</f>
        <v/>
      </c>
      <c r="BI757" t="str">
        <f>""</f>
        <v/>
      </c>
      <c r="BJ757" t="str">
        <f>""</f>
        <v/>
      </c>
      <c r="BK757">
        <v>1</v>
      </c>
      <c r="BL757" t="s">
        <v>102</v>
      </c>
      <c r="BM757" t="str">
        <f>""</f>
        <v/>
      </c>
      <c r="BN757" t="s">
        <v>8308</v>
      </c>
      <c r="BP757" t="s">
        <v>2008</v>
      </c>
      <c r="BQ757" t="s">
        <v>576</v>
      </c>
      <c r="BR757" t="s">
        <v>577</v>
      </c>
      <c r="BS757" s="5">
        <v>33323</v>
      </c>
      <c r="BT757" s="2">
        <v>152356.78</v>
      </c>
      <c r="BV757" t="s">
        <v>105</v>
      </c>
      <c r="BW757" s="2">
        <v>116459</v>
      </c>
      <c r="BX757" t="s">
        <v>105</v>
      </c>
      <c r="BZ757" t="s">
        <v>159</v>
      </c>
      <c r="CA757" t="str">
        <f t="shared" si="50"/>
        <v>7/1/2020 - 6/30/2021</v>
      </c>
      <c r="CF757">
        <v>1</v>
      </c>
      <c r="CG757" t="s">
        <v>98</v>
      </c>
      <c r="CH757" t="s">
        <v>206</v>
      </c>
      <c r="CI757" t="s">
        <v>206</v>
      </c>
      <c r="CL757" t="s">
        <v>108</v>
      </c>
      <c r="CM757" t="s">
        <v>109</v>
      </c>
      <c r="CN757" t="str">
        <f>""</f>
        <v/>
      </c>
      <c r="CO757" t="str">
        <f>""</f>
        <v/>
      </c>
      <c r="CP757" t="str">
        <f>""</f>
        <v/>
      </c>
      <c r="CQ757" t="str">
        <f>""</f>
        <v/>
      </c>
    </row>
    <row r="758" spans="1:96" x14ac:dyDescent="0.2">
      <c r="A758" t="s">
        <v>8852</v>
      </c>
      <c r="B758" t="s">
        <v>96</v>
      </c>
      <c r="C758" s="1">
        <v>44098</v>
      </c>
      <c r="D758" s="1">
        <v>44105</v>
      </c>
      <c r="F758" t="s">
        <v>97</v>
      </c>
      <c r="G758" t="str">
        <f>"Enterprise Architect, Advisory"</f>
        <v>Enterprise Architect, Advisory</v>
      </c>
      <c r="H758" t="s">
        <v>12168</v>
      </c>
      <c r="I758" t="s">
        <v>160</v>
      </c>
      <c r="J758" t="s">
        <v>98</v>
      </c>
      <c r="K758" s="1">
        <v>44105</v>
      </c>
      <c r="L758" s="1">
        <v>45199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 t="s">
        <v>1036</v>
      </c>
      <c r="U758" t="str">
        <f>""</f>
        <v/>
      </c>
      <c r="V758" t="s">
        <v>1037</v>
      </c>
      <c r="W758" t="str">
        <f>""</f>
        <v/>
      </c>
      <c r="X758" t="s">
        <v>1015</v>
      </c>
      <c r="Y758" t="s">
        <v>330</v>
      </c>
      <c r="Z758" s="3">
        <v>53045</v>
      </c>
      <c r="AA758" t="s">
        <v>101</v>
      </c>
      <c r="AC758" s="4" t="str">
        <f>"+12628795000"</f>
        <v>+12628795000</v>
      </c>
      <c r="AE758" t="str">
        <f>"518210"</f>
        <v>518210</v>
      </c>
      <c r="AF758" t="s">
        <v>1038</v>
      </c>
      <c r="AG758" t="s">
        <v>1039</v>
      </c>
      <c r="AH758" t="s">
        <v>108</v>
      </c>
      <c r="AI758" t="s">
        <v>1040</v>
      </c>
      <c r="AJ758" t="s">
        <v>1041</v>
      </c>
      <c r="AK758" t="str">
        <f>"N/A"</f>
        <v>N/A</v>
      </c>
      <c r="AL758" t="s">
        <v>1042</v>
      </c>
      <c r="AM758" t="s">
        <v>330</v>
      </c>
      <c r="AN758" s="3">
        <v>53045</v>
      </c>
      <c r="AO758" t="s">
        <v>101</v>
      </c>
      <c r="AQ758" t="str">
        <f>"+12628795000"</f>
        <v>+12628795000</v>
      </c>
      <c r="AS758" t="s">
        <v>1043</v>
      </c>
      <c r="AT758" t="s">
        <v>107</v>
      </c>
      <c r="AU758" t="str">
        <f>"OLIVER"</f>
        <v>OLIVER</v>
      </c>
      <c r="AV758" t="str">
        <f>"BRENDA"</f>
        <v>BRENDA</v>
      </c>
      <c r="AW758" t="str">
        <f>"J"</f>
        <v>J</v>
      </c>
      <c r="AX758" t="str">
        <f>"1101 15TH STREET, NW"</f>
        <v>1101 15TH STREET, NW</v>
      </c>
      <c r="AY758" t="str">
        <f>"SUITE 700"</f>
        <v>SUITE 700</v>
      </c>
      <c r="AZ758" t="str">
        <f>"WASHINGTON"</f>
        <v>WASHINGTON</v>
      </c>
      <c r="BA758" t="str">
        <f>"DC"</f>
        <v>DC</v>
      </c>
      <c r="BB758" s="3">
        <v>20005</v>
      </c>
      <c r="BC758" t="str">
        <f t="shared" ref="BC758:BC764" si="51">"UNITED STATES OF AMERICA"</f>
        <v>UNITED STATES OF AMERICA</v>
      </c>
      <c r="BD758" t="str">
        <f>""</f>
        <v/>
      </c>
      <c r="BE758" t="str">
        <f>"+12022235515"</f>
        <v>+12022235515</v>
      </c>
      <c r="BF758" t="str">
        <f>""</f>
        <v/>
      </c>
      <c r="BG758" t="str">
        <f>"LCATeamPham@Fragomen.com"</f>
        <v>LCATeamPham@Fragomen.com</v>
      </c>
      <c r="BH758" t="str">
        <f>"Fragomen, Del Rey, Bernsen &amp; Loewy, LLP"</f>
        <v>Fragomen, Del Rey, Bernsen &amp; Loewy, LLP</v>
      </c>
      <c r="BI758" t="str">
        <f>"DC"</f>
        <v>DC</v>
      </c>
      <c r="BJ758" t="str">
        <f>"COURT OF APPEALS"</f>
        <v>COURT OF APPEALS</v>
      </c>
      <c r="BK758">
        <v>1</v>
      </c>
      <c r="BL758" t="s">
        <v>102</v>
      </c>
      <c r="BM758" t="str">
        <f>""</f>
        <v/>
      </c>
      <c r="BN758" t="s">
        <v>1044</v>
      </c>
      <c r="BP758" t="s">
        <v>1045</v>
      </c>
      <c r="BQ758" t="s">
        <v>1029</v>
      </c>
      <c r="BR758" t="s">
        <v>100</v>
      </c>
      <c r="BS758" s="5">
        <v>7054</v>
      </c>
      <c r="BT758" s="2">
        <v>114962</v>
      </c>
      <c r="BU758" s="2">
        <v>203200</v>
      </c>
      <c r="BV758" t="s">
        <v>105</v>
      </c>
      <c r="BW758" s="2">
        <v>114962</v>
      </c>
      <c r="BX758" t="s">
        <v>105</v>
      </c>
      <c r="BZ758" t="s">
        <v>159</v>
      </c>
      <c r="CA758" t="str">
        <f t="shared" si="50"/>
        <v>7/1/2020 - 6/30/2021</v>
      </c>
      <c r="CF758">
        <v>2</v>
      </c>
      <c r="CG758" t="s">
        <v>98</v>
      </c>
      <c r="CH758" t="s">
        <v>206</v>
      </c>
      <c r="CI758" t="s">
        <v>206</v>
      </c>
      <c r="CL758" t="s">
        <v>108</v>
      </c>
      <c r="CM758" t="s">
        <v>109</v>
      </c>
      <c r="CN758" t="str">
        <f>"Song"</f>
        <v>Song</v>
      </c>
      <c r="CO758" t="str">
        <f>"Stephany"</f>
        <v>Stephany</v>
      </c>
      <c r="CP758" t="str">
        <f>""</f>
        <v/>
      </c>
      <c r="CQ758" t="str">
        <f>"Fragomen, Del Rey, Bernsen &amp; Loewy, LLP"</f>
        <v>Fragomen, Del Rey, Bernsen &amp; Loewy, LLP</v>
      </c>
      <c r="CR758" t="s">
        <v>1046</v>
      </c>
    </row>
    <row r="759" spans="1:96" x14ac:dyDescent="0.2">
      <c r="A759" t="s">
        <v>8856</v>
      </c>
      <c r="B759" t="s">
        <v>96</v>
      </c>
      <c r="C759" s="1">
        <v>44098</v>
      </c>
      <c r="D759" s="1">
        <v>44105</v>
      </c>
      <c r="F759" t="s">
        <v>97</v>
      </c>
      <c r="G759" t="str">
        <f>"Architect, IT"</f>
        <v>Architect, IT</v>
      </c>
      <c r="H759" t="s">
        <v>12168</v>
      </c>
      <c r="I759" t="s">
        <v>160</v>
      </c>
      <c r="J759" t="s">
        <v>98</v>
      </c>
      <c r="K759" s="1">
        <v>44279</v>
      </c>
      <c r="L759" s="1">
        <v>45374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 t="s">
        <v>3021</v>
      </c>
      <c r="U759" t="str">
        <f>""</f>
        <v/>
      </c>
      <c r="V759" t="s">
        <v>3022</v>
      </c>
      <c r="W759" t="str">
        <f>""</f>
        <v/>
      </c>
      <c r="X759" t="s">
        <v>1248</v>
      </c>
      <c r="Y759" t="s">
        <v>545</v>
      </c>
      <c r="Z759" s="3">
        <v>37027</v>
      </c>
      <c r="AA759" t="s">
        <v>101</v>
      </c>
      <c r="AC759" s="4" t="str">
        <f>"+16154404848"</f>
        <v>+16154404848</v>
      </c>
      <c r="AE759" t="str">
        <f>"44422"</f>
        <v>44422</v>
      </c>
      <c r="AF759" t="s">
        <v>3023</v>
      </c>
      <c r="AG759" t="s">
        <v>3024</v>
      </c>
      <c r="AH759" t="s">
        <v>3025</v>
      </c>
      <c r="AI759" t="s">
        <v>3026</v>
      </c>
      <c r="AJ759" t="s">
        <v>3022</v>
      </c>
      <c r="AK759" t="str">
        <f>""</f>
        <v/>
      </c>
      <c r="AL759" t="s">
        <v>1248</v>
      </c>
      <c r="AM759" t="s">
        <v>545</v>
      </c>
      <c r="AN759" s="3">
        <v>37027</v>
      </c>
      <c r="AO759" t="s">
        <v>101</v>
      </c>
      <c r="AQ759" t="str">
        <f>"+16154404848"</f>
        <v>+16154404848</v>
      </c>
      <c r="AS759" t="s">
        <v>3027</v>
      </c>
      <c r="AT759" t="s">
        <v>107</v>
      </c>
      <c r="AU759" t="str">
        <f>"Russo"</f>
        <v>Russo</v>
      </c>
      <c r="AV759" t="str">
        <f>"Douglas"</f>
        <v>Douglas</v>
      </c>
      <c r="AW759" t="str">
        <f>"Michael"</f>
        <v>Michael</v>
      </c>
      <c r="AX759" t="str">
        <f>"2100 West End Avenue"</f>
        <v>2100 West End Avenue</v>
      </c>
      <c r="AY759" t="str">
        <f>"Suite 935"</f>
        <v>Suite 935</v>
      </c>
      <c r="AZ759" t="str">
        <f>"Nashville"</f>
        <v>Nashville</v>
      </c>
      <c r="BA759" t="str">
        <f>"TN"</f>
        <v>TN</v>
      </c>
      <c r="BB759" s="3">
        <v>37203</v>
      </c>
      <c r="BC759" t="str">
        <f t="shared" si="51"/>
        <v>UNITED STATES OF AMERICA</v>
      </c>
      <c r="BD759" t="str">
        <f>""</f>
        <v/>
      </c>
      <c r="BE759" t="str">
        <f>"+16153212256"</f>
        <v>+16153212256</v>
      </c>
      <c r="BF759" t="str">
        <f>""</f>
        <v/>
      </c>
      <c r="BG759" t="str">
        <f>"lroselaw@roseimmigration.com"</f>
        <v>lroselaw@roseimmigration.com</v>
      </c>
      <c r="BH759" t="str">
        <f>"Rose Immigration Law Firm, PLC"</f>
        <v>Rose Immigration Law Firm, PLC</v>
      </c>
      <c r="BI759" t="str">
        <f>"TN"</f>
        <v>TN</v>
      </c>
      <c r="BJ759" t="str">
        <f>"Tennessee Supreme Court"</f>
        <v>Tennessee Supreme Court</v>
      </c>
      <c r="BK759">
        <v>1</v>
      </c>
      <c r="BL759" t="s">
        <v>102</v>
      </c>
      <c r="BM759" t="str">
        <f>""</f>
        <v/>
      </c>
      <c r="BN759" t="s">
        <v>3022</v>
      </c>
      <c r="BP759" t="s">
        <v>1248</v>
      </c>
      <c r="BQ759" t="s">
        <v>668</v>
      </c>
      <c r="BR759" t="s">
        <v>545</v>
      </c>
      <c r="BS759" s="5">
        <v>37027</v>
      </c>
      <c r="BT759" s="2">
        <v>145000</v>
      </c>
      <c r="BU759" s="2">
        <v>155000</v>
      </c>
      <c r="BV759" t="s">
        <v>105</v>
      </c>
      <c r="BW759" s="2">
        <v>86611</v>
      </c>
      <c r="BX759" t="s">
        <v>105</v>
      </c>
      <c r="BZ759" t="s">
        <v>159</v>
      </c>
      <c r="CA759" t="str">
        <f t="shared" si="50"/>
        <v>7/1/2020 - 6/30/2021</v>
      </c>
      <c r="CF759">
        <v>2</v>
      </c>
      <c r="CG759" t="s">
        <v>98</v>
      </c>
      <c r="CH759" t="s">
        <v>206</v>
      </c>
      <c r="CI759" t="s">
        <v>206</v>
      </c>
      <c r="CL759" t="s">
        <v>108</v>
      </c>
      <c r="CM759" t="s">
        <v>109</v>
      </c>
      <c r="CN759" t="str">
        <f>""</f>
        <v/>
      </c>
      <c r="CO759" t="str">
        <f>""</f>
        <v/>
      </c>
      <c r="CP759" t="str">
        <f>""</f>
        <v/>
      </c>
      <c r="CQ759" t="str">
        <f>""</f>
        <v/>
      </c>
    </row>
    <row r="760" spans="1:96" x14ac:dyDescent="0.2">
      <c r="A760" t="s">
        <v>8877</v>
      </c>
      <c r="B760" t="s">
        <v>96</v>
      </c>
      <c r="C760" s="1">
        <v>44098</v>
      </c>
      <c r="D760" s="1">
        <v>44105</v>
      </c>
      <c r="F760" t="s">
        <v>97</v>
      </c>
      <c r="G760" t="str">
        <f>"Industrial Engineer "</f>
        <v xml:space="preserve">Industrial Engineer </v>
      </c>
      <c r="H760" t="s">
        <v>12224</v>
      </c>
      <c r="I760" t="s">
        <v>198</v>
      </c>
      <c r="J760" t="s">
        <v>98</v>
      </c>
      <c r="K760" s="1">
        <v>44111</v>
      </c>
      <c r="L760" s="1">
        <v>45205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 t="s">
        <v>2435</v>
      </c>
      <c r="U760" t="str">
        <f>""</f>
        <v/>
      </c>
      <c r="V760" t="s">
        <v>2436</v>
      </c>
      <c r="W760" t="str">
        <f>""</f>
        <v/>
      </c>
      <c r="X760" t="s">
        <v>1288</v>
      </c>
      <c r="Y760" t="s">
        <v>141</v>
      </c>
      <c r="Z760" s="3">
        <v>94304</v>
      </c>
      <c r="AA760" t="s">
        <v>101</v>
      </c>
      <c r="AB760" t="s">
        <v>1246</v>
      </c>
      <c r="AC760" s="4" t="str">
        <f>"+15109466735"</f>
        <v>+15109466735</v>
      </c>
      <c r="AE760" t="str">
        <f>"336111"</f>
        <v>336111</v>
      </c>
      <c r="AF760" t="s">
        <v>4291</v>
      </c>
      <c r="AG760" t="s">
        <v>2438</v>
      </c>
      <c r="AH760" t="s">
        <v>2437</v>
      </c>
      <c r="AI760" t="s">
        <v>1419</v>
      </c>
      <c r="AJ760" t="s">
        <v>2436</v>
      </c>
      <c r="AK760" t="str">
        <f>""</f>
        <v/>
      </c>
      <c r="AL760" t="s">
        <v>1288</v>
      </c>
      <c r="AM760" t="s">
        <v>141</v>
      </c>
      <c r="AN760" s="3">
        <v>94304</v>
      </c>
      <c r="AO760" t="s">
        <v>101</v>
      </c>
      <c r="AQ760" t="str">
        <f>"+18589995127"</f>
        <v>+18589995127</v>
      </c>
      <c r="AS760" t="s">
        <v>2439</v>
      </c>
      <c r="AT760" t="s">
        <v>107</v>
      </c>
      <c r="AU760" t="str">
        <f>"Castro"</f>
        <v>Castro</v>
      </c>
      <c r="AV760" t="str">
        <f>"J. Gabriel"</f>
        <v>J. Gabriel</v>
      </c>
      <c r="AW760" t="str">
        <f>""</f>
        <v/>
      </c>
      <c r="AX760" t="str">
        <f>"555 W. Fifth Street"</f>
        <v>555 W. Fifth Street</v>
      </c>
      <c r="AY760" t="str">
        <f>"Suite 4510"</f>
        <v>Suite 4510</v>
      </c>
      <c r="AZ760" t="str">
        <f>"Los Angeles"</f>
        <v>Los Angeles</v>
      </c>
      <c r="BA760" t="str">
        <f>"CA"</f>
        <v>CA</v>
      </c>
      <c r="BB760" s="3">
        <v>90013</v>
      </c>
      <c r="BC760" t="str">
        <f t="shared" si="51"/>
        <v>UNITED STATES OF AMERICA</v>
      </c>
      <c r="BD760" t="str">
        <f>""</f>
        <v/>
      </c>
      <c r="BE760" t="str">
        <f>"+12136247500"</f>
        <v>+12136247500</v>
      </c>
      <c r="BF760" t="str">
        <f>""</f>
        <v/>
      </c>
      <c r="BG760" t="str">
        <f>"FLAG-LA@tsmimmigration.com"</f>
        <v>FLAG-LA@tsmimmigration.com</v>
      </c>
      <c r="BH760" t="str">
        <f>"Tafapolsky Smith Mehlman LLP"</f>
        <v>Tafapolsky Smith Mehlman LLP</v>
      </c>
      <c r="BI760" t="str">
        <f>"CA"</f>
        <v>CA</v>
      </c>
      <c r="BJ760" t="str">
        <f>"Supreme Court"</f>
        <v>Supreme Court</v>
      </c>
      <c r="BK760">
        <v>1</v>
      </c>
      <c r="BL760" t="s">
        <v>102</v>
      </c>
      <c r="BM760" t="str">
        <f>""</f>
        <v/>
      </c>
      <c r="BN760" t="s">
        <v>7546</v>
      </c>
      <c r="BP760" t="s">
        <v>5734</v>
      </c>
      <c r="BQ760" t="s">
        <v>1646</v>
      </c>
      <c r="BR760" t="s">
        <v>1644</v>
      </c>
      <c r="BS760" s="5">
        <v>89437</v>
      </c>
      <c r="BT760" s="2">
        <v>102000</v>
      </c>
      <c r="BV760" t="s">
        <v>105</v>
      </c>
      <c r="BW760" s="2">
        <v>82950</v>
      </c>
      <c r="BX760" t="s">
        <v>105</v>
      </c>
      <c r="BZ760" t="s">
        <v>167</v>
      </c>
      <c r="CA760" t="str">
        <f t="shared" si="50"/>
        <v>7/1/2020 - 6/30/2021</v>
      </c>
      <c r="CF760">
        <v>1</v>
      </c>
      <c r="CG760" t="s">
        <v>98</v>
      </c>
      <c r="CH760" t="s">
        <v>206</v>
      </c>
      <c r="CI760" t="s">
        <v>206</v>
      </c>
      <c r="CL760" t="s">
        <v>108</v>
      </c>
      <c r="CM760" t="s">
        <v>109</v>
      </c>
      <c r="CN760" t="str">
        <f>"Chung"</f>
        <v>Chung</v>
      </c>
      <c r="CO760" t="str">
        <f>"Haeshin"</f>
        <v>Haeshin</v>
      </c>
      <c r="CP760" t="str">
        <f>""</f>
        <v/>
      </c>
      <c r="CQ760" t="str">
        <f>"Tafapolsky Smith Mehlman LLP"</f>
        <v>Tafapolsky Smith Mehlman LLP</v>
      </c>
      <c r="CR760" t="s">
        <v>6684</v>
      </c>
    </row>
    <row r="761" spans="1:96" x14ac:dyDescent="0.2">
      <c r="A761" t="s">
        <v>8882</v>
      </c>
      <c r="B761" t="s">
        <v>96</v>
      </c>
      <c r="C761" s="1">
        <v>44098</v>
      </c>
      <c r="D761" s="1">
        <v>44105</v>
      </c>
      <c r="F761" t="s">
        <v>97</v>
      </c>
      <c r="G761" t="str">
        <f>"Manager, Identity Management and Integration Services"</f>
        <v>Manager, Identity Management and Integration Services</v>
      </c>
      <c r="H761" t="s">
        <v>12178</v>
      </c>
      <c r="I761" t="s">
        <v>582</v>
      </c>
      <c r="J761" t="s">
        <v>98</v>
      </c>
      <c r="K761" s="1">
        <v>44109</v>
      </c>
      <c r="L761" s="1">
        <v>45203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 t="s">
        <v>6704</v>
      </c>
      <c r="U761" t="str">
        <f>""</f>
        <v/>
      </c>
      <c r="V761" t="s">
        <v>6705</v>
      </c>
      <c r="W761" t="str">
        <f>""</f>
        <v/>
      </c>
      <c r="X761" t="s">
        <v>6706</v>
      </c>
      <c r="Y761" t="s">
        <v>171</v>
      </c>
      <c r="Z761" s="3">
        <v>2467</v>
      </c>
      <c r="AA761" t="s">
        <v>101</v>
      </c>
      <c r="AC761" s="4" t="str">
        <f>"+16175523335"</f>
        <v>+16175523335</v>
      </c>
      <c r="AE761" t="str">
        <f>"611310"</f>
        <v>611310</v>
      </c>
      <c r="AF761" t="s">
        <v>8883</v>
      </c>
      <c r="AG761" t="s">
        <v>1003</v>
      </c>
      <c r="AI761" t="s">
        <v>201</v>
      </c>
      <c r="AJ761" t="s">
        <v>6705</v>
      </c>
      <c r="AK761" t="str">
        <f>""</f>
        <v/>
      </c>
      <c r="AL761" t="s">
        <v>6706</v>
      </c>
      <c r="AM761" t="s">
        <v>171</v>
      </c>
      <c r="AN761" s="3">
        <v>2467</v>
      </c>
      <c r="AO761" t="s">
        <v>101</v>
      </c>
      <c r="AQ761" t="str">
        <f>"+16175523335"</f>
        <v>+16175523335</v>
      </c>
      <c r="AS761" t="s">
        <v>8884</v>
      </c>
      <c r="AT761" t="s">
        <v>107</v>
      </c>
      <c r="AU761" t="str">
        <f>"Quill"</f>
        <v>Quill</v>
      </c>
      <c r="AV761" t="str">
        <f>"John"</f>
        <v>John</v>
      </c>
      <c r="AW761" t="str">
        <f>"F"</f>
        <v>F</v>
      </c>
      <c r="AX761" t="str">
        <f>"One Financial Center"</f>
        <v>One Financial Center</v>
      </c>
      <c r="AY761" t="str">
        <f>"41st Floor"</f>
        <v>41st Floor</v>
      </c>
      <c r="AZ761" t="str">
        <f>"Boston"</f>
        <v>Boston</v>
      </c>
      <c r="BA761" t="str">
        <f>"MA"</f>
        <v>MA</v>
      </c>
      <c r="BB761" s="3">
        <v>2111</v>
      </c>
      <c r="BC761" t="str">
        <f t="shared" si="51"/>
        <v>UNITED STATES OF AMERICA</v>
      </c>
      <c r="BD761" t="str">
        <f>""</f>
        <v/>
      </c>
      <c r="BE761" t="str">
        <f>"+16173484401"</f>
        <v>+16173484401</v>
      </c>
      <c r="BF761" t="str">
        <f>""</f>
        <v/>
      </c>
      <c r="BG761" t="str">
        <f>"jfquill@mintz.com"</f>
        <v>jfquill@mintz.com</v>
      </c>
      <c r="BH761" t="str">
        <f>"Mintz"</f>
        <v>Mintz</v>
      </c>
      <c r="BI761" t="str">
        <f>"MA"</f>
        <v>MA</v>
      </c>
      <c r="BJ761" t="str">
        <f>"Supreme Judicial Court"</f>
        <v>Supreme Judicial Court</v>
      </c>
      <c r="BK761">
        <v>1</v>
      </c>
      <c r="BL761" t="s">
        <v>102</v>
      </c>
      <c r="BM761" t="str">
        <f>""</f>
        <v/>
      </c>
      <c r="BN761" t="s">
        <v>8885</v>
      </c>
      <c r="BP761" t="s">
        <v>3613</v>
      </c>
      <c r="BQ761" t="s">
        <v>209</v>
      </c>
      <c r="BR761" t="s">
        <v>171</v>
      </c>
      <c r="BS761" s="5">
        <v>2135</v>
      </c>
      <c r="BT761" s="2">
        <v>130000</v>
      </c>
      <c r="BV761" t="s">
        <v>105</v>
      </c>
      <c r="BW761" s="2">
        <v>112778</v>
      </c>
      <c r="BX761" t="s">
        <v>105</v>
      </c>
      <c r="BZ761" t="s">
        <v>167</v>
      </c>
      <c r="CA761" t="str">
        <f t="shared" si="50"/>
        <v>7/1/2020 - 6/30/2021</v>
      </c>
      <c r="CF761">
        <v>2</v>
      </c>
      <c r="CG761" t="s">
        <v>98</v>
      </c>
      <c r="CH761" t="s">
        <v>206</v>
      </c>
      <c r="CI761" t="s">
        <v>206</v>
      </c>
      <c r="CL761" t="s">
        <v>108</v>
      </c>
      <c r="CM761" t="s">
        <v>109</v>
      </c>
      <c r="CN761" t="str">
        <f>"McGregor"</f>
        <v>McGregor</v>
      </c>
      <c r="CO761" t="str">
        <f>"Hilary"</f>
        <v>Hilary</v>
      </c>
      <c r="CP761" t="str">
        <f>"R"</f>
        <v>R</v>
      </c>
      <c r="CQ761" t="str">
        <f>"Mintz Levin"</f>
        <v>Mintz Levin</v>
      </c>
      <c r="CR761" t="s">
        <v>8886</v>
      </c>
    </row>
    <row r="762" spans="1:96" x14ac:dyDescent="0.2">
      <c r="A762" t="s">
        <v>8888</v>
      </c>
      <c r="B762" t="s">
        <v>96</v>
      </c>
      <c r="C762" s="1">
        <v>44098</v>
      </c>
      <c r="D762" s="1">
        <v>44105</v>
      </c>
      <c r="F762" t="s">
        <v>97</v>
      </c>
      <c r="G762" t="str">
        <f>"BHA FORENSIC EVALUATOR"</f>
        <v>BHA FORENSIC EVALUATOR</v>
      </c>
      <c r="H762" t="s">
        <v>12244</v>
      </c>
      <c r="I762" t="s">
        <v>6004</v>
      </c>
      <c r="J762" t="s">
        <v>98</v>
      </c>
      <c r="K762" s="1">
        <v>44166</v>
      </c>
      <c r="L762" s="1">
        <v>45260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 t="s">
        <v>8889</v>
      </c>
      <c r="U762" t="str">
        <f>""</f>
        <v/>
      </c>
      <c r="V762" t="s">
        <v>8890</v>
      </c>
      <c r="W762" t="str">
        <f>"1115 WASHINGTON STREET SE"</f>
        <v>1115 WASHINGTON STREET SE</v>
      </c>
      <c r="X762" t="s">
        <v>8080</v>
      </c>
      <c r="Y762" t="s">
        <v>176</v>
      </c>
      <c r="Z762" s="3">
        <v>98504</v>
      </c>
      <c r="AA762" t="s">
        <v>101</v>
      </c>
      <c r="AC762" s="4" t="str">
        <f>"+13607643556"</f>
        <v>+13607643556</v>
      </c>
      <c r="AE762" t="str">
        <f>"923130"</f>
        <v>923130</v>
      </c>
      <c r="AF762" t="s">
        <v>8891</v>
      </c>
      <c r="AG762" t="s">
        <v>4124</v>
      </c>
      <c r="AI762" t="s">
        <v>8892</v>
      </c>
      <c r="AJ762" t="s">
        <v>8890</v>
      </c>
      <c r="AK762" t="str">
        <f>"1115 WASHINGTON STREET SE"</f>
        <v>1115 WASHINGTON STREET SE</v>
      </c>
      <c r="AL762" t="s">
        <v>8080</v>
      </c>
      <c r="AM762" t="s">
        <v>176</v>
      </c>
      <c r="AN762" s="3">
        <v>98504</v>
      </c>
      <c r="AO762" t="s">
        <v>101</v>
      </c>
      <c r="AQ762" t="str">
        <f>"+13607643556"</f>
        <v>+13607643556</v>
      </c>
      <c r="AS762" t="s">
        <v>8893</v>
      </c>
      <c r="AT762" t="s">
        <v>107</v>
      </c>
      <c r="AU762" t="str">
        <f>"TILGER"</f>
        <v>TILGER</v>
      </c>
      <c r="AV762" t="str">
        <f>"AMEE"</f>
        <v>AMEE</v>
      </c>
      <c r="AW762" t="str">
        <f>""</f>
        <v/>
      </c>
      <c r="AX762" t="str">
        <f>"7141 CLEANWATER DRIVE SW"</f>
        <v>7141 CLEANWATER DRIVE SW</v>
      </c>
      <c r="AY762" t="str">
        <f>""</f>
        <v/>
      </c>
      <c r="AZ762" t="str">
        <f>"OLYMPIA"</f>
        <v>OLYMPIA</v>
      </c>
      <c r="BA762" t="str">
        <f>"WA"</f>
        <v>WA</v>
      </c>
      <c r="BB762" s="3">
        <v>98504</v>
      </c>
      <c r="BC762" t="str">
        <f t="shared" si="51"/>
        <v>UNITED STATES OF AMERICA</v>
      </c>
      <c r="BD762" t="str">
        <f>""</f>
        <v/>
      </c>
      <c r="BE762" t="str">
        <f>"+13606644167"</f>
        <v>+13606644167</v>
      </c>
      <c r="BF762" t="str">
        <f>""</f>
        <v/>
      </c>
      <c r="BG762" t="str">
        <f>"LPDIMMIGRATION@ATG.WA.GOV"</f>
        <v>LPDIMMIGRATION@ATG.WA.GOV</v>
      </c>
      <c r="BH762" t="str">
        <f>"STATE OF WASHINGTON OFFICE OF THE ATTORNEY GENERAL"</f>
        <v>STATE OF WASHINGTON OFFICE OF THE ATTORNEY GENERAL</v>
      </c>
      <c r="BI762" t="str">
        <f>"WA"</f>
        <v>WA</v>
      </c>
      <c r="BJ762" t="str">
        <f>"SUPREME"</f>
        <v>SUPREME</v>
      </c>
      <c r="BK762">
        <v>1</v>
      </c>
      <c r="BL762" t="s">
        <v>102</v>
      </c>
      <c r="BM762" t="str">
        <f>""</f>
        <v/>
      </c>
      <c r="BN762" t="s">
        <v>8894</v>
      </c>
      <c r="BP762" t="s">
        <v>8895</v>
      </c>
      <c r="BQ762" t="s">
        <v>4122</v>
      </c>
      <c r="BR762" t="s">
        <v>176</v>
      </c>
      <c r="BS762" s="5">
        <v>99022</v>
      </c>
      <c r="BT762" s="2">
        <v>102816</v>
      </c>
      <c r="BU762" s="2">
        <v>122220</v>
      </c>
      <c r="BV762" t="s">
        <v>105</v>
      </c>
      <c r="BW762" s="2">
        <v>102816</v>
      </c>
      <c r="BX762" t="s">
        <v>105</v>
      </c>
      <c r="CA762" t="str">
        <f>""</f>
        <v/>
      </c>
      <c r="CB762" t="s">
        <v>106</v>
      </c>
      <c r="CC762">
        <v>2019</v>
      </c>
      <c r="CF762">
        <v>1</v>
      </c>
      <c r="CG762" t="s">
        <v>98</v>
      </c>
      <c r="CH762" t="s">
        <v>206</v>
      </c>
      <c r="CI762" t="s">
        <v>206</v>
      </c>
      <c r="CL762" t="s">
        <v>108</v>
      </c>
      <c r="CM762" t="s">
        <v>718</v>
      </c>
      <c r="CN762" t="str">
        <f>"KESSLER"</f>
        <v>KESSLER</v>
      </c>
      <c r="CO762" t="str">
        <f>"PAUL"</f>
        <v>PAUL</v>
      </c>
      <c r="CP762" t="str">
        <f>"F"</f>
        <v>F</v>
      </c>
      <c r="CQ762" t="str">
        <f>"STATE OF WASHINGTON OFFICE OF THE ATTORNEY GENERAL"</f>
        <v>STATE OF WASHINGTON OFFICE OF THE ATTORNEY GENERAL</v>
      </c>
      <c r="CR762" t="s">
        <v>8262</v>
      </c>
    </row>
    <row r="763" spans="1:96" x14ac:dyDescent="0.2">
      <c r="A763" t="s">
        <v>8905</v>
      </c>
      <c r="B763" t="s">
        <v>96</v>
      </c>
      <c r="C763" s="1">
        <v>44098</v>
      </c>
      <c r="D763" s="1">
        <v>44105</v>
      </c>
      <c r="F763" t="s">
        <v>97</v>
      </c>
      <c r="G763" t="str">
        <f>"Electrical Engineer 1"</f>
        <v>Electrical Engineer 1</v>
      </c>
      <c r="H763" t="s">
        <v>12179</v>
      </c>
      <c r="I763" t="s">
        <v>1357</v>
      </c>
      <c r="J763" t="s">
        <v>98</v>
      </c>
      <c r="K763" s="1">
        <v>44105</v>
      </c>
      <c r="L763" s="1">
        <v>45199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3393</v>
      </c>
      <c r="U763" t="str">
        <f>""</f>
        <v/>
      </c>
      <c r="V763" t="s">
        <v>3394</v>
      </c>
      <c r="W763" t="str">
        <f>""</f>
        <v/>
      </c>
      <c r="X763" t="s">
        <v>394</v>
      </c>
      <c r="Y763" t="s">
        <v>114</v>
      </c>
      <c r="Z763" s="3">
        <v>77072</v>
      </c>
      <c r="AA763" t="s">
        <v>101</v>
      </c>
      <c r="AC763" s="4" t="str">
        <f>"+12817218465"</f>
        <v>+12817218465</v>
      </c>
      <c r="AE763" t="str">
        <f>"23622"</f>
        <v>23622</v>
      </c>
      <c r="AF763" t="s">
        <v>2346</v>
      </c>
      <c r="AG763" t="s">
        <v>3395</v>
      </c>
      <c r="AI763" t="s">
        <v>3396</v>
      </c>
      <c r="AJ763" t="s">
        <v>3394</v>
      </c>
      <c r="AK763" t="str">
        <f>""</f>
        <v/>
      </c>
      <c r="AL763" t="s">
        <v>394</v>
      </c>
      <c r="AM763" t="s">
        <v>114</v>
      </c>
      <c r="AN763" s="3">
        <v>77072</v>
      </c>
      <c r="AO763" t="s">
        <v>101</v>
      </c>
      <c r="AQ763" t="str">
        <f>"+12817218465"</f>
        <v>+12817218465</v>
      </c>
      <c r="AS763" t="s">
        <v>3397</v>
      </c>
      <c r="AT763" t="s">
        <v>107</v>
      </c>
      <c r="AU763" t="str">
        <f>"Yoo"</f>
        <v>Yoo</v>
      </c>
      <c r="AV763" t="str">
        <f>"Ralph"</f>
        <v>Ralph</v>
      </c>
      <c r="AW763" t="str">
        <f>""</f>
        <v/>
      </c>
      <c r="AX763" t="str">
        <f>"18401 Von Karman Ave"</f>
        <v>18401 Von Karman Ave</v>
      </c>
      <c r="AY763" t="str">
        <f>"Suite 255"</f>
        <v>Suite 255</v>
      </c>
      <c r="AZ763" t="str">
        <f>"Irvine"</f>
        <v>Irvine</v>
      </c>
      <c r="BA763" t="str">
        <f>"CA"</f>
        <v>CA</v>
      </c>
      <c r="BB763" s="3">
        <v>92612</v>
      </c>
      <c r="BC763" t="str">
        <f t="shared" si="51"/>
        <v>UNITED STATES OF AMERICA</v>
      </c>
      <c r="BD763" t="str">
        <f>""</f>
        <v/>
      </c>
      <c r="BE763" t="str">
        <f>"+19492610209"</f>
        <v>+19492610209</v>
      </c>
      <c r="BF763" t="str">
        <f>""</f>
        <v/>
      </c>
      <c r="BG763" t="str">
        <f>"RalphYoo@Fragomen.com"</f>
        <v>RalphYoo@Fragomen.com</v>
      </c>
      <c r="BH763" t="str">
        <f>"Fragomen, Del Rey, Bernsen &amp; Loewy, LLP"</f>
        <v>Fragomen, Del Rey, Bernsen &amp; Loewy, LLP</v>
      </c>
      <c r="BI763" t="str">
        <f>"CA"</f>
        <v>CA</v>
      </c>
      <c r="BJ763" t="str">
        <f>"Supreme Court"</f>
        <v>Supreme Court</v>
      </c>
      <c r="BK763">
        <v>1</v>
      </c>
      <c r="BL763" t="s">
        <v>102</v>
      </c>
      <c r="BM763" t="str">
        <f>""</f>
        <v/>
      </c>
      <c r="BN763" t="s">
        <v>8906</v>
      </c>
      <c r="BP763" t="s">
        <v>8236</v>
      </c>
      <c r="BQ763" t="s">
        <v>529</v>
      </c>
      <c r="BR763" t="s">
        <v>127</v>
      </c>
      <c r="BS763" s="5">
        <v>19428</v>
      </c>
      <c r="BT763" s="2">
        <v>70782</v>
      </c>
      <c r="BV763" t="s">
        <v>105</v>
      </c>
      <c r="BW763" s="2">
        <v>70782</v>
      </c>
      <c r="BX763" t="s">
        <v>105</v>
      </c>
      <c r="BZ763" t="s">
        <v>191</v>
      </c>
      <c r="CA763" t="str">
        <f t="shared" ref="CA763:CA773" si="52">"7/1/2020 - 6/30/2021"</f>
        <v>7/1/2020 - 6/30/2021</v>
      </c>
      <c r="CF763">
        <v>2</v>
      </c>
      <c r="CG763" t="s">
        <v>98</v>
      </c>
      <c r="CH763" t="s">
        <v>206</v>
      </c>
      <c r="CI763" t="s">
        <v>206</v>
      </c>
      <c r="CL763" t="s">
        <v>108</v>
      </c>
      <c r="CM763" t="s">
        <v>109</v>
      </c>
      <c r="CN763" t="str">
        <f>"Flores"</f>
        <v>Flores</v>
      </c>
      <c r="CO763" t="str">
        <f>"Ivan"</f>
        <v>Ivan</v>
      </c>
      <c r="CP763" t="str">
        <f>""</f>
        <v/>
      </c>
      <c r="CQ763" t="str">
        <f>"Fragomen"</f>
        <v>Fragomen</v>
      </c>
      <c r="CR763" t="s">
        <v>1316</v>
      </c>
    </row>
    <row r="764" spans="1:96" x14ac:dyDescent="0.2">
      <c r="A764" t="s">
        <v>8924</v>
      </c>
      <c r="B764" t="s">
        <v>96</v>
      </c>
      <c r="C764" s="1">
        <v>44098</v>
      </c>
      <c r="D764" s="1">
        <v>44105</v>
      </c>
      <c r="F764" t="s">
        <v>97</v>
      </c>
      <c r="G764" t="str">
        <f>"Sr. Director, Platforms &amp; Solutions"</f>
        <v>Sr. Director, Platforms &amp; Solutions</v>
      </c>
      <c r="H764" t="s">
        <v>12178</v>
      </c>
      <c r="I764" t="s">
        <v>582</v>
      </c>
      <c r="J764" t="s">
        <v>98</v>
      </c>
      <c r="K764" s="1">
        <v>44151</v>
      </c>
      <c r="L764" s="1">
        <v>45245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 t="s">
        <v>8925</v>
      </c>
      <c r="U764" t="str">
        <f>""</f>
        <v/>
      </c>
      <c r="V764" t="s">
        <v>8926</v>
      </c>
      <c r="W764" t="str">
        <f>""</f>
        <v/>
      </c>
      <c r="X764" t="s">
        <v>585</v>
      </c>
      <c r="Y764" t="s">
        <v>141</v>
      </c>
      <c r="Z764" s="3">
        <v>95002</v>
      </c>
      <c r="AA764" t="s">
        <v>101</v>
      </c>
      <c r="AC764" s="4" t="str">
        <f>"+14088448560"</f>
        <v>+14088448560</v>
      </c>
      <c r="AE764" t="str">
        <f>"334413"</f>
        <v>334413</v>
      </c>
      <c r="AF764" t="s">
        <v>7811</v>
      </c>
      <c r="AG764" t="s">
        <v>1418</v>
      </c>
      <c r="AI764" t="s">
        <v>7787</v>
      </c>
      <c r="AJ764" t="s">
        <v>8926</v>
      </c>
      <c r="AK764" t="str">
        <f>""</f>
        <v/>
      </c>
      <c r="AL764" t="s">
        <v>585</v>
      </c>
      <c r="AM764" t="s">
        <v>141</v>
      </c>
      <c r="AN764" s="3">
        <v>95002</v>
      </c>
      <c r="AO764" t="s">
        <v>101</v>
      </c>
      <c r="AQ764" t="str">
        <f>"+14088448560"</f>
        <v>+14088448560</v>
      </c>
      <c r="AS764" t="s">
        <v>8927</v>
      </c>
      <c r="AT764" t="s">
        <v>107</v>
      </c>
      <c r="AU764" t="str">
        <f>"Yang"</f>
        <v>Yang</v>
      </c>
      <c r="AV764" t="str">
        <f>"Acton "</f>
        <v xml:space="preserve">Acton </v>
      </c>
      <c r="AW764" t="str">
        <f>""</f>
        <v/>
      </c>
      <c r="AX764" t="str">
        <f>"2440 Camino Ramon, Suite 115"</f>
        <v>2440 Camino Ramon, Suite 115</v>
      </c>
      <c r="AY764" t="str">
        <f>""</f>
        <v/>
      </c>
      <c r="AZ764" t="str">
        <f>"San Ramon"</f>
        <v>San Ramon</v>
      </c>
      <c r="BA764" t="str">
        <f>"CA"</f>
        <v>CA</v>
      </c>
      <c r="BB764" s="3">
        <v>94583</v>
      </c>
      <c r="BC764" t="str">
        <f t="shared" si="51"/>
        <v>UNITED STATES OF AMERICA</v>
      </c>
      <c r="BD764" t="str">
        <f>""</f>
        <v/>
      </c>
      <c r="BE764" t="str">
        <f>"+19258568471"</f>
        <v>+19258568471</v>
      </c>
      <c r="BF764" t="str">
        <f>""</f>
        <v/>
      </c>
      <c r="BG764" t="str">
        <f>"actonyang@gmail.com"</f>
        <v>actonyang@gmail.com</v>
      </c>
      <c r="BH764" t="str">
        <f>"Yang Law Firm "</f>
        <v xml:space="preserve">Yang Law Firm </v>
      </c>
      <c r="BI764" t="str">
        <f>"CA"</f>
        <v>CA</v>
      </c>
      <c r="BJ764" t="str">
        <f>"CA Supreme Court "</f>
        <v xml:space="preserve">CA Supreme Court </v>
      </c>
      <c r="BK764">
        <v>1</v>
      </c>
      <c r="BL764" t="s">
        <v>102</v>
      </c>
      <c r="BM764" t="str">
        <f>""</f>
        <v/>
      </c>
      <c r="BN764" t="s">
        <v>8928</v>
      </c>
      <c r="BP764" t="s">
        <v>765</v>
      </c>
      <c r="BQ764" t="s">
        <v>8929</v>
      </c>
      <c r="BR764" t="s">
        <v>114</v>
      </c>
      <c r="BS764" s="5">
        <v>78735</v>
      </c>
      <c r="BT764" s="2">
        <v>190000</v>
      </c>
      <c r="BV764" t="s">
        <v>105</v>
      </c>
      <c r="BW764" s="2">
        <v>159890</v>
      </c>
      <c r="BX764" t="s">
        <v>105</v>
      </c>
      <c r="BZ764" t="s">
        <v>123</v>
      </c>
      <c r="CA764" t="str">
        <f t="shared" si="52"/>
        <v>7/1/2020 - 6/30/2021</v>
      </c>
      <c r="CF764">
        <v>1</v>
      </c>
      <c r="CG764" t="s">
        <v>98</v>
      </c>
      <c r="CH764" t="s">
        <v>206</v>
      </c>
      <c r="CI764" t="s">
        <v>206</v>
      </c>
      <c r="CL764" t="s">
        <v>108</v>
      </c>
      <c r="CM764" t="s">
        <v>109</v>
      </c>
      <c r="CN764" t="str">
        <f>""</f>
        <v/>
      </c>
      <c r="CO764" t="str">
        <f>""</f>
        <v/>
      </c>
      <c r="CP764" t="str">
        <f>""</f>
        <v/>
      </c>
      <c r="CQ764" t="str">
        <f>""</f>
        <v/>
      </c>
    </row>
    <row r="765" spans="1:96" x14ac:dyDescent="0.2">
      <c r="A765" t="s">
        <v>8938</v>
      </c>
      <c r="B765" t="s">
        <v>96</v>
      </c>
      <c r="C765" s="1">
        <v>44098</v>
      </c>
      <c r="D765" s="1">
        <v>44105</v>
      </c>
      <c r="F765" t="s">
        <v>97</v>
      </c>
      <c r="G765" t="str">
        <f>"POSTDOCTORAL RESEARCH ASSOCIATE"</f>
        <v>POSTDOCTORAL RESEARCH ASSOCIATE</v>
      </c>
      <c r="H765" t="s">
        <v>12173</v>
      </c>
      <c r="I765" t="s">
        <v>917</v>
      </c>
      <c r="J765" t="s">
        <v>98</v>
      </c>
      <c r="K765" s="1">
        <v>44105</v>
      </c>
      <c r="L765" s="1">
        <v>44240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 t="s">
        <v>3820</v>
      </c>
      <c r="U765" t="str">
        <f>""</f>
        <v/>
      </c>
      <c r="V765" t="s">
        <v>8939</v>
      </c>
      <c r="W765" t="str">
        <f>""</f>
        <v/>
      </c>
      <c r="X765" t="s">
        <v>113</v>
      </c>
      <c r="Y765" t="s">
        <v>114</v>
      </c>
      <c r="Z765" s="3">
        <v>77843</v>
      </c>
      <c r="AA765" t="s">
        <v>101</v>
      </c>
      <c r="AC765" s="4" t="str">
        <f>"+19798621719"</f>
        <v>+19798621719</v>
      </c>
      <c r="AE765" t="str">
        <f>"611310"</f>
        <v>611310</v>
      </c>
      <c r="AF765" t="s">
        <v>3822</v>
      </c>
      <c r="AG765" t="s">
        <v>3823</v>
      </c>
      <c r="AH765" t="s">
        <v>108</v>
      </c>
      <c r="AI765" t="s">
        <v>3824</v>
      </c>
      <c r="AJ765" t="s">
        <v>3821</v>
      </c>
      <c r="AK765" t="str">
        <f>""</f>
        <v/>
      </c>
      <c r="AL765" t="s">
        <v>113</v>
      </c>
      <c r="AM765" t="s">
        <v>114</v>
      </c>
      <c r="AN765" s="3">
        <v>77843</v>
      </c>
      <c r="AO765" t="s">
        <v>101</v>
      </c>
      <c r="AQ765" t="str">
        <f>"+19798627455"</f>
        <v>+19798627455</v>
      </c>
      <c r="AS765" t="s">
        <v>3825</v>
      </c>
      <c r="AT765" t="s">
        <v>102</v>
      </c>
      <c r="AU765" t="str">
        <f>""</f>
        <v/>
      </c>
      <c r="AV765" t="str">
        <f>""</f>
        <v/>
      </c>
      <c r="AW765" t="str">
        <f>""</f>
        <v/>
      </c>
      <c r="AX765" t="str">
        <f>""</f>
        <v/>
      </c>
      <c r="AY765" t="str">
        <f>""</f>
        <v/>
      </c>
      <c r="AZ765" t="str">
        <f>""</f>
        <v/>
      </c>
      <c r="BA765" t="str">
        <f>""</f>
        <v/>
      </c>
      <c r="BC765" t="str">
        <f>""</f>
        <v/>
      </c>
      <c r="BD765" t="str">
        <f>""</f>
        <v/>
      </c>
      <c r="BE765" t="str">
        <f>""</f>
        <v/>
      </c>
      <c r="BF765" t="str">
        <f>""</f>
        <v/>
      </c>
      <c r="BG765" t="str">
        <f>""</f>
        <v/>
      </c>
      <c r="BH765" t="str">
        <f>""</f>
        <v/>
      </c>
      <c r="BI765" t="str">
        <f>""</f>
        <v/>
      </c>
      <c r="BJ765" t="str">
        <f>""</f>
        <v/>
      </c>
      <c r="BK765">
        <v>1</v>
      </c>
      <c r="BL765" t="s">
        <v>102</v>
      </c>
      <c r="BM765" t="str">
        <f>""</f>
        <v/>
      </c>
      <c r="BN765" t="s">
        <v>8939</v>
      </c>
      <c r="BP765" t="s">
        <v>119</v>
      </c>
      <c r="BQ765" t="s">
        <v>3702</v>
      </c>
      <c r="BR765" t="s">
        <v>114</v>
      </c>
      <c r="BS765" s="5">
        <v>77843</v>
      </c>
      <c r="BT765" s="2">
        <v>60504</v>
      </c>
      <c r="BV765" t="s">
        <v>105</v>
      </c>
      <c r="BW765" s="2">
        <v>46259</v>
      </c>
      <c r="BX765" t="s">
        <v>105</v>
      </c>
      <c r="BZ765" t="s">
        <v>191</v>
      </c>
      <c r="CA765" t="str">
        <f t="shared" si="52"/>
        <v>7/1/2020 - 6/30/2021</v>
      </c>
      <c r="CF765">
        <v>1</v>
      </c>
      <c r="CG765" t="s">
        <v>98</v>
      </c>
      <c r="CH765" t="s">
        <v>206</v>
      </c>
      <c r="CI765" t="s">
        <v>206</v>
      </c>
      <c r="CL765" t="s">
        <v>108</v>
      </c>
      <c r="CM765" t="s">
        <v>109</v>
      </c>
      <c r="CN765" t="str">
        <f>""</f>
        <v/>
      </c>
      <c r="CO765" t="str">
        <f>""</f>
        <v/>
      </c>
      <c r="CP765" t="str">
        <f>""</f>
        <v/>
      </c>
      <c r="CQ765" t="str">
        <f>""</f>
        <v/>
      </c>
    </row>
    <row r="766" spans="1:96" x14ac:dyDescent="0.2">
      <c r="A766" t="s">
        <v>8942</v>
      </c>
      <c r="B766" t="s">
        <v>96</v>
      </c>
      <c r="C766" s="1">
        <v>44098</v>
      </c>
      <c r="D766" s="1">
        <v>44105</v>
      </c>
      <c r="F766" t="s">
        <v>97</v>
      </c>
      <c r="G766" t="str">
        <f>"Software Development Engineer"</f>
        <v>Software Development Engineer</v>
      </c>
      <c r="H766" t="s">
        <v>12169</v>
      </c>
      <c r="I766" t="s">
        <v>124</v>
      </c>
      <c r="J766" t="s">
        <v>98</v>
      </c>
      <c r="K766" s="1">
        <v>44105</v>
      </c>
      <c r="L766" s="1">
        <v>45199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8943</v>
      </c>
      <c r="U766" t="str">
        <f>""</f>
        <v/>
      </c>
      <c r="V766" t="s">
        <v>8944</v>
      </c>
      <c r="W766" t="str">
        <f>""</f>
        <v/>
      </c>
      <c r="X766" t="s">
        <v>8945</v>
      </c>
      <c r="Y766" t="s">
        <v>5009</v>
      </c>
      <c r="Z766" s="3">
        <v>4106</v>
      </c>
      <c r="AA766" t="s">
        <v>101</v>
      </c>
      <c r="AB766" t="s">
        <v>5009</v>
      </c>
      <c r="AC766" s="4" t="str">
        <f>"+12075235237"</f>
        <v>+12075235237</v>
      </c>
      <c r="AE766" t="str">
        <f>"522320"</f>
        <v>522320</v>
      </c>
      <c r="AF766" t="s">
        <v>8946</v>
      </c>
      <c r="AG766" t="s">
        <v>4590</v>
      </c>
      <c r="AI766" t="s">
        <v>8947</v>
      </c>
      <c r="AJ766" t="s">
        <v>8948</v>
      </c>
      <c r="AK766" t="str">
        <f>""</f>
        <v/>
      </c>
      <c r="AL766" t="s">
        <v>2880</v>
      </c>
      <c r="AM766" t="s">
        <v>5009</v>
      </c>
      <c r="AN766" s="3">
        <v>4101</v>
      </c>
      <c r="AO766" t="s">
        <v>101</v>
      </c>
      <c r="AQ766" t="str">
        <f>"+12073182740"</f>
        <v>+12073182740</v>
      </c>
      <c r="AS766" t="s">
        <v>8949</v>
      </c>
      <c r="AT766" t="s">
        <v>107</v>
      </c>
      <c r="AU766" t="str">
        <f>"MacDonald"</f>
        <v>MacDonald</v>
      </c>
      <c r="AV766" t="str">
        <f>"Kellie"</f>
        <v>Kellie</v>
      </c>
      <c r="AW766" t="str">
        <f>""</f>
        <v/>
      </c>
      <c r="AX766" t="str">
        <f>"254 Commercial Street"</f>
        <v>254 Commercial Street</v>
      </c>
      <c r="AY766" t="str">
        <f>""</f>
        <v/>
      </c>
      <c r="AZ766" t="str">
        <f>"Portland"</f>
        <v>Portland</v>
      </c>
      <c r="BA766" t="str">
        <f>"ME"</f>
        <v>ME</v>
      </c>
      <c r="BB766" s="3">
        <v>4101</v>
      </c>
      <c r="BC766" t="str">
        <f t="shared" ref="BC766:BC774" si="53">"UNITED STATES OF AMERICA"</f>
        <v>UNITED STATES OF AMERICA</v>
      </c>
      <c r="BD766" t="str">
        <f>""</f>
        <v/>
      </c>
      <c r="BE766" t="str">
        <f>"+12077911220"</f>
        <v>+12077911220</v>
      </c>
      <c r="BF766" t="str">
        <f>""</f>
        <v/>
      </c>
      <c r="BG766" t="str">
        <f>"kmacdonald@pierceatwood.com"</f>
        <v>kmacdonald@pierceatwood.com</v>
      </c>
      <c r="BH766" t="str">
        <f>"Pierce Atwood"</f>
        <v>Pierce Atwood</v>
      </c>
      <c r="BI766" t="str">
        <f>"MA"</f>
        <v>MA</v>
      </c>
      <c r="BJ766" t="str">
        <f>"Massachusetts Supreme Judicial Court "</f>
        <v xml:space="preserve">Massachusetts Supreme Judicial Court </v>
      </c>
      <c r="BK766">
        <v>1</v>
      </c>
      <c r="BL766" t="s">
        <v>102</v>
      </c>
      <c r="BM766" t="str">
        <f>""</f>
        <v/>
      </c>
      <c r="BN766" t="s">
        <v>8950</v>
      </c>
      <c r="BP766" t="s">
        <v>2880</v>
      </c>
      <c r="BQ766" t="s">
        <v>8951</v>
      </c>
      <c r="BR766" t="s">
        <v>5009</v>
      </c>
      <c r="BS766" s="5">
        <v>4101</v>
      </c>
      <c r="BT766" s="2">
        <v>68000</v>
      </c>
      <c r="BU766" s="2">
        <v>78000</v>
      </c>
      <c r="BV766" t="s">
        <v>105</v>
      </c>
      <c r="BW766" s="2">
        <v>67891</v>
      </c>
      <c r="BX766" t="s">
        <v>105</v>
      </c>
      <c r="BZ766" t="s">
        <v>191</v>
      </c>
      <c r="CA766" t="str">
        <f t="shared" si="52"/>
        <v>7/1/2020 - 6/30/2021</v>
      </c>
      <c r="CF766">
        <v>2</v>
      </c>
      <c r="CG766" t="s">
        <v>98</v>
      </c>
      <c r="CH766" t="s">
        <v>206</v>
      </c>
      <c r="CI766" t="s">
        <v>206</v>
      </c>
      <c r="CL766" t="s">
        <v>108</v>
      </c>
      <c r="CM766" t="s">
        <v>109</v>
      </c>
      <c r="CN766" t="str">
        <f>""</f>
        <v/>
      </c>
      <c r="CO766" t="str">
        <f>""</f>
        <v/>
      </c>
      <c r="CP766" t="str">
        <f>""</f>
        <v/>
      </c>
      <c r="CQ766" t="str">
        <f>""</f>
        <v/>
      </c>
    </row>
    <row r="767" spans="1:96" x14ac:dyDescent="0.2">
      <c r="A767" t="s">
        <v>8965</v>
      </c>
      <c r="B767" t="s">
        <v>96</v>
      </c>
      <c r="C767" s="1">
        <v>44098</v>
      </c>
      <c r="D767" s="1">
        <v>44105</v>
      </c>
      <c r="F767" t="s">
        <v>97</v>
      </c>
      <c r="G767" t="str">
        <f>"Senior Associate"</f>
        <v>Senior Associate</v>
      </c>
      <c r="H767" t="s">
        <v>12169</v>
      </c>
      <c r="I767" t="s">
        <v>124</v>
      </c>
      <c r="J767" t="s">
        <v>98</v>
      </c>
      <c r="K767" s="1">
        <v>44105</v>
      </c>
      <c r="L767" s="1">
        <v>45199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6654</v>
      </c>
      <c r="U767" t="str">
        <f>""</f>
        <v/>
      </c>
      <c r="V767" t="s">
        <v>5939</v>
      </c>
      <c r="W767" t="str">
        <f>"N/A"</f>
        <v>N/A</v>
      </c>
      <c r="X767" t="s">
        <v>897</v>
      </c>
      <c r="Y767" t="s">
        <v>190</v>
      </c>
      <c r="Z767" s="3">
        <v>10010</v>
      </c>
      <c r="AA767" t="s">
        <v>101</v>
      </c>
      <c r="AC767" s="4" t="str">
        <f>"+12125767000"</f>
        <v>+12125767000</v>
      </c>
      <c r="AE767" t="str">
        <f>"524113"</f>
        <v>524113</v>
      </c>
      <c r="AF767" t="s">
        <v>6655</v>
      </c>
      <c r="AG767" t="s">
        <v>6656</v>
      </c>
      <c r="AH767" t="s">
        <v>108</v>
      </c>
      <c r="AI767" t="s">
        <v>5617</v>
      </c>
      <c r="AJ767" t="s">
        <v>5939</v>
      </c>
      <c r="AK767" t="str">
        <f>"N/A"</f>
        <v>N/A</v>
      </c>
      <c r="AL767" t="s">
        <v>189</v>
      </c>
      <c r="AM767" t="s">
        <v>190</v>
      </c>
      <c r="AN767" s="3">
        <v>10010</v>
      </c>
      <c r="AO767" t="s">
        <v>101</v>
      </c>
      <c r="AQ767" t="str">
        <f>"+12125768993"</f>
        <v>+12125768993</v>
      </c>
      <c r="AS767" t="s">
        <v>6657</v>
      </c>
      <c r="AT767" t="s">
        <v>107</v>
      </c>
      <c r="AU767" t="str">
        <f>"Batista"</f>
        <v>Batista</v>
      </c>
      <c r="AV767" t="str">
        <f>"Mia"</f>
        <v>Mia</v>
      </c>
      <c r="AW767" t="str">
        <f>"N/A"</f>
        <v>N/A</v>
      </c>
      <c r="AX767" t="str">
        <f>"620 Eighth Avenue"</f>
        <v>620 Eighth Avenue</v>
      </c>
      <c r="AY767" t="str">
        <f>"Floor 32"</f>
        <v>Floor 32</v>
      </c>
      <c r="AZ767" t="str">
        <f>"New York"</f>
        <v>New York</v>
      </c>
      <c r="BA767" t="str">
        <f>"NY"</f>
        <v>NY</v>
      </c>
      <c r="BB767" s="3">
        <v>10018</v>
      </c>
      <c r="BC767" t="str">
        <f t="shared" si="53"/>
        <v>UNITED STATES OF AMERICA</v>
      </c>
      <c r="BD767" t="str">
        <f>""</f>
        <v/>
      </c>
      <c r="BE767" t="str">
        <f>"+12122184659"</f>
        <v>+12122184659</v>
      </c>
      <c r="BF767" t="str">
        <f>""</f>
        <v/>
      </c>
      <c r="BG767" t="str">
        <f>"cmagallon@seyfarth.com"</f>
        <v>cmagallon@seyfarth.com</v>
      </c>
      <c r="BH767" t="str">
        <f>"Seyfarth Shaw LLP"</f>
        <v>Seyfarth Shaw LLP</v>
      </c>
      <c r="BI767" t="str">
        <f>"MA"</f>
        <v>MA</v>
      </c>
      <c r="BJ767" t="str">
        <f>"Supreme Judicial Court"</f>
        <v>Supreme Judicial Court</v>
      </c>
      <c r="BK767">
        <v>1</v>
      </c>
      <c r="BL767" t="s">
        <v>102</v>
      </c>
      <c r="BM767" t="str">
        <f>""</f>
        <v/>
      </c>
      <c r="BN767" t="s">
        <v>8966</v>
      </c>
      <c r="BP767" t="s">
        <v>277</v>
      </c>
      <c r="BQ767" t="s">
        <v>189</v>
      </c>
      <c r="BR767" t="s">
        <v>190</v>
      </c>
      <c r="BS767" s="5">
        <v>10010</v>
      </c>
      <c r="BT767" s="2">
        <v>100526</v>
      </c>
      <c r="BU767" s="2">
        <v>122221</v>
      </c>
      <c r="BV767" t="s">
        <v>105</v>
      </c>
      <c r="BW767" s="2">
        <v>100526</v>
      </c>
      <c r="BX767" t="s">
        <v>105</v>
      </c>
      <c r="BZ767" t="s">
        <v>167</v>
      </c>
      <c r="CA767" t="str">
        <f t="shared" si="52"/>
        <v>7/1/2020 - 6/30/2021</v>
      </c>
      <c r="CF767">
        <v>2</v>
      </c>
      <c r="CG767" t="s">
        <v>98</v>
      </c>
      <c r="CH767" t="s">
        <v>206</v>
      </c>
      <c r="CI767" t="s">
        <v>206</v>
      </c>
      <c r="CL767" t="s">
        <v>108</v>
      </c>
      <c r="CM767" t="s">
        <v>109</v>
      </c>
      <c r="CN767" t="str">
        <f>"Magallon"</f>
        <v>Magallon</v>
      </c>
      <c r="CO767" t="str">
        <f>"Cristian"</f>
        <v>Cristian</v>
      </c>
      <c r="CP767" t="str">
        <f>"R"</f>
        <v>R</v>
      </c>
      <c r="CQ767" t="str">
        <f>"Seyfarth Shaw LLP"</f>
        <v>Seyfarth Shaw LLP</v>
      </c>
      <c r="CR767" t="s">
        <v>6658</v>
      </c>
    </row>
    <row r="768" spans="1:96" x14ac:dyDescent="0.2">
      <c r="A768" t="s">
        <v>8973</v>
      </c>
      <c r="B768" t="s">
        <v>96</v>
      </c>
      <c r="C768" s="1">
        <v>44098</v>
      </c>
      <c r="D768" s="1">
        <v>44105</v>
      </c>
      <c r="F768" t="s">
        <v>97</v>
      </c>
      <c r="G768" t="str">
        <f>"Senior ServiceNow Administrator "</f>
        <v xml:space="preserve">Senior ServiceNow Administrator </v>
      </c>
      <c r="H768" t="s">
        <v>12176</v>
      </c>
      <c r="I768" t="s">
        <v>246</v>
      </c>
      <c r="J768" t="s">
        <v>206</v>
      </c>
      <c r="K768" s="1">
        <v>44105</v>
      </c>
      <c r="L768" s="1">
        <v>45199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3795</v>
      </c>
      <c r="U768" t="str">
        <f>""</f>
        <v/>
      </c>
      <c r="V768" t="s">
        <v>3796</v>
      </c>
      <c r="W768" t="str">
        <f>""</f>
        <v/>
      </c>
      <c r="X768" t="s">
        <v>958</v>
      </c>
      <c r="Y768" t="s">
        <v>135</v>
      </c>
      <c r="Z768" s="3">
        <v>22102</v>
      </c>
      <c r="AA768" t="s">
        <v>101</v>
      </c>
      <c r="AC768" s="4" t="str">
        <f>"+17038831000"</f>
        <v>+17038831000</v>
      </c>
      <c r="AE768" t="str">
        <f>"72111"</f>
        <v>72111</v>
      </c>
      <c r="AF768" t="s">
        <v>3797</v>
      </c>
      <c r="AG768" t="s">
        <v>194</v>
      </c>
      <c r="AI768" t="s">
        <v>3798</v>
      </c>
      <c r="AJ768" t="s">
        <v>3796</v>
      </c>
      <c r="AK768" t="str">
        <f>""</f>
        <v/>
      </c>
      <c r="AL768" t="s">
        <v>958</v>
      </c>
      <c r="AM768" t="s">
        <v>135</v>
      </c>
      <c r="AN768" s="3">
        <v>22102</v>
      </c>
      <c r="AO768" t="s">
        <v>101</v>
      </c>
      <c r="AQ768" t="str">
        <f>"+17038831000"</f>
        <v>+17038831000</v>
      </c>
      <c r="AS768" t="s">
        <v>3799</v>
      </c>
      <c r="AT768" t="s">
        <v>107</v>
      </c>
      <c r="AU768" t="str">
        <f>"Fu"</f>
        <v>Fu</v>
      </c>
      <c r="AV768" t="str">
        <f>"Minnie"</f>
        <v>Minnie</v>
      </c>
      <c r="AW768" t="str">
        <f>""</f>
        <v/>
      </c>
      <c r="AX768" t="str">
        <f>"10701 Parkridge Blvd."</f>
        <v>10701 Parkridge Blvd.</v>
      </c>
      <c r="AY768" t="str">
        <f>"Ste. 300"</f>
        <v>Ste. 300</v>
      </c>
      <c r="AZ768" t="str">
        <f>"Reston"</f>
        <v>Reston</v>
      </c>
      <c r="BA768" t="str">
        <f>"VA"</f>
        <v>VA</v>
      </c>
      <c r="BB768" s="3">
        <v>20191</v>
      </c>
      <c r="BC768" t="str">
        <f t="shared" si="53"/>
        <v>UNITED STATES OF AMERICA</v>
      </c>
      <c r="BD768" t="str">
        <f>""</f>
        <v/>
      </c>
      <c r="BE768" t="str">
        <f>"+17034838300"</f>
        <v>+17034838300</v>
      </c>
      <c r="BF768" t="str">
        <f>"8311"</f>
        <v>8311</v>
      </c>
      <c r="BG768" t="str">
        <f>"Minnie.Fu@jacksonlewis.com"</f>
        <v>Minnie.Fu@jacksonlewis.com</v>
      </c>
      <c r="BH768" t="str">
        <f>"Jackson Lewis P.C."</f>
        <v>Jackson Lewis P.C.</v>
      </c>
      <c r="BI768" t="str">
        <f>"DC"</f>
        <v>DC</v>
      </c>
      <c r="BJ768" t="str">
        <f>"Court of Appeals"</f>
        <v>Court of Appeals</v>
      </c>
      <c r="BK768">
        <v>1</v>
      </c>
      <c r="BL768" t="s">
        <v>102</v>
      </c>
      <c r="BM768" t="str">
        <f>""</f>
        <v/>
      </c>
      <c r="BN768" t="s">
        <v>8974</v>
      </c>
      <c r="BP768" t="s">
        <v>958</v>
      </c>
      <c r="BQ768" t="s">
        <v>454</v>
      </c>
      <c r="BR768" t="s">
        <v>135</v>
      </c>
      <c r="BS768" s="5">
        <v>22102</v>
      </c>
      <c r="BT768" s="2">
        <v>46.83</v>
      </c>
      <c r="BV768" t="s">
        <v>210</v>
      </c>
      <c r="BW768" s="2">
        <v>46.83</v>
      </c>
      <c r="BX768" t="s">
        <v>210</v>
      </c>
      <c r="BZ768" t="s">
        <v>167</v>
      </c>
      <c r="CA768" t="str">
        <f t="shared" si="52"/>
        <v>7/1/2020 - 6/30/2021</v>
      </c>
      <c r="CF768">
        <v>2</v>
      </c>
      <c r="CG768" t="s">
        <v>98</v>
      </c>
      <c r="CH768" t="s">
        <v>206</v>
      </c>
      <c r="CI768" t="s">
        <v>206</v>
      </c>
      <c r="CL768" t="s">
        <v>108</v>
      </c>
      <c r="CM768" t="s">
        <v>109</v>
      </c>
      <c r="CN768" t="str">
        <f>""</f>
        <v/>
      </c>
      <c r="CO768" t="str">
        <f>""</f>
        <v/>
      </c>
      <c r="CP768" t="str">
        <f>""</f>
        <v/>
      </c>
      <c r="CQ768" t="str">
        <f>""</f>
        <v/>
      </c>
    </row>
    <row r="769" spans="1:96" x14ac:dyDescent="0.2">
      <c r="A769" t="s">
        <v>8989</v>
      </c>
      <c r="B769" t="s">
        <v>96</v>
      </c>
      <c r="C769" s="1">
        <v>44098</v>
      </c>
      <c r="D769" s="1">
        <v>44105</v>
      </c>
      <c r="F769" t="s">
        <v>97</v>
      </c>
      <c r="G769" t="str">
        <f>"Health Systems Manager"</f>
        <v>Health Systems Manager</v>
      </c>
      <c r="H769" t="s">
        <v>12180</v>
      </c>
      <c r="I769" t="s">
        <v>1291</v>
      </c>
      <c r="J769" t="s">
        <v>98</v>
      </c>
      <c r="K769" s="1">
        <v>44200</v>
      </c>
      <c r="L769" s="1">
        <v>45294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2562</v>
      </c>
      <c r="U769" t="str">
        <f>"Massachusetts General Hospital"</f>
        <v>Massachusetts General Hospital</v>
      </c>
      <c r="V769" t="s">
        <v>8494</v>
      </c>
      <c r="W769" t="str">
        <f>""</f>
        <v/>
      </c>
      <c r="X769" t="s">
        <v>207</v>
      </c>
      <c r="Y769" t="s">
        <v>171</v>
      </c>
      <c r="Z769" s="3">
        <v>2114</v>
      </c>
      <c r="AA769" t="s">
        <v>101</v>
      </c>
      <c r="AC769" s="4" t="str">
        <f>"+16177262000"</f>
        <v>+16177262000</v>
      </c>
      <c r="AE769" t="str">
        <f>"622110"</f>
        <v>622110</v>
      </c>
      <c r="AF769" t="s">
        <v>2563</v>
      </c>
      <c r="AG769" t="s">
        <v>2564</v>
      </c>
      <c r="AI769" t="s">
        <v>8771</v>
      </c>
      <c r="AJ769" t="s">
        <v>5702</v>
      </c>
      <c r="AK769" t="str">
        <f>"Suite 270"</f>
        <v>Suite 270</v>
      </c>
      <c r="AL769" t="s">
        <v>5055</v>
      </c>
      <c r="AM769" t="s">
        <v>171</v>
      </c>
      <c r="AN769" s="3">
        <v>2145</v>
      </c>
      <c r="AO769" t="s">
        <v>101</v>
      </c>
      <c r="AQ769" t="str">
        <f>"+18572822421"</f>
        <v>+18572822421</v>
      </c>
      <c r="AS769" t="s">
        <v>2565</v>
      </c>
      <c r="AT769" t="s">
        <v>107</v>
      </c>
      <c r="AU769" t="str">
        <f>"Snyder"</f>
        <v>Snyder</v>
      </c>
      <c r="AV769" t="str">
        <f>"Heidi"</f>
        <v>Heidi</v>
      </c>
      <c r="AW769" t="str">
        <f>"L"</f>
        <v>L</v>
      </c>
      <c r="AX769" t="str">
        <f>"50 Congress Street"</f>
        <v>50 Congress Street</v>
      </c>
      <c r="AY769" t="str">
        <f>"Suite 200"</f>
        <v>Suite 200</v>
      </c>
      <c r="AZ769" t="str">
        <f>"Boston"</f>
        <v>Boston</v>
      </c>
      <c r="BA769" t="str">
        <f>"MA"</f>
        <v>MA</v>
      </c>
      <c r="BB769" s="3">
        <v>2109</v>
      </c>
      <c r="BC769" t="str">
        <f t="shared" si="53"/>
        <v>UNITED STATES OF AMERICA</v>
      </c>
      <c r="BD769" t="str">
        <f>""</f>
        <v/>
      </c>
      <c r="BE769" t="str">
        <f>"+16175425111"</f>
        <v>+16175425111</v>
      </c>
      <c r="BF769" t="str">
        <f>""</f>
        <v/>
      </c>
      <c r="BG769" t="str">
        <f>"hsnyder@rsstlawgroup.com"</f>
        <v>hsnyder@rsstlawgroup.com</v>
      </c>
      <c r="BH769" t="str">
        <f>"Ross Silverman Snyder Tietjen LLP"</f>
        <v>Ross Silverman Snyder Tietjen LLP</v>
      </c>
      <c r="BI769" t="str">
        <f>"MA"</f>
        <v>MA</v>
      </c>
      <c r="BJ769" t="str">
        <f>"Supreme Judicial Court"</f>
        <v>Supreme Judicial Court</v>
      </c>
      <c r="BK769">
        <v>1</v>
      </c>
      <c r="BL769" t="s">
        <v>102</v>
      </c>
      <c r="BM769" t="str">
        <f>""</f>
        <v/>
      </c>
      <c r="BN769" t="s">
        <v>8772</v>
      </c>
      <c r="BP769" t="s">
        <v>207</v>
      </c>
      <c r="BQ769" t="s">
        <v>209</v>
      </c>
      <c r="BR769" t="s">
        <v>171</v>
      </c>
      <c r="BS769" s="5">
        <v>2114</v>
      </c>
      <c r="BT769" s="2">
        <v>62774</v>
      </c>
      <c r="BU769" s="2">
        <v>65000</v>
      </c>
      <c r="BV769" t="s">
        <v>105</v>
      </c>
      <c r="BW769" s="2">
        <v>62774</v>
      </c>
      <c r="BX769" t="s">
        <v>105</v>
      </c>
      <c r="BZ769" t="s">
        <v>191</v>
      </c>
      <c r="CA769" t="str">
        <f t="shared" si="52"/>
        <v>7/1/2020 - 6/30/2021</v>
      </c>
      <c r="CF769">
        <v>1</v>
      </c>
      <c r="CG769" t="s">
        <v>98</v>
      </c>
      <c r="CH769" t="s">
        <v>206</v>
      </c>
      <c r="CI769" t="s">
        <v>206</v>
      </c>
      <c r="CL769" t="s">
        <v>108</v>
      </c>
      <c r="CM769" t="s">
        <v>109</v>
      </c>
      <c r="CN769" t="str">
        <f>""</f>
        <v/>
      </c>
      <c r="CO769" t="str">
        <f>""</f>
        <v/>
      </c>
      <c r="CP769" t="str">
        <f>""</f>
        <v/>
      </c>
      <c r="CQ769" t="str">
        <f>""</f>
        <v/>
      </c>
    </row>
    <row r="770" spans="1:96" x14ac:dyDescent="0.2">
      <c r="A770" t="s">
        <v>8994</v>
      </c>
      <c r="B770" t="s">
        <v>96</v>
      </c>
      <c r="C770" s="1">
        <v>44098</v>
      </c>
      <c r="D770" s="1">
        <v>44105</v>
      </c>
      <c r="F770" t="s">
        <v>97</v>
      </c>
      <c r="G770" t="str">
        <f>"Data Analyst"</f>
        <v>Data Analyst</v>
      </c>
      <c r="H770" t="s">
        <v>12174</v>
      </c>
      <c r="I770" t="s">
        <v>1795</v>
      </c>
      <c r="J770" t="s">
        <v>98</v>
      </c>
      <c r="K770" s="1">
        <v>44116</v>
      </c>
      <c r="L770" s="1">
        <v>45210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 t="s">
        <v>4848</v>
      </c>
      <c r="U770" t="str">
        <f>""</f>
        <v/>
      </c>
      <c r="V770" t="s">
        <v>4849</v>
      </c>
      <c r="W770" t="str">
        <f>"MC: 482-C32-C66"</f>
        <v>MC: 482-C32-C66</v>
      </c>
      <c r="X770" t="s">
        <v>528</v>
      </c>
      <c r="Y770" t="s">
        <v>265</v>
      </c>
      <c r="Z770" s="3" t="s">
        <v>12296</v>
      </c>
      <c r="AA770" t="s">
        <v>101</v>
      </c>
      <c r="AC770" s="4" t="str">
        <f>"+13135700122"</f>
        <v>+13135700122</v>
      </c>
      <c r="AE770" t="str">
        <f>"3361"</f>
        <v>3361</v>
      </c>
      <c r="AF770" t="s">
        <v>4850</v>
      </c>
      <c r="AG770" t="s">
        <v>1182</v>
      </c>
      <c r="AI770" t="s">
        <v>254</v>
      </c>
      <c r="AJ770" t="s">
        <v>4851</v>
      </c>
      <c r="AK770" t="str">
        <f>"MC: 482-C32-C66"</f>
        <v>MC: 482-C32-C66</v>
      </c>
      <c r="AL770" t="s">
        <v>1682</v>
      </c>
      <c r="AM770" t="s">
        <v>265</v>
      </c>
      <c r="AN770" s="3" t="s">
        <v>12296</v>
      </c>
      <c r="AO770" t="s">
        <v>101</v>
      </c>
      <c r="AQ770" t="str">
        <f>"+13135700122"</f>
        <v>+13135700122</v>
      </c>
      <c r="AS770" t="s">
        <v>4852</v>
      </c>
      <c r="AT770" t="s">
        <v>107</v>
      </c>
      <c r="AU770" t="str">
        <f>"Roby"</f>
        <v>Roby</v>
      </c>
      <c r="AV770" t="str">
        <f>"Anthony"</f>
        <v>Anthony</v>
      </c>
      <c r="AW770" t="str">
        <f>"Michael"</f>
        <v>Michael</v>
      </c>
      <c r="AX770" t="str">
        <f>"566 Ann Street"</f>
        <v>566 Ann Street</v>
      </c>
      <c r="AY770" t="str">
        <f>""</f>
        <v/>
      </c>
      <c r="AZ770" t="str">
        <f>"Birmingham "</f>
        <v xml:space="preserve">Birmingham </v>
      </c>
      <c r="BA770" t="str">
        <f>"MI"</f>
        <v>MI</v>
      </c>
      <c r="BB770" s="3" t="s">
        <v>12307</v>
      </c>
      <c r="BC770" t="str">
        <f t="shared" si="53"/>
        <v>UNITED STATES OF AMERICA</v>
      </c>
      <c r="BD770" t="str">
        <f>""</f>
        <v/>
      </c>
      <c r="BE770" t="str">
        <f>"+12485548500"</f>
        <v>+12485548500</v>
      </c>
      <c r="BF770" t="str">
        <f>""</f>
        <v/>
      </c>
      <c r="BG770" t="str">
        <f>"anthony.roby@robylaw.com"</f>
        <v>anthony.roby@robylaw.com</v>
      </c>
      <c r="BH770" t="str">
        <f>"Roby Law Associates, PLLC"</f>
        <v>Roby Law Associates, PLLC</v>
      </c>
      <c r="BI770" t="str">
        <f>"MI"</f>
        <v>MI</v>
      </c>
      <c r="BJ770" t="str">
        <f>"U.S. Supreme Courts"</f>
        <v>U.S. Supreme Courts</v>
      </c>
      <c r="BK770">
        <v>1</v>
      </c>
      <c r="BL770" t="s">
        <v>102</v>
      </c>
      <c r="BM770" t="str">
        <f>""</f>
        <v/>
      </c>
      <c r="BN770" t="s">
        <v>4851</v>
      </c>
      <c r="BP770" t="s">
        <v>1682</v>
      </c>
      <c r="BQ770" t="s">
        <v>533</v>
      </c>
      <c r="BR770" t="s">
        <v>265</v>
      </c>
      <c r="BS770" s="5">
        <v>48243</v>
      </c>
      <c r="BT770" s="2">
        <v>106704</v>
      </c>
      <c r="BV770" t="s">
        <v>105</v>
      </c>
      <c r="BW770" s="2">
        <v>88733</v>
      </c>
      <c r="BX770" t="s">
        <v>105</v>
      </c>
      <c r="BZ770" t="s">
        <v>159</v>
      </c>
      <c r="CA770" t="str">
        <f t="shared" si="52"/>
        <v>7/1/2020 - 6/30/2021</v>
      </c>
      <c r="CF770">
        <v>2</v>
      </c>
      <c r="CG770" t="s">
        <v>98</v>
      </c>
      <c r="CH770" t="s">
        <v>206</v>
      </c>
      <c r="CI770" t="s">
        <v>206</v>
      </c>
      <c r="CL770" t="s">
        <v>108</v>
      </c>
      <c r="CM770" t="s">
        <v>109</v>
      </c>
      <c r="CN770" t="str">
        <f>""</f>
        <v/>
      </c>
      <c r="CO770" t="str">
        <f>""</f>
        <v/>
      </c>
      <c r="CP770" t="str">
        <f>""</f>
        <v/>
      </c>
      <c r="CQ770" t="str">
        <f>""</f>
        <v/>
      </c>
    </row>
    <row r="771" spans="1:96" x14ac:dyDescent="0.2">
      <c r="A771" t="s">
        <v>8999</v>
      </c>
      <c r="B771" t="s">
        <v>96</v>
      </c>
      <c r="C771" s="1">
        <v>44098</v>
      </c>
      <c r="D771" s="1">
        <v>44105</v>
      </c>
      <c r="F771" t="s">
        <v>97</v>
      </c>
      <c r="G771" t="str">
        <f>"Senior Software Engineer"</f>
        <v>Senior Software Engineer</v>
      </c>
      <c r="H771" t="s">
        <v>12176</v>
      </c>
      <c r="I771" t="s">
        <v>246</v>
      </c>
      <c r="J771" t="s">
        <v>98</v>
      </c>
      <c r="K771" s="1">
        <v>44273</v>
      </c>
      <c r="L771" s="1">
        <v>45368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 t="s">
        <v>2009</v>
      </c>
      <c r="U771" t="str">
        <f>""</f>
        <v/>
      </c>
      <c r="V771" t="s">
        <v>2010</v>
      </c>
      <c r="W771" t="str">
        <f>""</f>
        <v/>
      </c>
      <c r="X771" t="s">
        <v>585</v>
      </c>
      <c r="Y771" t="s">
        <v>141</v>
      </c>
      <c r="Z771" s="3">
        <v>95124</v>
      </c>
      <c r="AA771" t="s">
        <v>101</v>
      </c>
      <c r="AC771" s="4" t="str">
        <f>"+14085597778"</f>
        <v>+14085597778</v>
      </c>
      <c r="AE771" t="str">
        <f>"334413"</f>
        <v>334413</v>
      </c>
      <c r="AF771" t="s">
        <v>2011</v>
      </c>
      <c r="AG771" t="s">
        <v>2012</v>
      </c>
      <c r="AI771" t="s">
        <v>2013</v>
      </c>
      <c r="AJ771" t="s">
        <v>2010</v>
      </c>
      <c r="AK771" t="str">
        <f>""</f>
        <v/>
      </c>
      <c r="AL771" t="s">
        <v>585</v>
      </c>
      <c r="AM771" t="s">
        <v>141</v>
      </c>
      <c r="AN771" s="3">
        <v>95124</v>
      </c>
      <c r="AO771" t="s">
        <v>101</v>
      </c>
      <c r="AQ771" t="str">
        <f>"+14085597778"</f>
        <v>+14085597778</v>
      </c>
      <c r="AS771" t="s">
        <v>2014</v>
      </c>
      <c r="AT771" t="s">
        <v>107</v>
      </c>
      <c r="AU771" t="str">
        <f>"Plotkin"</f>
        <v>Plotkin</v>
      </c>
      <c r="AV771" t="str">
        <f>"Norman"</f>
        <v>Norman</v>
      </c>
      <c r="AW771" t="str">
        <f>"C."</f>
        <v>C.</v>
      </c>
      <c r="AX771" t="str">
        <f>"909 Montgomery St"</f>
        <v>909 Montgomery St</v>
      </c>
      <c r="AY771" t="str">
        <f>"Suite 200"</f>
        <v>Suite 200</v>
      </c>
      <c r="AZ771" t="str">
        <f>"San Francisco"</f>
        <v>San Francisco</v>
      </c>
      <c r="BA771" t="str">
        <f>"CA"</f>
        <v>CA</v>
      </c>
      <c r="BB771" s="3">
        <v>94133</v>
      </c>
      <c r="BC771" t="str">
        <f t="shared" si="53"/>
        <v>UNITED STATES OF AMERICA</v>
      </c>
      <c r="BD771" t="str">
        <f>"CA"</f>
        <v>CA</v>
      </c>
      <c r="BE771" t="str">
        <f>"+14159864559"</f>
        <v>+14159864559</v>
      </c>
      <c r="BF771" t="str">
        <f>""</f>
        <v/>
      </c>
      <c r="BG771" t="str">
        <f>"nplotkin@jackson-hertogs.com"</f>
        <v>nplotkin@jackson-hertogs.com</v>
      </c>
      <c r="BH771" t="str">
        <f>"Jackson &amp; Hertogs LLP"</f>
        <v>Jackson &amp; Hertogs LLP</v>
      </c>
      <c r="BI771" t="str">
        <f>"LA"</f>
        <v>LA</v>
      </c>
      <c r="BJ771" t="str">
        <f>"Louisiana Supreme Court"</f>
        <v>Louisiana Supreme Court</v>
      </c>
      <c r="BK771">
        <v>1</v>
      </c>
      <c r="BL771" t="s">
        <v>102</v>
      </c>
      <c r="BM771" t="str">
        <f>""</f>
        <v/>
      </c>
      <c r="BN771" t="s">
        <v>2010</v>
      </c>
      <c r="BP771" t="s">
        <v>585</v>
      </c>
      <c r="BQ771" t="s">
        <v>230</v>
      </c>
      <c r="BR771" t="s">
        <v>141</v>
      </c>
      <c r="BS771" s="5">
        <v>95124</v>
      </c>
      <c r="BT771" s="2">
        <v>120578</v>
      </c>
      <c r="BU771" s="2">
        <v>160873</v>
      </c>
      <c r="BV771" t="s">
        <v>105</v>
      </c>
      <c r="BW771" s="2">
        <v>120578</v>
      </c>
      <c r="BX771" t="s">
        <v>105</v>
      </c>
      <c r="BZ771" t="s">
        <v>167</v>
      </c>
      <c r="CA771" t="str">
        <f t="shared" si="52"/>
        <v>7/1/2020 - 6/30/2021</v>
      </c>
      <c r="CF771">
        <v>1</v>
      </c>
      <c r="CG771" t="s">
        <v>98</v>
      </c>
      <c r="CH771" t="s">
        <v>206</v>
      </c>
      <c r="CI771" t="s">
        <v>206</v>
      </c>
      <c r="CL771" t="s">
        <v>108</v>
      </c>
      <c r="CM771" t="s">
        <v>109</v>
      </c>
      <c r="CN771" t="str">
        <f>"Cervantes 81706"</f>
        <v>Cervantes 81706</v>
      </c>
      <c r="CO771" t="str">
        <f>"Peter"</f>
        <v>Peter</v>
      </c>
      <c r="CP771" t="str">
        <f>"B"</f>
        <v>B</v>
      </c>
      <c r="CQ771" t="str">
        <f>"Jackson &amp; Hertogs"</f>
        <v>Jackson &amp; Hertogs</v>
      </c>
      <c r="CR771" t="s">
        <v>5528</v>
      </c>
    </row>
    <row r="772" spans="1:96" x14ac:dyDescent="0.2">
      <c r="A772" t="s">
        <v>9010</v>
      </c>
      <c r="B772" t="s">
        <v>96</v>
      </c>
      <c r="C772" s="1">
        <v>44098</v>
      </c>
      <c r="D772" s="1">
        <v>44105</v>
      </c>
      <c r="F772" t="s">
        <v>97</v>
      </c>
      <c r="G772" t="str">
        <f>"Sr Data Engineer (20012.1266.3)"</f>
        <v>Sr Data Engineer (20012.1266.3)</v>
      </c>
      <c r="H772" t="s">
        <v>12169</v>
      </c>
      <c r="I772" t="s">
        <v>124</v>
      </c>
      <c r="J772" t="s">
        <v>98</v>
      </c>
      <c r="K772" s="1">
        <v>44278</v>
      </c>
      <c r="L772" s="1">
        <v>45373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 t="s">
        <v>2671</v>
      </c>
      <c r="U772" t="str">
        <f>""</f>
        <v/>
      </c>
      <c r="V772" t="s">
        <v>2672</v>
      </c>
      <c r="W772" t="str">
        <f>""</f>
        <v/>
      </c>
      <c r="X772" t="s">
        <v>3134</v>
      </c>
      <c r="Y772" t="s">
        <v>186</v>
      </c>
      <c r="Z772" s="3">
        <v>55344</v>
      </c>
      <c r="AA772" t="s">
        <v>101</v>
      </c>
      <c r="AB772" t="s">
        <v>2674</v>
      </c>
      <c r="AC772" s="4" t="str">
        <f>"+19529361616"</f>
        <v>+19529361616</v>
      </c>
      <c r="AE772" t="str">
        <f>"541512"</f>
        <v>541512</v>
      </c>
      <c r="AF772" t="s">
        <v>2675</v>
      </c>
      <c r="AG772" t="s">
        <v>2676</v>
      </c>
      <c r="AI772" t="s">
        <v>2677</v>
      </c>
      <c r="AJ772" t="s">
        <v>2678</v>
      </c>
      <c r="AK772" t="str">
        <f>""</f>
        <v/>
      </c>
      <c r="AL772" t="s">
        <v>2679</v>
      </c>
      <c r="AM772" t="s">
        <v>186</v>
      </c>
      <c r="AN772" s="3">
        <v>55343</v>
      </c>
      <c r="AO772" t="s">
        <v>101</v>
      </c>
      <c r="AQ772" t="str">
        <f>"+19529361616"</f>
        <v>+19529361616</v>
      </c>
      <c r="AS772" t="s">
        <v>2680</v>
      </c>
      <c r="AT772" t="s">
        <v>107</v>
      </c>
      <c r="AU772" t="str">
        <f>"BARNES"</f>
        <v>BARNES</v>
      </c>
      <c r="AV772" t="str">
        <f>"INGRID"</f>
        <v>INGRID</v>
      </c>
      <c r="AW772" t="str">
        <f>"KESSINGER"</f>
        <v>KESSINGER</v>
      </c>
      <c r="AX772" t="str">
        <f>"2400 GLENVILLE DRIVE"</f>
        <v>2400 GLENVILLE DRIVE</v>
      </c>
      <c r="AY772" t="str">
        <f>"BLDG A, STE 100"</f>
        <v>BLDG A, STE 100</v>
      </c>
      <c r="AZ772" t="str">
        <f>"RICHARDSON"</f>
        <v>RICHARDSON</v>
      </c>
      <c r="BA772" t="str">
        <f>"TX"</f>
        <v>TX</v>
      </c>
      <c r="BB772" s="3">
        <v>75082</v>
      </c>
      <c r="BC772" t="str">
        <f t="shared" si="53"/>
        <v>UNITED STATES OF AMERICA</v>
      </c>
      <c r="BD772" t="str">
        <f>""</f>
        <v/>
      </c>
      <c r="BE772" t="str">
        <f>"+14698728597"</f>
        <v>+14698728597</v>
      </c>
      <c r="BF772" t="str">
        <f>""</f>
        <v/>
      </c>
      <c r="BG772" t="str">
        <f>"RMEDINARIOS@BALGLOBAL.COM"</f>
        <v>RMEDINARIOS@BALGLOBAL.COM</v>
      </c>
      <c r="BH772" t="str">
        <f>"BERRY APPLEMAN &amp; LEIDEN LLP"</f>
        <v>BERRY APPLEMAN &amp; LEIDEN LLP</v>
      </c>
      <c r="BI772" t="str">
        <f>"TX"</f>
        <v>TX</v>
      </c>
      <c r="BJ772" t="str">
        <f>"SUPREME COURT OF TEXAS"</f>
        <v>SUPREME COURT OF TEXAS</v>
      </c>
      <c r="BK772">
        <v>1</v>
      </c>
      <c r="BL772" t="s">
        <v>102</v>
      </c>
      <c r="BM772" t="str">
        <f>""</f>
        <v/>
      </c>
      <c r="BN772" t="s">
        <v>9011</v>
      </c>
      <c r="BO772" t="s">
        <v>9012</v>
      </c>
      <c r="BP772" t="s">
        <v>213</v>
      </c>
      <c r="BQ772" t="s">
        <v>1121</v>
      </c>
      <c r="BR772" t="s">
        <v>215</v>
      </c>
      <c r="BS772" s="5">
        <v>30342</v>
      </c>
      <c r="BT772" s="2">
        <v>103501</v>
      </c>
      <c r="BU772" s="2">
        <v>132993</v>
      </c>
      <c r="BV772" t="s">
        <v>105</v>
      </c>
      <c r="BW772" s="2">
        <v>103501</v>
      </c>
      <c r="BX772" t="s">
        <v>105</v>
      </c>
      <c r="BZ772" t="s">
        <v>123</v>
      </c>
      <c r="CA772" t="str">
        <f t="shared" si="52"/>
        <v>7/1/2020 - 6/30/2021</v>
      </c>
      <c r="CF772">
        <v>2</v>
      </c>
      <c r="CG772" t="s">
        <v>98</v>
      </c>
      <c r="CH772" t="s">
        <v>206</v>
      </c>
      <c r="CI772" t="s">
        <v>206</v>
      </c>
      <c r="CL772" t="s">
        <v>108</v>
      </c>
      <c r="CM772" t="s">
        <v>109</v>
      </c>
      <c r="CN772" t="str">
        <f>"Medina-Rios"</f>
        <v>Medina-Rios</v>
      </c>
      <c r="CO772" t="str">
        <f>"Rachel"</f>
        <v>Rachel</v>
      </c>
      <c r="CP772" t="str">
        <f>""</f>
        <v/>
      </c>
      <c r="CQ772" t="str">
        <f>"Berry Appleman &amp; Leiden LLP"</f>
        <v>Berry Appleman &amp; Leiden LLP</v>
      </c>
      <c r="CR772" t="s">
        <v>5476</v>
      </c>
    </row>
    <row r="773" spans="1:96" x14ac:dyDescent="0.2">
      <c r="A773" t="s">
        <v>9050</v>
      </c>
      <c r="B773" t="s">
        <v>96</v>
      </c>
      <c r="C773" s="1">
        <v>44098</v>
      </c>
      <c r="D773" s="1">
        <v>44105</v>
      </c>
      <c r="F773" t="s">
        <v>97</v>
      </c>
      <c r="G773" t="str">
        <f>"Advisor, Business Analytics"</f>
        <v>Advisor, Business Analytics</v>
      </c>
      <c r="H773" t="s">
        <v>12168</v>
      </c>
      <c r="I773" t="s">
        <v>249</v>
      </c>
      <c r="J773" t="s">
        <v>98</v>
      </c>
      <c r="K773" s="1">
        <v>44200</v>
      </c>
      <c r="L773" s="1">
        <v>45294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 t="s">
        <v>4594</v>
      </c>
      <c r="U773" t="str">
        <f>""</f>
        <v/>
      </c>
      <c r="V773" t="s">
        <v>2202</v>
      </c>
      <c r="W773" t="str">
        <f>"Mail Code HR695"</f>
        <v>Mail Code HR695</v>
      </c>
      <c r="X773" t="s">
        <v>984</v>
      </c>
      <c r="Y773" t="s">
        <v>857</v>
      </c>
      <c r="Z773" s="3">
        <v>2865</v>
      </c>
      <c r="AA773" t="s">
        <v>101</v>
      </c>
      <c r="AC773" s="4" t="str">
        <f>"+14017703511"</f>
        <v>+14017703511</v>
      </c>
      <c r="AE773" t="str">
        <f>"424210"</f>
        <v>424210</v>
      </c>
      <c r="AF773" t="s">
        <v>2203</v>
      </c>
      <c r="AG773" t="s">
        <v>1136</v>
      </c>
      <c r="AI773" t="s">
        <v>2204</v>
      </c>
      <c r="AJ773" t="s">
        <v>2202</v>
      </c>
      <c r="AK773" t="str">
        <f>"Mail Code HR695"</f>
        <v>Mail Code HR695</v>
      </c>
      <c r="AL773" t="s">
        <v>984</v>
      </c>
      <c r="AM773" t="s">
        <v>857</v>
      </c>
      <c r="AN773" s="3">
        <v>2865</v>
      </c>
      <c r="AO773" t="s">
        <v>101</v>
      </c>
      <c r="AQ773" t="str">
        <f>"+14017701621"</f>
        <v>+14017701621</v>
      </c>
      <c r="AS773" t="s">
        <v>4595</v>
      </c>
      <c r="AT773" t="s">
        <v>107</v>
      </c>
      <c r="AU773" t="str">
        <f>"SCHECHTER"</f>
        <v>SCHECHTER</v>
      </c>
      <c r="AV773" t="str">
        <f>"REBECCA"</f>
        <v>REBECCA</v>
      </c>
      <c r="AW773" t="str">
        <f>"B"</f>
        <v>B</v>
      </c>
      <c r="AX773" t="str">
        <f>"1750 TYSONS BLVD"</f>
        <v>1750 TYSONS BLVD</v>
      </c>
      <c r="AY773" t="str">
        <f>"#1000"</f>
        <v>#1000</v>
      </c>
      <c r="AZ773" t="str">
        <f>"MCLEAN"</f>
        <v>MCLEAN</v>
      </c>
      <c r="BA773" t="str">
        <f>"VA"</f>
        <v>VA</v>
      </c>
      <c r="BB773" s="3">
        <v>22102</v>
      </c>
      <c r="BC773" t="str">
        <f t="shared" si="53"/>
        <v>UNITED STATES OF AMERICA</v>
      </c>
      <c r="BD773" t="str">
        <f>""</f>
        <v/>
      </c>
      <c r="BE773" t="str">
        <f>"+17039037578"</f>
        <v>+17039037578</v>
      </c>
      <c r="BF773" t="str">
        <f>""</f>
        <v/>
      </c>
      <c r="BG773" t="str">
        <f>"SCHECHTERR@GTLAW.COM"</f>
        <v>SCHECHTERR@GTLAW.COM</v>
      </c>
      <c r="BH773" t="str">
        <f>"GREENBERG TRAURIG LLP"</f>
        <v>GREENBERG TRAURIG LLP</v>
      </c>
      <c r="BI773" t="str">
        <f>"MD"</f>
        <v>MD</v>
      </c>
      <c r="BJ773" t="str">
        <f>"Court of Appeals"</f>
        <v>Court of Appeals</v>
      </c>
      <c r="BK773">
        <v>1</v>
      </c>
      <c r="BL773" t="s">
        <v>102</v>
      </c>
      <c r="BM773" t="str">
        <f>""</f>
        <v/>
      </c>
      <c r="BN773" t="s">
        <v>9051</v>
      </c>
      <c r="BO773" t="s">
        <v>5552</v>
      </c>
      <c r="BP773" t="s">
        <v>5832</v>
      </c>
      <c r="BQ773" t="s">
        <v>788</v>
      </c>
      <c r="BR773" t="s">
        <v>345</v>
      </c>
      <c r="BS773" s="5">
        <v>60005</v>
      </c>
      <c r="BT773" s="2">
        <v>115000</v>
      </c>
      <c r="BV773" t="s">
        <v>105</v>
      </c>
      <c r="BW773" s="2">
        <v>75754</v>
      </c>
      <c r="BX773" t="s">
        <v>105</v>
      </c>
      <c r="BZ773" t="s">
        <v>167</v>
      </c>
      <c r="CA773" t="str">
        <f t="shared" si="52"/>
        <v>7/1/2020 - 6/30/2021</v>
      </c>
      <c r="CF773">
        <v>3</v>
      </c>
      <c r="CG773" t="s">
        <v>98</v>
      </c>
      <c r="CH773" t="s">
        <v>206</v>
      </c>
      <c r="CI773" t="s">
        <v>206</v>
      </c>
      <c r="CL773" t="s">
        <v>108</v>
      </c>
      <c r="CM773" t="s">
        <v>109</v>
      </c>
      <c r="CN773" t="str">
        <f>"Marr"</f>
        <v>Marr</v>
      </c>
      <c r="CO773" t="str">
        <f>"Jamie"</f>
        <v>Jamie</v>
      </c>
      <c r="CP773" t="str">
        <f>""</f>
        <v/>
      </c>
      <c r="CQ773" t="str">
        <f>"Greenberg Traurig, LLP"</f>
        <v>Greenberg Traurig, LLP</v>
      </c>
      <c r="CR773" t="s">
        <v>4596</v>
      </c>
    </row>
    <row r="774" spans="1:96" x14ac:dyDescent="0.2">
      <c r="A774" t="s">
        <v>9058</v>
      </c>
      <c r="B774" t="s">
        <v>96</v>
      </c>
      <c r="C774" s="1">
        <v>44098</v>
      </c>
      <c r="D774" s="1">
        <v>44105</v>
      </c>
      <c r="F774" t="s">
        <v>97</v>
      </c>
      <c r="G774" t="str">
        <f>"R&amp;D Engineer "</f>
        <v xml:space="preserve">R&amp;D Engineer </v>
      </c>
      <c r="H774" t="s">
        <v>12171</v>
      </c>
      <c r="I774" t="s">
        <v>2140</v>
      </c>
      <c r="J774" t="s">
        <v>98</v>
      </c>
      <c r="K774" s="1">
        <v>44202</v>
      </c>
      <c r="L774" s="1">
        <v>45296</v>
      </c>
      <c r="M774">
        <v>30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5</v>
      </c>
      <c r="T774" t="s">
        <v>7067</v>
      </c>
      <c r="U774" t="str">
        <f>""</f>
        <v/>
      </c>
      <c r="V774" t="s">
        <v>7068</v>
      </c>
      <c r="W774" t="str">
        <f>""</f>
        <v/>
      </c>
      <c r="X774" t="s">
        <v>155</v>
      </c>
      <c r="Y774" t="s">
        <v>141</v>
      </c>
      <c r="Z774" s="3">
        <v>94043</v>
      </c>
      <c r="AA774" t="s">
        <v>101</v>
      </c>
      <c r="AC774" s="4" t="str">
        <f>"+16505845000"</f>
        <v>+16505845000</v>
      </c>
      <c r="AE774" t="str">
        <f>"541512"</f>
        <v>541512</v>
      </c>
      <c r="AF774" t="s">
        <v>1548</v>
      </c>
      <c r="AG774" t="s">
        <v>1549</v>
      </c>
      <c r="AH774" t="s">
        <v>1080</v>
      </c>
      <c r="AI774" t="s">
        <v>221</v>
      </c>
      <c r="AJ774" t="s">
        <v>7068</v>
      </c>
      <c r="AK774" t="str">
        <f>""</f>
        <v/>
      </c>
      <c r="AL774" t="s">
        <v>155</v>
      </c>
      <c r="AM774" t="s">
        <v>141</v>
      </c>
      <c r="AN774" s="3">
        <v>94043</v>
      </c>
      <c r="AO774" t="s">
        <v>101</v>
      </c>
      <c r="AQ774" t="str">
        <f>"+16505847480"</f>
        <v>+16505847480</v>
      </c>
      <c r="AS774" t="s">
        <v>7069</v>
      </c>
      <c r="AT774" t="s">
        <v>107</v>
      </c>
      <c r="AU774" t="str">
        <f>"Castro"</f>
        <v>Castro</v>
      </c>
      <c r="AV774" t="str">
        <f>"J. Gabriel"</f>
        <v>J. Gabriel</v>
      </c>
      <c r="AW774" t="str">
        <f>""</f>
        <v/>
      </c>
      <c r="AX774" t="str">
        <f>"555 W. Fifth Street"</f>
        <v>555 W. Fifth Street</v>
      </c>
      <c r="AY774" t="str">
        <f>"Suite 4510"</f>
        <v>Suite 4510</v>
      </c>
      <c r="AZ774" t="str">
        <f>"Los Angeles"</f>
        <v>Los Angeles</v>
      </c>
      <c r="BA774" t="str">
        <f>"CA"</f>
        <v>CA</v>
      </c>
      <c r="BB774" s="3">
        <v>90013</v>
      </c>
      <c r="BC774" t="str">
        <f t="shared" si="53"/>
        <v>UNITED STATES OF AMERICA</v>
      </c>
      <c r="BD774" t="str">
        <f>""</f>
        <v/>
      </c>
      <c r="BE774" t="str">
        <f>"+12136247500"</f>
        <v>+12136247500</v>
      </c>
      <c r="BF774" t="str">
        <f>""</f>
        <v/>
      </c>
      <c r="BG774" t="str">
        <f>"FLAG-LA@tsmimmigration.com"</f>
        <v>FLAG-LA@tsmimmigration.com</v>
      </c>
      <c r="BH774" t="str">
        <f>"Tafapolsky Smith Mehlman LLP"</f>
        <v>Tafapolsky Smith Mehlman LLP</v>
      </c>
      <c r="BI774" t="str">
        <f>"CA"</f>
        <v>CA</v>
      </c>
      <c r="BJ774" t="str">
        <f>"Supreme Court"</f>
        <v>Supreme Court</v>
      </c>
      <c r="BK774">
        <v>30</v>
      </c>
      <c r="BL774" t="s">
        <v>102</v>
      </c>
      <c r="BM774" t="str">
        <f>""</f>
        <v/>
      </c>
      <c r="BN774" t="s">
        <v>9059</v>
      </c>
      <c r="BP774" t="s">
        <v>2836</v>
      </c>
      <c r="BQ774" t="s">
        <v>230</v>
      </c>
      <c r="BR774" t="s">
        <v>141</v>
      </c>
      <c r="BS774" s="5">
        <v>94043</v>
      </c>
      <c r="BT774" s="2">
        <v>182298</v>
      </c>
      <c r="BU774" s="2">
        <v>257298</v>
      </c>
      <c r="BV774" t="s">
        <v>105</v>
      </c>
      <c r="BW774" s="2">
        <v>182298</v>
      </c>
      <c r="BX774" t="s">
        <v>105</v>
      </c>
      <c r="CA774" t="str">
        <f>""</f>
        <v/>
      </c>
      <c r="CB774" t="s">
        <v>244</v>
      </c>
      <c r="CC774">
        <v>2020</v>
      </c>
      <c r="CD774" t="s">
        <v>995</v>
      </c>
      <c r="CE774" t="s">
        <v>9060</v>
      </c>
      <c r="CF774">
        <v>1</v>
      </c>
      <c r="CG774" t="s">
        <v>98</v>
      </c>
      <c r="CH774" t="s">
        <v>206</v>
      </c>
      <c r="CI774" t="s">
        <v>206</v>
      </c>
      <c r="CL774" t="s">
        <v>108</v>
      </c>
      <c r="CM774" t="s">
        <v>109</v>
      </c>
      <c r="CN774" t="str">
        <f>"Zanetti"</f>
        <v>Zanetti</v>
      </c>
      <c r="CO774" t="str">
        <f>"Lauren "</f>
        <v xml:space="preserve">Lauren </v>
      </c>
      <c r="CP774" t="str">
        <f>"B"</f>
        <v>B</v>
      </c>
      <c r="CQ774" t="str">
        <f>"Tafapolsky  Smith Mehlman LLP"</f>
        <v>Tafapolsky  Smith Mehlman LLP</v>
      </c>
      <c r="CR774" t="s">
        <v>7070</v>
      </c>
    </row>
    <row r="775" spans="1:96" x14ac:dyDescent="0.2">
      <c r="A775" t="s">
        <v>9080</v>
      </c>
      <c r="B775" t="s">
        <v>96</v>
      </c>
      <c r="C775" s="1">
        <v>44098</v>
      </c>
      <c r="D775" s="1">
        <v>44105</v>
      </c>
      <c r="F775" t="s">
        <v>97</v>
      </c>
      <c r="G775" t="str">
        <f>"Postdoctoral Associate (Biochemistry)"</f>
        <v>Postdoctoral Associate (Biochemistry)</v>
      </c>
      <c r="H775" t="s">
        <v>12190</v>
      </c>
      <c r="I775" t="s">
        <v>1072</v>
      </c>
      <c r="J775" t="s">
        <v>98</v>
      </c>
      <c r="K775" s="1">
        <v>44278</v>
      </c>
      <c r="L775" s="1">
        <v>45373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4457</v>
      </c>
      <c r="U775" t="str">
        <f>"University of Colorado Boulder"</f>
        <v>University of Colorado Boulder</v>
      </c>
      <c r="V775" t="s">
        <v>4458</v>
      </c>
      <c r="W775" t="str">
        <f>"Ctr. for Community, International Student &amp; Scholar Services"</f>
        <v>Ctr. for Community, International Student &amp; Scholar Services</v>
      </c>
      <c r="X775" t="s">
        <v>894</v>
      </c>
      <c r="Y775" t="s">
        <v>166</v>
      </c>
      <c r="Z775" s="3">
        <v>80309</v>
      </c>
      <c r="AA775" t="s">
        <v>101</v>
      </c>
      <c r="AC775" s="4" t="str">
        <f>"+13034928057"</f>
        <v>+13034928057</v>
      </c>
      <c r="AE775" t="str">
        <f>"611310"</f>
        <v>611310</v>
      </c>
      <c r="AF775" t="s">
        <v>7082</v>
      </c>
      <c r="AG775" t="s">
        <v>2876</v>
      </c>
      <c r="AI775" t="s">
        <v>7083</v>
      </c>
      <c r="AJ775" t="s">
        <v>9081</v>
      </c>
      <c r="AK775" t="str">
        <f>"Ctr. for Community, International Student &amp; Scholar Services"</f>
        <v>Ctr. for Community, International Student &amp; Scholar Services</v>
      </c>
      <c r="AL775" t="s">
        <v>894</v>
      </c>
      <c r="AM775" t="s">
        <v>166</v>
      </c>
      <c r="AN775" s="3">
        <v>80309</v>
      </c>
      <c r="AO775" t="s">
        <v>101</v>
      </c>
      <c r="AQ775" t="str">
        <f>"+13037350814"</f>
        <v>+13037350814</v>
      </c>
      <c r="AS775" t="s">
        <v>7084</v>
      </c>
      <c r="AT775" t="s">
        <v>102</v>
      </c>
      <c r="AU775" t="str">
        <f>""</f>
        <v/>
      </c>
      <c r="AV775" t="str">
        <f>""</f>
        <v/>
      </c>
      <c r="AW775" t="str">
        <f>""</f>
        <v/>
      </c>
      <c r="AX775" t="str">
        <f>""</f>
        <v/>
      </c>
      <c r="AY775" t="str">
        <f>""</f>
        <v/>
      </c>
      <c r="AZ775" t="str">
        <f>""</f>
        <v/>
      </c>
      <c r="BA775" t="str">
        <f>""</f>
        <v/>
      </c>
      <c r="BC775" t="str">
        <f>""</f>
        <v/>
      </c>
      <c r="BD775" t="str">
        <f>""</f>
        <v/>
      </c>
      <c r="BE775" t="str">
        <f>""</f>
        <v/>
      </c>
      <c r="BF775" t="str">
        <f>""</f>
        <v/>
      </c>
      <c r="BG775" t="str">
        <f>""</f>
        <v/>
      </c>
      <c r="BH775" t="str">
        <f>""</f>
        <v/>
      </c>
      <c r="BI775" t="str">
        <f>""</f>
        <v/>
      </c>
      <c r="BJ775" t="str">
        <f>""</f>
        <v/>
      </c>
      <c r="BK775">
        <v>1</v>
      </c>
      <c r="BL775" t="s">
        <v>102</v>
      </c>
      <c r="BM775" t="str">
        <f>""</f>
        <v/>
      </c>
      <c r="BN775" t="s">
        <v>9082</v>
      </c>
      <c r="BO775" t="s">
        <v>9083</v>
      </c>
      <c r="BP775" t="s">
        <v>894</v>
      </c>
      <c r="BQ775" t="s">
        <v>895</v>
      </c>
      <c r="BR775" t="s">
        <v>166</v>
      </c>
      <c r="BS775" s="5">
        <v>80303</v>
      </c>
      <c r="BT775" s="2">
        <v>53045.04</v>
      </c>
      <c r="BV775" t="s">
        <v>105</v>
      </c>
      <c r="BW775" s="2">
        <v>40768</v>
      </c>
      <c r="BX775" t="s">
        <v>105</v>
      </c>
      <c r="BZ775" t="s">
        <v>191</v>
      </c>
      <c r="CA775" t="str">
        <f t="shared" ref="CA775:CA797" si="54">"7/1/2020 - 6/30/2021"</f>
        <v>7/1/2020 - 6/30/2021</v>
      </c>
      <c r="CF775">
        <v>1</v>
      </c>
      <c r="CG775" t="s">
        <v>98</v>
      </c>
      <c r="CH775" t="s">
        <v>206</v>
      </c>
      <c r="CI775" t="s">
        <v>206</v>
      </c>
      <c r="CL775" t="s">
        <v>108</v>
      </c>
      <c r="CM775" t="s">
        <v>109</v>
      </c>
      <c r="CN775" t="str">
        <f>""</f>
        <v/>
      </c>
      <c r="CO775" t="str">
        <f>""</f>
        <v/>
      </c>
      <c r="CP775" t="str">
        <f>""</f>
        <v/>
      </c>
      <c r="CQ775" t="str">
        <f>""</f>
        <v/>
      </c>
    </row>
    <row r="776" spans="1:96" x14ac:dyDescent="0.2">
      <c r="A776" t="s">
        <v>9131</v>
      </c>
      <c r="B776" t="s">
        <v>96</v>
      </c>
      <c r="C776" s="1">
        <v>44098</v>
      </c>
      <c r="D776" s="1">
        <v>44105</v>
      </c>
      <c r="F776" t="s">
        <v>97</v>
      </c>
      <c r="G776" t="str">
        <f>"ADVANCED SOFTWARE DEVELOPER"</f>
        <v>ADVANCED SOFTWARE DEVELOPER</v>
      </c>
      <c r="H776" t="s">
        <v>12169</v>
      </c>
      <c r="I776" t="s">
        <v>124</v>
      </c>
      <c r="J776" t="s">
        <v>98</v>
      </c>
      <c r="K776" s="1">
        <v>44099</v>
      </c>
      <c r="L776" s="1">
        <v>45193</v>
      </c>
      <c r="M776">
        <v>10</v>
      </c>
      <c r="N776">
        <v>2</v>
      </c>
      <c r="O776">
        <v>2</v>
      </c>
      <c r="P776">
        <v>2</v>
      </c>
      <c r="Q776">
        <v>0</v>
      </c>
      <c r="R776">
        <v>2</v>
      </c>
      <c r="S776">
        <v>2</v>
      </c>
      <c r="T776" t="s">
        <v>2068</v>
      </c>
      <c r="U776" t="str">
        <f>""</f>
        <v/>
      </c>
      <c r="V776" t="s">
        <v>2069</v>
      </c>
      <c r="W776" t="str">
        <f>""</f>
        <v/>
      </c>
      <c r="X776" t="s">
        <v>1025</v>
      </c>
      <c r="Y776" t="s">
        <v>577</v>
      </c>
      <c r="Z776" s="3">
        <v>33605</v>
      </c>
      <c r="AA776" t="s">
        <v>101</v>
      </c>
      <c r="AC776" s="4" t="str">
        <f>"+18135525000"</f>
        <v>+18135525000</v>
      </c>
      <c r="AE776" t="str">
        <f>"5416"</f>
        <v>5416</v>
      </c>
      <c r="AF776" t="s">
        <v>2070</v>
      </c>
      <c r="AG776" t="s">
        <v>2071</v>
      </c>
      <c r="AI776" t="s">
        <v>497</v>
      </c>
      <c r="AJ776" t="s">
        <v>2072</v>
      </c>
      <c r="AK776" t="str">
        <f>""</f>
        <v/>
      </c>
      <c r="AL776" t="s">
        <v>1025</v>
      </c>
      <c r="AM776" t="s">
        <v>577</v>
      </c>
      <c r="AN776" s="3">
        <v>33605</v>
      </c>
      <c r="AO776" t="s">
        <v>101</v>
      </c>
      <c r="AQ776" t="str">
        <f>"+18135525000"</f>
        <v>+18135525000</v>
      </c>
      <c r="AS776" t="s">
        <v>2073</v>
      </c>
      <c r="AT776" t="s">
        <v>107</v>
      </c>
      <c r="AU776" t="str">
        <f>"WHITE "</f>
        <v xml:space="preserve">WHITE </v>
      </c>
      <c r="AV776" t="str">
        <f>"ROBERT"</f>
        <v>ROBERT</v>
      </c>
      <c r="AW776" t="str">
        <f>"SAMUEL"</f>
        <v>SAMUEL</v>
      </c>
      <c r="AX776" t="str">
        <f>"200 N MARTINGALE ROAD"</f>
        <v>200 N MARTINGALE ROAD</v>
      </c>
      <c r="AY776" t="str">
        <f>"SUITE 800"</f>
        <v>SUITE 800</v>
      </c>
      <c r="AZ776" t="str">
        <f>"SCHAUMBURG"</f>
        <v>SCHAUMBURG</v>
      </c>
      <c r="BA776" t="str">
        <f>"IL"</f>
        <v>IL</v>
      </c>
      <c r="BB776" s="3">
        <v>60173</v>
      </c>
      <c r="BC776" t="str">
        <f t="shared" ref="BC776:BC783" si="55">"UNITED STATES OF AMERICA"</f>
        <v>UNITED STATES OF AMERICA</v>
      </c>
      <c r="BD776" t="str">
        <f>""</f>
        <v/>
      </c>
      <c r="BE776" t="str">
        <f>"+18477348811"</f>
        <v>+18477348811</v>
      </c>
      <c r="BF776" t="str">
        <f>""</f>
        <v/>
      </c>
      <c r="BG776" t="str">
        <f>"RWHITE@MASUDAFUNAI.COM"</f>
        <v>RWHITE@MASUDAFUNAI.COM</v>
      </c>
      <c r="BH776" t="str">
        <f>"Masuda Funai Eifert &amp; Mitchell, Ltd."</f>
        <v>Masuda Funai Eifert &amp; Mitchell, Ltd.</v>
      </c>
      <c r="BI776" t="str">
        <f>"IL"</f>
        <v>IL</v>
      </c>
      <c r="BJ776" t="str">
        <f>"SUPREME COURT"</f>
        <v>SUPREME COURT</v>
      </c>
      <c r="BK776">
        <v>10</v>
      </c>
      <c r="BL776" t="s">
        <v>107</v>
      </c>
      <c r="BM776" t="str">
        <f>"HAGERTY INSURANCE AGENCY, INC."</f>
        <v>HAGERTY INSURANCE AGENCY, INC.</v>
      </c>
      <c r="BN776" t="s">
        <v>9132</v>
      </c>
      <c r="BP776" t="s">
        <v>2577</v>
      </c>
      <c r="BQ776" t="s">
        <v>224</v>
      </c>
      <c r="BR776" t="s">
        <v>225</v>
      </c>
      <c r="BS776" s="5">
        <v>43017</v>
      </c>
      <c r="BT776" s="2">
        <v>46.92</v>
      </c>
      <c r="BU776" s="2">
        <v>90</v>
      </c>
      <c r="BV776" t="s">
        <v>210</v>
      </c>
      <c r="BW776" s="2">
        <v>46.92</v>
      </c>
      <c r="BX776" t="s">
        <v>210</v>
      </c>
      <c r="BZ776" t="s">
        <v>123</v>
      </c>
      <c r="CA776" t="str">
        <f t="shared" si="54"/>
        <v>7/1/2020 - 6/30/2021</v>
      </c>
      <c r="CF776">
        <v>2</v>
      </c>
      <c r="CG776" t="s">
        <v>98</v>
      </c>
      <c r="CH776" t="s">
        <v>206</v>
      </c>
      <c r="CI776" t="s">
        <v>206</v>
      </c>
      <c r="CL776" t="s">
        <v>108</v>
      </c>
      <c r="CM776" t="s">
        <v>109</v>
      </c>
      <c r="CN776" t="str">
        <f>""</f>
        <v/>
      </c>
      <c r="CO776" t="str">
        <f>""</f>
        <v/>
      </c>
      <c r="CP776" t="str">
        <f>""</f>
        <v/>
      </c>
      <c r="CQ776" t="str">
        <f>""</f>
        <v/>
      </c>
    </row>
    <row r="777" spans="1:96" x14ac:dyDescent="0.2">
      <c r="A777" t="s">
        <v>9136</v>
      </c>
      <c r="B777" t="s">
        <v>96</v>
      </c>
      <c r="C777" s="1">
        <v>44098</v>
      </c>
      <c r="D777" s="1">
        <v>44105</v>
      </c>
      <c r="F777" t="s">
        <v>97</v>
      </c>
      <c r="G777" t="str">
        <f>"Senior Software Engineer"</f>
        <v>Senior Software Engineer</v>
      </c>
      <c r="H777" t="s">
        <v>12176</v>
      </c>
      <c r="I777" t="s">
        <v>246</v>
      </c>
      <c r="J777" t="s">
        <v>98</v>
      </c>
      <c r="K777" s="1">
        <v>44236</v>
      </c>
      <c r="L777" s="1">
        <v>45330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 t="s">
        <v>1397</v>
      </c>
      <c r="U777" t="str">
        <f>""</f>
        <v/>
      </c>
      <c r="V777" t="s">
        <v>1856</v>
      </c>
      <c r="W777" t="str">
        <f>""</f>
        <v/>
      </c>
      <c r="X777" t="s">
        <v>1398</v>
      </c>
      <c r="Y777" t="s">
        <v>641</v>
      </c>
      <c r="Z777" s="3">
        <v>72716</v>
      </c>
      <c r="AA777" t="s">
        <v>101</v>
      </c>
      <c r="AC777" s="4" t="str">
        <f>"+16508375000"</f>
        <v>+16508375000</v>
      </c>
      <c r="AE777" t="str">
        <f>"452210"</f>
        <v>452210</v>
      </c>
      <c r="AF777" t="s">
        <v>1758</v>
      </c>
      <c r="AG777" t="s">
        <v>1857</v>
      </c>
      <c r="AI777" t="s">
        <v>1858</v>
      </c>
      <c r="AJ777" t="s">
        <v>1859</v>
      </c>
      <c r="AK777" t="str">
        <f>""</f>
        <v/>
      </c>
      <c r="AL777" t="s">
        <v>1860</v>
      </c>
      <c r="AM777" t="s">
        <v>141</v>
      </c>
      <c r="AN777" s="3">
        <v>94066</v>
      </c>
      <c r="AO777" t="s">
        <v>101</v>
      </c>
      <c r="AQ777" t="str">
        <f>"+16508375000"</f>
        <v>+16508375000</v>
      </c>
      <c r="AS777" t="s">
        <v>1861</v>
      </c>
      <c r="AT777" t="s">
        <v>107</v>
      </c>
      <c r="AU777" t="str">
        <f>"NIEVES"</f>
        <v>NIEVES</v>
      </c>
      <c r="AV777" t="str">
        <f>"JENNY "</f>
        <v xml:space="preserve">JENNY </v>
      </c>
      <c r="AW777" t="str">
        <f>""</f>
        <v/>
      </c>
      <c r="AX777" t="str">
        <f>"1400 BROADWAY	"</f>
        <v xml:space="preserve">1400 BROADWAY	</v>
      </c>
      <c r="AY777" t="str">
        <f>"FRAGOMEN, DEL REY, BERNSEN &amp; LOEWY LLP"</f>
        <v>FRAGOMEN, DEL REY, BERNSEN &amp; LOEWY LLP</v>
      </c>
      <c r="AZ777" t="str">
        <f>"NEW YORK"</f>
        <v>NEW YORK</v>
      </c>
      <c r="BA777" t="str">
        <f>"NY"</f>
        <v>NY</v>
      </c>
      <c r="BB777" s="3">
        <v>10018</v>
      </c>
      <c r="BC777" t="str">
        <f t="shared" si="55"/>
        <v>UNITED STATES OF AMERICA</v>
      </c>
      <c r="BD777" t="str">
        <f>""</f>
        <v/>
      </c>
      <c r="BE777" t="str">
        <f>"+12122302877"</f>
        <v>+12122302877</v>
      </c>
      <c r="BF777" t="str">
        <f>""</f>
        <v/>
      </c>
      <c r="BG777" t="str">
        <f>"JNIEVES@FRAGOMEN.COM"</f>
        <v>JNIEVES@FRAGOMEN.COM</v>
      </c>
      <c r="BH777" t="str">
        <f>"FRAGOMEN, DEL REY, BERNSEN &amp; LOEWY LLP"</f>
        <v>FRAGOMEN, DEL REY, BERNSEN &amp; LOEWY LLP</v>
      </c>
      <c r="BI777" t="str">
        <f>"NY"</f>
        <v>NY</v>
      </c>
      <c r="BJ777" t="str">
        <f>"NYS APPELLATE DIVISION, SECOND DEPARTMENT"</f>
        <v>NYS APPELLATE DIVISION, SECOND DEPARTMENT</v>
      </c>
      <c r="BK777">
        <v>1</v>
      </c>
      <c r="BL777" t="s">
        <v>102</v>
      </c>
      <c r="BM777" t="str">
        <f>""</f>
        <v/>
      </c>
      <c r="BN777" t="s">
        <v>9137</v>
      </c>
      <c r="BP777" t="s">
        <v>229</v>
      </c>
      <c r="BQ777" t="s">
        <v>230</v>
      </c>
      <c r="BR777" t="s">
        <v>141</v>
      </c>
      <c r="BS777" s="5">
        <v>94086</v>
      </c>
      <c r="BT777" s="2">
        <v>161449.32</v>
      </c>
      <c r="BV777" t="s">
        <v>105</v>
      </c>
      <c r="BW777" s="2">
        <v>145725</v>
      </c>
      <c r="BX777" t="s">
        <v>105</v>
      </c>
      <c r="BZ777" t="s">
        <v>123</v>
      </c>
      <c r="CA777" t="str">
        <f t="shared" si="54"/>
        <v>7/1/2020 - 6/30/2021</v>
      </c>
      <c r="CF777">
        <v>2</v>
      </c>
      <c r="CG777" t="s">
        <v>98</v>
      </c>
      <c r="CH777" t="s">
        <v>206</v>
      </c>
      <c r="CI777" t="s">
        <v>206</v>
      </c>
      <c r="CL777" t="s">
        <v>108</v>
      </c>
      <c r="CM777" t="s">
        <v>109</v>
      </c>
      <c r="CN777" t="str">
        <f>"Joyce"</f>
        <v>Joyce</v>
      </c>
      <c r="CO777" t="str">
        <f>"Neil"</f>
        <v>Neil</v>
      </c>
      <c r="CP777" t="str">
        <f>""</f>
        <v/>
      </c>
      <c r="CQ777" t="str">
        <f>"Fragomen, Del Rey, Bernsen &amp; Loewy, LLP"</f>
        <v>Fragomen, Del Rey, Bernsen &amp; Loewy, LLP</v>
      </c>
      <c r="CR777" t="s">
        <v>2827</v>
      </c>
    </row>
    <row r="778" spans="1:96" x14ac:dyDescent="0.2">
      <c r="A778" t="s">
        <v>9142</v>
      </c>
      <c r="B778" t="s">
        <v>96</v>
      </c>
      <c r="C778" s="1">
        <v>44098</v>
      </c>
      <c r="D778" s="1">
        <v>44105</v>
      </c>
      <c r="F778" t="s">
        <v>97</v>
      </c>
      <c r="G778" t="str">
        <f>"ETL Data Developer III"</f>
        <v>ETL Data Developer III</v>
      </c>
      <c r="H778" t="s">
        <v>12169</v>
      </c>
      <c r="I778" t="s">
        <v>124</v>
      </c>
      <c r="J778" t="s">
        <v>98</v>
      </c>
      <c r="K778" s="1">
        <v>44156</v>
      </c>
      <c r="L778" s="1">
        <v>45250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 t="s">
        <v>9143</v>
      </c>
      <c r="U778" t="str">
        <f>"Vidant Medical Center"</f>
        <v>Vidant Medical Center</v>
      </c>
      <c r="V778" t="s">
        <v>9144</v>
      </c>
      <c r="W778" t="str">
        <f>""</f>
        <v/>
      </c>
      <c r="X778" t="s">
        <v>811</v>
      </c>
      <c r="Y778" t="s">
        <v>122</v>
      </c>
      <c r="Z778" s="3">
        <v>27834</v>
      </c>
      <c r="AA778" t="s">
        <v>101</v>
      </c>
      <c r="AC778" s="4" t="str">
        <f>"+12528474809"</f>
        <v>+12528474809</v>
      </c>
      <c r="AE778" t="str">
        <f>"622110"</f>
        <v>622110</v>
      </c>
      <c r="AF778" t="s">
        <v>6600</v>
      </c>
      <c r="AG778" t="s">
        <v>338</v>
      </c>
      <c r="AI778" t="s">
        <v>9145</v>
      </c>
      <c r="AJ778" t="s">
        <v>9146</v>
      </c>
      <c r="AK778" t="str">
        <f>"2nd Floor"</f>
        <v>2nd Floor</v>
      </c>
      <c r="AL778" t="s">
        <v>811</v>
      </c>
      <c r="AM778" t="s">
        <v>122</v>
      </c>
      <c r="AN778" s="3">
        <v>27834</v>
      </c>
      <c r="AO778" t="s">
        <v>101</v>
      </c>
      <c r="AQ778" t="str">
        <f>"+12528472637"</f>
        <v>+12528472637</v>
      </c>
      <c r="AS778" t="s">
        <v>9147</v>
      </c>
      <c r="AT778" t="s">
        <v>107</v>
      </c>
      <c r="AU778" t="str">
        <f>"Prall"</f>
        <v>Prall</v>
      </c>
      <c r="AV778" t="str">
        <f>"Nicola"</f>
        <v>Nicola</v>
      </c>
      <c r="AW778" t="str">
        <f>"A.L."</f>
        <v>A.L.</v>
      </c>
      <c r="AX778" t="str">
        <f>"3737 GLENWOOD AVENUE"</f>
        <v>3737 GLENWOOD AVENUE</v>
      </c>
      <c r="AY778" t="str">
        <f>"SUITE 450"</f>
        <v>SUITE 450</v>
      </c>
      <c r="AZ778" t="str">
        <f>"RALEIGH"</f>
        <v>RALEIGH</v>
      </c>
      <c r="BA778" t="str">
        <f>"NC"</f>
        <v>NC</v>
      </c>
      <c r="BB778" s="3">
        <v>27612</v>
      </c>
      <c r="BC778" t="str">
        <f t="shared" si="55"/>
        <v>UNITED STATES OF AMERICA</v>
      </c>
      <c r="BD778" t="str">
        <f>"NORTH CAROLINA"</f>
        <v>NORTH CAROLINA</v>
      </c>
      <c r="BE778" t="str">
        <f>"+19197606460"</f>
        <v>+19197606460</v>
      </c>
      <c r="BF778" t="str">
        <f>"6467"</f>
        <v>6467</v>
      </c>
      <c r="BG778" t="str">
        <f>"NICOLA.PRALL@JACKSONLEWIS.COM"</f>
        <v>NICOLA.PRALL@JACKSONLEWIS.COM</v>
      </c>
      <c r="BH778" t="str">
        <f>"Jackson Lewis, P.C."</f>
        <v>Jackson Lewis, P.C.</v>
      </c>
      <c r="BI778" t="str">
        <f>"NC"</f>
        <v>NC</v>
      </c>
      <c r="BJ778" t="str">
        <f>"NC"</f>
        <v>NC</v>
      </c>
      <c r="BK778">
        <v>1</v>
      </c>
      <c r="BL778" t="s">
        <v>102</v>
      </c>
      <c r="BM778" t="str">
        <f>""</f>
        <v/>
      </c>
      <c r="BN778" t="s">
        <v>9148</v>
      </c>
      <c r="BP778" t="s">
        <v>811</v>
      </c>
      <c r="BQ778" t="s">
        <v>8713</v>
      </c>
      <c r="BR778" t="s">
        <v>122</v>
      </c>
      <c r="BS778" s="5">
        <v>27834</v>
      </c>
      <c r="BT778" s="2">
        <v>101816</v>
      </c>
      <c r="BV778" t="s">
        <v>105</v>
      </c>
      <c r="BW778" s="2">
        <v>81078</v>
      </c>
      <c r="BX778" t="s">
        <v>105</v>
      </c>
      <c r="BZ778" t="s">
        <v>123</v>
      </c>
      <c r="CA778" t="str">
        <f t="shared" si="54"/>
        <v>7/1/2020 - 6/30/2021</v>
      </c>
      <c r="CF778">
        <v>2</v>
      </c>
      <c r="CG778" t="s">
        <v>98</v>
      </c>
      <c r="CH778" t="s">
        <v>206</v>
      </c>
      <c r="CI778" t="s">
        <v>206</v>
      </c>
      <c r="CL778" t="s">
        <v>108</v>
      </c>
      <c r="CM778" t="s">
        <v>109</v>
      </c>
      <c r="CN778" t="str">
        <f>"Prall"</f>
        <v>Prall</v>
      </c>
      <c r="CO778" t="str">
        <f>"Nicola"</f>
        <v>Nicola</v>
      </c>
      <c r="CP778" t="str">
        <f>""</f>
        <v/>
      </c>
      <c r="CQ778" t="str">
        <f>"Jackson Lewis P.C."</f>
        <v>Jackson Lewis P.C.</v>
      </c>
      <c r="CR778" t="s">
        <v>4979</v>
      </c>
    </row>
    <row r="779" spans="1:96" x14ac:dyDescent="0.2">
      <c r="A779" t="s">
        <v>9153</v>
      </c>
      <c r="B779" t="s">
        <v>96</v>
      </c>
      <c r="C779" s="1">
        <v>44098</v>
      </c>
      <c r="D779" s="1">
        <v>44105</v>
      </c>
      <c r="F779" t="s">
        <v>97</v>
      </c>
      <c r="G779" t="str">
        <f>"IT Consultant (Oracle)"</f>
        <v>IT Consultant (Oracle)</v>
      </c>
      <c r="H779" t="s">
        <v>12225</v>
      </c>
      <c r="I779" t="s">
        <v>628</v>
      </c>
      <c r="J779" t="s">
        <v>98</v>
      </c>
      <c r="K779" s="1">
        <v>44166</v>
      </c>
      <c r="L779" s="1">
        <v>45260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 t="s">
        <v>9154</v>
      </c>
      <c r="U779" t="str">
        <f>""</f>
        <v/>
      </c>
      <c r="V779" t="s">
        <v>9155</v>
      </c>
      <c r="W779" t="str">
        <f>"Suite: #135"</f>
        <v>Suite: #135</v>
      </c>
      <c r="X779" t="s">
        <v>9156</v>
      </c>
      <c r="Y779" t="s">
        <v>100</v>
      </c>
      <c r="Z779" s="3">
        <v>7016</v>
      </c>
      <c r="AA779" t="s">
        <v>101</v>
      </c>
      <c r="AC779" s="4" t="str">
        <f>"+17326341527"</f>
        <v>+17326341527</v>
      </c>
      <c r="AE779" t="str">
        <f>"51121"</f>
        <v>51121</v>
      </c>
      <c r="AF779" t="s">
        <v>208</v>
      </c>
      <c r="AG779" t="s">
        <v>9157</v>
      </c>
      <c r="AI779" t="s">
        <v>508</v>
      </c>
      <c r="AJ779" t="s">
        <v>9155</v>
      </c>
      <c r="AK779" t="str">
        <f>"Suite: #135"</f>
        <v>Suite: #135</v>
      </c>
      <c r="AL779" t="s">
        <v>9158</v>
      </c>
      <c r="AM779" t="s">
        <v>100</v>
      </c>
      <c r="AN779" s="3">
        <v>7016</v>
      </c>
      <c r="AO779" t="s">
        <v>101</v>
      </c>
      <c r="AQ779" t="str">
        <f>"+17326341527"</f>
        <v>+17326341527</v>
      </c>
      <c r="AS779" t="s">
        <v>9159</v>
      </c>
      <c r="AT779" t="s">
        <v>107</v>
      </c>
      <c r="AU779" t="str">
        <f>"Gurnani"</f>
        <v>Gurnani</v>
      </c>
      <c r="AV779" t="str">
        <f>"Ramesh"</f>
        <v>Ramesh</v>
      </c>
      <c r="AW779" t="str">
        <f>""</f>
        <v/>
      </c>
      <c r="AX779" t="str">
        <f>"101 Lincoln Highway"</f>
        <v>101 Lincoln Highway</v>
      </c>
      <c r="AY779" t="str">
        <f>"Suite: A"</f>
        <v>Suite: A</v>
      </c>
      <c r="AZ779" t="str">
        <f>"Edison"</f>
        <v>Edison</v>
      </c>
      <c r="BA779" t="str">
        <f>"NJ"</f>
        <v>NJ</v>
      </c>
      <c r="BB779" s="3">
        <v>8820</v>
      </c>
      <c r="BC779" t="str">
        <f t="shared" si="55"/>
        <v>UNITED STATES OF AMERICA</v>
      </c>
      <c r="BD779" t="str">
        <f>""</f>
        <v/>
      </c>
      <c r="BE779" t="str">
        <f>"+17324948900"</f>
        <v>+17324948900</v>
      </c>
      <c r="BF779" t="str">
        <f>"16"</f>
        <v>16</v>
      </c>
      <c r="BG779" t="str">
        <f>"Ramesh@gurnani.com"</f>
        <v>Ramesh@gurnani.com</v>
      </c>
      <c r="BH779" t="str">
        <f>"Gurnani &amp; Gurnani"</f>
        <v>Gurnani &amp; Gurnani</v>
      </c>
      <c r="BI779" t="str">
        <f>"NJ"</f>
        <v>NJ</v>
      </c>
      <c r="BJ779" t="str">
        <f>"Supreme Court"</f>
        <v>Supreme Court</v>
      </c>
      <c r="BK779">
        <v>1</v>
      </c>
      <c r="BL779" t="s">
        <v>107</v>
      </c>
      <c r="BM779" t="str">
        <f>"State Street Bank &amp; Trust Company"</f>
        <v>State Street Bank &amp; Trust Company</v>
      </c>
      <c r="BN779" t="s">
        <v>3595</v>
      </c>
      <c r="BP779" t="s">
        <v>3596</v>
      </c>
      <c r="BQ779" t="s">
        <v>1986</v>
      </c>
      <c r="BR779" t="s">
        <v>171</v>
      </c>
      <c r="BS779" s="5">
        <v>2171</v>
      </c>
      <c r="BT779" s="2">
        <v>51</v>
      </c>
      <c r="BV779" t="s">
        <v>210</v>
      </c>
      <c r="BW779" s="2">
        <v>50.54</v>
      </c>
      <c r="BX779" t="s">
        <v>210</v>
      </c>
      <c r="BZ779" t="s">
        <v>123</v>
      </c>
      <c r="CA779" t="str">
        <f t="shared" si="54"/>
        <v>7/1/2020 - 6/30/2021</v>
      </c>
      <c r="CF779">
        <v>2</v>
      </c>
      <c r="CG779" t="s">
        <v>98</v>
      </c>
      <c r="CH779" t="s">
        <v>206</v>
      </c>
      <c r="CI779" t="s">
        <v>206</v>
      </c>
      <c r="CL779" t="s">
        <v>108</v>
      </c>
      <c r="CM779" t="s">
        <v>109</v>
      </c>
      <c r="CN779" t="str">
        <f>""</f>
        <v/>
      </c>
      <c r="CO779" t="str">
        <f>""</f>
        <v/>
      </c>
      <c r="CP779" t="str">
        <f>""</f>
        <v/>
      </c>
      <c r="CQ779" t="str">
        <f>""</f>
        <v/>
      </c>
    </row>
    <row r="780" spans="1:96" x14ac:dyDescent="0.2">
      <c r="A780" t="s">
        <v>9170</v>
      </c>
      <c r="B780" t="s">
        <v>96</v>
      </c>
      <c r="C780" s="1">
        <v>44098</v>
      </c>
      <c r="D780" s="1">
        <v>44105</v>
      </c>
      <c r="F780" t="s">
        <v>97</v>
      </c>
      <c r="G780" t="str">
        <f>"Manager, Product Qual &amp; Reliability Engineer"</f>
        <v>Manager, Product Qual &amp; Reliability Engineer</v>
      </c>
      <c r="H780" t="s">
        <v>12171</v>
      </c>
      <c r="I780" t="s">
        <v>2140</v>
      </c>
      <c r="J780" t="s">
        <v>98</v>
      </c>
      <c r="K780" s="1">
        <v>44109</v>
      </c>
      <c r="L780" s="1">
        <v>45203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 t="s">
        <v>5744</v>
      </c>
      <c r="U780" t="str">
        <f>""</f>
        <v/>
      </c>
      <c r="V780" t="s">
        <v>3648</v>
      </c>
      <c r="W780" t="str">
        <f>"Building 12"</f>
        <v>Building 12</v>
      </c>
      <c r="X780" t="s">
        <v>247</v>
      </c>
      <c r="Y780" t="s">
        <v>141</v>
      </c>
      <c r="Z780" s="3">
        <v>95054</v>
      </c>
      <c r="AA780" t="s">
        <v>101</v>
      </c>
      <c r="AC780" s="4" t="str">
        <f>"+14087485113"</f>
        <v>+14087485113</v>
      </c>
      <c r="AE780" t="str">
        <f>"33441"</f>
        <v>33441</v>
      </c>
      <c r="AF780" t="s">
        <v>5745</v>
      </c>
      <c r="AG780" t="s">
        <v>5746</v>
      </c>
      <c r="AI780" t="s">
        <v>3649</v>
      </c>
      <c r="AJ780" t="s">
        <v>5747</v>
      </c>
      <c r="AK780" t="str">
        <f>"BUILDING 12"</f>
        <v>BUILDING 12</v>
      </c>
      <c r="AL780" t="s">
        <v>230</v>
      </c>
      <c r="AM780" t="s">
        <v>141</v>
      </c>
      <c r="AN780" s="3">
        <v>95054</v>
      </c>
      <c r="AO780" t="s">
        <v>101</v>
      </c>
      <c r="AQ780" t="str">
        <f>"+14082183109"</f>
        <v>+14082183109</v>
      </c>
      <c r="AS780" t="s">
        <v>3650</v>
      </c>
      <c r="AT780" t="s">
        <v>107</v>
      </c>
      <c r="AU780" t="str">
        <f>"Tafapolsky"</f>
        <v>Tafapolsky</v>
      </c>
      <c r="AV780" t="str">
        <f>"Alan"</f>
        <v>Alan</v>
      </c>
      <c r="AW780" t="str">
        <f>""</f>
        <v/>
      </c>
      <c r="AX780" t="str">
        <f>"90 New Montgomery Street"</f>
        <v>90 New Montgomery Street</v>
      </c>
      <c r="AY780" t="str">
        <f>"8th Floor"</f>
        <v>8th Floor</v>
      </c>
      <c r="AZ780" t="str">
        <f>"San Francisco"</f>
        <v>San Francisco</v>
      </c>
      <c r="BA780" t="str">
        <f>"CA"</f>
        <v>CA</v>
      </c>
      <c r="BB780" s="3">
        <v>94105</v>
      </c>
      <c r="BC780" t="str">
        <f t="shared" si="55"/>
        <v>UNITED STATES OF AMERICA</v>
      </c>
      <c r="BD780" t="str">
        <f>""</f>
        <v/>
      </c>
      <c r="BE780" t="str">
        <f>"+14159759800"</f>
        <v>+14159759800</v>
      </c>
      <c r="BF780" t="str">
        <f>""</f>
        <v/>
      </c>
      <c r="BG780" t="str">
        <f>"flag-SF1@tsmimmigration.com"</f>
        <v>flag-SF1@tsmimmigration.com</v>
      </c>
      <c r="BH780" t="str">
        <f>"Tafapolsky Smith Mehlman LLP"</f>
        <v>Tafapolsky Smith Mehlman LLP</v>
      </c>
      <c r="BI780" t="str">
        <f>"CA"</f>
        <v>CA</v>
      </c>
      <c r="BJ780" t="str">
        <f>"Supreme Court"</f>
        <v>Supreme Court</v>
      </c>
      <c r="BK780">
        <v>1</v>
      </c>
      <c r="BL780" t="s">
        <v>102</v>
      </c>
      <c r="BM780" t="str">
        <f>""</f>
        <v/>
      </c>
      <c r="BN780" t="s">
        <v>3651</v>
      </c>
      <c r="BP780" t="s">
        <v>247</v>
      </c>
      <c r="BQ780" t="s">
        <v>230</v>
      </c>
      <c r="BR780" t="s">
        <v>141</v>
      </c>
      <c r="BS780" s="5">
        <v>95054</v>
      </c>
      <c r="BT780" s="2">
        <v>168334</v>
      </c>
      <c r="BU780" s="2">
        <v>188334</v>
      </c>
      <c r="BV780" t="s">
        <v>105</v>
      </c>
      <c r="BW780" s="2">
        <v>168334</v>
      </c>
      <c r="BX780" t="s">
        <v>105</v>
      </c>
      <c r="BZ780" t="s">
        <v>167</v>
      </c>
      <c r="CA780" t="str">
        <f t="shared" si="54"/>
        <v>7/1/2020 - 6/30/2021</v>
      </c>
      <c r="CF780">
        <v>1</v>
      </c>
      <c r="CG780" t="s">
        <v>98</v>
      </c>
      <c r="CH780" t="s">
        <v>206</v>
      </c>
      <c r="CI780" t="s">
        <v>206</v>
      </c>
      <c r="CL780" t="s">
        <v>108</v>
      </c>
      <c r="CM780" t="s">
        <v>109</v>
      </c>
      <c r="CN780" t="str">
        <f>"Braginsky"</f>
        <v>Braginsky</v>
      </c>
      <c r="CO780" t="str">
        <f>"Caitlin (S1184)"</f>
        <v>Caitlin (S1184)</v>
      </c>
      <c r="CP780" t="str">
        <f>""</f>
        <v/>
      </c>
      <c r="CQ780" t="str">
        <f>"Tafapolsky Smith Mehlman LLP"</f>
        <v>Tafapolsky Smith Mehlman LLP</v>
      </c>
      <c r="CR780" t="s">
        <v>8332</v>
      </c>
    </row>
    <row r="781" spans="1:96" x14ac:dyDescent="0.2">
      <c r="A781" t="s">
        <v>9175</v>
      </c>
      <c r="B781" t="s">
        <v>96</v>
      </c>
      <c r="C781" s="1">
        <v>44098</v>
      </c>
      <c r="D781" s="1">
        <v>44105</v>
      </c>
      <c r="F781" t="s">
        <v>97</v>
      </c>
      <c r="G781" t="str">
        <f>"Software Engineer"</f>
        <v>Software Engineer</v>
      </c>
      <c r="H781" t="s">
        <v>12169</v>
      </c>
      <c r="I781" t="s">
        <v>124</v>
      </c>
      <c r="J781" t="s">
        <v>98</v>
      </c>
      <c r="K781" s="1">
        <v>44109</v>
      </c>
      <c r="L781" s="1">
        <v>45203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2403</v>
      </c>
      <c r="U781" t="str">
        <f>""</f>
        <v/>
      </c>
      <c r="V781" t="s">
        <v>2404</v>
      </c>
      <c r="W781" t="str">
        <f>"4TH FLOOR"</f>
        <v>4TH FLOOR</v>
      </c>
      <c r="X781" t="s">
        <v>147</v>
      </c>
      <c r="Y781" t="s">
        <v>141</v>
      </c>
      <c r="Z781" s="3">
        <v>94103</v>
      </c>
      <c r="AA781" t="s">
        <v>101</v>
      </c>
      <c r="AC781" s="4" t="str">
        <f>"+14158005959"</f>
        <v>+14158005959</v>
      </c>
      <c r="AE781" t="str">
        <f>"561599"</f>
        <v>561599</v>
      </c>
      <c r="AF781" t="s">
        <v>2405</v>
      </c>
      <c r="AG781" t="s">
        <v>2406</v>
      </c>
      <c r="AI781" t="s">
        <v>2407</v>
      </c>
      <c r="AJ781" t="s">
        <v>2404</v>
      </c>
      <c r="AK781" t="str">
        <f>"4TH FLOOR"</f>
        <v>4TH FLOOR</v>
      </c>
      <c r="AL781" t="s">
        <v>147</v>
      </c>
      <c r="AM781" t="s">
        <v>141</v>
      </c>
      <c r="AN781" s="3">
        <v>94103</v>
      </c>
      <c r="AO781" t="s">
        <v>101</v>
      </c>
      <c r="AQ781" t="str">
        <f>"+14158005959"</f>
        <v>+14158005959</v>
      </c>
      <c r="AS781" t="s">
        <v>2408</v>
      </c>
      <c r="AT781" t="s">
        <v>107</v>
      </c>
      <c r="AU781" t="str">
        <f>"Sheppard"</f>
        <v>Sheppard</v>
      </c>
      <c r="AV781" t="str">
        <f>"Donald"</f>
        <v>Donald</v>
      </c>
      <c r="AW781" t="str">
        <f>"Kyle"</f>
        <v>Kyle</v>
      </c>
      <c r="AX781" t="str">
        <f>"401 West A Street "</f>
        <v xml:space="preserve">401 West A Street </v>
      </c>
      <c r="AY781" t="str">
        <f>"Suite 2600"</f>
        <v>Suite 2600</v>
      </c>
      <c r="AZ781" t="str">
        <f>"San Diego"</f>
        <v>San Diego</v>
      </c>
      <c r="BA781" t="str">
        <f>"CA"</f>
        <v>CA</v>
      </c>
      <c r="BB781" s="3">
        <v>92101</v>
      </c>
      <c r="BC781" t="str">
        <f t="shared" si="55"/>
        <v>UNITED STATES OF AMERICA</v>
      </c>
      <c r="BD781" t="str">
        <f>"CA"</f>
        <v>CA</v>
      </c>
      <c r="BE781" t="str">
        <f>"+16195954243"</f>
        <v>+16195954243</v>
      </c>
      <c r="BF781" t="str">
        <f>""</f>
        <v/>
      </c>
      <c r="BG781" t="str">
        <f>"dsheppard@higgslaw.com"</f>
        <v>dsheppard@higgslaw.com</v>
      </c>
      <c r="BH781" t="str">
        <f>"Higgs Fletcher and Mack LLP"</f>
        <v>Higgs Fletcher and Mack LLP</v>
      </c>
      <c r="BI781" t="str">
        <f>"CA"</f>
        <v>CA</v>
      </c>
      <c r="BJ781" t="str">
        <f>"Supreme Court"</f>
        <v>Supreme Court</v>
      </c>
      <c r="BK781">
        <v>1</v>
      </c>
      <c r="BL781" t="s">
        <v>102</v>
      </c>
      <c r="BM781" t="str">
        <f>""</f>
        <v/>
      </c>
      <c r="BN781" t="s">
        <v>2409</v>
      </c>
      <c r="BO781" t="s">
        <v>2410</v>
      </c>
      <c r="BP781" t="s">
        <v>140</v>
      </c>
      <c r="BQ781" t="s">
        <v>147</v>
      </c>
      <c r="BR781" t="s">
        <v>141</v>
      </c>
      <c r="BS781" s="5">
        <v>94103</v>
      </c>
      <c r="BT781" s="2">
        <v>160000</v>
      </c>
      <c r="BV781" t="s">
        <v>105</v>
      </c>
      <c r="BW781" s="2">
        <v>145246</v>
      </c>
      <c r="BX781" t="s">
        <v>105</v>
      </c>
      <c r="BZ781" t="s">
        <v>123</v>
      </c>
      <c r="CA781" t="str">
        <f t="shared" si="54"/>
        <v>7/1/2020 - 6/30/2021</v>
      </c>
      <c r="CF781">
        <v>1</v>
      </c>
      <c r="CG781" t="s">
        <v>98</v>
      </c>
      <c r="CH781" t="s">
        <v>206</v>
      </c>
      <c r="CI781" t="s">
        <v>206</v>
      </c>
      <c r="CL781" t="s">
        <v>108</v>
      </c>
      <c r="CM781" t="s">
        <v>109</v>
      </c>
      <c r="CN781" t="str">
        <f>""</f>
        <v/>
      </c>
      <c r="CO781" t="str">
        <f>""</f>
        <v/>
      </c>
      <c r="CP781" t="str">
        <f>""</f>
        <v/>
      </c>
      <c r="CQ781" t="str">
        <f>""</f>
        <v/>
      </c>
    </row>
    <row r="782" spans="1:96" x14ac:dyDescent="0.2">
      <c r="A782" t="s">
        <v>9184</v>
      </c>
      <c r="B782" t="s">
        <v>96</v>
      </c>
      <c r="C782" s="1">
        <v>44098</v>
      </c>
      <c r="D782" s="1">
        <v>44105</v>
      </c>
      <c r="F782" t="s">
        <v>97</v>
      </c>
      <c r="G782" t="str">
        <f>"Senior Associate"</f>
        <v>Senior Associate</v>
      </c>
      <c r="H782" t="s">
        <v>12181</v>
      </c>
      <c r="I782" t="s">
        <v>110</v>
      </c>
      <c r="J782" t="s">
        <v>98</v>
      </c>
      <c r="K782" s="1">
        <v>44105</v>
      </c>
      <c r="L782" s="1">
        <v>45199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6654</v>
      </c>
      <c r="U782" t="str">
        <f>""</f>
        <v/>
      </c>
      <c r="V782" t="s">
        <v>5939</v>
      </c>
      <c r="W782" t="str">
        <f>""</f>
        <v/>
      </c>
      <c r="X782" t="s">
        <v>897</v>
      </c>
      <c r="Y782" t="s">
        <v>190</v>
      </c>
      <c r="Z782" s="3">
        <v>10010</v>
      </c>
      <c r="AA782" t="s">
        <v>101</v>
      </c>
      <c r="AC782" s="4" t="str">
        <f>"+12125767000"</f>
        <v>+12125767000</v>
      </c>
      <c r="AE782" t="str">
        <f>"524113"</f>
        <v>524113</v>
      </c>
      <c r="AF782" t="s">
        <v>6655</v>
      </c>
      <c r="AG782" t="s">
        <v>6656</v>
      </c>
      <c r="AH782" t="s">
        <v>108</v>
      </c>
      <c r="AI782" t="s">
        <v>5617</v>
      </c>
      <c r="AJ782" t="s">
        <v>5939</v>
      </c>
      <c r="AK782" t="str">
        <f>"N/A"</f>
        <v>N/A</v>
      </c>
      <c r="AL782" t="s">
        <v>189</v>
      </c>
      <c r="AM782" t="s">
        <v>190</v>
      </c>
      <c r="AN782" s="3">
        <v>10010</v>
      </c>
      <c r="AO782" t="s">
        <v>101</v>
      </c>
      <c r="AQ782" t="str">
        <f>"+12125768993"</f>
        <v>+12125768993</v>
      </c>
      <c r="AS782" t="s">
        <v>6657</v>
      </c>
      <c r="AT782" t="s">
        <v>107</v>
      </c>
      <c r="AU782" t="str">
        <f>"Batista"</f>
        <v>Batista</v>
      </c>
      <c r="AV782" t="str">
        <f>"Mia"</f>
        <v>Mia</v>
      </c>
      <c r="AW782" t="str">
        <f>"N/A"</f>
        <v>N/A</v>
      </c>
      <c r="AX782" t="str">
        <f>"620 Eighth Avenue"</f>
        <v>620 Eighth Avenue</v>
      </c>
      <c r="AY782" t="str">
        <f>"Floor 32"</f>
        <v>Floor 32</v>
      </c>
      <c r="AZ782" t="str">
        <f>"New York"</f>
        <v>New York</v>
      </c>
      <c r="BA782" t="str">
        <f>"NY"</f>
        <v>NY</v>
      </c>
      <c r="BB782" s="3">
        <v>10018</v>
      </c>
      <c r="BC782" t="str">
        <f t="shared" si="55"/>
        <v>UNITED STATES OF AMERICA</v>
      </c>
      <c r="BD782" t="str">
        <f>""</f>
        <v/>
      </c>
      <c r="BE782" t="str">
        <f>"+12122184659"</f>
        <v>+12122184659</v>
      </c>
      <c r="BF782" t="str">
        <f>""</f>
        <v/>
      </c>
      <c r="BG782" t="str">
        <f>"cmagallon@seyfarth.com"</f>
        <v>cmagallon@seyfarth.com</v>
      </c>
      <c r="BH782" t="str">
        <f>"Seyfarth Shaw LLP"</f>
        <v>Seyfarth Shaw LLP</v>
      </c>
      <c r="BI782" t="str">
        <f>"MA"</f>
        <v>MA</v>
      </c>
      <c r="BJ782" t="str">
        <f>"Supreme Judicial Court"</f>
        <v>Supreme Judicial Court</v>
      </c>
      <c r="BK782">
        <v>1</v>
      </c>
      <c r="BL782" t="s">
        <v>102</v>
      </c>
      <c r="BM782" t="str">
        <f>""</f>
        <v/>
      </c>
      <c r="BN782" t="s">
        <v>9185</v>
      </c>
      <c r="BP782" t="s">
        <v>277</v>
      </c>
      <c r="BQ782" t="s">
        <v>189</v>
      </c>
      <c r="BR782" t="s">
        <v>190</v>
      </c>
      <c r="BS782" s="5">
        <v>10010</v>
      </c>
      <c r="BT782" s="2">
        <v>92269</v>
      </c>
      <c r="BU782" s="2">
        <v>114067</v>
      </c>
      <c r="BV782" t="s">
        <v>105</v>
      </c>
      <c r="BW782" s="2">
        <v>92269</v>
      </c>
      <c r="BX782" t="s">
        <v>105</v>
      </c>
      <c r="BZ782" t="s">
        <v>167</v>
      </c>
      <c r="CA782" t="str">
        <f t="shared" si="54"/>
        <v>7/1/2020 - 6/30/2021</v>
      </c>
      <c r="CF782">
        <v>2</v>
      </c>
      <c r="CG782" t="s">
        <v>98</v>
      </c>
      <c r="CH782" t="s">
        <v>206</v>
      </c>
      <c r="CI782" t="s">
        <v>206</v>
      </c>
      <c r="CL782" t="s">
        <v>108</v>
      </c>
      <c r="CM782" t="s">
        <v>109</v>
      </c>
      <c r="CN782" t="str">
        <f>"Magallon"</f>
        <v>Magallon</v>
      </c>
      <c r="CO782" t="str">
        <f>"Cristian"</f>
        <v>Cristian</v>
      </c>
      <c r="CP782" t="str">
        <f>"R"</f>
        <v>R</v>
      </c>
      <c r="CQ782" t="str">
        <f>"Seyfarth Shaw LLP"</f>
        <v>Seyfarth Shaw LLP</v>
      </c>
      <c r="CR782" t="s">
        <v>6658</v>
      </c>
    </row>
    <row r="783" spans="1:96" x14ac:dyDescent="0.2">
      <c r="A783" t="s">
        <v>9200</v>
      </c>
      <c r="B783" t="s">
        <v>96</v>
      </c>
      <c r="C783" s="1">
        <v>44098</v>
      </c>
      <c r="D783" s="1">
        <v>44105</v>
      </c>
      <c r="F783" t="s">
        <v>97</v>
      </c>
      <c r="G783" t="str">
        <f>"EWM Solution Architect"</f>
        <v>EWM Solution Architect</v>
      </c>
      <c r="H783" t="s">
        <v>12169</v>
      </c>
      <c r="I783" t="s">
        <v>124</v>
      </c>
      <c r="J783" t="s">
        <v>98</v>
      </c>
      <c r="K783" s="1">
        <v>44105</v>
      </c>
      <c r="L783" s="1">
        <v>45199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 t="s">
        <v>4299</v>
      </c>
      <c r="U783" t="str">
        <f>""</f>
        <v/>
      </c>
      <c r="V783" t="s">
        <v>4300</v>
      </c>
      <c r="W783" t="str">
        <f>""</f>
        <v/>
      </c>
      <c r="X783" t="s">
        <v>4301</v>
      </c>
      <c r="Y783" t="s">
        <v>225</v>
      </c>
      <c r="Z783" s="3">
        <v>43041</v>
      </c>
      <c r="AA783" t="s">
        <v>101</v>
      </c>
      <c r="AC783" s="4" t="str">
        <f>"+19376457131"</f>
        <v>+19376457131</v>
      </c>
      <c r="AE783" t="str">
        <f>"325311"</f>
        <v>325311</v>
      </c>
      <c r="AF783" t="s">
        <v>4302</v>
      </c>
      <c r="AG783" t="s">
        <v>4303</v>
      </c>
      <c r="AI783" t="s">
        <v>4304</v>
      </c>
      <c r="AJ783" t="s">
        <v>8988</v>
      </c>
      <c r="AK783" t="str">
        <f>""</f>
        <v/>
      </c>
      <c r="AL783" t="s">
        <v>4301</v>
      </c>
      <c r="AM783" t="s">
        <v>225</v>
      </c>
      <c r="AN783" s="3">
        <v>43040</v>
      </c>
      <c r="AO783" t="s">
        <v>101</v>
      </c>
      <c r="AQ783" t="str">
        <f>"+19375785766"</f>
        <v>+19375785766</v>
      </c>
      <c r="AS783" t="s">
        <v>4305</v>
      </c>
      <c r="AT783" t="s">
        <v>107</v>
      </c>
      <c r="AU783" t="str">
        <f>"Hawkins"</f>
        <v>Hawkins</v>
      </c>
      <c r="AV783" t="str">
        <f>"Janora"</f>
        <v>Janora</v>
      </c>
      <c r="AW783" t="str">
        <f>""</f>
        <v/>
      </c>
      <c r="AX783" t="str">
        <f>"1355 Peachtree Street NE"</f>
        <v>1355 Peachtree Street NE</v>
      </c>
      <c r="AY783" t="str">
        <f>"Suite 900"</f>
        <v>Suite 900</v>
      </c>
      <c r="AZ783" t="str">
        <f>"Atlanta"</f>
        <v>Atlanta</v>
      </c>
      <c r="BA783" t="str">
        <f>"GA"</f>
        <v>GA</v>
      </c>
      <c r="BB783" s="3">
        <v>30308</v>
      </c>
      <c r="BC783" t="str">
        <f t="shared" si="55"/>
        <v>UNITED STATES OF AMERICA</v>
      </c>
      <c r="BD783" t="str">
        <f>""</f>
        <v/>
      </c>
      <c r="BE783" t="str">
        <f>"+14048565495"</f>
        <v>+14048565495</v>
      </c>
      <c r="BF783" t="str">
        <f>""</f>
        <v/>
      </c>
      <c r="BG783" t="str">
        <f>"gmorajuarez@fragomen.com"</f>
        <v>gmorajuarez@fragomen.com</v>
      </c>
      <c r="BH783" t="str">
        <f>"Fragomen, Del Rey, Bernsen, &amp; Lowey LLP"</f>
        <v>Fragomen, Del Rey, Bernsen, &amp; Lowey LLP</v>
      </c>
      <c r="BI783" t="str">
        <f>"NY"</f>
        <v>NY</v>
      </c>
      <c r="BJ783" t="str">
        <f>"New York Court of Appeals"</f>
        <v>New York Court of Appeals</v>
      </c>
      <c r="BK783">
        <v>1</v>
      </c>
      <c r="BL783" t="s">
        <v>102</v>
      </c>
      <c r="BM783" t="str">
        <f>""</f>
        <v/>
      </c>
      <c r="BN783" t="s">
        <v>8988</v>
      </c>
      <c r="BP783" t="s">
        <v>4301</v>
      </c>
      <c r="BQ783" t="s">
        <v>2990</v>
      </c>
      <c r="BR783" t="s">
        <v>225</v>
      </c>
      <c r="BS783" s="5">
        <v>43040</v>
      </c>
      <c r="BT783" s="2">
        <v>112091</v>
      </c>
      <c r="BU783" s="2">
        <v>151600</v>
      </c>
      <c r="BV783" t="s">
        <v>105</v>
      </c>
      <c r="BW783" s="2">
        <v>112091</v>
      </c>
      <c r="BX783" t="s">
        <v>105</v>
      </c>
      <c r="BZ783" t="s">
        <v>159</v>
      </c>
      <c r="CA783" t="str">
        <f t="shared" si="54"/>
        <v>7/1/2020 - 6/30/2021</v>
      </c>
      <c r="CF783">
        <v>1</v>
      </c>
      <c r="CG783" t="s">
        <v>98</v>
      </c>
      <c r="CH783" t="s">
        <v>206</v>
      </c>
      <c r="CI783" t="s">
        <v>206</v>
      </c>
      <c r="CL783" t="s">
        <v>108</v>
      </c>
      <c r="CM783" t="s">
        <v>109</v>
      </c>
      <c r="CN783" t="str">
        <f>""</f>
        <v/>
      </c>
      <c r="CO783" t="str">
        <f>""</f>
        <v/>
      </c>
      <c r="CP783" t="str">
        <f>""</f>
        <v/>
      </c>
      <c r="CQ783" t="str">
        <f>""</f>
        <v/>
      </c>
    </row>
    <row r="784" spans="1:96" x14ac:dyDescent="0.2">
      <c r="A784" t="s">
        <v>9204</v>
      </c>
      <c r="B784" t="s">
        <v>96</v>
      </c>
      <c r="C784" s="1">
        <v>44098</v>
      </c>
      <c r="D784" s="1">
        <v>44105</v>
      </c>
      <c r="F784" t="s">
        <v>97</v>
      </c>
      <c r="G784" t="str">
        <f>"Assistant Professor of Clinical Surgery"</f>
        <v>Assistant Professor of Clinical Surgery</v>
      </c>
      <c r="H784" t="s">
        <v>12266</v>
      </c>
      <c r="I784" t="s">
        <v>5485</v>
      </c>
      <c r="J784" t="s">
        <v>98</v>
      </c>
      <c r="K784" s="1">
        <v>44105</v>
      </c>
      <c r="L784" s="1">
        <v>45199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 t="s">
        <v>4821</v>
      </c>
      <c r="U784" t="str">
        <f>""</f>
        <v/>
      </c>
      <c r="V784" t="s">
        <v>4822</v>
      </c>
      <c r="W784" t="str">
        <f>"Suite 100, PO Box 270446"</f>
        <v>Suite 100, PO Box 270446</v>
      </c>
      <c r="X784" t="s">
        <v>2141</v>
      </c>
      <c r="Y784" t="s">
        <v>190</v>
      </c>
      <c r="Z784" s="3">
        <v>14620</v>
      </c>
      <c r="AA784" t="s">
        <v>101</v>
      </c>
      <c r="AC784" s="4" t="str">
        <f>"+15852753314"</f>
        <v>+15852753314</v>
      </c>
      <c r="AE784" t="str">
        <f>"611310"</f>
        <v>611310</v>
      </c>
      <c r="AF784" t="s">
        <v>6642</v>
      </c>
      <c r="AG784" t="s">
        <v>3456</v>
      </c>
      <c r="AH784" t="s">
        <v>666</v>
      </c>
      <c r="AI784" t="s">
        <v>6643</v>
      </c>
      <c r="AJ784" t="s">
        <v>6644</v>
      </c>
      <c r="AK784" t="str">
        <f>"Box 270446"</f>
        <v>Box 270446</v>
      </c>
      <c r="AL784" t="s">
        <v>2141</v>
      </c>
      <c r="AM784" t="s">
        <v>190</v>
      </c>
      <c r="AN784" s="3">
        <v>14627</v>
      </c>
      <c r="AO784" t="s">
        <v>101</v>
      </c>
      <c r="AQ784" t="str">
        <f>"+15852753314"</f>
        <v>+15852753314</v>
      </c>
      <c r="AS784" t="s">
        <v>6645</v>
      </c>
      <c r="AT784" t="s">
        <v>102</v>
      </c>
      <c r="AU784" t="str">
        <f>""</f>
        <v/>
      </c>
      <c r="AV784" t="str">
        <f>""</f>
        <v/>
      </c>
      <c r="AW784" t="str">
        <f>""</f>
        <v/>
      </c>
      <c r="AX784" t="str">
        <f>""</f>
        <v/>
      </c>
      <c r="AY784" t="str">
        <f>""</f>
        <v/>
      </c>
      <c r="AZ784" t="str">
        <f>""</f>
        <v/>
      </c>
      <c r="BA784" t="str">
        <f>""</f>
        <v/>
      </c>
      <c r="BC784" t="str">
        <f>""</f>
        <v/>
      </c>
      <c r="BD784" t="str">
        <f>""</f>
        <v/>
      </c>
      <c r="BE784" t="str">
        <f>""</f>
        <v/>
      </c>
      <c r="BF784" t="str">
        <f>""</f>
        <v/>
      </c>
      <c r="BG784" t="str">
        <f>""</f>
        <v/>
      </c>
      <c r="BH784" t="str">
        <f>""</f>
        <v/>
      </c>
      <c r="BI784" t="str">
        <f>""</f>
        <v/>
      </c>
      <c r="BJ784" t="str">
        <f>""</f>
        <v/>
      </c>
      <c r="BK784">
        <v>1</v>
      </c>
      <c r="BL784" t="s">
        <v>102</v>
      </c>
      <c r="BM784" t="str">
        <f>""</f>
        <v/>
      </c>
      <c r="BN784" t="s">
        <v>9205</v>
      </c>
      <c r="BO784" t="s">
        <v>9206</v>
      </c>
      <c r="BP784" t="s">
        <v>8196</v>
      </c>
      <c r="BQ784" t="s">
        <v>2044</v>
      </c>
      <c r="BR784" t="s">
        <v>190</v>
      </c>
      <c r="BS784" s="5">
        <v>14843</v>
      </c>
      <c r="BT784" s="2">
        <v>375000</v>
      </c>
      <c r="BU784" s="2">
        <v>375001</v>
      </c>
      <c r="BV784" t="s">
        <v>105</v>
      </c>
      <c r="BW784" s="2">
        <v>107245</v>
      </c>
      <c r="BX784" t="s">
        <v>105</v>
      </c>
      <c r="BZ784" t="s">
        <v>167</v>
      </c>
      <c r="CA784" t="str">
        <f t="shared" si="54"/>
        <v>7/1/2020 - 6/30/2021</v>
      </c>
      <c r="CF784">
        <v>2</v>
      </c>
      <c r="CG784" t="s">
        <v>98</v>
      </c>
      <c r="CH784" t="s">
        <v>206</v>
      </c>
      <c r="CI784" t="s">
        <v>206</v>
      </c>
      <c r="CL784" t="s">
        <v>108</v>
      </c>
      <c r="CM784" t="s">
        <v>109</v>
      </c>
      <c r="CN784" t="str">
        <f>""</f>
        <v/>
      </c>
      <c r="CO784" t="str">
        <f>""</f>
        <v/>
      </c>
      <c r="CP784" t="str">
        <f>""</f>
        <v/>
      </c>
      <c r="CQ784" t="str">
        <f>""</f>
        <v/>
      </c>
    </row>
    <row r="785" spans="1:96" x14ac:dyDescent="0.2">
      <c r="A785" t="s">
        <v>9211</v>
      </c>
      <c r="B785" t="s">
        <v>96</v>
      </c>
      <c r="C785" s="1">
        <v>44098</v>
      </c>
      <c r="D785" s="1">
        <v>44105</v>
      </c>
      <c r="F785" t="s">
        <v>97</v>
      </c>
      <c r="G785" t="str">
        <f>"Research Instructor"</f>
        <v>Research Instructor</v>
      </c>
      <c r="H785" t="s">
        <v>12190</v>
      </c>
      <c r="I785" t="s">
        <v>1072</v>
      </c>
      <c r="J785" t="s">
        <v>98</v>
      </c>
      <c r="K785" s="1">
        <v>44136</v>
      </c>
      <c r="L785" s="1">
        <v>45230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3682</v>
      </c>
      <c r="U785" t="str">
        <f>""</f>
        <v/>
      </c>
      <c r="V785" t="s">
        <v>5735</v>
      </c>
      <c r="W785" t="str">
        <f>"708 WPU"</f>
        <v>708 WPU</v>
      </c>
      <c r="X785" t="s">
        <v>333</v>
      </c>
      <c r="Y785" t="s">
        <v>127</v>
      </c>
      <c r="Z785" s="3">
        <v>15213</v>
      </c>
      <c r="AA785" t="s">
        <v>101</v>
      </c>
      <c r="AC785" s="4" t="str">
        <f>"+14126480129"</f>
        <v>+14126480129</v>
      </c>
      <c r="AE785" t="str">
        <f>"611310"</f>
        <v>611310</v>
      </c>
      <c r="AF785" t="s">
        <v>5736</v>
      </c>
      <c r="AG785" t="s">
        <v>2876</v>
      </c>
      <c r="AH785" t="s">
        <v>5737</v>
      </c>
      <c r="AI785" t="s">
        <v>221</v>
      </c>
      <c r="AJ785" t="s">
        <v>5735</v>
      </c>
      <c r="AK785" t="str">
        <f>"708 WPU"</f>
        <v>708 WPU</v>
      </c>
      <c r="AL785" t="s">
        <v>333</v>
      </c>
      <c r="AM785" t="s">
        <v>127</v>
      </c>
      <c r="AN785" s="3">
        <v>15213</v>
      </c>
      <c r="AO785" t="s">
        <v>101</v>
      </c>
      <c r="AQ785" t="str">
        <f>"+14126247120"</f>
        <v>+14126247120</v>
      </c>
      <c r="AS785" t="s">
        <v>5738</v>
      </c>
      <c r="AT785" t="s">
        <v>102</v>
      </c>
      <c r="AU785" t="str">
        <f>""</f>
        <v/>
      </c>
      <c r="AV785" t="str">
        <f>""</f>
        <v/>
      </c>
      <c r="AW785" t="str">
        <f>""</f>
        <v/>
      </c>
      <c r="AX785" t="str">
        <f>""</f>
        <v/>
      </c>
      <c r="AY785" t="str">
        <f>""</f>
        <v/>
      </c>
      <c r="AZ785" t="str">
        <f>""</f>
        <v/>
      </c>
      <c r="BA785" t="str">
        <f>""</f>
        <v/>
      </c>
      <c r="BC785" t="str">
        <f>""</f>
        <v/>
      </c>
      <c r="BD785" t="str">
        <f>""</f>
        <v/>
      </c>
      <c r="BE785" t="str">
        <f>""</f>
        <v/>
      </c>
      <c r="BF785" t="str">
        <f>""</f>
        <v/>
      </c>
      <c r="BG785" t="str">
        <f>""</f>
        <v/>
      </c>
      <c r="BH785" t="str">
        <f>""</f>
        <v/>
      </c>
      <c r="BI785" t="str">
        <f>""</f>
        <v/>
      </c>
      <c r="BJ785" t="str">
        <f>""</f>
        <v/>
      </c>
      <c r="BK785">
        <v>1</v>
      </c>
      <c r="BL785" t="s">
        <v>102</v>
      </c>
      <c r="BM785" t="str">
        <f>""</f>
        <v/>
      </c>
      <c r="BN785" t="s">
        <v>6297</v>
      </c>
      <c r="BP785" t="s">
        <v>333</v>
      </c>
      <c r="BQ785" t="s">
        <v>861</v>
      </c>
      <c r="BR785" t="s">
        <v>127</v>
      </c>
      <c r="BS785" s="5">
        <v>15219</v>
      </c>
      <c r="BT785" s="2">
        <v>52210</v>
      </c>
      <c r="BV785" t="s">
        <v>105</v>
      </c>
      <c r="BW785" s="2">
        <v>40768</v>
      </c>
      <c r="BX785" t="s">
        <v>105</v>
      </c>
      <c r="BZ785" t="s">
        <v>191</v>
      </c>
      <c r="CA785" t="str">
        <f t="shared" si="54"/>
        <v>7/1/2020 - 6/30/2021</v>
      </c>
      <c r="CF785">
        <v>1</v>
      </c>
      <c r="CG785" t="s">
        <v>98</v>
      </c>
      <c r="CH785" t="s">
        <v>206</v>
      </c>
      <c r="CI785" t="s">
        <v>206</v>
      </c>
      <c r="CL785" t="s">
        <v>108</v>
      </c>
      <c r="CM785" t="s">
        <v>109</v>
      </c>
      <c r="CN785" t="str">
        <f>""</f>
        <v/>
      </c>
      <c r="CO785" t="str">
        <f>""</f>
        <v/>
      </c>
      <c r="CP785" t="str">
        <f>""</f>
        <v/>
      </c>
      <c r="CQ785" t="str">
        <f>""</f>
        <v/>
      </c>
    </row>
    <row r="786" spans="1:96" x14ac:dyDescent="0.2">
      <c r="A786" t="s">
        <v>9216</v>
      </c>
      <c r="B786" t="s">
        <v>96</v>
      </c>
      <c r="C786" s="1">
        <v>44098</v>
      </c>
      <c r="D786" s="1">
        <v>44105</v>
      </c>
      <c r="F786" t="s">
        <v>97</v>
      </c>
      <c r="G786" t="str">
        <f>"Associate Product Manager"</f>
        <v>Associate Product Manager</v>
      </c>
      <c r="H786" t="s">
        <v>12168</v>
      </c>
      <c r="I786" t="s">
        <v>367</v>
      </c>
      <c r="J786" t="s">
        <v>98</v>
      </c>
      <c r="K786" s="1">
        <v>44105</v>
      </c>
      <c r="L786" s="1">
        <v>45199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8667</v>
      </c>
      <c r="U786" t="str">
        <f>""</f>
        <v/>
      </c>
      <c r="V786" t="s">
        <v>8668</v>
      </c>
      <c r="W786" t="str">
        <f>""</f>
        <v/>
      </c>
      <c r="X786" t="s">
        <v>140</v>
      </c>
      <c r="Y786" t="s">
        <v>141</v>
      </c>
      <c r="Z786" s="3">
        <v>94103</v>
      </c>
      <c r="AA786" t="s">
        <v>101</v>
      </c>
      <c r="AC786" s="4" t="str">
        <f>"+14157774868"</f>
        <v>+14157774868</v>
      </c>
      <c r="AE786" t="str">
        <f>"541511"</f>
        <v>541511</v>
      </c>
      <c r="AF786" t="s">
        <v>1725</v>
      </c>
      <c r="AG786" t="s">
        <v>1726</v>
      </c>
      <c r="AI786" t="s">
        <v>1111</v>
      </c>
      <c r="AJ786" t="s">
        <v>1727</v>
      </c>
      <c r="AK786" t="str">
        <f>""</f>
        <v/>
      </c>
      <c r="AL786" t="s">
        <v>765</v>
      </c>
      <c r="AM786" t="s">
        <v>114</v>
      </c>
      <c r="AN786" s="3">
        <v>78730</v>
      </c>
      <c r="AO786" t="s">
        <v>101</v>
      </c>
      <c r="AQ786" t="str">
        <f>"+15128133261"</f>
        <v>+15128133261</v>
      </c>
      <c r="AS786" t="s">
        <v>1728</v>
      </c>
      <c r="AT786" t="s">
        <v>107</v>
      </c>
      <c r="AU786" t="str">
        <f>"MCLAUGHLIN"</f>
        <v>MCLAUGHLIN</v>
      </c>
      <c r="AV786" t="str">
        <f>"KYLE"</f>
        <v>KYLE</v>
      </c>
      <c r="AW786" t="str">
        <f>"R"</f>
        <v>R</v>
      </c>
      <c r="AX786" t="str">
        <f>"301 CONGRESS AVE. "</f>
        <v xml:space="preserve">301 CONGRESS AVE. </v>
      </c>
      <c r="AY786" t="str">
        <f>"SUITE 1150"</f>
        <v>SUITE 1150</v>
      </c>
      <c r="AZ786" t="str">
        <f>"AUSTIN"</f>
        <v>AUSTIN</v>
      </c>
      <c r="BA786" t="str">
        <f>"TX"</f>
        <v>TX</v>
      </c>
      <c r="BB786" s="3">
        <v>78701</v>
      </c>
      <c r="BC786" t="str">
        <f t="shared" ref="BC786:BC791" si="56">"UNITED STATES OF AMERICA"</f>
        <v>UNITED STATES OF AMERICA</v>
      </c>
      <c r="BD786" t="str">
        <f>""</f>
        <v/>
      </c>
      <c r="BE786" t="str">
        <f>"+15123444700"</f>
        <v>+15123444700</v>
      </c>
      <c r="BF786" t="str">
        <f>""</f>
        <v/>
      </c>
      <c r="BG786" t="str">
        <f>"claudia.garza@ogletree.com"</f>
        <v>claudia.garza@ogletree.com</v>
      </c>
      <c r="BH786" t="str">
        <f>"Ogletree, Deakins, Nash, Smoak &amp; Stewart, P.C."</f>
        <v>Ogletree, Deakins, Nash, Smoak &amp; Stewart, P.C.</v>
      </c>
      <c r="BI786" t="str">
        <f>"TX"</f>
        <v>TX</v>
      </c>
      <c r="BJ786" t="str">
        <f>"SUPREME COURT OF TEXAS"</f>
        <v>SUPREME COURT OF TEXAS</v>
      </c>
      <c r="BK786">
        <v>1</v>
      </c>
      <c r="BL786" t="s">
        <v>102</v>
      </c>
      <c r="BM786" t="str">
        <f>""</f>
        <v/>
      </c>
      <c r="BN786" t="s">
        <v>6168</v>
      </c>
      <c r="BP786" t="s">
        <v>568</v>
      </c>
      <c r="BQ786" t="s">
        <v>230</v>
      </c>
      <c r="BR786" t="s">
        <v>141</v>
      </c>
      <c r="BS786" s="5">
        <v>94304</v>
      </c>
      <c r="BT786" s="2">
        <v>110000</v>
      </c>
      <c r="BV786" t="s">
        <v>105</v>
      </c>
      <c r="BW786" s="2">
        <v>84490</v>
      </c>
      <c r="BX786" t="s">
        <v>105</v>
      </c>
      <c r="BZ786" t="s">
        <v>191</v>
      </c>
      <c r="CA786" t="str">
        <f t="shared" si="54"/>
        <v>7/1/2020 - 6/30/2021</v>
      </c>
      <c r="CF786">
        <v>2</v>
      </c>
      <c r="CG786" t="s">
        <v>98</v>
      </c>
      <c r="CH786" t="s">
        <v>206</v>
      </c>
      <c r="CI786" t="s">
        <v>206</v>
      </c>
      <c r="CL786" t="s">
        <v>108</v>
      </c>
      <c r="CM786" t="s">
        <v>109</v>
      </c>
      <c r="CN786" t="str">
        <f>""</f>
        <v/>
      </c>
      <c r="CO786" t="str">
        <f>""</f>
        <v/>
      </c>
      <c r="CP786" t="str">
        <f>""</f>
        <v/>
      </c>
      <c r="CQ786" t="str">
        <f>""</f>
        <v/>
      </c>
    </row>
    <row r="787" spans="1:96" x14ac:dyDescent="0.2">
      <c r="A787" t="s">
        <v>9217</v>
      </c>
      <c r="B787" t="s">
        <v>96</v>
      </c>
      <c r="C787" s="1">
        <v>44098</v>
      </c>
      <c r="D787" s="1">
        <v>44105</v>
      </c>
      <c r="F787" t="s">
        <v>97</v>
      </c>
      <c r="G787" t="str">
        <f>"Growth Product Manager"</f>
        <v>Growth Product Manager</v>
      </c>
      <c r="H787" t="s">
        <v>12180</v>
      </c>
      <c r="I787" t="s">
        <v>390</v>
      </c>
      <c r="J787" t="s">
        <v>98</v>
      </c>
      <c r="K787" s="1">
        <v>44250</v>
      </c>
      <c r="L787" s="1">
        <v>45344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 t="s">
        <v>5668</v>
      </c>
      <c r="U787" t="str">
        <f>""</f>
        <v/>
      </c>
      <c r="V787" t="s">
        <v>5674</v>
      </c>
      <c r="W787" t="str">
        <f>""</f>
        <v/>
      </c>
      <c r="X787" t="s">
        <v>140</v>
      </c>
      <c r="Y787" t="s">
        <v>141</v>
      </c>
      <c r="Z787" s="3">
        <v>94158</v>
      </c>
      <c r="AA787" t="s">
        <v>101</v>
      </c>
      <c r="AC787" s="4" t="str">
        <f>"+14159308859"</f>
        <v>+14159308859</v>
      </c>
      <c r="AE787" t="str">
        <f>"518210"</f>
        <v>518210</v>
      </c>
      <c r="AF787" t="s">
        <v>5670</v>
      </c>
      <c r="AG787" t="s">
        <v>5671</v>
      </c>
      <c r="AI787" t="s">
        <v>5672</v>
      </c>
      <c r="AJ787" t="s">
        <v>5669</v>
      </c>
      <c r="AK787" t="str">
        <f>""</f>
        <v/>
      </c>
      <c r="AL787" t="s">
        <v>147</v>
      </c>
      <c r="AM787" t="s">
        <v>141</v>
      </c>
      <c r="AN787" s="3">
        <v>94158</v>
      </c>
      <c r="AO787" t="s">
        <v>101</v>
      </c>
      <c r="AQ787" t="str">
        <f>"+14159308859"</f>
        <v>+14159308859</v>
      </c>
      <c r="AS787" t="s">
        <v>5673</v>
      </c>
      <c r="AT787" t="s">
        <v>107</v>
      </c>
      <c r="AU787" t="str">
        <f>"Mejia-Opaciuch"</f>
        <v>Mejia-Opaciuch</v>
      </c>
      <c r="AV787" t="str">
        <f>"Maria"</f>
        <v>Maria</v>
      </c>
      <c r="AW787" t="str">
        <f>""</f>
        <v/>
      </c>
      <c r="AX787" t="str">
        <f>"2400 N Gelnville Drive, Building A"</f>
        <v>2400 N Gelnville Drive, Building A</v>
      </c>
      <c r="AY787" t="str">
        <f>""</f>
        <v/>
      </c>
      <c r="AZ787" t="str">
        <f>"Richardson"</f>
        <v>Richardson</v>
      </c>
      <c r="BA787" t="str">
        <f>"TX"</f>
        <v>TX</v>
      </c>
      <c r="BB787" s="3">
        <v>75082</v>
      </c>
      <c r="BC787" t="str">
        <f t="shared" si="56"/>
        <v>UNITED STATES OF AMERICA</v>
      </c>
      <c r="BD787" t="str">
        <f>""</f>
        <v/>
      </c>
      <c r="BE787" t="str">
        <f>"+14692909128"</f>
        <v>+14692909128</v>
      </c>
      <c r="BF787" t="str">
        <f>""</f>
        <v/>
      </c>
      <c r="BG787" t="str">
        <f>"mmejiaopaciuch@balglobal.com"</f>
        <v>mmejiaopaciuch@balglobal.com</v>
      </c>
      <c r="BH787" t="str">
        <f>"Berry Appleman &amp; Leiden LLP"</f>
        <v>Berry Appleman &amp; Leiden LLP</v>
      </c>
      <c r="BI787" t="str">
        <f>"NY"</f>
        <v>NY</v>
      </c>
      <c r="BJ787" t="str">
        <f>"New York State Supreme Court"</f>
        <v>New York State Supreme Court</v>
      </c>
      <c r="BK787">
        <v>1</v>
      </c>
      <c r="BL787" t="s">
        <v>102</v>
      </c>
      <c r="BM787" t="str">
        <f>""</f>
        <v/>
      </c>
      <c r="BN787" t="s">
        <v>9218</v>
      </c>
      <c r="BP787" t="s">
        <v>140</v>
      </c>
      <c r="BQ787" t="s">
        <v>147</v>
      </c>
      <c r="BR787" t="s">
        <v>141</v>
      </c>
      <c r="BS787" s="5">
        <v>94158</v>
      </c>
      <c r="BT787" s="2">
        <v>130900</v>
      </c>
      <c r="BU787" s="2">
        <v>177100</v>
      </c>
      <c r="BV787" t="s">
        <v>105</v>
      </c>
      <c r="BW787" s="2">
        <v>125965</v>
      </c>
      <c r="BX787" t="s">
        <v>105</v>
      </c>
      <c r="BZ787" t="s">
        <v>123</v>
      </c>
      <c r="CA787" t="str">
        <f t="shared" si="54"/>
        <v>7/1/2020 - 6/30/2021</v>
      </c>
      <c r="CF787">
        <v>1</v>
      </c>
      <c r="CG787" t="s">
        <v>98</v>
      </c>
      <c r="CH787" t="s">
        <v>206</v>
      </c>
      <c r="CI787" t="s">
        <v>206</v>
      </c>
      <c r="CL787" t="s">
        <v>108</v>
      </c>
      <c r="CM787" t="s">
        <v>109</v>
      </c>
      <c r="CN787" t="str">
        <f>""</f>
        <v/>
      </c>
      <c r="CO787" t="str">
        <f>""</f>
        <v/>
      </c>
      <c r="CP787" t="str">
        <f>""</f>
        <v/>
      </c>
      <c r="CQ787" t="str">
        <f>""</f>
        <v/>
      </c>
    </row>
    <row r="788" spans="1:96" x14ac:dyDescent="0.2">
      <c r="A788" t="s">
        <v>9219</v>
      </c>
      <c r="B788" t="s">
        <v>96</v>
      </c>
      <c r="C788" s="1">
        <v>44098</v>
      </c>
      <c r="D788" s="1">
        <v>44105</v>
      </c>
      <c r="F788" t="s">
        <v>97</v>
      </c>
      <c r="G788" t="str">
        <f>"Technologist - ETL"</f>
        <v>Technologist - ETL</v>
      </c>
      <c r="H788" t="s">
        <v>12225</v>
      </c>
      <c r="I788" t="s">
        <v>628</v>
      </c>
      <c r="J788" t="s">
        <v>98</v>
      </c>
      <c r="K788" s="1">
        <v>44098</v>
      </c>
      <c r="L788" s="1">
        <v>45192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 t="s">
        <v>9220</v>
      </c>
      <c r="U788" t="str">
        <f>""</f>
        <v/>
      </c>
      <c r="V788" t="s">
        <v>9221</v>
      </c>
      <c r="W788" t="str">
        <f>""</f>
        <v/>
      </c>
      <c r="X788" t="s">
        <v>1984</v>
      </c>
      <c r="Y788" t="s">
        <v>100</v>
      </c>
      <c r="Z788" s="3">
        <v>8102</v>
      </c>
      <c r="AA788" t="s">
        <v>101</v>
      </c>
      <c r="AB788" t="s">
        <v>1529</v>
      </c>
      <c r="AC788" s="4" t="str">
        <f>"+18567822334"</f>
        <v>+18567822334</v>
      </c>
      <c r="AE788" t="str">
        <f>"221310"</f>
        <v>221310</v>
      </c>
      <c r="AF788" t="s">
        <v>761</v>
      </c>
      <c r="AG788" t="s">
        <v>2276</v>
      </c>
      <c r="AI788" t="s">
        <v>9222</v>
      </c>
      <c r="AJ788" t="s">
        <v>8112</v>
      </c>
      <c r="AK788" t="str">
        <f>""</f>
        <v/>
      </c>
      <c r="AL788" t="s">
        <v>1984</v>
      </c>
      <c r="AM788" t="s">
        <v>100</v>
      </c>
      <c r="AN788" s="3">
        <v>8102</v>
      </c>
      <c r="AO788" t="s">
        <v>101</v>
      </c>
      <c r="AQ788" t="str">
        <f>"+18567822334"</f>
        <v>+18567822334</v>
      </c>
      <c r="AS788" t="s">
        <v>9223</v>
      </c>
      <c r="AT788" t="s">
        <v>107</v>
      </c>
      <c r="AU788" t="str">
        <f>"Rayer"</f>
        <v>Rayer</v>
      </c>
      <c r="AV788" t="str">
        <f>"Frances"</f>
        <v>Frances</v>
      </c>
      <c r="AW788" t="str">
        <f>"Patricia"</f>
        <v>Patricia</v>
      </c>
      <c r="AX788" t="str">
        <f>"1650 Market St., One Liberty Place"</f>
        <v>1650 Market St., One Liberty Place</v>
      </c>
      <c r="AY788" t="str">
        <f>"Suite 2800"</f>
        <v>Suite 2800</v>
      </c>
      <c r="AZ788" t="str">
        <f>"Philadelphia"</f>
        <v>Philadelphia</v>
      </c>
      <c r="BA788" t="str">
        <f>"PA"</f>
        <v>PA</v>
      </c>
      <c r="BB788" s="3">
        <v>19103</v>
      </c>
      <c r="BC788" t="str">
        <f t="shared" si="56"/>
        <v>UNITED STATES OF AMERICA</v>
      </c>
      <c r="BD788" t="str">
        <f>""</f>
        <v/>
      </c>
      <c r="BE788" t="str">
        <f>"+12156653704"</f>
        <v>+12156653704</v>
      </c>
      <c r="BF788" t="str">
        <f>""</f>
        <v/>
      </c>
      <c r="BG788" t="str">
        <f>"frayer@cozen.com"</f>
        <v>frayer@cozen.com</v>
      </c>
      <c r="BH788" t="str">
        <f>"Cozen O'Connor"</f>
        <v>Cozen O'Connor</v>
      </c>
      <c r="BI788" t="str">
        <f>"PA"</f>
        <v>PA</v>
      </c>
      <c r="BJ788" t="str">
        <f>"Supreme Court of Pennsylvania"</f>
        <v>Supreme Court of Pennsylvania</v>
      </c>
      <c r="BK788">
        <v>1</v>
      </c>
      <c r="BL788" t="s">
        <v>102</v>
      </c>
      <c r="BM788" t="str">
        <f>""</f>
        <v/>
      </c>
      <c r="BN788" t="s">
        <v>9224</v>
      </c>
      <c r="BP788" t="s">
        <v>9225</v>
      </c>
      <c r="BQ788" t="s">
        <v>1503</v>
      </c>
      <c r="BR788" t="s">
        <v>100</v>
      </c>
      <c r="BS788" s="5">
        <v>8691</v>
      </c>
      <c r="BT788" s="2">
        <v>103500</v>
      </c>
      <c r="BV788" t="s">
        <v>105</v>
      </c>
      <c r="BW788" s="2">
        <v>90584</v>
      </c>
      <c r="BX788" t="s">
        <v>105</v>
      </c>
      <c r="BZ788" t="s">
        <v>167</v>
      </c>
      <c r="CA788" t="str">
        <f t="shared" si="54"/>
        <v>7/1/2020 - 6/30/2021</v>
      </c>
      <c r="CF788">
        <v>2</v>
      </c>
      <c r="CG788" t="s">
        <v>98</v>
      </c>
      <c r="CH788" t="s">
        <v>206</v>
      </c>
      <c r="CI788" t="s">
        <v>206</v>
      </c>
      <c r="CL788" t="s">
        <v>108</v>
      </c>
      <c r="CM788" t="s">
        <v>109</v>
      </c>
      <c r="CN788" t="str">
        <f>""</f>
        <v/>
      </c>
      <c r="CO788" t="str">
        <f>""</f>
        <v/>
      </c>
      <c r="CP788" t="str">
        <f>""</f>
        <v/>
      </c>
      <c r="CQ788" t="str">
        <f>""</f>
        <v/>
      </c>
    </row>
    <row r="789" spans="1:96" x14ac:dyDescent="0.2">
      <c r="A789" t="s">
        <v>9305</v>
      </c>
      <c r="B789" t="s">
        <v>96</v>
      </c>
      <c r="C789" s="1">
        <v>44098</v>
      </c>
      <c r="D789" s="1">
        <v>44105</v>
      </c>
      <c r="F789" t="s">
        <v>97</v>
      </c>
      <c r="G789" t="str">
        <f>"Senior Software Engineer in Test"</f>
        <v>Senior Software Engineer in Test</v>
      </c>
      <c r="H789" t="s">
        <v>12169</v>
      </c>
      <c r="I789" t="s">
        <v>124</v>
      </c>
      <c r="J789" t="s">
        <v>98</v>
      </c>
      <c r="K789" s="1">
        <v>44109</v>
      </c>
      <c r="L789" s="1">
        <v>45203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 t="s">
        <v>5769</v>
      </c>
      <c r="U789" t="str">
        <f>""</f>
        <v/>
      </c>
      <c r="V789" t="s">
        <v>4997</v>
      </c>
      <c r="W789" t="str">
        <f>""</f>
        <v/>
      </c>
      <c r="X789" t="s">
        <v>677</v>
      </c>
      <c r="Y789" t="s">
        <v>171</v>
      </c>
      <c r="Z789" s="3">
        <v>1864</v>
      </c>
      <c r="AA789" t="s">
        <v>101</v>
      </c>
      <c r="AC789" s="4" t="str">
        <f>"+19783966110"</f>
        <v>+19783966110</v>
      </c>
      <c r="AE789" t="str">
        <f>"541512"</f>
        <v>541512</v>
      </c>
      <c r="AF789" t="s">
        <v>4998</v>
      </c>
      <c r="AG789" t="s">
        <v>196</v>
      </c>
      <c r="AI789" t="s">
        <v>1697</v>
      </c>
      <c r="AJ789" t="s">
        <v>4997</v>
      </c>
      <c r="AK789" t="str">
        <f>"Suite 200"</f>
        <v>Suite 200</v>
      </c>
      <c r="AL789" t="s">
        <v>677</v>
      </c>
      <c r="AM789" t="s">
        <v>171</v>
      </c>
      <c r="AN789" s="3">
        <v>1864</v>
      </c>
      <c r="AO789" t="s">
        <v>101</v>
      </c>
      <c r="AQ789" t="str">
        <f>"+19783966110"</f>
        <v>+19783966110</v>
      </c>
      <c r="AS789" t="s">
        <v>4999</v>
      </c>
      <c r="AT789" t="s">
        <v>107</v>
      </c>
      <c r="AU789" t="str">
        <f>"Porter"</f>
        <v>Porter</v>
      </c>
      <c r="AV789" t="str">
        <f>"Danielle"</f>
        <v>Danielle</v>
      </c>
      <c r="AW789" t="str">
        <f>"A."</f>
        <v>A.</v>
      </c>
      <c r="AX789" t="str">
        <f>"One Financial Center"</f>
        <v>One Financial Center</v>
      </c>
      <c r="AY789" t="str">
        <f>""</f>
        <v/>
      </c>
      <c r="AZ789" t="str">
        <f>"Boston"</f>
        <v>Boston</v>
      </c>
      <c r="BA789" t="str">
        <f>"MA"</f>
        <v>MA</v>
      </c>
      <c r="BB789" s="3">
        <v>2111</v>
      </c>
      <c r="BC789" t="str">
        <f t="shared" si="56"/>
        <v>UNITED STATES OF AMERICA</v>
      </c>
      <c r="BD789" t="str">
        <f>""</f>
        <v/>
      </c>
      <c r="BE789" t="str">
        <f>"+16175426000"</f>
        <v>+16175426000</v>
      </c>
      <c r="BF789" t="str">
        <f>""</f>
        <v/>
      </c>
      <c r="BG789" t="str">
        <f>"DAPorter@mintz.com"</f>
        <v>DAPorter@mintz.com</v>
      </c>
      <c r="BH789" t="str">
        <f>"Mintz Levin Cohn Ferris Glovsky and Popeo PC"</f>
        <v>Mintz Levin Cohn Ferris Glovsky and Popeo PC</v>
      </c>
      <c r="BI789" t="str">
        <f>"MA"</f>
        <v>MA</v>
      </c>
      <c r="BJ789" t="str">
        <f>"Supreme Judicial Court"</f>
        <v>Supreme Judicial Court</v>
      </c>
      <c r="BK789">
        <v>1</v>
      </c>
      <c r="BL789" t="s">
        <v>102</v>
      </c>
      <c r="BM789" t="str">
        <f>""</f>
        <v/>
      </c>
      <c r="BN789" t="s">
        <v>4997</v>
      </c>
      <c r="BO789" t="s">
        <v>787</v>
      </c>
      <c r="BP789" t="s">
        <v>677</v>
      </c>
      <c r="BQ789" t="s">
        <v>678</v>
      </c>
      <c r="BR789" t="s">
        <v>171</v>
      </c>
      <c r="BS789" s="5">
        <v>1864</v>
      </c>
      <c r="BT789" s="2">
        <v>128000</v>
      </c>
      <c r="BV789" t="s">
        <v>105</v>
      </c>
      <c r="BW789" s="2">
        <v>115939</v>
      </c>
      <c r="BX789" t="s">
        <v>105</v>
      </c>
      <c r="BZ789" t="s">
        <v>123</v>
      </c>
      <c r="CA789" t="str">
        <f t="shared" si="54"/>
        <v>7/1/2020 - 6/30/2021</v>
      </c>
      <c r="CF789">
        <v>2</v>
      </c>
      <c r="CG789" t="s">
        <v>98</v>
      </c>
      <c r="CH789" t="s">
        <v>206</v>
      </c>
      <c r="CI789" t="s">
        <v>206</v>
      </c>
      <c r="CL789" t="s">
        <v>108</v>
      </c>
      <c r="CM789" t="s">
        <v>109</v>
      </c>
      <c r="CN789" t="str">
        <f>"Budd"</f>
        <v>Budd</v>
      </c>
      <c r="CO789" t="str">
        <f>"Richard"</f>
        <v>Richard</v>
      </c>
      <c r="CP789" t="str">
        <f>""</f>
        <v/>
      </c>
      <c r="CQ789" t="str">
        <f>"Mintz, Levin, Cohn, Ferris, Glovsky and Popeo, P.C."</f>
        <v>Mintz, Levin, Cohn, Ferris, Glovsky and Popeo, P.C.</v>
      </c>
      <c r="CR789" t="s">
        <v>4341</v>
      </c>
    </row>
    <row r="790" spans="1:96" x14ac:dyDescent="0.2">
      <c r="A790" t="s">
        <v>9311</v>
      </c>
      <c r="B790" t="s">
        <v>96</v>
      </c>
      <c r="C790" s="1">
        <v>44098</v>
      </c>
      <c r="D790" s="1">
        <v>44105</v>
      </c>
      <c r="F790" t="s">
        <v>97</v>
      </c>
      <c r="G790" t="str">
        <f>"Software Engineer"</f>
        <v>Software Engineer</v>
      </c>
      <c r="H790" t="s">
        <v>12176</v>
      </c>
      <c r="I790" t="s">
        <v>246</v>
      </c>
      <c r="J790" t="s">
        <v>98</v>
      </c>
      <c r="K790" s="1">
        <v>44105</v>
      </c>
      <c r="L790" s="1">
        <v>45199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1711</v>
      </c>
      <c r="U790" t="str">
        <f>""</f>
        <v/>
      </c>
      <c r="V790" t="s">
        <v>1712</v>
      </c>
      <c r="W790" t="str">
        <f>""</f>
        <v/>
      </c>
      <c r="X790" t="s">
        <v>1428</v>
      </c>
      <c r="Y790" t="s">
        <v>577</v>
      </c>
      <c r="Z790" s="3">
        <v>33169</v>
      </c>
      <c r="AA790" t="s">
        <v>101</v>
      </c>
      <c r="AC790" s="4" t="str">
        <f>"+13056286117"</f>
        <v>+13056286117</v>
      </c>
      <c r="AE790" t="str">
        <f>"621112"</f>
        <v>621112</v>
      </c>
      <c r="AF790" t="s">
        <v>1713</v>
      </c>
      <c r="AG790" t="s">
        <v>1714</v>
      </c>
      <c r="AI790" t="s">
        <v>1715</v>
      </c>
      <c r="AJ790" t="s">
        <v>1712</v>
      </c>
      <c r="AK790" t="str">
        <f>""</f>
        <v/>
      </c>
      <c r="AL790" t="s">
        <v>1428</v>
      </c>
      <c r="AM790" t="s">
        <v>577</v>
      </c>
      <c r="AN790" s="3">
        <v>33169</v>
      </c>
      <c r="AO790" t="s">
        <v>101</v>
      </c>
      <c r="AQ790" t="str">
        <f>"+13056286117"</f>
        <v>+13056286117</v>
      </c>
      <c r="AS790" t="s">
        <v>1716</v>
      </c>
      <c r="AT790" t="s">
        <v>107</v>
      </c>
      <c r="AU790" t="str">
        <f>"Spiegel"</f>
        <v>Spiegel</v>
      </c>
      <c r="AV790" t="str">
        <f>"Lisa"</f>
        <v>Lisa</v>
      </c>
      <c r="AW790" t="str">
        <f>""</f>
        <v/>
      </c>
      <c r="AX790" t="str">
        <f>"One Market Plaza, Spear Tower"</f>
        <v>One Market Plaza, Spear Tower</v>
      </c>
      <c r="AY790" t="str">
        <f>"Suite 2200"</f>
        <v>Suite 2200</v>
      </c>
      <c r="AZ790" t="str">
        <f>"San Francisco"</f>
        <v>San Francisco</v>
      </c>
      <c r="BA790" t="str">
        <f>"CA"</f>
        <v>CA</v>
      </c>
      <c r="BB790" s="3">
        <v>94105</v>
      </c>
      <c r="BC790" t="str">
        <f t="shared" si="56"/>
        <v>UNITED STATES OF AMERICA</v>
      </c>
      <c r="BD790" t="str">
        <f>""</f>
        <v/>
      </c>
      <c r="BE790" t="str">
        <f>"+14159573069"</f>
        <v>+14159573069</v>
      </c>
      <c r="BF790" t="str">
        <f>""</f>
        <v/>
      </c>
      <c r="BG790" t="str">
        <f>"lspiegel@duanemorris.com"</f>
        <v>lspiegel@duanemorris.com</v>
      </c>
      <c r="BH790" t="str">
        <f>"Duane Morris LLP"</f>
        <v>Duane Morris LLP</v>
      </c>
      <c r="BI790" t="str">
        <f>"CA"</f>
        <v>CA</v>
      </c>
      <c r="BJ790" t="str">
        <f>"California Supreme Court"</f>
        <v>California Supreme Court</v>
      </c>
      <c r="BK790">
        <v>1</v>
      </c>
      <c r="BL790" t="s">
        <v>102</v>
      </c>
      <c r="BM790" t="str">
        <f>""</f>
        <v/>
      </c>
      <c r="BN790" t="s">
        <v>1712</v>
      </c>
      <c r="BP790" t="s">
        <v>1428</v>
      </c>
      <c r="BQ790" t="s">
        <v>820</v>
      </c>
      <c r="BR790" t="s">
        <v>577</v>
      </c>
      <c r="BS790" s="5">
        <v>33169</v>
      </c>
      <c r="BT790" s="2">
        <v>115000</v>
      </c>
      <c r="BV790" t="s">
        <v>105</v>
      </c>
      <c r="BW790" s="2">
        <v>80995</v>
      </c>
      <c r="BX790" t="s">
        <v>105</v>
      </c>
      <c r="BZ790" t="s">
        <v>167</v>
      </c>
      <c r="CA790" t="str">
        <f t="shared" si="54"/>
        <v>7/1/2020 - 6/30/2021</v>
      </c>
      <c r="CF790">
        <v>1</v>
      </c>
      <c r="CG790" t="s">
        <v>98</v>
      </c>
      <c r="CH790" t="s">
        <v>206</v>
      </c>
      <c r="CI790" t="s">
        <v>206</v>
      </c>
      <c r="CL790" t="s">
        <v>108</v>
      </c>
      <c r="CM790" t="s">
        <v>109</v>
      </c>
      <c r="CN790" t="str">
        <f>"Kondrashuk"</f>
        <v>Kondrashuk</v>
      </c>
      <c r="CO790" t="str">
        <f>"Tatyana"</f>
        <v>Tatyana</v>
      </c>
      <c r="CP790" t="str">
        <f>""</f>
        <v/>
      </c>
      <c r="CQ790" t="str">
        <f>"Duane Morris LLP"</f>
        <v>Duane Morris LLP</v>
      </c>
      <c r="CR790" t="s">
        <v>1718</v>
      </c>
    </row>
    <row r="791" spans="1:96" x14ac:dyDescent="0.2">
      <c r="A791" t="s">
        <v>9312</v>
      </c>
      <c r="B791" t="s">
        <v>96</v>
      </c>
      <c r="C791" s="1">
        <v>44098</v>
      </c>
      <c r="D791" s="1">
        <v>44105</v>
      </c>
      <c r="F791" t="s">
        <v>97</v>
      </c>
      <c r="G791" t="str">
        <f>"Program Manager - Airborne Electronics"</f>
        <v>Program Manager - Airborne Electronics</v>
      </c>
      <c r="H791" t="s">
        <v>12179</v>
      </c>
      <c r="I791" t="s">
        <v>1357</v>
      </c>
      <c r="J791" t="s">
        <v>98</v>
      </c>
      <c r="K791" s="1">
        <v>44109</v>
      </c>
      <c r="L791" s="1">
        <v>45203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4546</v>
      </c>
      <c r="U791" t="str">
        <f>""</f>
        <v/>
      </c>
      <c r="V791" t="s">
        <v>4547</v>
      </c>
      <c r="W791" t="str">
        <f>""</f>
        <v/>
      </c>
      <c r="X791" t="s">
        <v>4027</v>
      </c>
      <c r="Y791" t="s">
        <v>141</v>
      </c>
      <c r="Z791" s="3">
        <v>95060</v>
      </c>
      <c r="AA791" t="s">
        <v>101</v>
      </c>
      <c r="AC791" s="4" t="str">
        <f>"+18314263733"</f>
        <v>+18314263733</v>
      </c>
      <c r="AE791" t="str">
        <f>"336411"</f>
        <v>336411</v>
      </c>
      <c r="AF791" t="s">
        <v>9313</v>
      </c>
      <c r="AG791" t="s">
        <v>9314</v>
      </c>
      <c r="AI791" t="s">
        <v>9315</v>
      </c>
      <c r="AJ791" t="s">
        <v>4547</v>
      </c>
      <c r="AK791" t="str">
        <f>""</f>
        <v/>
      </c>
      <c r="AL791" t="s">
        <v>4027</v>
      </c>
      <c r="AM791" t="s">
        <v>141</v>
      </c>
      <c r="AN791" s="3">
        <v>95060</v>
      </c>
      <c r="AO791" t="s">
        <v>101</v>
      </c>
      <c r="AQ791" t="str">
        <f>"+18314263733"</f>
        <v>+18314263733</v>
      </c>
      <c r="AS791" t="s">
        <v>9316</v>
      </c>
      <c r="AT791" t="s">
        <v>107</v>
      </c>
      <c r="AU791" t="str">
        <f>"Wachs"</f>
        <v>Wachs</v>
      </c>
      <c r="AV791" t="str">
        <f>"Kelly"</f>
        <v>Kelly</v>
      </c>
      <c r="AW791" t="str">
        <f>"Sue"</f>
        <v>Sue</v>
      </c>
      <c r="AX791" t="str">
        <f>"8070 Soquel Dr."</f>
        <v>8070 Soquel Dr.</v>
      </c>
      <c r="AY791" t="str">
        <f>"Suite 130"</f>
        <v>Suite 130</v>
      </c>
      <c r="AZ791" t="str">
        <f>"Aptos"</f>
        <v>Aptos</v>
      </c>
      <c r="BA791" t="str">
        <f>"CA"</f>
        <v>CA</v>
      </c>
      <c r="BB791" s="3">
        <v>95003</v>
      </c>
      <c r="BC791" t="str">
        <f t="shared" si="56"/>
        <v>UNITED STATES OF AMERICA</v>
      </c>
      <c r="BD791" t="str">
        <f>""</f>
        <v/>
      </c>
      <c r="BE791" t="str">
        <f>"+18316615210"</f>
        <v>+18316615210</v>
      </c>
      <c r="BF791" t="str">
        <f>""</f>
        <v/>
      </c>
      <c r="BG791" t="str">
        <f>"kelly@kellywachs.com"</f>
        <v>kelly@kellywachs.com</v>
      </c>
      <c r="BH791" t="str">
        <f>"Law Office of Kelly S. Wachs, PC"</f>
        <v>Law Office of Kelly S. Wachs, PC</v>
      </c>
      <c r="BI791" t="str">
        <f>"CA"</f>
        <v>CA</v>
      </c>
      <c r="BJ791" t="str">
        <f>"California Supreme Court"</f>
        <v>California Supreme Court</v>
      </c>
      <c r="BK791">
        <v>1</v>
      </c>
      <c r="BL791" t="s">
        <v>102</v>
      </c>
      <c r="BM791" t="str">
        <f>""</f>
        <v/>
      </c>
      <c r="BN791" t="s">
        <v>9317</v>
      </c>
      <c r="BP791" t="s">
        <v>1848</v>
      </c>
      <c r="BQ791" t="s">
        <v>994</v>
      </c>
      <c r="BR791" t="s">
        <v>141</v>
      </c>
      <c r="BS791" s="5">
        <v>94070</v>
      </c>
      <c r="BT791" s="2">
        <v>135000</v>
      </c>
      <c r="BV791" t="s">
        <v>105</v>
      </c>
      <c r="BW791" s="2">
        <v>120994</v>
      </c>
      <c r="BX791" t="s">
        <v>105</v>
      </c>
      <c r="BZ791" t="s">
        <v>123</v>
      </c>
      <c r="CA791" t="str">
        <f t="shared" si="54"/>
        <v>7/1/2020 - 6/30/2021</v>
      </c>
      <c r="CF791">
        <v>3</v>
      </c>
      <c r="CG791" t="s">
        <v>98</v>
      </c>
      <c r="CH791" t="s">
        <v>206</v>
      </c>
      <c r="CI791" t="s">
        <v>206</v>
      </c>
      <c r="CL791" t="s">
        <v>108</v>
      </c>
      <c r="CM791" t="s">
        <v>109</v>
      </c>
      <c r="CN791" t="str">
        <f>""</f>
        <v/>
      </c>
      <c r="CO791" t="str">
        <f>""</f>
        <v/>
      </c>
      <c r="CP791" t="str">
        <f>""</f>
        <v/>
      </c>
      <c r="CQ791" t="str">
        <f>""</f>
        <v/>
      </c>
    </row>
    <row r="792" spans="1:96" x14ac:dyDescent="0.2">
      <c r="A792" t="s">
        <v>9323</v>
      </c>
      <c r="B792" t="s">
        <v>96</v>
      </c>
      <c r="C792" s="1">
        <v>44098</v>
      </c>
      <c r="D792" s="1">
        <v>44105</v>
      </c>
      <c r="F792" t="s">
        <v>97</v>
      </c>
      <c r="G792" t="str">
        <f>"Software Engineer"</f>
        <v>Software Engineer</v>
      </c>
      <c r="H792" t="s">
        <v>12169</v>
      </c>
      <c r="I792" t="s">
        <v>124</v>
      </c>
      <c r="J792" t="s">
        <v>98</v>
      </c>
      <c r="K792" s="1">
        <v>44279</v>
      </c>
      <c r="L792" s="1">
        <v>45374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 t="s">
        <v>173</v>
      </c>
      <c r="U792" t="str">
        <f>""</f>
        <v/>
      </c>
      <c r="V792" t="s">
        <v>174</v>
      </c>
      <c r="W792" t="str">
        <f>"N/A"</f>
        <v>N/A</v>
      </c>
      <c r="X792" t="s">
        <v>175</v>
      </c>
      <c r="Y792" t="s">
        <v>176</v>
      </c>
      <c r="Z792" s="3">
        <v>98052</v>
      </c>
      <c r="AA792" t="s">
        <v>101</v>
      </c>
      <c r="AC792" s="4" t="str">
        <f>"+14258828080"</f>
        <v>+14258828080</v>
      </c>
      <c r="AE792" t="str">
        <f>"51121"</f>
        <v>51121</v>
      </c>
      <c r="AF792" t="s">
        <v>177</v>
      </c>
      <c r="AG792" t="s">
        <v>178</v>
      </c>
      <c r="AI792" t="s">
        <v>179</v>
      </c>
      <c r="AJ792" t="s">
        <v>174</v>
      </c>
      <c r="AK792" t="str">
        <f>""</f>
        <v/>
      </c>
      <c r="AL792" t="s">
        <v>175</v>
      </c>
      <c r="AM792" t="s">
        <v>176</v>
      </c>
      <c r="AN792" s="3">
        <v>98052</v>
      </c>
      <c r="AO792" t="s">
        <v>101</v>
      </c>
      <c r="AQ792" t="str">
        <f>"+14258828080"</f>
        <v>+14258828080</v>
      </c>
      <c r="AS792" t="s">
        <v>180</v>
      </c>
      <c r="AT792" t="s">
        <v>102</v>
      </c>
      <c r="AU792" t="str">
        <f>""</f>
        <v/>
      </c>
      <c r="AV792" t="str">
        <f>""</f>
        <v/>
      </c>
      <c r="AW792" t="str">
        <f>""</f>
        <v/>
      </c>
      <c r="AX792" t="str">
        <f>""</f>
        <v/>
      </c>
      <c r="AY792" t="str">
        <f>""</f>
        <v/>
      </c>
      <c r="AZ792" t="str">
        <f>""</f>
        <v/>
      </c>
      <c r="BA792" t="str">
        <f>""</f>
        <v/>
      </c>
      <c r="BC792" t="str">
        <f>""</f>
        <v/>
      </c>
      <c r="BD792" t="str">
        <f>""</f>
        <v/>
      </c>
      <c r="BE792" t="str">
        <f>""</f>
        <v/>
      </c>
      <c r="BF792" t="str">
        <f>""</f>
        <v/>
      </c>
      <c r="BG792" t="str">
        <f>""</f>
        <v/>
      </c>
      <c r="BH792" t="str">
        <f>""</f>
        <v/>
      </c>
      <c r="BI792" t="str">
        <f>""</f>
        <v/>
      </c>
      <c r="BJ792" t="str">
        <f>""</f>
        <v/>
      </c>
      <c r="BK792">
        <v>1</v>
      </c>
      <c r="BL792" t="s">
        <v>102</v>
      </c>
      <c r="BM792" t="str">
        <f>""</f>
        <v/>
      </c>
      <c r="BN792" t="s">
        <v>962</v>
      </c>
      <c r="BP792" t="s">
        <v>175</v>
      </c>
      <c r="BQ792" t="s">
        <v>183</v>
      </c>
      <c r="BR792" t="s">
        <v>176</v>
      </c>
      <c r="BS792" s="5">
        <v>98052</v>
      </c>
      <c r="BT792" s="2">
        <v>168257</v>
      </c>
      <c r="BV792" t="s">
        <v>105</v>
      </c>
      <c r="BW792" s="2">
        <v>134098</v>
      </c>
      <c r="BX792" t="s">
        <v>105</v>
      </c>
      <c r="BZ792" t="s">
        <v>123</v>
      </c>
      <c r="CA792" t="str">
        <f t="shared" si="54"/>
        <v>7/1/2020 - 6/30/2021</v>
      </c>
      <c r="CF792">
        <v>1</v>
      </c>
      <c r="CG792" t="s">
        <v>98</v>
      </c>
      <c r="CH792" t="s">
        <v>206</v>
      </c>
      <c r="CI792" t="s">
        <v>206</v>
      </c>
      <c r="CL792" t="s">
        <v>108</v>
      </c>
      <c r="CM792" t="s">
        <v>109</v>
      </c>
      <c r="CN792" t="str">
        <f>"DSOUZA"</f>
        <v>DSOUZA</v>
      </c>
      <c r="CO792" t="str">
        <f>"MACLIFF"</f>
        <v>MACLIFF</v>
      </c>
      <c r="CP792" t="str">
        <f>"N/A"</f>
        <v>N/A</v>
      </c>
      <c r="CQ792" t="str">
        <f>"INTEGREON MANAGED SOLUTIONS (INDIA) PVT LTD"</f>
        <v>INTEGREON MANAGED SOLUTIONS (INDIA) PVT LTD</v>
      </c>
      <c r="CR792" t="s">
        <v>1842</v>
      </c>
    </row>
    <row r="793" spans="1:96" x14ac:dyDescent="0.2">
      <c r="A793" t="s">
        <v>9325</v>
      </c>
      <c r="B793" t="s">
        <v>96</v>
      </c>
      <c r="C793" s="1">
        <v>44098</v>
      </c>
      <c r="D793" s="1">
        <v>44105</v>
      </c>
      <c r="F793" t="s">
        <v>97</v>
      </c>
      <c r="G793" t="str">
        <f>"SOFTWARE DEVELOPER"</f>
        <v>SOFTWARE DEVELOPER</v>
      </c>
      <c r="H793" t="s">
        <v>12169</v>
      </c>
      <c r="I793" t="s">
        <v>124</v>
      </c>
      <c r="J793" t="s">
        <v>98</v>
      </c>
      <c r="K793" s="1">
        <v>44197</v>
      </c>
      <c r="L793" s="1">
        <v>45291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 t="s">
        <v>9326</v>
      </c>
      <c r="U793" t="str">
        <f>""</f>
        <v/>
      </c>
      <c r="V793" t="s">
        <v>6454</v>
      </c>
      <c r="W793" t="str">
        <f>"Suite 126"</f>
        <v>Suite 126</v>
      </c>
      <c r="X793" t="s">
        <v>1666</v>
      </c>
      <c r="Y793" t="s">
        <v>100</v>
      </c>
      <c r="Z793" s="3">
        <v>7080</v>
      </c>
      <c r="AA793" t="s">
        <v>101</v>
      </c>
      <c r="AC793" s="4" t="str">
        <f>"+17323333740"</f>
        <v>+17323333740</v>
      </c>
      <c r="AE793" t="str">
        <f>"541511"</f>
        <v>541511</v>
      </c>
      <c r="AF793" t="s">
        <v>9327</v>
      </c>
      <c r="AG793" t="s">
        <v>9328</v>
      </c>
      <c r="AI793" t="s">
        <v>763</v>
      </c>
      <c r="AJ793" t="s">
        <v>6454</v>
      </c>
      <c r="AK793" t="str">
        <f>"Suite 126"</f>
        <v>Suite 126</v>
      </c>
      <c r="AL793" t="s">
        <v>1666</v>
      </c>
      <c r="AM793" t="s">
        <v>100</v>
      </c>
      <c r="AN793" s="3">
        <v>7080</v>
      </c>
      <c r="AO793" t="s">
        <v>101</v>
      </c>
      <c r="AQ793" t="str">
        <f>"+17323333740"</f>
        <v>+17323333740</v>
      </c>
      <c r="AS793" t="s">
        <v>9329</v>
      </c>
      <c r="AT793" t="s">
        <v>107</v>
      </c>
      <c r="AU793" t="str">
        <f>"Tewary"</f>
        <v>Tewary</v>
      </c>
      <c r="AV793" t="str">
        <f>"Akshat"</f>
        <v>Akshat</v>
      </c>
      <c r="AW793" t="str">
        <f>""</f>
        <v/>
      </c>
      <c r="AX793" t="str">
        <f>"1974 State Route 27"</f>
        <v>1974 State Route 27</v>
      </c>
      <c r="AY793" t="str">
        <f>""</f>
        <v/>
      </c>
      <c r="AZ793" t="str">
        <f>"Edison"</f>
        <v>Edison</v>
      </c>
      <c r="BA793" t="str">
        <f>"NJ"</f>
        <v>NJ</v>
      </c>
      <c r="BB793" s="3">
        <v>8817</v>
      </c>
      <c r="BC793" t="str">
        <f t="shared" ref="BC793:BC803" si="57">"UNITED STATES OF AMERICA"</f>
        <v>UNITED STATES OF AMERICA</v>
      </c>
      <c r="BD793" t="str">
        <f>""</f>
        <v/>
      </c>
      <c r="BE793" t="str">
        <f>"+17322870080"</f>
        <v>+17322870080</v>
      </c>
      <c r="BF793" t="str">
        <f>""</f>
        <v/>
      </c>
      <c r="BG793" t="str">
        <f>"tewaryoffice@yahoo.com"</f>
        <v>tewaryoffice@yahoo.com</v>
      </c>
      <c r="BH793" t="str">
        <f>"Law Offices of Kamlesh Tewary, P.C. "</f>
        <v xml:space="preserve">Law Offices of Kamlesh Tewary, P.C. </v>
      </c>
      <c r="BI793" t="str">
        <f>"NJ"</f>
        <v>NJ</v>
      </c>
      <c r="BJ793" t="str">
        <f>"New Jersey Supreme Court "</f>
        <v xml:space="preserve">New Jersey Supreme Court </v>
      </c>
      <c r="BK793">
        <v>1</v>
      </c>
      <c r="BL793" t="s">
        <v>107</v>
      </c>
      <c r="BM793" t="str">
        <f>"HEALTHCARE SERVICE CORPORATION"</f>
        <v>HEALTHCARE SERVICE CORPORATION</v>
      </c>
      <c r="BN793" t="s">
        <v>9330</v>
      </c>
      <c r="BP793" t="s">
        <v>843</v>
      </c>
      <c r="BQ793" t="s">
        <v>788</v>
      </c>
      <c r="BR793" t="s">
        <v>345</v>
      </c>
      <c r="BS793" s="5">
        <v>60601</v>
      </c>
      <c r="BT793" s="2">
        <v>104700</v>
      </c>
      <c r="BV793" t="s">
        <v>105</v>
      </c>
      <c r="BW793" s="2">
        <v>104624</v>
      </c>
      <c r="BX793" t="s">
        <v>105</v>
      </c>
      <c r="BZ793" t="s">
        <v>123</v>
      </c>
      <c r="CA793" t="str">
        <f t="shared" si="54"/>
        <v>7/1/2020 - 6/30/2021</v>
      </c>
      <c r="CF793">
        <v>2</v>
      </c>
      <c r="CG793" t="s">
        <v>98</v>
      </c>
      <c r="CH793" t="s">
        <v>206</v>
      </c>
      <c r="CI793" t="s">
        <v>206</v>
      </c>
      <c r="CL793" t="s">
        <v>108</v>
      </c>
      <c r="CM793" t="s">
        <v>109</v>
      </c>
      <c r="CN793" t="str">
        <f>""</f>
        <v/>
      </c>
      <c r="CO793" t="str">
        <f>""</f>
        <v/>
      </c>
      <c r="CP793" t="str">
        <f>""</f>
        <v/>
      </c>
      <c r="CQ793" t="str">
        <f>""</f>
        <v/>
      </c>
    </row>
    <row r="794" spans="1:96" x14ac:dyDescent="0.2">
      <c r="A794" t="s">
        <v>9339</v>
      </c>
      <c r="B794" t="s">
        <v>96</v>
      </c>
      <c r="C794" s="1">
        <v>44098</v>
      </c>
      <c r="D794" s="1">
        <v>44105</v>
      </c>
      <c r="F794" t="s">
        <v>97</v>
      </c>
      <c r="G794" t="str">
        <f>"Software Engineer 1615.37802"</f>
        <v>Software Engineer 1615.37802</v>
      </c>
      <c r="H794" t="s">
        <v>12169</v>
      </c>
      <c r="I794" t="s">
        <v>124</v>
      </c>
      <c r="J794" t="s">
        <v>98</v>
      </c>
      <c r="K794" s="1">
        <v>44104</v>
      </c>
      <c r="L794" s="1">
        <v>45198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 t="s">
        <v>289</v>
      </c>
      <c r="U794" t="str">
        <f>""</f>
        <v/>
      </c>
      <c r="V794" t="s">
        <v>1562</v>
      </c>
      <c r="W794" t="str">
        <f>""</f>
        <v/>
      </c>
      <c r="X794" t="s">
        <v>150</v>
      </c>
      <c r="Y794" t="s">
        <v>141</v>
      </c>
      <c r="Z794" s="3">
        <v>94043</v>
      </c>
      <c r="AA794" t="s">
        <v>101</v>
      </c>
      <c r="AC794" s="4" t="str">
        <f>"+16502534513"</f>
        <v>+16502534513</v>
      </c>
      <c r="AE794" t="str">
        <f>"541512"</f>
        <v>541512</v>
      </c>
      <c r="AF794" t="s">
        <v>427</v>
      </c>
      <c r="AG794" t="s">
        <v>1880</v>
      </c>
      <c r="AI794" t="s">
        <v>893</v>
      </c>
      <c r="AJ794" t="s">
        <v>1562</v>
      </c>
      <c r="AK794" t="str">
        <f>""</f>
        <v/>
      </c>
      <c r="AL794" t="s">
        <v>150</v>
      </c>
      <c r="AM794" t="s">
        <v>141</v>
      </c>
      <c r="AN794" s="3">
        <v>94043</v>
      </c>
      <c r="AO794" t="s">
        <v>101</v>
      </c>
      <c r="AQ794" t="str">
        <f>"+16502534513"</f>
        <v>+16502534513</v>
      </c>
      <c r="AS794" t="s">
        <v>429</v>
      </c>
      <c r="AT794" t="s">
        <v>107</v>
      </c>
      <c r="AU794" t="str">
        <f>"Hul"</f>
        <v>Hul</v>
      </c>
      <c r="AV794" t="str">
        <f>"Dennis"</f>
        <v>Dennis</v>
      </c>
      <c r="AW794" t="str">
        <f>""</f>
        <v/>
      </c>
      <c r="AX794" t="str">
        <f>"2400 N Glenville Drive"</f>
        <v>2400 N Glenville Drive</v>
      </c>
      <c r="AY794" t="str">
        <f>"Building A, Suite 100"</f>
        <v>Building A, Suite 100</v>
      </c>
      <c r="AZ794" t="str">
        <f>"Richardson"</f>
        <v>Richardson</v>
      </c>
      <c r="BA794" t="str">
        <f>"TX"</f>
        <v>TX</v>
      </c>
      <c r="BB794" s="3">
        <v>75082</v>
      </c>
      <c r="BC794" t="str">
        <f t="shared" si="57"/>
        <v>UNITED STATES OF AMERICA</v>
      </c>
      <c r="BD794" t="str">
        <f>""</f>
        <v/>
      </c>
      <c r="BE794" t="str">
        <f>"+14695052950"</f>
        <v>+14695052950</v>
      </c>
      <c r="BF794" t="str">
        <f>""</f>
        <v/>
      </c>
      <c r="BG794" t="str">
        <f>"Googledol@balglobal.com"</f>
        <v>Googledol@balglobal.com</v>
      </c>
      <c r="BH794" t="str">
        <f>"Berry Appleman &amp; Leiden LLP"</f>
        <v>Berry Appleman &amp; Leiden LLP</v>
      </c>
      <c r="BI794" t="str">
        <f>"RI"</f>
        <v>RI</v>
      </c>
      <c r="BJ794" t="str">
        <f>"Supreme Court of Rhode Island"</f>
        <v>Supreme Court of Rhode Island</v>
      </c>
      <c r="BK794">
        <v>1</v>
      </c>
      <c r="BL794" t="s">
        <v>102</v>
      </c>
      <c r="BM794" t="str">
        <f>""</f>
        <v/>
      </c>
      <c r="BN794" t="s">
        <v>290</v>
      </c>
      <c r="BP794" t="s">
        <v>155</v>
      </c>
      <c r="BQ794" t="s">
        <v>230</v>
      </c>
      <c r="BR794" t="s">
        <v>141</v>
      </c>
      <c r="BS794" s="5">
        <v>94043</v>
      </c>
      <c r="BT794" s="2">
        <v>147000</v>
      </c>
      <c r="BV794" t="s">
        <v>105</v>
      </c>
      <c r="BW794" s="2">
        <v>120578</v>
      </c>
      <c r="BX794" t="s">
        <v>105</v>
      </c>
      <c r="BZ794" t="s">
        <v>167</v>
      </c>
      <c r="CA794" t="str">
        <f t="shared" si="54"/>
        <v>7/1/2020 - 6/30/2021</v>
      </c>
      <c r="CF794">
        <v>2</v>
      </c>
      <c r="CG794" t="s">
        <v>98</v>
      </c>
      <c r="CH794" t="s">
        <v>206</v>
      </c>
      <c r="CI794" t="s">
        <v>206</v>
      </c>
      <c r="CL794" t="s">
        <v>108</v>
      </c>
      <c r="CM794" t="s">
        <v>109</v>
      </c>
      <c r="CN794" t="str">
        <f>"Germany"</f>
        <v>Germany</v>
      </c>
      <c r="CO794" t="str">
        <f>"Justice"</f>
        <v>Justice</v>
      </c>
      <c r="CP794" t="str">
        <f>""</f>
        <v/>
      </c>
      <c r="CQ794" t="str">
        <f>"Berry Appleman &amp; Leiden LLP"</f>
        <v>Berry Appleman &amp; Leiden LLP</v>
      </c>
      <c r="CR794" t="s">
        <v>4922</v>
      </c>
    </row>
    <row r="795" spans="1:96" x14ac:dyDescent="0.2">
      <c r="A795" t="s">
        <v>9342</v>
      </c>
      <c r="B795" t="s">
        <v>96</v>
      </c>
      <c r="C795" s="1">
        <v>44098</v>
      </c>
      <c r="D795" s="1">
        <v>44105</v>
      </c>
      <c r="F795" t="s">
        <v>97</v>
      </c>
      <c r="G795" t="str">
        <f>"Senior Director of Product Management"</f>
        <v>Senior Director of Product Management</v>
      </c>
      <c r="H795" t="s">
        <v>12189</v>
      </c>
      <c r="I795" t="s">
        <v>730</v>
      </c>
      <c r="J795" t="s">
        <v>98</v>
      </c>
      <c r="K795" s="1">
        <v>44105</v>
      </c>
      <c r="L795" s="1">
        <v>45199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 t="s">
        <v>9343</v>
      </c>
      <c r="U795" t="str">
        <f>""</f>
        <v/>
      </c>
      <c r="V795" t="s">
        <v>9344</v>
      </c>
      <c r="W795" t="str">
        <f>"Suite 160"</f>
        <v>Suite 160</v>
      </c>
      <c r="X795" t="s">
        <v>1708</v>
      </c>
      <c r="Y795" t="s">
        <v>258</v>
      </c>
      <c r="Z795" s="3">
        <v>85258</v>
      </c>
      <c r="AA795" t="s">
        <v>101</v>
      </c>
      <c r="AC795" s="4" t="str">
        <f>"+12012943243"</f>
        <v>+12012943243</v>
      </c>
      <c r="AE795" t="str">
        <f>"33999"</f>
        <v>33999</v>
      </c>
      <c r="AF795" t="s">
        <v>9345</v>
      </c>
      <c r="AG795" t="s">
        <v>9346</v>
      </c>
      <c r="AI795" t="s">
        <v>2384</v>
      </c>
      <c r="AJ795" t="s">
        <v>8103</v>
      </c>
      <c r="AK795" t="str">
        <f>"22nd Floor"</f>
        <v>22nd Floor</v>
      </c>
      <c r="AL795" t="s">
        <v>277</v>
      </c>
      <c r="AM795" t="s">
        <v>190</v>
      </c>
      <c r="AN795" s="3">
        <v>10005</v>
      </c>
      <c r="AO795" t="s">
        <v>101</v>
      </c>
      <c r="AQ795" t="str">
        <f>"+12012943243"</f>
        <v>+12012943243</v>
      </c>
      <c r="AS795" t="s">
        <v>9347</v>
      </c>
      <c r="AT795" t="s">
        <v>107</v>
      </c>
      <c r="AU795" t="str">
        <f>"Gallagher"</f>
        <v>Gallagher</v>
      </c>
      <c r="AV795" t="str">
        <f>"Rachael"</f>
        <v>Rachael</v>
      </c>
      <c r="AW795" t="str">
        <f>"Ann"</f>
        <v>Ann</v>
      </c>
      <c r="AX795" t="str">
        <f>"12 Christopher Way"</f>
        <v>12 Christopher Way</v>
      </c>
      <c r="AY795" t="str">
        <f>"Suite 102"</f>
        <v>Suite 102</v>
      </c>
      <c r="AZ795" t="str">
        <f>"Eatontown"</f>
        <v>Eatontown</v>
      </c>
      <c r="BA795" t="str">
        <f>"NJ"</f>
        <v>NJ</v>
      </c>
      <c r="BB795" s="3">
        <v>7224</v>
      </c>
      <c r="BC795" t="str">
        <f t="shared" si="57"/>
        <v>UNITED STATES OF AMERICA</v>
      </c>
      <c r="BD795" t="str">
        <f>""</f>
        <v/>
      </c>
      <c r="BE795" t="str">
        <f>"+17322301218"</f>
        <v>+17322301218</v>
      </c>
      <c r="BF795" t="str">
        <f>"109"</f>
        <v>109</v>
      </c>
      <c r="BG795" t="str">
        <f>"rgallagher@bhlg.com"</f>
        <v>rgallagher@bhlg.com</v>
      </c>
      <c r="BH795" t="str">
        <f>"Ben Hamou Benchetrit Law Group LLC"</f>
        <v>Ben Hamou Benchetrit Law Group LLC</v>
      </c>
      <c r="BI795" t="str">
        <f>"NY"</f>
        <v>NY</v>
      </c>
      <c r="BJ795" t="str">
        <f>"Court of Appeals"</f>
        <v>Court of Appeals</v>
      </c>
      <c r="BK795">
        <v>1</v>
      </c>
      <c r="BL795" t="s">
        <v>102</v>
      </c>
      <c r="BM795" t="str">
        <f>""</f>
        <v/>
      </c>
      <c r="BN795" t="s">
        <v>9348</v>
      </c>
      <c r="BO795" t="s">
        <v>9349</v>
      </c>
      <c r="BP795" t="s">
        <v>1368</v>
      </c>
      <c r="BQ795" t="s">
        <v>1664</v>
      </c>
      <c r="BR795" t="s">
        <v>545</v>
      </c>
      <c r="BS795" s="5">
        <v>37219</v>
      </c>
      <c r="BT795" s="2">
        <v>210000</v>
      </c>
      <c r="BV795" t="s">
        <v>105</v>
      </c>
      <c r="BW795" s="2">
        <v>129834</v>
      </c>
      <c r="BX795" t="s">
        <v>105</v>
      </c>
      <c r="BZ795" t="s">
        <v>123</v>
      </c>
      <c r="CA795" t="str">
        <f t="shared" si="54"/>
        <v>7/1/2020 - 6/30/2021</v>
      </c>
      <c r="CF795">
        <v>1</v>
      </c>
      <c r="CG795" t="s">
        <v>98</v>
      </c>
      <c r="CH795" t="s">
        <v>206</v>
      </c>
      <c r="CI795" t="s">
        <v>206</v>
      </c>
      <c r="CL795" t="s">
        <v>108</v>
      </c>
      <c r="CM795" t="s">
        <v>109</v>
      </c>
      <c r="CN795" t="str">
        <f>""</f>
        <v/>
      </c>
      <c r="CO795" t="str">
        <f>""</f>
        <v/>
      </c>
      <c r="CP795" t="str">
        <f>""</f>
        <v/>
      </c>
      <c r="CQ795" t="str">
        <f>""</f>
        <v/>
      </c>
    </row>
    <row r="796" spans="1:96" x14ac:dyDescent="0.2">
      <c r="A796" t="s">
        <v>9355</v>
      </c>
      <c r="B796" t="s">
        <v>96</v>
      </c>
      <c r="C796" s="1">
        <v>44098</v>
      </c>
      <c r="D796" s="1">
        <v>44105</v>
      </c>
      <c r="F796" t="s">
        <v>97</v>
      </c>
      <c r="G796" t="str">
        <f>"Program Buyer"</f>
        <v>Program Buyer</v>
      </c>
      <c r="H796" t="s">
        <v>12240</v>
      </c>
      <c r="I796" t="s">
        <v>966</v>
      </c>
      <c r="J796" t="s">
        <v>98</v>
      </c>
      <c r="K796" s="1">
        <v>44278</v>
      </c>
      <c r="L796" s="1">
        <v>45373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 t="s">
        <v>1222</v>
      </c>
      <c r="U796" t="str">
        <f>""</f>
        <v/>
      </c>
      <c r="V796" t="s">
        <v>1223</v>
      </c>
      <c r="W796" t="str">
        <f>"ROOM 6D-401E"</f>
        <v>ROOM 6D-401E</v>
      </c>
      <c r="X796" t="s">
        <v>1224</v>
      </c>
      <c r="Y796" t="s">
        <v>100</v>
      </c>
      <c r="Z796" s="3">
        <v>7974</v>
      </c>
      <c r="AA796" t="s">
        <v>101</v>
      </c>
      <c r="AC796" s="4" t="str">
        <f>"+19086796820"</f>
        <v>+19086796820</v>
      </c>
      <c r="AE796" t="str">
        <f>"51791"</f>
        <v>51791</v>
      </c>
      <c r="AF796" t="s">
        <v>1225</v>
      </c>
      <c r="AG796" t="s">
        <v>1226</v>
      </c>
      <c r="AI796" t="s">
        <v>1227</v>
      </c>
      <c r="AJ796" t="s">
        <v>1223</v>
      </c>
      <c r="AK796" t="str">
        <f>"ROOM 6D-401E"</f>
        <v>ROOM 6D-401E</v>
      </c>
      <c r="AL796" t="s">
        <v>1224</v>
      </c>
      <c r="AM796" t="s">
        <v>100</v>
      </c>
      <c r="AN796" s="3">
        <v>7974</v>
      </c>
      <c r="AO796" t="s">
        <v>101</v>
      </c>
      <c r="AQ796" t="str">
        <f>"+19086796820"</f>
        <v>+19086796820</v>
      </c>
      <c r="AS796" t="s">
        <v>1228</v>
      </c>
      <c r="AT796" t="s">
        <v>107</v>
      </c>
      <c r="AU796" t="str">
        <f>"Enu"</f>
        <v>Enu</v>
      </c>
      <c r="AV796" t="str">
        <f>"Haseena"</f>
        <v>Haseena</v>
      </c>
      <c r="AW796" t="str">
        <f>""</f>
        <v/>
      </c>
      <c r="AX796" t="str">
        <f>"5080 SPECTRUM DRIVE"</f>
        <v>5080 SPECTRUM DRIVE</v>
      </c>
      <c r="AY796" t="str">
        <f>"SUITE 850W"</f>
        <v>SUITE 850W</v>
      </c>
      <c r="AZ796" t="str">
        <f>"Addison"</f>
        <v>Addison</v>
      </c>
      <c r="BA796" t="str">
        <f>"TX"</f>
        <v>TX</v>
      </c>
      <c r="BB796" s="3">
        <v>75001</v>
      </c>
      <c r="BC796" t="str">
        <f t="shared" si="57"/>
        <v>UNITED STATES OF AMERICA</v>
      </c>
      <c r="BD796" t="str">
        <f>""</f>
        <v/>
      </c>
      <c r="BE796" t="str">
        <f>"+19723869297"</f>
        <v>+19723869297</v>
      </c>
      <c r="BF796" t="str">
        <f>"801"</f>
        <v>801</v>
      </c>
      <c r="BG796" t="str">
        <f>"FP_HASEENA_ENU@FRAGOMENPARTNERS.COM"</f>
        <v>FP_HASEENA_ENU@FRAGOMENPARTNERS.COM</v>
      </c>
      <c r="BH796" t="str">
        <f>"FRAGOMEN PARTNERS, LLP"</f>
        <v>FRAGOMEN PARTNERS, LLP</v>
      </c>
      <c r="BI796" t="str">
        <f>"NY"</f>
        <v>NY</v>
      </c>
      <c r="BJ796" t="str">
        <f>"NEW YORK STATE COURT OF APPEALS"</f>
        <v>NEW YORK STATE COURT OF APPEALS</v>
      </c>
      <c r="BK796">
        <v>1</v>
      </c>
      <c r="BL796" t="s">
        <v>102</v>
      </c>
      <c r="BM796" t="str">
        <f>""</f>
        <v/>
      </c>
      <c r="BN796" t="s">
        <v>9356</v>
      </c>
      <c r="BO796" t="s">
        <v>426</v>
      </c>
      <c r="BP796" t="s">
        <v>595</v>
      </c>
      <c r="BQ796" t="s">
        <v>484</v>
      </c>
      <c r="BR796" t="s">
        <v>114</v>
      </c>
      <c r="BS796" s="5">
        <v>75019</v>
      </c>
      <c r="BT796" s="2">
        <v>74927.5</v>
      </c>
      <c r="BV796" t="s">
        <v>105</v>
      </c>
      <c r="BW796" s="2">
        <v>63586</v>
      </c>
      <c r="BX796" t="s">
        <v>105</v>
      </c>
      <c r="BZ796" t="s">
        <v>167</v>
      </c>
      <c r="CA796" t="str">
        <f t="shared" si="54"/>
        <v>7/1/2020 - 6/30/2021</v>
      </c>
      <c r="CF796">
        <v>2</v>
      </c>
      <c r="CG796" t="s">
        <v>98</v>
      </c>
      <c r="CH796" t="s">
        <v>206</v>
      </c>
      <c r="CI796" t="s">
        <v>206</v>
      </c>
      <c r="CL796" t="s">
        <v>108</v>
      </c>
      <c r="CM796" t="s">
        <v>109</v>
      </c>
      <c r="CN796" t="str">
        <f>"Roberts"</f>
        <v>Roberts</v>
      </c>
      <c r="CO796" t="str">
        <f>"Hanna"</f>
        <v>Hanna</v>
      </c>
      <c r="CP796" t="str">
        <f>""</f>
        <v/>
      </c>
      <c r="CQ796" t="str">
        <f>"Fragomen"</f>
        <v>Fragomen</v>
      </c>
      <c r="CR796" t="s">
        <v>1230</v>
      </c>
    </row>
    <row r="797" spans="1:96" x14ac:dyDescent="0.2">
      <c r="A797" t="s">
        <v>9364</v>
      </c>
      <c r="B797" t="s">
        <v>96</v>
      </c>
      <c r="C797" s="1">
        <v>44098</v>
      </c>
      <c r="D797" s="1">
        <v>44105</v>
      </c>
      <c r="F797" t="s">
        <v>97</v>
      </c>
      <c r="G797" t="str">
        <f>"Software Engineer"</f>
        <v>Software Engineer</v>
      </c>
      <c r="H797" t="s">
        <v>12179</v>
      </c>
      <c r="I797" t="s">
        <v>1357</v>
      </c>
      <c r="J797" t="s">
        <v>98</v>
      </c>
      <c r="K797" s="1">
        <v>44270</v>
      </c>
      <c r="L797" s="1">
        <v>45365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 t="s">
        <v>4848</v>
      </c>
      <c r="U797" t="str">
        <f>""</f>
        <v/>
      </c>
      <c r="V797" t="s">
        <v>4849</v>
      </c>
      <c r="W797" t="str">
        <f>"MC: 482-C32-C66"</f>
        <v>MC: 482-C32-C66</v>
      </c>
      <c r="X797" t="s">
        <v>528</v>
      </c>
      <c r="Y797" t="s">
        <v>265</v>
      </c>
      <c r="Z797" s="3" t="s">
        <v>12296</v>
      </c>
      <c r="AA797" t="s">
        <v>101</v>
      </c>
      <c r="AC797" s="4" t="str">
        <f>"+13135700122"</f>
        <v>+13135700122</v>
      </c>
      <c r="AE797" t="str">
        <f>"3361"</f>
        <v>3361</v>
      </c>
      <c r="AF797" t="s">
        <v>4850</v>
      </c>
      <c r="AG797" t="s">
        <v>1182</v>
      </c>
      <c r="AI797" t="s">
        <v>254</v>
      </c>
      <c r="AJ797" t="s">
        <v>4851</v>
      </c>
      <c r="AK797" t="str">
        <f>"MC: 482-C32-C66"</f>
        <v>MC: 482-C32-C66</v>
      </c>
      <c r="AL797" t="s">
        <v>1682</v>
      </c>
      <c r="AM797" t="s">
        <v>265</v>
      </c>
      <c r="AN797" s="3" t="s">
        <v>12296</v>
      </c>
      <c r="AO797" t="s">
        <v>101</v>
      </c>
      <c r="AQ797" t="str">
        <f>"+13135700122"</f>
        <v>+13135700122</v>
      </c>
      <c r="AS797" t="s">
        <v>4852</v>
      </c>
      <c r="AT797" t="s">
        <v>107</v>
      </c>
      <c r="AU797" t="str">
        <f>"Roby"</f>
        <v>Roby</v>
      </c>
      <c r="AV797" t="str">
        <f>"Anthony"</f>
        <v>Anthony</v>
      </c>
      <c r="AW797" t="str">
        <f>"Michael"</f>
        <v>Michael</v>
      </c>
      <c r="AX797" t="str">
        <f>"566 Ann Street"</f>
        <v>566 Ann Street</v>
      </c>
      <c r="AY797" t="str">
        <f>""</f>
        <v/>
      </c>
      <c r="AZ797" t="str">
        <f>"Birmingham "</f>
        <v xml:space="preserve">Birmingham </v>
      </c>
      <c r="BA797" t="str">
        <f>"MI"</f>
        <v>MI</v>
      </c>
      <c r="BB797" s="3" t="s">
        <v>12307</v>
      </c>
      <c r="BC797" t="str">
        <f t="shared" si="57"/>
        <v>UNITED STATES OF AMERICA</v>
      </c>
      <c r="BD797" t="str">
        <f>""</f>
        <v/>
      </c>
      <c r="BE797" t="str">
        <f>"+12485548500"</f>
        <v>+12485548500</v>
      </c>
      <c r="BF797" t="str">
        <f>""</f>
        <v/>
      </c>
      <c r="BG797" t="str">
        <f>"anthony.roby@robylaw.com"</f>
        <v>anthony.roby@robylaw.com</v>
      </c>
      <c r="BH797" t="str">
        <f>"Roby Law Associates, PLLC"</f>
        <v>Roby Law Associates, PLLC</v>
      </c>
      <c r="BI797" t="str">
        <f>"MI"</f>
        <v>MI</v>
      </c>
      <c r="BJ797" t="str">
        <f>"U.S. Supreme Courts"</f>
        <v>U.S. Supreme Courts</v>
      </c>
      <c r="BK797">
        <v>1</v>
      </c>
      <c r="BL797" t="s">
        <v>102</v>
      </c>
      <c r="BM797" t="str">
        <f>""</f>
        <v/>
      </c>
      <c r="BN797" t="s">
        <v>4853</v>
      </c>
      <c r="BP797" t="s">
        <v>1058</v>
      </c>
      <c r="BQ797" t="s">
        <v>543</v>
      </c>
      <c r="BR797" t="s">
        <v>265</v>
      </c>
      <c r="BS797" s="5">
        <v>48092</v>
      </c>
      <c r="BT797" s="2">
        <v>128544</v>
      </c>
      <c r="BV797" t="s">
        <v>105</v>
      </c>
      <c r="BW797" s="2">
        <v>81827</v>
      </c>
      <c r="BX797" t="s">
        <v>105</v>
      </c>
      <c r="BZ797" t="s">
        <v>167</v>
      </c>
      <c r="CA797" t="str">
        <f t="shared" si="54"/>
        <v>7/1/2020 - 6/30/2021</v>
      </c>
      <c r="CF797">
        <v>2</v>
      </c>
      <c r="CG797" t="s">
        <v>98</v>
      </c>
      <c r="CH797" t="s">
        <v>206</v>
      </c>
      <c r="CI797" t="s">
        <v>206</v>
      </c>
      <c r="CL797" t="s">
        <v>108</v>
      </c>
      <c r="CM797" t="s">
        <v>109</v>
      </c>
      <c r="CN797" t="str">
        <f>""</f>
        <v/>
      </c>
      <c r="CO797" t="str">
        <f>""</f>
        <v/>
      </c>
      <c r="CP797" t="str">
        <f>""</f>
        <v/>
      </c>
      <c r="CQ797" t="str">
        <f>""</f>
        <v/>
      </c>
    </row>
    <row r="798" spans="1:96" x14ac:dyDescent="0.2">
      <c r="A798" t="s">
        <v>9380</v>
      </c>
      <c r="B798" t="s">
        <v>96</v>
      </c>
      <c r="C798" s="1">
        <v>44098</v>
      </c>
      <c r="D798" s="1">
        <v>44105</v>
      </c>
      <c r="F798" t="s">
        <v>97</v>
      </c>
      <c r="G798" t="str">
        <f>"Application Management Specialist"</f>
        <v>Application Management Specialist</v>
      </c>
      <c r="H798" t="s">
        <v>12169</v>
      </c>
      <c r="I798" t="s">
        <v>124</v>
      </c>
      <c r="J798" t="s">
        <v>98</v>
      </c>
      <c r="K798" s="1">
        <v>44104</v>
      </c>
      <c r="L798" s="1">
        <v>45198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 t="s">
        <v>6295</v>
      </c>
      <c r="U798" t="str">
        <f>""</f>
        <v/>
      </c>
      <c r="V798" t="s">
        <v>1361</v>
      </c>
      <c r="W798" t="str">
        <f>""</f>
        <v/>
      </c>
      <c r="X798" t="s">
        <v>207</v>
      </c>
      <c r="Y798" t="s">
        <v>171</v>
      </c>
      <c r="Z798" s="3">
        <v>2129</v>
      </c>
      <c r="AA798" t="s">
        <v>101</v>
      </c>
      <c r="AC798" s="4" t="str">
        <f>"+16175171483"</f>
        <v>+16175171483</v>
      </c>
      <c r="AE798" t="str">
        <f>"541511"</f>
        <v>541511</v>
      </c>
      <c r="AF798" t="s">
        <v>1362</v>
      </c>
      <c r="AG798" t="s">
        <v>1363</v>
      </c>
      <c r="AI798" t="s">
        <v>2188</v>
      </c>
      <c r="AJ798" t="s">
        <v>1361</v>
      </c>
      <c r="AK798" t="str">
        <f>""</f>
        <v/>
      </c>
      <c r="AL798" t="s">
        <v>207</v>
      </c>
      <c r="AM798" t="s">
        <v>171</v>
      </c>
      <c r="AN798" s="3">
        <v>2129</v>
      </c>
      <c r="AO798" t="s">
        <v>101</v>
      </c>
      <c r="AQ798" t="str">
        <f>"+16175171483"</f>
        <v>+16175171483</v>
      </c>
      <c r="AS798" t="s">
        <v>2189</v>
      </c>
      <c r="AT798" t="s">
        <v>107</v>
      </c>
      <c r="AU798" t="str">
        <f>"Drozdowski "</f>
        <v xml:space="preserve">Drozdowski </v>
      </c>
      <c r="AV798" t="str">
        <f>"Andrew"</f>
        <v>Andrew</v>
      </c>
      <c r="AW798" t="str">
        <f>"G"</f>
        <v>G</v>
      </c>
      <c r="AX798" t="str">
        <f>"8529 Six Forks Road, Forum IV"</f>
        <v>8529 Six Forks Road, Forum IV</v>
      </c>
      <c r="AY798" t="str">
        <f>"Suite 600"</f>
        <v>Suite 600</v>
      </c>
      <c r="AZ798" t="str">
        <f>"Raleigh"</f>
        <v>Raleigh</v>
      </c>
      <c r="BA798" t="str">
        <f>"NC"</f>
        <v>NC</v>
      </c>
      <c r="BB798" s="3">
        <v>27615</v>
      </c>
      <c r="BC798" t="str">
        <f t="shared" si="57"/>
        <v>UNITED STATES OF AMERICA</v>
      </c>
      <c r="BD798" t="str">
        <f>""</f>
        <v/>
      </c>
      <c r="BE798" t="str">
        <f>"+19197893120"</f>
        <v>+19197893120</v>
      </c>
      <c r="BF798" t="str">
        <f>""</f>
        <v/>
      </c>
      <c r="BG798" t="str">
        <f>"kimberly.mathison@ogletreedeakins.com"</f>
        <v>kimberly.mathison@ogletreedeakins.com</v>
      </c>
      <c r="BH798" t="str">
        <f>"Ogletree, Deakins, Nash, Smoak &amp; Stewart, P.C."</f>
        <v>Ogletree, Deakins, Nash, Smoak &amp; Stewart, P.C.</v>
      </c>
      <c r="BI798" t="str">
        <f>"NY"</f>
        <v>NY</v>
      </c>
      <c r="BJ798" t="str">
        <f>"SUPREME COURT"</f>
        <v>SUPREME COURT</v>
      </c>
      <c r="BK798">
        <v>1</v>
      </c>
      <c r="BL798" t="s">
        <v>107</v>
      </c>
      <c r="BM798" t="str">
        <f>"Citi Bank"</f>
        <v>Citi Bank</v>
      </c>
      <c r="BN798" t="s">
        <v>4878</v>
      </c>
      <c r="BP798" t="s">
        <v>483</v>
      </c>
      <c r="BQ798" t="s">
        <v>484</v>
      </c>
      <c r="BR798" t="s">
        <v>114</v>
      </c>
      <c r="BS798" s="5">
        <v>75039</v>
      </c>
      <c r="BT798" s="2">
        <v>104427</v>
      </c>
      <c r="BU798" s="2">
        <v>134427</v>
      </c>
      <c r="BV798" t="s">
        <v>105</v>
      </c>
      <c r="BW798" s="2">
        <v>104427</v>
      </c>
      <c r="BX798" t="s">
        <v>105</v>
      </c>
      <c r="CA798" t="str">
        <f>""</f>
        <v/>
      </c>
      <c r="CB798" t="s">
        <v>244</v>
      </c>
      <c r="CC798">
        <v>2020</v>
      </c>
      <c r="CD798" t="s">
        <v>355</v>
      </c>
      <c r="CE798" t="s">
        <v>569</v>
      </c>
      <c r="CF798">
        <v>1</v>
      </c>
      <c r="CG798" t="s">
        <v>98</v>
      </c>
      <c r="CH798" t="s">
        <v>206</v>
      </c>
      <c r="CI798" t="s">
        <v>206</v>
      </c>
      <c r="CL798" t="s">
        <v>108</v>
      </c>
      <c r="CM798" t="s">
        <v>109</v>
      </c>
      <c r="CN798" t="str">
        <f>"Drozdowski"</f>
        <v>Drozdowski</v>
      </c>
      <c r="CO798" t="str">
        <f>"Andrew"</f>
        <v>Andrew</v>
      </c>
      <c r="CP798" t="str">
        <f>""</f>
        <v/>
      </c>
      <c r="CQ798" t="str">
        <f>"Ogletree, Deakins, Nash, Smoak &amp; Stewart, P.C."</f>
        <v>Ogletree, Deakins, Nash, Smoak &amp; Stewart, P.C.</v>
      </c>
      <c r="CR798" t="s">
        <v>2190</v>
      </c>
    </row>
    <row r="799" spans="1:96" x14ac:dyDescent="0.2">
      <c r="A799" t="s">
        <v>9390</v>
      </c>
      <c r="B799" t="s">
        <v>96</v>
      </c>
      <c r="C799" s="1">
        <v>44098</v>
      </c>
      <c r="D799" s="1">
        <v>44105</v>
      </c>
      <c r="F799" t="s">
        <v>97</v>
      </c>
      <c r="G799" t="str">
        <f>"SOFTWARE DEVELOPMENT ENGINEER - APPLICATIONS"</f>
        <v>SOFTWARE DEVELOPMENT ENGINEER - APPLICATIONS</v>
      </c>
      <c r="H799" t="s">
        <v>12169</v>
      </c>
      <c r="I799" t="s">
        <v>124</v>
      </c>
      <c r="J799" t="s">
        <v>98</v>
      </c>
      <c r="K799" s="1">
        <v>44109</v>
      </c>
      <c r="L799" s="1">
        <v>45203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 t="s">
        <v>233</v>
      </c>
      <c r="U799" t="str">
        <f>""</f>
        <v/>
      </c>
      <c r="V799" t="s">
        <v>234</v>
      </c>
      <c r="W799" t="str">
        <f>""</f>
        <v/>
      </c>
      <c r="X799" t="s">
        <v>235</v>
      </c>
      <c r="Y799" t="s">
        <v>141</v>
      </c>
      <c r="Z799" s="3">
        <v>95014</v>
      </c>
      <c r="AA799" t="s">
        <v>101</v>
      </c>
      <c r="AC799" s="4" t="str">
        <f>"+14089742562"</f>
        <v>+14089742562</v>
      </c>
      <c r="AE799" t="str">
        <f>"334111"</f>
        <v>334111</v>
      </c>
      <c r="AF799" t="s">
        <v>236</v>
      </c>
      <c r="AG799" t="s">
        <v>237</v>
      </c>
      <c r="AH799" t="s">
        <v>108</v>
      </c>
      <c r="AI799" t="s">
        <v>238</v>
      </c>
      <c r="AJ799" t="s">
        <v>239</v>
      </c>
      <c r="AK799" t="str">
        <f>"N/A"</f>
        <v>N/A</v>
      </c>
      <c r="AL799" t="s">
        <v>240</v>
      </c>
      <c r="AM799" t="s">
        <v>141</v>
      </c>
      <c r="AN799" s="3">
        <v>95014</v>
      </c>
      <c r="AO799" t="s">
        <v>101</v>
      </c>
      <c r="AQ799" t="str">
        <f>"+14089742562"</f>
        <v>+14089742562</v>
      </c>
      <c r="AS799" t="s">
        <v>241</v>
      </c>
      <c r="AT799" t="s">
        <v>107</v>
      </c>
      <c r="AU799" t="str">
        <f>"KHOL"</f>
        <v>KHOL</v>
      </c>
      <c r="AV799" t="str">
        <f>"KATHY"</f>
        <v>KATHY</v>
      </c>
      <c r="AW799" t="str">
        <f>"ANN"</f>
        <v>ANN</v>
      </c>
      <c r="AX799" t="str">
        <f>"555 MONTGOMERY STREET"</f>
        <v>555 MONTGOMERY STREET</v>
      </c>
      <c r="AY799" t="str">
        <f>"4TH FLOOR C#5315456"</f>
        <v>4TH FLOOR C#5315456</v>
      </c>
      <c r="AZ799" t="str">
        <f>"SAN FRANCISCO"</f>
        <v>SAN FRANCISCO</v>
      </c>
      <c r="BA799" t="str">
        <f>"CA"</f>
        <v>CA</v>
      </c>
      <c r="BB799" s="3">
        <v>94111</v>
      </c>
      <c r="BC799" t="str">
        <f t="shared" si="57"/>
        <v>UNITED STATES OF AMERICA</v>
      </c>
      <c r="BD799" t="str">
        <f>""</f>
        <v/>
      </c>
      <c r="BE799" t="str">
        <f>"+14159861446"</f>
        <v>+14159861446</v>
      </c>
      <c r="BF799" t="str">
        <f>""</f>
        <v/>
      </c>
      <c r="BG799" t="str">
        <f>"APPLE-USIMM@FRAGOMEN.COM"</f>
        <v>APPLE-USIMM@FRAGOMEN.COM</v>
      </c>
      <c r="BH799" t="str">
        <f>"FRAGOMEN, DEL REY, BERNSEN &amp; LOEWY, LLP."</f>
        <v>FRAGOMEN, DEL REY, BERNSEN &amp; LOEWY, LLP.</v>
      </c>
      <c r="BI799" t="str">
        <f>"CA"</f>
        <v>CA</v>
      </c>
      <c r="BJ799" t="str">
        <f>"SUPREME COURT"</f>
        <v>SUPREME COURT</v>
      </c>
      <c r="BK799">
        <v>1</v>
      </c>
      <c r="BL799" t="s">
        <v>102</v>
      </c>
      <c r="BM799" t="str">
        <f>""</f>
        <v/>
      </c>
      <c r="BN799" t="s">
        <v>239</v>
      </c>
      <c r="BP799" t="s">
        <v>240</v>
      </c>
      <c r="BQ799" t="s">
        <v>230</v>
      </c>
      <c r="BR799" t="s">
        <v>141</v>
      </c>
      <c r="BS799" s="5">
        <v>95014</v>
      </c>
      <c r="BT799" s="2">
        <v>185000</v>
      </c>
      <c r="BV799" t="s">
        <v>105</v>
      </c>
      <c r="BW799" s="2">
        <v>145725</v>
      </c>
      <c r="BX799" t="s">
        <v>105</v>
      </c>
      <c r="BZ799" t="s">
        <v>123</v>
      </c>
      <c r="CA799" t="str">
        <f>"7/1/2020 - 6/30/2021"</f>
        <v>7/1/2020 - 6/30/2021</v>
      </c>
      <c r="CF799">
        <v>1</v>
      </c>
      <c r="CG799" t="s">
        <v>98</v>
      </c>
      <c r="CH799" t="s">
        <v>206</v>
      </c>
      <c r="CI799" t="s">
        <v>206</v>
      </c>
      <c r="CL799" t="s">
        <v>108</v>
      </c>
      <c r="CM799" t="s">
        <v>109</v>
      </c>
      <c r="CN799" t="str">
        <f>"KHOL"</f>
        <v>KHOL</v>
      </c>
      <c r="CO799" t="str">
        <f>"KATHY"</f>
        <v>KATHY</v>
      </c>
      <c r="CP799" t="str">
        <f>"A"</f>
        <v>A</v>
      </c>
      <c r="CQ799" t="str">
        <f>"FRAGOMEN, DEL REY, BERNSEN &amp; LOEWY, LLP"</f>
        <v>FRAGOMEN, DEL REY, BERNSEN &amp; LOEWY, LLP</v>
      </c>
      <c r="CR799" t="s">
        <v>580</v>
      </c>
    </row>
    <row r="800" spans="1:96" x14ac:dyDescent="0.2">
      <c r="A800" t="s">
        <v>9431</v>
      </c>
      <c r="B800" t="s">
        <v>96</v>
      </c>
      <c r="C800" s="1">
        <v>44098</v>
      </c>
      <c r="D800" s="1">
        <v>44105</v>
      </c>
      <c r="F800" t="s">
        <v>97</v>
      </c>
      <c r="G800" t="str">
        <f>"Software Engineer"</f>
        <v>Software Engineer</v>
      </c>
      <c r="H800" t="s">
        <v>12169</v>
      </c>
      <c r="I800" t="s">
        <v>124</v>
      </c>
      <c r="J800" t="s">
        <v>98</v>
      </c>
      <c r="K800" s="1">
        <v>44109</v>
      </c>
      <c r="L800" s="1">
        <v>45203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 t="s">
        <v>9432</v>
      </c>
      <c r="U800" t="str">
        <f>""</f>
        <v/>
      </c>
      <c r="V800" t="s">
        <v>9433</v>
      </c>
      <c r="W800" t="str">
        <f>"SUITE 2700"</f>
        <v>SUITE 2700</v>
      </c>
      <c r="X800" t="s">
        <v>843</v>
      </c>
      <c r="Y800" t="s">
        <v>345</v>
      </c>
      <c r="Z800" s="3">
        <v>60606</v>
      </c>
      <c r="AA800" t="s">
        <v>101</v>
      </c>
      <c r="AC800" s="4" t="str">
        <f>"+13129646348"</f>
        <v>+13129646348</v>
      </c>
      <c r="AE800" t="str">
        <f>"541519"</f>
        <v>541519</v>
      </c>
      <c r="AF800" t="s">
        <v>9434</v>
      </c>
      <c r="AG800" t="s">
        <v>2381</v>
      </c>
      <c r="AI800" t="s">
        <v>201</v>
      </c>
      <c r="AJ800" t="s">
        <v>9435</v>
      </c>
      <c r="AK800" t="str">
        <f>"Suite 2700"</f>
        <v>Suite 2700</v>
      </c>
      <c r="AL800" t="s">
        <v>833</v>
      </c>
      <c r="AM800" t="s">
        <v>345</v>
      </c>
      <c r="AN800" s="3">
        <v>60606</v>
      </c>
      <c r="AO800" t="s">
        <v>101</v>
      </c>
      <c r="AQ800" t="str">
        <f>"+13129646348"</f>
        <v>+13129646348</v>
      </c>
      <c r="AS800" t="s">
        <v>9436</v>
      </c>
      <c r="AT800" t="s">
        <v>107</v>
      </c>
      <c r="AU800" t="str">
        <f>"Reardon"</f>
        <v>Reardon</v>
      </c>
      <c r="AV800" t="str">
        <f>"Brian"</f>
        <v>Brian</v>
      </c>
      <c r="AW800" t="str">
        <f>"Thomas"</f>
        <v>Thomas</v>
      </c>
      <c r="AX800" t="str">
        <f>"230 W. Monroe St. "</f>
        <v xml:space="preserve">230 W. Monroe St. </v>
      </c>
      <c r="AY800" t="str">
        <f>"Suite 2800"</f>
        <v>Suite 2800</v>
      </c>
      <c r="AZ800" t="str">
        <f>"Chicago"</f>
        <v>Chicago</v>
      </c>
      <c r="BA800" t="str">
        <f>"IL"</f>
        <v>IL</v>
      </c>
      <c r="BB800" s="3">
        <v>60606</v>
      </c>
      <c r="BC800" t="str">
        <f t="shared" si="57"/>
        <v>UNITED STATES OF AMERICA</v>
      </c>
      <c r="BD800" t="str">
        <f>""</f>
        <v/>
      </c>
      <c r="BE800" t="str">
        <f>"+13127226300"</f>
        <v>+13127226300</v>
      </c>
      <c r="BF800" t="str">
        <f>""</f>
        <v/>
      </c>
      <c r="BG800" t="str">
        <f>"gov@giafirm.com"</f>
        <v>gov@giafirm.com</v>
      </c>
      <c r="BH800" t="str">
        <f>"Global Immigration Associates, P.C."</f>
        <v>Global Immigration Associates, P.C.</v>
      </c>
      <c r="BI800" t="str">
        <f>"IL"</f>
        <v>IL</v>
      </c>
      <c r="BJ800" t="str">
        <f>"Supreme Court"</f>
        <v>Supreme Court</v>
      </c>
      <c r="BK800">
        <v>1</v>
      </c>
      <c r="BL800" t="s">
        <v>102</v>
      </c>
      <c r="BM800" t="str">
        <f>""</f>
        <v/>
      </c>
      <c r="BN800" t="s">
        <v>9437</v>
      </c>
      <c r="BO800" t="s">
        <v>393</v>
      </c>
      <c r="BP800" t="s">
        <v>833</v>
      </c>
      <c r="BQ800" t="s">
        <v>788</v>
      </c>
      <c r="BR800" t="s">
        <v>345</v>
      </c>
      <c r="BS800" s="5">
        <v>60606</v>
      </c>
      <c r="BT800" s="2">
        <v>110000</v>
      </c>
      <c r="BV800" t="s">
        <v>105</v>
      </c>
      <c r="BW800" s="2">
        <v>104624</v>
      </c>
      <c r="BX800" t="s">
        <v>105</v>
      </c>
      <c r="BZ800" t="s">
        <v>123</v>
      </c>
      <c r="CA800" t="str">
        <f>"7/1/2020 - 6/30/2021"</f>
        <v>7/1/2020 - 6/30/2021</v>
      </c>
      <c r="CF800">
        <v>2</v>
      </c>
      <c r="CG800" t="s">
        <v>98</v>
      </c>
      <c r="CH800" t="s">
        <v>206</v>
      </c>
      <c r="CI800" t="s">
        <v>206</v>
      </c>
      <c r="CL800" t="s">
        <v>108</v>
      </c>
      <c r="CM800" t="s">
        <v>109</v>
      </c>
      <c r="CN800" t="str">
        <f>""</f>
        <v/>
      </c>
      <c r="CO800" t="str">
        <f>""</f>
        <v/>
      </c>
      <c r="CP800" t="str">
        <f>""</f>
        <v/>
      </c>
      <c r="CQ800" t="str">
        <f>""</f>
        <v/>
      </c>
    </row>
    <row r="801" spans="1:96" x14ac:dyDescent="0.2">
      <c r="A801" t="s">
        <v>9445</v>
      </c>
      <c r="B801" t="s">
        <v>96</v>
      </c>
      <c r="C801" s="1">
        <v>44098</v>
      </c>
      <c r="D801" s="1">
        <v>44105</v>
      </c>
      <c r="F801" t="s">
        <v>97</v>
      </c>
      <c r="G801" t="str">
        <f>"Staff IT Engineer"</f>
        <v>Staff IT Engineer</v>
      </c>
      <c r="H801" t="s">
        <v>12169</v>
      </c>
      <c r="I801" t="s">
        <v>124</v>
      </c>
      <c r="J801" t="s">
        <v>98</v>
      </c>
      <c r="K801" s="1">
        <v>44116</v>
      </c>
      <c r="L801" s="1">
        <v>45210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5880</v>
      </c>
      <c r="U801" t="str">
        <f>""</f>
        <v/>
      </c>
      <c r="V801" t="s">
        <v>5881</v>
      </c>
      <c r="W801" t="str">
        <f>""</f>
        <v/>
      </c>
      <c r="X801" t="s">
        <v>157</v>
      </c>
      <c r="Y801" t="s">
        <v>141</v>
      </c>
      <c r="Z801" s="3">
        <v>92122</v>
      </c>
      <c r="AA801" t="s">
        <v>101</v>
      </c>
      <c r="AC801" s="4" t="str">
        <f>"+18582024500"</f>
        <v>+18582024500</v>
      </c>
      <c r="AE801" t="str">
        <f>"33911"</f>
        <v>33911</v>
      </c>
      <c r="AF801" t="s">
        <v>5882</v>
      </c>
      <c r="AG801" t="s">
        <v>5883</v>
      </c>
      <c r="AI801" t="s">
        <v>5884</v>
      </c>
      <c r="AJ801" t="s">
        <v>5881</v>
      </c>
      <c r="AK801" t="str">
        <f>""</f>
        <v/>
      </c>
      <c r="AL801" t="s">
        <v>157</v>
      </c>
      <c r="AM801" t="s">
        <v>141</v>
      </c>
      <c r="AN801" s="3">
        <v>92122</v>
      </c>
      <c r="AO801" t="s">
        <v>101</v>
      </c>
      <c r="AQ801" t="str">
        <f>"+18582024500"</f>
        <v>+18582024500</v>
      </c>
      <c r="AS801" t="s">
        <v>5885</v>
      </c>
      <c r="AT801" t="s">
        <v>107</v>
      </c>
      <c r="AU801" t="str">
        <f>"Limaco"</f>
        <v>Limaco</v>
      </c>
      <c r="AV801" t="str">
        <f>"Patricia"</f>
        <v>Patricia</v>
      </c>
      <c r="AW801" t="str">
        <f>"M"</f>
        <v>M</v>
      </c>
      <c r="AX801" t="str">
        <f>"675 N. 1st Street, Ste 1050"</f>
        <v>675 N. 1st Street, Ste 1050</v>
      </c>
      <c r="AY801" t="str">
        <f>""</f>
        <v/>
      </c>
      <c r="AZ801" t="str">
        <f>"San Jose"</f>
        <v>San Jose</v>
      </c>
      <c r="BA801" t="str">
        <f>"CA"</f>
        <v>CA</v>
      </c>
      <c r="BB801" s="3">
        <v>95112</v>
      </c>
      <c r="BC801" t="str">
        <f t="shared" si="57"/>
        <v>UNITED STATES OF AMERICA</v>
      </c>
      <c r="BD801" t="str">
        <f>""</f>
        <v/>
      </c>
      <c r="BE801" t="str">
        <f>"+14088509853"</f>
        <v>+14088509853</v>
      </c>
      <c r="BF801" t="str">
        <f>""</f>
        <v/>
      </c>
      <c r="BG801" t="str">
        <f>"plimaco@grahamadair.com"</f>
        <v>plimaco@grahamadair.com</v>
      </c>
      <c r="BH801" t="str">
        <f>"Graham Adair, Inc."</f>
        <v>Graham Adair, Inc.</v>
      </c>
      <c r="BI801" t="str">
        <f>"CA"</f>
        <v>CA</v>
      </c>
      <c r="BJ801" t="str">
        <f>"Supreme Court"</f>
        <v>Supreme Court</v>
      </c>
      <c r="BK801">
        <v>1</v>
      </c>
      <c r="BL801" t="s">
        <v>102</v>
      </c>
      <c r="BM801" t="str">
        <f>""</f>
        <v/>
      </c>
      <c r="BN801" t="s">
        <v>5886</v>
      </c>
      <c r="BP801" t="s">
        <v>157</v>
      </c>
      <c r="BQ801" t="s">
        <v>158</v>
      </c>
      <c r="BR801" t="s">
        <v>141</v>
      </c>
      <c r="BS801" s="5">
        <v>92121</v>
      </c>
      <c r="BT801" s="2">
        <v>135429</v>
      </c>
      <c r="BU801" s="2">
        <v>155000</v>
      </c>
      <c r="BV801" t="s">
        <v>105</v>
      </c>
      <c r="BW801" s="2">
        <v>135429</v>
      </c>
      <c r="BX801" t="s">
        <v>105</v>
      </c>
      <c r="BZ801" t="s">
        <v>159</v>
      </c>
      <c r="CA801" t="str">
        <f>"7/1/2020 - 6/30/2021"</f>
        <v>7/1/2020 - 6/30/2021</v>
      </c>
      <c r="CF801">
        <v>1</v>
      </c>
      <c r="CG801" t="s">
        <v>98</v>
      </c>
      <c r="CH801" t="s">
        <v>206</v>
      </c>
      <c r="CI801" t="s">
        <v>206</v>
      </c>
      <c r="CL801" t="s">
        <v>108</v>
      </c>
      <c r="CM801" t="s">
        <v>109</v>
      </c>
      <c r="CN801" t="str">
        <f>"Limaco"</f>
        <v>Limaco</v>
      </c>
      <c r="CO801" t="str">
        <f>"Patricia"</f>
        <v>Patricia</v>
      </c>
      <c r="CP801" t="str">
        <f>"M"</f>
        <v>M</v>
      </c>
      <c r="CQ801" t="str">
        <f>"Graham Adair, Inc."</f>
        <v>Graham Adair, Inc.</v>
      </c>
      <c r="CR801" t="s">
        <v>3766</v>
      </c>
    </row>
    <row r="802" spans="1:96" x14ac:dyDescent="0.2">
      <c r="A802" t="s">
        <v>9448</v>
      </c>
      <c r="B802" t="s">
        <v>96</v>
      </c>
      <c r="C802" s="1">
        <v>44098</v>
      </c>
      <c r="D802" s="1">
        <v>44105</v>
      </c>
      <c r="F802" t="s">
        <v>97</v>
      </c>
      <c r="G802" t="str">
        <f>"Application Developer, Senior"</f>
        <v>Application Developer, Senior</v>
      </c>
      <c r="H802" t="s">
        <v>12169</v>
      </c>
      <c r="I802" t="s">
        <v>124</v>
      </c>
      <c r="J802" t="s">
        <v>98</v>
      </c>
      <c r="K802" s="1">
        <v>44116</v>
      </c>
      <c r="L802" s="1">
        <v>45210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 t="s">
        <v>6844</v>
      </c>
      <c r="U802" t="str">
        <f>""</f>
        <v/>
      </c>
      <c r="V802" t="s">
        <v>6845</v>
      </c>
      <c r="W802" t="str">
        <f>""</f>
        <v/>
      </c>
      <c r="X802" t="s">
        <v>1340</v>
      </c>
      <c r="Y802" t="s">
        <v>127</v>
      </c>
      <c r="Z802" s="3">
        <v>17822</v>
      </c>
      <c r="AA802" t="s">
        <v>101</v>
      </c>
      <c r="AC802" s="4" t="str">
        <f>"+15702717003"</f>
        <v>+15702717003</v>
      </c>
      <c r="AE802" t="str">
        <f>"622110"</f>
        <v>622110</v>
      </c>
      <c r="AF802" t="s">
        <v>3282</v>
      </c>
      <c r="AG802" t="s">
        <v>6846</v>
      </c>
      <c r="AI802" t="s">
        <v>6847</v>
      </c>
      <c r="AJ802" t="s">
        <v>6845</v>
      </c>
      <c r="AK802" t="str">
        <f>""</f>
        <v/>
      </c>
      <c r="AL802" t="s">
        <v>1340</v>
      </c>
      <c r="AM802" t="s">
        <v>127</v>
      </c>
      <c r="AN802" s="3">
        <v>17822</v>
      </c>
      <c r="AO802" t="s">
        <v>101</v>
      </c>
      <c r="AQ802" t="str">
        <f>"+15702717003"</f>
        <v>+15702717003</v>
      </c>
      <c r="AS802" t="s">
        <v>6848</v>
      </c>
      <c r="AT802" t="s">
        <v>107</v>
      </c>
      <c r="AU802" t="str">
        <f>"Stock"</f>
        <v>Stock</v>
      </c>
      <c r="AV802" t="str">
        <f>"William"</f>
        <v>William</v>
      </c>
      <c r="AW802" t="str">
        <f>"A"</f>
        <v>A</v>
      </c>
      <c r="AX802" t="str">
        <f>"1601 Market Street"</f>
        <v>1601 Market Street</v>
      </c>
      <c r="AY802" t="str">
        <f>"Suite 2600"</f>
        <v>Suite 2600</v>
      </c>
      <c r="AZ802" t="str">
        <f>"Philadelphia"</f>
        <v>Philadelphia</v>
      </c>
      <c r="BA802" t="str">
        <f>"PA"</f>
        <v>PA</v>
      </c>
      <c r="BB802" s="3">
        <v>19103</v>
      </c>
      <c r="BC802" t="str">
        <f t="shared" si="57"/>
        <v>UNITED STATES OF AMERICA</v>
      </c>
      <c r="BD802" t="str">
        <f>""</f>
        <v/>
      </c>
      <c r="BE802" t="str">
        <f>"+12158258600"</f>
        <v>+12158258600</v>
      </c>
      <c r="BF802" t="str">
        <f>""</f>
        <v/>
      </c>
      <c r="BG802" t="str">
        <f>"rfulton@klaskolaw.com"</f>
        <v>rfulton@klaskolaw.com</v>
      </c>
      <c r="BH802" t="str">
        <f>"Klasko Immigration Law Partners, LLP"</f>
        <v>Klasko Immigration Law Partners, LLP</v>
      </c>
      <c r="BI802" t="str">
        <f>"PA"</f>
        <v>PA</v>
      </c>
      <c r="BJ802" t="str">
        <f>"Supreme"</f>
        <v>Supreme</v>
      </c>
      <c r="BK802">
        <v>1</v>
      </c>
      <c r="BL802" t="s">
        <v>102</v>
      </c>
      <c r="BM802" t="str">
        <f>""</f>
        <v/>
      </c>
      <c r="BN802" t="s">
        <v>6849</v>
      </c>
      <c r="BP802" t="s">
        <v>555</v>
      </c>
      <c r="BQ802" t="s">
        <v>1888</v>
      </c>
      <c r="BR802" t="s">
        <v>114</v>
      </c>
      <c r="BS802" s="5">
        <v>75034</v>
      </c>
      <c r="BT802" s="2">
        <v>90000</v>
      </c>
      <c r="BU802" s="2">
        <v>100000</v>
      </c>
      <c r="BV802" t="s">
        <v>105</v>
      </c>
      <c r="BW802" s="2">
        <v>85363</v>
      </c>
      <c r="BX802" t="s">
        <v>105</v>
      </c>
      <c r="BZ802" t="s">
        <v>159</v>
      </c>
      <c r="CA802" t="str">
        <f>"7/1/2020 - 6/30/2021"</f>
        <v>7/1/2020 - 6/30/2021</v>
      </c>
      <c r="CF802">
        <v>1</v>
      </c>
      <c r="CG802" t="s">
        <v>98</v>
      </c>
      <c r="CH802" t="s">
        <v>206</v>
      </c>
      <c r="CI802" t="s">
        <v>206</v>
      </c>
      <c r="CL802" t="s">
        <v>108</v>
      </c>
      <c r="CM802" t="s">
        <v>109</v>
      </c>
      <c r="CN802" t="str">
        <f>""</f>
        <v/>
      </c>
      <c r="CO802" t="str">
        <f>""</f>
        <v/>
      </c>
      <c r="CP802" t="str">
        <f>""</f>
        <v/>
      </c>
      <c r="CQ802" t="str">
        <f>""</f>
        <v/>
      </c>
    </row>
    <row r="803" spans="1:96" x14ac:dyDescent="0.2">
      <c r="A803" t="s">
        <v>9454</v>
      </c>
      <c r="B803" t="s">
        <v>96</v>
      </c>
      <c r="C803" s="1">
        <v>44098</v>
      </c>
      <c r="D803" s="1">
        <v>44105</v>
      </c>
      <c r="F803" t="s">
        <v>97</v>
      </c>
      <c r="G803" t="str">
        <f>"STAFF PROGRAM MANAGER"</f>
        <v>STAFF PROGRAM MANAGER</v>
      </c>
      <c r="H803" t="s">
        <v>12168</v>
      </c>
      <c r="I803" t="s">
        <v>249</v>
      </c>
      <c r="J803" t="s">
        <v>98</v>
      </c>
      <c r="K803" s="1">
        <v>44117</v>
      </c>
      <c r="L803" s="1">
        <v>45211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 t="s">
        <v>2435</v>
      </c>
      <c r="U803" t="str">
        <f>""</f>
        <v/>
      </c>
      <c r="V803" t="s">
        <v>2436</v>
      </c>
      <c r="W803" t="str">
        <f>""</f>
        <v/>
      </c>
      <c r="X803" t="s">
        <v>1288</v>
      </c>
      <c r="Y803" t="s">
        <v>141</v>
      </c>
      <c r="Z803" s="3">
        <v>94304</v>
      </c>
      <c r="AA803" t="s">
        <v>101</v>
      </c>
      <c r="AC803" s="4" t="str">
        <f>"+16506815000"</f>
        <v>+16506815000</v>
      </c>
      <c r="AE803" t="str">
        <f>"336111"</f>
        <v>336111</v>
      </c>
      <c r="AF803" t="s">
        <v>4291</v>
      </c>
      <c r="AG803" t="s">
        <v>2438</v>
      </c>
      <c r="AH803" t="s">
        <v>2437</v>
      </c>
      <c r="AI803" t="s">
        <v>4418</v>
      </c>
      <c r="AJ803" t="s">
        <v>2436</v>
      </c>
      <c r="AK803" t="str">
        <f>""</f>
        <v/>
      </c>
      <c r="AL803" t="s">
        <v>1288</v>
      </c>
      <c r="AM803" t="s">
        <v>141</v>
      </c>
      <c r="AN803" s="3">
        <v>94304</v>
      </c>
      <c r="AO803" t="s">
        <v>101</v>
      </c>
      <c r="AQ803" t="str">
        <f>"+16506815000"</f>
        <v>+16506815000</v>
      </c>
      <c r="AS803" t="s">
        <v>4419</v>
      </c>
      <c r="AT803" t="s">
        <v>107</v>
      </c>
      <c r="AU803" t="str">
        <f>"MEHLMAN"</f>
        <v>MEHLMAN</v>
      </c>
      <c r="AV803" t="str">
        <f>"SHARON"</f>
        <v>SHARON</v>
      </c>
      <c r="AW803" t="str">
        <f>"REGINA"</f>
        <v>REGINA</v>
      </c>
      <c r="AX803" t="str">
        <f>"P.O. BOX 928800"</f>
        <v>P.O. BOX 928800</v>
      </c>
      <c r="AY803" t="str">
        <f>""</f>
        <v/>
      </c>
      <c r="AZ803" t="str">
        <f>"SAN DIEGO"</f>
        <v>SAN DIEGO</v>
      </c>
      <c r="BA803" t="str">
        <f>"CA"</f>
        <v>CA</v>
      </c>
      <c r="BB803" s="3">
        <v>92192</v>
      </c>
      <c r="BC803" t="str">
        <f t="shared" si="57"/>
        <v>UNITED STATES OF AMERICA</v>
      </c>
      <c r="BD803" t="str">
        <f>""</f>
        <v/>
      </c>
      <c r="BE803" t="str">
        <f>"+18584126300"</f>
        <v>+18584126300</v>
      </c>
      <c r="BF803" t="str">
        <f>""</f>
        <v/>
      </c>
      <c r="BG803" t="str">
        <f>"SHARON.MEHLMAN@TSMIMMIGRATION.COM"</f>
        <v>SHARON.MEHLMAN@TSMIMMIGRATION.COM</v>
      </c>
      <c r="BH803" t="str">
        <f>"TAFAPOLSKY SMITH MEHLMAN LLP"</f>
        <v>TAFAPOLSKY SMITH MEHLMAN LLP</v>
      </c>
      <c r="BI803" t="str">
        <f>"CA"</f>
        <v>CA</v>
      </c>
      <c r="BJ803" t="str">
        <f>"CALIFORNIA SUPREME COURT"</f>
        <v>CALIFORNIA SUPREME COURT</v>
      </c>
      <c r="BK803">
        <v>1</v>
      </c>
      <c r="BL803" t="s">
        <v>102</v>
      </c>
      <c r="BM803" t="str">
        <f>""</f>
        <v/>
      </c>
      <c r="BN803" t="s">
        <v>4420</v>
      </c>
      <c r="BP803" t="s">
        <v>399</v>
      </c>
      <c r="BQ803" t="s">
        <v>419</v>
      </c>
      <c r="BR803" t="s">
        <v>141</v>
      </c>
      <c r="BS803" s="5">
        <v>94538</v>
      </c>
      <c r="BT803" s="2">
        <v>135000</v>
      </c>
      <c r="BV803" t="s">
        <v>105</v>
      </c>
      <c r="BW803" s="2">
        <v>132666</v>
      </c>
      <c r="BX803" t="s">
        <v>105</v>
      </c>
      <c r="CA803" t="str">
        <f>""</f>
        <v/>
      </c>
      <c r="CB803" t="s">
        <v>244</v>
      </c>
      <c r="CC803">
        <v>2020</v>
      </c>
      <c r="CD803" t="s">
        <v>1420</v>
      </c>
      <c r="CE803" t="s">
        <v>9455</v>
      </c>
      <c r="CF803">
        <v>2</v>
      </c>
      <c r="CG803" t="s">
        <v>98</v>
      </c>
      <c r="CH803" t="s">
        <v>206</v>
      </c>
      <c r="CI803" t="s">
        <v>206</v>
      </c>
      <c r="CL803" t="s">
        <v>108</v>
      </c>
      <c r="CM803" t="s">
        <v>109</v>
      </c>
      <c r="CN803" t="str">
        <f>"FERNANDEZ"</f>
        <v>FERNANDEZ</v>
      </c>
      <c r="CO803" t="str">
        <f>"MARIGOLD"</f>
        <v>MARIGOLD</v>
      </c>
      <c r="CP803" t="str">
        <f>"C."</f>
        <v>C.</v>
      </c>
      <c r="CQ803" t="str">
        <f>"TAFAPOLSKY SMITH MEHLMAN LLP"</f>
        <v>TAFAPOLSKY SMITH MEHLMAN LLP</v>
      </c>
      <c r="CR803" t="s">
        <v>4948</v>
      </c>
    </row>
    <row r="804" spans="1:96" x14ac:dyDescent="0.2">
      <c r="A804" t="s">
        <v>9460</v>
      </c>
      <c r="B804" t="s">
        <v>96</v>
      </c>
      <c r="C804" s="1">
        <v>44098</v>
      </c>
      <c r="D804" s="1">
        <v>44105</v>
      </c>
      <c r="F804" t="s">
        <v>97</v>
      </c>
      <c r="G804" t="str">
        <f>"Clinical Implementation Manager"</f>
        <v>Clinical Implementation Manager</v>
      </c>
      <c r="H804" t="s">
        <v>12177</v>
      </c>
      <c r="I804" t="s">
        <v>1897</v>
      </c>
      <c r="J804" t="s">
        <v>98</v>
      </c>
      <c r="K804" s="1">
        <v>44109</v>
      </c>
      <c r="L804" s="1">
        <v>45203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 t="s">
        <v>9461</v>
      </c>
      <c r="U804" t="str">
        <f>""</f>
        <v/>
      </c>
      <c r="V804" t="s">
        <v>9462</v>
      </c>
      <c r="W804" t="str">
        <f>""</f>
        <v/>
      </c>
      <c r="X804" t="s">
        <v>277</v>
      </c>
      <c r="Y804" t="s">
        <v>190</v>
      </c>
      <c r="Z804" s="3">
        <v>10017</v>
      </c>
      <c r="AA804" t="s">
        <v>101</v>
      </c>
      <c r="AC804" s="4" t="str">
        <f>"+14159415734"</f>
        <v>+14159415734</v>
      </c>
      <c r="AE804" t="str">
        <f>"541512"</f>
        <v>541512</v>
      </c>
      <c r="AF804" t="s">
        <v>4770</v>
      </c>
      <c r="AG804" t="s">
        <v>1514</v>
      </c>
      <c r="AI804" t="s">
        <v>1488</v>
      </c>
      <c r="AJ804" t="s">
        <v>9463</v>
      </c>
      <c r="AK804" t="str">
        <f>"6 Broughton St Lane"</f>
        <v>6 Broughton St Lane</v>
      </c>
      <c r="AL804" t="s">
        <v>9464</v>
      </c>
      <c r="AN804" s="3" t="s">
        <v>12303</v>
      </c>
      <c r="AO804" t="s">
        <v>495</v>
      </c>
      <c r="AP804" t="s">
        <v>9465</v>
      </c>
      <c r="AQ804" t="str">
        <f>"+440748014845"</f>
        <v>+440748014845</v>
      </c>
      <c r="AS804" t="s">
        <v>9466</v>
      </c>
      <c r="AT804" t="s">
        <v>102</v>
      </c>
      <c r="AU804" t="str">
        <f>""</f>
        <v/>
      </c>
      <c r="AV804" t="str">
        <f>""</f>
        <v/>
      </c>
      <c r="AW804" t="str">
        <f>""</f>
        <v/>
      </c>
      <c r="AX804" t="str">
        <f>""</f>
        <v/>
      </c>
      <c r="AY804" t="str">
        <f>""</f>
        <v/>
      </c>
      <c r="AZ804" t="str">
        <f>""</f>
        <v/>
      </c>
      <c r="BA804" t="str">
        <f>""</f>
        <v/>
      </c>
      <c r="BC804" t="str">
        <f>""</f>
        <v/>
      </c>
      <c r="BD804" t="str">
        <f>""</f>
        <v/>
      </c>
      <c r="BE804" t="str">
        <f>""</f>
        <v/>
      </c>
      <c r="BF804" t="str">
        <f>""</f>
        <v/>
      </c>
      <c r="BG804" t="str">
        <f>""</f>
        <v/>
      </c>
      <c r="BH804" t="str">
        <f>""</f>
        <v/>
      </c>
      <c r="BI804" t="str">
        <f>""</f>
        <v/>
      </c>
      <c r="BJ804" t="str">
        <f>""</f>
        <v/>
      </c>
      <c r="BK804">
        <v>1</v>
      </c>
      <c r="BL804" t="s">
        <v>102</v>
      </c>
      <c r="BM804" t="str">
        <f>""</f>
        <v/>
      </c>
      <c r="BN804" t="s">
        <v>9467</v>
      </c>
      <c r="BP804" t="s">
        <v>3281</v>
      </c>
      <c r="BQ804" t="s">
        <v>183</v>
      </c>
      <c r="BR804" t="s">
        <v>176</v>
      </c>
      <c r="BS804" s="5">
        <v>98033</v>
      </c>
      <c r="BT804" s="2">
        <v>123000</v>
      </c>
      <c r="BV804" t="s">
        <v>105</v>
      </c>
      <c r="BW804" s="2">
        <v>110157</v>
      </c>
      <c r="BX804" t="s">
        <v>105</v>
      </c>
      <c r="BZ804" t="s">
        <v>159</v>
      </c>
      <c r="CA804" t="str">
        <f t="shared" ref="CA804:CA825" si="58">"7/1/2020 - 6/30/2021"</f>
        <v>7/1/2020 - 6/30/2021</v>
      </c>
      <c r="CF804">
        <v>1</v>
      </c>
      <c r="CG804" t="s">
        <v>98</v>
      </c>
      <c r="CH804" t="s">
        <v>206</v>
      </c>
      <c r="CI804" t="s">
        <v>206</v>
      </c>
      <c r="CL804" t="s">
        <v>108</v>
      </c>
      <c r="CM804" t="s">
        <v>353</v>
      </c>
      <c r="CN804" t="str">
        <f>"McLaren"</f>
        <v>McLaren</v>
      </c>
      <c r="CO804" t="str">
        <f>"Olivia"</f>
        <v>Olivia</v>
      </c>
      <c r="CP804" t="str">
        <f>"M"</f>
        <v>M</v>
      </c>
      <c r="CQ804" t="str">
        <f>"Olivia McLaren, Ltd."</f>
        <v>Olivia McLaren, Ltd.</v>
      </c>
      <c r="CR804" t="s">
        <v>9468</v>
      </c>
    </row>
    <row r="805" spans="1:96" x14ac:dyDescent="0.2">
      <c r="A805" t="s">
        <v>9477</v>
      </c>
      <c r="B805" t="s">
        <v>96</v>
      </c>
      <c r="C805" s="1">
        <v>44098</v>
      </c>
      <c r="D805" s="1">
        <v>44105</v>
      </c>
      <c r="F805" t="s">
        <v>97</v>
      </c>
      <c r="G805" t="str">
        <f>"Software Developer IV"</f>
        <v>Software Developer IV</v>
      </c>
      <c r="H805" t="s">
        <v>12169</v>
      </c>
      <c r="I805" t="s">
        <v>124</v>
      </c>
      <c r="J805" t="s">
        <v>98</v>
      </c>
      <c r="K805" s="1">
        <v>44170</v>
      </c>
      <c r="L805" s="1">
        <v>44259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 t="s">
        <v>9478</v>
      </c>
      <c r="U805" t="str">
        <f>""</f>
        <v/>
      </c>
      <c r="V805" t="s">
        <v>9479</v>
      </c>
      <c r="W805" t="str">
        <f>""</f>
        <v/>
      </c>
      <c r="X805" t="s">
        <v>1647</v>
      </c>
      <c r="Y805" t="s">
        <v>225</v>
      </c>
      <c r="Z805" s="3">
        <v>44115</v>
      </c>
      <c r="AA805" t="s">
        <v>101</v>
      </c>
      <c r="AC805" s="4" t="str">
        <f>"+12166877000"</f>
        <v>+12166877000</v>
      </c>
      <c r="AE805" t="str">
        <f>"524114"</f>
        <v>524114</v>
      </c>
      <c r="AF805" t="s">
        <v>9260</v>
      </c>
      <c r="AG805" t="s">
        <v>6834</v>
      </c>
      <c r="AI805" t="s">
        <v>2878</v>
      </c>
      <c r="AJ805" t="s">
        <v>9479</v>
      </c>
      <c r="AK805" t="str">
        <f>""</f>
        <v/>
      </c>
      <c r="AL805" t="s">
        <v>1647</v>
      </c>
      <c r="AM805" t="s">
        <v>225</v>
      </c>
      <c r="AN805" s="3">
        <v>44115</v>
      </c>
      <c r="AO805" t="s">
        <v>101</v>
      </c>
      <c r="AQ805" t="str">
        <f>"+12166877802"</f>
        <v>+12166877802</v>
      </c>
      <c r="AS805" t="s">
        <v>9480</v>
      </c>
      <c r="AT805" t="s">
        <v>107</v>
      </c>
      <c r="AU805" t="str">
        <f>"Oza"</f>
        <v>Oza</v>
      </c>
      <c r="AV805" t="str">
        <f>"Rishi"</f>
        <v>Rishi</v>
      </c>
      <c r="AW805" t="str">
        <f>"P"</f>
        <v>P</v>
      </c>
      <c r="AX805" t="str">
        <f>"1468 West 9th Street"</f>
        <v>1468 West 9th Street</v>
      </c>
      <c r="AY805" t="str">
        <f>"Ste. 705"</f>
        <v>Ste. 705</v>
      </c>
      <c r="AZ805" t="str">
        <f>"Cleveland"</f>
        <v>Cleveland</v>
      </c>
      <c r="BA805" t="str">
        <f>"OH"</f>
        <v>OH</v>
      </c>
      <c r="BB805" s="3">
        <v>44115</v>
      </c>
      <c r="BC805" t="str">
        <f>"UNITED STATES OF AMERICA"</f>
        <v>UNITED STATES OF AMERICA</v>
      </c>
      <c r="BD805" t="str">
        <f>""</f>
        <v/>
      </c>
      <c r="BE805" t="str">
        <f>"+12168614414"</f>
        <v>+12168614414</v>
      </c>
      <c r="BF805" t="str">
        <f>""</f>
        <v/>
      </c>
      <c r="BG805" t="str">
        <f>"roza@brown-immigration.com"</f>
        <v>roza@brown-immigration.com</v>
      </c>
      <c r="BH805" t="str">
        <f>"Robert Brown LLC"</f>
        <v>Robert Brown LLC</v>
      </c>
      <c r="BI805" t="str">
        <f>"OH"</f>
        <v>OH</v>
      </c>
      <c r="BJ805" t="str">
        <f>"Ohio Supreme Court"</f>
        <v>Ohio Supreme Court</v>
      </c>
      <c r="BK805">
        <v>1</v>
      </c>
      <c r="BL805" t="s">
        <v>102</v>
      </c>
      <c r="BM805" t="str">
        <f>""</f>
        <v/>
      </c>
      <c r="BN805" t="s">
        <v>9481</v>
      </c>
      <c r="BP805" t="s">
        <v>1791</v>
      </c>
      <c r="BQ805" t="s">
        <v>1087</v>
      </c>
      <c r="BR805" t="s">
        <v>225</v>
      </c>
      <c r="BS805" s="5">
        <v>44144</v>
      </c>
      <c r="BT805" s="2">
        <v>105060</v>
      </c>
      <c r="BV805" t="s">
        <v>105</v>
      </c>
      <c r="BW805" s="2">
        <v>103355</v>
      </c>
      <c r="BX805" t="s">
        <v>105</v>
      </c>
      <c r="BZ805" t="s">
        <v>159</v>
      </c>
      <c r="CA805" t="str">
        <f t="shared" si="58"/>
        <v>7/1/2020 - 6/30/2021</v>
      </c>
      <c r="CF805">
        <v>1</v>
      </c>
      <c r="CG805" t="s">
        <v>98</v>
      </c>
      <c r="CH805" t="s">
        <v>206</v>
      </c>
      <c r="CI805" t="s">
        <v>206</v>
      </c>
      <c r="CL805" t="s">
        <v>108</v>
      </c>
      <c r="CM805" t="s">
        <v>109</v>
      </c>
      <c r="CN805" t="str">
        <f>""</f>
        <v/>
      </c>
      <c r="CO805" t="str">
        <f>""</f>
        <v/>
      </c>
      <c r="CP805" t="str">
        <f>""</f>
        <v/>
      </c>
      <c r="CQ805" t="str">
        <f>""</f>
        <v/>
      </c>
    </row>
    <row r="806" spans="1:96" x14ac:dyDescent="0.2">
      <c r="A806" t="s">
        <v>9482</v>
      </c>
      <c r="B806" t="s">
        <v>96</v>
      </c>
      <c r="C806" s="1">
        <v>44098</v>
      </c>
      <c r="D806" s="1">
        <v>44105</v>
      </c>
      <c r="F806" t="s">
        <v>97</v>
      </c>
      <c r="G806" t="str">
        <f>"DVT Product Engineer"</f>
        <v>DVT Product Engineer</v>
      </c>
      <c r="H806" t="s">
        <v>12258</v>
      </c>
      <c r="I806" t="s">
        <v>863</v>
      </c>
      <c r="J806" t="s">
        <v>98</v>
      </c>
      <c r="K806" s="1">
        <v>44112</v>
      </c>
      <c r="L806" s="1">
        <v>45206</v>
      </c>
      <c r="M806">
        <v>25</v>
      </c>
      <c r="N806">
        <v>5</v>
      </c>
      <c r="O806">
        <v>5</v>
      </c>
      <c r="P806">
        <v>5</v>
      </c>
      <c r="Q806">
        <v>0</v>
      </c>
      <c r="R806">
        <v>5</v>
      </c>
      <c r="S806">
        <v>5</v>
      </c>
      <c r="T806" t="s">
        <v>3251</v>
      </c>
      <c r="U806" t="str">
        <f>""</f>
        <v/>
      </c>
      <c r="V806" t="s">
        <v>3252</v>
      </c>
      <c r="W806" t="str">
        <f>""</f>
        <v/>
      </c>
      <c r="X806" t="s">
        <v>3253</v>
      </c>
      <c r="Y806" t="s">
        <v>814</v>
      </c>
      <c r="Z806" s="3">
        <v>97070</v>
      </c>
      <c r="AA806" t="s">
        <v>101</v>
      </c>
      <c r="AC806" s="4" t="str">
        <f>"+15036851357"</f>
        <v>+15036851357</v>
      </c>
      <c r="AE806" t="str">
        <f>"541512"</f>
        <v>541512</v>
      </c>
      <c r="AF806" t="s">
        <v>2495</v>
      </c>
      <c r="AG806" t="s">
        <v>196</v>
      </c>
      <c r="AI806" t="s">
        <v>3254</v>
      </c>
      <c r="AJ806" t="s">
        <v>3255</v>
      </c>
      <c r="AK806" t="str">
        <f>""</f>
        <v/>
      </c>
      <c r="AL806" t="s">
        <v>3253</v>
      </c>
      <c r="AM806" t="s">
        <v>814</v>
      </c>
      <c r="AN806" s="3">
        <v>97070</v>
      </c>
      <c r="AO806" t="s">
        <v>101</v>
      </c>
      <c r="AQ806" t="str">
        <f>"+15036851357"</f>
        <v>+15036851357</v>
      </c>
      <c r="AS806" t="s">
        <v>3256</v>
      </c>
      <c r="AT806" t="s">
        <v>107</v>
      </c>
      <c r="AU806" t="str">
        <f>"Faure Wenger"</f>
        <v>Faure Wenger</v>
      </c>
      <c r="AV806" t="str">
        <f>"Karine"</f>
        <v>Karine</v>
      </c>
      <c r="AW806" t="str">
        <f>"Isabelle"</f>
        <v>Isabelle</v>
      </c>
      <c r="AX806" t="str">
        <f>"P.O. Box 910129"</f>
        <v>P.O. Box 910129</v>
      </c>
      <c r="AY806" t="str">
        <f>""</f>
        <v/>
      </c>
      <c r="AZ806" t="str">
        <f>"San Diego"</f>
        <v>San Diego</v>
      </c>
      <c r="BA806" t="str">
        <f>"CA"</f>
        <v>CA</v>
      </c>
      <c r="BB806" s="3">
        <v>92191</v>
      </c>
      <c r="BC806" t="str">
        <f>"UNITED STATES OF AMERICA"</f>
        <v>UNITED STATES OF AMERICA</v>
      </c>
      <c r="BD806" t="str">
        <f>""</f>
        <v/>
      </c>
      <c r="BE806" t="str">
        <f>"+18587931600"</f>
        <v>+18587931600</v>
      </c>
      <c r="BF806" t="str">
        <f>""</f>
        <v/>
      </c>
      <c r="BG806" t="str">
        <f>"lcraske@fragomen.com"</f>
        <v>lcraske@fragomen.com</v>
      </c>
      <c r="BH806" t="str">
        <f>"FRAGOMEN, DEL REY, BERNSEN &amp; LOEWY, LLP"</f>
        <v>FRAGOMEN, DEL REY, BERNSEN &amp; LOEWY, LLP</v>
      </c>
      <c r="BI806" t="str">
        <f>"CA"</f>
        <v>CA</v>
      </c>
      <c r="BJ806" t="str">
        <f>"SUPREME COURT"</f>
        <v>SUPREME COURT</v>
      </c>
      <c r="BK806">
        <v>25</v>
      </c>
      <c r="BL806" t="s">
        <v>102</v>
      </c>
      <c r="BM806" t="str">
        <f>""</f>
        <v/>
      </c>
      <c r="BN806" t="s">
        <v>9483</v>
      </c>
      <c r="BP806" t="s">
        <v>398</v>
      </c>
      <c r="BQ806" t="s">
        <v>419</v>
      </c>
      <c r="BR806" t="s">
        <v>141</v>
      </c>
      <c r="BS806" s="5">
        <v>94538</v>
      </c>
      <c r="BT806" s="2">
        <v>103106</v>
      </c>
      <c r="BU806" s="2">
        <v>140800</v>
      </c>
      <c r="BV806" t="s">
        <v>105</v>
      </c>
      <c r="BW806" s="2">
        <v>103106</v>
      </c>
      <c r="BX806" t="s">
        <v>105</v>
      </c>
      <c r="BZ806" t="s">
        <v>167</v>
      </c>
      <c r="CA806" t="str">
        <f t="shared" si="58"/>
        <v>7/1/2020 - 6/30/2021</v>
      </c>
      <c r="CF806">
        <v>1</v>
      </c>
      <c r="CG806" t="s">
        <v>98</v>
      </c>
      <c r="CH806" t="s">
        <v>206</v>
      </c>
      <c r="CI806" t="s">
        <v>206</v>
      </c>
      <c r="CL806" t="s">
        <v>108</v>
      </c>
      <c r="CM806" t="s">
        <v>109</v>
      </c>
      <c r="CN806" t="str">
        <f>""</f>
        <v/>
      </c>
      <c r="CO806" t="str">
        <f>""</f>
        <v/>
      </c>
      <c r="CP806" t="str">
        <f>""</f>
        <v/>
      </c>
      <c r="CQ806" t="str">
        <f>""</f>
        <v/>
      </c>
    </row>
    <row r="807" spans="1:96" x14ac:dyDescent="0.2">
      <c r="A807" t="s">
        <v>9488</v>
      </c>
      <c r="B807" t="s">
        <v>96</v>
      </c>
      <c r="C807" s="1">
        <v>44098</v>
      </c>
      <c r="D807" s="1">
        <v>44105</v>
      </c>
      <c r="F807" t="s">
        <v>97</v>
      </c>
      <c r="G807" t="str">
        <f>"Computer Systems Analysts -  KBGFJG100100-4 "</f>
        <v xml:space="preserve">Computer Systems Analysts -  KBGFJG100100-4 </v>
      </c>
      <c r="H807" t="s">
        <v>12181</v>
      </c>
      <c r="I807" t="s">
        <v>110</v>
      </c>
      <c r="J807" t="s">
        <v>98</v>
      </c>
      <c r="K807" s="1">
        <v>44105</v>
      </c>
      <c r="L807" s="1">
        <v>45199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 t="s">
        <v>697</v>
      </c>
      <c r="U807" t="str">
        <f>""</f>
        <v/>
      </c>
      <c r="V807" t="s">
        <v>698</v>
      </c>
      <c r="W807" t="str">
        <f>"Suite 2222"</f>
        <v>Suite 2222</v>
      </c>
      <c r="X807" t="s">
        <v>699</v>
      </c>
      <c r="Y807" t="s">
        <v>100</v>
      </c>
      <c r="Z807" s="3">
        <v>7094</v>
      </c>
      <c r="AA807" t="s">
        <v>101</v>
      </c>
      <c r="AC807" s="4" t="str">
        <f>"+12018723003"</f>
        <v>+12018723003</v>
      </c>
      <c r="AD807">
        <v>0</v>
      </c>
      <c r="AE807" t="str">
        <f>"541211"</f>
        <v>541211</v>
      </c>
      <c r="AF807" t="s">
        <v>700</v>
      </c>
      <c r="AG807" t="s">
        <v>701</v>
      </c>
      <c r="AH807" t="s">
        <v>702</v>
      </c>
      <c r="AI807" t="s">
        <v>703</v>
      </c>
      <c r="AJ807" t="s">
        <v>698</v>
      </c>
      <c r="AK807" t="str">
        <f>"Suite 2222"</f>
        <v>Suite 2222</v>
      </c>
      <c r="AL807" t="s">
        <v>699</v>
      </c>
      <c r="AM807" t="s">
        <v>100</v>
      </c>
      <c r="AN807" s="3">
        <v>7094</v>
      </c>
      <c r="AO807" t="s">
        <v>101</v>
      </c>
      <c r="AQ807" t="str">
        <f>"+12018723003"</f>
        <v>+12018723003</v>
      </c>
      <c r="AR807">
        <v>0</v>
      </c>
      <c r="AS807" t="s">
        <v>704</v>
      </c>
      <c r="AT807" t="s">
        <v>102</v>
      </c>
      <c r="AU807" t="str">
        <f>""</f>
        <v/>
      </c>
      <c r="AV807" t="str">
        <f>""</f>
        <v/>
      </c>
      <c r="AW807" t="str">
        <f>""</f>
        <v/>
      </c>
      <c r="AX807" t="str">
        <f>""</f>
        <v/>
      </c>
      <c r="AY807" t="str">
        <f>""</f>
        <v/>
      </c>
      <c r="AZ807" t="str">
        <f>""</f>
        <v/>
      </c>
      <c r="BA807" t="str">
        <f>""</f>
        <v/>
      </c>
      <c r="BC807" t="str">
        <f>""</f>
        <v/>
      </c>
      <c r="BD807" t="str">
        <f>""</f>
        <v/>
      </c>
      <c r="BE807" t="str">
        <f>""</f>
        <v/>
      </c>
      <c r="BF807" t="str">
        <f>""</f>
        <v/>
      </c>
      <c r="BG807" t="str">
        <f>""</f>
        <v/>
      </c>
      <c r="BH807" t="str">
        <f>""</f>
        <v/>
      </c>
      <c r="BI807" t="str">
        <f>""</f>
        <v/>
      </c>
      <c r="BJ807" t="str">
        <f>""</f>
        <v/>
      </c>
      <c r="BK807">
        <v>1</v>
      </c>
      <c r="BL807" t="s">
        <v>102</v>
      </c>
      <c r="BM807" t="str">
        <f>""</f>
        <v/>
      </c>
      <c r="BN807" t="s">
        <v>2254</v>
      </c>
      <c r="BP807" t="s">
        <v>277</v>
      </c>
      <c r="BQ807" t="s">
        <v>189</v>
      </c>
      <c r="BR807" t="s">
        <v>190</v>
      </c>
      <c r="BS807" s="5">
        <v>10036</v>
      </c>
      <c r="BT807" s="2">
        <v>90000</v>
      </c>
      <c r="BV807" t="s">
        <v>105</v>
      </c>
      <c r="BW807" s="2">
        <v>70470</v>
      </c>
      <c r="BX807" t="s">
        <v>105</v>
      </c>
      <c r="BZ807" t="s">
        <v>191</v>
      </c>
      <c r="CA807" t="str">
        <f t="shared" si="58"/>
        <v>7/1/2020 - 6/30/2021</v>
      </c>
      <c r="CF807">
        <v>1</v>
      </c>
      <c r="CG807" t="s">
        <v>98</v>
      </c>
      <c r="CH807" t="s">
        <v>206</v>
      </c>
      <c r="CI807" t="s">
        <v>206</v>
      </c>
      <c r="CL807" t="s">
        <v>108</v>
      </c>
      <c r="CM807" t="s">
        <v>109</v>
      </c>
      <c r="CN807" t="str">
        <f>"CONFORTI"</f>
        <v>CONFORTI</v>
      </c>
      <c r="CO807" t="str">
        <f>"JOSEPH"</f>
        <v>JOSEPH</v>
      </c>
      <c r="CP807" t="str">
        <f>"B"</f>
        <v>B</v>
      </c>
      <c r="CQ807" t="str">
        <f>"EY LAW LLP"</f>
        <v>EY LAW LLP</v>
      </c>
      <c r="CR807" t="s">
        <v>706</v>
      </c>
    </row>
    <row r="808" spans="1:96" x14ac:dyDescent="0.2">
      <c r="A808" t="s">
        <v>9491</v>
      </c>
      <c r="B808" t="s">
        <v>96</v>
      </c>
      <c r="C808" s="1">
        <v>44098</v>
      </c>
      <c r="D808" s="1">
        <v>44105</v>
      </c>
      <c r="F808" t="s">
        <v>97</v>
      </c>
      <c r="G808" t="str">
        <f>"ASSOCIATE DIRECTOR"</f>
        <v>ASSOCIATE DIRECTOR</v>
      </c>
      <c r="H808" t="s">
        <v>12178</v>
      </c>
      <c r="I808" t="s">
        <v>582</v>
      </c>
      <c r="J808" t="s">
        <v>98</v>
      </c>
      <c r="K808" s="1">
        <v>44281</v>
      </c>
      <c r="L808" s="1">
        <v>45376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 t="s">
        <v>3582</v>
      </c>
      <c r="U808" t="str">
        <f>""</f>
        <v/>
      </c>
      <c r="V808" t="s">
        <v>3583</v>
      </c>
      <c r="W808" t="str">
        <f>"4 Copley Place"</f>
        <v>4 Copley Place</v>
      </c>
      <c r="X808" t="s">
        <v>207</v>
      </c>
      <c r="Y808" t="s">
        <v>171</v>
      </c>
      <c r="Z808" s="3">
        <v>2116</v>
      </c>
      <c r="AA808" t="s">
        <v>101</v>
      </c>
      <c r="AC808" s="4" t="str">
        <f>"+18573153115"</f>
        <v>+18573153115</v>
      </c>
      <c r="AE808" t="str">
        <f>"454110"</f>
        <v>454110</v>
      </c>
      <c r="AF808" t="s">
        <v>3584</v>
      </c>
      <c r="AG808" t="s">
        <v>567</v>
      </c>
      <c r="AI808" t="s">
        <v>937</v>
      </c>
      <c r="AJ808" t="s">
        <v>3585</v>
      </c>
      <c r="AK808" t="str">
        <f>"4 COPLEY PLACE"</f>
        <v>4 COPLEY PLACE</v>
      </c>
      <c r="AL808" t="s">
        <v>951</v>
      </c>
      <c r="AM808" t="s">
        <v>171</v>
      </c>
      <c r="AN808" s="3">
        <v>2116</v>
      </c>
      <c r="AO808" t="s">
        <v>101</v>
      </c>
      <c r="AQ808" t="str">
        <f>"+18573153115"</f>
        <v>+18573153115</v>
      </c>
      <c r="AS808" t="s">
        <v>3586</v>
      </c>
      <c r="AT808" t="s">
        <v>107</v>
      </c>
      <c r="AU808" t="str">
        <f>"Wilson"</f>
        <v>Wilson</v>
      </c>
      <c r="AV808" t="str">
        <f>"Mariah"</f>
        <v>Mariah</v>
      </c>
      <c r="AW808" t="str">
        <f>"G"</f>
        <v>G</v>
      </c>
      <c r="AX808" t="str">
        <f>"100 High Street"</f>
        <v>100 High Street</v>
      </c>
      <c r="AY808" t="str">
        <f>"3rd Floor"</f>
        <v>3rd Floor</v>
      </c>
      <c r="AZ808" t="str">
        <f>"Boston"</f>
        <v>Boston</v>
      </c>
      <c r="BA808" t="str">
        <f>"MA"</f>
        <v>MA</v>
      </c>
      <c r="BB808" s="3">
        <v>2110</v>
      </c>
      <c r="BC808" t="str">
        <f>"UNITED STATES OF AMERICA"</f>
        <v>UNITED STATES OF AMERICA</v>
      </c>
      <c r="BD808" t="str">
        <f>""</f>
        <v/>
      </c>
      <c r="BE808" t="str">
        <f>"+16175740400"</f>
        <v>+16175740400</v>
      </c>
      <c r="BF808" t="str">
        <f>""</f>
        <v/>
      </c>
      <c r="BG808" t="str">
        <f>"wayfair@fragomen.com"</f>
        <v>wayfair@fragomen.com</v>
      </c>
      <c r="BH808" t="str">
        <f>"Fragomen, Del Rey, Bernsen, &amp; Loewy, LLP"</f>
        <v>Fragomen, Del Rey, Bernsen, &amp; Loewy, LLP</v>
      </c>
      <c r="BI808" t="str">
        <f>"MA"</f>
        <v>MA</v>
      </c>
      <c r="BJ808" t="str">
        <f>"Supreme Judicial Court"</f>
        <v>Supreme Judicial Court</v>
      </c>
      <c r="BK808">
        <v>1</v>
      </c>
      <c r="BL808" t="s">
        <v>102</v>
      </c>
      <c r="BM808" t="str">
        <f>""</f>
        <v/>
      </c>
      <c r="BN808" t="s">
        <v>3585</v>
      </c>
      <c r="BO808" t="s">
        <v>4632</v>
      </c>
      <c r="BP808" t="s">
        <v>951</v>
      </c>
      <c r="BQ808" t="s">
        <v>209</v>
      </c>
      <c r="BR808" t="s">
        <v>171</v>
      </c>
      <c r="BS808" s="5">
        <v>2116</v>
      </c>
      <c r="BT808" s="2">
        <v>176750</v>
      </c>
      <c r="BV808" t="s">
        <v>105</v>
      </c>
      <c r="BW808" s="2">
        <v>161866</v>
      </c>
      <c r="BX808" t="s">
        <v>105</v>
      </c>
      <c r="BZ808" t="s">
        <v>123</v>
      </c>
      <c r="CA808" t="str">
        <f t="shared" si="58"/>
        <v>7/1/2020 - 6/30/2021</v>
      </c>
      <c r="CF808">
        <v>3</v>
      </c>
      <c r="CG808" t="s">
        <v>98</v>
      </c>
      <c r="CH808" t="s">
        <v>206</v>
      </c>
      <c r="CI808" t="s">
        <v>206</v>
      </c>
      <c r="CL808" t="s">
        <v>108</v>
      </c>
      <c r="CM808" t="s">
        <v>109</v>
      </c>
      <c r="CN808" t="str">
        <f>"MENON"</f>
        <v>MENON</v>
      </c>
      <c r="CO808" t="str">
        <f>"ANAND"</f>
        <v>ANAND</v>
      </c>
      <c r="CP808" t="str">
        <f>""</f>
        <v/>
      </c>
      <c r="CQ808" t="str">
        <f>"FRAGOMEN, DEL REY, BERNSEN, &amp; LOEWY, LLP"</f>
        <v>FRAGOMEN, DEL REY, BERNSEN, &amp; LOEWY, LLP</v>
      </c>
      <c r="CR808" t="s">
        <v>4633</v>
      </c>
    </row>
    <row r="809" spans="1:96" x14ac:dyDescent="0.2">
      <c r="A809" t="s">
        <v>9536</v>
      </c>
      <c r="B809" t="s">
        <v>96</v>
      </c>
      <c r="C809" s="1">
        <v>44098</v>
      </c>
      <c r="D809" s="1">
        <v>44105</v>
      </c>
      <c r="F809" t="s">
        <v>97</v>
      </c>
      <c r="G809" t="str">
        <f>"Manager, Software Development"</f>
        <v>Manager, Software Development</v>
      </c>
      <c r="H809" t="s">
        <v>12169</v>
      </c>
      <c r="I809" t="s">
        <v>124</v>
      </c>
      <c r="J809" t="s">
        <v>98</v>
      </c>
      <c r="K809" s="1">
        <v>44256</v>
      </c>
      <c r="L809" s="1">
        <v>45351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 t="s">
        <v>583</v>
      </c>
      <c r="U809" t="str">
        <f>""</f>
        <v/>
      </c>
      <c r="V809" t="s">
        <v>584</v>
      </c>
      <c r="W809" t="str">
        <f>""</f>
        <v/>
      </c>
      <c r="X809" t="s">
        <v>585</v>
      </c>
      <c r="Y809" t="s">
        <v>141</v>
      </c>
      <c r="Z809" s="3">
        <v>95131</v>
      </c>
      <c r="AA809" t="s">
        <v>101</v>
      </c>
      <c r="AB809" t="s">
        <v>108</v>
      </c>
      <c r="AC809" s="4" t="str">
        <f>"+14089672992"</f>
        <v>+14089672992</v>
      </c>
      <c r="AD809">
        <v>0</v>
      </c>
      <c r="AE809" t="str">
        <f>"522320"</f>
        <v>522320</v>
      </c>
      <c r="AF809" t="s">
        <v>586</v>
      </c>
      <c r="AG809" t="s">
        <v>587</v>
      </c>
      <c r="AI809" t="s">
        <v>460</v>
      </c>
      <c r="AJ809" t="s">
        <v>584</v>
      </c>
      <c r="AK809" t="str">
        <f>""</f>
        <v/>
      </c>
      <c r="AL809" t="s">
        <v>585</v>
      </c>
      <c r="AM809" t="s">
        <v>141</v>
      </c>
      <c r="AN809" s="3">
        <v>95131</v>
      </c>
      <c r="AO809" t="s">
        <v>101</v>
      </c>
      <c r="AQ809" t="str">
        <f>"+14089672992"</f>
        <v>+14089672992</v>
      </c>
      <c r="AR809">
        <v>0</v>
      </c>
      <c r="AS809" t="s">
        <v>588</v>
      </c>
      <c r="AT809" t="s">
        <v>107</v>
      </c>
      <c r="AU809" t="str">
        <f>"Jung"</f>
        <v>Jung</v>
      </c>
      <c r="AV809" t="str">
        <f>"David"</f>
        <v>David</v>
      </c>
      <c r="AW809" t="str">
        <f>""</f>
        <v/>
      </c>
      <c r="AX809" t="str">
        <f>"2101 Wilson Blvd."</f>
        <v>2101 Wilson Blvd.</v>
      </c>
      <c r="AY809" t="str">
        <f>"Suite 1100"</f>
        <v>Suite 1100</v>
      </c>
      <c r="AZ809" t="str">
        <f>"Arlington"</f>
        <v>Arlington</v>
      </c>
      <c r="BA809" t="str">
        <f>"VA"</f>
        <v>VA</v>
      </c>
      <c r="BB809" s="3">
        <v>22201</v>
      </c>
      <c r="BC809" t="str">
        <f>"UNITED STATES OF AMERICA"</f>
        <v>UNITED STATES OF AMERICA</v>
      </c>
      <c r="BD809" t="str">
        <f>""</f>
        <v/>
      </c>
      <c r="BE809" t="str">
        <f>"+17036784000"</f>
        <v>+17036784000</v>
      </c>
      <c r="BF809" t="str">
        <f>""</f>
        <v/>
      </c>
      <c r="BG809" t="str">
        <f>"david@eiglaw.com"</f>
        <v>david@eiglaw.com</v>
      </c>
      <c r="BH809" t="str">
        <f>"Erickson Immigration Group"</f>
        <v>Erickson Immigration Group</v>
      </c>
      <c r="BI809" t="str">
        <f>"TN"</f>
        <v>TN</v>
      </c>
      <c r="BJ809" t="str">
        <f>"Supreme Court"</f>
        <v>Supreme Court</v>
      </c>
      <c r="BK809">
        <v>1</v>
      </c>
      <c r="BL809" t="s">
        <v>102</v>
      </c>
      <c r="BM809" t="str">
        <f>""</f>
        <v/>
      </c>
      <c r="BN809" t="s">
        <v>4108</v>
      </c>
      <c r="BP809" t="s">
        <v>585</v>
      </c>
      <c r="BQ809" t="s">
        <v>230</v>
      </c>
      <c r="BR809" t="s">
        <v>141</v>
      </c>
      <c r="BS809" s="5">
        <v>95131</v>
      </c>
      <c r="BT809" s="2">
        <v>156550</v>
      </c>
      <c r="BV809" t="s">
        <v>105</v>
      </c>
      <c r="BW809" s="2">
        <v>145725</v>
      </c>
      <c r="BX809" t="s">
        <v>105</v>
      </c>
      <c r="BZ809" t="s">
        <v>123</v>
      </c>
      <c r="CA809" t="str">
        <f t="shared" si="58"/>
        <v>7/1/2020 - 6/30/2021</v>
      </c>
      <c r="CF809">
        <v>2</v>
      </c>
      <c r="CG809" t="s">
        <v>98</v>
      </c>
      <c r="CH809" t="s">
        <v>206</v>
      </c>
      <c r="CI809" t="s">
        <v>206</v>
      </c>
      <c r="CL809" t="s">
        <v>108</v>
      </c>
      <c r="CM809" t="s">
        <v>109</v>
      </c>
      <c r="CN809" t="str">
        <f>"Jose"</f>
        <v>Jose</v>
      </c>
      <c r="CO809" t="str">
        <f>"Daniel"</f>
        <v>Daniel</v>
      </c>
      <c r="CP809" t="str">
        <f>""</f>
        <v/>
      </c>
      <c r="CQ809" t="str">
        <f>"Erickson Immigration Group"</f>
        <v>Erickson Immigration Group</v>
      </c>
      <c r="CR809" t="s">
        <v>2055</v>
      </c>
    </row>
    <row r="810" spans="1:96" x14ac:dyDescent="0.2">
      <c r="A810" t="s">
        <v>9540</v>
      </c>
      <c r="B810" t="s">
        <v>96</v>
      </c>
      <c r="C810" s="1">
        <v>44098</v>
      </c>
      <c r="D810" s="1">
        <v>44105</v>
      </c>
      <c r="F810" t="s">
        <v>97</v>
      </c>
      <c r="G810" t="str">
        <f>"Postdoctoral Research Associate "</f>
        <v xml:space="preserve">Postdoctoral Research Associate </v>
      </c>
      <c r="H810" t="s">
        <v>12190</v>
      </c>
      <c r="I810" t="s">
        <v>1072</v>
      </c>
      <c r="J810" t="s">
        <v>98</v>
      </c>
      <c r="K810" s="1">
        <v>44130</v>
      </c>
      <c r="L810" s="1">
        <v>45224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7727</v>
      </c>
      <c r="U810" t="str">
        <f>""</f>
        <v/>
      </c>
      <c r="V810" t="s">
        <v>7728</v>
      </c>
      <c r="W810" t="str">
        <f>""</f>
        <v/>
      </c>
      <c r="X810" t="s">
        <v>394</v>
      </c>
      <c r="Y810" t="s">
        <v>114</v>
      </c>
      <c r="Z810" s="3">
        <v>77005</v>
      </c>
      <c r="AA810" t="s">
        <v>101</v>
      </c>
      <c r="AC810" s="4" t="str">
        <f>"+17133486323"</f>
        <v>+17133486323</v>
      </c>
      <c r="AE810" t="str">
        <f>"611310"</f>
        <v>611310</v>
      </c>
      <c r="AF810" t="s">
        <v>7729</v>
      </c>
      <c r="AG810" t="s">
        <v>7352</v>
      </c>
      <c r="AI810" t="s">
        <v>7730</v>
      </c>
      <c r="AJ810" t="s">
        <v>7728</v>
      </c>
      <c r="AK810" t="str">
        <f>""</f>
        <v/>
      </c>
      <c r="AL810" t="s">
        <v>391</v>
      </c>
      <c r="AM810" t="s">
        <v>114</v>
      </c>
      <c r="AN810" s="3">
        <v>77005</v>
      </c>
      <c r="AO810" t="s">
        <v>101</v>
      </c>
      <c r="AQ810" t="str">
        <f>"+17133486323"</f>
        <v>+17133486323</v>
      </c>
      <c r="AS810" t="s">
        <v>7731</v>
      </c>
      <c r="AT810" t="s">
        <v>107</v>
      </c>
      <c r="AU810" t="str">
        <f>"Eichorn  "</f>
        <v xml:space="preserve">Eichorn  </v>
      </c>
      <c r="AV810" t="str">
        <f>"Philip"</f>
        <v>Philip</v>
      </c>
      <c r="AW810" t="str">
        <f>""</f>
        <v/>
      </c>
      <c r="AX810" t="str">
        <f>"3 Greenway Plaza "</f>
        <v xml:space="preserve">3 Greenway Plaza </v>
      </c>
      <c r="AY810" t="str">
        <f>""</f>
        <v/>
      </c>
      <c r="AZ810" t="str">
        <f>"Houston"</f>
        <v>Houston</v>
      </c>
      <c r="BA810" t="str">
        <f>"TX"</f>
        <v>TX</v>
      </c>
      <c r="BB810" s="3">
        <v>77046</v>
      </c>
      <c r="BC810" t="str">
        <f>"UNITED STATES OF AMERICA"</f>
        <v>UNITED STATES OF AMERICA</v>
      </c>
      <c r="BD810" t="str">
        <f>""</f>
        <v/>
      </c>
      <c r="BE810" t="str">
        <f>"+17133353930"</f>
        <v>+17133353930</v>
      </c>
      <c r="BF810" t="str">
        <f>""</f>
        <v/>
      </c>
      <c r="BG810" t="str">
        <f>"RiceImmigration@fosterglobal.com"</f>
        <v>RiceImmigration@fosterglobal.com</v>
      </c>
      <c r="BH810" t="str">
        <f>"Foster LLP "</f>
        <v xml:space="preserve">Foster LLP </v>
      </c>
      <c r="BI810" t="str">
        <f>"OH"</f>
        <v>OH</v>
      </c>
      <c r="BJ810" t="str">
        <f>"Supreme Court of Ohio "</f>
        <v xml:space="preserve">Supreme Court of Ohio </v>
      </c>
      <c r="BK810">
        <v>1</v>
      </c>
      <c r="BL810" t="s">
        <v>102</v>
      </c>
      <c r="BM810" t="str">
        <f>""</f>
        <v/>
      </c>
      <c r="BN810" t="s">
        <v>7732</v>
      </c>
      <c r="BP810" t="s">
        <v>394</v>
      </c>
      <c r="BQ810" t="s">
        <v>395</v>
      </c>
      <c r="BR810" t="s">
        <v>114</v>
      </c>
      <c r="BS810" s="5">
        <v>77005</v>
      </c>
      <c r="BT810" s="2">
        <v>48000</v>
      </c>
      <c r="BV810" t="s">
        <v>105</v>
      </c>
      <c r="BW810" s="2">
        <v>35589</v>
      </c>
      <c r="BX810" t="s">
        <v>105</v>
      </c>
      <c r="BZ810" t="s">
        <v>191</v>
      </c>
      <c r="CA810" t="str">
        <f t="shared" si="58"/>
        <v>7/1/2020 - 6/30/2021</v>
      </c>
      <c r="CF810">
        <v>1</v>
      </c>
      <c r="CG810" t="s">
        <v>98</v>
      </c>
      <c r="CH810" t="s">
        <v>206</v>
      </c>
      <c r="CI810" t="s">
        <v>206</v>
      </c>
      <c r="CL810" t="s">
        <v>108</v>
      </c>
      <c r="CM810" t="s">
        <v>109</v>
      </c>
      <c r="CN810" t="str">
        <f>"Eichorn"</f>
        <v>Eichorn</v>
      </c>
      <c r="CO810" t="str">
        <f>"Philip"</f>
        <v>Philip</v>
      </c>
      <c r="CP810" t="str">
        <f>""</f>
        <v/>
      </c>
      <c r="CQ810" t="str">
        <f>"Foster LLP"</f>
        <v>Foster LLP</v>
      </c>
      <c r="CR810" t="s">
        <v>7733</v>
      </c>
    </row>
    <row r="811" spans="1:96" x14ac:dyDescent="0.2">
      <c r="A811" t="s">
        <v>9555</v>
      </c>
      <c r="B811" t="s">
        <v>96</v>
      </c>
      <c r="C811" s="1">
        <v>44098</v>
      </c>
      <c r="D811" s="1">
        <v>44105</v>
      </c>
      <c r="F811" t="s">
        <v>97</v>
      </c>
      <c r="G811" t="str">
        <f>"Associate"</f>
        <v>Associate</v>
      </c>
      <c r="H811" t="s">
        <v>12221</v>
      </c>
      <c r="I811" t="s">
        <v>566</v>
      </c>
      <c r="J811" t="s">
        <v>206</v>
      </c>
      <c r="K811" s="1">
        <v>44109</v>
      </c>
      <c r="L811" s="1">
        <v>45203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 t="s">
        <v>9556</v>
      </c>
      <c r="U811" t="str">
        <f>""</f>
        <v/>
      </c>
      <c r="V811" t="s">
        <v>9557</v>
      </c>
      <c r="W811" t="str">
        <f>"Suite 1100"</f>
        <v>Suite 1100</v>
      </c>
      <c r="X811" t="s">
        <v>277</v>
      </c>
      <c r="Y811" t="s">
        <v>190</v>
      </c>
      <c r="Z811" s="3">
        <v>10036</v>
      </c>
      <c r="AA811" t="s">
        <v>101</v>
      </c>
      <c r="AC811" s="4" t="str">
        <f>"+12126799700"</f>
        <v>+12126799700</v>
      </c>
      <c r="AE811" t="str">
        <f>"54111"</f>
        <v>54111</v>
      </c>
      <c r="AF811" t="s">
        <v>1640</v>
      </c>
      <c r="AG811" t="s">
        <v>2971</v>
      </c>
      <c r="AI811" t="s">
        <v>508</v>
      </c>
      <c r="AJ811" t="s">
        <v>9558</v>
      </c>
      <c r="AK811" t="str">
        <f>"Suite 1100"</f>
        <v>Suite 1100</v>
      </c>
      <c r="AL811" t="s">
        <v>277</v>
      </c>
      <c r="AM811" t="s">
        <v>190</v>
      </c>
      <c r="AN811" s="3">
        <v>10036</v>
      </c>
      <c r="AO811" t="s">
        <v>101</v>
      </c>
      <c r="AQ811" t="str">
        <f>"+12126799700"</f>
        <v>+12126799700</v>
      </c>
      <c r="AS811" t="s">
        <v>9559</v>
      </c>
      <c r="AT811" t="s">
        <v>102</v>
      </c>
      <c r="AU811" t="str">
        <f>""</f>
        <v/>
      </c>
      <c r="AV811" t="str">
        <f>""</f>
        <v/>
      </c>
      <c r="AW811" t="str">
        <f>""</f>
        <v/>
      </c>
      <c r="AX811" t="str">
        <f>""</f>
        <v/>
      </c>
      <c r="AY811" t="str">
        <f>""</f>
        <v/>
      </c>
      <c r="AZ811" t="str">
        <f>""</f>
        <v/>
      </c>
      <c r="BA811" t="str">
        <f>""</f>
        <v/>
      </c>
      <c r="BC811" t="str">
        <f>""</f>
        <v/>
      </c>
      <c r="BD811" t="str">
        <f>""</f>
        <v/>
      </c>
      <c r="BE811" t="str">
        <f>""</f>
        <v/>
      </c>
      <c r="BF811" t="str">
        <f>""</f>
        <v/>
      </c>
      <c r="BG811" t="str">
        <f>""</f>
        <v/>
      </c>
      <c r="BH811" t="str">
        <f>""</f>
        <v/>
      </c>
      <c r="BI811" t="str">
        <f>""</f>
        <v/>
      </c>
      <c r="BJ811" t="str">
        <f>""</f>
        <v/>
      </c>
      <c r="BK811">
        <v>1</v>
      </c>
      <c r="BL811" t="s">
        <v>102</v>
      </c>
      <c r="BM811" t="str">
        <f>""</f>
        <v/>
      </c>
      <c r="BN811" t="s">
        <v>9557</v>
      </c>
      <c r="BO811" t="s">
        <v>2969</v>
      </c>
      <c r="BP811" t="s">
        <v>277</v>
      </c>
      <c r="BQ811" t="s">
        <v>189</v>
      </c>
      <c r="BR811" t="s">
        <v>190</v>
      </c>
      <c r="BS811" s="5">
        <v>10036</v>
      </c>
      <c r="BT811" s="2">
        <v>39.65</v>
      </c>
      <c r="BV811" t="s">
        <v>210</v>
      </c>
      <c r="BW811" s="2">
        <v>39.65</v>
      </c>
      <c r="BX811" t="s">
        <v>210</v>
      </c>
      <c r="BZ811" t="s">
        <v>191</v>
      </c>
      <c r="CA811" t="str">
        <f t="shared" si="58"/>
        <v>7/1/2020 - 6/30/2021</v>
      </c>
      <c r="CF811">
        <v>1</v>
      </c>
      <c r="CG811" t="s">
        <v>98</v>
      </c>
      <c r="CH811" t="s">
        <v>206</v>
      </c>
      <c r="CI811" t="s">
        <v>206</v>
      </c>
      <c r="CL811" t="s">
        <v>108</v>
      </c>
      <c r="CM811" t="s">
        <v>109</v>
      </c>
      <c r="CN811" t="str">
        <f>""</f>
        <v/>
      </c>
      <c r="CO811" t="str">
        <f>""</f>
        <v/>
      </c>
      <c r="CP811" t="str">
        <f>""</f>
        <v/>
      </c>
      <c r="CQ811" t="str">
        <f>""</f>
        <v/>
      </c>
    </row>
    <row r="812" spans="1:96" x14ac:dyDescent="0.2">
      <c r="A812" t="s">
        <v>9561</v>
      </c>
      <c r="B812" t="s">
        <v>96</v>
      </c>
      <c r="C812" s="1">
        <v>44098</v>
      </c>
      <c r="D812" s="1">
        <v>44105</v>
      </c>
      <c r="F812" t="s">
        <v>97</v>
      </c>
      <c r="G812" t="str">
        <f>"SOFTWARE DEVELOPMENT ENGINEER II"</f>
        <v>SOFTWARE DEVELOPMENT ENGINEER II</v>
      </c>
      <c r="H812" t="s">
        <v>12169</v>
      </c>
      <c r="I812" t="s">
        <v>124</v>
      </c>
      <c r="J812" t="s">
        <v>98</v>
      </c>
      <c r="K812" s="1">
        <v>44109</v>
      </c>
      <c r="L812" s="1">
        <v>45203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 t="s">
        <v>440</v>
      </c>
      <c r="U812" t="str">
        <f>""</f>
        <v/>
      </c>
      <c r="V812" t="s">
        <v>809</v>
      </c>
      <c r="W812" t="str">
        <f>"SUITE 500"</f>
        <v>SUITE 500</v>
      </c>
      <c r="X812" t="s">
        <v>433</v>
      </c>
      <c r="Y812" t="s">
        <v>176</v>
      </c>
      <c r="Z812" s="3">
        <v>98121</v>
      </c>
      <c r="AA812" t="s">
        <v>101</v>
      </c>
      <c r="AC812" s="4" t="str">
        <f>"+12062661000"</f>
        <v>+12062661000</v>
      </c>
      <c r="AE812" t="str">
        <f>"454110"</f>
        <v>454110</v>
      </c>
      <c r="AF812" t="s">
        <v>442</v>
      </c>
      <c r="AG812" t="s">
        <v>443</v>
      </c>
      <c r="AH812" t="s">
        <v>108</v>
      </c>
      <c r="AI812" t="s">
        <v>434</v>
      </c>
      <c r="AJ812" t="s">
        <v>809</v>
      </c>
      <c r="AK812" t="str">
        <f>"SUITE 500"</f>
        <v>SUITE 500</v>
      </c>
      <c r="AL812" t="s">
        <v>433</v>
      </c>
      <c r="AM812" t="s">
        <v>176</v>
      </c>
      <c r="AN812" s="3">
        <v>98121</v>
      </c>
      <c r="AO812" t="s">
        <v>101</v>
      </c>
      <c r="AQ812" t="str">
        <f>"+12062661000"</f>
        <v>+12062661000</v>
      </c>
      <c r="AS812" t="s">
        <v>263</v>
      </c>
      <c r="AT812" t="s">
        <v>107</v>
      </c>
      <c r="AU812" t="str">
        <f>"MARANCI"</f>
        <v>MARANCI</v>
      </c>
      <c r="AV812" t="str">
        <f>"DANIEL"</f>
        <v>DANIEL</v>
      </c>
      <c r="AW812" t="str">
        <f>"N/A"</f>
        <v>N/A</v>
      </c>
      <c r="AX812" t="str">
        <f>"100 HIGH STREET"</f>
        <v>100 HIGH STREET</v>
      </c>
      <c r="AY812" t="str">
        <f>"3RD FLOOR C#5316492"</f>
        <v>3RD FLOOR C#5316492</v>
      </c>
      <c r="AZ812" t="str">
        <f>"BOSTON"</f>
        <v>BOSTON</v>
      </c>
      <c r="BA812" t="str">
        <f>"MA"</f>
        <v>MA</v>
      </c>
      <c r="BB812" s="3">
        <v>2110</v>
      </c>
      <c r="BC812" t="str">
        <f t="shared" ref="BC812:BC833" si="59">"UNITED STATES OF AMERICA"</f>
        <v>UNITED STATES OF AMERICA</v>
      </c>
      <c r="BD812" t="str">
        <f>""</f>
        <v/>
      </c>
      <c r="BE812" t="str">
        <f>"+16175740400"</f>
        <v>+16175740400</v>
      </c>
      <c r="BF812" t="str">
        <f>""</f>
        <v/>
      </c>
      <c r="BG812" t="str">
        <f>"AMAZONINDIA@FRAGOMEN.COM"</f>
        <v>AMAZONINDIA@FRAGOMEN.COM</v>
      </c>
      <c r="BH812" t="str">
        <f>"FRAGOMEN, DEL REY, BERNSEN &amp; LOEWY, LLP"</f>
        <v>FRAGOMEN, DEL REY, BERNSEN &amp; LOEWY, LLP</v>
      </c>
      <c r="BI812" t="str">
        <f>"MA"</f>
        <v>MA</v>
      </c>
      <c r="BJ812" t="str">
        <f>"SUPREME JUDICIAL COURT"</f>
        <v>SUPREME JUDICIAL COURT</v>
      </c>
      <c r="BK812">
        <v>1</v>
      </c>
      <c r="BL812" t="s">
        <v>102</v>
      </c>
      <c r="BM812" t="str">
        <f>""</f>
        <v/>
      </c>
      <c r="BN812" t="s">
        <v>5653</v>
      </c>
      <c r="BO812" t="s">
        <v>2738</v>
      </c>
      <c r="BP812" t="s">
        <v>5643</v>
      </c>
      <c r="BQ812" t="s">
        <v>994</v>
      </c>
      <c r="BR812" t="s">
        <v>141</v>
      </c>
      <c r="BS812" s="5">
        <v>94303</v>
      </c>
      <c r="BT812" s="2">
        <v>175000</v>
      </c>
      <c r="BV812" t="s">
        <v>105</v>
      </c>
      <c r="BW812" s="2">
        <v>120931</v>
      </c>
      <c r="BX812" t="s">
        <v>105</v>
      </c>
      <c r="BZ812" t="s">
        <v>167</v>
      </c>
      <c r="CA812" t="str">
        <f t="shared" si="58"/>
        <v>7/1/2020 - 6/30/2021</v>
      </c>
      <c r="CF812">
        <v>1</v>
      </c>
      <c r="CG812" t="s">
        <v>98</v>
      </c>
      <c r="CH812" t="s">
        <v>206</v>
      </c>
      <c r="CI812" t="s">
        <v>206</v>
      </c>
      <c r="CL812" t="s">
        <v>108</v>
      </c>
      <c r="CM812" t="s">
        <v>109</v>
      </c>
      <c r="CN812" t="str">
        <f>"SUNNY"</f>
        <v>SUNNY</v>
      </c>
      <c r="CO812" t="str">
        <f>"JASMIN"</f>
        <v>JASMIN</v>
      </c>
      <c r="CP812" t="str">
        <f>"N/A"</f>
        <v>N/A</v>
      </c>
      <c r="CQ812" t="str">
        <f>"FRAGOMEN, DEL REY, BERNSEN &amp; LOEWY, LLP"</f>
        <v>FRAGOMEN, DEL REY, BERNSEN &amp; LOEWY, LLP</v>
      </c>
      <c r="CR812" t="s">
        <v>650</v>
      </c>
    </row>
    <row r="813" spans="1:96" x14ac:dyDescent="0.2">
      <c r="A813" t="s">
        <v>9566</v>
      </c>
      <c r="B813" t="s">
        <v>96</v>
      </c>
      <c r="C813" s="1">
        <v>44098</v>
      </c>
      <c r="D813" s="1">
        <v>44105</v>
      </c>
      <c r="F813" t="s">
        <v>97</v>
      </c>
      <c r="G813" t="str">
        <f>"Principal Software Engineer"</f>
        <v>Principal Software Engineer</v>
      </c>
      <c r="H813" t="s">
        <v>12169</v>
      </c>
      <c r="I813" t="s">
        <v>124</v>
      </c>
      <c r="J813" t="s">
        <v>98</v>
      </c>
      <c r="K813" s="1">
        <v>44130</v>
      </c>
      <c r="L813" s="1">
        <v>45224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 t="s">
        <v>5294</v>
      </c>
      <c r="U813" t="str">
        <f>""</f>
        <v/>
      </c>
      <c r="V813" t="s">
        <v>5295</v>
      </c>
      <c r="W813" t="str">
        <f>""</f>
        <v/>
      </c>
      <c r="X813" t="s">
        <v>1151</v>
      </c>
      <c r="Y813" t="s">
        <v>141</v>
      </c>
      <c r="Z813" s="3">
        <v>94403</v>
      </c>
      <c r="AA813" t="s">
        <v>101</v>
      </c>
      <c r="AC813" s="4" t="str">
        <f>"+18888582569"</f>
        <v>+18888582569</v>
      </c>
      <c r="AE813" t="str">
        <f>"518210"</f>
        <v>518210</v>
      </c>
      <c r="AF813" t="s">
        <v>5296</v>
      </c>
      <c r="AG813" t="s">
        <v>5297</v>
      </c>
      <c r="AI813" t="s">
        <v>763</v>
      </c>
      <c r="AJ813" t="s">
        <v>5295</v>
      </c>
      <c r="AK813" t="str">
        <f>""</f>
        <v/>
      </c>
      <c r="AL813" t="s">
        <v>1151</v>
      </c>
      <c r="AM813" t="s">
        <v>141</v>
      </c>
      <c r="AN813" s="3">
        <v>94403</v>
      </c>
      <c r="AO813" t="s">
        <v>101</v>
      </c>
      <c r="AQ813" t="str">
        <f>"+18319155079"</f>
        <v>+18319155079</v>
      </c>
      <c r="AS813" t="s">
        <v>5298</v>
      </c>
      <c r="AT813" t="s">
        <v>107</v>
      </c>
      <c r="AU813" t="str">
        <f>"Horne"</f>
        <v>Horne</v>
      </c>
      <c r="AV813" t="str">
        <f>"Daniel"</f>
        <v>Daniel</v>
      </c>
      <c r="AW813" t="str">
        <f>"C."</f>
        <v>C.</v>
      </c>
      <c r="AX813" t="str">
        <f>"909 Montgomery St"</f>
        <v>909 Montgomery St</v>
      </c>
      <c r="AY813" t="str">
        <f>"Suite 200"</f>
        <v>Suite 200</v>
      </c>
      <c r="AZ813" t="str">
        <f>"San Francisco"</f>
        <v>San Francisco</v>
      </c>
      <c r="BA813" t="str">
        <f>"CA"</f>
        <v>CA</v>
      </c>
      <c r="BB813" s="3">
        <v>94133</v>
      </c>
      <c r="BC813" t="str">
        <f t="shared" si="59"/>
        <v>UNITED STATES OF AMERICA</v>
      </c>
      <c r="BD813" t="str">
        <f>"CA"</f>
        <v>CA</v>
      </c>
      <c r="BE813" t="str">
        <f>"+14159864559"</f>
        <v>+14159864559</v>
      </c>
      <c r="BF813" t="str">
        <f>""</f>
        <v/>
      </c>
      <c r="BG813" t="str">
        <f>"dhorne@jackson-hertogs.com"</f>
        <v>dhorne@jackson-hertogs.com</v>
      </c>
      <c r="BH813" t="str">
        <f>"Jackson &amp; Hertogs LLP"</f>
        <v>Jackson &amp; Hertogs LLP</v>
      </c>
      <c r="BI813" t="str">
        <f>"CO"</f>
        <v>CO</v>
      </c>
      <c r="BJ813" t="str">
        <f>"Supreme Court"</f>
        <v>Supreme Court</v>
      </c>
      <c r="BK813">
        <v>1</v>
      </c>
      <c r="BL813" t="s">
        <v>102</v>
      </c>
      <c r="BM813" t="str">
        <f>""</f>
        <v/>
      </c>
      <c r="BN813" t="s">
        <v>5295</v>
      </c>
      <c r="BP813" t="s">
        <v>1151</v>
      </c>
      <c r="BQ813" t="s">
        <v>994</v>
      </c>
      <c r="BR813" t="s">
        <v>141</v>
      </c>
      <c r="BS813" s="5">
        <v>94403</v>
      </c>
      <c r="BT813" s="2">
        <v>325500</v>
      </c>
      <c r="BV813" t="s">
        <v>105</v>
      </c>
      <c r="BW813" s="2">
        <v>169562</v>
      </c>
      <c r="BX813" t="s">
        <v>105</v>
      </c>
      <c r="BZ813" t="s">
        <v>159</v>
      </c>
      <c r="CA813" t="str">
        <f t="shared" si="58"/>
        <v>7/1/2020 - 6/30/2021</v>
      </c>
      <c r="CF813">
        <v>1</v>
      </c>
      <c r="CG813" t="s">
        <v>98</v>
      </c>
      <c r="CH813" t="s">
        <v>206</v>
      </c>
      <c r="CI813" t="s">
        <v>206</v>
      </c>
      <c r="CL813" t="s">
        <v>108</v>
      </c>
      <c r="CM813" t="s">
        <v>109</v>
      </c>
      <c r="CN813" t="str">
        <f>"Horne 85384"</f>
        <v>Horne 85384</v>
      </c>
      <c r="CO813" t="str">
        <f>"Daniel"</f>
        <v>Daniel</v>
      </c>
      <c r="CP813" t="str">
        <f>"C"</f>
        <v>C</v>
      </c>
      <c r="CQ813" t="str">
        <f>"Jackson Hertogs LLP"</f>
        <v>Jackson Hertogs LLP</v>
      </c>
      <c r="CR813" t="s">
        <v>3868</v>
      </c>
    </row>
    <row r="814" spans="1:96" x14ac:dyDescent="0.2">
      <c r="A814" t="s">
        <v>9577</v>
      </c>
      <c r="B814" t="s">
        <v>96</v>
      </c>
      <c r="C814" s="1">
        <v>44098</v>
      </c>
      <c r="D814" s="1">
        <v>44105</v>
      </c>
      <c r="F814" t="s">
        <v>97</v>
      </c>
      <c r="G814" t="str">
        <f>"SENIOR SOFTWARE DEVELOPER"</f>
        <v>SENIOR SOFTWARE DEVELOPER</v>
      </c>
      <c r="H814" t="s">
        <v>12169</v>
      </c>
      <c r="I814" t="s">
        <v>124</v>
      </c>
      <c r="J814" t="s">
        <v>98</v>
      </c>
      <c r="K814" s="1">
        <v>44099</v>
      </c>
      <c r="L814" s="1">
        <v>45193</v>
      </c>
      <c r="M814">
        <v>10</v>
      </c>
      <c r="N814">
        <v>2</v>
      </c>
      <c r="O814">
        <v>2</v>
      </c>
      <c r="P814">
        <v>2</v>
      </c>
      <c r="Q814">
        <v>0</v>
      </c>
      <c r="R814">
        <v>2</v>
      </c>
      <c r="S814">
        <v>2</v>
      </c>
      <c r="T814" t="s">
        <v>2068</v>
      </c>
      <c r="U814" t="str">
        <f>""</f>
        <v/>
      </c>
      <c r="V814" t="s">
        <v>2069</v>
      </c>
      <c r="W814" t="str">
        <f>""</f>
        <v/>
      </c>
      <c r="X814" t="s">
        <v>1025</v>
      </c>
      <c r="Y814" t="s">
        <v>577</v>
      </c>
      <c r="Z814" s="3">
        <v>33605</v>
      </c>
      <c r="AA814" t="s">
        <v>101</v>
      </c>
      <c r="AC814" s="4" t="str">
        <f>"+18135525000"</f>
        <v>+18135525000</v>
      </c>
      <c r="AE814" t="str">
        <f>"5416"</f>
        <v>5416</v>
      </c>
      <c r="AF814" t="s">
        <v>2070</v>
      </c>
      <c r="AG814" t="s">
        <v>2071</v>
      </c>
      <c r="AI814" t="s">
        <v>497</v>
      </c>
      <c r="AJ814" t="s">
        <v>2072</v>
      </c>
      <c r="AK814" t="str">
        <f>""</f>
        <v/>
      </c>
      <c r="AL814" t="s">
        <v>1025</v>
      </c>
      <c r="AM814" t="s">
        <v>577</v>
      </c>
      <c r="AN814" s="3">
        <v>33605</v>
      </c>
      <c r="AO814" t="s">
        <v>101</v>
      </c>
      <c r="AQ814" t="str">
        <f>"+18135525000"</f>
        <v>+18135525000</v>
      </c>
      <c r="AS814" t="s">
        <v>2073</v>
      </c>
      <c r="AT814" t="s">
        <v>107</v>
      </c>
      <c r="AU814" t="str">
        <f>"WHITE "</f>
        <v xml:space="preserve">WHITE </v>
      </c>
      <c r="AV814" t="str">
        <f>"ROBERT"</f>
        <v>ROBERT</v>
      </c>
      <c r="AW814" t="str">
        <f>"SAMUEL"</f>
        <v>SAMUEL</v>
      </c>
      <c r="AX814" t="str">
        <f>"200 N MARTINGALE ROAD"</f>
        <v>200 N MARTINGALE ROAD</v>
      </c>
      <c r="AY814" t="str">
        <f>"SUITE 800"</f>
        <v>SUITE 800</v>
      </c>
      <c r="AZ814" t="str">
        <f>"SCHAUMBURG"</f>
        <v>SCHAUMBURG</v>
      </c>
      <c r="BA814" t="str">
        <f>"IL"</f>
        <v>IL</v>
      </c>
      <c r="BB814" s="3">
        <v>60173</v>
      </c>
      <c r="BC814" t="str">
        <f t="shared" si="59"/>
        <v>UNITED STATES OF AMERICA</v>
      </c>
      <c r="BD814" t="str">
        <f>""</f>
        <v/>
      </c>
      <c r="BE814" t="str">
        <f>"+18477348811"</f>
        <v>+18477348811</v>
      </c>
      <c r="BF814" t="str">
        <f>""</f>
        <v/>
      </c>
      <c r="BG814" t="str">
        <f>"RWHITE@MASUDAFUNAI.COM"</f>
        <v>RWHITE@MASUDAFUNAI.COM</v>
      </c>
      <c r="BH814" t="str">
        <f>"Masuda Funai Eifert &amp; Mitchell, Ltd."</f>
        <v>Masuda Funai Eifert &amp; Mitchell, Ltd.</v>
      </c>
      <c r="BI814" t="str">
        <f>"IL"</f>
        <v>IL</v>
      </c>
      <c r="BJ814" t="str">
        <f>"SUPREME COURT"</f>
        <v>SUPREME COURT</v>
      </c>
      <c r="BK814">
        <v>10</v>
      </c>
      <c r="BL814" t="s">
        <v>107</v>
      </c>
      <c r="BM814" t="str">
        <f>"WELLS FARGO BANK"</f>
        <v>WELLS FARGO BANK</v>
      </c>
      <c r="BN814" t="s">
        <v>9578</v>
      </c>
      <c r="BP814" t="s">
        <v>998</v>
      </c>
      <c r="BQ814" t="s">
        <v>121</v>
      </c>
      <c r="BR814" t="s">
        <v>122</v>
      </c>
      <c r="BS814" s="5">
        <v>28202</v>
      </c>
      <c r="BT814" s="2">
        <v>41.1</v>
      </c>
      <c r="BU814" s="2">
        <v>70</v>
      </c>
      <c r="BV814" t="s">
        <v>210</v>
      </c>
      <c r="BW814" s="2">
        <v>41.1</v>
      </c>
      <c r="BX814" t="s">
        <v>210</v>
      </c>
      <c r="BZ814" t="s">
        <v>167</v>
      </c>
      <c r="CA814" t="str">
        <f t="shared" si="58"/>
        <v>7/1/2020 - 6/30/2021</v>
      </c>
      <c r="CF814">
        <v>2</v>
      </c>
      <c r="CG814" t="s">
        <v>98</v>
      </c>
      <c r="CH814" t="s">
        <v>206</v>
      </c>
      <c r="CI814" t="s">
        <v>206</v>
      </c>
      <c r="CL814" t="s">
        <v>108</v>
      </c>
      <c r="CM814" t="s">
        <v>109</v>
      </c>
      <c r="CN814" t="str">
        <f>""</f>
        <v/>
      </c>
      <c r="CO814" t="str">
        <f>""</f>
        <v/>
      </c>
      <c r="CP814" t="str">
        <f>""</f>
        <v/>
      </c>
      <c r="CQ814" t="str">
        <f>""</f>
        <v/>
      </c>
    </row>
    <row r="815" spans="1:96" x14ac:dyDescent="0.2">
      <c r="A815" t="s">
        <v>9584</v>
      </c>
      <c r="B815" t="s">
        <v>96</v>
      </c>
      <c r="C815" s="1">
        <v>44098</v>
      </c>
      <c r="D815" s="1">
        <v>44105</v>
      </c>
      <c r="F815" t="s">
        <v>97</v>
      </c>
      <c r="G815" t="str">
        <f>"Accountant"</f>
        <v>Accountant</v>
      </c>
      <c r="H815" t="s">
        <v>12192</v>
      </c>
      <c r="I815" t="s">
        <v>855</v>
      </c>
      <c r="J815" t="s">
        <v>98</v>
      </c>
      <c r="K815" s="1">
        <v>44104</v>
      </c>
      <c r="L815" s="1">
        <v>45198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 t="s">
        <v>9585</v>
      </c>
      <c r="U815" t="str">
        <f>""</f>
        <v/>
      </c>
      <c r="V815" t="s">
        <v>9586</v>
      </c>
      <c r="W815" t="str">
        <f>""</f>
        <v/>
      </c>
      <c r="X815" t="s">
        <v>1484</v>
      </c>
      <c r="Y815" t="s">
        <v>127</v>
      </c>
      <c r="Z815" s="3">
        <v>19518</v>
      </c>
      <c r="AA815" t="s">
        <v>101</v>
      </c>
      <c r="AC815" s="4" t="str">
        <f>"+16103854500"</f>
        <v>+16103854500</v>
      </c>
      <c r="AE815" t="str">
        <f>"523930"</f>
        <v>523930</v>
      </c>
      <c r="AF815" t="s">
        <v>1751</v>
      </c>
      <c r="AG815" t="s">
        <v>338</v>
      </c>
      <c r="AI815" t="s">
        <v>876</v>
      </c>
      <c r="AJ815" t="s">
        <v>9586</v>
      </c>
      <c r="AK815" t="str">
        <f>""</f>
        <v/>
      </c>
      <c r="AL815" t="s">
        <v>1484</v>
      </c>
      <c r="AM815" t="s">
        <v>127</v>
      </c>
      <c r="AN815" s="3">
        <v>19518</v>
      </c>
      <c r="AO815" t="s">
        <v>101</v>
      </c>
      <c r="AQ815" t="str">
        <f>"+16103854500"</f>
        <v>+16103854500</v>
      </c>
      <c r="AS815" t="s">
        <v>9587</v>
      </c>
      <c r="AT815" t="s">
        <v>107</v>
      </c>
      <c r="AU815" t="str">
        <f>"Sanders"</f>
        <v>Sanders</v>
      </c>
      <c r="AV815" t="str">
        <f>"Kanya"</f>
        <v>Kanya</v>
      </c>
      <c r="AW815" t="str">
        <f>"D"</f>
        <v>D</v>
      </c>
      <c r="AX815" t="str">
        <f>"10451 Mill Run Circle"</f>
        <v>10451 Mill Run Circle</v>
      </c>
      <c r="AY815" t="str">
        <f>"Suite 100"</f>
        <v>Suite 100</v>
      </c>
      <c r="AZ815" t="str">
        <f>"Owings Mills"</f>
        <v>Owings Mills</v>
      </c>
      <c r="BA815" t="str">
        <f>"MD"</f>
        <v>MD</v>
      </c>
      <c r="BB815" s="3">
        <v>21117</v>
      </c>
      <c r="BC815" t="str">
        <f t="shared" si="59"/>
        <v>UNITED STATES OF AMERICA</v>
      </c>
      <c r="BD815" t="str">
        <f>""</f>
        <v/>
      </c>
      <c r="BE815" t="str">
        <f>"+14103565440"</f>
        <v>+14103565440</v>
      </c>
      <c r="BF815" t="str">
        <f>""</f>
        <v/>
      </c>
      <c r="BG815" t="str">
        <f>"chloem@murthy.com"</f>
        <v>chloem@murthy.com</v>
      </c>
      <c r="BH815" t="str">
        <f>"Murthy Law Firm"</f>
        <v>Murthy Law Firm</v>
      </c>
      <c r="BI815" t="str">
        <f>"PA"</f>
        <v>PA</v>
      </c>
      <c r="BJ815" t="str">
        <f>"Supreme Court of Pennsylvania"</f>
        <v>Supreme Court of Pennsylvania</v>
      </c>
      <c r="BK815">
        <v>1</v>
      </c>
      <c r="BL815" t="s">
        <v>102</v>
      </c>
      <c r="BM815" t="str">
        <f>""</f>
        <v/>
      </c>
      <c r="BN815" t="s">
        <v>9586</v>
      </c>
      <c r="BP815" t="s">
        <v>1484</v>
      </c>
      <c r="BQ815" t="s">
        <v>4422</v>
      </c>
      <c r="BR815" t="s">
        <v>127</v>
      </c>
      <c r="BS815" s="5">
        <v>19518</v>
      </c>
      <c r="BT815" s="2">
        <v>60000</v>
      </c>
      <c r="BV815" t="s">
        <v>105</v>
      </c>
      <c r="BW815" s="2">
        <v>59446</v>
      </c>
      <c r="BX815" t="s">
        <v>105</v>
      </c>
      <c r="BZ815" t="s">
        <v>167</v>
      </c>
      <c r="CA815" t="str">
        <f t="shared" si="58"/>
        <v>7/1/2020 - 6/30/2021</v>
      </c>
      <c r="CF815">
        <v>1</v>
      </c>
      <c r="CG815" t="s">
        <v>98</v>
      </c>
      <c r="CH815" t="s">
        <v>206</v>
      </c>
      <c r="CI815" t="s">
        <v>206</v>
      </c>
      <c r="CL815" t="s">
        <v>108</v>
      </c>
      <c r="CM815" t="s">
        <v>109</v>
      </c>
      <c r="CN815" t="str">
        <f>"Miller"</f>
        <v>Miller</v>
      </c>
      <c r="CO815" t="str">
        <f>"Chloe"</f>
        <v>Chloe</v>
      </c>
      <c r="CP815" t="str">
        <f>"N"</f>
        <v>N</v>
      </c>
      <c r="CQ815" t="str">
        <f>"Murthy Law Firm"</f>
        <v>Murthy Law Firm</v>
      </c>
      <c r="CR815" t="s">
        <v>4002</v>
      </c>
    </row>
    <row r="816" spans="1:96" x14ac:dyDescent="0.2">
      <c r="A816" t="s">
        <v>9588</v>
      </c>
      <c r="B816" t="s">
        <v>96</v>
      </c>
      <c r="C816" s="1">
        <v>44098</v>
      </c>
      <c r="D816" s="1">
        <v>44105</v>
      </c>
      <c r="F816" t="s">
        <v>97</v>
      </c>
      <c r="G816" t="str">
        <f>"Sr. BI Engineer"</f>
        <v>Sr. BI Engineer</v>
      </c>
      <c r="H816" t="s">
        <v>12168</v>
      </c>
      <c r="I816" t="s">
        <v>249</v>
      </c>
      <c r="J816" t="s">
        <v>98</v>
      </c>
      <c r="K816" s="1">
        <v>44109</v>
      </c>
      <c r="L816" s="1">
        <v>45203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 t="s">
        <v>9589</v>
      </c>
      <c r="U816" t="str">
        <f>"Redfin"</f>
        <v>Redfin</v>
      </c>
      <c r="V816" t="s">
        <v>9590</v>
      </c>
      <c r="W816" t="str">
        <f>""</f>
        <v/>
      </c>
      <c r="X816" t="s">
        <v>435</v>
      </c>
      <c r="Y816" t="s">
        <v>176</v>
      </c>
      <c r="Z816" s="3">
        <v>98101</v>
      </c>
      <c r="AA816" t="s">
        <v>101</v>
      </c>
      <c r="AC816" s="4" t="str">
        <f>"+12068761082"</f>
        <v>+12068761082</v>
      </c>
      <c r="AE816" t="str">
        <f>"5191"</f>
        <v>5191</v>
      </c>
      <c r="AF816" t="s">
        <v>2800</v>
      </c>
      <c r="AG816" t="s">
        <v>2930</v>
      </c>
      <c r="AI816" t="s">
        <v>763</v>
      </c>
      <c r="AJ816" t="s">
        <v>8353</v>
      </c>
      <c r="AK816" t="str">
        <f>"Ste. 600"</f>
        <v>Ste. 600</v>
      </c>
      <c r="AL816" t="s">
        <v>261</v>
      </c>
      <c r="AM816" t="s">
        <v>141</v>
      </c>
      <c r="AN816" s="3">
        <v>98101</v>
      </c>
      <c r="AO816" t="s">
        <v>101</v>
      </c>
      <c r="AQ816" t="str">
        <f>"+12064357277"</f>
        <v>+12064357277</v>
      </c>
      <c r="AR816">
        <v>0</v>
      </c>
      <c r="AS816" t="s">
        <v>9591</v>
      </c>
      <c r="AT816" t="s">
        <v>107</v>
      </c>
      <c r="AU816" t="str">
        <f>"Ang-Pinlac"</f>
        <v>Ang-Pinlac</v>
      </c>
      <c r="AV816" t="str">
        <f>"Natalie Joy"</f>
        <v>Natalie Joy</v>
      </c>
      <c r="AW816" t="str">
        <f>""</f>
        <v/>
      </c>
      <c r="AX816" t="str">
        <f>"465 California Street"</f>
        <v>465 California Street</v>
      </c>
      <c r="AY816" t="str">
        <f>"Suite 700"</f>
        <v>Suite 700</v>
      </c>
      <c r="AZ816" t="str">
        <f>"San Francisco"</f>
        <v>San Francisco</v>
      </c>
      <c r="BA816" t="str">
        <f>"CA"</f>
        <v>CA</v>
      </c>
      <c r="BB816" s="3">
        <v>94104</v>
      </c>
      <c r="BC816" t="str">
        <f t="shared" si="59"/>
        <v>UNITED STATES OF AMERICA</v>
      </c>
      <c r="BD816" t="str">
        <f>"California"</f>
        <v>California</v>
      </c>
      <c r="BE816" t="str">
        <f>"+14157717500"</f>
        <v>+14157717500</v>
      </c>
      <c r="BF816" t="str">
        <f>"0"</f>
        <v>0</v>
      </c>
      <c r="BG816" t="str">
        <f>"redfin@pearllawgroup.com"</f>
        <v>redfin@pearllawgroup.com</v>
      </c>
      <c r="BH816" t="str">
        <f>"Pearl Law Group"</f>
        <v>Pearl Law Group</v>
      </c>
      <c r="BI816" t="str">
        <f>"NY"</f>
        <v>NY</v>
      </c>
      <c r="BJ816" t="str">
        <f>"New York Court of Appeals"</f>
        <v>New York Court of Appeals</v>
      </c>
      <c r="BK816">
        <v>1</v>
      </c>
      <c r="BL816" t="s">
        <v>107</v>
      </c>
      <c r="BM816" t="str">
        <f>"Redfin Corporation "</f>
        <v xml:space="preserve">Redfin Corporation </v>
      </c>
      <c r="BN816" t="s">
        <v>8353</v>
      </c>
      <c r="BO816" t="s">
        <v>3066</v>
      </c>
      <c r="BP816" t="s">
        <v>435</v>
      </c>
      <c r="BQ816" t="s">
        <v>183</v>
      </c>
      <c r="BR816" t="s">
        <v>176</v>
      </c>
      <c r="BS816" s="5">
        <v>98101</v>
      </c>
      <c r="BT816" s="2">
        <v>130000</v>
      </c>
      <c r="BV816" t="s">
        <v>105</v>
      </c>
      <c r="BW816" s="2">
        <v>97510</v>
      </c>
      <c r="BX816" t="s">
        <v>105</v>
      </c>
      <c r="BZ816" t="s">
        <v>123</v>
      </c>
      <c r="CA816" t="str">
        <f t="shared" si="58"/>
        <v>7/1/2020 - 6/30/2021</v>
      </c>
      <c r="CF816">
        <v>2</v>
      </c>
      <c r="CG816" t="s">
        <v>98</v>
      </c>
      <c r="CH816" t="s">
        <v>206</v>
      </c>
      <c r="CI816" t="s">
        <v>206</v>
      </c>
      <c r="CL816" t="s">
        <v>108</v>
      </c>
      <c r="CM816" t="s">
        <v>109</v>
      </c>
      <c r="CN816" t="str">
        <f>""</f>
        <v/>
      </c>
      <c r="CO816" t="str">
        <f>""</f>
        <v/>
      </c>
      <c r="CP816" t="str">
        <f>""</f>
        <v/>
      </c>
      <c r="CQ816" t="str">
        <f>""</f>
        <v/>
      </c>
    </row>
    <row r="817" spans="1:96" x14ac:dyDescent="0.2">
      <c r="A817" t="s">
        <v>9595</v>
      </c>
      <c r="B817" t="s">
        <v>96</v>
      </c>
      <c r="C817" s="1">
        <v>44098</v>
      </c>
      <c r="D817" s="1">
        <v>44105</v>
      </c>
      <c r="F817" t="s">
        <v>97</v>
      </c>
      <c r="G817" t="str">
        <f>"ADVANCED SOFTWARE DEVELOPER"</f>
        <v>ADVANCED SOFTWARE DEVELOPER</v>
      </c>
      <c r="H817" t="s">
        <v>12169</v>
      </c>
      <c r="I817" t="s">
        <v>124</v>
      </c>
      <c r="J817" t="s">
        <v>98</v>
      </c>
      <c r="K817" s="1">
        <v>44099</v>
      </c>
      <c r="L817" s="1">
        <v>45193</v>
      </c>
      <c r="M817">
        <v>10</v>
      </c>
      <c r="N817">
        <v>2</v>
      </c>
      <c r="O817">
        <v>2</v>
      </c>
      <c r="P817">
        <v>2</v>
      </c>
      <c r="Q817">
        <v>0</v>
      </c>
      <c r="R817">
        <v>2</v>
      </c>
      <c r="S817">
        <v>2</v>
      </c>
      <c r="T817" t="s">
        <v>2068</v>
      </c>
      <c r="U817" t="str">
        <f>""</f>
        <v/>
      </c>
      <c r="V817" t="s">
        <v>2069</v>
      </c>
      <c r="W817" t="str">
        <f>""</f>
        <v/>
      </c>
      <c r="X817" t="s">
        <v>1025</v>
      </c>
      <c r="Y817" t="s">
        <v>577</v>
      </c>
      <c r="Z817" s="3">
        <v>33605</v>
      </c>
      <c r="AA817" t="s">
        <v>101</v>
      </c>
      <c r="AC817" s="4" t="str">
        <f>"+18135525000"</f>
        <v>+18135525000</v>
      </c>
      <c r="AE817" t="str">
        <f>"5416"</f>
        <v>5416</v>
      </c>
      <c r="AF817" t="s">
        <v>2070</v>
      </c>
      <c r="AG817" t="s">
        <v>2071</v>
      </c>
      <c r="AI817" t="s">
        <v>497</v>
      </c>
      <c r="AJ817" t="s">
        <v>2072</v>
      </c>
      <c r="AK817" t="str">
        <f>""</f>
        <v/>
      </c>
      <c r="AL817" t="s">
        <v>1025</v>
      </c>
      <c r="AM817" t="s">
        <v>577</v>
      </c>
      <c r="AN817" s="3">
        <v>33605</v>
      </c>
      <c r="AO817" t="s">
        <v>101</v>
      </c>
      <c r="AQ817" t="str">
        <f>"+18135525000"</f>
        <v>+18135525000</v>
      </c>
      <c r="AS817" t="s">
        <v>2073</v>
      </c>
      <c r="AT817" t="s">
        <v>107</v>
      </c>
      <c r="AU817" t="str">
        <f>"WHITE "</f>
        <v xml:space="preserve">WHITE </v>
      </c>
      <c r="AV817" t="str">
        <f>"ROBERT"</f>
        <v>ROBERT</v>
      </c>
      <c r="AW817" t="str">
        <f>"SAMUEL"</f>
        <v>SAMUEL</v>
      </c>
      <c r="AX817" t="str">
        <f>"200 N MARTINGALE ROAD"</f>
        <v>200 N MARTINGALE ROAD</v>
      </c>
      <c r="AY817" t="str">
        <f>"SUITE 800"</f>
        <v>SUITE 800</v>
      </c>
      <c r="AZ817" t="str">
        <f>"SCHAUMBURG"</f>
        <v>SCHAUMBURG</v>
      </c>
      <c r="BA817" t="str">
        <f>"IL"</f>
        <v>IL</v>
      </c>
      <c r="BB817" s="3">
        <v>60173</v>
      </c>
      <c r="BC817" t="str">
        <f t="shared" si="59"/>
        <v>UNITED STATES OF AMERICA</v>
      </c>
      <c r="BD817" t="str">
        <f>""</f>
        <v/>
      </c>
      <c r="BE817" t="str">
        <f>"+18477348811"</f>
        <v>+18477348811</v>
      </c>
      <c r="BF817" t="str">
        <f>""</f>
        <v/>
      </c>
      <c r="BG817" t="str">
        <f>"RWHITE@MASUDAFUNAI.COM"</f>
        <v>RWHITE@MASUDAFUNAI.COM</v>
      </c>
      <c r="BH817" t="str">
        <f>"Masuda Funai Eifert &amp; Mitchell, Ltd."</f>
        <v>Masuda Funai Eifert &amp; Mitchell, Ltd.</v>
      </c>
      <c r="BI817" t="str">
        <f>"IL"</f>
        <v>IL</v>
      </c>
      <c r="BJ817" t="str">
        <f>"SUPREME COURT"</f>
        <v>SUPREME COURT</v>
      </c>
      <c r="BK817">
        <v>10</v>
      </c>
      <c r="BL817" t="s">
        <v>107</v>
      </c>
      <c r="BM817" t="str">
        <f>"HOME DEPOT USA, INC."</f>
        <v>HOME DEPOT USA, INC.</v>
      </c>
      <c r="BN817" t="s">
        <v>5774</v>
      </c>
      <c r="BP817" t="s">
        <v>480</v>
      </c>
      <c r="BQ817" t="s">
        <v>1121</v>
      </c>
      <c r="BR817" t="s">
        <v>215</v>
      </c>
      <c r="BS817" s="5">
        <v>30339</v>
      </c>
      <c r="BT817" s="2">
        <v>56.78</v>
      </c>
      <c r="BU817" s="2">
        <v>90</v>
      </c>
      <c r="BV817" t="s">
        <v>210</v>
      </c>
      <c r="BW817" s="2">
        <v>49.76</v>
      </c>
      <c r="BX817" t="s">
        <v>210</v>
      </c>
      <c r="BZ817" t="s">
        <v>123</v>
      </c>
      <c r="CA817" t="str">
        <f t="shared" si="58"/>
        <v>7/1/2020 - 6/30/2021</v>
      </c>
      <c r="CF817">
        <v>2</v>
      </c>
      <c r="CG817" t="s">
        <v>98</v>
      </c>
      <c r="CH817" t="s">
        <v>206</v>
      </c>
      <c r="CI817" t="s">
        <v>206</v>
      </c>
      <c r="CL817" t="s">
        <v>108</v>
      </c>
      <c r="CM817" t="s">
        <v>109</v>
      </c>
      <c r="CN817" t="str">
        <f>""</f>
        <v/>
      </c>
      <c r="CO817" t="str">
        <f>""</f>
        <v/>
      </c>
      <c r="CP817" t="str">
        <f>""</f>
        <v/>
      </c>
      <c r="CQ817" t="str">
        <f>""</f>
        <v/>
      </c>
    </row>
    <row r="818" spans="1:96" x14ac:dyDescent="0.2">
      <c r="A818" t="s">
        <v>9598</v>
      </c>
      <c r="B818" t="s">
        <v>96</v>
      </c>
      <c r="C818" s="1">
        <v>44098</v>
      </c>
      <c r="D818" s="1">
        <v>44105</v>
      </c>
      <c r="F818" t="s">
        <v>97</v>
      </c>
      <c r="G818" t="str">
        <f>"Senior Developer"</f>
        <v>Senior Developer</v>
      </c>
      <c r="H818" t="s">
        <v>12169</v>
      </c>
      <c r="I818" t="s">
        <v>124</v>
      </c>
      <c r="J818" t="s">
        <v>98</v>
      </c>
      <c r="K818" s="1">
        <v>44104</v>
      </c>
      <c r="L818" s="1">
        <v>45198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 t="s">
        <v>9599</v>
      </c>
      <c r="U818" t="str">
        <f>""</f>
        <v/>
      </c>
      <c r="V818" t="s">
        <v>9600</v>
      </c>
      <c r="W818" t="str">
        <f>"Suite 300"</f>
        <v>Suite 300</v>
      </c>
      <c r="X818" t="s">
        <v>213</v>
      </c>
      <c r="Y818" t="s">
        <v>215</v>
      </c>
      <c r="Z818" s="3">
        <v>30346</v>
      </c>
      <c r="AA818" t="s">
        <v>101</v>
      </c>
      <c r="AB818" t="s">
        <v>108</v>
      </c>
      <c r="AC818" s="4" t="str">
        <f>"+14044213730"</f>
        <v>+14044213730</v>
      </c>
      <c r="AE818" t="str">
        <f>"541840"</f>
        <v>541840</v>
      </c>
      <c r="AF818" t="s">
        <v>9601</v>
      </c>
      <c r="AG818" t="s">
        <v>2942</v>
      </c>
      <c r="AH818" t="s">
        <v>108</v>
      </c>
      <c r="AI818" t="s">
        <v>9602</v>
      </c>
      <c r="AJ818" t="s">
        <v>9600</v>
      </c>
      <c r="AK818" t="str">
        <f>"N/A"</f>
        <v>N/A</v>
      </c>
      <c r="AL818" t="s">
        <v>213</v>
      </c>
      <c r="AM818" t="s">
        <v>215</v>
      </c>
      <c r="AN818" s="3">
        <v>30346</v>
      </c>
      <c r="AO818" t="s">
        <v>101</v>
      </c>
      <c r="AQ818" t="str">
        <f>"+14044213730"</f>
        <v>+14044213730</v>
      </c>
      <c r="AS818" t="s">
        <v>9603</v>
      </c>
      <c r="AT818" t="s">
        <v>107</v>
      </c>
      <c r="AU818" t="str">
        <f>"Campbell"</f>
        <v>Campbell</v>
      </c>
      <c r="AV818" t="str">
        <f>"Jacob"</f>
        <v>Jacob</v>
      </c>
      <c r="AW818" t="str">
        <f>"N/A"</f>
        <v>N/A</v>
      </c>
      <c r="AX818" t="str">
        <f>"1075 Peachtree St. NE"</f>
        <v>1075 Peachtree St. NE</v>
      </c>
      <c r="AY818" t="str">
        <f>"Suite 2500"</f>
        <v>Suite 2500</v>
      </c>
      <c r="AZ818" t="str">
        <f>"Atlanta"</f>
        <v>Atlanta</v>
      </c>
      <c r="BA818" t="str">
        <f>"GA"</f>
        <v>GA</v>
      </c>
      <c r="BB818" s="3" t="s">
        <v>12304</v>
      </c>
      <c r="BC818" t="str">
        <f t="shared" si="59"/>
        <v>UNITED STATES OF AMERICA</v>
      </c>
      <c r="BD818" t="str">
        <f>"N/A"</f>
        <v>N/A</v>
      </c>
      <c r="BE818" t="str">
        <f>"+14048856747"</f>
        <v>+14048856747</v>
      </c>
      <c r="BF818" t="str">
        <f>""</f>
        <v/>
      </c>
      <c r="BG818" t="str">
        <f>"aworst@seyfarth.com"</f>
        <v>aworst@seyfarth.com</v>
      </c>
      <c r="BH818" t="str">
        <f>"Seyfarth Shaw LLP"</f>
        <v>Seyfarth Shaw LLP</v>
      </c>
      <c r="BI818" t="str">
        <f>"GA"</f>
        <v>GA</v>
      </c>
      <c r="BJ818" t="str">
        <f>"Supreme Court"</f>
        <v>Supreme Court</v>
      </c>
      <c r="BK818">
        <v>1</v>
      </c>
      <c r="BL818" t="s">
        <v>102</v>
      </c>
      <c r="BM818" t="str">
        <f>""</f>
        <v/>
      </c>
      <c r="BN818" t="s">
        <v>9604</v>
      </c>
      <c r="BO818" t="s">
        <v>132</v>
      </c>
      <c r="BP818" t="s">
        <v>213</v>
      </c>
      <c r="BQ818" t="s">
        <v>481</v>
      </c>
      <c r="BR818" t="s">
        <v>215</v>
      </c>
      <c r="BS818" s="5">
        <v>30346</v>
      </c>
      <c r="BT818" s="2">
        <v>121139</v>
      </c>
      <c r="BU818" s="2">
        <v>140017</v>
      </c>
      <c r="BV818" t="s">
        <v>105</v>
      </c>
      <c r="BW818" s="2">
        <v>121139</v>
      </c>
      <c r="BX818" t="s">
        <v>105</v>
      </c>
      <c r="BZ818" t="s">
        <v>159</v>
      </c>
      <c r="CA818" t="str">
        <f t="shared" si="58"/>
        <v>7/1/2020 - 6/30/2021</v>
      </c>
      <c r="CF818">
        <v>1</v>
      </c>
      <c r="CG818" t="s">
        <v>98</v>
      </c>
      <c r="CH818" t="s">
        <v>206</v>
      </c>
      <c r="CI818" t="s">
        <v>206</v>
      </c>
      <c r="CL818" t="s">
        <v>108</v>
      </c>
      <c r="CM818" t="s">
        <v>109</v>
      </c>
      <c r="CN818" t="str">
        <f>"Worst"</f>
        <v>Worst</v>
      </c>
      <c r="CO818" t="str">
        <f>"Anne"</f>
        <v>Anne</v>
      </c>
      <c r="CP818" t="str">
        <f>"N/A"</f>
        <v>N/A</v>
      </c>
      <c r="CQ818" t="str">
        <f>"Seyfarth Shaw LLP"</f>
        <v>Seyfarth Shaw LLP</v>
      </c>
      <c r="CR818" t="s">
        <v>6234</v>
      </c>
    </row>
    <row r="819" spans="1:96" x14ac:dyDescent="0.2">
      <c r="A819" t="s">
        <v>9607</v>
      </c>
      <c r="B819" t="s">
        <v>96</v>
      </c>
      <c r="C819" s="1">
        <v>44098</v>
      </c>
      <c r="D819" s="1">
        <v>44105</v>
      </c>
      <c r="F819" t="s">
        <v>97</v>
      </c>
      <c r="G819" t="str">
        <f>"Software Developer "</f>
        <v xml:space="preserve">Software Developer </v>
      </c>
      <c r="H819" t="s">
        <v>12169</v>
      </c>
      <c r="I819" t="s">
        <v>124</v>
      </c>
      <c r="J819" t="s">
        <v>206</v>
      </c>
      <c r="K819" s="1">
        <v>44105</v>
      </c>
      <c r="L819" s="1">
        <v>45199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9608</v>
      </c>
      <c r="U819" t="str">
        <f>""</f>
        <v/>
      </c>
      <c r="V819" t="s">
        <v>9609</v>
      </c>
      <c r="W819" t="str">
        <f>""</f>
        <v/>
      </c>
      <c r="X819" t="s">
        <v>398</v>
      </c>
      <c r="Y819" t="s">
        <v>141</v>
      </c>
      <c r="Z819" s="3">
        <v>94539</v>
      </c>
      <c r="AA819" t="s">
        <v>101</v>
      </c>
      <c r="AC819" s="4" t="str">
        <f>"+14086400773"</f>
        <v>+14086400773</v>
      </c>
      <c r="AE819" t="str">
        <f>"333314"</f>
        <v>333314</v>
      </c>
      <c r="AF819" t="s">
        <v>9610</v>
      </c>
      <c r="AG819" t="s">
        <v>1705</v>
      </c>
      <c r="AI819" t="s">
        <v>646</v>
      </c>
      <c r="AJ819" t="s">
        <v>9609</v>
      </c>
      <c r="AK819" t="str">
        <f>""</f>
        <v/>
      </c>
      <c r="AL819" t="s">
        <v>398</v>
      </c>
      <c r="AM819" t="s">
        <v>141</v>
      </c>
      <c r="AN819" s="3">
        <v>94539</v>
      </c>
      <c r="AO819" t="s">
        <v>101</v>
      </c>
      <c r="AQ819" t="str">
        <f>"+14088962716"</f>
        <v>+14088962716</v>
      </c>
      <c r="AS819" t="s">
        <v>9611</v>
      </c>
      <c r="AT819" t="s">
        <v>107</v>
      </c>
      <c r="AU819" t="str">
        <f>"Terkiana"</f>
        <v>Terkiana</v>
      </c>
      <c r="AV819" t="str">
        <f>"Jagbir"</f>
        <v>Jagbir</v>
      </c>
      <c r="AW819" t="str">
        <f>"Singh"</f>
        <v>Singh</v>
      </c>
      <c r="AX819" t="str">
        <f>"2033 Gateway Place, 5th Floor"</f>
        <v>2033 Gateway Place, 5th Floor</v>
      </c>
      <c r="AY819" t="str">
        <f>"Suite 511"</f>
        <v>Suite 511</v>
      </c>
      <c r="AZ819" t="str">
        <f>"SAN JOSE"</f>
        <v>SAN JOSE</v>
      </c>
      <c r="BA819" t="str">
        <f>"CA"</f>
        <v>CA</v>
      </c>
      <c r="BB819" s="3">
        <v>95110</v>
      </c>
      <c r="BC819" t="str">
        <f t="shared" si="59"/>
        <v>UNITED STATES OF AMERICA</v>
      </c>
      <c r="BD819" t="str">
        <f>""</f>
        <v/>
      </c>
      <c r="BE819" t="str">
        <f>"+14157157790"</f>
        <v>+14157157790</v>
      </c>
      <c r="BF819" t="str">
        <f>""</f>
        <v/>
      </c>
      <c r="BG819" t="str">
        <f>"JAY@IMMIGRATION.GLOBAL"</f>
        <v>JAY@IMMIGRATION.GLOBAL</v>
      </c>
      <c r="BH819" t="str">
        <f>"TERKIANA INC"</f>
        <v>TERKIANA INC</v>
      </c>
      <c r="BI819" t="str">
        <f>"NY"</f>
        <v>NY</v>
      </c>
      <c r="BJ819" t="str">
        <f>"NY Appellate Division III"</f>
        <v>NY Appellate Division III</v>
      </c>
      <c r="BK819">
        <v>1</v>
      </c>
      <c r="BL819" t="s">
        <v>102</v>
      </c>
      <c r="BM819" t="str">
        <f>""</f>
        <v/>
      </c>
      <c r="BN819" t="s">
        <v>9609</v>
      </c>
      <c r="BP819" t="s">
        <v>9357</v>
      </c>
      <c r="BQ819" t="s">
        <v>419</v>
      </c>
      <c r="BR819" t="s">
        <v>141</v>
      </c>
      <c r="BS819" s="5">
        <v>94539</v>
      </c>
      <c r="BT819" s="2">
        <v>46.45</v>
      </c>
      <c r="BV819" t="s">
        <v>210</v>
      </c>
      <c r="BW819" s="2">
        <v>46.45</v>
      </c>
      <c r="BX819" t="s">
        <v>210</v>
      </c>
      <c r="BZ819" t="s">
        <v>191</v>
      </c>
      <c r="CA819" t="str">
        <f t="shared" si="58"/>
        <v>7/1/2020 - 6/30/2021</v>
      </c>
      <c r="CF819">
        <v>1</v>
      </c>
      <c r="CG819" t="s">
        <v>98</v>
      </c>
      <c r="CH819" t="s">
        <v>206</v>
      </c>
      <c r="CI819" t="s">
        <v>206</v>
      </c>
      <c r="CL819" t="s">
        <v>108</v>
      </c>
      <c r="CM819" t="s">
        <v>109</v>
      </c>
      <c r="CN819" t="str">
        <f>"Terkiana"</f>
        <v>Terkiana</v>
      </c>
      <c r="CO819" t="str">
        <f>"Jagbir"</f>
        <v>Jagbir</v>
      </c>
      <c r="CP819" t="str">
        <f>"S"</f>
        <v>S</v>
      </c>
      <c r="CQ819" t="str">
        <f>"Terkiana, Inc"</f>
        <v>Terkiana, Inc</v>
      </c>
      <c r="CR819" t="s">
        <v>5644</v>
      </c>
    </row>
    <row r="820" spans="1:96" x14ac:dyDescent="0.2">
      <c r="A820" t="s">
        <v>9619</v>
      </c>
      <c r="B820" t="s">
        <v>96</v>
      </c>
      <c r="C820" s="1">
        <v>44098</v>
      </c>
      <c r="D820" s="1">
        <v>44105</v>
      </c>
      <c r="F820" t="s">
        <v>97</v>
      </c>
      <c r="G820" t="str">
        <f>"SOFTWARE DEVELOPMENT ENGINEER I"</f>
        <v>SOFTWARE DEVELOPMENT ENGINEER I</v>
      </c>
      <c r="H820" t="s">
        <v>12169</v>
      </c>
      <c r="I820" t="s">
        <v>124</v>
      </c>
      <c r="J820" t="s">
        <v>98</v>
      </c>
      <c r="K820" s="1">
        <v>44109</v>
      </c>
      <c r="L820" s="1">
        <v>45203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 t="s">
        <v>1129</v>
      </c>
      <c r="U820" t="str">
        <f>""</f>
        <v/>
      </c>
      <c r="V820" t="s">
        <v>809</v>
      </c>
      <c r="W820" t="str">
        <f>"SUITE 500"</f>
        <v>SUITE 500</v>
      </c>
      <c r="X820" t="s">
        <v>433</v>
      </c>
      <c r="Y820" t="s">
        <v>176</v>
      </c>
      <c r="Z820" s="3">
        <v>98121</v>
      </c>
      <c r="AA820" t="s">
        <v>101</v>
      </c>
      <c r="AC820" s="4" t="str">
        <f>"+12062661000"</f>
        <v>+12062661000</v>
      </c>
      <c r="AE820" t="str">
        <f>"454110"</f>
        <v>454110</v>
      </c>
      <c r="AF820" t="s">
        <v>442</v>
      </c>
      <c r="AG820" t="s">
        <v>443</v>
      </c>
      <c r="AH820" t="s">
        <v>108</v>
      </c>
      <c r="AI820" t="s">
        <v>434</v>
      </c>
      <c r="AJ820" t="s">
        <v>809</v>
      </c>
      <c r="AK820" t="str">
        <f>"SUITE 500"</f>
        <v>SUITE 500</v>
      </c>
      <c r="AL820" t="s">
        <v>433</v>
      </c>
      <c r="AM820" t="s">
        <v>176</v>
      </c>
      <c r="AN820" s="3">
        <v>98121</v>
      </c>
      <c r="AO820" t="s">
        <v>101</v>
      </c>
      <c r="AQ820" t="str">
        <f>"+12062661000"</f>
        <v>+12062661000</v>
      </c>
      <c r="AS820" t="s">
        <v>263</v>
      </c>
      <c r="AT820" t="s">
        <v>107</v>
      </c>
      <c r="AU820" t="str">
        <f>"MARANCI"</f>
        <v>MARANCI</v>
      </c>
      <c r="AV820" t="str">
        <f>"DANIEL"</f>
        <v>DANIEL</v>
      </c>
      <c r="AW820" t="str">
        <f>"N/A"</f>
        <v>N/A</v>
      </c>
      <c r="AX820" t="str">
        <f>"100 HIGH STREET"</f>
        <v>100 HIGH STREET</v>
      </c>
      <c r="AY820" t="str">
        <f>"3RD FLOOR C#5316488"</f>
        <v>3RD FLOOR C#5316488</v>
      </c>
      <c r="AZ820" t="str">
        <f>"BOSTON"</f>
        <v>BOSTON</v>
      </c>
      <c r="BA820" t="str">
        <f>"MA"</f>
        <v>MA</v>
      </c>
      <c r="BB820" s="3">
        <v>2110</v>
      </c>
      <c r="BC820" t="str">
        <f t="shared" si="59"/>
        <v>UNITED STATES OF AMERICA</v>
      </c>
      <c r="BD820" t="str">
        <f>""</f>
        <v/>
      </c>
      <c r="BE820" t="str">
        <f>"+16175740400"</f>
        <v>+16175740400</v>
      </c>
      <c r="BF820" t="str">
        <f>""</f>
        <v/>
      </c>
      <c r="BG820" t="str">
        <f>"AMAZONINDIA@FRAGOMEN.COM"</f>
        <v>AMAZONINDIA@FRAGOMEN.COM</v>
      </c>
      <c r="BH820" t="str">
        <f>"FRAGOMEN, DEL REY, BERNSEN &amp; LOEWY, LLP"</f>
        <v>FRAGOMEN, DEL REY, BERNSEN &amp; LOEWY, LLP</v>
      </c>
      <c r="BI820" t="str">
        <f>"MA"</f>
        <v>MA</v>
      </c>
      <c r="BJ820" t="str">
        <f>"SUPREME JUDICIAL COURT"</f>
        <v>SUPREME JUDICIAL COURT</v>
      </c>
      <c r="BK820">
        <v>1</v>
      </c>
      <c r="BL820" t="s">
        <v>102</v>
      </c>
      <c r="BM820" t="str">
        <f>""</f>
        <v/>
      </c>
      <c r="BN820" t="s">
        <v>5642</v>
      </c>
      <c r="BP820" t="s">
        <v>5643</v>
      </c>
      <c r="BQ820" t="s">
        <v>994</v>
      </c>
      <c r="BR820" t="s">
        <v>141</v>
      </c>
      <c r="BS820" s="5">
        <v>94303</v>
      </c>
      <c r="BT820" s="2">
        <v>133500</v>
      </c>
      <c r="BV820" t="s">
        <v>105</v>
      </c>
      <c r="BW820" s="2">
        <v>96616</v>
      </c>
      <c r="BX820" t="s">
        <v>105</v>
      </c>
      <c r="BZ820" t="s">
        <v>191</v>
      </c>
      <c r="CA820" t="str">
        <f t="shared" si="58"/>
        <v>7/1/2020 - 6/30/2021</v>
      </c>
      <c r="CF820">
        <v>2</v>
      </c>
      <c r="CG820" t="s">
        <v>98</v>
      </c>
      <c r="CH820" t="s">
        <v>206</v>
      </c>
      <c r="CI820" t="s">
        <v>206</v>
      </c>
      <c r="CL820" t="s">
        <v>108</v>
      </c>
      <c r="CM820" t="s">
        <v>109</v>
      </c>
      <c r="CN820" t="str">
        <f>"SUNNY"</f>
        <v>SUNNY</v>
      </c>
      <c r="CO820" t="str">
        <f>"JASMIN"</f>
        <v>JASMIN</v>
      </c>
      <c r="CP820" t="str">
        <f>"N/A"</f>
        <v>N/A</v>
      </c>
      <c r="CQ820" t="str">
        <f>"FRAGOMEN, DEL REY, BERNSEN &amp; LOEWY, LLP"</f>
        <v>FRAGOMEN, DEL REY, BERNSEN &amp; LOEWY, LLP</v>
      </c>
      <c r="CR820" t="s">
        <v>650</v>
      </c>
    </row>
    <row r="821" spans="1:96" x14ac:dyDescent="0.2">
      <c r="A821" t="s">
        <v>9620</v>
      </c>
      <c r="B821" t="s">
        <v>96</v>
      </c>
      <c r="C821" s="1">
        <v>44098</v>
      </c>
      <c r="D821" s="1">
        <v>44105</v>
      </c>
      <c r="F821" t="s">
        <v>97</v>
      </c>
      <c r="G821" t="str">
        <f>"Senior Advisor, Business Systems Analysis"</f>
        <v>Senior Advisor, Business Systems Analysis</v>
      </c>
      <c r="H821" t="s">
        <v>12168</v>
      </c>
      <c r="I821" t="s">
        <v>160</v>
      </c>
      <c r="J821" t="s">
        <v>98</v>
      </c>
      <c r="K821" s="1">
        <v>44162</v>
      </c>
      <c r="L821" s="1">
        <v>45256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t="s">
        <v>1532</v>
      </c>
      <c r="U821" t="str">
        <f>""</f>
        <v/>
      </c>
      <c r="V821" t="s">
        <v>1533</v>
      </c>
      <c r="W821" t="str">
        <f>""</f>
        <v/>
      </c>
      <c r="X821" t="s">
        <v>1534</v>
      </c>
      <c r="Y821" t="s">
        <v>114</v>
      </c>
      <c r="Z821" s="3">
        <v>78682</v>
      </c>
      <c r="AA821" t="s">
        <v>101</v>
      </c>
      <c r="AC821" s="4" t="str">
        <f>"+15127281627"</f>
        <v>+15127281627</v>
      </c>
      <c r="AE821" t="str">
        <f>"42343"</f>
        <v>42343</v>
      </c>
      <c r="AF821" t="s">
        <v>1535</v>
      </c>
      <c r="AG821" t="s">
        <v>4647</v>
      </c>
      <c r="AI821" t="s">
        <v>1536</v>
      </c>
      <c r="AJ821" t="s">
        <v>1533</v>
      </c>
      <c r="AK821" t="str">
        <f>""</f>
        <v/>
      </c>
      <c r="AL821" t="s">
        <v>1534</v>
      </c>
      <c r="AM821" t="s">
        <v>114</v>
      </c>
      <c r="AN821" s="3">
        <v>78682</v>
      </c>
      <c r="AO821" t="s">
        <v>101</v>
      </c>
      <c r="AQ821" t="str">
        <f>"+15127281627"</f>
        <v>+15127281627</v>
      </c>
      <c r="AS821" t="s">
        <v>108</v>
      </c>
      <c r="AT821" t="s">
        <v>107</v>
      </c>
      <c r="AU821" t="str">
        <f>"Shepherd "</f>
        <v xml:space="preserve">Shepherd </v>
      </c>
      <c r="AV821" t="str">
        <f>"Philip "</f>
        <v xml:space="preserve">Philip </v>
      </c>
      <c r="AW821" t="str">
        <f>"A."</f>
        <v>A.</v>
      </c>
      <c r="AX821" t="str">
        <f>"191 Peachtree St NE"</f>
        <v>191 Peachtree St NE</v>
      </c>
      <c r="AY821" t="str">
        <f>"Suite 4800"</f>
        <v>Suite 4800</v>
      </c>
      <c r="AZ821" t="str">
        <f>"Atlanta"</f>
        <v>Atlanta</v>
      </c>
      <c r="BA821" t="str">
        <f>"GA"</f>
        <v>GA</v>
      </c>
      <c r="BB821" s="3" t="s">
        <v>12306</v>
      </c>
      <c r="BC821" t="str">
        <f t="shared" si="59"/>
        <v>UNITED STATES OF AMERICA</v>
      </c>
      <c r="BD821" t="str">
        <f>""</f>
        <v/>
      </c>
      <c r="BE821" t="str">
        <f>"+14048811300"</f>
        <v>+14048811300</v>
      </c>
      <c r="BF821" t="str">
        <f>""</f>
        <v/>
      </c>
      <c r="BG821" t="str">
        <f>"kieya.bailey@ogletreedeakins.com"</f>
        <v>kieya.bailey@ogletreedeakins.com</v>
      </c>
      <c r="BH821" t="str">
        <f>"Ogletree, Deakins, Nash, Smoak &amp; Stewart, P.C. "</f>
        <v xml:space="preserve">Ogletree, Deakins, Nash, Smoak &amp; Stewart, P.C. </v>
      </c>
      <c r="BI821" t="str">
        <f>"GA"</f>
        <v>GA</v>
      </c>
      <c r="BJ821" t="str">
        <f>"Georgia Supreme Court"</f>
        <v>Georgia Supreme Court</v>
      </c>
      <c r="BK821">
        <v>1</v>
      </c>
      <c r="BL821" t="s">
        <v>102</v>
      </c>
      <c r="BM821" t="str">
        <f>""</f>
        <v/>
      </c>
      <c r="BN821" t="s">
        <v>9621</v>
      </c>
      <c r="BP821" t="s">
        <v>1430</v>
      </c>
      <c r="BQ821" t="s">
        <v>5078</v>
      </c>
      <c r="BR821" t="s">
        <v>171</v>
      </c>
      <c r="BS821" s="5">
        <v>1519</v>
      </c>
      <c r="BT821" s="2">
        <v>113006.25</v>
      </c>
      <c r="BV821" t="s">
        <v>105</v>
      </c>
      <c r="BW821" s="2">
        <v>112694</v>
      </c>
      <c r="BX821" t="s">
        <v>105</v>
      </c>
      <c r="BZ821" t="s">
        <v>159</v>
      </c>
      <c r="CA821" t="str">
        <f t="shared" si="58"/>
        <v>7/1/2020 - 6/30/2021</v>
      </c>
      <c r="CF821">
        <v>2</v>
      </c>
      <c r="CG821" t="s">
        <v>98</v>
      </c>
      <c r="CH821" t="s">
        <v>206</v>
      </c>
      <c r="CI821" t="s">
        <v>206</v>
      </c>
      <c r="CL821" t="s">
        <v>108</v>
      </c>
      <c r="CM821" t="s">
        <v>109</v>
      </c>
      <c r="CN821" t="str">
        <f>"Shepherd "</f>
        <v xml:space="preserve">Shepherd </v>
      </c>
      <c r="CO821" t="str">
        <f>"Philip "</f>
        <v xml:space="preserve">Philip </v>
      </c>
      <c r="CP821" t="str">
        <f>"A."</f>
        <v>A.</v>
      </c>
      <c r="CQ821" t="str">
        <f>"Ogletree, Deakins, Nash, Smoak &amp; Stewart, P.C."</f>
        <v>Ogletree, Deakins, Nash, Smoak &amp; Stewart, P.C.</v>
      </c>
      <c r="CR821" t="s">
        <v>4648</v>
      </c>
    </row>
    <row r="822" spans="1:96" x14ac:dyDescent="0.2">
      <c r="A822" t="s">
        <v>9622</v>
      </c>
      <c r="B822" t="s">
        <v>96</v>
      </c>
      <c r="C822" s="1">
        <v>44098</v>
      </c>
      <c r="D822" s="1">
        <v>44105</v>
      </c>
      <c r="F822" t="s">
        <v>97</v>
      </c>
      <c r="G822" t="str">
        <f>"Programmer/Analyst"</f>
        <v>Programmer/Analyst</v>
      </c>
      <c r="H822" t="s">
        <v>12239</v>
      </c>
      <c r="I822" t="s">
        <v>378</v>
      </c>
      <c r="J822" t="s">
        <v>98</v>
      </c>
      <c r="K822" s="1">
        <v>44196</v>
      </c>
      <c r="L822" s="1">
        <v>45290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1522</v>
      </c>
      <c r="U822" t="str">
        <f>""</f>
        <v/>
      </c>
      <c r="V822" t="s">
        <v>1281</v>
      </c>
      <c r="W822" t="str">
        <f>""</f>
        <v/>
      </c>
      <c r="X822" t="s">
        <v>538</v>
      </c>
      <c r="Y822" t="s">
        <v>135</v>
      </c>
      <c r="Z822" s="3">
        <v>22030</v>
      </c>
      <c r="AA822" t="s">
        <v>101</v>
      </c>
      <c r="AC822" s="4" t="str">
        <f>"+17032678000"</f>
        <v>+17032678000</v>
      </c>
      <c r="AD822">
        <v>0</v>
      </c>
      <c r="AE822" t="str">
        <f>"541512"</f>
        <v>541512</v>
      </c>
      <c r="AF822" t="s">
        <v>1282</v>
      </c>
      <c r="AG822" t="s">
        <v>1283</v>
      </c>
      <c r="AI822" t="s">
        <v>1284</v>
      </c>
      <c r="AJ822" t="s">
        <v>1281</v>
      </c>
      <c r="AK822" t="str">
        <f>""</f>
        <v/>
      </c>
      <c r="AL822" t="s">
        <v>538</v>
      </c>
      <c r="AM822" t="s">
        <v>135</v>
      </c>
      <c r="AN822" s="3">
        <v>22030</v>
      </c>
      <c r="AO822" t="s">
        <v>101</v>
      </c>
      <c r="AQ822" t="str">
        <f>"+17324282390"</f>
        <v>+17324282390</v>
      </c>
      <c r="AS822" t="s">
        <v>1285</v>
      </c>
      <c r="AT822" t="s">
        <v>107</v>
      </c>
      <c r="AU822" t="str">
        <f>"SMITH"</f>
        <v>SMITH</v>
      </c>
      <c r="AV822" t="str">
        <f>"MICHAEL"</f>
        <v>MICHAEL</v>
      </c>
      <c r="AW822" t="str">
        <f>"FRANCIS"</f>
        <v>FRANCIS</v>
      </c>
      <c r="AX822" t="str">
        <f>"1101 15TH STREET, NW"</f>
        <v>1101 15TH STREET, NW</v>
      </c>
      <c r="AY822" t="str">
        <f>"SUITE 700"</f>
        <v>SUITE 700</v>
      </c>
      <c r="AZ822" t="str">
        <f>"WASHINGTON"</f>
        <v>WASHINGTON</v>
      </c>
      <c r="BA822" t="str">
        <f>"DC"</f>
        <v>DC</v>
      </c>
      <c r="BB822" s="3">
        <v>20005</v>
      </c>
      <c r="BC822" t="str">
        <f t="shared" si="59"/>
        <v>UNITED STATES OF AMERICA</v>
      </c>
      <c r="BD822" t="str">
        <f>""</f>
        <v/>
      </c>
      <c r="BE822" t="str">
        <f>"+12022235515"</f>
        <v>+12022235515</v>
      </c>
      <c r="BF822" t="str">
        <f>""</f>
        <v/>
      </c>
      <c r="BG822" t="str">
        <f>"LCATeamPham@Fragomen.com"</f>
        <v>LCATeamPham@Fragomen.com</v>
      </c>
      <c r="BH822" t="str">
        <f>"Fragomen, Del Rey, Bernsen &amp; Loewy, LLP"</f>
        <v>Fragomen, Del Rey, Bernsen &amp; Loewy, LLP</v>
      </c>
      <c r="BI822" t="str">
        <f>"DC"</f>
        <v>DC</v>
      </c>
      <c r="BJ822" t="str">
        <f>"DISTRICT OF COLUMBIA COURT OF APPEALS"</f>
        <v>DISTRICT OF COLUMBIA COURT OF APPEALS</v>
      </c>
      <c r="BK822">
        <v>1</v>
      </c>
      <c r="BL822" t="s">
        <v>107</v>
      </c>
      <c r="BM822" t="str">
        <f>"Fannie Mae"</f>
        <v>Fannie Mae</v>
      </c>
      <c r="BN822" t="s">
        <v>8235</v>
      </c>
      <c r="BP822" t="s">
        <v>297</v>
      </c>
      <c r="BQ822" t="s">
        <v>556</v>
      </c>
      <c r="BR822" t="s">
        <v>114</v>
      </c>
      <c r="BS822" s="5">
        <v>75024</v>
      </c>
      <c r="BT822" s="2">
        <v>105000</v>
      </c>
      <c r="BV822" t="s">
        <v>105</v>
      </c>
      <c r="BW822" s="2">
        <v>98717</v>
      </c>
      <c r="BX822" t="s">
        <v>105</v>
      </c>
      <c r="BZ822" t="s">
        <v>123</v>
      </c>
      <c r="CA822" t="str">
        <f t="shared" si="58"/>
        <v>7/1/2020 - 6/30/2021</v>
      </c>
      <c r="CF822">
        <v>2</v>
      </c>
      <c r="CG822" t="s">
        <v>98</v>
      </c>
      <c r="CH822" t="s">
        <v>206</v>
      </c>
      <c r="CI822" t="s">
        <v>206</v>
      </c>
      <c r="CL822" t="s">
        <v>108</v>
      </c>
      <c r="CM822" t="s">
        <v>109</v>
      </c>
      <c r="CN822" t="str">
        <f>"ALI"</f>
        <v>ALI</v>
      </c>
      <c r="CO822" t="str">
        <f>"ADAM"</f>
        <v>ADAM</v>
      </c>
      <c r="CP822" t="str">
        <f>"P"</f>
        <v>P</v>
      </c>
      <c r="CQ822" t="str">
        <f>"Fragomen, Del Rey, Bernsen &amp; Loewy, LLP"</f>
        <v>Fragomen, Del Rey, Bernsen &amp; Loewy, LLP</v>
      </c>
      <c r="CR822" t="s">
        <v>7630</v>
      </c>
    </row>
    <row r="823" spans="1:96" x14ac:dyDescent="0.2">
      <c r="A823" t="s">
        <v>9623</v>
      </c>
      <c r="B823" t="s">
        <v>96</v>
      </c>
      <c r="C823" s="1">
        <v>44098</v>
      </c>
      <c r="D823" s="1">
        <v>44105</v>
      </c>
      <c r="F823" t="s">
        <v>97</v>
      </c>
      <c r="G823" t="str">
        <f>"Software Engineer 1615.59416"</f>
        <v>Software Engineer 1615.59416</v>
      </c>
      <c r="H823" t="s">
        <v>12169</v>
      </c>
      <c r="I823" t="s">
        <v>124</v>
      </c>
      <c r="J823" t="s">
        <v>98</v>
      </c>
      <c r="K823" s="1">
        <v>44104</v>
      </c>
      <c r="L823" s="1">
        <v>45198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 t="s">
        <v>289</v>
      </c>
      <c r="U823" t="str">
        <f>""</f>
        <v/>
      </c>
      <c r="V823" t="s">
        <v>290</v>
      </c>
      <c r="W823" t="str">
        <f>""</f>
        <v/>
      </c>
      <c r="X823" t="s">
        <v>155</v>
      </c>
      <c r="Y823" t="s">
        <v>141</v>
      </c>
      <c r="Z823" s="3">
        <v>94043</v>
      </c>
      <c r="AA823" t="s">
        <v>101</v>
      </c>
      <c r="AC823" s="4" t="str">
        <f>"+16502534513"</f>
        <v>+16502534513</v>
      </c>
      <c r="AE823" t="str">
        <f>"541512"</f>
        <v>541512</v>
      </c>
      <c r="AF823" t="s">
        <v>427</v>
      </c>
      <c r="AG823" t="s">
        <v>428</v>
      </c>
      <c r="AI823" t="s">
        <v>293</v>
      </c>
      <c r="AJ823" t="s">
        <v>290</v>
      </c>
      <c r="AK823" t="str">
        <f>""</f>
        <v/>
      </c>
      <c r="AL823" t="s">
        <v>155</v>
      </c>
      <c r="AM823" t="s">
        <v>141</v>
      </c>
      <c r="AN823" s="3">
        <v>94043</v>
      </c>
      <c r="AO823" t="s">
        <v>101</v>
      </c>
      <c r="AQ823" t="str">
        <f>"+16502534513"</f>
        <v>+16502534513</v>
      </c>
      <c r="AS823" t="s">
        <v>429</v>
      </c>
      <c r="AT823" t="s">
        <v>107</v>
      </c>
      <c r="AU823" t="str">
        <f>"Shalhub"</f>
        <v>Shalhub</v>
      </c>
      <c r="AV823" t="str">
        <f>"Nancy "</f>
        <v xml:space="preserve">Nancy </v>
      </c>
      <c r="AW823" t="str">
        <f>""</f>
        <v/>
      </c>
      <c r="AX823" t="str">
        <f>"2400 N. Glenville Drive"</f>
        <v>2400 N. Glenville Drive</v>
      </c>
      <c r="AY823" t="str">
        <f>"Building A, Suite 100"</f>
        <v>Building A, Suite 100</v>
      </c>
      <c r="AZ823" t="str">
        <f>"Richardson"</f>
        <v>Richardson</v>
      </c>
      <c r="BA823" t="str">
        <f>"TX"</f>
        <v>TX</v>
      </c>
      <c r="BB823" s="3">
        <v>75082</v>
      </c>
      <c r="BC823" t="str">
        <f t="shared" si="59"/>
        <v>UNITED STATES OF AMERICA</v>
      </c>
      <c r="BD823" t="str">
        <f>""</f>
        <v/>
      </c>
      <c r="BE823" t="str">
        <f>"+14695052684"</f>
        <v>+14695052684</v>
      </c>
      <c r="BF823" t="str">
        <f>""</f>
        <v/>
      </c>
      <c r="BG823" t="str">
        <f>"GOOGLEDOL@BALGLOBAL.COM"</f>
        <v>GOOGLEDOL@BALGLOBAL.COM</v>
      </c>
      <c r="BH823" t="str">
        <f>"Berry Appleman &amp; Leiden LLP"</f>
        <v>Berry Appleman &amp; Leiden LLP</v>
      </c>
      <c r="BI823" t="str">
        <f>"DC"</f>
        <v>DC</v>
      </c>
      <c r="BJ823" t="str">
        <f>"Court of Appeals"</f>
        <v>Court of Appeals</v>
      </c>
      <c r="BK823">
        <v>1</v>
      </c>
      <c r="BL823" t="s">
        <v>102</v>
      </c>
      <c r="BM823" t="str">
        <f>""</f>
        <v/>
      </c>
      <c r="BN823" t="s">
        <v>3133</v>
      </c>
      <c r="BP823" t="s">
        <v>229</v>
      </c>
      <c r="BQ823" t="s">
        <v>230</v>
      </c>
      <c r="BR823" t="s">
        <v>141</v>
      </c>
      <c r="BS823" s="5">
        <v>94089</v>
      </c>
      <c r="BT823" s="2">
        <v>141000</v>
      </c>
      <c r="BV823" t="s">
        <v>105</v>
      </c>
      <c r="BW823" s="2">
        <v>120578</v>
      </c>
      <c r="BX823" t="s">
        <v>105</v>
      </c>
      <c r="BZ823" t="s">
        <v>167</v>
      </c>
      <c r="CA823" t="str">
        <f t="shared" si="58"/>
        <v>7/1/2020 - 6/30/2021</v>
      </c>
      <c r="CF823">
        <v>2</v>
      </c>
      <c r="CG823" t="s">
        <v>98</v>
      </c>
      <c r="CH823" t="s">
        <v>206</v>
      </c>
      <c r="CI823" t="s">
        <v>206</v>
      </c>
      <c r="CL823" t="s">
        <v>108</v>
      </c>
      <c r="CM823" t="s">
        <v>109</v>
      </c>
      <c r="CN823" t="str">
        <f>"Rider"</f>
        <v>Rider</v>
      </c>
      <c r="CO823" t="str">
        <f>"Kylee"</f>
        <v>Kylee</v>
      </c>
      <c r="CP823" t="str">
        <f>""</f>
        <v/>
      </c>
      <c r="CQ823" t="str">
        <f>"BERRY APPLEMAN &amp; LEIDEN LLP"</f>
        <v>BERRY APPLEMAN &amp; LEIDEN LLP</v>
      </c>
      <c r="CR823" t="s">
        <v>696</v>
      </c>
    </row>
    <row r="824" spans="1:96" x14ac:dyDescent="0.2">
      <c r="A824" t="s">
        <v>9626</v>
      </c>
      <c r="B824" t="s">
        <v>96</v>
      </c>
      <c r="C824" s="1">
        <v>44098</v>
      </c>
      <c r="D824" s="1">
        <v>44105</v>
      </c>
      <c r="F824" t="s">
        <v>97</v>
      </c>
      <c r="G824" t="str">
        <f>"SENIOR SOFTWARE ENGINEER"</f>
        <v>SENIOR SOFTWARE ENGINEER</v>
      </c>
      <c r="H824" t="s">
        <v>12169</v>
      </c>
      <c r="I824" t="s">
        <v>124</v>
      </c>
      <c r="J824" t="s">
        <v>98</v>
      </c>
      <c r="K824" s="1">
        <v>44099</v>
      </c>
      <c r="L824" s="1">
        <v>45193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 t="s">
        <v>548</v>
      </c>
      <c r="U824" t="str">
        <f>""</f>
        <v/>
      </c>
      <c r="V824" t="s">
        <v>549</v>
      </c>
      <c r="W824" t="str">
        <f>"Suite 202"</f>
        <v>Suite 202</v>
      </c>
      <c r="X824" t="s">
        <v>550</v>
      </c>
      <c r="Y824" t="s">
        <v>127</v>
      </c>
      <c r="Z824" s="3">
        <v>18940</v>
      </c>
      <c r="AA824" t="s">
        <v>101</v>
      </c>
      <c r="AC824" s="4" t="str">
        <f>"+12677599000"</f>
        <v>+12677599000</v>
      </c>
      <c r="AE824" t="str">
        <f>"541511"</f>
        <v>541511</v>
      </c>
      <c r="AF824" t="s">
        <v>551</v>
      </c>
      <c r="AG824" t="s">
        <v>552</v>
      </c>
      <c r="AI824" t="s">
        <v>553</v>
      </c>
      <c r="AJ824" t="s">
        <v>549</v>
      </c>
      <c r="AK824" t="str">
        <f>"Suite 202"</f>
        <v>Suite 202</v>
      </c>
      <c r="AL824" t="s">
        <v>550</v>
      </c>
      <c r="AM824" t="s">
        <v>127</v>
      </c>
      <c r="AN824" s="3">
        <v>18940</v>
      </c>
      <c r="AO824" t="s">
        <v>101</v>
      </c>
      <c r="AQ824" t="str">
        <f>"+12677599000"</f>
        <v>+12677599000</v>
      </c>
      <c r="AS824" t="s">
        <v>554</v>
      </c>
      <c r="AT824" t="s">
        <v>107</v>
      </c>
      <c r="AU824" t="str">
        <f>"Pack"</f>
        <v>Pack</v>
      </c>
      <c r="AV824" t="str">
        <f>"James"</f>
        <v>James</v>
      </c>
      <c r="AW824" t="str">
        <f>"Young Ho"</f>
        <v>Young Ho</v>
      </c>
      <c r="AX824" t="str">
        <f>"18401 Von Karman Avenue"</f>
        <v>18401 Von Karman Avenue</v>
      </c>
      <c r="AY824" t="str">
        <f>"Suite 255"</f>
        <v>Suite 255</v>
      </c>
      <c r="AZ824" t="str">
        <f>"Irvine"</f>
        <v>Irvine</v>
      </c>
      <c r="BA824" t="str">
        <f>"CA"</f>
        <v>CA</v>
      </c>
      <c r="BB824" s="3">
        <v>92612</v>
      </c>
      <c r="BC824" t="str">
        <f t="shared" si="59"/>
        <v>UNITED STATES OF AMERICA</v>
      </c>
      <c r="BD824" t="str">
        <f>"N/A"</f>
        <v>N/A</v>
      </c>
      <c r="BE824" t="str">
        <f>"+19492610209"</f>
        <v>+19492610209</v>
      </c>
      <c r="BF824" t="str">
        <f>""</f>
        <v/>
      </c>
      <c r="BG824" t="str">
        <f>"EPAMNIV@fragomen.com"</f>
        <v>EPAMNIV@fragomen.com</v>
      </c>
      <c r="BH824" t="str">
        <f>"Fragomen, Del Rey, Bernsen &amp; Loewy, LLP"</f>
        <v>Fragomen, Del Rey, Bernsen &amp; Loewy, LLP</v>
      </c>
      <c r="BI824" t="str">
        <f>"CA"</f>
        <v>CA</v>
      </c>
      <c r="BJ824" t="str">
        <f>"Supreme"</f>
        <v>Supreme</v>
      </c>
      <c r="BK824">
        <v>1</v>
      </c>
      <c r="BL824" t="s">
        <v>107</v>
      </c>
      <c r="BM824" t="str">
        <f>"Verizon"</f>
        <v>Verizon</v>
      </c>
      <c r="BN824" t="s">
        <v>9627</v>
      </c>
      <c r="BP824" t="s">
        <v>157</v>
      </c>
      <c r="BQ824" t="s">
        <v>158</v>
      </c>
      <c r="BR824" t="s">
        <v>141</v>
      </c>
      <c r="BS824" s="5">
        <v>92121</v>
      </c>
      <c r="BT824" s="2">
        <v>123000</v>
      </c>
      <c r="BV824" t="s">
        <v>105</v>
      </c>
      <c r="BW824" s="2">
        <v>98592</v>
      </c>
      <c r="BX824" t="s">
        <v>105</v>
      </c>
      <c r="BZ824" t="s">
        <v>167</v>
      </c>
      <c r="CA824" t="str">
        <f t="shared" si="58"/>
        <v>7/1/2020 - 6/30/2021</v>
      </c>
      <c r="CF824">
        <v>2</v>
      </c>
      <c r="CG824" t="s">
        <v>98</v>
      </c>
      <c r="CH824" t="s">
        <v>206</v>
      </c>
      <c r="CI824" t="s">
        <v>206</v>
      </c>
      <c r="CL824" t="s">
        <v>108</v>
      </c>
      <c r="CM824" t="s">
        <v>109</v>
      </c>
      <c r="CN824" t="str">
        <f>"McCain"</f>
        <v>McCain</v>
      </c>
      <c r="CO824" t="str">
        <f>"Gabriela"</f>
        <v>Gabriela</v>
      </c>
      <c r="CP824" t="str">
        <f>""</f>
        <v/>
      </c>
      <c r="CQ824" t="str">
        <f>"Fragomen, Del Rey, Bernsen &amp; Loewy LLP"</f>
        <v>Fragomen, Del Rey, Bernsen &amp; Loewy LLP</v>
      </c>
      <c r="CR824" t="s">
        <v>557</v>
      </c>
    </row>
    <row r="825" spans="1:96" x14ac:dyDescent="0.2">
      <c r="A825" t="s">
        <v>9628</v>
      </c>
      <c r="B825" t="s">
        <v>96</v>
      </c>
      <c r="C825" s="1">
        <v>44098</v>
      </c>
      <c r="D825" s="1">
        <v>44105</v>
      </c>
      <c r="F825" t="s">
        <v>97</v>
      </c>
      <c r="G825" t="str">
        <f>"Lead System Engineer"</f>
        <v>Lead System Engineer</v>
      </c>
      <c r="H825" t="s">
        <v>12176</v>
      </c>
      <c r="I825" t="s">
        <v>246</v>
      </c>
      <c r="J825" t="s">
        <v>98</v>
      </c>
      <c r="K825" s="1">
        <v>44198</v>
      </c>
      <c r="L825" s="1">
        <v>45292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9629</v>
      </c>
      <c r="U825" t="str">
        <f>""</f>
        <v/>
      </c>
      <c r="V825" t="s">
        <v>9630</v>
      </c>
      <c r="W825" t="str">
        <f>"2nd Floor"</f>
        <v>2nd Floor</v>
      </c>
      <c r="X825" t="s">
        <v>277</v>
      </c>
      <c r="Y825" t="s">
        <v>190</v>
      </c>
      <c r="Z825" s="3">
        <v>10016</v>
      </c>
      <c r="AA825" t="s">
        <v>101</v>
      </c>
      <c r="AC825" s="4" t="str">
        <f>"+12126018000"</f>
        <v>+12126018000</v>
      </c>
      <c r="AE825" t="str">
        <f>"511210"</f>
        <v>511210</v>
      </c>
      <c r="AF825" t="s">
        <v>7955</v>
      </c>
      <c r="AG825" t="s">
        <v>7121</v>
      </c>
      <c r="AI825" t="s">
        <v>9631</v>
      </c>
      <c r="AJ825" t="s">
        <v>9630</v>
      </c>
      <c r="AK825" t="str">
        <f>"2nd Floor"</f>
        <v>2nd Floor</v>
      </c>
      <c r="AL825" t="s">
        <v>277</v>
      </c>
      <c r="AM825" t="s">
        <v>190</v>
      </c>
      <c r="AN825" s="3">
        <v>10016</v>
      </c>
      <c r="AO825" t="s">
        <v>101</v>
      </c>
      <c r="AQ825" t="str">
        <f>"+12126018000"</f>
        <v>+12126018000</v>
      </c>
      <c r="AS825" t="s">
        <v>9632</v>
      </c>
      <c r="AT825" t="s">
        <v>107</v>
      </c>
      <c r="AU825" t="str">
        <f>"Zhou"</f>
        <v>Zhou</v>
      </c>
      <c r="AV825" t="str">
        <f>"Jian"</f>
        <v>Jian</v>
      </c>
      <c r="AW825" t="str">
        <f>"Joe"</f>
        <v>Joe</v>
      </c>
      <c r="AX825" t="str">
        <f>"9999 BELLAIRE BLVD."</f>
        <v>9999 BELLAIRE BLVD.</v>
      </c>
      <c r="AY825" t="str">
        <f>"Suite 920"</f>
        <v>Suite 920</v>
      </c>
      <c r="AZ825" t="str">
        <f>"Houston"</f>
        <v>Houston</v>
      </c>
      <c r="BA825" t="str">
        <f>"TX"</f>
        <v>TX</v>
      </c>
      <c r="BB825" s="3">
        <v>77036</v>
      </c>
      <c r="BC825" t="str">
        <f t="shared" si="59"/>
        <v>UNITED STATES OF AMERICA</v>
      </c>
      <c r="BD825" t="str">
        <f>""</f>
        <v/>
      </c>
      <c r="BE825" t="str">
        <f>"+17137718433"</f>
        <v>+17137718433</v>
      </c>
      <c r="BF825" t="str">
        <f>""</f>
        <v/>
      </c>
      <c r="BG825" t="str">
        <f>"jzhou@hooyou.com"</f>
        <v>jzhou@hooyou.com</v>
      </c>
      <c r="BH825" t="str">
        <f>"Zhang &amp; Associates, P.C."</f>
        <v>Zhang &amp; Associates, P.C.</v>
      </c>
      <c r="BI825" t="str">
        <f>"NY"</f>
        <v>NY</v>
      </c>
      <c r="BJ825" t="str">
        <f>"Court of Appeal"</f>
        <v>Court of Appeal</v>
      </c>
      <c r="BK825">
        <v>1</v>
      </c>
      <c r="BL825" t="s">
        <v>102</v>
      </c>
      <c r="BM825" t="str">
        <f>""</f>
        <v/>
      </c>
      <c r="BN825" t="s">
        <v>9630</v>
      </c>
      <c r="BO825" t="s">
        <v>8770</v>
      </c>
      <c r="BP825" t="s">
        <v>277</v>
      </c>
      <c r="BQ825" t="s">
        <v>189</v>
      </c>
      <c r="BR825" t="s">
        <v>190</v>
      </c>
      <c r="BS825" s="5">
        <v>10016</v>
      </c>
      <c r="BT825" s="2">
        <v>115000</v>
      </c>
      <c r="BV825" t="s">
        <v>105</v>
      </c>
      <c r="BW825" s="2">
        <v>100526</v>
      </c>
      <c r="BX825" t="s">
        <v>105</v>
      </c>
      <c r="BZ825" t="s">
        <v>167</v>
      </c>
      <c r="CA825" t="str">
        <f t="shared" si="58"/>
        <v>7/1/2020 - 6/30/2021</v>
      </c>
      <c r="CF825">
        <v>1</v>
      </c>
      <c r="CG825" t="s">
        <v>98</v>
      </c>
      <c r="CH825" t="s">
        <v>206</v>
      </c>
      <c r="CI825" t="s">
        <v>206</v>
      </c>
      <c r="CL825" t="s">
        <v>108</v>
      </c>
      <c r="CM825" t="s">
        <v>109</v>
      </c>
      <c r="CN825" t="str">
        <f>""</f>
        <v/>
      </c>
      <c r="CO825" t="str">
        <f>""</f>
        <v/>
      </c>
      <c r="CP825" t="str">
        <f>""</f>
        <v/>
      </c>
      <c r="CQ825" t="str">
        <f>""</f>
        <v/>
      </c>
    </row>
    <row r="826" spans="1:96" x14ac:dyDescent="0.2">
      <c r="A826" t="s">
        <v>9634</v>
      </c>
      <c r="B826" t="s">
        <v>96</v>
      </c>
      <c r="C826" s="1">
        <v>44098</v>
      </c>
      <c r="D826" s="1">
        <v>44105</v>
      </c>
      <c r="F826" t="s">
        <v>97</v>
      </c>
      <c r="G826" t="str">
        <f>"R&amp;D Engineer"</f>
        <v>R&amp;D Engineer</v>
      </c>
      <c r="H826" t="s">
        <v>12196</v>
      </c>
      <c r="I826" t="s">
        <v>322</v>
      </c>
      <c r="J826" t="s">
        <v>98</v>
      </c>
      <c r="K826" s="1">
        <v>44105</v>
      </c>
      <c r="L826" s="1">
        <v>45199</v>
      </c>
      <c r="M826">
        <v>30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 t="s">
        <v>1546</v>
      </c>
      <c r="U826" t="str">
        <f>""</f>
        <v/>
      </c>
      <c r="V826" t="s">
        <v>1547</v>
      </c>
      <c r="W826" t="str">
        <f>""</f>
        <v/>
      </c>
      <c r="X826" t="s">
        <v>155</v>
      </c>
      <c r="Y826" t="s">
        <v>141</v>
      </c>
      <c r="Z826" s="3">
        <v>94043</v>
      </c>
      <c r="AA826" t="s">
        <v>101</v>
      </c>
      <c r="AC826" s="4" t="str">
        <f>"+16505845000"</f>
        <v>+16505845000</v>
      </c>
      <c r="AE826" t="str">
        <f>"541512"</f>
        <v>541512</v>
      </c>
      <c r="AF826" t="s">
        <v>1548</v>
      </c>
      <c r="AG826" t="s">
        <v>1549</v>
      </c>
      <c r="AH826" t="s">
        <v>1060</v>
      </c>
      <c r="AI826" t="s">
        <v>1550</v>
      </c>
      <c r="AJ826" t="s">
        <v>1547</v>
      </c>
      <c r="AK826" t="str">
        <f>""</f>
        <v/>
      </c>
      <c r="AL826" t="s">
        <v>155</v>
      </c>
      <c r="AM826" t="s">
        <v>141</v>
      </c>
      <c r="AN826" s="3">
        <v>94043</v>
      </c>
      <c r="AO826" t="s">
        <v>101</v>
      </c>
      <c r="AQ826" t="str">
        <f>"+16505847480"</f>
        <v>+16505847480</v>
      </c>
      <c r="AS826" t="s">
        <v>1551</v>
      </c>
      <c r="AT826" t="s">
        <v>107</v>
      </c>
      <c r="AU826" t="str">
        <f>"Tafapolsky"</f>
        <v>Tafapolsky</v>
      </c>
      <c r="AV826" t="str">
        <f>"Alan"</f>
        <v>Alan</v>
      </c>
      <c r="AW826" t="str">
        <f>""</f>
        <v/>
      </c>
      <c r="AX826" t="str">
        <f>"90 New Montgomery Street"</f>
        <v>90 New Montgomery Street</v>
      </c>
      <c r="AY826" t="str">
        <f>"8th Floor"</f>
        <v>8th Floor</v>
      </c>
      <c r="AZ826" t="str">
        <f>"San Francisco"</f>
        <v>San Francisco</v>
      </c>
      <c r="BA826" t="str">
        <f>"CA"</f>
        <v>CA</v>
      </c>
      <c r="BB826" s="3">
        <v>94105</v>
      </c>
      <c r="BC826" t="str">
        <f t="shared" si="59"/>
        <v>UNITED STATES OF AMERICA</v>
      </c>
      <c r="BD826" t="str">
        <f>""</f>
        <v/>
      </c>
      <c r="BE826" t="str">
        <f>"+14159759800"</f>
        <v>+14159759800</v>
      </c>
      <c r="BF826" t="str">
        <f>""</f>
        <v/>
      </c>
      <c r="BG826" t="str">
        <f>"anna.matyska@tsmimmigration.com"</f>
        <v>anna.matyska@tsmimmigration.com</v>
      </c>
      <c r="BH826" t="str">
        <f>"Tafapolsky Smith Mehlman LLP"</f>
        <v>Tafapolsky Smith Mehlman LLP</v>
      </c>
      <c r="BI826" t="str">
        <f>"CA"</f>
        <v>CA</v>
      </c>
      <c r="BJ826" t="str">
        <f>"Supreme Court"</f>
        <v>Supreme Court</v>
      </c>
      <c r="BK826">
        <v>30</v>
      </c>
      <c r="BL826" t="s">
        <v>102</v>
      </c>
      <c r="BM826" t="str">
        <f>""</f>
        <v/>
      </c>
      <c r="BN826" t="s">
        <v>9635</v>
      </c>
      <c r="BP826" t="s">
        <v>155</v>
      </c>
      <c r="BQ826" t="s">
        <v>230</v>
      </c>
      <c r="BR826" t="s">
        <v>141</v>
      </c>
      <c r="BS826" s="5">
        <v>94043</v>
      </c>
      <c r="BT826" s="2">
        <v>99795</v>
      </c>
      <c r="BU826" s="2">
        <v>174795</v>
      </c>
      <c r="BV826" t="s">
        <v>105</v>
      </c>
      <c r="BW826" s="2">
        <v>99795</v>
      </c>
      <c r="BX826" t="s">
        <v>105</v>
      </c>
      <c r="CA826" t="str">
        <f>""</f>
        <v/>
      </c>
      <c r="CB826" t="s">
        <v>244</v>
      </c>
      <c r="CC826">
        <v>2020</v>
      </c>
      <c r="CD826" t="s">
        <v>355</v>
      </c>
      <c r="CE826" t="s">
        <v>8556</v>
      </c>
      <c r="CF826">
        <v>1</v>
      </c>
      <c r="CG826" t="s">
        <v>98</v>
      </c>
      <c r="CH826" t="s">
        <v>206</v>
      </c>
      <c r="CI826" t="s">
        <v>206</v>
      </c>
      <c r="CL826" t="s">
        <v>108</v>
      </c>
      <c r="CM826" t="s">
        <v>109</v>
      </c>
      <c r="CN826" t="str">
        <f>"Matyska"</f>
        <v>Matyska</v>
      </c>
      <c r="CO826" t="str">
        <f>"Anna"</f>
        <v>Anna</v>
      </c>
      <c r="CP826" t="str">
        <f>""</f>
        <v/>
      </c>
      <c r="CQ826" t="str">
        <f>"Tafapolsky Smith Mehlman LLP"</f>
        <v>Tafapolsky Smith Mehlman LLP</v>
      </c>
      <c r="CR826" t="s">
        <v>9636</v>
      </c>
    </row>
    <row r="827" spans="1:96" x14ac:dyDescent="0.2">
      <c r="A827" t="s">
        <v>9637</v>
      </c>
      <c r="B827" t="s">
        <v>96</v>
      </c>
      <c r="C827" s="1">
        <v>44098</v>
      </c>
      <c r="D827" s="1">
        <v>44105</v>
      </c>
      <c r="F827" t="s">
        <v>97</v>
      </c>
      <c r="G827" t="str">
        <f>"Engineer (Drug Substance Manufacturing) "</f>
        <v xml:space="preserve">Engineer (Drug Substance Manufacturing) </v>
      </c>
      <c r="H827" t="s">
        <v>12196</v>
      </c>
      <c r="I827" t="s">
        <v>322</v>
      </c>
      <c r="J827" t="s">
        <v>98</v>
      </c>
      <c r="K827" s="1">
        <v>44164</v>
      </c>
      <c r="L827" s="1">
        <v>45258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 t="s">
        <v>3380</v>
      </c>
      <c r="U827" t="str">
        <f>""</f>
        <v/>
      </c>
      <c r="V827" t="s">
        <v>3381</v>
      </c>
      <c r="W827" t="str">
        <f>"310 DNA Way, Bldg 31"</f>
        <v>310 DNA Way, Bldg 31</v>
      </c>
      <c r="X827" t="s">
        <v>888</v>
      </c>
      <c r="Y827" t="s">
        <v>141</v>
      </c>
      <c r="Z827" s="3">
        <v>94080</v>
      </c>
      <c r="AA827" t="s">
        <v>101</v>
      </c>
      <c r="AC827" s="4" t="str">
        <f>"+16502251000"</f>
        <v>+16502251000</v>
      </c>
      <c r="AD827">
        <v>0</v>
      </c>
      <c r="AE827" t="str">
        <f>"54171"</f>
        <v>54171</v>
      </c>
      <c r="AF827" t="s">
        <v>3122</v>
      </c>
      <c r="AG827" t="s">
        <v>3123</v>
      </c>
      <c r="AI827" t="s">
        <v>3124</v>
      </c>
      <c r="AJ827" t="s">
        <v>3125</v>
      </c>
      <c r="AK827" t="str">
        <f>"310 DNA WAY, BLDG. 31"</f>
        <v>310 DNA WAY, BLDG. 31</v>
      </c>
      <c r="AL827" t="s">
        <v>3126</v>
      </c>
      <c r="AM827" t="s">
        <v>141</v>
      </c>
      <c r="AN827" s="3">
        <v>94080</v>
      </c>
      <c r="AO827" t="s">
        <v>101</v>
      </c>
      <c r="AQ827" t="str">
        <f>"+16504676549"</f>
        <v>+16504676549</v>
      </c>
      <c r="AR827">
        <v>0</v>
      </c>
      <c r="AS827" t="s">
        <v>3127</v>
      </c>
      <c r="AT827" t="s">
        <v>107</v>
      </c>
      <c r="AU827" t="str">
        <f>"Gibson"</f>
        <v>Gibson</v>
      </c>
      <c r="AV827" t="str">
        <f>"Lauren"</f>
        <v>Lauren</v>
      </c>
      <c r="AW827" t="str">
        <f>"Beth"</f>
        <v>Beth</v>
      </c>
      <c r="AX827" t="str">
        <f>"220 Montgomery Street"</f>
        <v>220 Montgomery Street</v>
      </c>
      <c r="AY827" t="str">
        <f>"Suite 810"</f>
        <v>Suite 810</v>
      </c>
      <c r="AZ827" t="str">
        <f>"San Francisco"</f>
        <v>San Francisco</v>
      </c>
      <c r="BA827" t="str">
        <f>"CA"</f>
        <v>CA</v>
      </c>
      <c r="BB827" s="3">
        <v>94104</v>
      </c>
      <c r="BC827" t="str">
        <f t="shared" si="59"/>
        <v>UNITED STATES OF AMERICA</v>
      </c>
      <c r="BD827" t="str">
        <f>""</f>
        <v/>
      </c>
      <c r="BE827" t="str">
        <f>"+14159012270"</f>
        <v>+14159012270</v>
      </c>
      <c r="BF827" t="str">
        <f>"000"</f>
        <v>000</v>
      </c>
      <c r="BG827" t="str">
        <f>"akim@gibney.com"</f>
        <v>akim@gibney.com</v>
      </c>
      <c r="BH827" t="str">
        <f>"Gibney, Anthony &amp; Flaherty LLP"</f>
        <v>Gibney, Anthony &amp; Flaherty LLP</v>
      </c>
      <c r="BI827" t="str">
        <f>"CA"</f>
        <v>CA</v>
      </c>
      <c r="BJ827" t="str">
        <f>"Supreme Court of California"</f>
        <v>Supreme Court of California</v>
      </c>
      <c r="BK827">
        <v>1</v>
      </c>
      <c r="BL827" t="s">
        <v>102</v>
      </c>
      <c r="BM827" t="str">
        <f>""</f>
        <v/>
      </c>
      <c r="BN827" t="s">
        <v>9421</v>
      </c>
      <c r="BO827" t="s">
        <v>9638</v>
      </c>
      <c r="BP827" t="s">
        <v>888</v>
      </c>
      <c r="BQ827" t="s">
        <v>994</v>
      </c>
      <c r="BR827" t="s">
        <v>141</v>
      </c>
      <c r="BS827" s="5">
        <v>94080</v>
      </c>
      <c r="BT827" s="2">
        <v>121417</v>
      </c>
      <c r="BU827" s="2">
        <v>162100</v>
      </c>
      <c r="BV827" t="s">
        <v>105</v>
      </c>
      <c r="BW827" s="2">
        <v>121417</v>
      </c>
      <c r="BX827" t="s">
        <v>105</v>
      </c>
      <c r="CA827" t="str">
        <f>""</f>
        <v/>
      </c>
      <c r="CB827" t="s">
        <v>244</v>
      </c>
      <c r="CC827">
        <v>2020</v>
      </c>
      <c r="CD827" t="s">
        <v>1165</v>
      </c>
      <c r="CE827" t="s">
        <v>1420</v>
      </c>
      <c r="CF827">
        <v>2</v>
      </c>
      <c r="CG827" t="s">
        <v>98</v>
      </c>
      <c r="CH827" t="s">
        <v>206</v>
      </c>
      <c r="CI827" t="s">
        <v>206</v>
      </c>
      <c r="CL827" t="s">
        <v>108</v>
      </c>
      <c r="CM827" t="s">
        <v>109</v>
      </c>
      <c r="CN827" t="str">
        <f>"Kim (836A/13004-00560-010)"</f>
        <v>Kim (836A/13004-00560-010)</v>
      </c>
      <c r="CO827" t="str">
        <f>"Ashley"</f>
        <v>Ashley</v>
      </c>
      <c r="CP827" t="str">
        <f>"M."</f>
        <v>M.</v>
      </c>
      <c r="CQ827" t="str">
        <f>"Gibney, Anthony &amp; Flaherty LLP"</f>
        <v>Gibney, Anthony &amp; Flaherty LLP</v>
      </c>
      <c r="CR827" t="s">
        <v>9639</v>
      </c>
    </row>
    <row r="828" spans="1:96" x14ac:dyDescent="0.2">
      <c r="A828" t="s">
        <v>9646</v>
      </c>
      <c r="B828" t="s">
        <v>96</v>
      </c>
      <c r="C828" s="1">
        <v>44098</v>
      </c>
      <c r="D828" s="1">
        <v>44105</v>
      </c>
      <c r="F828" t="s">
        <v>97</v>
      </c>
      <c r="G828" t="str">
        <f>"Design Engineer"</f>
        <v>Design Engineer</v>
      </c>
      <c r="H828" t="s">
        <v>12196</v>
      </c>
      <c r="I828" t="s">
        <v>322</v>
      </c>
      <c r="J828" t="s">
        <v>98</v>
      </c>
      <c r="K828" s="1">
        <v>44150</v>
      </c>
      <c r="L828" s="1">
        <v>45244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 t="s">
        <v>9647</v>
      </c>
      <c r="U828" t="str">
        <f>""</f>
        <v/>
      </c>
      <c r="V828" t="s">
        <v>9648</v>
      </c>
      <c r="W828" t="str">
        <f>""</f>
        <v/>
      </c>
      <c r="X828" t="s">
        <v>1339</v>
      </c>
      <c r="Y828" t="s">
        <v>186</v>
      </c>
      <c r="Z828" s="3">
        <v>55442</v>
      </c>
      <c r="AA828" t="s">
        <v>101</v>
      </c>
      <c r="AC828" s="4" t="str">
        <f>"+17632783934"</f>
        <v>+17632783934</v>
      </c>
      <c r="AE828" t="str">
        <f>"333413"</f>
        <v>333413</v>
      </c>
      <c r="AF828" t="s">
        <v>9649</v>
      </c>
      <c r="AG828" t="s">
        <v>2587</v>
      </c>
      <c r="AH828" t="s">
        <v>1126</v>
      </c>
      <c r="AI828" t="s">
        <v>9650</v>
      </c>
      <c r="AJ828" t="s">
        <v>9648</v>
      </c>
      <c r="AK828" t="str">
        <f>""</f>
        <v/>
      </c>
      <c r="AL828" t="s">
        <v>1339</v>
      </c>
      <c r="AM828" t="s">
        <v>186</v>
      </c>
      <c r="AN828" s="3">
        <v>55442</v>
      </c>
      <c r="AO828" t="s">
        <v>101</v>
      </c>
      <c r="AQ828" t="str">
        <f>"+17632783934"</f>
        <v>+17632783934</v>
      </c>
      <c r="AS828" t="s">
        <v>9651</v>
      </c>
      <c r="AT828" t="s">
        <v>107</v>
      </c>
      <c r="AU828" t="str">
        <f>"Schneider "</f>
        <v xml:space="preserve">Schneider </v>
      </c>
      <c r="AV828" t="str">
        <f>"Debra "</f>
        <v xml:space="preserve">Debra </v>
      </c>
      <c r="AW828" t="str">
        <f>"A."</f>
        <v>A.</v>
      </c>
      <c r="AX828" t="str">
        <f>"200 South 6th Street "</f>
        <v xml:space="preserve">200 South 6th Street </v>
      </c>
      <c r="AY828" t="str">
        <f>""</f>
        <v/>
      </c>
      <c r="AZ828" t="str">
        <f>"Minneapolis "</f>
        <v xml:space="preserve">Minneapolis </v>
      </c>
      <c r="BA828" t="str">
        <f>"MN"</f>
        <v>MN</v>
      </c>
      <c r="BB828" s="3">
        <v>55402</v>
      </c>
      <c r="BC828" t="str">
        <f t="shared" si="59"/>
        <v>UNITED STATES OF AMERICA</v>
      </c>
      <c r="BD828" t="str">
        <f>""</f>
        <v/>
      </c>
      <c r="BE828" t="str">
        <f>"+16124927214"</f>
        <v>+16124927214</v>
      </c>
      <c r="BF828" t="str">
        <f>""</f>
        <v/>
      </c>
      <c r="BG828" t="str">
        <f>"dschneider@fredlaw.com"</f>
        <v>dschneider@fredlaw.com</v>
      </c>
      <c r="BH828" t="str">
        <f>"Fredrikson &amp; Byron PA"</f>
        <v>Fredrikson &amp; Byron PA</v>
      </c>
      <c r="BI828" t="str">
        <f>"MN"</f>
        <v>MN</v>
      </c>
      <c r="BJ828" t="str">
        <f>"Supreme Court "</f>
        <v xml:space="preserve">Supreme Court </v>
      </c>
      <c r="BK828">
        <v>1</v>
      </c>
      <c r="BL828" t="s">
        <v>102</v>
      </c>
      <c r="BM828" t="str">
        <f>""</f>
        <v/>
      </c>
      <c r="BN828" t="s">
        <v>9648</v>
      </c>
      <c r="BP828" t="s">
        <v>1339</v>
      </c>
      <c r="BQ828" t="s">
        <v>185</v>
      </c>
      <c r="BR828" t="s">
        <v>186</v>
      </c>
      <c r="BS828" s="5">
        <v>55442</v>
      </c>
      <c r="BT828" s="2">
        <v>89914</v>
      </c>
      <c r="BV828" t="s">
        <v>105</v>
      </c>
      <c r="BW828" s="2">
        <v>89669</v>
      </c>
      <c r="BX828" t="s">
        <v>105</v>
      </c>
      <c r="BZ828" t="s">
        <v>123</v>
      </c>
      <c r="CA828" t="str">
        <f t="shared" ref="CA828:CA844" si="60">"7/1/2020 - 6/30/2021"</f>
        <v>7/1/2020 - 6/30/2021</v>
      </c>
      <c r="CF828">
        <v>2</v>
      </c>
      <c r="CG828" t="s">
        <v>98</v>
      </c>
      <c r="CH828" t="s">
        <v>206</v>
      </c>
      <c r="CI828" t="s">
        <v>206</v>
      </c>
      <c r="CL828" t="s">
        <v>108</v>
      </c>
      <c r="CM828" t="s">
        <v>109</v>
      </c>
      <c r="CN828" t="str">
        <f>""</f>
        <v/>
      </c>
      <c r="CO828" t="str">
        <f>""</f>
        <v/>
      </c>
      <c r="CP828" t="str">
        <f>""</f>
        <v/>
      </c>
      <c r="CQ828" t="str">
        <f>""</f>
        <v/>
      </c>
    </row>
    <row r="829" spans="1:96" x14ac:dyDescent="0.2">
      <c r="A829" t="s">
        <v>9670</v>
      </c>
      <c r="B829" t="s">
        <v>96</v>
      </c>
      <c r="C829" s="1">
        <v>44098</v>
      </c>
      <c r="D829" s="1">
        <v>44105</v>
      </c>
      <c r="F829" t="s">
        <v>97</v>
      </c>
      <c r="G829" t="str">
        <f>"Associate Dentist"</f>
        <v>Associate Dentist</v>
      </c>
      <c r="H829" t="s">
        <v>12175</v>
      </c>
      <c r="I829" t="s">
        <v>420</v>
      </c>
      <c r="J829" t="s">
        <v>98</v>
      </c>
      <c r="K829" s="1">
        <v>44119</v>
      </c>
      <c r="L829" s="1">
        <v>45213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6748</v>
      </c>
      <c r="U829" t="str">
        <f>"Arch Dental Care"</f>
        <v>Arch Dental Care</v>
      </c>
      <c r="V829" t="s">
        <v>6749</v>
      </c>
      <c r="W829" t="str">
        <f>"Suite  2"</f>
        <v>Suite  2</v>
      </c>
      <c r="X829" t="s">
        <v>4258</v>
      </c>
      <c r="Y829" t="s">
        <v>171</v>
      </c>
      <c r="Z829" s="3">
        <v>2301</v>
      </c>
      <c r="AA829" t="s">
        <v>101</v>
      </c>
      <c r="AC829" s="4" t="str">
        <f>"+15085875333"</f>
        <v>+15085875333</v>
      </c>
      <c r="AE829" t="str">
        <f>"621210"</f>
        <v>621210</v>
      </c>
      <c r="AF829" t="s">
        <v>680</v>
      </c>
      <c r="AG829" t="s">
        <v>6750</v>
      </c>
      <c r="AI829" t="s">
        <v>4057</v>
      </c>
      <c r="AJ829" t="s">
        <v>6749</v>
      </c>
      <c r="AK829" t="str">
        <f>"Suite 2"</f>
        <v>Suite 2</v>
      </c>
      <c r="AL829" t="s">
        <v>4258</v>
      </c>
      <c r="AM829" t="s">
        <v>171</v>
      </c>
      <c r="AN829" s="3">
        <v>2301</v>
      </c>
      <c r="AO829" t="s">
        <v>101</v>
      </c>
      <c r="AQ829" t="str">
        <f>"+15085875333"</f>
        <v>+15085875333</v>
      </c>
      <c r="AS829" t="s">
        <v>8241</v>
      </c>
      <c r="AT829" t="s">
        <v>107</v>
      </c>
      <c r="AU829" t="str">
        <f>"L'Esperance"</f>
        <v>L'Esperance</v>
      </c>
      <c r="AV829" t="str">
        <f>"John"</f>
        <v>John</v>
      </c>
      <c r="AW829" t="str">
        <f>"F"</f>
        <v>F</v>
      </c>
      <c r="AX829" t="str">
        <f>"1875 NW Corporate Blvd."</f>
        <v>1875 NW Corporate Blvd.</v>
      </c>
      <c r="AY829" t="str">
        <f>"Suite 300"</f>
        <v>Suite 300</v>
      </c>
      <c r="AZ829" t="str">
        <f>"Boca Raton"</f>
        <v>Boca Raton</v>
      </c>
      <c r="BA829" t="str">
        <f>"FL"</f>
        <v>FL</v>
      </c>
      <c r="BB829" s="3">
        <v>33431</v>
      </c>
      <c r="BC829" t="str">
        <f t="shared" si="59"/>
        <v>UNITED STATES OF AMERICA</v>
      </c>
      <c r="BD829" t="str">
        <f>""</f>
        <v/>
      </c>
      <c r="BE829" t="str">
        <f>"+15619622114"</f>
        <v>+15619622114</v>
      </c>
      <c r="BF829" t="str">
        <f>""</f>
        <v/>
      </c>
      <c r="BG829" t="str">
        <f>"sdover@duanemorris.com"</f>
        <v>sdover@duanemorris.com</v>
      </c>
      <c r="BH829" t="str">
        <f>"Duane Morris LLP"</f>
        <v>Duane Morris LLP</v>
      </c>
      <c r="BI829" t="str">
        <f>"FL"</f>
        <v>FL</v>
      </c>
      <c r="BJ829" t="str">
        <f>"Florida Supreme Court"</f>
        <v>Florida Supreme Court</v>
      </c>
      <c r="BK829">
        <v>1</v>
      </c>
      <c r="BL829" t="s">
        <v>102</v>
      </c>
      <c r="BM829" t="str">
        <f>""</f>
        <v/>
      </c>
      <c r="BN829" t="s">
        <v>9671</v>
      </c>
      <c r="BO829" t="s">
        <v>6634</v>
      </c>
      <c r="BP829" t="s">
        <v>4258</v>
      </c>
      <c r="BQ829" t="s">
        <v>1594</v>
      </c>
      <c r="BR829" t="s">
        <v>171</v>
      </c>
      <c r="BS829" s="5">
        <v>2301</v>
      </c>
      <c r="BT829" s="2">
        <v>111155</v>
      </c>
      <c r="BU829" s="2">
        <v>151882</v>
      </c>
      <c r="BV829" t="s">
        <v>105</v>
      </c>
      <c r="BW829" s="2">
        <v>111155</v>
      </c>
      <c r="BX829" t="s">
        <v>105</v>
      </c>
      <c r="BZ829" t="s">
        <v>191</v>
      </c>
      <c r="CA829" t="str">
        <f t="shared" si="60"/>
        <v>7/1/2020 - 6/30/2021</v>
      </c>
      <c r="CF829">
        <v>1</v>
      </c>
      <c r="CG829" t="s">
        <v>98</v>
      </c>
      <c r="CH829" t="s">
        <v>206</v>
      </c>
      <c r="CI829" t="s">
        <v>206</v>
      </c>
      <c r="CL829" t="s">
        <v>108</v>
      </c>
      <c r="CM829" t="s">
        <v>109</v>
      </c>
      <c r="CN829" t="str">
        <f>"Dover"</f>
        <v>Dover</v>
      </c>
      <c r="CO829" t="str">
        <f>"Semone"</f>
        <v>Semone</v>
      </c>
      <c r="CP829" t="str">
        <f>""</f>
        <v/>
      </c>
      <c r="CQ829" t="str">
        <f>"Duane Morris LLP"</f>
        <v>Duane Morris LLP</v>
      </c>
      <c r="CR829" t="s">
        <v>8241</v>
      </c>
    </row>
    <row r="830" spans="1:96" x14ac:dyDescent="0.2">
      <c r="A830" t="s">
        <v>9672</v>
      </c>
      <c r="B830" t="s">
        <v>96</v>
      </c>
      <c r="C830" s="1">
        <v>44098</v>
      </c>
      <c r="D830" s="1">
        <v>44105</v>
      </c>
      <c r="F830" t="s">
        <v>97</v>
      </c>
      <c r="G830" t="str">
        <f>"Vice President"</f>
        <v>Vice President</v>
      </c>
      <c r="H830" t="s">
        <v>12214</v>
      </c>
      <c r="I830" t="s">
        <v>276</v>
      </c>
      <c r="J830" t="s">
        <v>98</v>
      </c>
      <c r="K830" s="1">
        <v>44155</v>
      </c>
      <c r="L830" s="1">
        <v>45249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 t="s">
        <v>6156</v>
      </c>
      <c r="U830" t="str">
        <f>"BNP Paribas"</f>
        <v>BNP Paribas</v>
      </c>
      <c r="V830" t="s">
        <v>2618</v>
      </c>
      <c r="W830" t="str">
        <f>""</f>
        <v/>
      </c>
      <c r="X830" t="s">
        <v>1213</v>
      </c>
      <c r="Y830" t="s">
        <v>100</v>
      </c>
      <c r="Z830" s="3">
        <v>7310</v>
      </c>
      <c r="AA830" t="s">
        <v>101</v>
      </c>
      <c r="AC830" s="4" t="str">
        <f>"+12018505049"</f>
        <v>+12018505049</v>
      </c>
      <c r="AE830" t="str">
        <f>"52311"</f>
        <v>52311</v>
      </c>
      <c r="AF830" t="s">
        <v>2619</v>
      </c>
      <c r="AG830" t="s">
        <v>2620</v>
      </c>
      <c r="AH830" t="s">
        <v>108</v>
      </c>
      <c r="AI830" t="s">
        <v>221</v>
      </c>
      <c r="AJ830" t="s">
        <v>2618</v>
      </c>
      <c r="AK830" t="str">
        <f>"N/A"</f>
        <v>N/A</v>
      </c>
      <c r="AL830" t="s">
        <v>1213</v>
      </c>
      <c r="AM830" t="s">
        <v>100</v>
      </c>
      <c r="AN830" s="3">
        <v>7310</v>
      </c>
      <c r="AO830" t="s">
        <v>101</v>
      </c>
      <c r="AQ830" t="str">
        <f>"+12018505049"</f>
        <v>+12018505049</v>
      </c>
      <c r="AS830" t="s">
        <v>2621</v>
      </c>
      <c r="AT830" t="s">
        <v>107</v>
      </c>
      <c r="AU830" t="str">
        <f>"Burritt"</f>
        <v>Burritt</v>
      </c>
      <c r="AV830" t="str">
        <f>"Jason"</f>
        <v>Jason</v>
      </c>
      <c r="AW830" t="str">
        <f>"E."</f>
        <v>E.</v>
      </c>
      <c r="AX830" t="str">
        <f>"975 F Street, N.W."</f>
        <v>975 F Street, N.W.</v>
      </c>
      <c r="AY830" t="str">
        <f>"N/A"</f>
        <v>N/A</v>
      </c>
      <c r="AZ830" t="str">
        <f>"Washington"</f>
        <v>Washington</v>
      </c>
      <c r="BA830" t="str">
        <f>"DC"</f>
        <v>DC</v>
      </c>
      <c r="BB830" s="3">
        <v>20004</v>
      </c>
      <c r="BC830" t="str">
        <f t="shared" si="59"/>
        <v>UNITED STATES OF AMERICA</v>
      </c>
      <c r="BD830" t="str">
        <f>"N/A"</f>
        <v>N/A</v>
      </c>
      <c r="BE830" t="str">
        <f>"+12028283596"</f>
        <v>+12028283596</v>
      </c>
      <c r="BF830" t="str">
        <f>""</f>
        <v/>
      </c>
      <c r="BG830" t="str">
        <f>"abiru@seyfarth.com"</f>
        <v>abiru@seyfarth.com</v>
      </c>
      <c r="BH830" t="str">
        <f>"Seyfarth Shaw LLP"</f>
        <v>Seyfarth Shaw LLP</v>
      </c>
      <c r="BI830" t="str">
        <f>"NY"</f>
        <v>NY</v>
      </c>
      <c r="BJ830" t="str">
        <f>"New York State Supreme Court"</f>
        <v>New York State Supreme Court</v>
      </c>
      <c r="BK830">
        <v>1</v>
      </c>
      <c r="BL830" t="s">
        <v>102</v>
      </c>
      <c r="BM830" t="str">
        <f>""</f>
        <v/>
      </c>
      <c r="BN830" t="s">
        <v>9673</v>
      </c>
      <c r="BO830" t="s">
        <v>108</v>
      </c>
      <c r="BP830" t="s">
        <v>4781</v>
      </c>
      <c r="BQ830" t="s">
        <v>535</v>
      </c>
      <c r="BR830" t="s">
        <v>100</v>
      </c>
      <c r="BS830" s="5">
        <v>7920</v>
      </c>
      <c r="BT830" s="2">
        <v>126000</v>
      </c>
      <c r="BV830" t="s">
        <v>105</v>
      </c>
      <c r="BW830" s="2">
        <v>116938</v>
      </c>
      <c r="BX830" t="s">
        <v>105</v>
      </c>
      <c r="BZ830" t="s">
        <v>123</v>
      </c>
      <c r="CA830" t="str">
        <f t="shared" si="60"/>
        <v>7/1/2020 - 6/30/2021</v>
      </c>
      <c r="CF830">
        <v>1</v>
      </c>
      <c r="CG830" t="s">
        <v>98</v>
      </c>
      <c r="CH830" t="s">
        <v>206</v>
      </c>
      <c r="CI830" t="s">
        <v>206</v>
      </c>
      <c r="CL830" t="s">
        <v>108</v>
      </c>
      <c r="CM830" t="s">
        <v>109</v>
      </c>
      <c r="CN830" t="str">
        <f>"Biru"</f>
        <v>Biru</v>
      </c>
      <c r="CO830" t="str">
        <f>"Adam"</f>
        <v>Adam</v>
      </c>
      <c r="CP830" t="str">
        <f>"E."</f>
        <v>E.</v>
      </c>
      <c r="CQ830" t="str">
        <f>"Seyfarth Shaw LLP"</f>
        <v>Seyfarth Shaw LLP</v>
      </c>
      <c r="CR830" t="s">
        <v>6157</v>
      </c>
    </row>
    <row r="831" spans="1:96" x14ac:dyDescent="0.2">
      <c r="A831" t="s">
        <v>9699</v>
      </c>
      <c r="B831" t="s">
        <v>96</v>
      </c>
      <c r="C831" s="1">
        <v>44098</v>
      </c>
      <c r="D831" s="1">
        <v>44105</v>
      </c>
      <c r="F831" t="s">
        <v>97</v>
      </c>
      <c r="G831" t="str">
        <f>"Senior Business Analyst"</f>
        <v>Senior Business Analyst</v>
      </c>
      <c r="H831" t="s">
        <v>12182</v>
      </c>
      <c r="I831" t="s">
        <v>168</v>
      </c>
      <c r="J831" t="s">
        <v>98</v>
      </c>
      <c r="K831" s="1">
        <v>44267</v>
      </c>
      <c r="L831" s="1">
        <v>45362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 t="s">
        <v>9700</v>
      </c>
      <c r="U831" t="str">
        <f>""</f>
        <v/>
      </c>
      <c r="V831" t="s">
        <v>9701</v>
      </c>
      <c r="W831" t="str">
        <f>"SUITE 2100"</f>
        <v>SUITE 2100</v>
      </c>
      <c r="X831" t="s">
        <v>435</v>
      </c>
      <c r="Y831" t="s">
        <v>176</v>
      </c>
      <c r="Z831" s="3">
        <v>98101</v>
      </c>
      <c r="AA831" t="s">
        <v>101</v>
      </c>
      <c r="AC831" s="4" t="str">
        <f>"+12065356152"</f>
        <v>+12065356152</v>
      </c>
      <c r="AE831" t="str">
        <f>"522320"</f>
        <v>522320</v>
      </c>
      <c r="AF831" t="s">
        <v>3789</v>
      </c>
      <c r="AG831" t="s">
        <v>494</v>
      </c>
      <c r="AI831" t="s">
        <v>9702</v>
      </c>
      <c r="AJ831" t="s">
        <v>9701</v>
      </c>
      <c r="AK831" t="str">
        <f>"SUITE 2100"</f>
        <v>SUITE 2100</v>
      </c>
      <c r="AL831" t="s">
        <v>261</v>
      </c>
      <c r="AM831" t="s">
        <v>176</v>
      </c>
      <c r="AN831" s="3">
        <v>98101</v>
      </c>
      <c r="AO831" t="s">
        <v>101</v>
      </c>
      <c r="AQ831" t="str">
        <f>"+12065356152"</f>
        <v>+12065356152</v>
      </c>
      <c r="AS831" t="s">
        <v>9703</v>
      </c>
      <c r="AT831" t="s">
        <v>107</v>
      </c>
      <c r="AU831" t="str">
        <f>"Wachs"</f>
        <v>Wachs</v>
      </c>
      <c r="AV831" t="str">
        <f>"Kelly"</f>
        <v>Kelly</v>
      </c>
      <c r="AW831" t="str">
        <f>"Sue"</f>
        <v>Sue</v>
      </c>
      <c r="AX831" t="str">
        <f>"8070 Soquel Drive"</f>
        <v>8070 Soquel Drive</v>
      </c>
      <c r="AY831" t="str">
        <f>" Suite 130"</f>
        <v xml:space="preserve"> Suite 130</v>
      </c>
      <c r="AZ831" t="str">
        <f>"Aptos"</f>
        <v>Aptos</v>
      </c>
      <c r="BA831" t="str">
        <f>"CA"</f>
        <v>CA</v>
      </c>
      <c r="BB831" s="3">
        <v>95003</v>
      </c>
      <c r="BC831" t="str">
        <f t="shared" si="59"/>
        <v>UNITED STATES OF AMERICA</v>
      </c>
      <c r="BD831" t="str">
        <f>""</f>
        <v/>
      </c>
      <c r="BE831" t="str">
        <f>"+18316615210"</f>
        <v>+18316615210</v>
      </c>
      <c r="BF831" t="str">
        <f>""</f>
        <v/>
      </c>
      <c r="BG831" t="str">
        <f>"kelly@kellywachs.com"</f>
        <v>kelly@kellywachs.com</v>
      </c>
      <c r="BH831" t="str">
        <f>"Law Office of Kelly S. Wachs, PC"</f>
        <v>Law Office of Kelly S. Wachs, PC</v>
      </c>
      <c r="BI831" t="str">
        <f>"CA"</f>
        <v>CA</v>
      </c>
      <c r="BJ831" t="str">
        <f>"California Supreme Court"</f>
        <v>California Supreme Court</v>
      </c>
      <c r="BK831">
        <v>1</v>
      </c>
      <c r="BL831" t="s">
        <v>102</v>
      </c>
      <c r="BM831" t="str">
        <f>""</f>
        <v/>
      </c>
      <c r="BN831" t="s">
        <v>9704</v>
      </c>
      <c r="BO831" t="s">
        <v>2324</v>
      </c>
      <c r="BP831" t="s">
        <v>261</v>
      </c>
      <c r="BQ831" t="s">
        <v>183</v>
      </c>
      <c r="BR831" t="s">
        <v>176</v>
      </c>
      <c r="BS831" s="5">
        <v>98101</v>
      </c>
      <c r="BT831" s="2">
        <v>141625</v>
      </c>
      <c r="BV831" t="s">
        <v>105</v>
      </c>
      <c r="BW831" s="2">
        <v>118269</v>
      </c>
      <c r="BX831" t="s">
        <v>105</v>
      </c>
      <c r="BZ831" t="s">
        <v>159</v>
      </c>
      <c r="CA831" t="str">
        <f t="shared" si="60"/>
        <v>7/1/2020 - 6/30/2021</v>
      </c>
      <c r="CF831">
        <v>2</v>
      </c>
      <c r="CG831" t="s">
        <v>98</v>
      </c>
      <c r="CH831" t="s">
        <v>206</v>
      </c>
      <c r="CI831" t="s">
        <v>206</v>
      </c>
      <c r="CL831" t="s">
        <v>108</v>
      </c>
      <c r="CM831" t="s">
        <v>109</v>
      </c>
      <c r="CN831" t="str">
        <f>""</f>
        <v/>
      </c>
      <c r="CO831" t="str">
        <f>""</f>
        <v/>
      </c>
      <c r="CP831" t="str">
        <f>""</f>
        <v/>
      </c>
      <c r="CQ831" t="str">
        <f>""</f>
        <v/>
      </c>
    </row>
    <row r="832" spans="1:96" x14ac:dyDescent="0.2">
      <c r="A832" t="s">
        <v>9708</v>
      </c>
      <c r="B832" t="s">
        <v>96</v>
      </c>
      <c r="C832" s="1">
        <v>44098</v>
      </c>
      <c r="D832" s="1">
        <v>44105</v>
      </c>
      <c r="F832" t="s">
        <v>97</v>
      </c>
      <c r="G832" t="str">
        <f>"IT Developer"</f>
        <v>IT Developer</v>
      </c>
      <c r="H832" t="s">
        <v>12169</v>
      </c>
      <c r="I832" t="s">
        <v>124</v>
      </c>
      <c r="J832" t="s">
        <v>98</v>
      </c>
      <c r="K832" s="1">
        <v>44105</v>
      </c>
      <c r="L832" s="1">
        <v>45199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9126</v>
      </c>
      <c r="U832" t="str">
        <f>""</f>
        <v/>
      </c>
      <c r="V832" t="s">
        <v>9127</v>
      </c>
      <c r="W832" t="str">
        <f>""</f>
        <v/>
      </c>
      <c r="X832" t="s">
        <v>2270</v>
      </c>
      <c r="Y832" t="s">
        <v>141</v>
      </c>
      <c r="Z832" s="3">
        <v>94597</v>
      </c>
      <c r="AA832" t="s">
        <v>101</v>
      </c>
      <c r="AC832" s="4" t="str">
        <f>"+19252794160"</f>
        <v>+19252794160</v>
      </c>
      <c r="AE832" t="str">
        <f>"524126"</f>
        <v>524126</v>
      </c>
      <c r="AF832" t="s">
        <v>9128</v>
      </c>
      <c r="AG832" t="s">
        <v>1485</v>
      </c>
      <c r="AI832" t="s">
        <v>9129</v>
      </c>
      <c r="AJ832" t="s">
        <v>9127</v>
      </c>
      <c r="AK832" t="str">
        <f>""</f>
        <v/>
      </c>
      <c r="AL832" t="s">
        <v>2270</v>
      </c>
      <c r="AM832" t="s">
        <v>141</v>
      </c>
      <c r="AN832" s="3">
        <v>94597</v>
      </c>
      <c r="AO832" t="s">
        <v>101</v>
      </c>
      <c r="AQ832" t="str">
        <f>"+19252794160"</f>
        <v>+19252794160</v>
      </c>
      <c r="AS832" t="s">
        <v>9130</v>
      </c>
      <c r="AT832" t="s">
        <v>107</v>
      </c>
      <c r="AU832" t="str">
        <f>"Peng"</f>
        <v>Peng</v>
      </c>
      <c r="AV832" t="str">
        <f>"Jing"</f>
        <v>Jing</v>
      </c>
      <c r="AW832" t="str">
        <f>""</f>
        <v/>
      </c>
      <c r="AX832" t="str">
        <f>"550 Montgomery Street"</f>
        <v>550 Montgomery Street</v>
      </c>
      <c r="AY832" t="str">
        <f>"Suite 650"</f>
        <v>Suite 650</v>
      </c>
      <c r="AZ832" t="str">
        <f>"San Francisco"</f>
        <v>San Francisco</v>
      </c>
      <c r="BA832" t="str">
        <f>"CA"</f>
        <v>CA</v>
      </c>
      <c r="BB832" s="3">
        <v>94111</v>
      </c>
      <c r="BC832" t="str">
        <f t="shared" si="59"/>
        <v>UNITED STATES OF AMERICA</v>
      </c>
      <c r="BD832" t="str">
        <f>""</f>
        <v/>
      </c>
      <c r="BE832" t="str">
        <f>"+14153959331"</f>
        <v>+14153959331</v>
      </c>
      <c r="BF832" t="str">
        <f>""</f>
        <v/>
      </c>
      <c r="BG832" t="str">
        <f>"jpeng@wsmimmigration.com"</f>
        <v>jpeng@wsmimmigration.com</v>
      </c>
      <c r="BH832" t="str">
        <f>"Weaver Schlenger LLP"</f>
        <v>Weaver Schlenger LLP</v>
      </c>
      <c r="BI832" t="str">
        <f>"CA"</f>
        <v>CA</v>
      </c>
      <c r="BJ832" t="str">
        <f>"Supreme Court"</f>
        <v>Supreme Court</v>
      </c>
      <c r="BK832">
        <v>1</v>
      </c>
      <c r="BL832" t="s">
        <v>102</v>
      </c>
      <c r="BM832" t="str">
        <f>""</f>
        <v/>
      </c>
      <c r="BN832" t="s">
        <v>9709</v>
      </c>
      <c r="BP832" t="s">
        <v>1796</v>
      </c>
      <c r="BQ832" t="s">
        <v>257</v>
      </c>
      <c r="BR832" t="s">
        <v>258</v>
      </c>
      <c r="BS832" s="5">
        <v>85308</v>
      </c>
      <c r="BT832" s="2">
        <v>101109</v>
      </c>
      <c r="BU832" s="2">
        <v>140600</v>
      </c>
      <c r="BV832" t="s">
        <v>105</v>
      </c>
      <c r="BW832" s="2">
        <v>101109</v>
      </c>
      <c r="BX832" t="s">
        <v>105</v>
      </c>
      <c r="BZ832" t="s">
        <v>123</v>
      </c>
      <c r="CA832" t="str">
        <f t="shared" si="60"/>
        <v>7/1/2020 - 6/30/2021</v>
      </c>
      <c r="CF832">
        <v>2</v>
      </c>
      <c r="CG832" t="s">
        <v>98</v>
      </c>
      <c r="CH832" t="s">
        <v>206</v>
      </c>
      <c r="CI832" t="s">
        <v>206</v>
      </c>
      <c r="CL832" t="s">
        <v>108</v>
      </c>
      <c r="CM832" t="s">
        <v>109</v>
      </c>
      <c r="CN832" t="str">
        <f>""</f>
        <v/>
      </c>
      <c r="CO832" t="str">
        <f>""</f>
        <v/>
      </c>
      <c r="CP832" t="str">
        <f>""</f>
        <v/>
      </c>
      <c r="CQ832" t="str">
        <f>""</f>
        <v/>
      </c>
    </row>
    <row r="833" spans="1:96" x14ac:dyDescent="0.2">
      <c r="A833" t="s">
        <v>9717</v>
      </c>
      <c r="B833" t="s">
        <v>96</v>
      </c>
      <c r="C833" s="1">
        <v>44098</v>
      </c>
      <c r="D833" s="1">
        <v>44105</v>
      </c>
      <c r="F833" t="s">
        <v>97</v>
      </c>
      <c r="G833" t="str">
        <f>"MTS 1, Information Security"</f>
        <v>MTS 1, Information Security</v>
      </c>
      <c r="H833" t="s">
        <v>12197</v>
      </c>
      <c r="I833" t="s">
        <v>137</v>
      </c>
      <c r="J833" t="s">
        <v>98</v>
      </c>
      <c r="K833" s="1">
        <v>44271</v>
      </c>
      <c r="L833" s="1">
        <v>45366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 t="s">
        <v>583</v>
      </c>
      <c r="U833" t="str">
        <f>""</f>
        <v/>
      </c>
      <c r="V833" t="s">
        <v>584</v>
      </c>
      <c r="W833" t="str">
        <f>"N/A"</f>
        <v>N/A</v>
      </c>
      <c r="X833" t="s">
        <v>585</v>
      </c>
      <c r="Y833" t="s">
        <v>141</v>
      </c>
      <c r="Z833" s="3">
        <v>95131</v>
      </c>
      <c r="AA833" t="s">
        <v>101</v>
      </c>
      <c r="AB833" t="s">
        <v>108</v>
      </c>
      <c r="AC833" s="4" t="str">
        <f>"+14089672992"</f>
        <v>+14089672992</v>
      </c>
      <c r="AD833">
        <v>0</v>
      </c>
      <c r="AE833" t="str">
        <f>"522320"</f>
        <v>522320</v>
      </c>
      <c r="AF833" t="s">
        <v>586</v>
      </c>
      <c r="AG833" t="s">
        <v>587</v>
      </c>
      <c r="AH833" t="s">
        <v>108</v>
      </c>
      <c r="AI833" t="s">
        <v>460</v>
      </c>
      <c r="AJ833" t="s">
        <v>584</v>
      </c>
      <c r="AK833" t="str">
        <f>"N/A"</f>
        <v>N/A</v>
      </c>
      <c r="AL833" t="s">
        <v>585</v>
      </c>
      <c r="AM833" t="s">
        <v>141</v>
      </c>
      <c r="AN833" s="3">
        <v>95131</v>
      </c>
      <c r="AO833" t="s">
        <v>101</v>
      </c>
      <c r="AQ833" t="str">
        <f>"+14089672992"</f>
        <v>+14089672992</v>
      </c>
      <c r="AR833">
        <v>0</v>
      </c>
      <c r="AS833" t="s">
        <v>588</v>
      </c>
      <c r="AT833" t="s">
        <v>107</v>
      </c>
      <c r="AU833" t="str">
        <f>"Jung"</f>
        <v>Jung</v>
      </c>
      <c r="AV833" t="str">
        <f>"David"</f>
        <v>David</v>
      </c>
      <c r="AW833" t="str">
        <f>""</f>
        <v/>
      </c>
      <c r="AX833" t="str">
        <f>"2101 Wilson Blvd."</f>
        <v>2101 Wilson Blvd.</v>
      </c>
      <c r="AY833" t="str">
        <f>"Suite 1100"</f>
        <v>Suite 1100</v>
      </c>
      <c r="AZ833" t="str">
        <f>"Arlington"</f>
        <v>Arlington</v>
      </c>
      <c r="BA833" t="str">
        <f>"VA"</f>
        <v>VA</v>
      </c>
      <c r="BB833" s="3">
        <v>22201</v>
      </c>
      <c r="BC833" t="str">
        <f t="shared" si="59"/>
        <v>UNITED STATES OF AMERICA</v>
      </c>
      <c r="BD833" t="str">
        <f>""</f>
        <v/>
      </c>
      <c r="BE833" t="str">
        <f>"+17036784000"</f>
        <v>+17036784000</v>
      </c>
      <c r="BF833" t="str">
        <f>""</f>
        <v/>
      </c>
      <c r="BG833" t="str">
        <f>"david@eiglaw.com"</f>
        <v>david@eiglaw.com</v>
      </c>
      <c r="BH833" t="str">
        <f>"Erickson Immigration Group"</f>
        <v>Erickson Immigration Group</v>
      </c>
      <c r="BI833" t="str">
        <f>"TN"</f>
        <v>TN</v>
      </c>
      <c r="BJ833" t="str">
        <f>"Supreme Court"</f>
        <v>Supreme Court</v>
      </c>
      <c r="BK833">
        <v>1</v>
      </c>
      <c r="BL833" t="s">
        <v>102</v>
      </c>
      <c r="BM833" t="str">
        <f>""</f>
        <v/>
      </c>
      <c r="BN833" t="s">
        <v>5625</v>
      </c>
      <c r="BP833" t="s">
        <v>1174</v>
      </c>
      <c r="BQ833" t="s">
        <v>257</v>
      </c>
      <c r="BR833" t="s">
        <v>258</v>
      </c>
      <c r="BS833" s="5">
        <v>85258</v>
      </c>
      <c r="BT833" s="2">
        <v>137149</v>
      </c>
      <c r="BV833" t="s">
        <v>105</v>
      </c>
      <c r="BW833" s="2">
        <v>113672</v>
      </c>
      <c r="BX833" t="s">
        <v>105</v>
      </c>
      <c r="BZ833" t="s">
        <v>159</v>
      </c>
      <c r="CA833" t="str">
        <f t="shared" si="60"/>
        <v>7/1/2020 - 6/30/2021</v>
      </c>
      <c r="CF833">
        <v>2</v>
      </c>
      <c r="CG833" t="s">
        <v>98</v>
      </c>
      <c r="CH833" t="s">
        <v>206</v>
      </c>
      <c r="CI833" t="s">
        <v>206</v>
      </c>
      <c r="CL833" t="s">
        <v>108</v>
      </c>
      <c r="CM833" t="s">
        <v>109</v>
      </c>
      <c r="CN833" t="str">
        <f>"KOUWENAAR"</f>
        <v>KOUWENAAR</v>
      </c>
      <c r="CO833" t="str">
        <f>"DAVITA"</f>
        <v>DAVITA</v>
      </c>
      <c r="CP833" t="str">
        <f>"W"</f>
        <v>W</v>
      </c>
      <c r="CQ833" t="str">
        <f>"ERICKSON IMMIGRATION GROUP"</f>
        <v>ERICKSON IMMIGRATION GROUP</v>
      </c>
      <c r="CR833" t="s">
        <v>2858</v>
      </c>
    </row>
    <row r="834" spans="1:96" x14ac:dyDescent="0.2">
      <c r="A834" t="s">
        <v>9733</v>
      </c>
      <c r="B834" t="s">
        <v>96</v>
      </c>
      <c r="C834" s="1">
        <v>44098</v>
      </c>
      <c r="D834" s="1">
        <v>44105</v>
      </c>
      <c r="F834" t="s">
        <v>97</v>
      </c>
      <c r="G834" t="str">
        <f>"Business Intelligence Developer"</f>
        <v>Business Intelligence Developer</v>
      </c>
      <c r="H834" t="s">
        <v>12168</v>
      </c>
      <c r="I834" t="s">
        <v>249</v>
      </c>
      <c r="J834" t="s">
        <v>98</v>
      </c>
      <c r="K834" s="1">
        <v>44105</v>
      </c>
      <c r="L834" s="1">
        <v>45200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9734</v>
      </c>
      <c r="U834" t="str">
        <f>""</f>
        <v/>
      </c>
      <c r="V834" t="s">
        <v>9735</v>
      </c>
      <c r="W834" t="str">
        <f>"Ste 350"</f>
        <v>Ste 350</v>
      </c>
      <c r="X834" t="s">
        <v>2270</v>
      </c>
      <c r="Y834" t="s">
        <v>141</v>
      </c>
      <c r="Z834" s="3">
        <v>94596</v>
      </c>
      <c r="AA834" t="s">
        <v>101</v>
      </c>
      <c r="AC834" s="4" t="str">
        <f>"+19016285486"</f>
        <v>+19016285486</v>
      </c>
      <c r="AE834" t="str">
        <f>"511210"</f>
        <v>511210</v>
      </c>
      <c r="AF834" t="s">
        <v>9736</v>
      </c>
      <c r="AG834" t="s">
        <v>1013</v>
      </c>
      <c r="AI834" t="s">
        <v>570</v>
      </c>
      <c r="AJ834" t="s">
        <v>9735</v>
      </c>
      <c r="AK834" t="str">
        <f>"Ste 350"</f>
        <v>Ste 350</v>
      </c>
      <c r="AL834" t="s">
        <v>2270</v>
      </c>
      <c r="AM834" t="s">
        <v>141</v>
      </c>
      <c r="AN834" s="3">
        <v>94596</v>
      </c>
      <c r="AO834" t="s">
        <v>101</v>
      </c>
      <c r="AQ834" t="str">
        <f>"+19016285486"</f>
        <v>+19016285486</v>
      </c>
      <c r="AS834" t="s">
        <v>9737</v>
      </c>
      <c r="AT834" t="s">
        <v>102</v>
      </c>
      <c r="AU834" t="str">
        <f>""</f>
        <v/>
      </c>
      <c r="AV834" t="str">
        <f>""</f>
        <v/>
      </c>
      <c r="AW834" t="str">
        <f>""</f>
        <v/>
      </c>
      <c r="AX834" t="str">
        <f>""</f>
        <v/>
      </c>
      <c r="AY834" t="str">
        <f>""</f>
        <v/>
      </c>
      <c r="AZ834" t="str">
        <f>""</f>
        <v/>
      </c>
      <c r="BA834" t="str">
        <f>""</f>
        <v/>
      </c>
      <c r="BC834" t="str">
        <f>""</f>
        <v/>
      </c>
      <c r="BD834" t="str">
        <f>""</f>
        <v/>
      </c>
      <c r="BE834" t="str">
        <f>""</f>
        <v/>
      </c>
      <c r="BF834" t="str">
        <f>""</f>
        <v/>
      </c>
      <c r="BG834" t="str">
        <f>""</f>
        <v/>
      </c>
      <c r="BH834" t="str">
        <f>""</f>
        <v/>
      </c>
      <c r="BI834" t="str">
        <f>""</f>
        <v/>
      </c>
      <c r="BJ834" t="str">
        <f>""</f>
        <v/>
      </c>
      <c r="BK834">
        <v>1</v>
      </c>
      <c r="BL834" t="s">
        <v>102</v>
      </c>
      <c r="BM834" t="str">
        <f>""</f>
        <v/>
      </c>
      <c r="BN834" t="s">
        <v>9735</v>
      </c>
      <c r="BO834" t="s">
        <v>9738</v>
      </c>
      <c r="BP834" t="s">
        <v>2270</v>
      </c>
      <c r="BQ834" t="s">
        <v>1344</v>
      </c>
      <c r="BR834" t="s">
        <v>141</v>
      </c>
      <c r="BS834" s="5">
        <v>94596</v>
      </c>
      <c r="BT834" s="2">
        <v>71000</v>
      </c>
      <c r="BU834" s="2">
        <v>90000</v>
      </c>
      <c r="BV834" t="s">
        <v>105</v>
      </c>
      <c r="BW834" s="2">
        <v>70720</v>
      </c>
      <c r="BX834" t="s">
        <v>105</v>
      </c>
      <c r="BZ834" t="s">
        <v>191</v>
      </c>
      <c r="CA834" t="str">
        <f t="shared" si="60"/>
        <v>7/1/2020 - 6/30/2021</v>
      </c>
      <c r="CF834">
        <v>1</v>
      </c>
      <c r="CG834" t="s">
        <v>98</v>
      </c>
      <c r="CH834" t="s">
        <v>206</v>
      </c>
      <c r="CI834" t="s">
        <v>206</v>
      </c>
      <c r="CL834" t="s">
        <v>108</v>
      </c>
      <c r="CM834" t="s">
        <v>109</v>
      </c>
      <c r="CN834" t="str">
        <f>"Melton"</f>
        <v>Melton</v>
      </c>
      <c r="CO834" t="str">
        <f>"Christopher"</f>
        <v>Christopher</v>
      </c>
      <c r="CP834" t="str">
        <f>""</f>
        <v/>
      </c>
      <c r="CQ834" t="str">
        <f>"Fitness BI, LLC"</f>
        <v>Fitness BI, LLC</v>
      </c>
      <c r="CR834" t="s">
        <v>9737</v>
      </c>
    </row>
    <row r="835" spans="1:96" x14ac:dyDescent="0.2">
      <c r="A835" t="s">
        <v>9748</v>
      </c>
      <c r="B835" t="s">
        <v>96</v>
      </c>
      <c r="C835" s="1">
        <v>44098</v>
      </c>
      <c r="D835" s="1">
        <v>44105</v>
      </c>
      <c r="F835" t="s">
        <v>97</v>
      </c>
      <c r="G835" t="str">
        <f>"Manager, Development "</f>
        <v xml:space="preserve">Manager, Development </v>
      </c>
      <c r="H835" t="s">
        <v>12169</v>
      </c>
      <c r="I835" t="s">
        <v>124</v>
      </c>
      <c r="J835" t="s">
        <v>98</v>
      </c>
      <c r="K835" s="1">
        <v>44104</v>
      </c>
      <c r="L835" s="1">
        <v>45198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 t="s">
        <v>3421</v>
      </c>
      <c r="U835" t="str">
        <f>""</f>
        <v/>
      </c>
      <c r="V835" t="s">
        <v>9749</v>
      </c>
      <c r="W835" t="str">
        <f>""</f>
        <v/>
      </c>
      <c r="X835" t="s">
        <v>9750</v>
      </c>
      <c r="Y835" t="s">
        <v>345</v>
      </c>
      <c r="Z835" s="3">
        <v>60169</v>
      </c>
      <c r="AA835" t="s">
        <v>101</v>
      </c>
      <c r="AC835" s="4" t="str">
        <f>"+18474854719"</f>
        <v>+18474854719</v>
      </c>
      <c r="AE835" t="str">
        <f>"541519"</f>
        <v>541519</v>
      </c>
      <c r="AF835" t="s">
        <v>3422</v>
      </c>
      <c r="AG835" t="s">
        <v>9751</v>
      </c>
      <c r="AI835" t="s">
        <v>9752</v>
      </c>
      <c r="AJ835" t="s">
        <v>9749</v>
      </c>
      <c r="AK835" t="str">
        <f>""</f>
        <v/>
      </c>
      <c r="AL835" t="s">
        <v>9750</v>
      </c>
      <c r="AM835" t="s">
        <v>345</v>
      </c>
      <c r="AN835" s="3">
        <v>60169</v>
      </c>
      <c r="AO835" t="s">
        <v>101</v>
      </c>
      <c r="AQ835" t="str">
        <f>"+18474854719"</f>
        <v>+18474854719</v>
      </c>
      <c r="AS835" t="s">
        <v>3423</v>
      </c>
      <c r="AT835" t="s">
        <v>107</v>
      </c>
      <c r="AU835" t="str">
        <f>"Basaman"</f>
        <v>Basaman</v>
      </c>
      <c r="AV835" t="str">
        <f>"Christopher "</f>
        <v xml:space="preserve">Christopher </v>
      </c>
      <c r="AW835" t="str">
        <f>"W."</f>
        <v>W.</v>
      </c>
      <c r="AX835" t="str">
        <f>"90 Matawan Road "</f>
        <v xml:space="preserve">90 Matawan Road </v>
      </c>
      <c r="AY835" t="str">
        <f>"4th Floor"</f>
        <v>4th Floor</v>
      </c>
      <c r="AZ835" t="str">
        <f>"Matawan "</f>
        <v xml:space="preserve">Matawan </v>
      </c>
      <c r="BA835" t="str">
        <f>"NJ"</f>
        <v>NJ</v>
      </c>
      <c r="BB835" s="3">
        <v>7747</v>
      </c>
      <c r="BC835" t="str">
        <f t="shared" ref="BC835:BC849" si="61">"UNITED STATES OF AMERICA"</f>
        <v>UNITED STATES OF AMERICA</v>
      </c>
      <c r="BD835" t="str">
        <f>""</f>
        <v/>
      </c>
      <c r="BE835" t="str">
        <f>"+17328625000"</f>
        <v>+17328625000</v>
      </c>
      <c r="BF835" t="str">
        <f>"5148"</f>
        <v>5148</v>
      </c>
      <c r="BG835" t="str">
        <f>"dcascella@fragomen.com"</f>
        <v>dcascella@fragomen.com</v>
      </c>
      <c r="BH835" t="str">
        <f>"Fragomen, Del Rey, Bernsen &amp; Loewy, LLP"</f>
        <v>Fragomen, Del Rey, Bernsen &amp; Loewy, LLP</v>
      </c>
      <c r="BI835" t="str">
        <f>"NJ"</f>
        <v>NJ</v>
      </c>
      <c r="BJ835" t="str">
        <f>"Supreme Court "</f>
        <v xml:space="preserve">Supreme Court </v>
      </c>
      <c r="BK835">
        <v>1</v>
      </c>
      <c r="BL835" t="s">
        <v>102</v>
      </c>
      <c r="BM835" t="str">
        <f>""</f>
        <v/>
      </c>
      <c r="BN835" t="s">
        <v>9753</v>
      </c>
      <c r="BP835" t="s">
        <v>9750</v>
      </c>
      <c r="BQ835" t="s">
        <v>788</v>
      </c>
      <c r="BR835" t="s">
        <v>345</v>
      </c>
      <c r="BS835" s="5">
        <v>60169</v>
      </c>
      <c r="BT835" s="2">
        <v>134098</v>
      </c>
      <c r="BU835" s="2">
        <v>179000</v>
      </c>
      <c r="BV835" t="s">
        <v>105</v>
      </c>
      <c r="BW835" s="2">
        <v>104624</v>
      </c>
      <c r="BX835" t="s">
        <v>105</v>
      </c>
      <c r="BZ835" t="s">
        <v>123</v>
      </c>
      <c r="CA835" t="str">
        <f t="shared" si="60"/>
        <v>7/1/2020 - 6/30/2021</v>
      </c>
      <c r="CF835">
        <v>2</v>
      </c>
      <c r="CG835" t="s">
        <v>98</v>
      </c>
      <c r="CH835" t="s">
        <v>206</v>
      </c>
      <c r="CI835" t="s">
        <v>206</v>
      </c>
      <c r="CL835" t="s">
        <v>108</v>
      </c>
      <c r="CM835" t="s">
        <v>109</v>
      </c>
      <c r="CN835" t="str">
        <f>""</f>
        <v/>
      </c>
      <c r="CO835" t="str">
        <f>""</f>
        <v/>
      </c>
      <c r="CP835" t="str">
        <f>""</f>
        <v/>
      </c>
      <c r="CQ835" t="str">
        <f>""</f>
        <v/>
      </c>
    </row>
    <row r="836" spans="1:96" x14ac:dyDescent="0.2">
      <c r="A836" t="s">
        <v>9754</v>
      </c>
      <c r="B836" t="s">
        <v>96</v>
      </c>
      <c r="C836" s="1">
        <v>44098</v>
      </c>
      <c r="D836" s="1">
        <v>44105</v>
      </c>
      <c r="F836" t="s">
        <v>97</v>
      </c>
      <c r="G836" t="str">
        <f>"SENIOR MANAGER, SOFTWARE ENGINEERING"</f>
        <v>SENIOR MANAGER, SOFTWARE ENGINEERING</v>
      </c>
      <c r="H836" t="s">
        <v>12169</v>
      </c>
      <c r="I836" t="s">
        <v>124</v>
      </c>
      <c r="J836" t="s">
        <v>98</v>
      </c>
      <c r="K836" s="1">
        <v>44109</v>
      </c>
      <c r="L836" s="1">
        <v>45203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 t="s">
        <v>1198</v>
      </c>
      <c r="U836" t="str">
        <f>""</f>
        <v/>
      </c>
      <c r="V836" t="s">
        <v>1199</v>
      </c>
      <c r="W836" t="str">
        <f>""</f>
        <v/>
      </c>
      <c r="X836" t="s">
        <v>693</v>
      </c>
      <c r="Y836" t="s">
        <v>135</v>
      </c>
      <c r="Z836" s="3">
        <v>23238</v>
      </c>
      <c r="AA836" t="s">
        <v>101</v>
      </c>
      <c r="AC836" s="4" t="str">
        <f>"+18042841000"</f>
        <v>+18042841000</v>
      </c>
      <c r="AE836" t="str">
        <f>"522210"</f>
        <v>522210</v>
      </c>
      <c r="AF836" t="s">
        <v>1200</v>
      </c>
      <c r="AG836" t="s">
        <v>709</v>
      </c>
      <c r="AH836" t="s">
        <v>269</v>
      </c>
      <c r="AI836" t="s">
        <v>1201</v>
      </c>
      <c r="AJ836" t="s">
        <v>1199</v>
      </c>
      <c r="AK836" t="str">
        <f>""</f>
        <v/>
      </c>
      <c r="AL836" t="s">
        <v>693</v>
      </c>
      <c r="AM836" t="s">
        <v>135</v>
      </c>
      <c r="AN836" s="3">
        <v>23238</v>
      </c>
      <c r="AO836" t="s">
        <v>101</v>
      </c>
      <c r="AQ836" t="str">
        <f>"+18042841000"</f>
        <v>+18042841000</v>
      </c>
      <c r="AS836" t="s">
        <v>1202</v>
      </c>
      <c r="AT836" t="s">
        <v>107</v>
      </c>
      <c r="AU836" t="str">
        <f>"Russo"</f>
        <v>Russo</v>
      </c>
      <c r="AV836" t="str">
        <f>"Justin"</f>
        <v>Justin</v>
      </c>
      <c r="AW836" t="str">
        <f>"5304600_5f6ceb6890e232001cdf1816"</f>
        <v>5304600_5f6ceb6890e232001cdf1816</v>
      </c>
      <c r="AX836" t="str">
        <f>"1355 Peachtree Street NE"</f>
        <v>1355 Peachtree Street NE</v>
      </c>
      <c r="AY836" t="str">
        <f>"Suite 900"</f>
        <v>Suite 900</v>
      </c>
      <c r="AZ836" t="str">
        <f>"Atlanta"</f>
        <v>Atlanta</v>
      </c>
      <c r="BA836" t="str">
        <f>"GA"</f>
        <v>GA</v>
      </c>
      <c r="BB836" s="3">
        <v>30309</v>
      </c>
      <c r="BC836" t="str">
        <f t="shared" si="61"/>
        <v>UNITED STATES OF AMERICA</v>
      </c>
      <c r="BD836" t="str">
        <f>""</f>
        <v/>
      </c>
      <c r="BE836" t="str">
        <f>"+14048565526"</f>
        <v>+14048565526</v>
      </c>
      <c r="BF836" t="str">
        <f>""</f>
        <v/>
      </c>
      <c r="BG836" t="str">
        <f>"mackenzie.miller@fragomen.com"</f>
        <v>mackenzie.miller@fragomen.com</v>
      </c>
      <c r="BH836" t="str">
        <f>"Fragomen, Del Rey, Bernsen &amp; Loewy LLP"</f>
        <v>Fragomen, Del Rey, Bernsen &amp; Loewy LLP</v>
      </c>
      <c r="BI836" t="str">
        <f>"GA"</f>
        <v>GA</v>
      </c>
      <c r="BJ836" t="str">
        <f>"Georgia Supreme Court"</f>
        <v>Georgia Supreme Court</v>
      </c>
      <c r="BK836">
        <v>1</v>
      </c>
      <c r="BL836" t="s">
        <v>102</v>
      </c>
      <c r="BM836" t="str">
        <f>""</f>
        <v/>
      </c>
      <c r="BN836" t="s">
        <v>6589</v>
      </c>
      <c r="BP836" t="s">
        <v>344</v>
      </c>
      <c r="BQ836" t="s">
        <v>454</v>
      </c>
      <c r="BR836" t="s">
        <v>135</v>
      </c>
      <c r="BS836" s="5">
        <v>22102</v>
      </c>
      <c r="BT836" s="2">
        <v>118102</v>
      </c>
      <c r="BU836" s="2">
        <v>208900</v>
      </c>
      <c r="BV836" t="s">
        <v>105</v>
      </c>
      <c r="BW836" s="2">
        <v>118102</v>
      </c>
      <c r="BX836" t="s">
        <v>105</v>
      </c>
      <c r="BZ836" t="s">
        <v>123</v>
      </c>
      <c r="CA836" t="str">
        <f t="shared" si="60"/>
        <v>7/1/2020 - 6/30/2021</v>
      </c>
      <c r="CF836">
        <v>1</v>
      </c>
      <c r="CG836" t="s">
        <v>98</v>
      </c>
      <c r="CH836" t="s">
        <v>206</v>
      </c>
      <c r="CI836" t="s">
        <v>206</v>
      </c>
      <c r="CL836" t="s">
        <v>108</v>
      </c>
      <c r="CM836" t="s">
        <v>109</v>
      </c>
      <c r="CN836" t="str">
        <f>""</f>
        <v/>
      </c>
      <c r="CO836" t="str">
        <f>""</f>
        <v/>
      </c>
      <c r="CP836" t="str">
        <f>""</f>
        <v/>
      </c>
      <c r="CQ836" t="str">
        <f>""</f>
        <v/>
      </c>
    </row>
    <row r="837" spans="1:96" x14ac:dyDescent="0.2">
      <c r="A837" t="s">
        <v>9756</v>
      </c>
      <c r="B837" t="s">
        <v>96</v>
      </c>
      <c r="C837" s="1">
        <v>44098</v>
      </c>
      <c r="D837" s="1">
        <v>44105</v>
      </c>
      <c r="F837" t="s">
        <v>97</v>
      </c>
      <c r="G837" t="str">
        <f>"Software Engineer"</f>
        <v>Software Engineer</v>
      </c>
      <c r="H837" t="s">
        <v>12169</v>
      </c>
      <c r="I837" t="s">
        <v>124</v>
      </c>
      <c r="J837" t="s">
        <v>98</v>
      </c>
      <c r="K837" s="1">
        <v>44105</v>
      </c>
      <c r="L837" s="1">
        <v>45199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9757</v>
      </c>
      <c r="U837" t="str">
        <f>""</f>
        <v/>
      </c>
      <c r="V837" t="s">
        <v>9758</v>
      </c>
      <c r="W837" t="str">
        <f>""</f>
        <v/>
      </c>
      <c r="X837" t="s">
        <v>1931</v>
      </c>
      <c r="Y837" t="s">
        <v>141</v>
      </c>
      <c r="Z837" s="3">
        <v>90401</v>
      </c>
      <c r="AA837" t="s">
        <v>101</v>
      </c>
      <c r="AC837" s="4" t="str">
        <f>"+18184833836"</f>
        <v>+18184833836</v>
      </c>
      <c r="AE837" t="str">
        <f>"541330"</f>
        <v>541330</v>
      </c>
      <c r="AF837" t="s">
        <v>9759</v>
      </c>
      <c r="AG837" t="s">
        <v>2282</v>
      </c>
      <c r="AI837" t="s">
        <v>2516</v>
      </c>
      <c r="AJ837" t="s">
        <v>9758</v>
      </c>
      <c r="AK837" t="str">
        <f>""</f>
        <v/>
      </c>
      <c r="AL837" t="s">
        <v>1931</v>
      </c>
      <c r="AM837" t="s">
        <v>141</v>
      </c>
      <c r="AN837" s="3">
        <v>90401</v>
      </c>
      <c r="AO837" t="s">
        <v>101</v>
      </c>
      <c r="AQ837" t="str">
        <f>"+18184833836"</f>
        <v>+18184833836</v>
      </c>
      <c r="AS837" t="s">
        <v>9760</v>
      </c>
      <c r="AT837" t="s">
        <v>107</v>
      </c>
      <c r="AU837" t="str">
        <f>"Rugendorf"</f>
        <v>Rugendorf</v>
      </c>
      <c r="AV837" t="str">
        <f>"David"</f>
        <v>David</v>
      </c>
      <c r="AW837" t="str">
        <f>"S"</f>
        <v>S</v>
      </c>
      <c r="AX837" t="str">
        <f>"2049 Century Park East"</f>
        <v>2049 Century Park East</v>
      </c>
      <c r="AY837" t="str">
        <f>"18th floor"</f>
        <v>18th floor</v>
      </c>
      <c r="AZ837" t="str">
        <f>"Los Angeles"</f>
        <v>Los Angeles</v>
      </c>
      <c r="BA837" t="str">
        <f>"CA"</f>
        <v>CA</v>
      </c>
      <c r="BB837" s="3">
        <v>90067</v>
      </c>
      <c r="BC837" t="str">
        <f t="shared" si="61"/>
        <v>UNITED STATES OF AMERICA</v>
      </c>
      <c r="BD837" t="str">
        <f>""</f>
        <v/>
      </c>
      <c r="BE837" t="str">
        <f>"+13103122000"</f>
        <v>+13103122000</v>
      </c>
      <c r="BF837" t="str">
        <f>""</f>
        <v/>
      </c>
      <c r="BG837" t="str">
        <f>"dsr@msk.com"</f>
        <v>dsr@msk.com</v>
      </c>
      <c r="BH837" t="str">
        <f>"Mitchell Silberberg &amp; Knupp LLP"</f>
        <v>Mitchell Silberberg &amp; Knupp LLP</v>
      </c>
      <c r="BI837" t="str">
        <f>"CA"</f>
        <v>CA</v>
      </c>
      <c r="BJ837" t="str">
        <f>"Supreme Court"</f>
        <v>Supreme Court</v>
      </c>
      <c r="BK837">
        <v>1</v>
      </c>
      <c r="BL837" t="s">
        <v>102</v>
      </c>
      <c r="BM837" t="str">
        <f>""</f>
        <v/>
      </c>
      <c r="BN837" t="s">
        <v>9758</v>
      </c>
      <c r="BP837" t="s">
        <v>1931</v>
      </c>
      <c r="BQ837" t="s">
        <v>365</v>
      </c>
      <c r="BR837" t="s">
        <v>141</v>
      </c>
      <c r="BS837" s="5">
        <v>90401</v>
      </c>
      <c r="BT837" s="2">
        <v>110000</v>
      </c>
      <c r="BV837" t="s">
        <v>105</v>
      </c>
      <c r="BW837" s="2">
        <v>99632</v>
      </c>
      <c r="BX837" t="s">
        <v>105</v>
      </c>
      <c r="BZ837" t="s">
        <v>167</v>
      </c>
      <c r="CA837" t="str">
        <f t="shared" si="60"/>
        <v>7/1/2020 - 6/30/2021</v>
      </c>
      <c r="CF837">
        <v>2</v>
      </c>
      <c r="CG837" t="s">
        <v>98</v>
      </c>
      <c r="CH837" t="s">
        <v>206</v>
      </c>
      <c r="CI837" t="s">
        <v>206</v>
      </c>
      <c r="CL837" t="s">
        <v>108</v>
      </c>
      <c r="CM837" t="s">
        <v>109</v>
      </c>
      <c r="CN837" t="str">
        <f>""</f>
        <v/>
      </c>
      <c r="CO837" t="str">
        <f>""</f>
        <v/>
      </c>
      <c r="CP837" t="str">
        <f>""</f>
        <v/>
      </c>
      <c r="CQ837" t="str">
        <f>""</f>
        <v/>
      </c>
    </row>
    <row r="838" spans="1:96" x14ac:dyDescent="0.2">
      <c r="A838" t="s">
        <v>9768</v>
      </c>
      <c r="B838" t="s">
        <v>96</v>
      </c>
      <c r="C838" s="1">
        <v>44098</v>
      </c>
      <c r="D838" s="1">
        <v>44105</v>
      </c>
      <c r="F838" t="s">
        <v>97</v>
      </c>
      <c r="G838" t="str">
        <f>"Technical Lead - Automation"</f>
        <v>Technical Lead - Automation</v>
      </c>
      <c r="H838" t="s">
        <v>12168</v>
      </c>
      <c r="I838" t="s">
        <v>319</v>
      </c>
      <c r="J838" t="s">
        <v>98</v>
      </c>
      <c r="K838" s="1">
        <v>44105</v>
      </c>
      <c r="L838" s="1">
        <v>45199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9769</v>
      </c>
      <c r="U838" t="str">
        <f>""</f>
        <v/>
      </c>
      <c r="V838" t="s">
        <v>6606</v>
      </c>
      <c r="W838" t="str">
        <f>""</f>
        <v/>
      </c>
      <c r="X838" t="s">
        <v>5042</v>
      </c>
      <c r="Y838" t="s">
        <v>345</v>
      </c>
      <c r="Z838" s="3">
        <v>60532</v>
      </c>
      <c r="AA838" t="s">
        <v>101</v>
      </c>
      <c r="AC838" s="4" t="str">
        <f>"+13092026489"</f>
        <v>+13092026489</v>
      </c>
      <c r="AE838" t="str">
        <f>"541519"</f>
        <v>541519</v>
      </c>
      <c r="AF838" t="s">
        <v>8318</v>
      </c>
      <c r="AG838" t="s">
        <v>579</v>
      </c>
      <c r="AI838" t="s">
        <v>9770</v>
      </c>
      <c r="AJ838" t="s">
        <v>9771</v>
      </c>
      <c r="AK838" t="str">
        <f>""</f>
        <v/>
      </c>
      <c r="AL838" t="s">
        <v>1637</v>
      </c>
      <c r="AM838" t="s">
        <v>345</v>
      </c>
      <c r="AN838" s="3">
        <v>61614</v>
      </c>
      <c r="AO838" t="s">
        <v>101</v>
      </c>
      <c r="AQ838" t="str">
        <f>"+13092026489"</f>
        <v>+13092026489</v>
      </c>
      <c r="AS838" t="s">
        <v>9772</v>
      </c>
      <c r="AT838" t="s">
        <v>107</v>
      </c>
      <c r="AU838" t="str">
        <f>"ROSENBERG"</f>
        <v>ROSENBERG</v>
      </c>
      <c r="AV838" t="str">
        <f>"HYLA"</f>
        <v>HYLA</v>
      </c>
      <c r="AW838" t="str">
        <f>"KAPLAN"</f>
        <v>KAPLAN</v>
      </c>
      <c r="AX838" t="str">
        <f>"1400 BROADWAY"</f>
        <v>1400 BROADWAY</v>
      </c>
      <c r="AY838" t="str">
        <f>""</f>
        <v/>
      </c>
      <c r="AZ838" t="str">
        <f>"NEW YORK"</f>
        <v>NEW YORK</v>
      </c>
      <c r="BA838" t="str">
        <f>"NY"</f>
        <v>NY</v>
      </c>
      <c r="BB838" s="3">
        <v>10018</v>
      </c>
      <c r="BC838" t="str">
        <f t="shared" si="61"/>
        <v>UNITED STATES OF AMERICA</v>
      </c>
      <c r="BD838" t="str">
        <f>""</f>
        <v/>
      </c>
      <c r="BE838" t="str">
        <f>"+12126888555"</f>
        <v>+12126888555</v>
      </c>
      <c r="BF838" t="str">
        <f>""</f>
        <v/>
      </c>
      <c r="BG838" t="str">
        <f>"Sumiko.Webster@Fragomen.com"</f>
        <v>Sumiko.Webster@Fragomen.com</v>
      </c>
      <c r="BH838" t="str">
        <f>"FRAGOMEN, DEL REY, BERNSEN &amp; LOEWY, LLP"</f>
        <v>FRAGOMEN, DEL REY, BERNSEN &amp; LOEWY, LLP</v>
      </c>
      <c r="BI838" t="str">
        <f>"NY"</f>
        <v>NY</v>
      </c>
      <c r="BJ838" t="str">
        <f>"NEW YORK SUPREME COURT"</f>
        <v>NEW YORK SUPREME COURT</v>
      </c>
      <c r="BK838">
        <v>1</v>
      </c>
      <c r="BL838" t="s">
        <v>102</v>
      </c>
      <c r="BM838" t="str">
        <f>""</f>
        <v/>
      </c>
      <c r="BN838" t="s">
        <v>9773</v>
      </c>
      <c r="BO838" t="s">
        <v>4634</v>
      </c>
      <c r="BP838" t="s">
        <v>833</v>
      </c>
      <c r="BQ838" t="s">
        <v>788</v>
      </c>
      <c r="BR838" t="s">
        <v>345</v>
      </c>
      <c r="BS838" s="5">
        <v>60661</v>
      </c>
      <c r="BT838" s="2">
        <v>76000</v>
      </c>
      <c r="BV838" t="s">
        <v>105</v>
      </c>
      <c r="BW838" s="2">
        <v>75754</v>
      </c>
      <c r="BX838" t="s">
        <v>105</v>
      </c>
      <c r="BZ838" t="s">
        <v>167</v>
      </c>
      <c r="CA838" t="str">
        <f t="shared" si="60"/>
        <v>7/1/2020 - 6/30/2021</v>
      </c>
      <c r="CF838">
        <v>3</v>
      </c>
      <c r="CG838" t="s">
        <v>98</v>
      </c>
      <c r="CH838" t="s">
        <v>206</v>
      </c>
      <c r="CI838" t="s">
        <v>206</v>
      </c>
      <c r="CL838" t="s">
        <v>108</v>
      </c>
      <c r="CM838" t="s">
        <v>109</v>
      </c>
      <c r="CN838" t="str">
        <f>"Rosenberg"</f>
        <v>Rosenberg</v>
      </c>
      <c r="CO838" t="str">
        <f>"Hyla"</f>
        <v>Hyla</v>
      </c>
      <c r="CP838" t="str">
        <f>"K"</f>
        <v>K</v>
      </c>
      <c r="CQ838" t="str">
        <f>"Fragomen, Del Rey, Bernsen &amp; Loewy, LLP"</f>
        <v>Fragomen, Del Rey, Bernsen &amp; Loewy, LLP</v>
      </c>
      <c r="CR838" t="s">
        <v>6432</v>
      </c>
    </row>
    <row r="839" spans="1:96" x14ac:dyDescent="0.2">
      <c r="A839" t="s">
        <v>9793</v>
      </c>
      <c r="B839" t="s">
        <v>96</v>
      </c>
      <c r="C839" s="1">
        <v>44098</v>
      </c>
      <c r="D839" s="1">
        <v>44105</v>
      </c>
      <c r="F839" t="s">
        <v>97</v>
      </c>
      <c r="G839" t="str">
        <f>"Senior Financial Analyst"</f>
        <v>Senior Financial Analyst</v>
      </c>
      <c r="H839" t="s">
        <v>12213</v>
      </c>
      <c r="I839" t="s">
        <v>493</v>
      </c>
      <c r="J839" t="s">
        <v>98</v>
      </c>
      <c r="K839" s="1">
        <v>44109</v>
      </c>
      <c r="L839" s="1">
        <v>45203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9535</v>
      </c>
      <c r="U839" t="str">
        <f>"Conagra Brands"</f>
        <v>Conagra Brands</v>
      </c>
      <c r="V839" t="s">
        <v>3049</v>
      </c>
      <c r="W839" t="str">
        <f>"Suite 1300"</f>
        <v>Suite 1300</v>
      </c>
      <c r="X839" t="s">
        <v>833</v>
      </c>
      <c r="Y839" t="s">
        <v>345</v>
      </c>
      <c r="Z839" s="3">
        <v>60654</v>
      </c>
      <c r="AA839" t="s">
        <v>101</v>
      </c>
      <c r="AC839" s="4" t="str">
        <f>"+13125495955"</f>
        <v>+13125495955</v>
      </c>
      <c r="AE839" t="str">
        <f>"311422"</f>
        <v>311422</v>
      </c>
      <c r="AF839" t="s">
        <v>7506</v>
      </c>
      <c r="AG839" t="s">
        <v>881</v>
      </c>
      <c r="AI839" t="s">
        <v>1879</v>
      </c>
      <c r="AJ839" t="s">
        <v>3049</v>
      </c>
      <c r="AK839" t="str">
        <f>"Suite 1300"</f>
        <v>Suite 1300</v>
      </c>
      <c r="AL839" t="s">
        <v>833</v>
      </c>
      <c r="AM839" t="s">
        <v>345</v>
      </c>
      <c r="AN839" s="3">
        <v>60654</v>
      </c>
      <c r="AO839" t="s">
        <v>101</v>
      </c>
      <c r="AQ839" t="str">
        <f>"+13125495955"</f>
        <v>+13125495955</v>
      </c>
      <c r="AS839" t="s">
        <v>9794</v>
      </c>
      <c r="AT839" t="s">
        <v>107</v>
      </c>
      <c r="AU839" t="str">
        <f>"Meilink"</f>
        <v>Meilink</v>
      </c>
      <c r="AV839" t="str">
        <f>"Kelli"</f>
        <v>Kelli</v>
      </c>
      <c r="AW839" t="str">
        <f>"Jean"</f>
        <v>Jean</v>
      </c>
      <c r="AX839" t="str">
        <f>"4801 Main Street"</f>
        <v>4801 Main Street</v>
      </c>
      <c r="AY839" t="str">
        <f>"Suite 1000"</f>
        <v>Suite 1000</v>
      </c>
      <c r="AZ839" t="str">
        <f>"Kansas City"</f>
        <v>Kansas City</v>
      </c>
      <c r="BA839" t="str">
        <f>"MO"</f>
        <v>MO</v>
      </c>
      <c r="BB839" s="3">
        <v>64112</v>
      </c>
      <c r="BC839" t="str">
        <f t="shared" si="61"/>
        <v>UNITED STATES OF AMERICA</v>
      </c>
      <c r="BD839" t="str">
        <f>""</f>
        <v/>
      </c>
      <c r="BE839" t="str">
        <f>"+18169838309"</f>
        <v>+18169838309</v>
      </c>
      <c r="BF839" t="str">
        <f>""</f>
        <v/>
      </c>
      <c r="BG839" t="str">
        <f>"lca@huschblackwell.com"</f>
        <v>lca@huschblackwell.com</v>
      </c>
      <c r="BH839" t="str">
        <f>"Husch Blackwell LLP"</f>
        <v>Husch Blackwell LLP</v>
      </c>
      <c r="BI839" t="str">
        <f>"MO"</f>
        <v>MO</v>
      </c>
      <c r="BJ839" t="str">
        <f>"Supreme Court"</f>
        <v>Supreme Court</v>
      </c>
      <c r="BK839">
        <v>1</v>
      </c>
      <c r="BL839" t="s">
        <v>102</v>
      </c>
      <c r="BM839" t="str">
        <f>""</f>
        <v/>
      </c>
      <c r="BN839" t="s">
        <v>3049</v>
      </c>
      <c r="BO839" t="s">
        <v>808</v>
      </c>
      <c r="BP839" t="s">
        <v>833</v>
      </c>
      <c r="BQ839" t="s">
        <v>788</v>
      </c>
      <c r="BR839" t="s">
        <v>345</v>
      </c>
      <c r="BS839" s="5">
        <v>60654</v>
      </c>
      <c r="BT839" s="2">
        <v>90000</v>
      </c>
      <c r="BV839" t="s">
        <v>105</v>
      </c>
      <c r="BW839" s="2">
        <v>76336</v>
      </c>
      <c r="BX839" t="s">
        <v>105</v>
      </c>
      <c r="BZ839" t="s">
        <v>167</v>
      </c>
      <c r="CA839" t="str">
        <f t="shared" si="60"/>
        <v>7/1/2020 - 6/30/2021</v>
      </c>
      <c r="CF839">
        <v>2</v>
      </c>
      <c r="CG839" t="s">
        <v>98</v>
      </c>
      <c r="CH839" t="s">
        <v>206</v>
      </c>
      <c r="CI839" t="s">
        <v>206</v>
      </c>
      <c r="CL839" t="s">
        <v>108</v>
      </c>
      <c r="CM839" t="s">
        <v>109</v>
      </c>
      <c r="CN839" t="str">
        <f>""</f>
        <v/>
      </c>
      <c r="CO839" t="str">
        <f>""</f>
        <v/>
      </c>
      <c r="CP839" t="str">
        <f>""</f>
        <v/>
      </c>
      <c r="CQ839" t="str">
        <f>""</f>
        <v/>
      </c>
    </row>
    <row r="840" spans="1:96" x14ac:dyDescent="0.2">
      <c r="A840" t="s">
        <v>9795</v>
      </c>
      <c r="B840" t="s">
        <v>96</v>
      </c>
      <c r="C840" s="1">
        <v>44098</v>
      </c>
      <c r="D840" s="1">
        <v>44105</v>
      </c>
      <c r="F840" t="s">
        <v>97</v>
      </c>
      <c r="G840" t="str">
        <f>"Design Engineer E2"</f>
        <v>Design Engineer E2</v>
      </c>
      <c r="H840" t="s">
        <v>12196</v>
      </c>
      <c r="I840" t="s">
        <v>322</v>
      </c>
      <c r="J840" t="s">
        <v>98</v>
      </c>
      <c r="K840" s="1">
        <v>44105</v>
      </c>
      <c r="L840" s="1">
        <v>45199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9796</v>
      </c>
      <c r="U840" t="str">
        <f>""</f>
        <v/>
      </c>
      <c r="V840" t="s">
        <v>9797</v>
      </c>
      <c r="W840" t="str">
        <f>""</f>
        <v/>
      </c>
      <c r="X840" t="s">
        <v>9798</v>
      </c>
      <c r="Y840" t="s">
        <v>215</v>
      </c>
      <c r="Z840" s="3">
        <v>30265</v>
      </c>
      <c r="AA840" t="s">
        <v>101</v>
      </c>
      <c r="AC840" s="4" t="str">
        <f>"+17702544232"</f>
        <v>+17702544232</v>
      </c>
      <c r="AE840" t="str">
        <f>"33621"</f>
        <v>33621</v>
      </c>
      <c r="AF840" t="s">
        <v>9799</v>
      </c>
      <c r="AG840" t="s">
        <v>3258</v>
      </c>
      <c r="AH840" t="s">
        <v>108</v>
      </c>
      <c r="AI840" t="s">
        <v>9800</v>
      </c>
      <c r="AJ840" t="s">
        <v>9797</v>
      </c>
      <c r="AK840" t="str">
        <f>""</f>
        <v/>
      </c>
      <c r="AL840" t="s">
        <v>9798</v>
      </c>
      <c r="AM840" t="s">
        <v>215</v>
      </c>
      <c r="AN840" s="3">
        <v>30265</v>
      </c>
      <c r="AO840" t="s">
        <v>101</v>
      </c>
      <c r="AQ840" t="str">
        <f>"+17702544232"</f>
        <v>+17702544232</v>
      </c>
      <c r="AS840" t="s">
        <v>9801</v>
      </c>
      <c r="AT840" t="s">
        <v>107</v>
      </c>
      <c r="AU840" t="str">
        <f>"Rosmarin"</f>
        <v>Rosmarin</v>
      </c>
      <c r="AV840" t="str">
        <f>"Laura"</f>
        <v>Laura</v>
      </c>
      <c r="AW840" t="str">
        <f>"N/A"</f>
        <v>N/A</v>
      </c>
      <c r="AX840" t="str">
        <f>"365 Northridge Road"</f>
        <v>365 Northridge Road</v>
      </c>
      <c r="AY840" t="str">
        <f>"Suite 300"</f>
        <v>Suite 300</v>
      </c>
      <c r="AZ840" t="str">
        <f>"Atlanta"</f>
        <v>Atlanta</v>
      </c>
      <c r="BA840" t="str">
        <f>"GA"</f>
        <v>GA</v>
      </c>
      <c r="BB840" s="3">
        <v>30350</v>
      </c>
      <c r="BC840" t="str">
        <f t="shared" si="61"/>
        <v>UNITED STATES OF AMERICA</v>
      </c>
      <c r="BD840" t="str">
        <f>""</f>
        <v/>
      </c>
      <c r="BE840" t="str">
        <f>"+14048168611"</f>
        <v>+14048168611</v>
      </c>
      <c r="BF840" t="str">
        <f>""</f>
        <v/>
      </c>
      <c r="BG840" t="str">
        <f>"lrosmarin@immigration.net"</f>
        <v>lrosmarin@immigration.net</v>
      </c>
      <c r="BH840" t="str">
        <f>"Kuck Baxter Immigration, LLC"</f>
        <v>Kuck Baxter Immigration, LLC</v>
      </c>
      <c r="BI840" t="str">
        <f>"GA"</f>
        <v>GA</v>
      </c>
      <c r="BJ840" t="str">
        <f>"Georgia Supreme Court"</f>
        <v>Georgia Supreme Court</v>
      </c>
      <c r="BK840">
        <v>1</v>
      </c>
      <c r="BL840" t="s">
        <v>102</v>
      </c>
      <c r="BM840" t="str">
        <f>""</f>
        <v/>
      </c>
      <c r="BN840" t="s">
        <v>9797</v>
      </c>
      <c r="BP840" t="s">
        <v>9798</v>
      </c>
      <c r="BQ840" t="s">
        <v>9802</v>
      </c>
      <c r="BR840" t="s">
        <v>215</v>
      </c>
      <c r="BS840" s="5">
        <v>30265</v>
      </c>
      <c r="BT840" s="2">
        <v>63565</v>
      </c>
      <c r="BU840" s="2">
        <v>75295</v>
      </c>
      <c r="BV840" t="s">
        <v>105</v>
      </c>
      <c r="BW840" s="2">
        <v>63565</v>
      </c>
      <c r="BX840" t="s">
        <v>105</v>
      </c>
      <c r="BZ840" t="s">
        <v>191</v>
      </c>
      <c r="CA840" t="str">
        <f t="shared" si="60"/>
        <v>7/1/2020 - 6/30/2021</v>
      </c>
      <c r="CF840">
        <v>1</v>
      </c>
      <c r="CG840" t="s">
        <v>98</v>
      </c>
      <c r="CH840" t="s">
        <v>206</v>
      </c>
      <c r="CI840" t="s">
        <v>206</v>
      </c>
      <c r="CL840" t="s">
        <v>108</v>
      </c>
      <c r="CM840" t="s">
        <v>109</v>
      </c>
      <c r="CN840" t="str">
        <f>"Hoshstrasser"</f>
        <v>Hoshstrasser</v>
      </c>
      <c r="CO840" t="str">
        <f>"Kathryn"</f>
        <v>Kathryn</v>
      </c>
      <c r="CP840" t="str">
        <f>""</f>
        <v/>
      </c>
      <c r="CQ840" t="str">
        <f>"Kuck Baxter Immigration LLC"</f>
        <v>Kuck Baxter Immigration LLC</v>
      </c>
      <c r="CR840" t="s">
        <v>9803</v>
      </c>
    </row>
    <row r="841" spans="1:96" x14ac:dyDescent="0.2">
      <c r="A841" t="s">
        <v>9806</v>
      </c>
      <c r="B841" t="s">
        <v>96</v>
      </c>
      <c r="C841" s="1">
        <v>44098</v>
      </c>
      <c r="D841" s="1">
        <v>44105</v>
      </c>
      <c r="F841" t="s">
        <v>97</v>
      </c>
      <c r="G841" t="str">
        <f>"Senior Data and Insights Analyst "</f>
        <v xml:space="preserve">Senior Data and Insights Analyst </v>
      </c>
      <c r="H841" t="s">
        <v>12168</v>
      </c>
      <c r="I841" t="s">
        <v>249</v>
      </c>
      <c r="J841" t="s">
        <v>98</v>
      </c>
      <c r="K841" s="1">
        <v>44105</v>
      </c>
      <c r="L841" s="1">
        <v>45199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9807</v>
      </c>
      <c r="U841" t="str">
        <f>""</f>
        <v/>
      </c>
      <c r="V841" t="s">
        <v>1712</v>
      </c>
      <c r="W841" t="str">
        <f>""</f>
        <v/>
      </c>
      <c r="X841" t="s">
        <v>1428</v>
      </c>
      <c r="Y841" t="s">
        <v>577</v>
      </c>
      <c r="Z841" s="3">
        <v>33169</v>
      </c>
      <c r="AA841" t="s">
        <v>101</v>
      </c>
      <c r="AC841" s="4" t="str">
        <f>"+13056286130"</f>
        <v>+13056286130</v>
      </c>
      <c r="AE841" t="str">
        <f>"621112"</f>
        <v>621112</v>
      </c>
      <c r="AF841" t="s">
        <v>256</v>
      </c>
      <c r="AG841" t="s">
        <v>909</v>
      </c>
      <c r="AI841" t="s">
        <v>9808</v>
      </c>
      <c r="AJ841" t="s">
        <v>1712</v>
      </c>
      <c r="AK841" t="str">
        <f>""</f>
        <v/>
      </c>
      <c r="AL841" t="s">
        <v>1428</v>
      </c>
      <c r="AM841" t="s">
        <v>577</v>
      </c>
      <c r="AN841" s="3">
        <v>33169</v>
      </c>
      <c r="AO841" t="s">
        <v>101</v>
      </c>
      <c r="AQ841" t="str">
        <f>"+13056286130"</f>
        <v>+13056286130</v>
      </c>
      <c r="AS841" t="s">
        <v>9809</v>
      </c>
      <c r="AT841" t="s">
        <v>107</v>
      </c>
      <c r="AU841" t="str">
        <f>"Bayley"</f>
        <v>Bayley</v>
      </c>
      <c r="AV841" t="str">
        <f>"Maxine"</f>
        <v>Maxine</v>
      </c>
      <c r="AW841" t="str">
        <f>""</f>
        <v/>
      </c>
      <c r="AX841" t="str">
        <f>"One Market Plaza, Spear Tower"</f>
        <v>One Market Plaza, Spear Tower</v>
      </c>
      <c r="AY841" t="str">
        <f>"Suite 2200"</f>
        <v>Suite 2200</v>
      </c>
      <c r="AZ841" t="str">
        <f>"San Francisco"</f>
        <v>San Francisco</v>
      </c>
      <c r="BA841" t="str">
        <f>"CA"</f>
        <v>CA</v>
      </c>
      <c r="BB841" s="3">
        <v>94105</v>
      </c>
      <c r="BC841" t="str">
        <f t="shared" si="61"/>
        <v>UNITED STATES OF AMERICA</v>
      </c>
      <c r="BD841" t="str">
        <f>""</f>
        <v/>
      </c>
      <c r="BE841" t="str">
        <f>"+14159573040"</f>
        <v>+14159573040</v>
      </c>
      <c r="BF841" t="str">
        <f>""</f>
        <v/>
      </c>
      <c r="BG841" t="str">
        <f>"MDBayley@duanemorris.com"</f>
        <v>MDBayley@duanemorris.com</v>
      </c>
      <c r="BH841" t="str">
        <f>"Duane Morris LLP"</f>
        <v>Duane Morris LLP</v>
      </c>
      <c r="BI841" t="str">
        <f>"CA"</f>
        <v>CA</v>
      </c>
      <c r="BJ841" t="str">
        <f>"California Supreme Court"</f>
        <v>California Supreme Court</v>
      </c>
      <c r="BK841">
        <v>1</v>
      </c>
      <c r="BL841" t="s">
        <v>102</v>
      </c>
      <c r="BM841" t="str">
        <f>""</f>
        <v/>
      </c>
      <c r="BN841" t="s">
        <v>9810</v>
      </c>
      <c r="BP841" t="s">
        <v>1428</v>
      </c>
      <c r="BQ841" t="s">
        <v>820</v>
      </c>
      <c r="BR841" t="s">
        <v>577</v>
      </c>
      <c r="BS841" s="5">
        <v>33169</v>
      </c>
      <c r="BT841" s="2">
        <v>90000</v>
      </c>
      <c r="BV841" t="s">
        <v>105</v>
      </c>
      <c r="BW841" s="2">
        <v>78354</v>
      </c>
      <c r="BX841" t="s">
        <v>105</v>
      </c>
      <c r="BZ841" t="s">
        <v>123</v>
      </c>
      <c r="CA841" t="str">
        <f t="shared" si="60"/>
        <v>7/1/2020 - 6/30/2021</v>
      </c>
      <c r="CF841">
        <v>2</v>
      </c>
      <c r="CG841" t="s">
        <v>98</v>
      </c>
      <c r="CH841" t="s">
        <v>206</v>
      </c>
      <c r="CI841" t="s">
        <v>206</v>
      </c>
      <c r="CL841" t="s">
        <v>108</v>
      </c>
      <c r="CM841" t="s">
        <v>109</v>
      </c>
      <c r="CN841" t="str">
        <f>"Bayley"</f>
        <v>Bayley</v>
      </c>
      <c r="CO841" t="str">
        <f>"Maxine"</f>
        <v>Maxine</v>
      </c>
      <c r="CP841" t="str">
        <f>"D"</f>
        <v>D</v>
      </c>
      <c r="CQ841" t="str">
        <f>"Duane Morris, LLP."</f>
        <v>Duane Morris, LLP.</v>
      </c>
      <c r="CR841" t="s">
        <v>9811</v>
      </c>
    </row>
    <row r="842" spans="1:96" x14ac:dyDescent="0.2">
      <c r="A842" t="s">
        <v>9819</v>
      </c>
      <c r="B842" t="s">
        <v>96</v>
      </c>
      <c r="C842" s="1">
        <v>44098</v>
      </c>
      <c r="D842" s="1">
        <v>44105</v>
      </c>
      <c r="F842" t="s">
        <v>97</v>
      </c>
      <c r="G842" t="str">
        <f>"SAP Security Authorizations &amp; Compliance Lead"</f>
        <v>SAP Security Authorizations &amp; Compliance Lead</v>
      </c>
      <c r="H842" t="s">
        <v>12197</v>
      </c>
      <c r="I842" t="s">
        <v>137</v>
      </c>
      <c r="J842" t="s">
        <v>98</v>
      </c>
      <c r="K842" s="1">
        <v>44111</v>
      </c>
      <c r="L842" s="1">
        <v>45205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1222</v>
      </c>
      <c r="U842" t="str">
        <f>""</f>
        <v/>
      </c>
      <c r="V842" t="s">
        <v>1223</v>
      </c>
      <c r="W842" t="str">
        <f>"ROOM 6D-401E"</f>
        <v>ROOM 6D-401E</v>
      </c>
      <c r="X842" t="s">
        <v>1224</v>
      </c>
      <c r="Y842" t="s">
        <v>100</v>
      </c>
      <c r="Z842" s="3">
        <v>7974</v>
      </c>
      <c r="AA842" t="s">
        <v>101</v>
      </c>
      <c r="AC842" s="4" t="str">
        <f>"+19086796820"</f>
        <v>+19086796820</v>
      </c>
      <c r="AE842" t="str">
        <f>"51791"</f>
        <v>51791</v>
      </c>
      <c r="AF842" t="s">
        <v>1225</v>
      </c>
      <c r="AG842" t="s">
        <v>1226</v>
      </c>
      <c r="AI842" t="s">
        <v>1227</v>
      </c>
      <c r="AJ842" t="s">
        <v>1223</v>
      </c>
      <c r="AK842" t="str">
        <f>"ROOM 6D-401E"</f>
        <v>ROOM 6D-401E</v>
      </c>
      <c r="AL842" t="s">
        <v>1224</v>
      </c>
      <c r="AM842" t="s">
        <v>100</v>
      </c>
      <c r="AN842" s="3">
        <v>7974</v>
      </c>
      <c r="AO842" t="s">
        <v>101</v>
      </c>
      <c r="AQ842" t="str">
        <f>"+19086796820"</f>
        <v>+19086796820</v>
      </c>
      <c r="AS842" t="s">
        <v>1228</v>
      </c>
      <c r="AT842" t="s">
        <v>107</v>
      </c>
      <c r="AU842" t="str">
        <f>"Enu"</f>
        <v>Enu</v>
      </c>
      <c r="AV842" t="str">
        <f>"Haseena"</f>
        <v>Haseena</v>
      </c>
      <c r="AW842" t="str">
        <f>""</f>
        <v/>
      </c>
      <c r="AX842" t="str">
        <f>"5080 SPECTRUM DRIVE"</f>
        <v>5080 SPECTRUM DRIVE</v>
      </c>
      <c r="AY842" t="str">
        <f>"SUITE 850W"</f>
        <v>SUITE 850W</v>
      </c>
      <c r="AZ842" t="str">
        <f>"Addison"</f>
        <v>Addison</v>
      </c>
      <c r="BA842" t="str">
        <f>"TX"</f>
        <v>TX</v>
      </c>
      <c r="BB842" s="3">
        <v>75001</v>
      </c>
      <c r="BC842" t="str">
        <f t="shared" si="61"/>
        <v>UNITED STATES OF AMERICA</v>
      </c>
      <c r="BD842" t="str">
        <f>""</f>
        <v/>
      </c>
      <c r="BE842" t="str">
        <f>"+19723869297"</f>
        <v>+19723869297</v>
      </c>
      <c r="BF842" t="str">
        <f>"801"</f>
        <v>801</v>
      </c>
      <c r="BG842" t="str">
        <f>"FP_HASEENA_ENU@FRAGOMENPARTNERS.COM"</f>
        <v>FP_HASEENA_ENU@FRAGOMENPARTNERS.COM</v>
      </c>
      <c r="BH842" t="str">
        <f>"FRAGOMEN PARTNERS, LLP"</f>
        <v>FRAGOMEN PARTNERS, LLP</v>
      </c>
      <c r="BI842" t="str">
        <f>"NY"</f>
        <v>NY</v>
      </c>
      <c r="BJ842" t="str">
        <f>"NEW YORK STATE COURT OF APPEALS"</f>
        <v>NEW YORK STATE COURT OF APPEALS</v>
      </c>
      <c r="BK842">
        <v>1</v>
      </c>
      <c r="BL842" t="s">
        <v>102</v>
      </c>
      <c r="BM842" t="str">
        <f>""</f>
        <v/>
      </c>
      <c r="BN842" t="s">
        <v>9820</v>
      </c>
      <c r="BP842" t="s">
        <v>4228</v>
      </c>
      <c r="BQ842" t="s">
        <v>1319</v>
      </c>
      <c r="BR842" t="s">
        <v>135</v>
      </c>
      <c r="BS842" s="5">
        <v>23059</v>
      </c>
      <c r="BT842" s="2">
        <v>155000</v>
      </c>
      <c r="BV842" t="s">
        <v>105</v>
      </c>
      <c r="BW842" s="2">
        <v>115794</v>
      </c>
      <c r="BX842" t="s">
        <v>105</v>
      </c>
      <c r="BZ842" t="s">
        <v>159</v>
      </c>
      <c r="CA842" t="str">
        <f t="shared" si="60"/>
        <v>7/1/2020 - 6/30/2021</v>
      </c>
      <c r="CF842">
        <v>1</v>
      </c>
      <c r="CG842" t="s">
        <v>98</v>
      </c>
      <c r="CH842" t="s">
        <v>206</v>
      </c>
      <c r="CI842" t="s">
        <v>206</v>
      </c>
      <c r="CL842" t="s">
        <v>108</v>
      </c>
      <c r="CM842" t="s">
        <v>109</v>
      </c>
      <c r="CN842" t="str">
        <f>"Roberts"</f>
        <v>Roberts</v>
      </c>
      <c r="CO842" t="str">
        <f>"Hanna"</f>
        <v>Hanna</v>
      </c>
      <c r="CP842" t="str">
        <f>""</f>
        <v/>
      </c>
      <c r="CQ842" t="str">
        <f>"Fragomen"</f>
        <v>Fragomen</v>
      </c>
      <c r="CR842" t="s">
        <v>7151</v>
      </c>
    </row>
    <row r="843" spans="1:96" x14ac:dyDescent="0.2">
      <c r="A843" t="s">
        <v>9822</v>
      </c>
      <c r="B843" t="s">
        <v>96</v>
      </c>
      <c r="C843" s="1">
        <v>44098</v>
      </c>
      <c r="D843" s="1">
        <v>44105</v>
      </c>
      <c r="F843" t="s">
        <v>97</v>
      </c>
      <c r="G843" t="str">
        <f>"Manager, Customer Delivery"</f>
        <v>Manager, Customer Delivery</v>
      </c>
      <c r="H843" t="s">
        <v>12181</v>
      </c>
      <c r="I843" t="s">
        <v>110</v>
      </c>
      <c r="J843" t="s">
        <v>98</v>
      </c>
      <c r="K843" s="1">
        <v>44102</v>
      </c>
      <c r="L843" s="1">
        <v>45197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 t="s">
        <v>767</v>
      </c>
      <c r="U843" t="str">
        <f>""</f>
        <v/>
      </c>
      <c r="V843" t="s">
        <v>2478</v>
      </c>
      <c r="W843" t="str">
        <f>""</f>
        <v/>
      </c>
      <c r="X843" t="s">
        <v>585</v>
      </c>
      <c r="Y843" t="s">
        <v>141</v>
      </c>
      <c r="Z843" s="3">
        <v>95134</v>
      </c>
      <c r="AA843" t="s">
        <v>101</v>
      </c>
      <c r="AC843" s="4" t="str">
        <f>"+14085264000"</f>
        <v>+14085264000</v>
      </c>
      <c r="AE843" t="str">
        <f>"334111"</f>
        <v>334111</v>
      </c>
      <c r="AF843" t="s">
        <v>2479</v>
      </c>
      <c r="AG843" t="s">
        <v>2480</v>
      </c>
      <c r="AI843" t="s">
        <v>772</v>
      </c>
      <c r="AJ843" t="s">
        <v>768</v>
      </c>
      <c r="AK843" t="str">
        <f>""</f>
        <v/>
      </c>
      <c r="AL843" t="s">
        <v>585</v>
      </c>
      <c r="AM843" t="s">
        <v>141</v>
      </c>
      <c r="AN843" s="3">
        <v>95134</v>
      </c>
      <c r="AO843" t="s">
        <v>101</v>
      </c>
      <c r="AQ843" t="str">
        <f>"+14085264000"</f>
        <v>+14085264000</v>
      </c>
      <c r="AS843" t="s">
        <v>773</v>
      </c>
      <c r="AT843" t="s">
        <v>107</v>
      </c>
      <c r="AU843" t="str">
        <f>"Hirao"</f>
        <v>Hirao</v>
      </c>
      <c r="AV843" t="str">
        <f>"Mayu"</f>
        <v>Mayu</v>
      </c>
      <c r="AW843" t="str">
        <f>""</f>
        <v/>
      </c>
      <c r="AX843" t="str">
        <f>"2121 Tasman Drive"</f>
        <v>2121 Tasman Drive</v>
      </c>
      <c r="AY843" t="str">
        <f>""</f>
        <v/>
      </c>
      <c r="AZ843" t="str">
        <f>"Santa Clara"</f>
        <v>Santa Clara</v>
      </c>
      <c r="BA843" t="str">
        <f>"CA"</f>
        <v>CA</v>
      </c>
      <c r="BB843" s="3">
        <v>95054</v>
      </c>
      <c r="BC843" t="str">
        <f t="shared" si="61"/>
        <v>UNITED STATES OF AMERICA</v>
      </c>
      <c r="BD843" t="str">
        <f>""</f>
        <v/>
      </c>
      <c r="BE843" t="str">
        <f>"+14089190600"</f>
        <v>+14089190600</v>
      </c>
      <c r="BF843" t="str">
        <f>""</f>
        <v/>
      </c>
      <c r="BG843" t="str">
        <f>"mhirao@fragomen.com"</f>
        <v>mhirao@fragomen.com</v>
      </c>
      <c r="BH843" t="str">
        <f>"Fragomen, Del Rey, Bernsen &amp; Loewy, LLP"</f>
        <v>Fragomen, Del Rey, Bernsen &amp; Loewy, LLP</v>
      </c>
      <c r="BI843" t="str">
        <f>"NJ"</f>
        <v>NJ</v>
      </c>
      <c r="BJ843" t="str">
        <f>"Supreme Court"</f>
        <v>Supreme Court</v>
      </c>
      <c r="BK843">
        <v>1</v>
      </c>
      <c r="BL843" t="s">
        <v>102</v>
      </c>
      <c r="BM843" t="str">
        <f>""</f>
        <v/>
      </c>
      <c r="BN843" t="s">
        <v>9823</v>
      </c>
      <c r="BP843" t="s">
        <v>585</v>
      </c>
      <c r="BQ843" t="s">
        <v>230</v>
      </c>
      <c r="BR843" t="s">
        <v>141</v>
      </c>
      <c r="BS843" s="5">
        <v>95134</v>
      </c>
      <c r="BT843" s="2">
        <v>122990</v>
      </c>
      <c r="BU843" s="2">
        <v>172600</v>
      </c>
      <c r="BV843" t="s">
        <v>105</v>
      </c>
      <c r="BW843" s="2">
        <v>122990</v>
      </c>
      <c r="BX843" t="s">
        <v>105</v>
      </c>
      <c r="BZ843" t="s">
        <v>123</v>
      </c>
      <c r="CA843" t="str">
        <f t="shared" si="60"/>
        <v>7/1/2020 - 6/30/2021</v>
      </c>
      <c r="CF843">
        <v>2</v>
      </c>
      <c r="CG843" t="s">
        <v>98</v>
      </c>
      <c r="CH843" t="s">
        <v>206</v>
      </c>
      <c r="CI843" t="s">
        <v>206</v>
      </c>
      <c r="CL843" t="s">
        <v>108</v>
      </c>
      <c r="CM843" t="s">
        <v>109</v>
      </c>
      <c r="CN843" t="str">
        <f>"Andrade"</f>
        <v>Andrade</v>
      </c>
      <c r="CO843" t="str">
        <f>"Andrew"</f>
        <v>Andrew</v>
      </c>
      <c r="CP843" t="str">
        <f>""</f>
        <v/>
      </c>
      <c r="CQ843" t="str">
        <f>"Fragomen, Del Rey, Bernsen &amp; Loewy, LLP"</f>
        <v>Fragomen, Del Rey, Bernsen &amp; Loewy, LLP</v>
      </c>
      <c r="CR843" t="s">
        <v>2481</v>
      </c>
    </row>
    <row r="844" spans="1:96" x14ac:dyDescent="0.2">
      <c r="A844" t="s">
        <v>9833</v>
      </c>
      <c r="B844" t="s">
        <v>96</v>
      </c>
      <c r="C844" s="1">
        <v>44098</v>
      </c>
      <c r="D844" s="1">
        <v>44105</v>
      </c>
      <c r="F844" t="s">
        <v>97</v>
      </c>
      <c r="G844" t="str">
        <f>"Research Assistant"</f>
        <v>Research Assistant</v>
      </c>
      <c r="H844" t="s">
        <v>12265</v>
      </c>
      <c r="I844" t="s">
        <v>9834</v>
      </c>
      <c r="J844" t="s">
        <v>98</v>
      </c>
      <c r="K844" s="1">
        <v>44098</v>
      </c>
      <c r="L844" s="1">
        <v>44408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9835</v>
      </c>
      <c r="U844" t="str">
        <f>""</f>
        <v/>
      </c>
      <c r="V844" t="s">
        <v>9836</v>
      </c>
      <c r="W844" t="str">
        <f>""</f>
        <v/>
      </c>
      <c r="X844" t="s">
        <v>119</v>
      </c>
      <c r="Y844" t="s">
        <v>114</v>
      </c>
      <c r="Z844" s="3">
        <v>77840</v>
      </c>
      <c r="AA844" t="s">
        <v>101</v>
      </c>
      <c r="AC844" s="4" t="str">
        <f>"+19794587696"</f>
        <v>+19794587696</v>
      </c>
      <c r="AE844" t="str">
        <f>"54171"</f>
        <v>54171</v>
      </c>
      <c r="AF844" t="s">
        <v>9837</v>
      </c>
      <c r="AG844" t="s">
        <v>8985</v>
      </c>
      <c r="AI844" t="s">
        <v>9838</v>
      </c>
      <c r="AJ844" t="s">
        <v>9839</v>
      </c>
      <c r="AK844" t="str">
        <f>""</f>
        <v/>
      </c>
      <c r="AL844" t="s">
        <v>119</v>
      </c>
      <c r="AM844" t="s">
        <v>114</v>
      </c>
      <c r="AN844" s="3">
        <v>77843</v>
      </c>
      <c r="AO844" t="s">
        <v>101</v>
      </c>
      <c r="AQ844" t="str">
        <f>"+19794587699"</f>
        <v>+19794587699</v>
      </c>
      <c r="AS844" t="s">
        <v>9840</v>
      </c>
      <c r="AT844" t="s">
        <v>107</v>
      </c>
      <c r="AU844" t="str">
        <f>"Zubairy"</f>
        <v>Zubairy</v>
      </c>
      <c r="AV844" t="str">
        <f>"Sahar"</f>
        <v>Sahar</v>
      </c>
      <c r="AW844" t="str">
        <f>""</f>
        <v/>
      </c>
      <c r="AX844" t="str">
        <f>"1158 TAMU"</f>
        <v>1158 TAMU</v>
      </c>
      <c r="AY844" t="str">
        <f>""</f>
        <v/>
      </c>
      <c r="AZ844" t="str">
        <f>"College Station"</f>
        <v>College Station</v>
      </c>
      <c r="BA844" t="str">
        <f>"TX"</f>
        <v>TX</v>
      </c>
      <c r="BB844" s="3">
        <v>77843</v>
      </c>
      <c r="BC844" t="str">
        <f t="shared" si="61"/>
        <v>UNITED STATES OF AMERICA</v>
      </c>
      <c r="BD844" t="str">
        <f>""</f>
        <v/>
      </c>
      <c r="BE844" t="str">
        <f>"+19798621719"</f>
        <v>+19798621719</v>
      </c>
      <c r="BF844" t="str">
        <f>""</f>
        <v/>
      </c>
      <c r="BG844" t="str">
        <f>"szub@tamu.edu"</f>
        <v>szub@tamu.edu</v>
      </c>
      <c r="BH844" t="str">
        <f>"Texas A&amp;M University"</f>
        <v>Texas A&amp;M University</v>
      </c>
      <c r="BI844" t="str">
        <f>""</f>
        <v/>
      </c>
      <c r="BJ844" t="str">
        <f>""</f>
        <v/>
      </c>
      <c r="BK844">
        <v>1</v>
      </c>
      <c r="BL844" t="s">
        <v>102</v>
      </c>
      <c r="BM844" t="str">
        <f>""</f>
        <v/>
      </c>
      <c r="BN844" t="s">
        <v>9841</v>
      </c>
      <c r="BP844" t="s">
        <v>119</v>
      </c>
      <c r="BQ844" t="s">
        <v>3702</v>
      </c>
      <c r="BR844" t="s">
        <v>114</v>
      </c>
      <c r="BS844" s="5">
        <v>77843</v>
      </c>
      <c r="BT844" s="2">
        <v>26400</v>
      </c>
      <c r="BV844" t="s">
        <v>105</v>
      </c>
      <c r="BW844" s="2">
        <v>25272</v>
      </c>
      <c r="BX844" t="s">
        <v>105</v>
      </c>
      <c r="BZ844" t="s">
        <v>123</v>
      </c>
      <c r="CA844" t="str">
        <f t="shared" si="60"/>
        <v>7/1/2020 - 6/30/2021</v>
      </c>
      <c r="CF844">
        <v>1</v>
      </c>
      <c r="CG844" t="s">
        <v>98</v>
      </c>
      <c r="CH844" t="s">
        <v>206</v>
      </c>
      <c r="CI844" t="s">
        <v>206</v>
      </c>
      <c r="CL844" t="s">
        <v>108</v>
      </c>
      <c r="CM844" t="s">
        <v>109</v>
      </c>
      <c r="CN844" t="str">
        <f>""</f>
        <v/>
      </c>
      <c r="CO844" t="str">
        <f>""</f>
        <v/>
      </c>
      <c r="CP844" t="str">
        <f>""</f>
        <v/>
      </c>
      <c r="CQ844" t="str">
        <f>""</f>
        <v/>
      </c>
    </row>
    <row r="845" spans="1:96" x14ac:dyDescent="0.2">
      <c r="A845" t="s">
        <v>9865</v>
      </c>
      <c r="B845" t="s">
        <v>96</v>
      </c>
      <c r="C845" s="1">
        <v>44098</v>
      </c>
      <c r="D845" s="1">
        <v>44105</v>
      </c>
      <c r="F845" t="s">
        <v>97</v>
      </c>
      <c r="G845" t="str">
        <f>"Sr Princ Software Dev Engineer"</f>
        <v>Sr Princ Software Dev Engineer</v>
      </c>
      <c r="H845" t="s">
        <v>12176</v>
      </c>
      <c r="I845" t="s">
        <v>246</v>
      </c>
      <c r="J845" t="s">
        <v>98</v>
      </c>
      <c r="K845" s="1">
        <v>44105</v>
      </c>
      <c r="L845" s="1">
        <v>45199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 t="s">
        <v>1966</v>
      </c>
      <c r="U845" t="str">
        <f>""</f>
        <v/>
      </c>
      <c r="V845" t="s">
        <v>1967</v>
      </c>
      <c r="W845" t="str">
        <f>""</f>
        <v/>
      </c>
      <c r="X845" t="s">
        <v>229</v>
      </c>
      <c r="Y845" t="s">
        <v>141</v>
      </c>
      <c r="Z845" s="3">
        <v>94089</v>
      </c>
      <c r="AA845" t="s">
        <v>101</v>
      </c>
      <c r="AC845" s="4" t="str">
        <f>"+14153981800"</f>
        <v>+14153981800</v>
      </c>
      <c r="AE845" t="str">
        <f>"519130"</f>
        <v>519130</v>
      </c>
      <c r="AF845" t="s">
        <v>1968</v>
      </c>
      <c r="AG845" t="s">
        <v>1912</v>
      </c>
      <c r="AI845" t="s">
        <v>221</v>
      </c>
      <c r="AJ845" t="s">
        <v>1969</v>
      </c>
      <c r="AK845" t="str">
        <f>""</f>
        <v/>
      </c>
      <c r="AL845" t="s">
        <v>229</v>
      </c>
      <c r="AM845" t="s">
        <v>141</v>
      </c>
      <c r="AN845" s="3">
        <v>94089</v>
      </c>
      <c r="AO845" t="s">
        <v>101</v>
      </c>
      <c r="AQ845" t="str">
        <f>"+16692490206"</f>
        <v>+16692490206</v>
      </c>
      <c r="AS845" t="s">
        <v>1970</v>
      </c>
      <c r="AT845" t="s">
        <v>107</v>
      </c>
      <c r="AU845" t="str">
        <f>"REES"</f>
        <v>REES</v>
      </c>
      <c r="AV845" t="str">
        <f>"BRENT"</f>
        <v>BRENT</v>
      </c>
      <c r="AW845" t="str">
        <f>"A."</f>
        <v>A.</v>
      </c>
      <c r="AX845" t="str">
        <f>"5080 SPECTRUM DRIVE"</f>
        <v>5080 SPECTRUM DRIVE</v>
      </c>
      <c r="AY845" t="str">
        <f>"850W"</f>
        <v>850W</v>
      </c>
      <c r="AZ845" t="str">
        <f>"ADDISON"</f>
        <v>ADDISON</v>
      </c>
      <c r="BA845" t="str">
        <f>"TX"</f>
        <v>TX</v>
      </c>
      <c r="BB845" s="3">
        <v>75001</v>
      </c>
      <c r="BC845" t="str">
        <f t="shared" si="61"/>
        <v>UNITED STATES OF AMERICA</v>
      </c>
      <c r="BD845" t="str">
        <f>""</f>
        <v/>
      </c>
      <c r="BE845" t="str">
        <f>"+14697910350"</f>
        <v>+14697910350</v>
      </c>
      <c r="BF845" t="str">
        <f>""</f>
        <v/>
      </c>
      <c r="BG845" t="str">
        <f>"BREES@FRAGOMEN.COM"</f>
        <v>BREES@FRAGOMEN.COM</v>
      </c>
      <c r="BH845" t="str">
        <f>"Fragomen, Del Rey, Bernsen &amp; Loewy, LLP"</f>
        <v>Fragomen, Del Rey, Bernsen &amp; Loewy, LLP</v>
      </c>
      <c r="BI845" t="str">
        <f>"MD"</f>
        <v>MD</v>
      </c>
      <c r="BJ845" t="str">
        <f>"COURT OF APPEALS"</f>
        <v>COURT OF APPEALS</v>
      </c>
      <c r="BK845">
        <v>1</v>
      </c>
      <c r="BL845" t="s">
        <v>102</v>
      </c>
      <c r="BM845" t="str">
        <f>""</f>
        <v/>
      </c>
      <c r="BN845" t="s">
        <v>1967</v>
      </c>
      <c r="BP845" t="s">
        <v>229</v>
      </c>
      <c r="BQ845" t="s">
        <v>230</v>
      </c>
      <c r="BR845" t="s">
        <v>141</v>
      </c>
      <c r="BS845" s="5">
        <v>94089</v>
      </c>
      <c r="BT845" s="2">
        <v>233928.45</v>
      </c>
      <c r="BV845" t="s">
        <v>105</v>
      </c>
      <c r="BW845" s="2">
        <v>216617</v>
      </c>
      <c r="BX845" t="s">
        <v>105</v>
      </c>
      <c r="CA845" t="str">
        <f>""</f>
        <v/>
      </c>
      <c r="CB845" t="s">
        <v>244</v>
      </c>
      <c r="CC845">
        <v>2020</v>
      </c>
      <c r="CD845" t="s">
        <v>524</v>
      </c>
      <c r="CE845" t="s">
        <v>9866</v>
      </c>
      <c r="CF845">
        <v>2</v>
      </c>
      <c r="CG845" t="s">
        <v>98</v>
      </c>
      <c r="CH845" t="s">
        <v>206</v>
      </c>
      <c r="CI845" t="s">
        <v>206</v>
      </c>
      <c r="CL845" t="s">
        <v>108</v>
      </c>
      <c r="CM845" t="s">
        <v>109</v>
      </c>
      <c r="CN845" t="str">
        <f>"Sharafi-Roumi"</f>
        <v>Sharafi-Roumi</v>
      </c>
      <c r="CO845" t="str">
        <f>"Ziba"</f>
        <v>Ziba</v>
      </c>
      <c r="CP845" t="str">
        <f>""</f>
        <v/>
      </c>
      <c r="CQ845" t="str">
        <f>"Fragomen, Del Rey, Bernsen &amp; Loewy, LLP"</f>
        <v>Fragomen, Del Rey, Bernsen &amp; Loewy, LLP</v>
      </c>
      <c r="CR845" t="s">
        <v>3452</v>
      </c>
    </row>
    <row r="846" spans="1:96" x14ac:dyDescent="0.2">
      <c r="A846" t="s">
        <v>9890</v>
      </c>
      <c r="B846" t="s">
        <v>96</v>
      </c>
      <c r="C846" s="1">
        <v>44098</v>
      </c>
      <c r="D846" s="1">
        <v>44105</v>
      </c>
      <c r="F846" t="s">
        <v>97</v>
      </c>
      <c r="G846" t="str">
        <f>"Quantitative Research Associate/ Programmer"</f>
        <v>Quantitative Research Associate/ Programmer</v>
      </c>
      <c r="H846" t="s">
        <v>12213</v>
      </c>
      <c r="I846" t="s">
        <v>493</v>
      </c>
      <c r="J846" t="s">
        <v>98</v>
      </c>
      <c r="K846" s="1">
        <v>44106</v>
      </c>
      <c r="L846" s="1">
        <v>45200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 t="s">
        <v>3345</v>
      </c>
      <c r="U846" t="str">
        <f>""</f>
        <v/>
      </c>
      <c r="V846" t="s">
        <v>3346</v>
      </c>
      <c r="W846" t="str">
        <f>""</f>
        <v/>
      </c>
      <c r="X846" t="s">
        <v>277</v>
      </c>
      <c r="Y846" t="s">
        <v>190</v>
      </c>
      <c r="Z846" s="3">
        <v>10105</v>
      </c>
      <c r="AA846" t="s">
        <v>101</v>
      </c>
      <c r="AC846" s="4" t="str">
        <f>"+12129691000"</f>
        <v>+12129691000</v>
      </c>
      <c r="AE846" t="str">
        <f>"523920"</f>
        <v>523920</v>
      </c>
      <c r="AF846" t="s">
        <v>3347</v>
      </c>
      <c r="AG846" t="s">
        <v>3348</v>
      </c>
      <c r="AI846" t="s">
        <v>3044</v>
      </c>
      <c r="AJ846" t="s">
        <v>3349</v>
      </c>
      <c r="AK846" t="str">
        <f>""</f>
        <v/>
      </c>
      <c r="AL846" t="s">
        <v>1368</v>
      </c>
      <c r="AM846" t="s">
        <v>545</v>
      </c>
      <c r="AN846" s="3">
        <v>37219</v>
      </c>
      <c r="AO846" t="s">
        <v>101</v>
      </c>
      <c r="AQ846" t="str">
        <f>"+16292135803"</f>
        <v>+16292135803</v>
      </c>
      <c r="AS846" t="s">
        <v>3350</v>
      </c>
      <c r="AT846" t="s">
        <v>107</v>
      </c>
      <c r="AU846" t="str">
        <f>"Soni"</f>
        <v>Soni</v>
      </c>
      <c r="AV846" t="str">
        <f>"Rahul"</f>
        <v>Rahul</v>
      </c>
      <c r="AW846" t="str">
        <f>""</f>
        <v/>
      </c>
      <c r="AX846" t="str">
        <f>"1400 Broadway"</f>
        <v>1400 Broadway</v>
      </c>
      <c r="AY846" t="str">
        <f>""</f>
        <v/>
      </c>
      <c r="AZ846" t="str">
        <f>"New York"</f>
        <v>New York</v>
      </c>
      <c r="BA846" t="str">
        <f>"NY"</f>
        <v>NY</v>
      </c>
      <c r="BB846" s="3">
        <v>10018</v>
      </c>
      <c r="BC846" t="str">
        <f t="shared" si="61"/>
        <v>UNITED STATES OF AMERICA</v>
      </c>
      <c r="BD846" t="str">
        <f>""</f>
        <v/>
      </c>
      <c r="BE846" t="str">
        <f>"+12126888555"</f>
        <v>+12126888555</v>
      </c>
      <c r="BF846" t="str">
        <f>""</f>
        <v/>
      </c>
      <c r="BG846" t="str">
        <f>"NHigdon@Fragomen.com"</f>
        <v>NHigdon@Fragomen.com</v>
      </c>
      <c r="BH846" t="str">
        <f>"Fragomen, Del Rey, Bernsen &amp; Loewy, LLP"</f>
        <v>Fragomen, Del Rey, Bernsen &amp; Loewy, LLP</v>
      </c>
      <c r="BI846" t="str">
        <f>"CA"</f>
        <v>CA</v>
      </c>
      <c r="BJ846" t="str">
        <f>"Supreme Court"</f>
        <v>Supreme Court</v>
      </c>
      <c r="BK846">
        <v>1</v>
      </c>
      <c r="BL846" t="s">
        <v>102</v>
      </c>
      <c r="BM846" t="str">
        <f>""</f>
        <v/>
      </c>
      <c r="BN846" t="s">
        <v>9891</v>
      </c>
      <c r="BO846" t="s">
        <v>9892</v>
      </c>
      <c r="BP846" t="s">
        <v>1213</v>
      </c>
      <c r="BQ846" t="s">
        <v>1214</v>
      </c>
      <c r="BR846" t="s">
        <v>100</v>
      </c>
      <c r="BS846" s="5">
        <v>7310</v>
      </c>
      <c r="BT846" s="2">
        <v>131685</v>
      </c>
      <c r="BU846" s="2">
        <v>135000</v>
      </c>
      <c r="BV846" t="s">
        <v>105</v>
      </c>
      <c r="BW846" s="2">
        <v>131685</v>
      </c>
      <c r="BX846" t="s">
        <v>105</v>
      </c>
      <c r="BZ846" t="s">
        <v>123</v>
      </c>
      <c r="CA846" t="str">
        <f t="shared" ref="CA846:CA873" si="62">"7/1/2020 - 6/30/2021"</f>
        <v>7/1/2020 - 6/30/2021</v>
      </c>
      <c r="CF846">
        <v>1</v>
      </c>
      <c r="CG846" t="s">
        <v>98</v>
      </c>
      <c r="CH846" t="s">
        <v>206</v>
      </c>
      <c r="CI846" t="s">
        <v>206</v>
      </c>
      <c r="CL846" t="s">
        <v>108</v>
      </c>
      <c r="CM846" t="s">
        <v>109</v>
      </c>
      <c r="CN846" t="str">
        <f>"Higdon"</f>
        <v>Higdon</v>
      </c>
      <c r="CO846" t="str">
        <f>"Nathaniel"</f>
        <v>Nathaniel</v>
      </c>
      <c r="CP846" t="str">
        <f>""</f>
        <v/>
      </c>
      <c r="CQ846" t="str">
        <f>"Fragomen, Del Rey, Bernsen &amp; Loewy, LLP"</f>
        <v>Fragomen, Del Rey, Bernsen &amp; Loewy, LLP</v>
      </c>
      <c r="CR846" t="s">
        <v>5348</v>
      </c>
    </row>
    <row r="847" spans="1:96" x14ac:dyDescent="0.2">
      <c r="A847" t="s">
        <v>9898</v>
      </c>
      <c r="B847" t="s">
        <v>96</v>
      </c>
      <c r="C847" s="1">
        <v>44098</v>
      </c>
      <c r="D847" s="1">
        <v>44105</v>
      </c>
      <c r="F847" t="s">
        <v>97</v>
      </c>
      <c r="G847" t="str">
        <f>"Senior Associate, Quality Operations Global Product Disposit"</f>
        <v>Senior Associate, Quality Operations Global Product Disposit</v>
      </c>
      <c r="H847" t="s">
        <v>12218</v>
      </c>
      <c r="I847" t="s">
        <v>2929</v>
      </c>
      <c r="J847" t="s">
        <v>98</v>
      </c>
      <c r="K847" s="1">
        <v>44112</v>
      </c>
      <c r="L847" s="1">
        <v>45206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9106</v>
      </c>
      <c r="U847" t="str">
        <f>""</f>
        <v/>
      </c>
      <c r="V847" t="s">
        <v>9107</v>
      </c>
      <c r="W847" t="str">
        <f>""</f>
        <v/>
      </c>
      <c r="X847" t="s">
        <v>1611</v>
      </c>
      <c r="Y847" t="s">
        <v>176</v>
      </c>
      <c r="Z847" s="3">
        <v>98021</v>
      </c>
      <c r="AA847" t="s">
        <v>101</v>
      </c>
      <c r="AC847" s="4" t="str">
        <f>"+14255274000"</f>
        <v>+14255274000</v>
      </c>
      <c r="AE847" t="str">
        <f>"54171"</f>
        <v>54171</v>
      </c>
      <c r="AF847" t="s">
        <v>9899</v>
      </c>
      <c r="AG847" t="s">
        <v>6103</v>
      </c>
      <c r="AI847" t="s">
        <v>2729</v>
      </c>
      <c r="AJ847" t="s">
        <v>9107</v>
      </c>
      <c r="AK847" t="str">
        <f>""</f>
        <v/>
      </c>
      <c r="AL847" t="s">
        <v>1611</v>
      </c>
      <c r="AM847" t="s">
        <v>176</v>
      </c>
      <c r="AN847" s="3">
        <v>98021</v>
      </c>
      <c r="AO847" t="s">
        <v>101</v>
      </c>
      <c r="AQ847" t="str">
        <f>"+14255274000"</f>
        <v>+14255274000</v>
      </c>
      <c r="AS847" t="s">
        <v>9108</v>
      </c>
      <c r="AT847" t="s">
        <v>107</v>
      </c>
      <c r="AU847" t="str">
        <f>"Yamamoto"</f>
        <v>Yamamoto</v>
      </c>
      <c r="AV847" t="str">
        <f>"Kohei"</f>
        <v>Kohei</v>
      </c>
      <c r="AW847" t="str">
        <f>""</f>
        <v/>
      </c>
      <c r="AX847" t="str">
        <f>"1000 2nd Ave"</f>
        <v>1000 2nd Ave</v>
      </c>
      <c r="AY847" t="str">
        <f>"Suite 1620"</f>
        <v>Suite 1620</v>
      </c>
      <c r="AZ847" t="str">
        <f>"Seattle"</f>
        <v>Seattle</v>
      </c>
      <c r="BA847" t="str">
        <f>"WA"</f>
        <v>WA</v>
      </c>
      <c r="BB847" s="3">
        <v>98104</v>
      </c>
      <c r="BC847" t="str">
        <f t="shared" si="61"/>
        <v>UNITED STATES OF AMERICA</v>
      </c>
      <c r="BD847" t="str">
        <f>"WA"</f>
        <v>WA</v>
      </c>
      <c r="BE847" t="str">
        <f>"+12063401033"</f>
        <v>+12063401033</v>
      </c>
      <c r="BF847" t="str">
        <f>"303"</f>
        <v>303</v>
      </c>
      <c r="BG847" t="str">
        <f>"kyamamoto@cmlseattle.com"</f>
        <v>kyamamoto@cmlseattle.com</v>
      </c>
      <c r="BH847" t="str">
        <f>"Cowan Miller &amp; Lederman"</f>
        <v>Cowan Miller &amp; Lederman</v>
      </c>
      <c r="BI847" t="str">
        <f>"WA"</f>
        <v>WA</v>
      </c>
      <c r="BJ847" t="str">
        <f>"Washington State Supreme Court"</f>
        <v>Washington State Supreme Court</v>
      </c>
      <c r="BK847">
        <v>1</v>
      </c>
      <c r="BL847" t="s">
        <v>102</v>
      </c>
      <c r="BM847" t="str">
        <f>""</f>
        <v/>
      </c>
      <c r="BN847" t="s">
        <v>9107</v>
      </c>
      <c r="BP847" t="s">
        <v>1611</v>
      </c>
      <c r="BQ847" t="s">
        <v>1612</v>
      </c>
      <c r="BR847" t="s">
        <v>176</v>
      </c>
      <c r="BS847" s="5">
        <v>98021</v>
      </c>
      <c r="BT847" s="2">
        <v>90000</v>
      </c>
      <c r="BU847" s="2">
        <v>120000</v>
      </c>
      <c r="BV847" t="s">
        <v>105</v>
      </c>
      <c r="BW847" s="2">
        <v>85987</v>
      </c>
      <c r="BX847" t="s">
        <v>105</v>
      </c>
      <c r="BZ847" t="s">
        <v>159</v>
      </c>
      <c r="CA847" t="str">
        <f t="shared" si="62"/>
        <v>7/1/2020 - 6/30/2021</v>
      </c>
      <c r="CF847">
        <v>1</v>
      </c>
      <c r="CG847" t="s">
        <v>98</v>
      </c>
      <c r="CH847" t="s">
        <v>206</v>
      </c>
      <c r="CI847" t="s">
        <v>206</v>
      </c>
      <c r="CL847" t="s">
        <v>108</v>
      </c>
      <c r="CM847" t="s">
        <v>109</v>
      </c>
      <c r="CN847" t="str">
        <f>""</f>
        <v/>
      </c>
      <c r="CO847" t="str">
        <f>""</f>
        <v/>
      </c>
      <c r="CP847" t="str">
        <f>""</f>
        <v/>
      </c>
      <c r="CQ847" t="str">
        <f>""</f>
        <v/>
      </c>
    </row>
    <row r="848" spans="1:96" x14ac:dyDescent="0.2">
      <c r="A848" t="s">
        <v>9902</v>
      </c>
      <c r="B848" t="s">
        <v>96</v>
      </c>
      <c r="C848" s="1">
        <v>44098</v>
      </c>
      <c r="D848" s="1">
        <v>44105</v>
      </c>
      <c r="F848" t="s">
        <v>97</v>
      </c>
      <c r="G848" t="str">
        <f>"Associate Director, Forecasting - Rare Blood Disorders"</f>
        <v>Associate Director, Forecasting - Rare Blood Disorders</v>
      </c>
      <c r="H848" t="s">
        <v>12168</v>
      </c>
      <c r="I848" t="s">
        <v>249</v>
      </c>
      <c r="J848" t="s">
        <v>98</v>
      </c>
      <c r="K848" s="1">
        <v>44102</v>
      </c>
      <c r="L848" s="1">
        <v>45196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4323</v>
      </c>
      <c r="U848" t="str">
        <f>""</f>
        <v/>
      </c>
      <c r="V848" t="s">
        <v>4324</v>
      </c>
      <c r="W848" t="str">
        <f>""</f>
        <v/>
      </c>
      <c r="X848" t="s">
        <v>436</v>
      </c>
      <c r="Y848" t="s">
        <v>171</v>
      </c>
      <c r="Z848" s="3">
        <v>2142</v>
      </c>
      <c r="AA848" t="s">
        <v>101</v>
      </c>
      <c r="AC848" s="4" t="str">
        <f>"+17816639057"</f>
        <v>+17816639057</v>
      </c>
      <c r="AE848" t="str">
        <f>"54171"</f>
        <v>54171</v>
      </c>
      <c r="AF848" t="s">
        <v>4325</v>
      </c>
      <c r="AG848" t="s">
        <v>3069</v>
      </c>
      <c r="AH848" t="s">
        <v>1079</v>
      </c>
      <c r="AI848" t="s">
        <v>471</v>
      </c>
      <c r="AJ848" t="s">
        <v>4326</v>
      </c>
      <c r="AK848" t="str">
        <f>""</f>
        <v/>
      </c>
      <c r="AL848" t="s">
        <v>2302</v>
      </c>
      <c r="AM848" t="s">
        <v>171</v>
      </c>
      <c r="AN848" s="3">
        <v>2451</v>
      </c>
      <c r="AO848" t="s">
        <v>101</v>
      </c>
      <c r="AQ848" t="str">
        <f>"+17816639057"</f>
        <v>+17816639057</v>
      </c>
      <c r="AS848" t="s">
        <v>4327</v>
      </c>
      <c r="AT848" t="s">
        <v>107</v>
      </c>
      <c r="AU848" t="str">
        <f>"Band"</f>
        <v>Band</v>
      </c>
      <c r="AV848" t="str">
        <f>"Ian"</f>
        <v>Ian</v>
      </c>
      <c r="AW848" t="str">
        <f>"P"</f>
        <v>P</v>
      </c>
      <c r="AX848" t="str">
        <f>"2200 Pennsylvania Avenue NW"</f>
        <v>2200 Pennsylvania Avenue NW</v>
      </c>
      <c r="AY848" t="str">
        <f>""</f>
        <v/>
      </c>
      <c r="AZ848" t="str">
        <f>"Washington"</f>
        <v>Washington</v>
      </c>
      <c r="BA848" t="str">
        <f>"DC"</f>
        <v>DC</v>
      </c>
      <c r="BB848" s="3">
        <v>20037</v>
      </c>
      <c r="BC848" t="str">
        <f t="shared" si="61"/>
        <v>UNITED STATES OF AMERICA</v>
      </c>
      <c r="BD848" t="str">
        <f>""</f>
        <v/>
      </c>
      <c r="BE848" t="str">
        <f>"+12029551913"</f>
        <v>+12029551913</v>
      </c>
      <c r="BF848" t="str">
        <f>"000"</f>
        <v>000</v>
      </c>
      <c r="BG848" t="str">
        <f>"iband@hunton.com"</f>
        <v>iband@hunton.com</v>
      </c>
      <c r="BH848" t="str">
        <f>"Hunton Andrews Kurth LLP"</f>
        <v>Hunton Andrews Kurth LLP</v>
      </c>
      <c r="BI848" t="str">
        <f>"DC"</f>
        <v>DC</v>
      </c>
      <c r="BJ848" t="str">
        <f>"Court of Appeals"</f>
        <v>Court of Appeals</v>
      </c>
      <c r="BK848">
        <v>1</v>
      </c>
      <c r="BL848" t="s">
        <v>102</v>
      </c>
      <c r="BM848" t="str">
        <f>""</f>
        <v/>
      </c>
      <c r="BN848" t="s">
        <v>9903</v>
      </c>
      <c r="BP848" t="s">
        <v>1188</v>
      </c>
      <c r="BQ848" t="s">
        <v>365</v>
      </c>
      <c r="BR848" t="s">
        <v>141</v>
      </c>
      <c r="BS848" s="5">
        <v>91307</v>
      </c>
      <c r="BT848" s="2">
        <v>119000</v>
      </c>
      <c r="BU848" s="2">
        <v>221000</v>
      </c>
      <c r="BV848" t="s">
        <v>105</v>
      </c>
      <c r="BW848" s="2">
        <v>104749</v>
      </c>
      <c r="BX848" t="s">
        <v>105</v>
      </c>
      <c r="BZ848" t="s">
        <v>159</v>
      </c>
      <c r="CA848" t="str">
        <f t="shared" si="62"/>
        <v>7/1/2020 - 6/30/2021</v>
      </c>
      <c r="CF848">
        <v>3</v>
      </c>
      <c r="CG848" t="s">
        <v>98</v>
      </c>
      <c r="CH848" t="s">
        <v>206</v>
      </c>
      <c r="CI848" t="s">
        <v>206</v>
      </c>
      <c r="CL848" t="s">
        <v>108</v>
      </c>
      <c r="CM848" t="s">
        <v>109</v>
      </c>
      <c r="CN848" t="str">
        <f>"Lovelace"</f>
        <v>Lovelace</v>
      </c>
      <c r="CO848" t="str">
        <f>"Ashley"</f>
        <v>Ashley</v>
      </c>
      <c r="CP848" t="str">
        <f>""</f>
        <v/>
      </c>
      <c r="CQ848" t="str">
        <f>"Hunton Andrews Kurth LLP"</f>
        <v>Hunton Andrews Kurth LLP</v>
      </c>
      <c r="CR848" t="s">
        <v>4328</v>
      </c>
    </row>
    <row r="849" spans="1:96" x14ac:dyDescent="0.2">
      <c r="A849" t="s">
        <v>9904</v>
      </c>
      <c r="B849" t="s">
        <v>96</v>
      </c>
      <c r="C849" s="1">
        <v>44098</v>
      </c>
      <c r="D849" s="1">
        <v>44105</v>
      </c>
      <c r="F849" t="s">
        <v>97</v>
      </c>
      <c r="G849" t="str">
        <f>"Accountant "</f>
        <v xml:space="preserve">Accountant </v>
      </c>
      <c r="H849" t="s">
        <v>12192</v>
      </c>
      <c r="I849" t="s">
        <v>855</v>
      </c>
      <c r="J849" t="s">
        <v>206</v>
      </c>
      <c r="K849" s="1">
        <v>44098</v>
      </c>
      <c r="L849" s="1">
        <v>45172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 t="s">
        <v>9905</v>
      </c>
      <c r="U849" t="str">
        <f>""</f>
        <v/>
      </c>
      <c r="V849" t="s">
        <v>9906</v>
      </c>
      <c r="W849" t="str">
        <f>"Suite 108"</f>
        <v>Suite 108</v>
      </c>
      <c r="X849" t="s">
        <v>394</v>
      </c>
      <c r="Y849" t="s">
        <v>114</v>
      </c>
      <c r="Z849" s="3">
        <v>77079</v>
      </c>
      <c r="AA849" t="s">
        <v>101</v>
      </c>
      <c r="AC849" s="4" t="str">
        <f>"+12819036910"</f>
        <v>+12819036910</v>
      </c>
      <c r="AE849" t="str">
        <f>"561612"</f>
        <v>561612</v>
      </c>
      <c r="AF849" t="s">
        <v>506</v>
      </c>
      <c r="AG849" t="s">
        <v>7923</v>
      </c>
      <c r="AI849" t="s">
        <v>646</v>
      </c>
      <c r="AJ849" t="s">
        <v>9906</v>
      </c>
      <c r="AK849" t="str">
        <f>"Suite 108"</f>
        <v>Suite 108</v>
      </c>
      <c r="AL849" t="s">
        <v>394</v>
      </c>
      <c r="AM849" t="s">
        <v>114</v>
      </c>
      <c r="AN849" s="3">
        <v>77079</v>
      </c>
      <c r="AO849" t="s">
        <v>101</v>
      </c>
      <c r="AQ849" t="str">
        <f>"+12819036910"</f>
        <v>+12819036910</v>
      </c>
      <c r="AS849" t="s">
        <v>9907</v>
      </c>
      <c r="AT849" t="s">
        <v>107</v>
      </c>
      <c r="AU849" t="str">
        <f>"Foster"</f>
        <v>Foster</v>
      </c>
      <c r="AV849" t="str">
        <f>"Charles"</f>
        <v>Charles</v>
      </c>
      <c r="AW849" t="str">
        <f>"C"</f>
        <v>C</v>
      </c>
      <c r="AX849" t="str">
        <f>"3 Greenway Plaza"</f>
        <v>3 Greenway Plaza</v>
      </c>
      <c r="AY849" t="str">
        <f>"Suite 800"</f>
        <v>Suite 800</v>
      </c>
      <c r="AZ849" t="str">
        <f>"Houston"</f>
        <v>Houston</v>
      </c>
      <c r="BA849" t="str">
        <f>"TX"</f>
        <v>TX</v>
      </c>
      <c r="BB849" s="3">
        <v>77046</v>
      </c>
      <c r="BC849" t="str">
        <f t="shared" si="61"/>
        <v>UNITED STATES OF AMERICA</v>
      </c>
      <c r="BD849" t="str">
        <f>""</f>
        <v/>
      </c>
      <c r="BE849" t="str">
        <f>"+17133353904"</f>
        <v>+17133353904</v>
      </c>
      <c r="BF849" t="str">
        <f>""</f>
        <v/>
      </c>
      <c r="BG849" t="str">
        <f>"cfoster@fosterglobal.com"</f>
        <v>cfoster@fosterglobal.com</v>
      </c>
      <c r="BH849" t="str">
        <f>"SUPREME COURT OF THE STATE OF TEXAS"</f>
        <v>SUPREME COURT OF THE STATE OF TEXAS</v>
      </c>
      <c r="BI849" t="str">
        <f>"TX"</f>
        <v>TX</v>
      </c>
      <c r="BJ849" t="str">
        <f>"Supreme Court of Texas"</f>
        <v>Supreme Court of Texas</v>
      </c>
      <c r="BK849">
        <v>1</v>
      </c>
      <c r="BL849" t="s">
        <v>102</v>
      </c>
      <c r="BM849" t="str">
        <f>""</f>
        <v/>
      </c>
      <c r="BN849" t="s">
        <v>9906</v>
      </c>
      <c r="BO849" t="s">
        <v>3816</v>
      </c>
      <c r="BP849" t="s">
        <v>394</v>
      </c>
      <c r="BQ849" t="s">
        <v>395</v>
      </c>
      <c r="BR849" t="s">
        <v>114</v>
      </c>
      <c r="BS849" s="5">
        <v>77079</v>
      </c>
      <c r="BT849" s="2">
        <v>24.89</v>
      </c>
      <c r="BV849" t="s">
        <v>210</v>
      </c>
      <c r="BW849" s="2">
        <v>24.89</v>
      </c>
      <c r="BX849" t="s">
        <v>210</v>
      </c>
      <c r="BZ849" t="s">
        <v>191</v>
      </c>
      <c r="CA849" t="str">
        <f t="shared" si="62"/>
        <v>7/1/2020 - 6/30/2021</v>
      </c>
      <c r="CF849">
        <v>1</v>
      </c>
      <c r="CG849" t="s">
        <v>98</v>
      </c>
      <c r="CH849" t="s">
        <v>206</v>
      </c>
      <c r="CI849" t="s">
        <v>206</v>
      </c>
      <c r="CL849" t="s">
        <v>108</v>
      </c>
      <c r="CM849" t="s">
        <v>109</v>
      </c>
      <c r="CN849" t="str">
        <f>""</f>
        <v/>
      </c>
      <c r="CO849" t="str">
        <f>""</f>
        <v/>
      </c>
      <c r="CP849" t="str">
        <f>""</f>
        <v/>
      </c>
      <c r="CQ849" t="str">
        <f>""</f>
        <v/>
      </c>
    </row>
    <row r="850" spans="1:96" x14ac:dyDescent="0.2">
      <c r="A850" t="s">
        <v>9909</v>
      </c>
      <c r="B850" t="s">
        <v>96</v>
      </c>
      <c r="C850" s="1">
        <v>44098</v>
      </c>
      <c r="D850" s="1">
        <v>44105</v>
      </c>
      <c r="F850" t="s">
        <v>97</v>
      </c>
      <c r="G850" t="str">
        <f>"SALESFORCE LEAD"</f>
        <v>SALESFORCE LEAD</v>
      </c>
      <c r="H850" t="s">
        <v>12169</v>
      </c>
      <c r="I850" t="s">
        <v>124</v>
      </c>
      <c r="J850" t="s">
        <v>98</v>
      </c>
      <c r="K850" s="1">
        <v>44105</v>
      </c>
      <c r="L850" s="1">
        <v>44910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 t="s">
        <v>9910</v>
      </c>
      <c r="U850" t="str">
        <f>""</f>
        <v/>
      </c>
      <c r="V850" t="s">
        <v>9911</v>
      </c>
      <c r="W850" t="str">
        <f>"Suite#300"</f>
        <v>Suite#300</v>
      </c>
      <c r="X850" t="s">
        <v>1965</v>
      </c>
      <c r="Y850" t="s">
        <v>135</v>
      </c>
      <c r="Z850" s="3">
        <v>20147</v>
      </c>
      <c r="AA850" t="s">
        <v>101</v>
      </c>
      <c r="AC850" s="4" t="str">
        <f>"+17035461919"</f>
        <v>+17035461919</v>
      </c>
      <c r="AE850" t="str">
        <f>"541511"</f>
        <v>541511</v>
      </c>
      <c r="AF850" t="s">
        <v>3081</v>
      </c>
      <c r="AG850" t="s">
        <v>4259</v>
      </c>
      <c r="AH850" t="s">
        <v>6417</v>
      </c>
      <c r="AI850" t="s">
        <v>508</v>
      </c>
      <c r="AJ850" t="s">
        <v>9911</v>
      </c>
      <c r="AK850" t="str">
        <f>"Suite#300"</f>
        <v>Suite#300</v>
      </c>
      <c r="AL850" t="s">
        <v>1965</v>
      </c>
      <c r="AM850" t="s">
        <v>135</v>
      </c>
      <c r="AN850" s="3">
        <v>20147</v>
      </c>
      <c r="AO850" t="s">
        <v>101</v>
      </c>
      <c r="AQ850" t="str">
        <f>"+17035461919"</f>
        <v>+17035461919</v>
      </c>
      <c r="AS850" t="s">
        <v>9912</v>
      </c>
      <c r="AT850" t="s">
        <v>102</v>
      </c>
      <c r="AU850" t="str">
        <f>""</f>
        <v/>
      </c>
      <c r="AV850" t="str">
        <f>""</f>
        <v/>
      </c>
      <c r="AW850" t="str">
        <f>""</f>
        <v/>
      </c>
      <c r="AX850" t="str">
        <f>""</f>
        <v/>
      </c>
      <c r="AY850" t="str">
        <f>""</f>
        <v/>
      </c>
      <c r="AZ850" t="str">
        <f>""</f>
        <v/>
      </c>
      <c r="BA850" t="str">
        <f>""</f>
        <v/>
      </c>
      <c r="BC850" t="str">
        <f>""</f>
        <v/>
      </c>
      <c r="BD850" t="str">
        <f>""</f>
        <v/>
      </c>
      <c r="BE850" t="str">
        <f>""</f>
        <v/>
      </c>
      <c r="BF850" t="str">
        <f>""</f>
        <v/>
      </c>
      <c r="BG850" t="str">
        <f>""</f>
        <v/>
      </c>
      <c r="BH850" t="str">
        <f>""</f>
        <v/>
      </c>
      <c r="BI850" t="str">
        <f>""</f>
        <v/>
      </c>
      <c r="BJ850" t="str">
        <f>""</f>
        <v/>
      </c>
      <c r="BK850">
        <v>1</v>
      </c>
      <c r="BL850" t="s">
        <v>107</v>
      </c>
      <c r="BM850" t="str">
        <f>"Cherish Technologies Inc"</f>
        <v>Cherish Technologies Inc</v>
      </c>
      <c r="BN850" t="s">
        <v>9913</v>
      </c>
      <c r="BO850">
        <v>205</v>
      </c>
      <c r="BP850" t="s">
        <v>7104</v>
      </c>
      <c r="BQ850" t="s">
        <v>419</v>
      </c>
      <c r="BR850" t="s">
        <v>141</v>
      </c>
      <c r="BS850" s="5">
        <v>94538</v>
      </c>
      <c r="BT850" s="2">
        <v>120931</v>
      </c>
      <c r="BV850" t="s">
        <v>105</v>
      </c>
      <c r="BW850" s="2">
        <v>120931</v>
      </c>
      <c r="BX850" t="s">
        <v>105</v>
      </c>
      <c r="BZ850" t="s">
        <v>167</v>
      </c>
      <c r="CA850" t="str">
        <f t="shared" si="62"/>
        <v>7/1/2020 - 6/30/2021</v>
      </c>
      <c r="CF850">
        <v>2</v>
      </c>
      <c r="CG850" t="s">
        <v>98</v>
      </c>
      <c r="CH850" t="s">
        <v>206</v>
      </c>
      <c r="CI850" t="s">
        <v>206</v>
      </c>
      <c r="CL850" t="s">
        <v>108</v>
      </c>
      <c r="CM850" t="s">
        <v>109</v>
      </c>
      <c r="CN850" t="str">
        <f>""</f>
        <v/>
      </c>
      <c r="CO850" t="str">
        <f>""</f>
        <v/>
      </c>
      <c r="CP850" t="str">
        <f>""</f>
        <v/>
      </c>
      <c r="CQ850" t="str">
        <f>""</f>
        <v/>
      </c>
    </row>
    <row r="851" spans="1:96" x14ac:dyDescent="0.2">
      <c r="A851" t="s">
        <v>9921</v>
      </c>
      <c r="B851" t="s">
        <v>96</v>
      </c>
      <c r="C851" s="1">
        <v>44098</v>
      </c>
      <c r="D851" s="1">
        <v>44105</v>
      </c>
      <c r="F851" t="s">
        <v>97</v>
      </c>
      <c r="G851" t="str">
        <f>"SENIOR SOFTWARE ENGINEER"</f>
        <v>SENIOR SOFTWARE ENGINEER</v>
      </c>
      <c r="H851" t="s">
        <v>12169</v>
      </c>
      <c r="I851" t="s">
        <v>124</v>
      </c>
      <c r="J851" t="s">
        <v>98</v>
      </c>
      <c r="K851" s="1">
        <v>44104</v>
      </c>
      <c r="L851" s="1">
        <v>45198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 t="s">
        <v>548</v>
      </c>
      <c r="U851" t="str">
        <f>""</f>
        <v/>
      </c>
      <c r="V851" t="s">
        <v>549</v>
      </c>
      <c r="W851" t="str">
        <f>"Suite 202"</f>
        <v>Suite 202</v>
      </c>
      <c r="X851" t="s">
        <v>550</v>
      </c>
      <c r="Y851" t="s">
        <v>127</v>
      </c>
      <c r="Z851" s="3">
        <v>18940</v>
      </c>
      <c r="AA851" t="s">
        <v>101</v>
      </c>
      <c r="AC851" s="4" t="str">
        <f>"+12677599000"</f>
        <v>+12677599000</v>
      </c>
      <c r="AE851" t="str">
        <f>"541511"</f>
        <v>541511</v>
      </c>
      <c r="AF851" t="s">
        <v>551</v>
      </c>
      <c r="AG851" t="s">
        <v>552</v>
      </c>
      <c r="AI851" t="s">
        <v>553</v>
      </c>
      <c r="AJ851" t="s">
        <v>549</v>
      </c>
      <c r="AK851" t="str">
        <f>"Suite 202"</f>
        <v>Suite 202</v>
      </c>
      <c r="AL851" t="s">
        <v>550</v>
      </c>
      <c r="AM851" t="s">
        <v>127</v>
      </c>
      <c r="AN851" s="3">
        <v>18940</v>
      </c>
      <c r="AO851" t="s">
        <v>101</v>
      </c>
      <c r="AQ851" t="str">
        <f>"+12677599000"</f>
        <v>+12677599000</v>
      </c>
      <c r="AS851" t="s">
        <v>554</v>
      </c>
      <c r="AT851" t="s">
        <v>107</v>
      </c>
      <c r="AU851" t="str">
        <f>"Pack"</f>
        <v>Pack</v>
      </c>
      <c r="AV851" t="str">
        <f>"James"</f>
        <v>James</v>
      </c>
      <c r="AW851" t="str">
        <f>"Young Ho"</f>
        <v>Young Ho</v>
      </c>
      <c r="AX851" t="str">
        <f>"18401 Von Karman Avenue"</f>
        <v>18401 Von Karman Avenue</v>
      </c>
      <c r="AY851" t="str">
        <f>"Suite 255"</f>
        <v>Suite 255</v>
      </c>
      <c r="AZ851" t="str">
        <f>"Irvine"</f>
        <v>Irvine</v>
      </c>
      <c r="BA851" t="str">
        <f>"CA"</f>
        <v>CA</v>
      </c>
      <c r="BB851" s="3">
        <v>92612</v>
      </c>
      <c r="BC851" t="str">
        <f>"UNITED STATES OF AMERICA"</f>
        <v>UNITED STATES OF AMERICA</v>
      </c>
      <c r="BD851" t="str">
        <f>"N/A"</f>
        <v>N/A</v>
      </c>
      <c r="BE851" t="str">
        <f>"+19492610209"</f>
        <v>+19492610209</v>
      </c>
      <c r="BF851" t="str">
        <f>""</f>
        <v/>
      </c>
      <c r="BG851" t="str">
        <f>"EPAMNIV@fragomen.com"</f>
        <v>EPAMNIV@fragomen.com</v>
      </c>
      <c r="BH851" t="str">
        <f>"Fragomen, Del Rey, Bernsen &amp; Loewy, LLP"</f>
        <v>Fragomen, Del Rey, Bernsen &amp; Loewy, LLP</v>
      </c>
      <c r="BI851" t="str">
        <f>"CA"</f>
        <v>CA</v>
      </c>
      <c r="BJ851" t="str">
        <f>"Supreme"</f>
        <v>Supreme</v>
      </c>
      <c r="BK851">
        <v>1</v>
      </c>
      <c r="BL851" t="s">
        <v>107</v>
      </c>
      <c r="BM851" t="str">
        <f>"UBS Business Solutions US LLC"</f>
        <v>UBS Business Solutions US LLC</v>
      </c>
      <c r="BN851" t="s">
        <v>5274</v>
      </c>
      <c r="BP851" t="s">
        <v>5275</v>
      </c>
      <c r="BQ851" t="s">
        <v>1214</v>
      </c>
      <c r="BR851" t="s">
        <v>100</v>
      </c>
      <c r="BS851" s="5">
        <v>7086</v>
      </c>
      <c r="BT851" s="2">
        <v>110000</v>
      </c>
      <c r="BV851" t="s">
        <v>105</v>
      </c>
      <c r="BW851" s="2">
        <v>100526</v>
      </c>
      <c r="BX851" t="s">
        <v>105</v>
      </c>
      <c r="BZ851" t="s">
        <v>167</v>
      </c>
      <c r="CA851" t="str">
        <f t="shared" si="62"/>
        <v>7/1/2020 - 6/30/2021</v>
      </c>
      <c r="CF851">
        <v>2</v>
      </c>
      <c r="CG851" t="s">
        <v>98</v>
      </c>
      <c r="CH851" t="s">
        <v>206</v>
      </c>
      <c r="CI851" t="s">
        <v>206</v>
      </c>
      <c r="CL851" t="s">
        <v>108</v>
      </c>
      <c r="CM851" t="s">
        <v>109</v>
      </c>
      <c r="CN851" t="str">
        <f>"McCain"</f>
        <v>McCain</v>
      </c>
      <c r="CO851" t="str">
        <f>"Gabriela"</f>
        <v>Gabriela</v>
      </c>
      <c r="CP851" t="str">
        <f>""</f>
        <v/>
      </c>
      <c r="CQ851" t="str">
        <f>"Fragomen, Del Rey, Bernsen &amp; Loewy LLP"</f>
        <v>Fragomen, Del Rey, Bernsen &amp; Loewy LLP</v>
      </c>
      <c r="CR851" t="s">
        <v>557</v>
      </c>
    </row>
    <row r="852" spans="1:96" x14ac:dyDescent="0.2">
      <c r="A852" t="s">
        <v>9923</v>
      </c>
      <c r="B852" t="s">
        <v>96</v>
      </c>
      <c r="C852" s="1">
        <v>44098</v>
      </c>
      <c r="D852" s="1">
        <v>44105</v>
      </c>
      <c r="F852" t="s">
        <v>97</v>
      </c>
      <c r="G852" t="str">
        <f>"Senior Manager"</f>
        <v>Senior Manager</v>
      </c>
      <c r="H852" t="s">
        <v>12169</v>
      </c>
      <c r="I852" t="s">
        <v>124</v>
      </c>
      <c r="J852" t="s">
        <v>98</v>
      </c>
      <c r="K852" s="1">
        <v>44260</v>
      </c>
      <c r="L852" s="1">
        <v>45355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 t="s">
        <v>1565</v>
      </c>
      <c r="U852" t="str">
        <f>""</f>
        <v/>
      </c>
      <c r="V852" t="s">
        <v>1566</v>
      </c>
      <c r="W852" t="str">
        <f>"1st Floor West, Suite 129"</f>
        <v>1st Floor West, Suite 129</v>
      </c>
      <c r="X852" t="s">
        <v>1567</v>
      </c>
      <c r="Y852" t="s">
        <v>100</v>
      </c>
      <c r="Z852" s="3">
        <v>7078</v>
      </c>
      <c r="AA852" t="s">
        <v>101</v>
      </c>
      <c r="AC852" s="4" t="str">
        <f>"+18004345808"</f>
        <v>+18004345808</v>
      </c>
      <c r="AE852" t="str">
        <f>"541511"</f>
        <v>541511</v>
      </c>
      <c r="AF852" t="s">
        <v>1568</v>
      </c>
      <c r="AG852" t="s">
        <v>1569</v>
      </c>
      <c r="AI852" t="s">
        <v>1570</v>
      </c>
      <c r="AJ852" t="s">
        <v>1566</v>
      </c>
      <c r="AK852" t="str">
        <f>"1st Floor West, Suite 129"</f>
        <v>1st Floor West, Suite 129</v>
      </c>
      <c r="AL852" t="s">
        <v>1567</v>
      </c>
      <c r="AM852" t="s">
        <v>100</v>
      </c>
      <c r="AN852" s="3">
        <v>7078</v>
      </c>
      <c r="AO852" t="s">
        <v>101</v>
      </c>
      <c r="AQ852" t="str">
        <f>"+19739215225"</f>
        <v>+19739215225</v>
      </c>
      <c r="AS852" t="s">
        <v>1571</v>
      </c>
      <c r="AT852" t="s">
        <v>107</v>
      </c>
      <c r="AU852" t="str">
        <f>"Schrager"</f>
        <v>Schrager</v>
      </c>
      <c r="AV852" t="str">
        <f>"Jenny"</f>
        <v>Jenny</v>
      </c>
      <c r="AW852" t="str">
        <f>"Spring"</f>
        <v>Spring</v>
      </c>
      <c r="AX852" t="str">
        <f>"1400 Broadway"</f>
        <v>1400 Broadway</v>
      </c>
      <c r="AY852" t="str">
        <f>"9th Floor"</f>
        <v>9th Floor</v>
      </c>
      <c r="AZ852" t="str">
        <f>"New York"</f>
        <v>New York</v>
      </c>
      <c r="BA852" t="str">
        <f>"NY"</f>
        <v>NY</v>
      </c>
      <c r="BB852" s="3">
        <v>10018</v>
      </c>
      <c r="BC852" t="str">
        <f>"UNITED STATES OF AMERICA"</f>
        <v>UNITED STATES OF AMERICA</v>
      </c>
      <c r="BD852" t="str">
        <f>""</f>
        <v/>
      </c>
      <c r="BE852" t="str">
        <f>"+12126888555"</f>
        <v>+12126888555</v>
      </c>
      <c r="BF852" t="str">
        <f>""</f>
        <v/>
      </c>
      <c r="BG852" t="str">
        <f>"lcagenpact@fragomen.com"</f>
        <v>lcagenpact@fragomen.com</v>
      </c>
      <c r="BH852" t="str">
        <f>"Fragomen, Del Rey, Bernsen &amp; Loewy LLP"</f>
        <v>Fragomen, Del Rey, Bernsen &amp; Loewy LLP</v>
      </c>
      <c r="BI852" t="str">
        <f>"NY"</f>
        <v>NY</v>
      </c>
      <c r="BJ852" t="str">
        <f>"New York Court of Appeals"</f>
        <v>New York Court of Appeals</v>
      </c>
      <c r="BK852">
        <v>1</v>
      </c>
      <c r="BL852" t="s">
        <v>102</v>
      </c>
      <c r="BM852" t="str">
        <f>""</f>
        <v/>
      </c>
      <c r="BN852" t="s">
        <v>9924</v>
      </c>
      <c r="BO852" t="s">
        <v>7812</v>
      </c>
      <c r="BP852" t="s">
        <v>388</v>
      </c>
      <c r="BQ852" t="s">
        <v>224</v>
      </c>
      <c r="BR852" t="s">
        <v>225</v>
      </c>
      <c r="BS852" s="5">
        <v>43235</v>
      </c>
      <c r="BT852" s="2">
        <v>123000</v>
      </c>
      <c r="BV852" t="s">
        <v>105</v>
      </c>
      <c r="BW852" s="2">
        <v>83075</v>
      </c>
      <c r="BX852" t="s">
        <v>105</v>
      </c>
      <c r="BZ852" t="s">
        <v>167</v>
      </c>
      <c r="CA852" t="str">
        <f t="shared" si="62"/>
        <v>7/1/2020 - 6/30/2021</v>
      </c>
      <c r="CF852">
        <v>1</v>
      </c>
      <c r="CG852" t="s">
        <v>98</v>
      </c>
      <c r="CH852" t="s">
        <v>206</v>
      </c>
      <c r="CI852" t="s">
        <v>206</v>
      </c>
      <c r="CL852" t="s">
        <v>108</v>
      </c>
      <c r="CM852" t="s">
        <v>109</v>
      </c>
      <c r="CN852" t="str">
        <f>""</f>
        <v/>
      </c>
      <c r="CO852" t="str">
        <f>""</f>
        <v/>
      </c>
      <c r="CP852" t="str">
        <f>""</f>
        <v/>
      </c>
      <c r="CQ852" t="str">
        <f>""</f>
        <v/>
      </c>
    </row>
    <row r="853" spans="1:96" x14ac:dyDescent="0.2">
      <c r="A853" t="s">
        <v>9939</v>
      </c>
      <c r="B853" t="s">
        <v>96</v>
      </c>
      <c r="C853" s="1">
        <v>44098</v>
      </c>
      <c r="D853" s="1">
        <v>44105</v>
      </c>
      <c r="F853" t="s">
        <v>97</v>
      </c>
      <c r="G853" t="str">
        <f>"Senior Analyst, IT QA"</f>
        <v>Senior Analyst, IT QA</v>
      </c>
      <c r="H853" t="s">
        <v>12168</v>
      </c>
      <c r="I853" t="s">
        <v>319</v>
      </c>
      <c r="J853" t="s">
        <v>98</v>
      </c>
      <c r="K853" s="1">
        <v>44116</v>
      </c>
      <c r="L853" s="1">
        <v>45211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 t="s">
        <v>3021</v>
      </c>
      <c r="U853" t="str">
        <f>""</f>
        <v/>
      </c>
      <c r="V853" t="s">
        <v>3022</v>
      </c>
      <c r="W853" t="str">
        <f>""</f>
        <v/>
      </c>
      <c r="X853" t="s">
        <v>1248</v>
      </c>
      <c r="Y853" t="s">
        <v>545</v>
      </c>
      <c r="Z853" s="3">
        <v>37027</v>
      </c>
      <c r="AA853" t="s">
        <v>101</v>
      </c>
      <c r="AC853" s="4" t="str">
        <f>"+16154404848"</f>
        <v>+16154404848</v>
      </c>
      <c r="AE853" t="str">
        <f>"44422"</f>
        <v>44422</v>
      </c>
      <c r="AF853" t="s">
        <v>3023</v>
      </c>
      <c r="AG853" t="s">
        <v>3024</v>
      </c>
      <c r="AH853" t="s">
        <v>3025</v>
      </c>
      <c r="AI853" t="s">
        <v>3026</v>
      </c>
      <c r="AJ853" t="s">
        <v>3022</v>
      </c>
      <c r="AK853" t="str">
        <f>""</f>
        <v/>
      </c>
      <c r="AL853" t="s">
        <v>1248</v>
      </c>
      <c r="AM853" t="s">
        <v>545</v>
      </c>
      <c r="AN853" s="3">
        <v>37027</v>
      </c>
      <c r="AO853" t="s">
        <v>101</v>
      </c>
      <c r="AQ853" t="str">
        <f>"+16154404848"</f>
        <v>+16154404848</v>
      </c>
      <c r="AS853" t="s">
        <v>3027</v>
      </c>
      <c r="AT853" t="s">
        <v>107</v>
      </c>
      <c r="AU853" t="str">
        <f>"Russo"</f>
        <v>Russo</v>
      </c>
      <c r="AV853" t="str">
        <f>"Douglas"</f>
        <v>Douglas</v>
      </c>
      <c r="AW853" t="str">
        <f>"Michael"</f>
        <v>Michael</v>
      </c>
      <c r="AX853" t="str">
        <f>"2100 West End Avenue"</f>
        <v>2100 West End Avenue</v>
      </c>
      <c r="AY853" t="str">
        <f>"Suite 935"</f>
        <v>Suite 935</v>
      </c>
      <c r="AZ853" t="str">
        <f>"Nashville"</f>
        <v>Nashville</v>
      </c>
      <c r="BA853" t="str">
        <f>"TN"</f>
        <v>TN</v>
      </c>
      <c r="BB853" s="3">
        <v>37203</v>
      </c>
      <c r="BC853" t="str">
        <f>"UNITED STATES OF AMERICA"</f>
        <v>UNITED STATES OF AMERICA</v>
      </c>
      <c r="BD853" t="str">
        <f>""</f>
        <v/>
      </c>
      <c r="BE853" t="str">
        <f>"+16153212256"</f>
        <v>+16153212256</v>
      </c>
      <c r="BF853" t="str">
        <f>""</f>
        <v/>
      </c>
      <c r="BG853" t="str">
        <f>"lroselaw@roseimmigration.com"</f>
        <v>lroselaw@roseimmigration.com</v>
      </c>
      <c r="BH853" t="str">
        <f>"Rose Immigration Law Firm, PLC"</f>
        <v>Rose Immigration Law Firm, PLC</v>
      </c>
      <c r="BI853" t="str">
        <f>"TN"</f>
        <v>TN</v>
      </c>
      <c r="BJ853" t="str">
        <f>"Tennessee Supreme Court"</f>
        <v>Tennessee Supreme Court</v>
      </c>
      <c r="BK853">
        <v>1</v>
      </c>
      <c r="BL853" t="s">
        <v>102</v>
      </c>
      <c r="BM853" t="str">
        <f>""</f>
        <v/>
      </c>
      <c r="BN853" t="s">
        <v>3022</v>
      </c>
      <c r="BP853" t="s">
        <v>1248</v>
      </c>
      <c r="BQ853" t="s">
        <v>668</v>
      </c>
      <c r="BR853" t="s">
        <v>545</v>
      </c>
      <c r="BS853" s="5">
        <v>37027</v>
      </c>
      <c r="BT853" s="2">
        <v>86611</v>
      </c>
      <c r="BU853" s="2">
        <v>130377</v>
      </c>
      <c r="BV853" t="s">
        <v>105</v>
      </c>
      <c r="BW853" s="2">
        <v>86611</v>
      </c>
      <c r="BX853" t="s">
        <v>105</v>
      </c>
      <c r="BZ853" t="s">
        <v>159</v>
      </c>
      <c r="CA853" t="str">
        <f t="shared" si="62"/>
        <v>7/1/2020 - 6/30/2021</v>
      </c>
      <c r="CF853">
        <v>2</v>
      </c>
      <c r="CG853" t="s">
        <v>98</v>
      </c>
      <c r="CH853" t="s">
        <v>206</v>
      </c>
      <c r="CI853" t="s">
        <v>206</v>
      </c>
      <c r="CL853" t="s">
        <v>108</v>
      </c>
      <c r="CM853" t="s">
        <v>109</v>
      </c>
      <c r="CN853" t="str">
        <f>""</f>
        <v/>
      </c>
      <c r="CO853" t="str">
        <f>""</f>
        <v/>
      </c>
      <c r="CP853" t="str">
        <f>""</f>
        <v/>
      </c>
      <c r="CQ853" t="str">
        <f>""</f>
        <v/>
      </c>
    </row>
    <row r="854" spans="1:96" x14ac:dyDescent="0.2">
      <c r="A854" t="s">
        <v>9940</v>
      </c>
      <c r="B854" t="s">
        <v>96</v>
      </c>
      <c r="C854" s="1">
        <v>44098</v>
      </c>
      <c r="D854" s="1">
        <v>44105</v>
      </c>
      <c r="F854" t="s">
        <v>97</v>
      </c>
      <c r="G854" t="str">
        <f>"Financial Analyst"</f>
        <v>Financial Analyst</v>
      </c>
      <c r="H854" t="s">
        <v>12220</v>
      </c>
      <c r="I854" t="s">
        <v>4620</v>
      </c>
      <c r="J854" t="s">
        <v>98</v>
      </c>
      <c r="K854" s="1">
        <v>44105</v>
      </c>
      <c r="L854" s="1">
        <v>45199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9941</v>
      </c>
      <c r="U854" t="str">
        <f>""</f>
        <v/>
      </c>
      <c r="V854" t="s">
        <v>9942</v>
      </c>
      <c r="W854" t="str">
        <f>"4th Floor"</f>
        <v>4th Floor</v>
      </c>
      <c r="X854" t="s">
        <v>218</v>
      </c>
      <c r="Y854" t="s">
        <v>127</v>
      </c>
      <c r="Z854" s="3">
        <v>19103</v>
      </c>
      <c r="AA854" t="s">
        <v>101</v>
      </c>
      <c r="AC854" s="4" t="str">
        <f>"+12675232023"</f>
        <v>+12675232023</v>
      </c>
      <c r="AE854" t="str">
        <f>"51511"</f>
        <v>51511</v>
      </c>
      <c r="AF854" t="s">
        <v>9943</v>
      </c>
      <c r="AG854" t="s">
        <v>6378</v>
      </c>
      <c r="AI854" t="s">
        <v>5913</v>
      </c>
      <c r="AJ854" t="s">
        <v>9942</v>
      </c>
      <c r="AK854" t="str">
        <f>"4th Floor"</f>
        <v>4th Floor</v>
      </c>
      <c r="AL854" t="s">
        <v>218</v>
      </c>
      <c r="AM854" t="s">
        <v>127</v>
      </c>
      <c r="AN854" s="3">
        <v>19103</v>
      </c>
      <c r="AO854" t="s">
        <v>101</v>
      </c>
      <c r="AQ854" t="str">
        <f>"+12675232023"</f>
        <v>+12675232023</v>
      </c>
      <c r="AS854" t="s">
        <v>9944</v>
      </c>
      <c r="AT854" t="s">
        <v>107</v>
      </c>
      <c r="AU854" t="str">
        <f>"Bucceroni"</f>
        <v>Bucceroni</v>
      </c>
      <c r="AV854" t="str">
        <f>"Mandi"</f>
        <v>Mandi</v>
      </c>
      <c r="AW854" t="str">
        <f>"Brooke"</f>
        <v>Brooke</v>
      </c>
      <c r="AX854" t="str">
        <f>"2929 Arch Street"</f>
        <v>2929 Arch Street</v>
      </c>
      <c r="AY854" t="str">
        <f>"13th Floor"</f>
        <v>13th Floor</v>
      </c>
      <c r="AZ854" t="str">
        <f>"Philadelphia"</f>
        <v>Philadelphia</v>
      </c>
      <c r="BA854" t="str">
        <f>"PA"</f>
        <v>PA</v>
      </c>
      <c r="BB854" s="3">
        <v>19104</v>
      </c>
      <c r="BC854" t="str">
        <f>"UNITED STATES OF AMERICA"</f>
        <v>UNITED STATES OF AMERICA</v>
      </c>
      <c r="BD854" t="str">
        <f>""</f>
        <v/>
      </c>
      <c r="BE854" t="str">
        <f>"+12154956508"</f>
        <v>+12154956508</v>
      </c>
      <c r="BF854" t="str">
        <f>""</f>
        <v/>
      </c>
      <c r="BG854" t="str">
        <f>"mbucceroni@regerlaw.com"</f>
        <v>mbucceroni@regerlaw.com</v>
      </c>
      <c r="BH854" t="str">
        <f>"Reger Rizzo &amp; Darnall LLP"</f>
        <v>Reger Rizzo &amp; Darnall LLP</v>
      </c>
      <c r="BI854" t="str">
        <f>"NJ"</f>
        <v>NJ</v>
      </c>
      <c r="BJ854" t="str">
        <f>"Supreme Court of New Jersey "</f>
        <v xml:space="preserve">Supreme Court of New Jersey </v>
      </c>
      <c r="BK854">
        <v>1</v>
      </c>
      <c r="BL854" t="s">
        <v>102</v>
      </c>
      <c r="BM854" t="str">
        <f>""</f>
        <v/>
      </c>
      <c r="BN854" t="s">
        <v>9945</v>
      </c>
      <c r="BO854" t="s">
        <v>1615</v>
      </c>
      <c r="BP854" t="s">
        <v>218</v>
      </c>
      <c r="BQ854" t="s">
        <v>510</v>
      </c>
      <c r="BR854" t="s">
        <v>127</v>
      </c>
      <c r="BS854" s="5">
        <v>19103</v>
      </c>
      <c r="BT854" s="2">
        <v>57117</v>
      </c>
      <c r="BV854" t="s">
        <v>105</v>
      </c>
      <c r="BW854" s="2">
        <v>57117</v>
      </c>
      <c r="BX854" t="s">
        <v>105</v>
      </c>
      <c r="BZ854" t="s">
        <v>191</v>
      </c>
      <c r="CA854" t="str">
        <f t="shared" si="62"/>
        <v>7/1/2020 - 6/30/2021</v>
      </c>
      <c r="CF854">
        <v>2</v>
      </c>
      <c r="CG854" t="s">
        <v>98</v>
      </c>
      <c r="CH854" t="s">
        <v>206</v>
      </c>
      <c r="CI854" t="s">
        <v>206</v>
      </c>
      <c r="CL854" t="s">
        <v>108</v>
      </c>
      <c r="CM854" t="s">
        <v>109</v>
      </c>
      <c r="CN854" t="str">
        <f>"Bucceroni"</f>
        <v>Bucceroni</v>
      </c>
      <c r="CO854" t="str">
        <f>"Mandi"</f>
        <v>Mandi</v>
      </c>
      <c r="CP854" t="str">
        <f>"B"</f>
        <v>B</v>
      </c>
      <c r="CQ854" t="str">
        <f>"Reger Rizzo Darnall LLP"</f>
        <v>Reger Rizzo Darnall LLP</v>
      </c>
      <c r="CR854" t="s">
        <v>9946</v>
      </c>
    </row>
    <row r="855" spans="1:96" x14ac:dyDescent="0.2">
      <c r="A855" t="s">
        <v>9949</v>
      </c>
      <c r="B855" t="s">
        <v>96</v>
      </c>
      <c r="C855" s="1">
        <v>44098</v>
      </c>
      <c r="D855" s="1">
        <v>44105</v>
      </c>
      <c r="F855" t="s">
        <v>97</v>
      </c>
      <c r="G855" t="str">
        <f>"Postdoctoral Associate"</f>
        <v>Postdoctoral Associate</v>
      </c>
      <c r="H855" t="s">
        <v>12170</v>
      </c>
      <c r="I855" t="s">
        <v>685</v>
      </c>
      <c r="J855" t="s">
        <v>98</v>
      </c>
      <c r="K855" s="1">
        <v>44140</v>
      </c>
      <c r="L855" s="1">
        <v>45199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3682</v>
      </c>
      <c r="U855" t="str">
        <f>""</f>
        <v/>
      </c>
      <c r="V855" t="s">
        <v>5735</v>
      </c>
      <c r="W855" t="str">
        <f>"708 WPU"</f>
        <v>708 WPU</v>
      </c>
      <c r="X855" t="s">
        <v>333</v>
      </c>
      <c r="Y855" t="s">
        <v>127</v>
      </c>
      <c r="Z855" s="3">
        <v>15213</v>
      </c>
      <c r="AA855" t="s">
        <v>101</v>
      </c>
      <c r="AC855" s="4" t="str">
        <f>"+14126480129"</f>
        <v>+14126480129</v>
      </c>
      <c r="AE855" t="str">
        <f>"611310"</f>
        <v>611310</v>
      </c>
      <c r="AF855" t="s">
        <v>5736</v>
      </c>
      <c r="AG855" t="s">
        <v>2876</v>
      </c>
      <c r="AH855" t="s">
        <v>5737</v>
      </c>
      <c r="AI855" t="s">
        <v>221</v>
      </c>
      <c r="AJ855" t="s">
        <v>5735</v>
      </c>
      <c r="AK855" t="str">
        <f>"708 WPU"</f>
        <v>708 WPU</v>
      </c>
      <c r="AL855" t="s">
        <v>333</v>
      </c>
      <c r="AM855" t="s">
        <v>127</v>
      </c>
      <c r="AN855" s="3">
        <v>15213</v>
      </c>
      <c r="AO855" t="s">
        <v>101</v>
      </c>
      <c r="AQ855" t="str">
        <f>"+14126247120"</f>
        <v>+14126247120</v>
      </c>
      <c r="AS855" t="s">
        <v>5738</v>
      </c>
      <c r="AT855" t="s">
        <v>102</v>
      </c>
      <c r="AU855" t="str">
        <f>""</f>
        <v/>
      </c>
      <c r="AV855" t="str">
        <f>""</f>
        <v/>
      </c>
      <c r="AW855" t="str">
        <f>""</f>
        <v/>
      </c>
      <c r="AX855" t="str">
        <f>""</f>
        <v/>
      </c>
      <c r="AY855" t="str">
        <f>""</f>
        <v/>
      </c>
      <c r="AZ855" t="str">
        <f>""</f>
        <v/>
      </c>
      <c r="BA855" t="str">
        <f>""</f>
        <v/>
      </c>
      <c r="BC855" t="str">
        <f>""</f>
        <v/>
      </c>
      <c r="BD855" t="str">
        <f>""</f>
        <v/>
      </c>
      <c r="BE855" t="str">
        <f>""</f>
        <v/>
      </c>
      <c r="BF855" t="str">
        <f>""</f>
        <v/>
      </c>
      <c r="BG855" t="str">
        <f>""</f>
        <v/>
      </c>
      <c r="BH855" t="str">
        <f>""</f>
        <v/>
      </c>
      <c r="BI855" t="str">
        <f>""</f>
        <v/>
      </c>
      <c r="BJ855" t="str">
        <f>""</f>
        <v/>
      </c>
      <c r="BK855">
        <v>1</v>
      </c>
      <c r="BL855" t="s">
        <v>102</v>
      </c>
      <c r="BM855" t="str">
        <f>""</f>
        <v/>
      </c>
      <c r="BN855" t="s">
        <v>9950</v>
      </c>
      <c r="BP855" t="s">
        <v>333</v>
      </c>
      <c r="BQ855" t="s">
        <v>861</v>
      </c>
      <c r="BR855" t="s">
        <v>127</v>
      </c>
      <c r="BS855" s="5">
        <v>15261</v>
      </c>
      <c r="BT855" s="2">
        <v>57456</v>
      </c>
      <c r="BV855" t="s">
        <v>105</v>
      </c>
      <c r="BW855" s="2">
        <v>43784</v>
      </c>
      <c r="BX855" t="s">
        <v>105</v>
      </c>
      <c r="BZ855" t="s">
        <v>191</v>
      </c>
      <c r="CA855" t="str">
        <f t="shared" si="62"/>
        <v>7/1/2020 - 6/30/2021</v>
      </c>
      <c r="CF855">
        <v>1</v>
      </c>
      <c r="CG855" t="s">
        <v>98</v>
      </c>
      <c r="CH855" t="s">
        <v>206</v>
      </c>
      <c r="CI855" t="s">
        <v>206</v>
      </c>
      <c r="CL855" t="s">
        <v>108</v>
      </c>
      <c r="CM855" t="s">
        <v>109</v>
      </c>
      <c r="CN855" t="str">
        <f>""</f>
        <v/>
      </c>
      <c r="CO855" t="str">
        <f>""</f>
        <v/>
      </c>
      <c r="CP855" t="str">
        <f>""</f>
        <v/>
      </c>
      <c r="CQ855" t="str">
        <f>""</f>
        <v/>
      </c>
    </row>
    <row r="856" spans="1:96" x14ac:dyDescent="0.2">
      <c r="A856" t="s">
        <v>9951</v>
      </c>
      <c r="B856" t="s">
        <v>96</v>
      </c>
      <c r="C856" s="1">
        <v>44098</v>
      </c>
      <c r="D856" s="1">
        <v>44105</v>
      </c>
      <c r="F856" t="s">
        <v>97</v>
      </c>
      <c r="G856" t="str">
        <f>"Researcher V"</f>
        <v>Researcher V</v>
      </c>
      <c r="H856" t="s">
        <v>12247</v>
      </c>
      <c r="I856" t="s">
        <v>3687</v>
      </c>
      <c r="J856" t="s">
        <v>98</v>
      </c>
      <c r="K856" s="1">
        <v>44105</v>
      </c>
      <c r="L856" s="1">
        <v>45199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 t="s">
        <v>3438</v>
      </c>
      <c r="U856" t="str">
        <f>""</f>
        <v/>
      </c>
      <c r="V856" t="s">
        <v>3439</v>
      </c>
      <c r="W856" t="str">
        <f>"2nd Floor"</f>
        <v>2nd Floor</v>
      </c>
      <c r="X856" t="s">
        <v>3440</v>
      </c>
      <c r="Y856" t="s">
        <v>708</v>
      </c>
      <c r="Z856" s="3">
        <v>35233</v>
      </c>
      <c r="AA856" t="s">
        <v>101</v>
      </c>
      <c r="AC856" s="4" t="str">
        <f>"+12059348067"</f>
        <v>+12059348067</v>
      </c>
      <c r="AE856" t="str">
        <f>"611310"</f>
        <v>611310</v>
      </c>
      <c r="AF856" t="s">
        <v>1868</v>
      </c>
      <c r="AG856" t="s">
        <v>3441</v>
      </c>
      <c r="AH856" t="s">
        <v>771</v>
      </c>
      <c r="AI856" t="s">
        <v>1639</v>
      </c>
      <c r="AJ856" t="s">
        <v>3439</v>
      </c>
      <c r="AK856" t="str">
        <f>"2nd Floor"</f>
        <v>2nd Floor</v>
      </c>
      <c r="AL856" t="s">
        <v>3440</v>
      </c>
      <c r="AM856" t="s">
        <v>708</v>
      </c>
      <c r="AN856" s="3">
        <v>35233</v>
      </c>
      <c r="AO856" t="s">
        <v>101</v>
      </c>
      <c r="AQ856" t="str">
        <f>"+12059348067"</f>
        <v>+12059348067</v>
      </c>
      <c r="AS856" t="s">
        <v>4708</v>
      </c>
      <c r="AT856" t="s">
        <v>102</v>
      </c>
      <c r="AU856" t="str">
        <f>""</f>
        <v/>
      </c>
      <c r="AV856" t="str">
        <f>""</f>
        <v/>
      </c>
      <c r="AW856" t="str">
        <f>""</f>
        <v/>
      </c>
      <c r="AX856" t="str">
        <f>""</f>
        <v/>
      </c>
      <c r="AY856" t="str">
        <f>""</f>
        <v/>
      </c>
      <c r="AZ856" t="str">
        <f>""</f>
        <v/>
      </c>
      <c r="BA856" t="str">
        <f>""</f>
        <v/>
      </c>
      <c r="BC856" t="str">
        <f>""</f>
        <v/>
      </c>
      <c r="BD856" t="str">
        <f>""</f>
        <v/>
      </c>
      <c r="BE856" t="str">
        <f>""</f>
        <v/>
      </c>
      <c r="BF856" t="str">
        <f>""</f>
        <v/>
      </c>
      <c r="BG856" t="str">
        <f>""</f>
        <v/>
      </c>
      <c r="BH856" t="str">
        <f>""</f>
        <v/>
      </c>
      <c r="BI856" t="str">
        <f>""</f>
        <v/>
      </c>
      <c r="BJ856" t="str">
        <f>""</f>
        <v/>
      </c>
      <c r="BK856">
        <v>1</v>
      </c>
      <c r="BL856" t="s">
        <v>102</v>
      </c>
      <c r="BM856" t="str">
        <f>""</f>
        <v/>
      </c>
      <c r="BN856" t="s">
        <v>9952</v>
      </c>
      <c r="BO856" t="s">
        <v>9953</v>
      </c>
      <c r="BP856" t="s">
        <v>3440</v>
      </c>
      <c r="BQ856" t="s">
        <v>369</v>
      </c>
      <c r="BR856" t="s">
        <v>708</v>
      </c>
      <c r="BS856" s="5">
        <v>35294</v>
      </c>
      <c r="BT856" s="2">
        <v>66999.66</v>
      </c>
      <c r="BV856" t="s">
        <v>105</v>
      </c>
      <c r="BW856" s="2">
        <v>38438</v>
      </c>
      <c r="BX856" t="s">
        <v>105</v>
      </c>
      <c r="BZ856" t="s">
        <v>191</v>
      </c>
      <c r="CA856" t="str">
        <f t="shared" si="62"/>
        <v>7/1/2020 - 6/30/2021</v>
      </c>
      <c r="CF856">
        <v>1</v>
      </c>
      <c r="CG856" t="s">
        <v>98</v>
      </c>
      <c r="CH856" t="s">
        <v>206</v>
      </c>
      <c r="CI856" t="s">
        <v>206</v>
      </c>
      <c r="CL856" t="s">
        <v>108</v>
      </c>
      <c r="CM856" t="s">
        <v>109</v>
      </c>
      <c r="CN856" t="str">
        <f>"Guy"</f>
        <v>Guy</v>
      </c>
      <c r="CO856" t="str">
        <f>"Zoe"</f>
        <v>Zoe</v>
      </c>
      <c r="CP856" t="str">
        <f>"E"</f>
        <v>E</v>
      </c>
      <c r="CQ856" t="str">
        <f>"The University of Alabama at Birmingham"</f>
        <v>The University of Alabama at Birmingham</v>
      </c>
      <c r="CR856" t="s">
        <v>4708</v>
      </c>
    </row>
    <row r="857" spans="1:96" x14ac:dyDescent="0.2">
      <c r="A857" t="s">
        <v>9977</v>
      </c>
      <c r="B857" t="s">
        <v>96</v>
      </c>
      <c r="C857" s="1">
        <v>44098</v>
      </c>
      <c r="D857" s="1">
        <v>44105</v>
      </c>
      <c r="F857" t="s">
        <v>97</v>
      </c>
      <c r="G857" t="str">
        <f>"Research Scientist in Biostatistics"</f>
        <v>Research Scientist in Biostatistics</v>
      </c>
      <c r="H857" t="s">
        <v>12180</v>
      </c>
      <c r="I857" t="s">
        <v>390</v>
      </c>
      <c r="J857" t="s">
        <v>98</v>
      </c>
      <c r="K857" s="1">
        <v>44166</v>
      </c>
      <c r="L857" s="1">
        <v>45260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 t="s">
        <v>1650</v>
      </c>
      <c r="U857" t="str">
        <f>""</f>
        <v/>
      </c>
      <c r="V857" t="s">
        <v>1651</v>
      </c>
      <c r="W857" t="str">
        <f>""</f>
        <v/>
      </c>
      <c r="X857" t="s">
        <v>1652</v>
      </c>
      <c r="Y857" t="s">
        <v>545</v>
      </c>
      <c r="Z857" s="3">
        <v>37831</v>
      </c>
      <c r="AA857" t="s">
        <v>101</v>
      </c>
      <c r="AC857" s="4" t="str">
        <f>"+18652419404"</f>
        <v>+18652419404</v>
      </c>
      <c r="AE857" t="str">
        <f>"54171"</f>
        <v>54171</v>
      </c>
      <c r="AF857" t="s">
        <v>1653</v>
      </c>
      <c r="AG857" t="s">
        <v>1654</v>
      </c>
      <c r="AH857" t="s">
        <v>611</v>
      </c>
      <c r="AI857" t="s">
        <v>221</v>
      </c>
      <c r="AJ857" t="s">
        <v>1655</v>
      </c>
      <c r="AK857" t="str">
        <f>""</f>
        <v/>
      </c>
      <c r="AL857" t="s">
        <v>1656</v>
      </c>
      <c r="AM857" t="s">
        <v>545</v>
      </c>
      <c r="AN857" s="3">
        <v>37831</v>
      </c>
      <c r="AO857" t="s">
        <v>101</v>
      </c>
      <c r="AQ857" t="str">
        <f>"+18652419404"</f>
        <v>+18652419404</v>
      </c>
      <c r="AS857" t="s">
        <v>1657</v>
      </c>
      <c r="AT857" t="s">
        <v>102</v>
      </c>
      <c r="AU857" t="str">
        <f>""</f>
        <v/>
      </c>
      <c r="AV857" t="str">
        <f>""</f>
        <v/>
      </c>
      <c r="AW857" t="str">
        <f>""</f>
        <v/>
      </c>
      <c r="AX857" t="str">
        <f>""</f>
        <v/>
      </c>
      <c r="AY857" t="str">
        <f>""</f>
        <v/>
      </c>
      <c r="AZ857" t="str">
        <f>""</f>
        <v/>
      </c>
      <c r="BA857" t="str">
        <f>""</f>
        <v/>
      </c>
      <c r="BC857" t="str">
        <f>""</f>
        <v/>
      </c>
      <c r="BD857" t="str">
        <f>""</f>
        <v/>
      </c>
      <c r="BE857" t="str">
        <f>""</f>
        <v/>
      </c>
      <c r="BF857" t="str">
        <f>""</f>
        <v/>
      </c>
      <c r="BG857" t="str">
        <f>""</f>
        <v/>
      </c>
      <c r="BH857" t="str">
        <f>""</f>
        <v/>
      </c>
      <c r="BI857" t="str">
        <f>""</f>
        <v/>
      </c>
      <c r="BJ857" t="str">
        <f>""</f>
        <v/>
      </c>
      <c r="BK857">
        <v>1</v>
      </c>
      <c r="BL857" t="s">
        <v>102</v>
      </c>
      <c r="BM857" t="str">
        <f>""</f>
        <v/>
      </c>
      <c r="BN857" t="s">
        <v>1651</v>
      </c>
      <c r="BP857" t="s">
        <v>1656</v>
      </c>
      <c r="BQ857" t="s">
        <v>1658</v>
      </c>
      <c r="BR857" t="s">
        <v>545</v>
      </c>
      <c r="BS857" s="5">
        <v>37831</v>
      </c>
      <c r="BT857" s="2">
        <v>118008</v>
      </c>
      <c r="BV857" t="s">
        <v>105</v>
      </c>
      <c r="BW857" s="2">
        <v>81203</v>
      </c>
      <c r="BX857" t="s">
        <v>105</v>
      </c>
      <c r="BZ857" t="s">
        <v>123</v>
      </c>
      <c r="CA857" t="str">
        <f t="shared" si="62"/>
        <v>7/1/2020 - 6/30/2021</v>
      </c>
      <c r="CF857">
        <v>1</v>
      </c>
      <c r="CG857" t="s">
        <v>98</v>
      </c>
      <c r="CH857" t="s">
        <v>206</v>
      </c>
      <c r="CI857" t="s">
        <v>206</v>
      </c>
      <c r="CL857" t="s">
        <v>108</v>
      </c>
      <c r="CM857" t="s">
        <v>718</v>
      </c>
      <c r="CN857" t="str">
        <f>""</f>
        <v/>
      </c>
      <c r="CO857" t="str">
        <f>""</f>
        <v/>
      </c>
      <c r="CP857" t="str">
        <f>""</f>
        <v/>
      </c>
      <c r="CQ857" t="str">
        <f>""</f>
        <v/>
      </c>
    </row>
    <row r="858" spans="1:96" x14ac:dyDescent="0.2">
      <c r="A858" t="s">
        <v>9978</v>
      </c>
      <c r="B858" t="s">
        <v>96</v>
      </c>
      <c r="C858" s="1">
        <v>44098</v>
      </c>
      <c r="D858" s="1">
        <v>44105</v>
      </c>
      <c r="F858" t="s">
        <v>97</v>
      </c>
      <c r="G858" t="str">
        <f>"Quality Manager"</f>
        <v>Quality Manager</v>
      </c>
      <c r="H858" t="s">
        <v>12171</v>
      </c>
      <c r="I858" t="s">
        <v>2140</v>
      </c>
      <c r="J858" t="s">
        <v>98</v>
      </c>
      <c r="K858" s="1">
        <v>44102</v>
      </c>
      <c r="L858" s="1">
        <v>44831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 t="s">
        <v>5173</v>
      </c>
      <c r="U858" t="str">
        <f>""</f>
        <v/>
      </c>
      <c r="V858" t="s">
        <v>9286</v>
      </c>
      <c r="W858" t="str">
        <f>""</f>
        <v/>
      </c>
      <c r="X858" t="s">
        <v>2466</v>
      </c>
      <c r="Y858" t="s">
        <v>345</v>
      </c>
      <c r="Z858" s="3">
        <v>60045</v>
      </c>
      <c r="AA858" t="s">
        <v>101</v>
      </c>
      <c r="AC858" s="4" t="str">
        <f>"+18474505000"</f>
        <v>+18474505000</v>
      </c>
      <c r="AD858">
        <v>5605</v>
      </c>
      <c r="AE858" t="str">
        <f>"3363"</f>
        <v>3363</v>
      </c>
      <c r="AF858" t="s">
        <v>5731</v>
      </c>
      <c r="AG858" t="s">
        <v>5300</v>
      </c>
      <c r="AI858" t="s">
        <v>2605</v>
      </c>
      <c r="AJ858" t="s">
        <v>9286</v>
      </c>
      <c r="AK858" t="str">
        <f>""</f>
        <v/>
      </c>
      <c r="AL858" t="s">
        <v>2466</v>
      </c>
      <c r="AM858" t="s">
        <v>345</v>
      </c>
      <c r="AN858" s="3">
        <v>60045</v>
      </c>
      <c r="AO858" t="s">
        <v>101</v>
      </c>
      <c r="AQ858" t="str">
        <f>"+18474825605"</f>
        <v>+18474825605</v>
      </c>
      <c r="AS858" t="s">
        <v>9287</v>
      </c>
      <c r="AT858" t="s">
        <v>107</v>
      </c>
      <c r="AU858" t="str">
        <f>"Bressler"</f>
        <v>Bressler</v>
      </c>
      <c r="AV858" t="str">
        <f>"Delisa"</f>
        <v>Delisa</v>
      </c>
      <c r="AW858" t="str">
        <f>"Joy Futch"</f>
        <v>Joy Futch</v>
      </c>
      <c r="AX858" t="str">
        <f>"912 S Capital of Texas Hwy"</f>
        <v>912 S Capital of Texas Hwy</v>
      </c>
      <c r="AY858" t="str">
        <f>"Suite 450"</f>
        <v>Suite 450</v>
      </c>
      <c r="AZ858" t="str">
        <f>"West Lake Hills"</f>
        <v>West Lake Hills</v>
      </c>
      <c r="BA858" t="str">
        <f>"TX"</f>
        <v>TX</v>
      </c>
      <c r="BB858" s="3">
        <v>78746</v>
      </c>
      <c r="BC858" t="str">
        <f>"UNITED STATES OF AMERICA"</f>
        <v>UNITED STATES OF AMERICA</v>
      </c>
      <c r="BD858" t="str">
        <f>""</f>
        <v/>
      </c>
      <c r="BE858" t="str">
        <f>"+15128524175"</f>
        <v>+15128524175</v>
      </c>
      <c r="BF858" t="str">
        <f>""</f>
        <v/>
      </c>
      <c r="BG858" t="str">
        <f>"dbressler@fosterglobal.com"</f>
        <v>dbressler@fosterglobal.com</v>
      </c>
      <c r="BH858" t="str">
        <f>"Foster LLP"</f>
        <v>Foster LLP</v>
      </c>
      <c r="BI858" t="str">
        <f>"TX"</f>
        <v>TX</v>
      </c>
      <c r="BJ858" t="str">
        <f>"Supreme Court"</f>
        <v>Supreme Court</v>
      </c>
      <c r="BK858">
        <v>1</v>
      </c>
      <c r="BL858" t="s">
        <v>102</v>
      </c>
      <c r="BM858" t="str">
        <f>""</f>
        <v/>
      </c>
      <c r="BN858" t="s">
        <v>9288</v>
      </c>
      <c r="BP858" t="s">
        <v>3622</v>
      </c>
      <c r="BQ858" t="s">
        <v>626</v>
      </c>
      <c r="BR858" t="s">
        <v>265</v>
      </c>
      <c r="BS858" s="5">
        <v>48161</v>
      </c>
      <c r="BT858" s="2">
        <v>113850</v>
      </c>
      <c r="BV858" t="s">
        <v>105</v>
      </c>
      <c r="BW858" s="2">
        <v>98509</v>
      </c>
      <c r="BX858" t="s">
        <v>105</v>
      </c>
      <c r="BZ858" t="s">
        <v>191</v>
      </c>
      <c r="CA858" t="str">
        <f t="shared" si="62"/>
        <v>7/1/2020 - 6/30/2021</v>
      </c>
      <c r="CF858">
        <v>1</v>
      </c>
      <c r="CG858" t="s">
        <v>98</v>
      </c>
      <c r="CH858" t="s">
        <v>206</v>
      </c>
      <c r="CI858" t="s">
        <v>206</v>
      </c>
      <c r="CL858" t="s">
        <v>108</v>
      </c>
      <c r="CM858" t="s">
        <v>353</v>
      </c>
      <c r="CN858" t="str">
        <f>""</f>
        <v/>
      </c>
      <c r="CO858" t="str">
        <f>""</f>
        <v/>
      </c>
      <c r="CP858" t="str">
        <f>""</f>
        <v/>
      </c>
      <c r="CQ858" t="str">
        <f>""</f>
        <v/>
      </c>
    </row>
    <row r="859" spans="1:96" x14ac:dyDescent="0.2">
      <c r="A859" t="s">
        <v>9981</v>
      </c>
      <c r="B859" t="s">
        <v>96</v>
      </c>
      <c r="C859" s="1">
        <v>44098</v>
      </c>
      <c r="D859" s="1">
        <v>44105</v>
      </c>
      <c r="F859" t="s">
        <v>97</v>
      </c>
      <c r="G859" t="str">
        <f>"Software Developer"</f>
        <v>Software Developer</v>
      </c>
      <c r="H859" t="s">
        <v>12176</v>
      </c>
      <c r="I859" t="s">
        <v>246</v>
      </c>
      <c r="J859" t="s">
        <v>98</v>
      </c>
      <c r="K859" s="1">
        <v>44105</v>
      </c>
      <c r="L859" s="1">
        <v>45199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 t="s">
        <v>9982</v>
      </c>
      <c r="U859" t="str">
        <f>""</f>
        <v/>
      </c>
      <c r="V859" t="s">
        <v>9983</v>
      </c>
      <c r="W859" t="str">
        <f>"#650"</f>
        <v>#650</v>
      </c>
      <c r="X859" t="s">
        <v>2261</v>
      </c>
      <c r="Y859" t="s">
        <v>114</v>
      </c>
      <c r="Z859" s="3">
        <v>77478</v>
      </c>
      <c r="AA859" t="s">
        <v>101</v>
      </c>
      <c r="AC859" s="4" t="str">
        <f>"+17137064000"</f>
        <v>+17137064000</v>
      </c>
      <c r="AE859" t="str">
        <f>"541511"</f>
        <v>541511</v>
      </c>
      <c r="AF859" t="s">
        <v>9984</v>
      </c>
      <c r="AG859" t="s">
        <v>4308</v>
      </c>
      <c r="AI859" t="s">
        <v>646</v>
      </c>
      <c r="AJ859" t="s">
        <v>9983</v>
      </c>
      <c r="AK859" t="str">
        <f>"#650"</f>
        <v>#650</v>
      </c>
      <c r="AL859" t="s">
        <v>2261</v>
      </c>
      <c r="AM859" t="s">
        <v>114</v>
      </c>
      <c r="AN859" s="3">
        <v>77478</v>
      </c>
      <c r="AO859" t="s">
        <v>101</v>
      </c>
      <c r="AQ859" t="str">
        <f>"+17137064005"</f>
        <v>+17137064005</v>
      </c>
      <c r="AS859" t="s">
        <v>9985</v>
      </c>
      <c r="AT859" t="s">
        <v>107</v>
      </c>
      <c r="AU859" t="str">
        <f>"Garcia"</f>
        <v>Garcia</v>
      </c>
      <c r="AV859" t="str">
        <f>"Charina"</f>
        <v>Charina</v>
      </c>
      <c r="AW859" t="str">
        <f>""</f>
        <v/>
      </c>
      <c r="AX859" t="str">
        <f>"248 3rd Street"</f>
        <v>248 3rd Street</v>
      </c>
      <c r="AY859" t="str">
        <f>"Suite 433"</f>
        <v>Suite 433</v>
      </c>
      <c r="AZ859" t="str">
        <f>"Oakland"</f>
        <v>Oakland</v>
      </c>
      <c r="BA859" t="str">
        <f>"CA"</f>
        <v>CA</v>
      </c>
      <c r="BB859" s="3">
        <v>94607</v>
      </c>
      <c r="BC859" t="str">
        <f>"UNITED STATES OF AMERICA"</f>
        <v>UNITED STATES OF AMERICA</v>
      </c>
      <c r="BD859" t="str">
        <f>""</f>
        <v/>
      </c>
      <c r="BE859" t="str">
        <f>"+14153711800"</f>
        <v>+14153711800</v>
      </c>
      <c r="BF859" t="str">
        <f>""</f>
        <v/>
      </c>
      <c r="BG859" t="str">
        <f>"lca-oak@wolfsdorf.com"</f>
        <v>lca-oak@wolfsdorf.com</v>
      </c>
      <c r="BH859" t="str">
        <f>"Wolfsdorf Rosenthal LLP"</f>
        <v>Wolfsdorf Rosenthal LLP</v>
      </c>
      <c r="BI859" t="str">
        <f>"CA"</f>
        <v>CA</v>
      </c>
      <c r="BJ859" t="str">
        <f>"SUPREME"</f>
        <v>SUPREME</v>
      </c>
      <c r="BK859">
        <v>1</v>
      </c>
      <c r="BL859" t="s">
        <v>102</v>
      </c>
      <c r="BM859" t="str">
        <f>""</f>
        <v/>
      </c>
      <c r="BN859" t="s">
        <v>9983</v>
      </c>
      <c r="BO859" t="s">
        <v>9986</v>
      </c>
      <c r="BP859" t="s">
        <v>2261</v>
      </c>
      <c r="BQ859" t="s">
        <v>400</v>
      </c>
      <c r="BR859" t="s">
        <v>114</v>
      </c>
      <c r="BS859" s="5">
        <v>77478</v>
      </c>
      <c r="BT859" s="2">
        <v>110000</v>
      </c>
      <c r="BU859" s="2">
        <v>160000</v>
      </c>
      <c r="BV859" t="s">
        <v>105</v>
      </c>
      <c r="BW859" s="2">
        <v>106662</v>
      </c>
      <c r="BX859" t="s">
        <v>105</v>
      </c>
      <c r="BZ859" t="s">
        <v>123</v>
      </c>
      <c r="CA859" t="str">
        <f t="shared" si="62"/>
        <v>7/1/2020 - 6/30/2021</v>
      </c>
      <c r="CF859">
        <v>1</v>
      </c>
      <c r="CG859" t="s">
        <v>98</v>
      </c>
      <c r="CH859" t="s">
        <v>206</v>
      </c>
      <c r="CI859" t="s">
        <v>206</v>
      </c>
      <c r="CL859" t="s">
        <v>108</v>
      </c>
      <c r="CM859" t="s">
        <v>109</v>
      </c>
      <c r="CN859" t="str">
        <f>""</f>
        <v/>
      </c>
      <c r="CO859" t="str">
        <f>""</f>
        <v/>
      </c>
      <c r="CP859" t="str">
        <f>""</f>
        <v/>
      </c>
      <c r="CQ859" t="str">
        <f>""</f>
        <v/>
      </c>
    </row>
    <row r="860" spans="1:96" x14ac:dyDescent="0.2">
      <c r="A860" t="s">
        <v>9991</v>
      </c>
      <c r="B860" t="s">
        <v>96</v>
      </c>
      <c r="C860" s="1">
        <v>44098</v>
      </c>
      <c r="D860" s="1">
        <v>44105</v>
      </c>
      <c r="F860" t="s">
        <v>97</v>
      </c>
      <c r="G860" t="str">
        <f>"Software Engineer - Career"</f>
        <v>Software Engineer - Career</v>
      </c>
      <c r="H860" t="s">
        <v>12169</v>
      </c>
      <c r="I860" t="s">
        <v>124</v>
      </c>
      <c r="J860" t="s">
        <v>98</v>
      </c>
      <c r="K860" s="1">
        <v>44260</v>
      </c>
      <c r="L860" s="1">
        <v>45355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 t="s">
        <v>5059</v>
      </c>
      <c r="U860" t="str">
        <f>""</f>
        <v/>
      </c>
      <c r="V860" t="s">
        <v>5060</v>
      </c>
      <c r="W860" t="str">
        <f>"J-42A"</f>
        <v>J-42A</v>
      </c>
      <c r="X860" t="s">
        <v>213</v>
      </c>
      <c r="Y860" t="s">
        <v>215</v>
      </c>
      <c r="Z860" s="3">
        <v>30309</v>
      </c>
      <c r="AA860" t="s">
        <v>101</v>
      </c>
      <c r="AB860" t="s">
        <v>108</v>
      </c>
      <c r="AC860" s="4" t="str">
        <f>"+17707405413"</f>
        <v>+17707405413</v>
      </c>
      <c r="AE860" t="str">
        <f>"519190"</f>
        <v>519190</v>
      </c>
      <c r="AF860" t="s">
        <v>3851</v>
      </c>
      <c r="AG860" t="s">
        <v>965</v>
      </c>
      <c r="AH860" t="s">
        <v>2004</v>
      </c>
      <c r="AI860" t="s">
        <v>5061</v>
      </c>
      <c r="AJ860" t="s">
        <v>5060</v>
      </c>
      <c r="AK860" t="str">
        <f>"J-42A"</f>
        <v>J-42A</v>
      </c>
      <c r="AL860" t="s">
        <v>213</v>
      </c>
      <c r="AM860" t="s">
        <v>215</v>
      </c>
      <c r="AN860" s="3">
        <v>30309</v>
      </c>
      <c r="AO860" t="s">
        <v>101</v>
      </c>
      <c r="AQ860" t="str">
        <f>"+17707405413"</f>
        <v>+17707405413</v>
      </c>
      <c r="AS860" t="s">
        <v>5062</v>
      </c>
      <c r="AT860" t="s">
        <v>107</v>
      </c>
      <c r="AU860" t="str">
        <f>"King"</f>
        <v>King</v>
      </c>
      <c r="AV860" t="str">
        <f>"James"</f>
        <v>James</v>
      </c>
      <c r="AW860" t="str">
        <f>"W."</f>
        <v>W.</v>
      </c>
      <c r="AX860" t="str">
        <f>"1075 Peachtree St. NE"</f>
        <v>1075 Peachtree St. NE</v>
      </c>
      <c r="AY860" t="str">
        <f>"Suite 2500"</f>
        <v>Suite 2500</v>
      </c>
      <c r="AZ860" t="str">
        <f>"Atlanta"</f>
        <v>Atlanta</v>
      </c>
      <c r="BA860" t="str">
        <f>"GA"</f>
        <v>GA</v>
      </c>
      <c r="BB860" s="3">
        <v>30309</v>
      </c>
      <c r="BC860" t="str">
        <f>"UNITED STATES OF AMERICA"</f>
        <v>UNITED STATES OF AMERICA</v>
      </c>
      <c r="BD860" t="str">
        <f>"N/A"</f>
        <v>N/A</v>
      </c>
      <c r="BE860" t="str">
        <f>"+14048856720"</f>
        <v>+14048856720</v>
      </c>
      <c r="BF860" t="str">
        <f>""</f>
        <v/>
      </c>
      <c r="BG860" t="str">
        <f>"knolton@seyfarth.com"</f>
        <v>knolton@seyfarth.com</v>
      </c>
      <c r="BH860" t="str">
        <f>"Seyfarth Shaw LLP"</f>
        <v>Seyfarth Shaw LLP</v>
      </c>
      <c r="BI860" t="str">
        <f>"GA"</f>
        <v>GA</v>
      </c>
      <c r="BJ860" t="str">
        <f>"Supreme Court"</f>
        <v>Supreme Court</v>
      </c>
      <c r="BK860">
        <v>1</v>
      </c>
      <c r="BL860" t="s">
        <v>102</v>
      </c>
      <c r="BM860" t="str">
        <f>""</f>
        <v/>
      </c>
      <c r="BN860" t="s">
        <v>5146</v>
      </c>
      <c r="BO860" t="s">
        <v>108</v>
      </c>
      <c r="BP860" t="s">
        <v>847</v>
      </c>
      <c r="BQ860" t="s">
        <v>214</v>
      </c>
      <c r="BR860" t="s">
        <v>215</v>
      </c>
      <c r="BS860" s="5">
        <v>30005</v>
      </c>
      <c r="BT860" s="2">
        <v>121139</v>
      </c>
      <c r="BU860" s="2">
        <v>146990</v>
      </c>
      <c r="BV860" t="s">
        <v>105</v>
      </c>
      <c r="BW860" s="2">
        <v>121139</v>
      </c>
      <c r="BX860" t="s">
        <v>105</v>
      </c>
      <c r="BZ860" t="s">
        <v>159</v>
      </c>
      <c r="CA860" t="str">
        <f t="shared" si="62"/>
        <v>7/1/2020 - 6/30/2021</v>
      </c>
      <c r="CF860">
        <v>3</v>
      </c>
      <c r="CG860" t="s">
        <v>98</v>
      </c>
      <c r="CH860" t="s">
        <v>206</v>
      </c>
      <c r="CI860" t="s">
        <v>206</v>
      </c>
      <c r="CL860" t="s">
        <v>108</v>
      </c>
      <c r="CM860" t="s">
        <v>109</v>
      </c>
      <c r="CN860" t="str">
        <f>"Nolton"</f>
        <v>Nolton</v>
      </c>
      <c r="CO860" t="str">
        <f>"Kay"</f>
        <v>Kay</v>
      </c>
      <c r="CP860" t="str">
        <f>"N/A"</f>
        <v>N/A</v>
      </c>
      <c r="CQ860" t="str">
        <f>"Seyfarth Shaw LLP"</f>
        <v>Seyfarth Shaw LLP</v>
      </c>
      <c r="CR860" t="s">
        <v>5147</v>
      </c>
    </row>
    <row r="861" spans="1:96" x14ac:dyDescent="0.2">
      <c r="A861" t="s">
        <v>9992</v>
      </c>
      <c r="B861" t="s">
        <v>96</v>
      </c>
      <c r="C861" s="1">
        <v>44098</v>
      </c>
      <c r="D861" s="1">
        <v>44105</v>
      </c>
      <c r="F861" t="s">
        <v>97</v>
      </c>
      <c r="G861" t="str">
        <f>"Software Engineer"</f>
        <v>Software Engineer</v>
      </c>
      <c r="H861" t="s">
        <v>12169</v>
      </c>
      <c r="I861" t="s">
        <v>124</v>
      </c>
      <c r="J861" t="s">
        <v>98</v>
      </c>
      <c r="K861" s="1">
        <v>44104</v>
      </c>
      <c r="L861" s="1">
        <v>45198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173</v>
      </c>
      <c r="U861" t="str">
        <f>""</f>
        <v/>
      </c>
      <c r="V861" t="s">
        <v>174</v>
      </c>
      <c r="W861" t="str">
        <f>"N/A"</f>
        <v>N/A</v>
      </c>
      <c r="X861" t="s">
        <v>175</v>
      </c>
      <c r="Y861" t="s">
        <v>176</v>
      </c>
      <c r="Z861" s="3">
        <v>98052</v>
      </c>
      <c r="AA861" t="s">
        <v>101</v>
      </c>
      <c r="AC861" s="4" t="str">
        <f>"+14258828080"</f>
        <v>+14258828080</v>
      </c>
      <c r="AE861" t="str">
        <f>"51121"</f>
        <v>51121</v>
      </c>
      <c r="AF861" t="s">
        <v>177</v>
      </c>
      <c r="AG861" t="s">
        <v>178</v>
      </c>
      <c r="AI861" t="s">
        <v>179</v>
      </c>
      <c r="AJ861" t="s">
        <v>174</v>
      </c>
      <c r="AK861" t="str">
        <f>""</f>
        <v/>
      </c>
      <c r="AL861" t="s">
        <v>175</v>
      </c>
      <c r="AM861" t="s">
        <v>176</v>
      </c>
      <c r="AN861" s="3">
        <v>98052</v>
      </c>
      <c r="AO861" t="s">
        <v>101</v>
      </c>
      <c r="AQ861" t="str">
        <f>"+14258828080"</f>
        <v>+14258828080</v>
      </c>
      <c r="AS861" t="s">
        <v>180</v>
      </c>
      <c r="AT861" t="s">
        <v>102</v>
      </c>
      <c r="AU861" t="str">
        <f>""</f>
        <v/>
      </c>
      <c r="AV861" t="str">
        <f>""</f>
        <v/>
      </c>
      <c r="AW861" t="str">
        <f>""</f>
        <v/>
      </c>
      <c r="AX861" t="str">
        <f>""</f>
        <v/>
      </c>
      <c r="AY861" t="str">
        <f>""</f>
        <v/>
      </c>
      <c r="AZ861" t="str">
        <f>""</f>
        <v/>
      </c>
      <c r="BA861" t="str">
        <f>""</f>
        <v/>
      </c>
      <c r="BC861" t="str">
        <f>""</f>
        <v/>
      </c>
      <c r="BD861" t="str">
        <f>""</f>
        <v/>
      </c>
      <c r="BE861" t="str">
        <f>""</f>
        <v/>
      </c>
      <c r="BF861" t="str">
        <f>""</f>
        <v/>
      </c>
      <c r="BG861" t="str">
        <f>""</f>
        <v/>
      </c>
      <c r="BH861" t="str">
        <f>""</f>
        <v/>
      </c>
      <c r="BI861" t="str">
        <f>""</f>
        <v/>
      </c>
      <c r="BJ861" t="str">
        <f>""</f>
        <v/>
      </c>
      <c r="BK861">
        <v>1</v>
      </c>
      <c r="BL861" t="s">
        <v>102</v>
      </c>
      <c r="BM861" t="str">
        <f>""</f>
        <v/>
      </c>
      <c r="BN861" t="s">
        <v>962</v>
      </c>
      <c r="BP861" t="s">
        <v>175</v>
      </c>
      <c r="BQ861" t="s">
        <v>183</v>
      </c>
      <c r="BR861" t="s">
        <v>176</v>
      </c>
      <c r="BS861" s="5">
        <v>98052</v>
      </c>
      <c r="BT861" s="2">
        <v>130000</v>
      </c>
      <c r="BV861" t="s">
        <v>105</v>
      </c>
      <c r="BW861" s="2">
        <v>113110</v>
      </c>
      <c r="BX861" t="s">
        <v>105</v>
      </c>
      <c r="BZ861" t="s">
        <v>167</v>
      </c>
      <c r="CA861" t="str">
        <f t="shared" si="62"/>
        <v>7/1/2020 - 6/30/2021</v>
      </c>
      <c r="CF861">
        <v>1</v>
      </c>
      <c r="CG861" t="s">
        <v>98</v>
      </c>
      <c r="CH861" t="s">
        <v>206</v>
      </c>
      <c r="CI861" t="s">
        <v>206</v>
      </c>
      <c r="CL861" t="s">
        <v>108</v>
      </c>
      <c r="CM861" t="s">
        <v>109</v>
      </c>
      <c r="CN861" t="str">
        <f>"DSOUZA"</f>
        <v>DSOUZA</v>
      </c>
      <c r="CO861" t="str">
        <f>"MACLIFF"</f>
        <v>MACLIFF</v>
      </c>
      <c r="CP861" t="str">
        <f>"N/A"</f>
        <v>N/A</v>
      </c>
      <c r="CQ861" t="str">
        <f>"INTEGREON MANAGED SOLUTIONS (INDIA) PVT LTD"</f>
        <v>INTEGREON MANAGED SOLUTIONS (INDIA) PVT LTD</v>
      </c>
      <c r="CR861" t="s">
        <v>1842</v>
      </c>
    </row>
    <row r="862" spans="1:96" x14ac:dyDescent="0.2">
      <c r="A862" t="s">
        <v>10001</v>
      </c>
      <c r="B862" t="s">
        <v>96</v>
      </c>
      <c r="C862" s="1">
        <v>44098</v>
      </c>
      <c r="D862" s="1">
        <v>44105</v>
      </c>
      <c r="F862" t="s">
        <v>97</v>
      </c>
      <c r="G862" t="str">
        <f>"Consultant, Consulting Services"</f>
        <v>Consultant, Consulting Services</v>
      </c>
      <c r="H862" t="s">
        <v>12214</v>
      </c>
      <c r="I862" t="s">
        <v>6963</v>
      </c>
      <c r="J862" t="s">
        <v>98</v>
      </c>
      <c r="K862" s="1">
        <v>44098</v>
      </c>
      <c r="L862" s="1">
        <v>45192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 t="s">
        <v>5871</v>
      </c>
      <c r="U862" t="str">
        <f>""</f>
        <v/>
      </c>
      <c r="V862" t="s">
        <v>5393</v>
      </c>
      <c r="W862" t="str">
        <f>""</f>
        <v/>
      </c>
      <c r="X862" t="s">
        <v>1113</v>
      </c>
      <c r="Y862" t="s">
        <v>122</v>
      </c>
      <c r="Z862" s="3">
        <v>27703</v>
      </c>
      <c r="AA862" t="s">
        <v>101</v>
      </c>
      <c r="AC862" s="4" t="str">
        <f>"+17703733978"</f>
        <v>+17703733978</v>
      </c>
      <c r="AE862" t="str">
        <f>"325411"</f>
        <v>325411</v>
      </c>
      <c r="AF862" t="s">
        <v>4286</v>
      </c>
      <c r="AG862" t="s">
        <v>2511</v>
      </c>
      <c r="AI862" t="s">
        <v>4287</v>
      </c>
      <c r="AJ862" t="s">
        <v>4288</v>
      </c>
      <c r="AK862" t="str">
        <f>""</f>
        <v/>
      </c>
      <c r="AL862" t="s">
        <v>2005</v>
      </c>
      <c r="AM862" t="s">
        <v>215</v>
      </c>
      <c r="AN862" s="3">
        <v>30067</v>
      </c>
      <c r="AO862" t="s">
        <v>101</v>
      </c>
      <c r="AQ862" t="str">
        <f>"+17703733978"</f>
        <v>+17703733978</v>
      </c>
      <c r="AS862" t="s">
        <v>4289</v>
      </c>
      <c r="AT862" t="s">
        <v>107</v>
      </c>
      <c r="AU862" t="str">
        <f>"Little"</f>
        <v>Little</v>
      </c>
      <c r="AV862" t="str">
        <f>"Hannah"</f>
        <v>Hannah</v>
      </c>
      <c r="AW862" t="str">
        <f>"F"</f>
        <v>F</v>
      </c>
      <c r="AX862" t="str">
        <f>"6100 Fairview Road"</f>
        <v>6100 Fairview Road</v>
      </c>
      <c r="AY862" t="str">
        <f>"Ste. 200"</f>
        <v>Ste. 200</v>
      </c>
      <c r="AZ862" t="str">
        <f>"Charlotte"</f>
        <v>Charlotte</v>
      </c>
      <c r="BA862" t="str">
        <f>"NC"</f>
        <v>NC</v>
      </c>
      <c r="BB862" s="3">
        <v>28210</v>
      </c>
      <c r="BC862" t="str">
        <f>"UNITED STATES OF AMERICA"</f>
        <v>UNITED STATES OF AMERICA</v>
      </c>
      <c r="BD862" t="str">
        <f>""</f>
        <v/>
      </c>
      <c r="BE862" t="str">
        <f>"+17044428000"</f>
        <v>+17044428000</v>
      </c>
      <c r="BF862" t="str">
        <f>""</f>
        <v/>
      </c>
      <c r="BG862" t="str">
        <f>"brianne.goethe@garfinkelimmigration.com"</f>
        <v>brianne.goethe@garfinkelimmigration.com</v>
      </c>
      <c r="BH862" t="str">
        <f>"Garfinkel Immigration Law Firm"</f>
        <v>Garfinkel Immigration Law Firm</v>
      </c>
      <c r="BI862" t="str">
        <f>"NC"</f>
        <v>NC</v>
      </c>
      <c r="BJ862" t="str">
        <f>"Supreme Court"</f>
        <v>Supreme Court</v>
      </c>
      <c r="BK862">
        <v>1</v>
      </c>
      <c r="BL862" t="s">
        <v>102</v>
      </c>
      <c r="BM862" t="str">
        <f>""</f>
        <v/>
      </c>
      <c r="BN862" t="s">
        <v>7271</v>
      </c>
      <c r="BP862" t="s">
        <v>277</v>
      </c>
      <c r="BQ862" t="s">
        <v>189</v>
      </c>
      <c r="BR862" t="s">
        <v>190</v>
      </c>
      <c r="BS862" s="5">
        <v>10282</v>
      </c>
      <c r="BT862" s="2">
        <v>138000</v>
      </c>
      <c r="BV862" t="s">
        <v>105</v>
      </c>
      <c r="BW862" s="2">
        <v>116938</v>
      </c>
      <c r="BX862" t="s">
        <v>105</v>
      </c>
      <c r="BZ862" t="s">
        <v>123</v>
      </c>
      <c r="CA862" t="str">
        <f t="shared" si="62"/>
        <v>7/1/2020 - 6/30/2021</v>
      </c>
      <c r="CF862">
        <v>2</v>
      </c>
      <c r="CG862" t="s">
        <v>98</v>
      </c>
      <c r="CH862" t="s">
        <v>206</v>
      </c>
      <c r="CI862" t="s">
        <v>206</v>
      </c>
      <c r="CL862" t="s">
        <v>108</v>
      </c>
      <c r="CM862" t="s">
        <v>109</v>
      </c>
      <c r="CN862" t="str">
        <f>""</f>
        <v/>
      </c>
      <c r="CO862" t="str">
        <f>""</f>
        <v/>
      </c>
      <c r="CP862" t="str">
        <f>""</f>
        <v/>
      </c>
      <c r="CQ862" t="str">
        <f>""</f>
        <v/>
      </c>
    </row>
    <row r="863" spans="1:96" x14ac:dyDescent="0.2">
      <c r="A863" t="s">
        <v>10013</v>
      </c>
      <c r="B863" t="s">
        <v>96</v>
      </c>
      <c r="C863" s="1">
        <v>44098</v>
      </c>
      <c r="D863" s="1">
        <v>44105</v>
      </c>
      <c r="F863" t="s">
        <v>97</v>
      </c>
      <c r="G863" t="str">
        <f>"Laboratory Science Director"</f>
        <v>Laboratory Science Director</v>
      </c>
      <c r="H863" t="s">
        <v>12226</v>
      </c>
      <c r="I863" t="s">
        <v>707</v>
      </c>
      <c r="J863" t="s">
        <v>98</v>
      </c>
      <c r="K863" s="1">
        <v>44109</v>
      </c>
      <c r="L863" s="1">
        <v>44500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1991</v>
      </c>
      <c r="U863" t="str">
        <f>""</f>
        <v/>
      </c>
      <c r="V863" t="s">
        <v>1992</v>
      </c>
      <c r="W863" t="str">
        <f>" "</f>
        <v xml:space="preserve"> </v>
      </c>
      <c r="X863" t="s">
        <v>333</v>
      </c>
      <c r="Y863" t="s">
        <v>127</v>
      </c>
      <c r="Z863" s="3">
        <v>15213</v>
      </c>
      <c r="AA863" t="s">
        <v>101</v>
      </c>
      <c r="AC863" s="4" t="str">
        <f>"+14122685231"</f>
        <v>+14122685231</v>
      </c>
      <c r="AE863" t="str">
        <f>"611310"</f>
        <v>611310</v>
      </c>
      <c r="AF863" t="s">
        <v>1993</v>
      </c>
      <c r="AG863" t="s">
        <v>375</v>
      </c>
      <c r="AI863" t="s">
        <v>1994</v>
      </c>
      <c r="AJ863" t="s">
        <v>1992</v>
      </c>
      <c r="AK863" t="str">
        <f>""</f>
        <v/>
      </c>
      <c r="AL863" t="s">
        <v>333</v>
      </c>
      <c r="AM863" t="s">
        <v>127</v>
      </c>
      <c r="AN863" s="3">
        <v>15213</v>
      </c>
      <c r="AO863" t="s">
        <v>101</v>
      </c>
      <c r="AQ863" t="str">
        <f>"+14122685231"</f>
        <v>+14122685231</v>
      </c>
      <c r="AS863" t="s">
        <v>1995</v>
      </c>
      <c r="AT863" t="s">
        <v>102</v>
      </c>
      <c r="AU863" t="str">
        <f>""</f>
        <v/>
      </c>
      <c r="AV863" t="str">
        <f>""</f>
        <v/>
      </c>
      <c r="AW863" t="str">
        <f>""</f>
        <v/>
      </c>
      <c r="AX863" t="str">
        <f>""</f>
        <v/>
      </c>
      <c r="AY863" t="str">
        <f>""</f>
        <v/>
      </c>
      <c r="AZ863" t="str">
        <f>""</f>
        <v/>
      </c>
      <c r="BA863" t="str">
        <f>""</f>
        <v/>
      </c>
      <c r="BC863" t="str">
        <f>""</f>
        <v/>
      </c>
      <c r="BD863" t="str">
        <f>""</f>
        <v/>
      </c>
      <c r="BE863" t="str">
        <f>""</f>
        <v/>
      </c>
      <c r="BF863" t="str">
        <f>""</f>
        <v/>
      </c>
      <c r="BG863" t="str">
        <f>""</f>
        <v/>
      </c>
      <c r="BH863" t="str">
        <f>""</f>
        <v/>
      </c>
      <c r="BI863" t="str">
        <f>""</f>
        <v/>
      </c>
      <c r="BJ863" t="str">
        <f>""</f>
        <v/>
      </c>
      <c r="BK863">
        <v>1</v>
      </c>
      <c r="BL863" t="s">
        <v>102</v>
      </c>
      <c r="BM863" t="str">
        <f>""</f>
        <v/>
      </c>
      <c r="BN863" t="s">
        <v>1992</v>
      </c>
      <c r="BO863" t="s">
        <v>10014</v>
      </c>
      <c r="BP863" t="s">
        <v>333</v>
      </c>
      <c r="BQ863" t="s">
        <v>861</v>
      </c>
      <c r="BR863" t="s">
        <v>127</v>
      </c>
      <c r="BS863" s="5">
        <v>15213</v>
      </c>
      <c r="BT863" s="2">
        <v>90000</v>
      </c>
      <c r="BV863" t="s">
        <v>105</v>
      </c>
      <c r="BW863" s="2">
        <v>62816</v>
      </c>
      <c r="BX863" t="s">
        <v>105</v>
      </c>
      <c r="BZ863" t="s">
        <v>123</v>
      </c>
      <c r="CA863" t="str">
        <f t="shared" si="62"/>
        <v>7/1/2020 - 6/30/2021</v>
      </c>
      <c r="CF863">
        <v>1</v>
      </c>
      <c r="CG863" t="s">
        <v>98</v>
      </c>
      <c r="CH863" t="s">
        <v>206</v>
      </c>
      <c r="CI863" t="s">
        <v>206</v>
      </c>
      <c r="CL863" t="s">
        <v>108</v>
      </c>
      <c r="CM863" t="s">
        <v>109</v>
      </c>
      <c r="CN863" t="str">
        <f>""</f>
        <v/>
      </c>
      <c r="CO863" t="str">
        <f>""</f>
        <v/>
      </c>
      <c r="CP863" t="str">
        <f>""</f>
        <v/>
      </c>
      <c r="CQ863" t="str">
        <f>""</f>
        <v/>
      </c>
    </row>
    <row r="864" spans="1:96" x14ac:dyDescent="0.2">
      <c r="A864" t="s">
        <v>10022</v>
      </c>
      <c r="B864" t="s">
        <v>96</v>
      </c>
      <c r="C864" s="1">
        <v>44098</v>
      </c>
      <c r="D864" s="1">
        <v>44105</v>
      </c>
      <c r="F864" t="s">
        <v>97</v>
      </c>
      <c r="G864" t="str">
        <f>"SR. ANALYST, GLOBAL RESERVATIONS - PLANNING AND ANALYSIS"</f>
        <v>SR. ANALYST, GLOBAL RESERVATIONS - PLANNING AND ANALYSIS</v>
      </c>
      <c r="H864" t="s">
        <v>12182</v>
      </c>
      <c r="I864" t="s">
        <v>168</v>
      </c>
      <c r="J864" t="s">
        <v>98</v>
      </c>
      <c r="K864" s="1">
        <v>44105</v>
      </c>
      <c r="L864" s="1">
        <v>45199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2773</v>
      </c>
      <c r="U864" t="str">
        <f>"AMERICAN AIRLINES, INC."</f>
        <v>AMERICAN AIRLINES, INC.</v>
      </c>
      <c r="V864" t="s">
        <v>2774</v>
      </c>
      <c r="W864" t="str">
        <f>"MD 8B503"</f>
        <v>MD 8B503</v>
      </c>
      <c r="X864" t="s">
        <v>2775</v>
      </c>
      <c r="Y864" t="s">
        <v>114</v>
      </c>
      <c r="Z864" s="3">
        <v>76155</v>
      </c>
      <c r="AA864" t="s">
        <v>101</v>
      </c>
      <c r="AB864" t="s">
        <v>2776</v>
      </c>
      <c r="AC864" s="4" t="str">
        <f>"+16822780639"</f>
        <v>+16822780639</v>
      </c>
      <c r="AE864" t="str">
        <f>"481111"</f>
        <v>481111</v>
      </c>
      <c r="AF864" t="s">
        <v>2777</v>
      </c>
      <c r="AG864" t="s">
        <v>2778</v>
      </c>
      <c r="AH864" t="s">
        <v>269</v>
      </c>
      <c r="AI864" t="s">
        <v>2779</v>
      </c>
      <c r="AJ864" t="s">
        <v>2774</v>
      </c>
      <c r="AK864" t="str">
        <f>"MD 8B503"</f>
        <v>MD 8B503</v>
      </c>
      <c r="AL864" t="s">
        <v>1001</v>
      </c>
      <c r="AM864" t="s">
        <v>114</v>
      </c>
      <c r="AN864" s="3">
        <v>76155</v>
      </c>
      <c r="AO864" t="s">
        <v>101</v>
      </c>
      <c r="AQ864" t="str">
        <f>"+16822780639"</f>
        <v>+16822780639</v>
      </c>
      <c r="AS864" t="s">
        <v>2780</v>
      </c>
      <c r="AT864" t="s">
        <v>107</v>
      </c>
      <c r="AU864" t="str">
        <f>"Mueller"</f>
        <v>Mueller</v>
      </c>
      <c r="AV864" t="str">
        <f>"Bernhard"</f>
        <v>Bernhard</v>
      </c>
      <c r="AW864" t="str">
        <f>"Walter"</f>
        <v>Walter</v>
      </c>
      <c r="AX864" t="str">
        <f>"2142 Boyce Street"</f>
        <v>2142 Boyce Street</v>
      </c>
      <c r="AY864" t="str">
        <f>"Ste. 401"</f>
        <v>Ste. 401</v>
      </c>
      <c r="AZ864" t="str">
        <f>"Columbia"</f>
        <v>Columbia</v>
      </c>
      <c r="BA864" t="str">
        <f>"SC"</f>
        <v>SC</v>
      </c>
      <c r="BB864" s="3">
        <v>29201</v>
      </c>
      <c r="BC864" t="str">
        <f t="shared" ref="BC864:BC870" si="63">"UNITED STATES OF AMERICA"</f>
        <v>UNITED STATES OF AMERICA</v>
      </c>
      <c r="BD864" t="str">
        <f>"SOUTH CAROLINA"</f>
        <v>SOUTH CAROLINA</v>
      </c>
      <c r="BE864" t="str">
        <f>"+18032521300"</f>
        <v>+18032521300</v>
      </c>
      <c r="BF864" t="str">
        <f>""</f>
        <v/>
      </c>
      <c r="BG864" t="str">
        <f>"bernhard.mueller@ogletree.com"</f>
        <v>bernhard.mueller@ogletree.com</v>
      </c>
      <c r="BH864" t="str">
        <f>"Ogletree, Deakins, Nash, Smoak &amp; Stewart, P.C."</f>
        <v>Ogletree, Deakins, Nash, Smoak &amp; Stewart, P.C.</v>
      </c>
      <c r="BI864" t="str">
        <f>"SC"</f>
        <v>SC</v>
      </c>
      <c r="BJ864" t="str">
        <f>"SC"</f>
        <v>SC</v>
      </c>
      <c r="BK864">
        <v>1</v>
      </c>
      <c r="BL864" t="s">
        <v>102</v>
      </c>
      <c r="BM864" t="str">
        <f>""</f>
        <v/>
      </c>
      <c r="BN864" t="s">
        <v>5231</v>
      </c>
      <c r="BP864" t="s">
        <v>2775</v>
      </c>
      <c r="BQ864" t="s">
        <v>792</v>
      </c>
      <c r="BR864" t="s">
        <v>114</v>
      </c>
      <c r="BS864" s="5">
        <v>76155</v>
      </c>
      <c r="BT864" s="2">
        <v>70096</v>
      </c>
      <c r="BU864" s="2">
        <v>108233</v>
      </c>
      <c r="BV864" t="s">
        <v>105</v>
      </c>
      <c r="BW864" s="2">
        <v>70096</v>
      </c>
      <c r="BX864" t="s">
        <v>105</v>
      </c>
      <c r="BZ864" t="s">
        <v>167</v>
      </c>
      <c r="CA864" t="str">
        <f t="shared" si="62"/>
        <v>7/1/2020 - 6/30/2021</v>
      </c>
      <c r="CF864">
        <v>1</v>
      </c>
      <c r="CG864" t="s">
        <v>98</v>
      </c>
      <c r="CH864" t="s">
        <v>206</v>
      </c>
      <c r="CI864" t="s">
        <v>206</v>
      </c>
      <c r="CL864" t="s">
        <v>108</v>
      </c>
      <c r="CM864" t="s">
        <v>109</v>
      </c>
      <c r="CN864" t="str">
        <f>""</f>
        <v/>
      </c>
      <c r="CO864" t="str">
        <f>""</f>
        <v/>
      </c>
      <c r="CP864" t="str">
        <f>""</f>
        <v/>
      </c>
      <c r="CQ864" t="str">
        <f>""</f>
        <v/>
      </c>
    </row>
    <row r="865" spans="1:96" x14ac:dyDescent="0.2">
      <c r="A865" t="s">
        <v>10033</v>
      </c>
      <c r="B865" t="s">
        <v>96</v>
      </c>
      <c r="C865" s="1">
        <v>44098</v>
      </c>
      <c r="D865" s="1">
        <v>44105</v>
      </c>
      <c r="F865" t="s">
        <v>97</v>
      </c>
      <c r="G865" t="str">
        <f>"SOC PHYSICAL DESIGN ENGINEER, STA/TIMING"</f>
        <v>SOC PHYSICAL DESIGN ENGINEER, STA/TIMING</v>
      </c>
      <c r="H865" t="s">
        <v>12186</v>
      </c>
      <c r="I865" t="s">
        <v>232</v>
      </c>
      <c r="J865" t="s">
        <v>98</v>
      </c>
      <c r="K865" s="1">
        <v>44109</v>
      </c>
      <c r="L865" s="1">
        <v>45203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233</v>
      </c>
      <c r="U865" t="str">
        <f>""</f>
        <v/>
      </c>
      <c r="V865" t="s">
        <v>234</v>
      </c>
      <c r="W865" t="str">
        <f>""</f>
        <v/>
      </c>
      <c r="X865" t="s">
        <v>235</v>
      </c>
      <c r="Y865" t="s">
        <v>141</v>
      </c>
      <c r="Z865" s="3">
        <v>95014</v>
      </c>
      <c r="AA865" t="s">
        <v>101</v>
      </c>
      <c r="AC865" s="4" t="str">
        <f>"+14089742562"</f>
        <v>+14089742562</v>
      </c>
      <c r="AE865" t="str">
        <f>"334111"</f>
        <v>334111</v>
      </c>
      <c r="AF865" t="s">
        <v>236</v>
      </c>
      <c r="AG865" t="s">
        <v>237</v>
      </c>
      <c r="AH865" t="s">
        <v>108</v>
      </c>
      <c r="AI865" t="s">
        <v>238</v>
      </c>
      <c r="AJ865" t="s">
        <v>239</v>
      </c>
      <c r="AK865" t="str">
        <f>"N/A"</f>
        <v>N/A</v>
      </c>
      <c r="AL865" t="s">
        <v>240</v>
      </c>
      <c r="AM865" t="s">
        <v>141</v>
      </c>
      <c r="AN865" s="3">
        <v>95014</v>
      </c>
      <c r="AO865" t="s">
        <v>101</v>
      </c>
      <c r="AQ865" t="str">
        <f>"+14089742562"</f>
        <v>+14089742562</v>
      </c>
      <c r="AS865" t="s">
        <v>241</v>
      </c>
      <c r="AT865" t="s">
        <v>107</v>
      </c>
      <c r="AU865" t="str">
        <f>"KHOL"</f>
        <v>KHOL</v>
      </c>
      <c r="AV865" t="str">
        <f>"KATHY"</f>
        <v>KATHY</v>
      </c>
      <c r="AW865" t="str">
        <f>"ANN"</f>
        <v>ANN</v>
      </c>
      <c r="AX865" t="str">
        <f>"555 MONTGOMERY STREET"</f>
        <v>555 MONTGOMERY STREET</v>
      </c>
      <c r="AY865" t="str">
        <f>"4TH FLOOR C#5313803"</f>
        <v>4TH FLOOR C#5313803</v>
      </c>
      <c r="AZ865" t="str">
        <f>"SAN FRANCISCO"</f>
        <v>SAN FRANCISCO</v>
      </c>
      <c r="BA865" t="str">
        <f>"CA"</f>
        <v>CA</v>
      </c>
      <c r="BB865" s="3">
        <v>94111</v>
      </c>
      <c r="BC865" t="str">
        <f t="shared" si="63"/>
        <v>UNITED STATES OF AMERICA</v>
      </c>
      <c r="BD865" t="str">
        <f>""</f>
        <v/>
      </c>
      <c r="BE865" t="str">
        <f>"+14159861446"</f>
        <v>+14159861446</v>
      </c>
      <c r="BF865" t="str">
        <f>""</f>
        <v/>
      </c>
      <c r="BG865" t="str">
        <f>"APPLE-USIMM@FRAGOMEN.COM"</f>
        <v>APPLE-USIMM@FRAGOMEN.COM</v>
      </c>
      <c r="BH865" t="str">
        <f>"FRAGOMEN, DEL REY, BERNSEN &amp; LOEWY, LLP."</f>
        <v>FRAGOMEN, DEL REY, BERNSEN &amp; LOEWY, LLP.</v>
      </c>
      <c r="BI865" t="str">
        <f>"CA"</f>
        <v>CA</v>
      </c>
      <c r="BJ865" t="str">
        <f>"SUPREME COURT"</f>
        <v>SUPREME COURT</v>
      </c>
      <c r="BK865">
        <v>1</v>
      </c>
      <c r="BL865" t="s">
        <v>102</v>
      </c>
      <c r="BM865" t="str">
        <f>""</f>
        <v/>
      </c>
      <c r="BN865" t="s">
        <v>239</v>
      </c>
      <c r="BP865" t="s">
        <v>240</v>
      </c>
      <c r="BQ865" t="s">
        <v>230</v>
      </c>
      <c r="BR865" t="s">
        <v>141</v>
      </c>
      <c r="BS865" s="5">
        <v>95014</v>
      </c>
      <c r="BT865" s="2">
        <v>150000</v>
      </c>
      <c r="BV865" t="s">
        <v>105</v>
      </c>
      <c r="BW865" s="2">
        <v>117291</v>
      </c>
      <c r="BX865" t="s">
        <v>105</v>
      </c>
      <c r="BZ865" t="s">
        <v>167</v>
      </c>
      <c r="CA865" t="str">
        <f t="shared" si="62"/>
        <v>7/1/2020 - 6/30/2021</v>
      </c>
      <c r="CF865">
        <v>1</v>
      </c>
      <c r="CG865" t="s">
        <v>98</v>
      </c>
      <c r="CH865" t="s">
        <v>206</v>
      </c>
      <c r="CI865" t="s">
        <v>206</v>
      </c>
      <c r="CL865" t="s">
        <v>108</v>
      </c>
      <c r="CM865" t="s">
        <v>109</v>
      </c>
      <c r="CN865" t="str">
        <f>"KHOL"</f>
        <v>KHOL</v>
      </c>
      <c r="CO865" t="str">
        <f>"KATHY"</f>
        <v>KATHY</v>
      </c>
      <c r="CP865" t="str">
        <f>"A"</f>
        <v>A</v>
      </c>
      <c r="CQ865" t="str">
        <f>"FRAGOMEN, DEL REY, BERNSEN &amp; LOEWY, LLP"</f>
        <v>FRAGOMEN, DEL REY, BERNSEN &amp; LOEWY, LLP</v>
      </c>
      <c r="CR865" t="s">
        <v>580</v>
      </c>
    </row>
    <row r="866" spans="1:96" x14ac:dyDescent="0.2">
      <c r="A866" t="s">
        <v>10047</v>
      </c>
      <c r="B866" t="s">
        <v>96</v>
      </c>
      <c r="C866" s="1">
        <v>44098</v>
      </c>
      <c r="D866" s="1">
        <v>44105</v>
      </c>
      <c r="F866" t="s">
        <v>97</v>
      </c>
      <c r="G866" t="str">
        <f>"Senior Engineer"</f>
        <v>Senior Engineer</v>
      </c>
      <c r="H866" t="s">
        <v>12169</v>
      </c>
      <c r="I866" t="s">
        <v>124</v>
      </c>
      <c r="J866" t="s">
        <v>98</v>
      </c>
      <c r="K866" s="1">
        <v>44280</v>
      </c>
      <c r="L866" s="1">
        <v>45375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 t="s">
        <v>2519</v>
      </c>
      <c r="U866" t="str">
        <f>""</f>
        <v/>
      </c>
      <c r="V866" t="s">
        <v>2520</v>
      </c>
      <c r="W866" t="str">
        <f>""</f>
        <v/>
      </c>
      <c r="X866" t="s">
        <v>1339</v>
      </c>
      <c r="Y866" t="s">
        <v>186</v>
      </c>
      <c r="Z866" s="3">
        <v>55403</v>
      </c>
      <c r="AA866" t="s">
        <v>101</v>
      </c>
      <c r="AC866" s="4" t="str">
        <f>"+16123046073"</f>
        <v>+16123046073</v>
      </c>
      <c r="AE866" t="str">
        <f>"45399"</f>
        <v>45399</v>
      </c>
      <c r="AF866" t="s">
        <v>1968</v>
      </c>
      <c r="AG866" t="s">
        <v>1003</v>
      </c>
      <c r="AH866" t="s">
        <v>2895</v>
      </c>
      <c r="AI866" t="s">
        <v>2521</v>
      </c>
      <c r="AJ866" t="s">
        <v>3831</v>
      </c>
      <c r="AK866" t="str">
        <f>"CC-17613"</f>
        <v>CC-17613</v>
      </c>
      <c r="AL866" t="s">
        <v>1339</v>
      </c>
      <c r="AM866" t="s">
        <v>186</v>
      </c>
      <c r="AN866" s="3">
        <v>55402</v>
      </c>
      <c r="AO866" t="s">
        <v>101</v>
      </c>
      <c r="AQ866" t="str">
        <f>"+16126964229"</f>
        <v>+16126964229</v>
      </c>
      <c r="AS866" t="s">
        <v>3832</v>
      </c>
      <c r="AT866" t="s">
        <v>107</v>
      </c>
      <c r="AU866" t="str">
        <f>"Carlson"</f>
        <v>Carlson</v>
      </c>
      <c r="AV866" t="str">
        <f>"Beth"</f>
        <v>Beth</v>
      </c>
      <c r="AW866" t="str">
        <f>"E."</f>
        <v>E.</v>
      </c>
      <c r="AX866" t="str">
        <f>"90 S 7th Street"</f>
        <v>90 S 7th Street</v>
      </c>
      <c r="AY866" t="str">
        <f>"Suite 2200"</f>
        <v>Suite 2200</v>
      </c>
      <c r="AZ866" t="str">
        <f>"Minneapolis"</f>
        <v>Minneapolis</v>
      </c>
      <c r="BA866" t="str">
        <f>"MN"</f>
        <v>MN</v>
      </c>
      <c r="BB866" s="3">
        <v>55402</v>
      </c>
      <c r="BC866" t="str">
        <f t="shared" si="63"/>
        <v>UNITED STATES OF AMERICA</v>
      </c>
      <c r="BD866" t="str">
        <f>""</f>
        <v/>
      </c>
      <c r="BE866" t="str">
        <f>"+16127667652"</f>
        <v>+16127667652</v>
      </c>
      <c r="BF866" t="str">
        <f>""</f>
        <v/>
      </c>
      <c r="BG866" t="str">
        <f>"beth.carlson@faegredrinker.com"</f>
        <v>beth.carlson@faegredrinker.com</v>
      </c>
      <c r="BH866" t="str">
        <f>"Faegre Drinker Biddle Reath"</f>
        <v>Faegre Drinker Biddle Reath</v>
      </c>
      <c r="BI866" t="str">
        <f>"MN"</f>
        <v>MN</v>
      </c>
      <c r="BJ866" t="str">
        <f>"Minnesota Supreme Court"</f>
        <v>Minnesota Supreme Court</v>
      </c>
      <c r="BK866">
        <v>1</v>
      </c>
      <c r="BL866" t="s">
        <v>102</v>
      </c>
      <c r="BM866" t="str">
        <f>""</f>
        <v/>
      </c>
      <c r="BN866" t="s">
        <v>3833</v>
      </c>
      <c r="BP866" t="s">
        <v>1339</v>
      </c>
      <c r="BQ866" t="s">
        <v>185</v>
      </c>
      <c r="BR866" t="s">
        <v>186</v>
      </c>
      <c r="BS866" s="5">
        <v>55402</v>
      </c>
      <c r="BT866" s="2">
        <v>88712</v>
      </c>
      <c r="BU866" s="2">
        <v>132300</v>
      </c>
      <c r="BV866" t="s">
        <v>105</v>
      </c>
      <c r="BW866" s="2">
        <v>88712</v>
      </c>
      <c r="BX866" t="s">
        <v>105</v>
      </c>
      <c r="BZ866" t="s">
        <v>167</v>
      </c>
      <c r="CA866" t="str">
        <f t="shared" si="62"/>
        <v>7/1/2020 - 6/30/2021</v>
      </c>
      <c r="CF866">
        <v>2</v>
      </c>
      <c r="CG866" t="s">
        <v>98</v>
      </c>
      <c r="CH866" t="s">
        <v>206</v>
      </c>
      <c r="CI866" t="s">
        <v>206</v>
      </c>
      <c r="CL866" t="s">
        <v>108</v>
      </c>
      <c r="CM866" t="s">
        <v>109</v>
      </c>
      <c r="CN866" t="str">
        <f>""</f>
        <v/>
      </c>
      <c r="CO866" t="str">
        <f>""</f>
        <v/>
      </c>
      <c r="CP866" t="str">
        <f>""</f>
        <v/>
      </c>
      <c r="CQ866" t="str">
        <f>""</f>
        <v/>
      </c>
    </row>
    <row r="867" spans="1:96" x14ac:dyDescent="0.2">
      <c r="A867" t="s">
        <v>10048</v>
      </c>
      <c r="B867" t="s">
        <v>96</v>
      </c>
      <c r="C867" s="1">
        <v>44098</v>
      </c>
      <c r="D867" s="1">
        <v>44105</v>
      </c>
      <c r="F867" t="s">
        <v>97</v>
      </c>
      <c r="G867" t="str">
        <f>"Specialist Platform"</f>
        <v>Specialist Platform</v>
      </c>
      <c r="H867" t="s">
        <v>12178</v>
      </c>
      <c r="I867" t="s">
        <v>582</v>
      </c>
      <c r="J867" t="s">
        <v>98</v>
      </c>
      <c r="K867" s="1">
        <v>44105</v>
      </c>
      <c r="L867" s="1">
        <v>45199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3810</v>
      </c>
      <c r="U867" t="str">
        <f>""</f>
        <v/>
      </c>
      <c r="V867" t="s">
        <v>3811</v>
      </c>
      <c r="W867" t="str">
        <f>""</f>
        <v/>
      </c>
      <c r="X867" t="s">
        <v>951</v>
      </c>
      <c r="Y867" t="s">
        <v>171</v>
      </c>
      <c r="Z867" s="3">
        <v>2109</v>
      </c>
      <c r="AA867" t="s">
        <v>101</v>
      </c>
      <c r="AC867" s="4" t="str">
        <f>"+16179631447"</f>
        <v>+16179631447</v>
      </c>
      <c r="AE867" t="str">
        <f>"54151"</f>
        <v>54151</v>
      </c>
      <c r="AF867" t="s">
        <v>10049</v>
      </c>
      <c r="AG867" t="s">
        <v>6427</v>
      </c>
      <c r="AI867" t="s">
        <v>10050</v>
      </c>
      <c r="AJ867" t="s">
        <v>4763</v>
      </c>
      <c r="AK867" t="str">
        <f>""</f>
        <v/>
      </c>
      <c r="AL867" t="s">
        <v>207</v>
      </c>
      <c r="AM867" t="s">
        <v>171</v>
      </c>
      <c r="AN867" s="3">
        <v>2109</v>
      </c>
      <c r="AO867" t="s">
        <v>101</v>
      </c>
      <c r="AQ867" t="str">
        <f>"+16176210200"</f>
        <v>+16176210200</v>
      </c>
      <c r="AS867" t="s">
        <v>10051</v>
      </c>
      <c r="AT867" t="s">
        <v>107</v>
      </c>
      <c r="AU867" t="str">
        <f>"WELIWITIGODA"</f>
        <v>WELIWITIGODA</v>
      </c>
      <c r="AV867" t="str">
        <f>"SANJEE"</f>
        <v>SANJEE</v>
      </c>
      <c r="AW867" t="str">
        <f>""</f>
        <v/>
      </c>
      <c r="AX867" t="str">
        <f>"8300 GREENSBORO DRIVE"</f>
        <v>8300 GREENSBORO DRIVE</v>
      </c>
      <c r="AY867" t="str">
        <f>"SUITE 550"</f>
        <v>SUITE 550</v>
      </c>
      <c r="AZ867" t="str">
        <f>"MCLEAN"</f>
        <v>MCLEAN</v>
      </c>
      <c r="BA867" t="str">
        <f>"VA"</f>
        <v>VA</v>
      </c>
      <c r="BB867" s="3">
        <v>22102</v>
      </c>
      <c r="BC867" t="str">
        <f t="shared" si="63"/>
        <v>UNITED STATES OF AMERICA</v>
      </c>
      <c r="BD867" t="str">
        <f>""</f>
        <v/>
      </c>
      <c r="BE867" t="str">
        <f>"+14692909351"</f>
        <v>+14692909351</v>
      </c>
      <c r="BF867" t="str">
        <f>""</f>
        <v/>
      </c>
      <c r="BG867" t="str">
        <f>"sweliwitigoda@balglobal.com"</f>
        <v>sweliwitigoda@balglobal.com</v>
      </c>
      <c r="BH867" t="str">
        <f>"Berry Appleman &amp; Leiden LLP"</f>
        <v>Berry Appleman &amp; Leiden LLP</v>
      </c>
      <c r="BI867" t="str">
        <f>"MN"</f>
        <v>MN</v>
      </c>
      <c r="BJ867" t="str">
        <f>"SUPREME COURT OF MINNESOTA"</f>
        <v>SUPREME COURT OF MINNESOTA</v>
      </c>
      <c r="BK867">
        <v>1</v>
      </c>
      <c r="BL867" t="s">
        <v>102</v>
      </c>
      <c r="BM867" t="str">
        <f>""</f>
        <v/>
      </c>
      <c r="BN867" t="s">
        <v>8116</v>
      </c>
      <c r="BP867" t="s">
        <v>833</v>
      </c>
      <c r="BQ867" t="s">
        <v>788</v>
      </c>
      <c r="BR867" t="s">
        <v>345</v>
      </c>
      <c r="BS867" s="5">
        <v>60601</v>
      </c>
      <c r="BT867" s="2">
        <v>150000</v>
      </c>
      <c r="BV867" t="s">
        <v>105</v>
      </c>
      <c r="BW867" s="2">
        <v>125507</v>
      </c>
      <c r="BX867" t="s">
        <v>105</v>
      </c>
      <c r="BZ867" t="s">
        <v>167</v>
      </c>
      <c r="CA867" t="str">
        <f t="shared" si="62"/>
        <v>7/1/2020 - 6/30/2021</v>
      </c>
      <c r="CF867">
        <v>2</v>
      </c>
      <c r="CG867" t="s">
        <v>98</v>
      </c>
      <c r="CH867" t="s">
        <v>206</v>
      </c>
      <c r="CI867" t="s">
        <v>206</v>
      </c>
      <c r="CL867" t="s">
        <v>108</v>
      </c>
      <c r="CM867" t="s">
        <v>109</v>
      </c>
      <c r="CN867" t="str">
        <f>""</f>
        <v/>
      </c>
      <c r="CO867" t="str">
        <f>""</f>
        <v/>
      </c>
      <c r="CP867" t="str">
        <f>""</f>
        <v/>
      </c>
      <c r="CQ867" t="str">
        <f>""</f>
        <v/>
      </c>
    </row>
    <row r="868" spans="1:96" x14ac:dyDescent="0.2">
      <c r="A868" t="s">
        <v>10052</v>
      </c>
      <c r="B868" t="s">
        <v>96</v>
      </c>
      <c r="C868" s="1">
        <v>44098</v>
      </c>
      <c r="D868" s="1">
        <v>44105</v>
      </c>
      <c r="F868" t="s">
        <v>97</v>
      </c>
      <c r="G868" t="str">
        <f>"Staff Accountant"</f>
        <v>Staff Accountant</v>
      </c>
      <c r="H868" t="s">
        <v>12192</v>
      </c>
      <c r="I868" t="s">
        <v>855</v>
      </c>
      <c r="J868" t="s">
        <v>98</v>
      </c>
      <c r="K868" s="1">
        <v>44098</v>
      </c>
      <c r="L868" s="1">
        <v>45192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 t="s">
        <v>10053</v>
      </c>
      <c r="U868" t="str">
        <f>""</f>
        <v/>
      </c>
      <c r="V868" t="s">
        <v>10054</v>
      </c>
      <c r="W868" t="str">
        <f>"Suite 560"</f>
        <v>Suite 560</v>
      </c>
      <c r="X868" t="s">
        <v>2124</v>
      </c>
      <c r="Y868" t="s">
        <v>141</v>
      </c>
      <c r="Z868" s="3">
        <v>90505</v>
      </c>
      <c r="AA868" t="s">
        <v>101</v>
      </c>
      <c r="AC868" s="4" t="str">
        <f>"+13103738515"</f>
        <v>+13103738515</v>
      </c>
      <c r="AE868" t="str">
        <f>"541211"</f>
        <v>541211</v>
      </c>
      <c r="AF868" t="s">
        <v>4285</v>
      </c>
      <c r="AG868" t="s">
        <v>10055</v>
      </c>
      <c r="AH868" t="s">
        <v>108</v>
      </c>
      <c r="AI868" t="s">
        <v>508</v>
      </c>
      <c r="AJ868" t="s">
        <v>10056</v>
      </c>
      <c r="AK868" t="str">
        <f>"Suite 560"</f>
        <v>Suite 560</v>
      </c>
      <c r="AL868" t="s">
        <v>2124</v>
      </c>
      <c r="AM868" t="s">
        <v>141</v>
      </c>
      <c r="AN868" s="3">
        <v>90505</v>
      </c>
      <c r="AO868" t="s">
        <v>101</v>
      </c>
      <c r="AQ868" t="str">
        <f>"+16262005862"</f>
        <v>+16262005862</v>
      </c>
      <c r="AS868" t="s">
        <v>10057</v>
      </c>
      <c r="AT868" t="s">
        <v>107</v>
      </c>
      <c r="AU868" t="str">
        <f>"Hu"</f>
        <v>Hu</v>
      </c>
      <c r="AV868" t="str">
        <f>"Xiaomin"</f>
        <v>Xiaomin</v>
      </c>
      <c r="AW868" t="str">
        <f>""</f>
        <v/>
      </c>
      <c r="AX868" t="str">
        <f>"2070 Business Center Drive, "</f>
        <v xml:space="preserve">2070 Business Center Drive, </v>
      </c>
      <c r="AY868" t="str">
        <f>"Suite 205"</f>
        <v>Suite 205</v>
      </c>
      <c r="AZ868" t="str">
        <f>"Irvine"</f>
        <v>Irvine</v>
      </c>
      <c r="BA868" t="str">
        <f>"CA"</f>
        <v>CA</v>
      </c>
      <c r="BB868" s="3">
        <v>92612</v>
      </c>
      <c r="BC868" t="str">
        <f t="shared" si="63"/>
        <v>UNITED STATES OF AMERICA</v>
      </c>
      <c r="BD868" t="str">
        <f>""</f>
        <v/>
      </c>
      <c r="BE868" t="str">
        <f>"+19495020873"</f>
        <v>+19495020873</v>
      </c>
      <c r="BF868" t="str">
        <f>""</f>
        <v/>
      </c>
      <c r="BG868" t="str">
        <f>"xhu@huimmigration.com"</f>
        <v>xhu@huimmigration.com</v>
      </c>
      <c r="BH868" t="str">
        <f>"Law Office of Xiaomin Hu, P.C."</f>
        <v>Law Office of Xiaomin Hu, P.C.</v>
      </c>
      <c r="BI868" t="str">
        <f>"FL"</f>
        <v>FL</v>
      </c>
      <c r="BJ868" t="str">
        <f>"Supreme Court of Florida"</f>
        <v>Supreme Court of Florida</v>
      </c>
      <c r="BK868">
        <v>1</v>
      </c>
      <c r="BL868" t="s">
        <v>102</v>
      </c>
      <c r="BM868" t="str">
        <f>""</f>
        <v/>
      </c>
      <c r="BN868" t="s">
        <v>10058</v>
      </c>
      <c r="BO868" t="s">
        <v>7646</v>
      </c>
      <c r="BP868" t="s">
        <v>2124</v>
      </c>
      <c r="BQ868" t="s">
        <v>365</v>
      </c>
      <c r="BR868" t="s">
        <v>141</v>
      </c>
      <c r="BS868" s="5">
        <v>90505</v>
      </c>
      <c r="BT868" s="2">
        <v>60000</v>
      </c>
      <c r="BV868" t="s">
        <v>105</v>
      </c>
      <c r="BW868" s="2">
        <v>48173</v>
      </c>
      <c r="BX868" t="s">
        <v>105</v>
      </c>
      <c r="BZ868" t="s">
        <v>191</v>
      </c>
      <c r="CA868" t="str">
        <f t="shared" si="62"/>
        <v>7/1/2020 - 6/30/2021</v>
      </c>
      <c r="CF868">
        <v>1</v>
      </c>
      <c r="CG868" t="s">
        <v>98</v>
      </c>
      <c r="CH868" t="s">
        <v>206</v>
      </c>
      <c r="CI868" t="s">
        <v>206</v>
      </c>
      <c r="CL868" t="s">
        <v>108</v>
      </c>
      <c r="CM868" t="s">
        <v>109</v>
      </c>
      <c r="CN868" t="str">
        <f>"Hu"</f>
        <v>Hu</v>
      </c>
      <c r="CO868" t="str">
        <f>"Xiaomin"</f>
        <v>Xiaomin</v>
      </c>
      <c r="CP868" t="str">
        <f>""</f>
        <v/>
      </c>
      <c r="CQ868" t="str">
        <f>"Law Office of Xiaomin Hu, P.C."</f>
        <v>Law Office of Xiaomin Hu, P.C.</v>
      </c>
      <c r="CR868" t="s">
        <v>4380</v>
      </c>
    </row>
    <row r="869" spans="1:96" x14ac:dyDescent="0.2">
      <c r="A869" t="s">
        <v>10073</v>
      </c>
      <c r="B869" t="s">
        <v>96</v>
      </c>
      <c r="C869" s="1">
        <v>44098</v>
      </c>
      <c r="D869" s="1">
        <v>44105</v>
      </c>
      <c r="F869" t="s">
        <v>97</v>
      </c>
      <c r="G869" t="str">
        <f>"Director of Nursing"</f>
        <v>Director of Nursing</v>
      </c>
      <c r="H869" t="s">
        <v>12271</v>
      </c>
      <c r="I869" t="s">
        <v>2936</v>
      </c>
      <c r="J869" t="s">
        <v>98</v>
      </c>
      <c r="K869" s="1">
        <v>44188</v>
      </c>
      <c r="L869" s="1">
        <v>45282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10074</v>
      </c>
      <c r="U869" t="str">
        <f>""</f>
        <v/>
      </c>
      <c r="V869" t="s">
        <v>10075</v>
      </c>
      <c r="W869" t="str">
        <f>""</f>
        <v/>
      </c>
      <c r="X869" t="s">
        <v>2415</v>
      </c>
      <c r="Y869" t="s">
        <v>190</v>
      </c>
      <c r="Z869" s="3">
        <v>14214</v>
      </c>
      <c r="AA869" t="s">
        <v>101</v>
      </c>
      <c r="AC869" s="4" t="str">
        <f>"+17169869199"</f>
        <v>+17169869199</v>
      </c>
      <c r="AD869">
        <v>4001</v>
      </c>
      <c r="AE869" t="str">
        <f>"6214"</f>
        <v>6214</v>
      </c>
      <c r="AF869" t="s">
        <v>10076</v>
      </c>
      <c r="AG869" t="s">
        <v>4290</v>
      </c>
      <c r="AI869" t="s">
        <v>298</v>
      </c>
      <c r="AJ869" t="s">
        <v>10077</v>
      </c>
      <c r="AK869" t="str">
        <f>""</f>
        <v/>
      </c>
      <c r="AL869" t="s">
        <v>2415</v>
      </c>
      <c r="AM869" t="s">
        <v>190</v>
      </c>
      <c r="AN869" s="3">
        <v>14214</v>
      </c>
      <c r="AO869" t="s">
        <v>101</v>
      </c>
      <c r="AQ869" t="str">
        <f>"+17169869199"</f>
        <v>+17169869199</v>
      </c>
      <c r="AR869">
        <v>4001</v>
      </c>
      <c r="AS869" t="s">
        <v>10078</v>
      </c>
      <c r="AT869" t="s">
        <v>107</v>
      </c>
      <c r="AU869" t="str">
        <f>"Chary"</f>
        <v>Chary</v>
      </c>
      <c r="AV869" t="str">
        <f>"Siddharth"</f>
        <v>Siddharth</v>
      </c>
      <c r="AW869" t="str">
        <f>"S"</f>
        <v>S</v>
      </c>
      <c r="AX869" t="str">
        <f>"175 Kent Ave"</f>
        <v>175 Kent Ave</v>
      </c>
      <c r="AY869" t="str">
        <f>"416"</f>
        <v>416</v>
      </c>
      <c r="AZ869" t="str">
        <f>"Brooklyn"</f>
        <v>Brooklyn</v>
      </c>
      <c r="BA869" t="str">
        <f>"NY"</f>
        <v>NY</v>
      </c>
      <c r="BB869" s="3">
        <v>11249</v>
      </c>
      <c r="BC869" t="str">
        <f t="shared" si="63"/>
        <v>UNITED STATES OF AMERICA</v>
      </c>
      <c r="BD869" t="str">
        <f>""</f>
        <v/>
      </c>
      <c r="BE869" t="str">
        <f>"+12129608365"</f>
        <v>+12129608365</v>
      </c>
      <c r="BF869" t="str">
        <f>""</f>
        <v/>
      </c>
      <c r="BG869" t="str">
        <f>"sid@charylaw.com"</f>
        <v>sid@charylaw.com</v>
      </c>
      <c r="BH869" t="str">
        <f>"Chary Law P.C."</f>
        <v>Chary Law P.C.</v>
      </c>
      <c r="BI869" t="str">
        <f>"NY"</f>
        <v>NY</v>
      </c>
      <c r="BJ869" t="str">
        <f>"Court of Appeals"</f>
        <v>Court of Appeals</v>
      </c>
      <c r="BK869">
        <v>1</v>
      </c>
      <c r="BL869" t="s">
        <v>102</v>
      </c>
      <c r="BM869" t="str">
        <f>""</f>
        <v/>
      </c>
      <c r="BN869" t="s">
        <v>10077</v>
      </c>
      <c r="BP869" t="s">
        <v>2415</v>
      </c>
      <c r="BQ869" t="s">
        <v>1054</v>
      </c>
      <c r="BR869" t="s">
        <v>190</v>
      </c>
      <c r="BS869" s="5">
        <v>14214</v>
      </c>
      <c r="BT869" s="2">
        <v>78130</v>
      </c>
      <c r="BV869" t="s">
        <v>105</v>
      </c>
      <c r="BW869" s="2">
        <v>76107</v>
      </c>
      <c r="BX869" t="s">
        <v>105</v>
      </c>
      <c r="BZ869" t="s">
        <v>123</v>
      </c>
      <c r="CA869" t="str">
        <f t="shared" si="62"/>
        <v>7/1/2020 - 6/30/2021</v>
      </c>
      <c r="CF869">
        <v>1</v>
      </c>
      <c r="CG869" t="s">
        <v>98</v>
      </c>
      <c r="CH869" t="s">
        <v>206</v>
      </c>
      <c r="CI869" t="s">
        <v>206</v>
      </c>
      <c r="CL869" t="s">
        <v>108</v>
      </c>
      <c r="CM869" t="s">
        <v>353</v>
      </c>
      <c r="CN869" t="str">
        <f>""</f>
        <v/>
      </c>
      <c r="CO869" t="str">
        <f>""</f>
        <v/>
      </c>
      <c r="CP869" t="str">
        <f>""</f>
        <v/>
      </c>
      <c r="CQ869" t="str">
        <f>""</f>
        <v/>
      </c>
    </row>
    <row r="870" spans="1:96" x14ac:dyDescent="0.2">
      <c r="A870" t="s">
        <v>10079</v>
      </c>
      <c r="B870" t="s">
        <v>96</v>
      </c>
      <c r="C870" s="1">
        <v>44098</v>
      </c>
      <c r="D870" s="1">
        <v>44105</v>
      </c>
      <c r="F870" t="s">
        <v>97</v>
      </c>
      <c r="G870" t="str">
        <f>"Materials Engineer"</f>
        <v>Materials Engineer</v>
      </c>
      <c r="H870" t="s">
        <v>12208</v>
      </c>
      <c r="I870" t="s">
        <v>1394</v>
      </c>
      <c r="J870" t="s">
        <v>98</v>
      </c>
      <c r="K870" s="1">
        <v>44105</v>
      </c>
      <c r="L870" s="1">
        <v>45199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10080</v>
      </c>
      <c r="U870" t="str">
        <f>""</f>
        <v/>
      </c>
      <c r="V870" t="s">
        <v>10081</v>
      </c>
      <c r="W870" t="str">
        <f>""</f>
        <v/>
      </c>
      <c r="X870" t="s">
        <v>593</v>
      </c>
      <c r="Y870" t="s">
        <v>370</v>
      </c>
      <c r="Z870" s="3">
        <v>40511</v>
      </c>
      <c r="AA870" t="s">
        <v>101</v>
      </c>
      <c r="AC870" s="4" t="str">
        <f>"+18178803880"</f>
        <v>+18178803880</v>
      </c>
      <c r="AE870" t="str">
        <f>"54171"</f>
        <v>54171</v>
      </c>
      <c r="AF870" t="s">
        <v>1245</v>
      </c>
      <c r="AG870" t="s">
        <v>10082</v>
      </c>
      <c r="AI870" t="s">
        <v>508</v>
      </c>
      <c r="AJ870" t="s">
        <v>10081</v>
      </c>
      <c r="AK870" t="str">
        <f>""</f>
        <v/>
      </c>
      <c r="AL870" t="s">
        <v>593</v>
      </c>
      <c r="AM870" t="s">
        <v>370</v>
      </c>
      <c r="AN870" s="3">
        <v>40511</v>
      </c>
      <c r="AO870" t="s">
        <v>101</v>
      </c>
      <c r="AQ870" t="str">
        <f>"+18178803880"</f>
        <v>+18178803880</v>
      </c>
      <c r="AS870" t="s">
        <v>10083</v>
      </c>
      <c r="AT870" t="s">
        <v>107</v>
      </c>
      <c r="AU870" t="str">
        <f>"Akula"</f>
        <v>Akula</v>
      </c>
      <c r="AV870" t="str">
        <f>"Kavitha"</f>
        <v>Kavitha</v>
      </c>
      <c r="AW870" t="str">
        <f>""</f>
        <v/>
      </c>
      <c r="AX870" t="str">
        <f>"17400 DALLAS PKWY"</f>
        <v>17400 DALLAS PKWY</v>
      </c>
      <c r="AY870" t="str">
        <f>"SUITE 216"</f>
        <v>SUITE 216</v>
      </c>
      <c r="AZ870" t="str">
        <f>"DALLAS"</f>
        <v>DALLAS</v>
      </c>
      <c r="BA870" t="str">
        <f>"TX"</f>
        <v>TX</v>
      </c>
      <c r="BB870" s="3">
        <v>75287</v>
      </c>
      <c r="BC870" t="str">
        <f t="shared" si="63"/>
        <v>UNITED STATES OF AMERICA</v>
      </c>
      <c r="BD870" t="str">
        <f>""</f>
        <v/>
      </c>
      <c r="BE870" t="str">
        <f>"+19722414698"</f>
        <v>+19722414698</v>
      </c>
      <c r="BF870" t="str">
        <f>""</f>
        <v/>
      </c>
      <c r="BG870" t="str">
        <f>"holly.lambert@akulalaw.com"</f>
        <v>holly.lambert@akulalaw.com</v>
      </c>
      <c r="BH870" t="str">
        <f>"Akula &amp; Associates, P.C."</f>
        <v>Akula &amp; Associates, P.C.</v>
      </c>
      <c r="BI870" t="str">
        <f>"TX"</f>
        <v>TX</v>
      </c>
      <c r="BJ870" t="str">
        <f>"SUPREME COURT"</f>
        <v>SUPREME COURT</v>
      </c>
      <c r="BK870">
        <v>1</v>
      </c>
      <c r="BL870" t="s">
        <v>102</v>
      </c>
      <c r="BM870" t="str">
        <f>""</f>
        <v/>
      </c>
      <c r="BN870" t="s">
        <v>10084</v>
      </c>
      <c r="BP870" t="s">
        <v>1001</v>
      </c>
      <c r="BQ870" t="s">
        <v>792</v>
      </c>
      <c r="BR870" t="s">
        <v>114</v>
      </c>
      <c r="BS870" s="5">
        <v>76014</v>
      </c>
      <c r="BT870" s="2">
        <v>66477</v>
      </c>
      <c r="BU870" s="2">
        <v>66480</v>
      </c>
      <c r="BV870" t="s">
        <v>105</v>
      </c>
      <c r="BW870" s="2">
        <v>66477</v>
      </c>
      <c r="BX870" t="s">
        <v>105</v>
      </c>
      <c r="BZ870" t="s">
        <v>191</v>
      </c>
      <c r="CA870" t="str">
        <f t="shared" si="62"/>
        <v>7/1/2020 - 6/30/2021</v>
      </c>
      <c r="CF870">
        <v>1</v>
      </c>
      <c r="CG870" t="s">
        <v>98</v>
      </c>
      <c r="CH870" t="s">
        <v>206</v>
      </c>
      <c r="CI870" t="s">
        <v>206</v>
      </c>
      <c r="CL870" t="s">
        <v>108</v>
      </c>
      <c r="CM870" t="s">
        <v>109</v>
      </c>
      <c r="CN870" t="str">
        <f>""</f>
        <v/>
      </c>
      <c r="CO870" t="str">
        <f>""</f>
        <v/>
      </c>
      <c r="CP870" t="str">
        <f>""</f>
        <v/>
      </c>
      <c r="CQ870" t="str">
        <f>""</f>
        <v/>
      </c>
    </row>
    <row r="871" spans="1:96" x14ac:dyDescent="0.2">
      <c r="A871" t="s">
        <v>10093</v>
      </c>
      <c r="B871" t="s">
        <v>96</v>
      </c>
      <c r="C871" s="1">
        <v>44098</v>
      </c>
      <c r="D871" s="1">
        <v>44105</v>
      </c>
      <c r="F871" t="s">
        <v>97</v>
      </c>
      <c r="G871" t="str">
        <f>"Senior System Analyst"</f>
        <v>Senior System Analyst</v>
      </c>
      <c r="H871" t="s">
        <v>12181</v>
      </c>
      <c r="I871" t="s">
        <v>110</v>
      </c>
      <c r="J871" t="s">
        <v>98</v>
      </c>
      <c r="K871" s="1">
        <v>44103</v>
      </c>
      <c r="L871" s="1">
        <v>45197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 t="s">
        <v>1601</v>
      </c>
      <c r="U871" t="str">
        <f>"IBM CORPORATION"</f>
        <v>IBM CORPORATION</v>
      </c>
      <c r="V871" t="s">
        <v>1602</v>
      </c>
      <c r="W871" t="str">
        <f>"BUILDING 002 "</f>
        <v xml:space="preserve">BUILDING 002 </v>
      </c>
      <c r="X871" t="s">
        <v>302</v>
      </c>
      <c r="Y871" t="s">
        <v>122</v>
      </c>
      <c r="Z871" s="3" t="s">
        <v>12292</v>
      </c>
      <c r="AA871" t="s">
        <v>101</v>
      </c>
      <c r="AB871" t="s">
        <v>122</v>
      </c>
      <c r="AC871" s="4" t="str">
        <f>"+19195430507"</f>
        <v>+19195430507</v>
      </c>
      <c r="AE871" t="str">
        <f>"54151"</f>
        <v>54151</v>
      </c>
      <c r="AF871" t="s">
        <v>303</v>
      </c>
      <c r="AG871" t="s">
        <v>304</v>
      </c>
      <c r="AI871" t="s">
        <v>305</v>
      </c>
      <c r="AJ871" t="s">
        <v>301</v>
      </c>
      <c r="AK871" t="str">
        <f>""</f>
        <v/>
      </c>
      <c r="AL871" t="s">
        <v>302</v>
      </c>
      <c r="AM871" t="s">
        <v>122</v>
      </c>
      <c r="AN871" s="3">
        <v>27709</v>
      </c>
      <c r="AO871" t="s">
        <v>101</v>
      </c>
      <c r="AQ871" t="str">
        <f>"+19192541817"</f>
        <v>+19192541817</v>
      </c>
      <c r="AS871" t="s">
        <v>306</v>
      </c>
      <c r="AT871" t="s">
        <v>102</v>
      </c>
      <c r="AU871" t="str">
        <f>""</f>
        <v/>
      </c>
      <c r="AV871" t="str">
        <f>""</f>
        <v/>
      </c>
      <c r="AW871" t="str">
        <f>""</f>
        <v/>
      </c>
      <c r="AX871" t="str">
        <f>""</f>
        <v/>
      </c>
      <c r="AY871" t="str">
        <f>""</f>
        <v/>
      </c>
      <c r="AZ871" t="str">
        <f>""</f>
        <v/>
      </c>
      <c r="BA871" t="str">
        <f>""</f>
        <v/>
      </c>
      <c r="BC871" t="str">
        <f>""</f>
        <v/>
      </c>
      <c r="BD871" t="str">
        <f>""</f>
        <v/>
      </c>
      <c r="BE871" t="str">
        <f>""</f>
        <v/>
      </c>
      <c r="BF871" t="str">
        <f>""</f>
        <v/>
      </c>
      <c r="BG871" t="str">
        <f>""</f>
        <v/>
      </c>
      <c r="BH871" t="str">
        <f>""</f>
        <v/>
      </c>
      <c r="BI871" t="str">
        <f>""</f>
        <v/>
      </c>
      <c r="BJ871" t="str">
        <f>""</f>
        <v/>
      </c>
      <c r="BK871">
        <v>1</v>
      </c>
      <c r="BL871" t="s">
        <v>107</v>
      </c>
      <c r="BM871" t="str">
        <f>"Amerisourcebergen Corp"</f>
        <v>Amerisourcebergen Corp</v>
      </c>
      <c r="BN871" t="s">
        <v>3455</v>
      </c>
      <c r="BP871" t="s">
        <v>2083</v>
      </c>
      <c r="BQ871" t="s">
        <v>1556</v>
      </c>
      <c r="BR871" t="s">
        <v>127</v>
      </c>
      <c r="BS871" s="5">
        <v>19087</v>
      </c>
      <c r="BT871" s="2">
        <v>104749</v>
      </c>
      <c r="BV871" t="s">
        <v>105</v>
      </c>
      <c r="BW871" s="2">
        <v>104749</v>
      </c>
      <c r="BX871" t="s">
        <v>105</v>
      </c>
      <c r="BZ871" t="s">
        <v>123</v>
      </c>
      <c r="CA871" t="str">
        <f t="shared" si="62"/>
        <v>7/1/2020 - 6/30/2021</v>
      </c>
      <c r="CF871">
        <v>1</v>
      </c>
      <c r="CG871" t="s">
        <v>98</v>
      </c>
      <c r="CH871" t="s">
        <v>206</v>
      </c>
      <c r="CI871" t="s">
        <v>206</v>
      </c>
      <c r="CL871" t="s">
        <v>108</v>
      </c>
      <c r="CM871" t="s">
        <v>109</v>
      </c>
      <c r="CN871" t="str">
        <f>""</f>
        <v/>
      </c>
      <c r="CO871" t="str">
        <f>""</f>
        <v/>
      </c>
      <c r="CP871" t="str">
        <f>""</f>
        <v/>
      </c>
      <c r="CQ871" t="str">
        <f>""</f>
        <v/>
      </c>
    </row>
    <row r="872" spans="1:96" x14ac:dyDescent="0.2">
      <c r="A872" t="s">
        <v>10094</v>
      </c>
      <c r="B872" t="s">
        <v>96</v>
      </c>
      <c r="C872" s="1">
        <v>44098</v>
      </c>
      <c r="D872" s="1">
        <v>44105</v>
      </c>
      <c r="F872" t="s">
        <v>97</v>
      </c>
      <c r="G872" t="str">
        <f>"Biological Researcher I"</f>
        <v>Biological Researcher I</v>
      </c>
      <c r="H872" t="s">
        <v>12177</v>
      </c>
      <c r="I872" t="s">
        <v>1897</v>
      </c>
      <c r="J872" t="s">
        <v>98</v>
      </c>
      <c r="K872" s="1">
        <v>44137</v>
      </c>
      <c r="L872" s="1">
        <v>45231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 t="s">
        <v>8980</v>
      </c>
      <c r="U872" t="str">
        <f>""</f>
        <v/>
      </c>
      <c r="V872" t="s">
        <v>8981</v>
      </c>
      <c r="W872" t="str">
        <f>""</f>
        <v/>
      </c>
      <c r="X872" t="s">
        <v>1045</v>
      </c>
      <c r="Y872" t="s">
        <v>100</v>
      </c>
      <c r="Z872" s="3">
        <v>7054</v>
      </c>
      <c r="AA872" t="s">
        <v>101</v>
      </c>
      <c r="AC872" s="4" t="str">
        <f>"+14435786148"</f>
        <v>+14435786148</v>
      </c>
      <c r="AE872" t="str">
        <f>"32541"</f>
        <v>32541</v>
      </c>
      <c r="AF872" t="s">
        <v>8982</v>
      </c>
      <c r="AG872" t="s">
        <v>1898</v>
      </c>
      <c r="AI872" t="s">
        <v>8983</v>
      </c>
      <c r="AJ872" t="s">
        <v>8981</v>
      </c>
      <c r="AK872" t="str">
        <f>""</f>
        <v/>
      </c>
      <c r="AL872" t="s">
        <v>1045</v>
      </c>
      <c r="AM872" t="s">
        <v>100</v>
      </c>
      <c r="AN872" s="3">
        <v>7054</v>
      </c>
      <c r="AO872" t="s">
        <v>101</v>
      </c>
      <c r="AQ872" t="str">
        <f>"+14435786148"</f>
        <v>+14435786148</v>
      </c>
      <c r="AS872" t="s">
        <v>8984</v>
      </c>
      <c r="AT872" t="s">
        <v>107</v>
      </c>
      <c r="AU872" t="str">
        <f>"Soren"</f>
        <v>Soren</v>
      </c>
      <c r="AV872" t="str">
        <f>"Rachael"</f>
        <v>Rachael</v>
      </c>
      <c r="AW872" t="str">
        <f>"Elizabeth"</f>
        <v>Elizabeth</v>
      </c>
      <c r="AX872" t="str">
        <f>"7031 Orchard Lake Road"</f>
        <v>7031 Orchard Lake Road</v>
      </c>
      <c r="AY872" t="str">
        <f>"Suite 302"</f>
        <v>Suite 302</v>
      </c>
      <c r="AZ872" t="str">
        <f>"West Bloomfield"</f>
        <v>West Bloomfield</v>
      </c>
      <c r="BA872" t="str">
        <f>"MI"</f>
        <v>MI</v>
      </c>
      <c r="BB872" s="3">
        <v>48322</v>
      </c>
      <c r="BC872" t="str">
        <f>"UNITED STATES OF AMERICA"</f>
        <v>UNITED STATES OF AMERICA</v>
      </c>
      <c r="BD872" t="str">
        <f>""</f>
        <v/>
      </c>
      <c r="BE872" t="str">
        <f>"+12488653331"</f>
        <v>+12488653331</v>
      </c>
      <c r="BF872" t="str">
        <f>""</f>
        <v/>
      </c>
      <c r="BG872" t="str">
        <f>"rsoren@insvisa.com"</f>
        <v>rsoren@insvisa.com</v>
      </c>
      <c r="BH872" t="str">
        <f>"Joseph Kallabat &amp; Associates, P.C."</f>
        <v>Joseph Kallabat &amp; Associates, P.C.</v>
      </c>
      <c r="BI872" t="str">
        <f>"IL"</f>
        <v>IL</v>
      </c>
      <c r="BJ872" t="str">
        <f>"Supreme Court of Illinois"</f>
        <v>Supreme Court of Illinois</v>
      </c>
      <c r="BK872">
        <v>1</v>
      </c>
      <c r="BL872" t="s">
        <v>102</v>
      </c>
      <c r="BM872" t="str">
        <f>""</f>
        <v/>
      </c>
      <c r="BN872" t="s">
        <v>10095</v>
      </c>
      <c r="BP872" t="s">
        <v>2288</v>
      </c>
      <c r="BQ872" t="s">
        <v>1238</v>
      </c>
      <c r="BR872" t="s">
        <v>127</v>
      </c>
      <c r="BS872" s="5">
        <v>19380</v>
      </c>
      <c r="BT872" s="2">
        <v>64700</v>
      </c>
      <c r="BU872" s="2">
        <v>97100</v>
      </c>
      <c r="BV872" t="s">
        <v>105</v>
      </c>
      <c r="BW872" s="2">
        <v>60549</v>
      </c>
      <c r="BX872" t="s">
        <v>105</v>
      </c>
      <c r="BZ872" t="s">
        <v>167</v>
      </c>
      <c r="CA872" t="str">
        <f t="shared" si="62"/>
        <v>7/1/2020 - 6/30/2021</v>
      </c>
      <c r="CF872">
        <v>1</v>
      </c>
      <c r="CG872" t="s">
        <v>98</v>
      </c>
      <c r="CH872" t="s">
        <v>206</v>
      </c>
      <c r="CI872" t="s">
        <v>206</v>
      </c>
      <c r="CL872" t="s">
        <v>108</v>
      </c>
      <c r="CM872" t="s">
        <v>109</v>
      </c>
      <c r="CN872" t="str">
        <f>""</f>
        <v/>
      </c>
      <c r="CO872" t="str">
        <f>""</f>
        <v/>
      </c>
      <c r="CP872" t="str">
        <f>""</f>
        <v/>
      </c>
      <c r="CQ872" t="str">
        <f>""</f>
        <v/>
      </c>
    </row>
    <row r="873" spans="1:96" x14ac:dyDescent="0.2">
      <c r="A873" t="s">
        <v>10099</v>
      </c>
      <c r="B873" t="s">
        <v>96</v>
      </c>
      <c r="C873" s="1">
        <v>44098</v>
      </c>
      <c r="D873" s="1">
        <v>44105</v>
      </c>
      <c r="F873" t="s">
        <v>97</v>
      </c>
      <c r="G873" t="str">
        <f>"Network and Security Engineer"</f>
        <v>Network and Security Engineer</v>
      </c>
      <c r="H873" t="s">
        <v>12187</v>
      </c>
      <c r="I873" t="s">
        <v>331</v>
      </c>
      <c r="J873" t="s">
        <v>98</v>
      </c>
      <c r="K873" s="1">
        <v>44253</v>
      </c>
      <c r="L873" s="1">
        <v>45347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 t="s">
        <v>10100</v>
      </c>
      <c r="U873" t="str">
        <f>""</f>
        <v/>
      </c>
      <c r="V873" t="s">
        <v>10101</v>
      </c>
      <c r="W873" t="str">
        <f>"Suite 250"</f>
        <v>Suite 250</v>
      </c>
      <c r="X873" t="s">
        <v>717</v>
      </c>
      <c r="Y873" t="s">
        <v>141</v>
      </c>
      <c r="Z873" s="3">
        <v>92867</v>
      </c>
      <c r="AA873" t="s">
        <v>101</v>
      </c>
      <c r="AC873" s="4" t="str">
        <f>"+19516671718"</f>
        <v>+19516671718</v>
      </c>
      <c r="AE873" t="str">
        <f>"541519"</f>
        <v>541519</v>
      </c>
      <c r="AF873" t="s">
        <v>6956</v>
      </c>
      <c r="AG873" t="s">
        <v>5213</v>
      </c>
      <c r="AI873" t="s">
        <v>7748</v>
      </c>
      <c r="AJ873" t="s">
        <v>10102</v>
      </c>
      <c r="AK873" t="str">
        <f>"Suite 250"</f>
        <v>Suite 250</v>
      </c>
      <c r="AL873" t="s">
        <v>717</v>
      </c>
      <c r="AM873" t="s">
        <v>141</v>
      </c>
      <c r="AN873" s="3">
        <v>92867</v>
      </c>
      <c r="AO873" t="s">
        <v>101</v>
      </c>
      <c r="AQ873" t="str">
        <f>"+19516671718"</f>
        <v>+19516671718</v>
      </c>
      <c r="AS873" t="s">
        <v>10103</v>
      </c>
      <c r="AT873" t="s">
        <v>107</v>
      </c>
      <c r="AU873" t="str">
        <f>"Yang"</f>
        <v>Yang</v>
      </c>
      <c r="AV873" t="str">
        <f>"Jinsong"</f>
        <v>Jinsong</v>
      </c>
      <c r="AW873" t="str">
        <f>""</f>
        <v/>
      </c>
      <c r="AX873" t="str">
        <f>"3452 East Foothill Blvd. "</f>
        <v xml:space="preserve">3452 East Foothill Blvd. </v>
      </c>
      <c r="AY873" t="str">
        <f>"Suite 120"</f>
        <v>Suite 120</v>
      </c>
      <c r="AZ873" t="str">
        <f>"Pasadena"</f>
        <v>Pasadena</v>
      </c>
      <c r="BA873" t="str">
        <f>"CA"</f>
        <v>CA</v>
      </c>
      <c r="BB873" s="3">
        <v>91107</v>
      </c>
      <c r="BC873" t="str">
        <f>"UNITED STATES OF AMERICA"</f>
        <v>UNITED STATES OF AMERICA</v>
      </c>
      <c r="BD873" t="str">
        <f>""</f>
        <v/>
      </c>
      <c r="BE873" t="str">
        <f>"+16263898860"</f>
        <v>+16263898860</v>
      </c>
      <c r="BF873" t="str">
        <f>""</f>
        <v/>
      </c>
      <c r="BG873" t="str">
        <f>"miao.hai@rossyanglaw.com"</f>
        <v>miao.hai@rossyanglaw.com</v>
      </c>
      <c r="BH873" t="str">
        <f>"Law Office of Ross Yang, APC"</f>
        <v>Law Office of Ross Yang, APC</v>
      </c>
      <c r="BI873" t="str">
        <f>"CA"</f>
        <v>CA</v>
      </c>
      <c r="BJ873" t="str">
        <f>"California State Supreme Court "</f>
        <v xml:space="preserve">California State Supreme Court </v>
      </c>
      <c r="BK873">
        <v>1</v>
      </c>
      <c r="BL873" t="s">
        <v>102</v>
      </c>
      <c r="BM873" t="str">
        <f>""</f>
        <v/>
      </c>
      <c r="BN873" t="s">
        <v>10101</v>
      </c>
      <c r="BO873" t="s">
        <v>4697</v>
      </c>
      <c r="BP873" t="s">
        <v>717</v>
      </c>
      <c r="BQ873" t="s">
        <v>377</v>
      </c>
      <c r="BR873" t="s">
        <v>141</v>
      </c>
      <c r="BS873" s="5">
        <v>92867</v>
      </c>
      <c r="BT873" s="2">
        <v>112000</v>
      </c>
      <c r="BV873" t="s">
        <v>105</v>
      </c>
      <c r="BW873" s="2">
        <v>109158</v>
      </c>
      <c r="BX873" t="s">
        <v>105</v>
      </c>
      <c r="BZ873" t="s">
        <v>159</v>
      </c>
      <c r="CA873" t="str">
        <f t="shared" si="62"/>
        <v>7/1/2020 - 6/30/2021</v>
      </c>
      <c r="CF873">
        <v>1</v>
      </c>
      <c r="CG873" t="s">
        <v>98</v>
      </c>
      <c r="CH873" t="s">
        <v>206</v>
      </c>
      <c r="CI873" t="s">
        <v>206</v>
      </c>
      <c r="CL873" t="s">
        <v>108</v>
      </c>
      <c r="CM873" t="s">
        <v>109</v>
      </c>
      <c r="CN873" t="str">
        <f>""</f>
        <v/>
      </c>
      <c r="CO873" t="str">
        <f>""</f>
        <v/>
      </c>
      <c r="CP873" t="str">
        <f>""</f>
        <v/>
      </c>
      <c r="CQ873" t="str">
        <f>""</f>
        <v/>
      </c>
    </row>
    <row r="874" spans="1:96" x14ac:dyDescent="0.2">
      <c r="A874" t="s">
        <v>10104</v>
      </c>
      <c r="B874" t="s">
        <v>96</v>
      </c>
      <c r="C874" s="1">
        <v>44098</v>
      </c>
      <c r="D874" s="1">
        <v>44105</v>
      </c>
      <c r="F874" t="s">
        <v>97</v>
      </c>
      <c r="G874" t="str">
        <f>"ASSOCIATE PROFESSOR"</f>
        <v>ASSOCIATE PROFESSOR</v>
      </c>
      <c r="H874" t="s">
        <v>12203</v>
      </c>
      <c r="I874" t="s">
        <v>525</v>
      </c>
      <c r="J874" t="s">
        <v>98</v>
      </c>
      <c r="K874" s="1">
        <v>44105</v>
      </c>
      <c r="L874" s="1">
        <v>44834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 t="s">
        <v>526</v>
      </c>
      <c r="U874" t="str">
        <f>"BOARD OF GOVERNORS"</f>
        <v>BOARD OF GOVERNORS</v>
      </c>
      <c r="V874" t="s">
        <v>527</v>
      </c>
      <c r="W874" t="str">
        <f>"SUITE 416"</f>
        <v>SUITE 416</v>
      </c>
      <c r="X874" t="s">
        <v>528</v>
      </c>
      <c r="Y874" t="s">
        <v>265</v>
      </c>
      <c r="Z874" s="3">
        <v>48201</v>
      </c>
      <c r="AA874" t="s">
        <v>101</v>
      </c>
      <c r="AC874" s="4" t="str">
        <f>"+13135773422"</f>
        <v>+13135773422</v>
      </c>
      <c r="AE874" t="str">
        <f>"611310"</f>
        <v>611310</v>
      </c>
      <c r="AF874" t="s">
        <v>529</v>
      </c>
      <c r="AG874" t="s">
        <v>530</v>
      </c>
      <c r="AH874" t="s">
        <v>482</v>
      </c>
      <c r="AI874" t="s">
        <v>531</v>
      </c>
      <c r="AJ874" t="s">
        <v>527</v>
      </c>
      <c r="AK874" t="str">
        <f>"SUITE 416"</f>
        <v>SUITE 416</v>
      </c>
      <c r="AL874" t="s">
        <v>528</v>
      </c>
      <c r="AM874" t="s">
        <v>265</v>
      </c>
      <c r="AN874" s="3">
        <v>48201</v>
      </c>
      <c r="AO874" t="s">
        <v>101</v>
      </c>
      <c r="AQ874" t="str">
        <f>"+13135773422"</f>
        <v>+13135773422</v>
      </c>
      <c r="AS874" t="s">
        <v>532</v>
      </c>
      <c r="AT874" t="s">
        <v>102</v>
      </c>
      <c r="AU874" t="str">
        <f>""</f>
        <v/>
      </c>
      <c r="AV874" t="str">
        <f>""</f>
        <v/>
      </c>
      <c r="AW874" t="str">
        <f>""</f>
        <v/>
      </c>
      <c r="AX874" t="str">
        <f>""</f>
        <v/>
      </c>
      <c r="AY874" t="str">
        <f>""</f>
        <v/>
      </c>
      <c r="AZ874" t="str">
        <f>""</f>
        <v/>
      </c>
      <c r="BA874" t="str">
        <f>""</f>
        <v/>
      </c>
      <c r="BC874" t="str">
        <f>""</f>
        <v/>
      </c>
      <c r="BD874" t="str">
        <f>""</f>
        <v/>
      </c>
      <c r="BE874" t="str">
        <f>""</f>
        <v/>
      </c>
      <c r="BF874" t="str">
        <f>""</f>
        <v/>
      </c>
      <c r="BG874" t="str">
        <f>""</f>
        <v/>
      </c>
      <c r="BH874" t="str">
        <f>""</f>
        <v/>
      </c>
      <c r="BI874" t="str">
        <f>""</f>
        <v/>
      </c>
      <c r="BJ874" t="str">
        <f>""</f>
        <v/>
      </c>
      <c r="BK874">
        <v>1</v>
      </c>
      <c r="BL874" t="s">
        <v>102</v>
      </c>
      <c r="BM874" t="str">
        <f>""</f>
        <v/>
      </c>
      <c r="BN874" t="s">
        <v>10105</v>
      </c>
      <c r="BO874" t="s">
        <v>10106</v>
      </c>
      <c r="BP874" t="s">
        <v>528</v>
      </c>
      <c r="BQ874" t="s">
        <v>533</v>
      </c>
      <c r="BR874" t="s">
        <v>265</v>
      </c>
      <c r="BS874" s="5">
        <v>48201</v>
      </c>
      <c r="BT874" s="2">
        <v>69151</v>
      </c>
      <c r="BV874" t="s">
        <v>105</v>
      </c>
      <c r="BW874" s="2">
        <v>52885</v>
      </c>
      <c r="BX874" t="s">
        <v>105</v>
      </c>
      <c r="CA874" t="str">
        <f>""</f>
        <v/>
      </c>
      <c r="CB874" t="s">
        <v>106</v>
      </c>
      <c r="CC874">
        <v>2020</v>
      </c>
      <c r="CF874">
        <v>1</v>
      </c>
      <c r="CG874" t="s">
        <v>98</v>
      </c>
      <c r="CH874" t="s">
        <v>206</v>
      </c>
      <c r="CI874" t="s">
        <v>206</v>
      </c>
      <c r="CL874" t="s">
        <v>108</v>
      </c>
      <c r="CM874" t="s">
        <v>109</v>
      </c>
      <c r="CN874" t="str">
        <f>"MONTGOMERY"</f>
        <v>MONTGOMERY</v>
      </c>
      <c r="CO874" t="str">
        <f>"LASHARA"</f>
        <v>LASHARA</v>
      </c>
      <c r="CP874" t="str">
        <f>"R"</f>
        <v>R</v>
      </c>
      <c r="CQ874" t="str">
        <f>"WAYNE STATE UNIVERSITY"</f>
        <v>WAYNE STATE UNIVERSITY</v>
      </c>
      <c r="CR874" t="s">
        <v>532</v>
      </c>
    </row>
    <row r="875" spans="1:96" x14ac:dyDescent="0.2">
      <c r="A875" t="s">
        <v>10109</v>
      </c>
      <c r="B875" t="s">
        <v>96</v>
      </c>
      <c r="C875" s="1">
        <v>44098</v>
      </c>
      <c r="D875" s="1">
        <v>44105</v>
      </c>
      <c r="F875" t="s">
        <v>97</v>
      </c>
      <c r="G875" t="str">
        <f>"Marketing Manager"</f>
        <v>Marketing Manager</v>
      </c>
      <c r="H875" t="s">
        <v>12189</v>
      </c>
      <c r="I875" t="s">
        <v>730</v>
      </c>
      <c r="J875" t="s">
        <v>206</v>
      </c>
      <c r="K875" s="1">
        <v>44105</v>
      </c>
      <c r="L875" s="1">
        <v>45199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10110</v>
      </c>
      <c r="U875" t="str">
        <f>""</f>
        <v/>
      </c>
      <c r="V875" t="s">
        <v>10111</v>
      </c>
      <c r="W875" t="str">
        <f>"Suite 433"</f>
        <v>Suite 433</v>
      </c>
      <c r="X875" t="s">
        <v>277</v>
      </c>
      <c r="Y875" t="s">
        <v>190</v>
      </c>
      <c r="Z875" s="3">
        <v>10018</v>
      </c>
      <c r="AA875" t="s">
        <v>101</v>
      </c>
      <c r="AC875" s="4" t="str">
        <f>"+12127965627"</f>
        <v>+12127965627</v>
      </c>
      <c r="AE875" t="str">
        <f>"561510"</f>
        <v>561510</v>
      </c>
      <c r="AF875" t="s">
        <v>4564</v>
      </c>
      <c r="AG875" t="s">
        <v>2606</v>
      </c>
      <c r="AI875" t="s">
        <v>508</v>
      </c>
      <c r="AJ875" t="s">
        <v>10111</v>
      </c>
      <c r="AK875" t="str">
        <f>"Suite 433"</f>
        <v>Suite 433</v>
      </c>
      <c r="AL875" t="s">
        <v>277</v>
      </c>
      <c r="AM875" t="s">
        <v>190</v>
      </c>
      <c r="AN875" s="3">
        <v>10018</v>
      </c>
      <c r="AO875" t="s">
        <v>101</v>
      </c>
      <c r="AQ875" t="str">
        <f>"+12127965627"</f>
        <v>+12127965627</v>
      </c>
      <c r="AS875" t="s">
        <v>10112</v>
      </c>
      <c r="AT875" t="s">
        <v>107</v>
      </c>
      <c r="AU875" t="str">
        <f>"Seadie"</f>
        <v>Seadie</v>
      </c>
      <c r="AV875" t="str">
        <f>"Keshab"</f>
        <v>Keshab</v>
      </c>
      <c r="AW875" t="str">
        <f>"Raj"</f>
        <v>Raj</v>
      </c>
      <c r="AX875" t="str">
        <f>"246 West 38th Street"</f>
        <v>246 West 38th Street</v>
      </c>
      <c r="AY875" t="str">
        <f>"8th Floor"</f>
        <v>8th Floor</v>
      </c>
      <c r="AZ875" t="str">
        <f>"New York"</f>
        <v>New York</v>
      </c>
      <c r="BA875" t="str">
        <f>"NY"</f>
        <v>NY</v>
      </c>
      <c r="BB875" s="3">
        <v>10018</v>
      </c>
      <c r="BC875" t="str">
        <f t="shared" ref="BC875:BC905" si="64">"UNITED STATES OF AMERICA"</f>
        <v>UNITED STATES OF AMERICA</v>
      </c>
      <c r="BD875" t="str">
        <f>""</f>
        <v/>
      </c>
      <c r="BE875" t="str">
        <f>"+12125716002"</f>
        <v>+12125716002</v>
      </c>
      <c r="BF875" t="str">
        <f>"104"</f>
        <v>104</v>
      </c>
      <c r="BG875" t="str">
        <f>"keshab@seadie.com"</f>
        <v>keshab@seadie.com</v>
      </c>
      <c r="BH875" t="str">
        <f>"Law Office of Keshab Raj Seadie, P.C."</f>
        <v>Law Office of Keshab Raj Seadie, P.C.</v>
      </c>
      <c r="BI875" t="str">
        <f>"NY"</f>
        <v>NY</v>
      </c>
      <c r="BJ875" t="str">
        <f>"Appellate Court"</f>
        <v>Appellate Court</v>
      </c>
      <c r="BK875">
        <v>1</v>
      </c>
      <c r="BL875" t="s">
        <v>102</v>
      </c>
      <c r="BM875" t="str">
        <f>""</f>
        <v/>
      </c>
      <c r="BN875" t="s">
        <v>10111</v>
      </c>
      <c r="BO875" t="s">
        <v>10113</v>
      </c>
      <c r="BP875" t="s">
        <v>277</v>
      </c>
      <c r="BQ875" t="s">
        <v>189</v>
      </c>
      <c r="BR875" t="s">
        <v>190</v>
      </c>
      <c r="BS875" s="5">
        <v>10018</v>
      </c>
      <c r="BT875" s="2">
        <v>73.7</v>
      </c>
      <c r="BV875" t="s">
        <v>210</v>
      </c>
      <c r="BW875" s="2">
        <v>73.7</v>
      </c>
      <c r="BX875" t="s">
        <v>210</v>
      </c>
      <c r="BZ875" t="s">
        <v>167</v>
      </c>
      <c r="CA875" t="str">
        <f>"7/1/2020 - 6/30/2021"</f>
        <v>7/1/2020 - 6/30/2021</v>
      </c>
      <c r="CF875">
        <v>1</v>
      </c>
      <c r="CG875" t="s">
        <v>98</v>
      </c>
      <c r="CH875" t="s">
        <v>206</v>
      </c>
      <c r="CI875" t="s">
        <v>206</v>
      </c>
      <c r="CL875" t="s">
        <v>108</v>
      </c>
      <c r="CM875" t="s">
        <v>109</v>
      </c>
      <c r="CN875" t="str">
        <f>""</f>
        <v/>
      </c>
      <c r="CO875" t="str">
        <f>""</f>
        <v/>
      </c>
      <c r="CP875" t="str">
        <f>""</f>
        <v/>
      </c>
      <c r="CQ875" t="str">
        <f>""</f>
        <v/>
      </c>
    </row>
    <row r="876" spans="1:96" x14ac:dyDescent="0.2">
      <c r="A876" t="s">
        <v>10115</v>
      </c>
      <c r="B876" t="s">
        <v>96</v>
      </c>
      <c r="C876" s="1">
        <v>44098</v>
      </c>
      <c r="D876" s="1">
        <v>44105</v>
      </c>
      <c r="F876" t="s">
        <v>97</v>
      </c>
      <c r="G876" t="str">
        <f>"Vice President, Software Engineering"</f>
        <v>Vice President, Software Engineering</v>
      </c>
      <c r="H876" t="s">
        <v>12169</v>
      </c>
      <c r="I876" t="s">
        <v>124</v>
      </c>
      <c r="J876" t="s">
        <v>98</v>
      </c>
      <c r="K876" s="1">
        <v>44130</v>
      </c>
      <c r="L876" s="1">
        <v>45224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 t="s">
        <v>2242</v>
      </c>
      <c r="U876" t="str">
        <f>""</f>
        <v/>
      </c>
      <c r="V876" t="s">
        <v>5468</v>
      </c>
      <c r="W876" t="str">
        <f>"20th Floor, IL 1-0043"</f>
        <v>20th Floor, IL 1-0043</v>
      </c>
      <c r="X876" t="s">
        <v>833</v>
      </c>
      <c r="Y876" t="s">
        <v>345</v>
      </c>
      <c r="Z876" s="3">
        <v>60603</v>
      </c>
      <c r="AA876" t="s">
        <v>101</v>
      </c>
      <c r="AC876" s="4" t="str">
        <f>"+13127326434"</f>
        <v>+13127326434</v>
      </c>
      <c r="AE876" t="str">
        <f>"551112"</f>
        <v>551112</v>
      </c>
      <c r="AF876" t="s">
        <v>6709</v>
      </c>
      <c r="AG876" t="s">
        <v>6710</v>
      </c>
      <c r="AI876" t="s">
        <v>5469</v>
      </c>
      <c r="AJ876" t="s">
        <v>5468</v>
      </c>
      <c r="AK876" t="str">
        <f>"20th Floor, IL 1-0043"</f>
        <v>20th Floor, IL 1-0043</v>
      </c>
      <c r="AL876" t="s">
        <v>833</v>
      </c>
      <c r="AM876" t="s">
        <v>345</v>
      </c>
      <c r="AN876" s="3">
        <v>60603</v>
      </c>
      <c r="AO876" t="s">
        <v>101</v>
      </c>
      <c r="AQ876" t="str">
        <f>"+13127326434"</f>
        <v>+13127326434</v>
      </c>
      <c r="AS876" t="s">
        <v>108</v>
      </c>
      <c r="AT876" t="s">
        <v>107</v>
      </c>
      <c r="AU876" t="str">
        <f>"Otfinoski"</f>
        <v>Otfinoski</v>
      </c>
      <c r="AV876" t="str">
        <f>"Jaclyn"</f>
        <v>Jaclyn</v>
      </c>
      <c r="AW876" t="str">
        <f>""</f>
        <v/>
      </c>
      <c r="AX876" t="str">
        <f>"8529 Six Forks Road"</f>
        <v>8529 Six Forks Road</v>
      </c>
      <c r="AY876" t="str">
        <f>"Suite 600"</f>
        <v>Suite 600</v>
      </c>
      <c r="AZ876" t="str">
        <f>"Raleigh"</f>
        <v>Raleigh</v>
      </c>
      <c r="BA876" t="str">
        <f>"NC"</f>
        <v>NC</v>
      </c>
      <c r="BB876" s="3">
        <v>27615</v>
      </c>
      <c r="BC876" t="str">
        <f t="shared" si="64"/>
        <v>UNITED STATES OF AMERICA</v>
      </c>
      <c r="BD876" t="str">
        <f>""</f>
        <v/>
      </c>
      <c r="BE876" t="str">
        <f>"+19197879700"</f>
        <v>+19197879700</v>
      </c>
      <c r="BF876" t="str">
        <f>""</f>
        <v/>
      </c>
      <c r="BG876" t="str">
        <f>"jeanpierre.hendrix@ogletree.com"</f>
        <v>jeanpierre.hendrix@ogletree.com</v>
      </c>
      <c r="BH876" t="str">
        <f>"Ogletree, Deakins, Nash, Smoak, &amp; Stewart, P.C."</f>
        <v>Ogletree, Deakins, Nash, Smoak, &amp; Stewart, P.C.</v>
      </c>
      <c r="BI876" t="str">
        <f>"DC"</f>
        <v>DC</v>
      </c>
      <c r="BJ876" t="str">
        <f>"District of Columbia, Court of Appeals"</f>
        <v>District of Columbia, Court of Appeals</v>
      </c>
      <c r="BK876">
        <v>1</v>
      </c>
      <c r="BL876" t="s">
        <v>102</v>
      </c>
      <c r="BM876" t="str">
        <f>""</f>
        <v/>
      </c>
      <c r="BN876" t="s">
        <v>7008</v>
      </c>
      <c r="BP876" t="s">
        <v>1775</v>
      </c>
      <c r="BQ876" t="s">
        <v>1777</v>
      </c>
      <c r="BR876" t="s">
        <v>1776</v>
      </c>
      <c r="BS876" s="5">
        <v>19803</v>
      </c>
      <c r="BT876" s="2">
        <v>119000</v>
      </c>
      <c r="BV876" t="s">
        <v>105</v>
      </c>
      <c r="BW876" s="2">
        <v>115265</v>
      </c>
      <c r="BX876" t="s">
        <v>105</v>
      </c>
      <c r="CA876" t="str">
        <f>""</f>
        <v/>
      </c>
      <c r="CB876" t="s">
        <v>244</v>
      </c>
      <c r="CC876">
        <v>2019</v>
      </c>
      <c r="CD876" t="s">
        <v>245</v>
      </c>
      <c r="CE876" t="s">
        <v>10116</v>
      </c>
      <c r="CF876">
        <v>2</v>
      </c>
      <c r="CG876" t="s">
        <v>98</v>
      </c>
      <c r="CH876" t="s">
        <v>206</v>
      </c>
      <c r="CI876" t="s">
        <v>206</v>
      </c>
      <c r="CL876" t="s">
        <v>108</v>
      </c>
      <c r="CM876" t="s">
        <v>109</v>
      </c>
      <c r="CN876" t="str">
        <f>"Otfinoski"</f>
        <v>Otfinoski</v>
      </c>
      <c r="CO876" t="str">
        <f>"Jaclyn"</f>
        <v>Jaclyn</v>
      </c>
      <c r="CP876" t="str">
        <f>""</f>
        <v/>
      </c>
      <c r="CQ876" t="str">
        <f>"Ogletree, Deakins, Nash, Smoak, &amp; Stewart, P.C."</f>
        <v>Ogletree, Deakins, Nash, Smoak, &amp; Stewart, P.C.</v>
      </c>
      <c r="CR876" t="s">
        <v>5470</v>
      </c>
    </row>
    <row r="877" spans="1:96" x14ac:dyDescent="0.2">
      <c r="A877" t="s">
        <v>10117</v>
      </c>
      <c r="B877" t="s">
        <v>96</v>
      </c>
      <c r="C877" s="1">
        <v>44098</v>
      </c>
      <c r="D877" s="1">
        <v>44105</v>
      </c>
      <c r="F877" t="s">
        <v>97</v>
      </c>
      <c r="G877" t="str">
        <f>"Associate, Senior Accountant"</f>
        <v>Associate, Senior Accountant</v>
      </c>
      <c r="H877" t="s">
        <v>12192</v>
      </c>
      <c r="I877" t="s">
        <v>1156</v>
      </c>
      <c r="J877" t="s">
        <v>98</v>
      </c>
      <c r="K877" s="1">
        <v>44176</v>
      </c>
      <c r="L877" s="1">
        <v>45270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 t="s">
        <v>6344</v>
      </c>
      <c r="U877" t="str">
        <f>""</f>
        <v/>
      </c>
      <c r="V877" t="s">
        <v>3346</v>
      </c>
      <c r="W877" t="str">
        <f>"46th Floor"</f>
        <v>46th Floor</v>
      </c>
      <c r="X877" t="s">
        <v>277</v>
      </c>
      <c r="Y877" t="s">
        <v>190</v>
      </c>
      <c r="Z877" s="3">
        <v>10105</v>
      </c>
      <c r="AA877" t="s">
        <v>101</v>
      </c>
      <c r="AC877" s="4" t="str">
        <f>"+12124797088"</f>
        <v>+12124797088</v>
      </c>
      <c r="AE877" t="str">
        <f>"523110"</f>
        <v>523110</v>
      </c>
      <c r="AF877" t="s">
        <v>6345</v>
      </c>
      <c r="AG877" t="s">
        <v>859</v>
      </c>
      <c r="AH877" t="s">
        <v>1060</v>
      </c>
      <c r="AI877" t="s">
        <v>6346</v>
      </c>
      <c r="AJ877" t="s">
        <v>3346</v>
      </c>
      <c r="AK877" t="str">
        <f>"46th Floor"</f>
        <v>46th Floor</v>
      </c>
      <c r="AL877" t="s">
        <v>277</v>
      </c>
      <c r="AM877" t="s">
        <v>190</v>
      </c>
      <c r="AN877" s="3">
        <v>10105</v>
      </c>
      <c r="AO877" t="s">
        <v>101</v>
      </c>
      <c r="AQ877" t="str">
        <f>"+12127986100"</f>
        <v>+12127986100</v>
      </c>
      <c r="AS877" t="s">
        <v>6347</v>
      </c>
      <c r="AT877" t="s">
        <v>107</v>
      </c>
      <c r="AU877" t="str">
        <f>"Burritt"</f>
        <v>Burritt</v>
      </c>
      <c r="AV877" t="str">
        <f>"Jason"</f>
        <v>Jason</v>
      </c>
      <c r="AW877" t="str">
        <f>"E."</f>
        <v>E.</v>
      </c>
      <c r="AX877" t="str">
        <f>"975 F Street, N.W."</f>
        <v>975 F Street, N.W.</v>
      </c>
      <c r="AY877" t="str">
        <f>"N/A"</f>
        <v>N/A</v>
      </c>
      <c r="AZ877" t="str">
        <f>"Washington"</f>
        <v>Washington</v>
      </c>
      <c r="BA877" t="str">
        <f>"DC"</f>
        <v>DC</v>
      </c>
      <c r="BB877" s="3">
        <v>20004</v>
      </c>
      <c r="BC877" t="str">
        <f t="shared" si="64"/>
        <v>UNITED STATES OF AMERICA</v>
      </c>
      <c r="BD877" t="str">
        <f>"N/A"</f>
        <v>N/A</v>
      </c>
      <c r="BE877" t="str">
        <f>"+12028283596"</f>
        <v>+12028283596</v>
      </c>
      <c r="BF877" t="str">
        <f>""</f>
        <v/>
      </c>
      <c r="BG877" t="str">
        <f>"mkaganovskaya@seyfarth.com"</f>
        <v>mkaganovskaya@seyfarth.com</v>
      </c>
      <c r="BH877" t="str">
        <f>"Seyfarth Shaw LLP"</f>
        <v>Seyfarth Shaw LLP</v>
      </c>
      <c r="BI877" t="str">
        <f>"NY"</f>
        <v>NY</v>
      </c>
      <c r="BJ877" t="str">
        <f>"New York State Supreme Court"</f>
        <v>New York State Supreme Court</v>
      </c>
      <c r="BK877">
        <v>1</v>
      </c>
      <c r="BL877" t="s">
        <v>102</v>
      </c>
      <c r="BM877" t="str">
        <f>""</f>
        <v/>
      </c>
      <c r="BN877" t="s">
        <v>3346</v>
      </c>
      <c r="BO877" t="s">
        <v>6348</v>
      </c>
      <c r="BP877" t="s">
        <v>277</v>
      </c>
      <c r="BQ877" t="s">
        <v>189</v>
      </c>
      <c r="BR877" t="s">
        <v>190</v>
      </c>
      <c r="BS877" s="5">
        <v>10105</v>
      </c>
      <c r="BT877" s="2">
        <v>82077</v>
      </c>
      <c r="BU877" s="2">
        <v>102086</v>
      </c>
      <c r="BV877" t="s">
        <v>105</v>
      </c>
      <c r="BW877" s="2">
        <v>82077</v>
      </c>
      <c r="BX877" t="s">
        <v>105</v>
      </c>
      <c r="BZ877" t="s">
        <v>167</v>
      </c>
      <c r="CA877" t="str">
        <f t="shared" ref="CA877:CA894" si="65">"7/1/2020 - 6/30/2021"</f>
        <v>7/1/2020 - 6/30/2021</v>
      </c>
      <c r="CF877">
        <v>1</v>
      </c>
      <c r="CG877" t="s">
        <v>98</v>
      </c>
      <c r="CH877" t="s">
        <v>206</v>
      </c>
      <c r="CI877" t="s">
        <v>206</v>
      </c>
      <c r="CL877" t="s">
        <v>108</v>
      </c>
      <c r="CM877" t="s">
        <v>109</v>
      </c>
      <c r="CN877" t="str">
        <f>"Kaganovskaya"</f>
        <v>Kaganovskaya</v>
      </c>
      <c r="CO877" t="str">
        <f>"Margarita"</f>
        <v>Margarita</v>
      </c>
      <c r="CP877" t="str">
        <f>"N/A"</f>
        <v>N/A</v>
      </c>
      <c r="CQ877" t="str">
        <f>"Seyfarth Shaw LLP"</f>
        <v>Seyfarth Shaw LLP</v>
      </c>
      <c r="CR877" t="s">
        <v>8759</v>
      </c>
    </row>
    <row r="878" spans="1:96" x14ac:dyDescent="0.2">
      <c r="A878" t="s">
        <v>10121</v>
      </c>
      <c r="B878" t="s">
        <v>96</v>
      </c>
      <c r="C878" s="1">
        <v>44098</v>
      </c>
      <c r="D878" s="1">
        <v>44105</v>
      </c>
      <c r="F878" t="s">
        <v>97</v>
      </c>
      <c r="G878" t="str">
        <f>"Oracle Application Developer IV "</f>
        <v xml:space="preserve">Oracle Application Developer IV </v>
      </c>
      <c r="H878" t="s">
        <v>12169</v>
      </c>
      <c r="I878" t="s">
        <v>124</v>
      </c>
      <c r="J878" t="s">
        <v>98</v>
      </c>
      <c r="K878" s="1">
        <v>44105</v>
      </c>
      <c r="L878" s="1">
        <v>45199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 t="s">
        <v>3947</v>
      </c>
      <c r="U878" t="str">
        <f>""</f>
        <v/>
      </c>
      <c r="V878" t="s">
        <v>3948</v>
      </c>
      <c r="W878" t="str">
        <f>"One AMC Way"</f>
        <v>One AMC Way</v>
      </c>
      <c r="X878" t="s">
        <v>3949</v>
      </c>
      <c r="Y878" t="s">
        <v>193</v>
      </c>
      <c r="Z878" s="3">
        <v>66211</v>
      </c>
      <c r="AA878" t="s">
        <v>101</v>
      </c>
      <c r="AC878" s="4" t="str">
        <f>"+19132132243"</f>
        <v>+19132132243</v>
      </c>
      <c r="AE878" t="str">
        <f>"512131"</f>
        <v>512131</v>
      </c>
      <c r="AF878" t="s">
        <v>3950</v>
      </c>
      <c r="AG878" t="s">
        <v>200</v>
      </c>
      <c r="AH878" t="s">
        <v>3951</v>
      </c>
      <c r="AI878" t="s">
        <v>3952</v>
      </c>
      <c r="AJ878" t="s">
        <v>3953</v>
      </c>
      <c r="AK878" t="str">
        <f>"One AMC Way"</f>
        <v>One AMC Way</v>
      </c>
      <c r="AL878" t="s">
        <v>3949</v>
      </c>
      <c r="AM878" t="s">
        <v>193</v>
      </c>
      <c r="AN878" s="3">
        <v>66211</v>
      </c>
      <c r="AO878" t="s">
        <v>101</v>
      </c>
      <c r="AQ878" t="str">
        <f>"+19132132243"</f>
        <v>+19132132243</v>
      </c>
      <c r="AS878" t="s">
        <v>3954</v>
      </c>
      <c r="AT878" t="s">
        <v>107</v>
      </c>
      <c r="AU878" t="str">
        <f>"Benet"</f>
        <v>Benet</v>
      </c>
      <c r="AV878" t="str">
        <f>"William"</f>
        <v>William</v>
      </c>
      <c r="AW878" t="str">
        <f>"N."</f>
        <v>N.</v>
      </c>
      <c r="AX878" t="str">
        <f>"2000 S Colorado Blvd."</f>
        <v>2000 S Colorado Blvd.</v>
      </c>
      <c r="AY878" t="str">
        <f>"Tower 3, Suite 900"</f>
        <v>Tower 3, Suite 900</v>
      </c>
      <c r="AZ878" t="str">
        <f>"Denver"</f>
        <v>Denver</v>
      </c>
      <c r="BA878" t="str">
        <f>"CO"</f>
        <v>CO</v>
      </c>
      <c r="BB878" s="3">
        <v>80222</v>
      </c>
      <c r="BC878" t="str">
        <f t="shared" si="64"/>
        <v>UNITED STATES OF AMERICA</v>
      </c>
      <c r="BD878" t="str">
        <f>""</f>
        <v/>
      </c>
      <c r="BE878" t="str">
        <f>"+13037646800"</f>
        <v>+13037646800</v>
      </c>
      <c r="BF878" t="str">
        <f>""</f>
        <v/>
      </c>
      <c r="BG878" t="str">
        <f>"william.benet@ogletree.com"</f>
        <v>william.benet@ogletree.com</v>
      </c>
      <c r="BH878" t="str">
        <f>"Ogletree Deakins"</f>
        <v>Ogletree Deakins</v>
      </c>
      <c r="BI878" t="str">
        <f>"MN"</f>
        <v>MN</v>
      </c>
      <c r="BJ878" t="str">
        <f>"Minnesota Supreme Court"</f>
        <v>Minnesota Supreme Court</v>
      </c>
      <c r="BK878">
        <v>1</v>
      </c>
      <c r="BL878" t="s">
        <v>102</v>
      </c>
      <c r="BM878" t="str">
        <f>""</f>
        <v/>
      </c>
      <c r="BN878" t="s">
        <v>3955</v>
      </c>
      <c r="BP878" t="s">
        <v>3949</v>
      </c>
      <c r="BQ878" t="s">
        <v>1372</v>
      </c>
      <c r="BR878" t="s">
        <v>193</v>
      </c>
      <c r="BS878" s="5">
        <v>66211</v>
      </c>
      <c r="BT878" s="2">
        <v>52.19</v>
      </c>
      <c r="BU878" s="2">
        <v>52.88</v>
      </c>
      <c r="BV878" t="s">
        <v>210</v>
      </c>
      <c r="BW878" s="2">
        <v>52.19</v>
      </c>
      <c r="BX878" t="s">
        <v>210</v>
      </c>
      <c r="BZ878" t="s">
        <v>159</v>
      </c>
      <c r="CA878" t="str">
        <f t="shared" si="65"/>
        <v>7/1/2020 - 6/30/2021</v>
      </c>
      <c r="CF878">
        <v>1</v>
      </c>
      <c r="CG878" t="s">
        <v>98</v>
      </c>
      <c r="CH878" t="s">
        <v>206</v>
      </c>
      <c r="CI878" t="s">
        <v>206</v>
      </c>
      <c r="CL878" t="s">
        <v>108</v>
      </c>
      <c r="CM878" t="s">
        <v>109</v>
      </c>
      <c r="CN878" t="str">
        <f>"Windhausen"</f>
        <v>Windhausen</v>
      </c>
      <c r="CO878" t="str">
        <f>"Michelle"</f>
        <v>Michelle</v>
      </c>
      <c r="CP878" t="str">
        <f>"A"</f>
        <v>A</v>
      </c>
      <c r="CQ878" t="str">
        <f>"Ogletree Deakins"</f>
        <v>Ogletree Deakins</v>
      </c>
      <c r="CR878" t="s">
        <v>1785</v>
      </c>
    </row>
    <row r="879" spans="1:96" x14ac:dyDescent="0.2">
      <c r="A879" t="s">
        <v>10123</v>
      </c>
      <c r="B879" t="s">
        <v>96</v>
      </c>
      <c r="C879" s="1">
        <v>44098</v>
      </c>
      <c r="D879" s="1">
        <v>44105</v>
      </c>
      <c r="F879" t="s">
        <v>97</v>
      </c>
      <c r="G879" t="str">
        <f>"Statistical Programmer/Analyst"</f>
        <v>Statistical Programmer/Analyst</v>
      </c>
      <c r="H879" t="s">
        <v>12180</v>
      </c>
      <c r="I879" t="s">
        <v>390</v>
      </c>
      <c r="J879" t="s">
        <v>98</v>
      </c>
      <c r="K879" s="1">
        <v>44155</v>
      </c>
      <c r="L879" s="1">
        <v>44519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 t="s">
        <v>8813</v>
      </c>
      <c r="U879" t="str">
        <f>"FMD K&amp;L Inc."</f>
        <v>FMD K&amp;L Inc.</v>
      </c>
      <c r="V879" t="s">
        <v>8814</v>
      </c>
      <c r="W879" t="str">
        <f>"Suite 408"</f>
        <v>Suite 408</v>
      </c>
      <c r="X879" t="s">
        <v>7749</v>
      </c>
      <c r="Y879" t="s">
        <v>127</v>
      </c>
      <c r="Z879" s="3">
        <v>19034</v>
      </c>
      <c r="AA879" t="s">
        <v>101</v>
      </c>
      <c r="AC879" s="4" t="str">
        <f>"+12152836035"</f>
        <v>+12152836035</v>
      </c>
      <c r="AE879" t="str">
        <f>"54171"</f>
        <v>54171</v>
      </c>
      <c r="AF879" t="s">
        <v>8815</v>
      </c>
      <c r="AG879" t="s">
        <v>8816</v>
      </c>
      <c r="AI879" t="s">
        <v>2649</v>
      </c>
      <c r="AJ879" t="s">
        <v>8814</v>
      </c>
      <c r="AK879" t="str">
        <f>"Suite 408"</f>
        <v>Suite 408</v>
      </c>
      <c r="AL879" t="s">
        <v>7749</v>
      </c>
      <c r="AM879" t="s">
        <v>127</v>
      </c>
      <c r="AN879" s="3">
        <v>19034</v>
      </c>
      <c r="AO879" t="s">
        <v>101</v>
      </c>
      <c r="AQ879" t="str">
        <f>"+12152836035"</f>
        <v>+12152836035</v>
      </c>
      <c r="AS879" t="s">
        <v>8817</v>
      </c>
      <c r="AT879" t="s">
        <v>107</v>
      </c>
      <c r="AU879" t="str">
        <f>"Patel"</f>
        <v>Patel</v>
      </c>
      <c r="AV879" t="str">
        <f>"Rakhi"</f>
        <v>Rakhi</v>
      </c>
      <c r="AW879" t="str">
        <f>"J"</f>
        <v>J</v>
      </c>
      <c r="AX879" t="str">
        <f>"1515 Market Street"</f>
        <v>1515 Market Street</v>
      </c>
      <c r="AY879" t="str">
        <f>"Suite 1200"</f>
        <v>Suite 1200</v>
      </c>
      <c r="AZ879" t="str">
        <f>"Philadelphia"</f>
        <v>Philadelphia</v>
      </c>
      <c r="BA879" t="str">
        <f>"PA"</f>
        <v>PA</v>
      </c>
      <c r="BB879" s="3">
        <v>19102</v>
      </c>
      <c r="BC879" t="str">
        <f t="shared" si="64"/>
        <v>UNITED STATES OF AMERICA</v>
      </c>
      <c r="BD879" t="str">
        <f>""</f>
        <v/>
      </c>
      <c r="BE879" t="str">
        <f>"+12676394225"</f>
        <v>+12676394225</v>
      </c>
      <c r="BF879" t="str">
        <f>""</f>
        <v/>
      </c>
      <c r="BG879" t="str">
        <f>"rpatel@rakhilaw.com"</f>
        <v>rpatel@rakhilaw.com</v>
      </c>
      <c r="BH879" t="str">
        <f>"Rakhi Patel Law, LLC"</f>
        <v>Rakhi Patel Law, LLC</v>
      </c>
      <c r="BI879" t="str">
        <f>"PA"</f>
        <v>PA</v>
      </c>
      <c r="BJ879" t="str">
        <f>"Supreme Court of Pennsylvania"</f>
        <v>Supreme Court of Pennsylvania</v>
      </c>
      <c r="BK879">
        <v>1</v>
      </c>
      <c r="BL879" t="s">
        <v>102</v>
      </c>
      <c r="BM879" t="str">
        <f>""</f>
        <v/>
      </c>
      <c r="BN879" t="s">
        <v>8814</v>
      </c>
      <c r="BO879" t="s">
        <v>7851</v>
      </c>
      <c r="BP879" t="s">
        <v>7749</v>
      </c>
      <c r="BQ879" t="s">
        <v>529</v>
      </c>
      <c r="BR879" t="s">
        <v>127</v>
      </c>
      <c r="BS879" s="5">
        <v>19034</v>
      </c>
      <c r="BT879" s="2">
        <v>140040</v>
      </c>
      <c r="BV879" t="s">
        <v>105</v>
      </c>
      <c r="BW879" s="2">
        <v>97885</v>
      </c>
      <c r="BX879" t="s">
        <v>105</v>
      </c>
      <c r="BZ879" t="s">
        <v>123</v>
      </c>
      <c r="CA879" t="str">
        <f t="shared" si="65"/>
        <v>7/1/2020 - 6/30/2021</v>
      </c>
      <c r="CF879">
        <v>2</v>
      </c>
      <c r="CG879" t="s">
        <v>98</v>
      </c>
      <c r="CH879" t="s">
        <v>206</v>
      </c>
      <c r="CI879" t="s">
        <v>206</v>
      </c>
      <c r="CL879" t="s">
        <v>108</v>
      </c>
      <c r="CM879" t="s">
        <v>109</v>
      </c>
      <c r="CN879" t="str">
        <f>"Patel"</f>
        <v>Patel</v>
      </c>
      <c r="CO879" t="str">
        <f>"Rakhi"</f>
        <v>Rakhi</v>
      </c>
      <c r="CP879" t="str">
        <f>"J."</f>
        <v>J.</v>
      </c>
      <c r="CQ879" t="str">
        <f>"Rakhi Patel Law, LLC"</f>
        <v>Rakhi Patel Law, LLC</v>
      </c>
      <c r="CR879" t="s">
        <v>8818</v>
      </c>
    </row>
    <row r="880" spans="1:96" x14ac:dyDescent="0.2">
      <c r="A880" t="s">
        <v>10124</v>
      </c>
      <c r="B880" t="s">
        <v>96</v>
      </c>
      <c r="C880" s="1">
        <v>44098</v>
      </c>
      <c r="D880" s="1">
        <v>44105</v>
      </c>
      <c r="F880" t="s">
        <v>97</v>
      </c>
      <c r="G880" t="str">
        <f>"Instrument Chemist"</f>
        <v>Instrument Chemist</v>
      </c>
      <c r="H880" t="s">
        <v>12198</v>
      </c>
      <c r="I880" t="s">
        <v>402</v>
      </c>
      <c r="J880" t="s">
        <v>98</v>
      </c>
      <c r="K880" s="1">
        <v>44105</v>
      </c>
      <c r="L880" s="1">
        <v>45199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10125</v>
      </c>
      <c r="U880" t="str">
        <f>""</f>
        <v/>
      </c>
      <c r="V880" t="s">
        <v>10126</v>
      </c>
      <c r="W880" t="str">
        <f>""</f>
        <v/>
      </c>
      <c r="X880" t="s">
        <v>535</v>
      </c>
      <c r="Y880" t="s">
        <v>100</v>
      </c>
      <c r="Z880" s="3">
        <v>8873</v>
      </c>
      <c r="AA880" t="s">
        <v>101</v>
      </c>
      <c r="AC880" s="4" t="str">
        <f>"+17323029888"</f>
        <v>+17323029888</v>
      </c>
      <c r="AE880" t="str">
        <f>"334516"</f>
        <v>334516</v>
      </c>
      <c r="AF880" t="s">
        <v>686</v>
      </c>
      <c r="AG880" t="s">
        <v>7173</v>
      </c>
      <c r="AI880" t="s">
        <v>425</v>
      </c>
      <c r="AJ880" t="s">
        <v>10126</v>
      </c>
      <c r="AK880" t="str">
        <f>""</f>
        <v/>
      </c>
      <c r="AL880" t="s">
        <v>535</v>
      </c>
      <c r="AM880" t="s">
        <v>100</v>
      </c>
      <c r="AN880" s="3">
        <v>8873</v>
      </c>
      <c r="AO880" t="s">
        <v>101</v>
      </c>
      <c r="AQ880" t="str">
        <f>"+17323029888"</f>
        <v>+17323029888</v>
      </c>
      <c r="AS880" t="s">
        <v>10127</v>
      </c>
      <c r="AT880" t="s">
        <v>107</v>
      </c>
      <c r="AU880" t="str">
        <f>"Wang"</f>
        <v>Wang</v>
      </c>
      <c r="AV880" t="str">
        <f>"Weicheng"</f>
        <v>Weicheng</v>
      </c>
      <c r="AW880" t="str">
        <f>""</f>
        <v/>
      </c>
      <c r="AX880" t="str">
        <f>"197 Route 18"</f>
        <v>197 Route 18</v>
      </c>
      <c r="AY880" t="str">
        <f>"Suite 309"</f>
        <v>Suite 309</v>
      </c>
      <c r="AZ880" t="str">
        <f>"East Brunswick "</f>
        <v xml:space="preserve">East Brunswick </v>
      </c>
      <c r="BA880" t="str">
        <f>"NJ"</f>
        <v>NJ</v>
      </c>
      <c r="BB880" s="3">
        <v>8816</v>
      </c>
      <c r="BC880" t="str">
        <f t="shared" si="64"/>
        <v>UNITED STATES OF AMERICA</v>
      </c>
      <c r="BD880" t="str">
        <f>""</f>
        <v/>
      </c>
      <c r="BE880" t="str">
        <f>"+17324188865"</f>
        <v>+17324188865</v>
      </c>
      <c r="BF880" t="str">
        <f>""</f>
        <v/>
      </c>
      <c r="BG880" t="str">
        <f>"wangwesq@aol.com"</f>
        <v>wangwesq@aol.com</v>
      </c>
      <c r="BH880" t="str">
        <f>"Law Offices of Weicheng Wang"</f>
        <v>Law Offices of Weicheng Wang</v>
      </c>
      <c r="BI880" t="str">
        <f>"NJ"</f>
        <v>NJ</v>
      </c>
      <c r="BJ880" t="str">
        <f>"The Supreme Court of New Jersey"</f>
        <v>The Supreme Court of New Jersey</v>
      </c>
      <c r="BK880">
        <v>1</v>
      </c>
      <c r="BL880" t="s">
        <v>102</v>
      </c>
      <c r="BM880" t="str">
        <f>""</f>
        <v/>
      </c>
      <c r="BN880" t="s">
        <v>10126</v>
      </c>
      <c r="BP880" t="s">
        <v>1635</v>
      </c>
      <c r="BQ880" t="s">
        <v>535</v>
      </c>
      <c r="BR880" t="s">
        <v>100</v>
      </c>
      <c r="BS880" s="5">
        <v>8873</v>
      </c>
      <c r="BT880" s="2">
        <v>60000</v>
      </c>
      <c r="BU880" s="2">
        <v>70000</v>
      </c>
      <c r="BV880" t="s">
        <v>105</v>
      </c>
      <c r="BW880" s="2">
        <v>58843</v>
      </c>
      <c r="BX880" t="s">
        <v>105</v>
      </c>
      <c r="BZ880" t="s">
        <v>191</v>
      </c>
      <c r="CA880" t="str">
        <f t="shared" si="65"/>
        <v>7/1/2020 - 6/30/2021</v>
      </c>
      <c r="CF880">
        <v>1</v>
      </c>
      <c r="CG880" t="s">
        <v>98</v>
      </c>
      <c r="CH880" t="s">
        <v>206</v>
      </c>
      <c r="CI880" t="s">
        <v>206</v>
      </c>
      <c r="CL880" t="s">
        <v>108</v>
      </c>
      <c r="CM880" t="s">
        <v>109</v>
      </c>
      <c r="CN880" t="str">
        <f>""</f>
        <v/>
      </c>
      <c r="CO880" t="str">
        <f>""</f>
        <v/>
      </c>
      <c r="CP880" t="str">
        <f>""</f>
        <v/>
      </c>
      <c r="CQ880" t="str">
        <f>""</f>
        <v/>
      </c>
    </row>
    <row r="881" spans="1:96" x14ac:dyDescent="0.2">
      <c r="A881" t="s">
        <v>10134</v>
      </c>
      <c r="B881" t="s">
        <v>96</v>
      </c>
      <c r="C881" s="1">
        <v>44098</v>
      </c>
      <c r="D881" s="1">
        <v>44105</v>
      </c>
      <c r="F881" t="s">
        <v>97</v>
      </c>
      <c r="G881" t="str">
        <f>"Specialist, Business Analyst-Retention"</f>
        <v>Specialist, Business Analyst-Retention</v>
      </c>
      <c r="H881" t="s">
        <v>12176</v>
      </c>
      <c r="I881" t="s">
        <v>246</v>
      </c>
      <c r="J881" t="s">
        <v>98</v>
      </c>
      <c r="K881" s="1">
        <v>44111</v>
      </c>
      <c r="L881" s="1">
        <v>45205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10135</v>
      </c>
      <c r="U881" t="str">
        <f>""</f>
        <v/>
      </c>
      <c r="V881" t="s">
        <v>3287</v>
      </c>
      <c r="W881" t="str">
        <f>""</f>
        <v/>
      </c>
      <c r="X881" t="s">
        <v>3288</v>
      </c>
      <c r="Y881" t="s">
        <v>215</v>
      </c>
      <c r="Z881" s="3">
        <v>30097</v>
      </c>
      <c r="AA881" t="s">
        <v>101</v>
      </c>
      <c r="AC881" s="4" t="str">
        <f>"+15135737766"</f>
        <v>+15135737766</v>
      </c>
      <c r="AE881" t="str">
        <f>"452210"</f>
        <v>452210</v>
      </c>
      <c r="AF881" t="s">
        <v>3289</v>
      </c>
      <c r="AG881" t="s">
        <v>3290</v>
      </c>
      <c r="AH881" t="s">
        <v>108</v>
      </c>
      <c r="AI881" t="s">
        <v>221</v>
      </c>
      <c r="AJ881" t="s">
        <v>3291</v>
      </c>
      <c r="AK881" t="str">
        <f>""</f>
        <v/>
      </c>
      <c r="AL881" t="s">
        <v>2599</v>
      </c>
      <c r="AM881" t="s">
        <v>215</v>
      </c>
      <c r="AN881" s="3">
        <v>30097</v>
      </c>
      <c r="AO881" t="s">
        <v>101</v>
      </c>
      <c r="AQ881" t="str">
        <f>"+15135737766"</f>
        <v>+15135737766</v>
      </c>
      <c r="AS881" t="s">
        <v>3292</v>
      </c>
      <c r="AT881" t="s">
        <v>107</v>
      </c>
      <c r="AU881" t="str">
        <f>"CHAPMAN"</f>
        <v>CHAPMAN</v>
      </c>
      <c r="AV881" t="str">
        <f>"TAYLOR"</f>
        <v>TAYLOR</v>
      </c>
      <c r="AW881" t="str">
        <f>"P."</f>
        <v>P.</v>
      </c>
      <c r="AX881" t="str">
        <f>"10100 Katy Freeway, Suite 600"</f>
        <v>10100 Katy Freeway, Suite 600</v>
      </c>
      <c r="AY881" t="str">
        <f>""</f>
        <v/>
      </c>
      <c r="AZ881" t="str">
        <f>"Houston"</f>
        <v>Houston</v>
      </c>
      <c r="BA881" t="str">
        <f>"TX"</f>
        <v>TX</v>
      </c>
      <c r="BB881" s="3">
        <v>77043</v>
      </c>
      <c r="BC881" t="str">
        <f t="shared" si="64"/>
        <v>UNITED STATES OF AMERICA</v>
      </c>
      <c r="BD881" t="str">
        <f>""</f>
        <v/>
      </c>
      <c r="BE881" t="str">
        <f>"+14692909369"</f>
        <v>+14692909369</v>
      </c>
      <c r="BF881" t="str">
        <f>""</f>
        <v/>
      </c>
      <c r="BG881" t="str">
        <f>"NJANI@BALGLOBAL.COM"</f>
        <v>NJANI@BALGLOBAL.COM</v>
      </c>
      <c r="BH881" t="str">
        <f>"Berry Appleman &amp; Leiden LLP"</f>
        <v>Berry Appleman &amp; Leiden LLP</v>
      </c>
      <c r="BI881" t="str">
        <f>"TX"</f>
        <v>TX</v>
      </c>
      <c r="BJ881" t="str">
        <f>"Supreme Court of Texas"</f>
        <v>Supreme Court of Texas</v>
      </c>
      <c r="BK881">
        <v>1</v>
      </c>
      <c r="BL881" t="s">
        <v>102</v>
      </c>
      <c r="BM881" t="str">
        <f>""</f>
        <v/>
      </c>
      <c r="BN881" t="s">
        <v>7420</v>
      </c>
      <c r="BP881" t="s">
        <v>277</v>
      </c>
      <c r="BQ881" t="s">
        <v>189</v>
      </c>
      <c r="BR881" t="s">
        <v>190</v>
      </c>
      <c r="BS881" s="5">
        <v>10001</v>
      </c>
      <c r="BT881" s="2">
        <v>115000</v>
      </c>
      <c r="BV881" t="s">
        <v>105</v>
      </c>
      <c r="BW881" s="2">
        <v>100526</v>
      </c>
      <c r="BX881" t="s">
        <v>105</v>
      </c>
      <c r="BZ881" t="s">
        <v>167</v>
      </c>
      <c r="CA881" t="str">
        <f t="shared" si="65"/>
        <v>7/1/2020 - 6/30/2021</v>
      </c>
      <c r="CF881">
        <v>1</v>
      </c>
      <c r="CG881" t="s">
        <v>98</v>
      </c>
      <c r="CH881" t="s">
        <v>206</v>
      </c>
      <c r="CI881" t="s">
        <v>206</v>
      </c>
      <c r="CL881" t="s">
        <v>108</v>
      </c>
      <c r="CM881" t="s">
        <v>109</v>
      </c>
      <c r="CN881" t="str">
        <f>""</f>
        <v/>
      </c>
      <c r="CO881" t="str">
        <f>""</f>
        <v/>
      </c>
      <c r="CP881" t="str">
        <f>""</f>
        <v/>
      </c>
      <c r="CQ881" t="str">
        <f>""</f>
        <v/>
      </c>
    </row>
    <row r="882" spans="1:96" x14ac:dyDescent="0.2">
      <c r="A882" t="s">
        <v>10145</v>
      </c>
      <c r="B882" t="s">
        <v>96</v>
      </c>
      <c r="C882" s="1">
        <v>44098</v>
      </c>
      <c r="D882" s="1">
        <v>44105</v>
      </c>
      <c r="F882" t="s">
        <v>97</v>
      </c>
      <c r="G882" t="str">
        <f>"NVH Engineer II"</f>
        <v>NVH Engineer II</v>
      </c>
      <c r="H882" t="s">
        <v>12196</v>
      </c>
      <c r="I882" t="s">
        <v>322</v>
      </c>
      <c r="J882" t="s">
        <v>98</v>
      </c>
      <c r="K882" s="1">
        <v>44105</v>
      </c>
      <c r="L882" s="1">
        <v>45199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 t="s">
        <v>6112</v>
      </c>
      <c r="U882" t="str">
        <f>""</f>
        <v/>
      </c>
      <c r="V882" t="s">
        <v>6113</v>
      </c>
      <c r="W882" t="str">
        <f>""</f>
        <v/>
      </c>
      <c r="X882" t="s">
        <v>982</v>
      </c>
      <c r="Y882" t="s">
        <v>265</v>
      </c>
      <c r="Z882" s="3">
        <v>48150</v>
      </c>
      <c r="AA882" t="s">
        <v>101</v>
      </c>
      <c r="AC882" s="4" t="str">
        <f>"+17348552654"</f>
        <v>+17348552654</v>
      </c>
      <c r="AE882" t="str">
        <f>"336111"</f>
        <v>336111</v>
      </c>
      <c r="AF882" t="s">
        <v>8182</v>
      </c>
      <c r="AG882" t="s">
        <v>1084</v>
      </c>
      <c r="AH882" t="s">
        <v>108</v>
      </c>
      <c r="AI882" t="s">
        <v>5609</v>
      </c>
      <c r="AJ882" t="s">
        <v>6113</v>
      </c>
      <c r="AK882" t="str">
        <f>""</f>
        <v/>
      </c>
      <c r="AL882" t="s">
        <v>982</v>
      </c>
      <c r="AM882" t="s">
        <v>265</v>
      </c>
      <c r="AN882" s="3">
        <v>48150</v>
      </c>
      <c r="AO882" t="s">
        <v>101</v>
      </c>
      <c r="AQ882" t="str">
        <f>"+17348552654"</f>
        <v>+17348552654</v>
      </c>
      <c r="AS882" t="s">
        <v>8183</v>
      </c>
      <c r="AT882" t="s">
        <v>107</v>
      </c>
      <c r="AU882" t="str">
        <f>"Terebelo"</f>
        <v>Terebelo</v>
      </c>
      <c r="AV882" t="str">
        <f>"Michal"</f>
        <v>Michal</v>
      </c>
      <c r="AW882" t="str">
        <f>"Duer"</f>
        <v>Duer</v>
      </c>
      <c r="AX882" t="str">
        <f>"5250 Corporate Drive"</f>
        <v>5250 Corporate Drive</v>
      </c>
      <c r="AY882" t="str">
        <f>"Ste. 300"</f>
        <v>Ste. 300</v>
      </c>
      <c r="AZ882" t="str">
        <f>"Troy"</f>
        <v>Troy</v>
      </c>
      <c r="BA882" t="str">
        <f>"MI"</f>
        <v>MI</v>
      </c>
      <c r="BB882" s="3">
        <v>48098</v>
      </c>
      <c r="BC882" t="str">
        <f t="shared" si="64"/>
        <v>UNITED STATES OF AMERICA</v>
      </c>
      <c r="BD882" t="str">
        <f>""</f>
        <v/>
      </c>
      <c r="BE882" t="str">
        <f>"+12486434900"</f>
        <v>+12486434900</v>
      </c>
      <c r="BF882" t="str">
        <f>""</f>
        <v/>
      </c>
      <c r="BG882" t="str">
        <f>"pritam@employmentimmigration.com"</f>
        <v>pritam@employmentimmigration.com</v>
      </c>
      <c r="BH882" t="str">
        <f>"Fakhoury Global Immigration, USA PC"</f>
        <v>Fakhoury Global Immigration, USA PC</v>
      </c>
      <c r="BI882" t="str">
        <f>"MI"</f>
        <v>MI</v>
      </c>
      <c r="BJ882" t="str">
        <f>"Supreme Court"</f>
        <v>Supreme Court</v>
      </c>
      <c r="BK882">
        <v>1</v>
      </c>
      <c r="BL882" t="s">
        <v>102</v>
      </c>
      <c r="BM882" t="str">
        <f>""</f>
        <v/>
      </c>
      <c r="BN882" t="s">
        <v>10146</v>
      </c>
      <c r="BP882" t="s">
        <v>982</v>
      </c>
      <c r="BQ882" t="s">
        <v>533</v>
      </c>
      <c r="BR882" t="s">
        <v>265</v>
      </c>
      <c r="BS882" s="5">
        <v>48150</v>
      </c>
      <c r="BT882" s="2">
        <v>83532</v>
      </c>
      <c r="BV882" t="s">
        <v>105</v>
      </c>
      <c r="BW882" s="2">
        <v>82555</v>
      </c>
      <c r="BX882" t="s">
        <v>105</v>
      </c>
      <c r="BZ882" t="s">
        <v>167</v>
      </c>
      <c r="CA882" t="str">
        <f t="shared" si="65"/>
        <v>7/1/2020 - 6/30/2021</v>
      </c>
      <c r="CF882">
        <v>1</v>
      </c>
      <c r="CG882" t="s">
        <v>98</v>
      </c>
      <c r="CH882" t="s">
        <v>206</v>
      </c>
      <c r="CI882" t="s">
        <v>206</v>
      </c>
      <c r="CL882" t="s">
        <v>108</v>
      </c>
      <c r="CM882" t="s">
        <v>109</v>
      </c>
      <c r="CN882" t="str">
        <f>"Terebelo"</f>
        <v>Terebelo</v>
      </c>
      <c r="CO882" t="str">
        <f>"Michal"</f>
        <v>Michal</v>
      </c>
      <c r="CP882" t="str">
        <f>"D"</f>
        <v>D</v>
      </c>
      <c r="CQ882" t="str">
        <f>"Fakhoury Global Immigration, USA PC"</f>
        <v>Fakhoury Global Immigration, USA PC</v>
      </c>
      <c r="CR882" t="s">
        <v>2833</v>
      </c>
    </row>
    <row r="883" spans="1:96" x14ac:dyDescent="0.2">
      <c r="A883" t="s">
        <v>10165</v>
      </c>
      <c r="B883" t="s">
        <v>96</v>
      </c>
      <c r="C883" s="1">
        <v>44098</v>
      </c>
      <c r="D883" s="1">
        <v>44105</v>
      </c>
      <c r="F883" t="s">
        <v>97</v>
      </c>
      <c r="G883" t="str">
        <f>"Specialist Master"</f>
        <v>Specialist Master</v>
      </c>
      <c r="H883" t="s">
        <v>12178</v>
      </c>
      <c r="I883" t="s">
        <v>582</v>
      </c>
      <c r="J883" t="s">
        <v>98</v>
      </c>
      <c r="K883" s="1">
        <v>44278</v>
      </c>
      <c r="L883" s="1">
        <v>45373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 t="s">
        <v>737</v>
      </c>
      <c r="U883" t="str">
        <f>""</f>
        <v/>
      </c>
      <c r="V883" t="s">
        <v>217</v>
      </c>
      <c r="W883" t="str">
        <f>""</f>
        <v/>
      </c>
      <c r="X883" t="s">
        <v>218</v>
      </c>
      <c r="Y883" t="s">
        <v>127</v>
      </c>
      <c r="Z883" s="3">
        <v>19103</v>
      </c>
      <c r="AA883" t="s">
        <v>101</v>
      </c>
      <c r="AC883" s="4" t="str">
        <f>"+16179608170"</f>
        <v>+16179608170</v>
      </c>
      <c r="AE883" t="str">
        <f>"541611"</f>
        <v>541611</v>
      </c>
      <c r="AF883" t="s">
        <v>908</v>
      </c>
      <c r="AG883" t="s">
        <v>909</v>
      </c>
      <c r="AI883" t="s">
        <v>910</v>
      </c>
      <c r="AJ883" t="s">
        <v>217</v>
      </c>
      <c r="AK883" t="str">
        <f>""</f>
        <v/>
      </c>
      <c r="AL883" t="s">
        <v>218</v>
      </c>
      <c r="AM883" t="s">
        <v>127</v>
      </c>
      <c r="AN883" s="3">
        <v>19103</v>
      </c>
      <c r="AO883" t="s">
        <v>101</v>
      </c>
      <c r="AQ883" t="str">
        <f>"+16179608170"</f>
        <v>+16179608170</v>
      </c>
      <c r="AS883" t="s">
        <v>222</v>
      </c>
      <c r="AT883" t="s">
        <v>107</v>
      </c>
      <c r="AU883" t="str">
        <f>"Fitzgerald"</f>
        <v>Fitzgerald</v>
      </c>
      <c r="AV883" t="str">
        <f>"Ayumary"</f>
        <v>Ayumary</v>
      </c>
      <c r="AW883" t="str">
        <f>""</f>
        <v/>
      </c>
      <c r="AX883" t="str">
        <f>"2400 N. Glenville Drive, Building A"</f>
        <v>2400 N. Glenville Drive, Building A</v>
      </c>
      <c r="AY883" t="str">
        <f>"Suite 100"</f>
        <v>Suite 100</v>
      </c>
      <c r="AZ883" t="str">
        <f>"Richarson"</f>
        <v>Richarson</v>
      </c>
      <c r="BA883" t="str">
        <f>"TX"</f>
        <v>TX</v>
      </c>
      <c r="BB883" s="3">
        <v>75082</v>
      </c>
      <c r="BC883" t="str">
        <f t="shared" si="64"/>
        <v>UNITED STATES OF AMERICA</v>
      </c>
      <c r="BD883" t="str">
        <f>""</f>
        <v/>
      </c>
      <c r="BE883" t="str">
        <f>"+19727296182"</f>
        <v>+19727296182</v>
      </c>
      <c r="BF883" t="str">
        <f>""</f>
        <v/>
      </c>
      <c r="BG883" t="str">
        <f>"teamayu@balglobal.com"</f>
        <v>teamayu@balglobal.com</v>
      </c>
      <c r="BH883" t="str">
        <f>"Berry Appleman &amp; Leiden LLP"</f>
        <v>Berry Appleman &amp; Leiden LLP</v>
      </c>
      <c r="BI883" t="str">
        <f>"TX"</f>
        <v>TX</v>
      </c>
      <c r="BJ883" t="str">
        <f>"Supreme Court of Texas"</f>
        <v>Supreme Court of Texas</v>
      </c>
      <c r="BK883">
        <v>1</v>
      </c>
      <c r="BL883" t="s">
        <v>102</v>
      </c>
      <c r="BM883" t="str">
        <f>""</f>
        <v/>
      </c>
      <c r="BN883" t="s">
        <v>10166</v>
      </c>
      <c r="BO883" t="s">
        <v>3048</v>
      </c>
      <c r="BP883" t="s">
        <v>376</v>
      </c>
      <c r="BQ883" t="s">
        <v>377</v>
      </c>
      <c r="BR883" t="s">
        <v>141</v>
      </c>
      <c r="BS883" s="5">
        <v>92626</v>
      </c>
      <c r="BT883" s="2">
        <v>147500</v>
      </c>
      <c r="BV883" t="s">
        <v>105</v>
      </c>
      <c r="BW883" s="2">
        <v>141149</v>
      </c>
      <c r="BX883" t="s">
        <v>105</v>
      </c>
      <c r="BZ883" t="s">
        <v>167</v>
      </c>
      <c r="CA883" t="str">
        <f t="shared" si="65"/>
        <v>7/1/2020 - 6/30/2021</v>
      </c>
      <c r="CF883">
        <v>2</v>
      </c>
      <c r="CG883" t="s">
        <v>98</v>
      </c>
      <c r="CH883" t="s">
        <v>206</v>
      </c>
      <c r="CI883" t="s">
        <v>206</v>
      </c>
      <c r="CL883" t="s">
        <v>108</v>
      </c>
      <c r="CM883" t="s">
        <v>109</v>
      </c>
      <c r="CN883" t="str">
        <f>"Morales"</f>
        <v>Morales</v>
      </c>
      <c r="CO883" t="str">
        <f>"Audrey"</f>
        <v>Audrey</v>
      </c>
      <c r="CP883" t="str">
        <f>""</f>
        <v/>
      </c>
      <c r="CQ883" t="str">
        <f>"Berry Appleman &amp; Leiden LLP"</f>
        <v>Berry Appleman &amp; Leiden LLP</v>
      </c>
      <c r="CR883" t="s">
        <v>3400</v>
      </c>
    </row>
    <row r="884" spans="1:96" x14ac:dyDescent="0.2">
      <c r="A884" t="s">
        <v>10167</v>
      </c>
      <c r="B884" t="s">
        <v>96</v>
      </c>
      <c r="C884" s="1">
        <v>44098</v>
      </c>
      <c r="D884" s="1">
        <v>44105</v>
      </c>
      <c r="F884" t="s">
        <v>97</v>
      </c>
      <c r="G884" t="str">
        <f>"Identity and Access Management Developer"</f>
        <v>Identity and Access Management Developer</v>
      </c>
      <c r="H884" t="s">
        <v>12176</v>
      </c>
      <c r="I884" t="s">
        <v>246</v>
      </c>
      <c r="J884" t="s">
        <v>98</v>
      </c>
      <c r="K884" s="1">
        <v>44105</v>
      </c>
      <c r="L884" s="1">
        <v>45199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9440</v>
      </c>
      <c r="U884" t="str">
        <f>""</f>
        <v/>
      </c>
      <c r="V884" t="s">
        <v>9441</v>
      </c>
      <c r="W884" t="str">
        <f>""</f>
        <v/>
      </c>
      <c r="X884" t="s">
        <v>399</v>
      </c>
      <c r="Y884" t="s">
        <v>141</v>
      </c>
      <c r="Z884" s="3">
        <v>94536</v>
      </c>
      <c r="AA884" t="s">
        <v>101</v>
      </c>
      <c r="AC884" s="4" t="str">
        <f>"+14075042338"</f>
        <v>+14075042338</v>
      </c>
      <c r="AE884" t="str">
        <f>"541511"</f>
        <v>541511</v>
      </c>
      <c r="AF884" t="s">
        <v>9442</v>
      </c>
      <c r="AG884" t="s">
        <v>9443</v>
      </c>
      <c r="AI884" t="s">
        <v>425</v>
      </c>
      <c r="AJ884" t="s">
        <v>9441</v>
      </c>
      <c r="AK884" t="str">
        <f>""</f>
        <v/>
      </c>
      <c r="AL884" t="s">
        <v>399</v>
      </c>
      <c r="AM884" t="s">
        <v>141</v>
      </c>
      <c r="AN884" s="3">
        <v>94536</v>
      </c>
      <c r="AO884" t="s">
        <v>101</v>
      </c>
      <c r="AQ884" t="str">
        <f>"+14075042338"</f>
        <v>+14075042338</v>
      </c>
      <c r="AS884" t="s">
        <v>9444</v>
      </c>
      <c r="AT884" t="s">
        <v>107</v>
      </c>
      <c r="AU884" t="str">
        <f>"Akula"</f>
        <v>Akula</v>
      </c>
      <c r="AV884" t="str">
        <f>"Kavitha"</f>
        <v>Kavitha</v>
      </c>
      <c r="AW884" t="str">
        <f>""</f>
        <v/>
      </c>
      <c r="AX884" t="str">
        <f>"17400 DALLAS PKWY"</f>
        <v>17400 DALLAS PKWY</v>
      </c>
      <c r="AY884" t="str">
        <f>"SUITE 216"</f>
        <v>SUITE 216</v>
      </c>
      <c r="AZ884" t="str">
        <f>"DALLAS"</f>
        <v>DALLAS</v>
      </c>
      <c r="BA884" t="str">
        <f>"TX"</f>
        <v>TX</v>
      </c>
      <c r="BB884" s="3">
        <v>75287</v>
      </c>
      <c r="BC884" t="str">
        <f t="shared" si="64"/>
        <v>UNITED STATES OF AMERICA</v>
      </c>
      <c r="BD884" t="str">
        <f>""</f>
        <v/>
      </c>
      <c r="BE884" t="str">
        <f>"+19722414698"</f>
        <v>+19722414698</v>
      </c>
      <c r="BF884" t="str">
        <f>""</f>
        <v/>
      </c>
      <c r="BG884" t="str">
        <f>"shamira.hamid@akulalaw.com"</f>
        <v>shamira.hamid@akulalaw.com</v>
      </c>
      <c r="BH884" t="str">
        <f>"Akula &amp; Associates, P.C."</f>
        <v>Akula &amp; Associates, P.C.</v>
      </c>
      <c r="BI884" t="str">
        <f>"TX"</f>
        <v>TX</v>
      </c>
      <c r="BJ884" t="str">
        <f>"SUPREME COURT"</f>
        <v>SUPREME COURT</v>
      </c>
      <c r="BK884">
        <v>1</v>
      </c>
      <c r="BL884" t="s">
        <v>107</v>
      </c>
      <c r="BM884" t="str">
        <f>"OPTUM"</f>
        <v>OPTUM</v>
      </c>
      <c r="BN884" t="s">
        <v>10168</v>
      </c>
      <c r="BP884" t="s">
        <v>10169</v>
      </c>
      <c r="BQ884" t="s">
        <v>10170</v>
      </c>
      <c r="BR884" t="s">
        <v>187</v>
      </c>
      <c r="BS884" s="5">
        <v>5404</v>
      </c>
      <c r="BT884" s="2">
        <v>86258</v>
      </c>
      <c r="BU884" s="2">
        <v>86260</v>
      </c>
      <c r="BV884" t="s">
        <v>105</v>
      </c>
      <c r="BW884" s="2">
        <v>86258</v>
      </c>
      <c r="BX884" t="s">
        <v>105</v>
      </c>
      <c r="BZ884" t="s">
        <v>167</v>
      </c>
      <c r="CA884" t="str">
        <f t="shared" si="65"/>
        <v>7/1/2020 - 6/30/2021</v>
      </c>
      <c r="CF884">
        <v>1</v>
      </c>
      <c r="CG884" t="s">
        <v>98</v>
      </c>
      <c r="CH884" t="s">
        <v>206</v>
      </c>
      <c r="CI884" t="s">
        <v>206</v>
      </c>
      <c r="CL884" t="s">
        <v>108</v>
      </c>
      <c r="CM884" t="s">
        <v>109</v>
      </c>
      <c r="CN884" t="str">
        <f>""</f>
        <v/>
      </c>
      <c r="CO884" t="str">
        <f>""</f>
        <v/>
      </c>
      <c r="CP884" t="str">
        <f>""</f>
        <v/>
      </c>
      <c r="CQ884" t="str">
        <f>""</f>
        <v/>
      </c>
    </row>
    <row r="885" spans="1:96" x14ac:dyDescent="0.2">
      <c r="A885" t="s">
        <v>10178</v>
      </c>
      <c r="B885" t="s">
        <v>96</v>
      </c>
      <c r="C885" s="1">
        <v>44098</v>
      </c>
      <c r="D885" s="1">
        <v>44105</v>
      </c>
      <c r="F885" t="s">
        <v>97</v>
      </c>
      <c r="G885" t="str">
        <f>"Sr. Java Developer"</f>
        <v>Sr. Java Developer</v>
      </c>
      <c r="H885" t="s">
        <v>12169</v>
      </c>
      <c r="I885" t="s">
        <v>124</v>
      </c>
      <c r="J885" t="s">
        <v>98</v>
      </c>
      <c r="K885" s="1">
        <v>44264</v>
      </c>
      <c r="L885" s="1">
        <v>45359</v>
      </c>
      <c r="M885">
        <v>1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 t="s">
        <v>8387</v>
      </c>
      <c r="U885" t="str">
        <f>"Fleetcor"</f>
        <v>Fleetcor</v>
      </c>
      <c r="V885" t="s">
        <v>8388</v>
      </c>
      <c r="W885" t="str">
        <f>"Suite 2400"</f>
        <v>Suite 2400</v>
      </c>
      <c r="X885" t="s">
        <v>213</v>
      </c>
      <c r="Y885" t="s">
        <v>215</v>
      </c>
      <c r="Z885" s="3">
        <v>30305</v>
      </c>
      <c r="AA885" t="s">
        <v>101</v>
      </c>
      <c r="AC885" s="4" t="str">
        <f>"+17707293588"</f>
        <v>+17707293588</v>
      </c>
      <c r="AE885" t="str">
        <f>"522210"</f>
        <v>522210</v>
      </c>
      <c r="AF885" t="s">
        <v>10179</v>
      </c>
      <c r="AG885" t="s">
        <v>1464</v>
      </c>
      <c r="AI885" t="s">
        <v>2878</v>
      </c>
      <c r="AJ885" t="s">
        <v>8388</v>
      </c>
      <c r="AK885" t="str">
        <f>"Suite 2400"</f>
        <v>Suite 2400</v>
      </c>
      <c r="AL885" t="s">
        <v>213</v>
      </c>
      <c r="AM885" t="s">
        <v>215</v>
      </c>
      <c r="AN885" s="3">
        <v>30305</v>
      </c>
      <c r="AO885" t="s">
        <v>101</v>
      </c>
      <c r="AQ885" t="str">
        <f>"+17707293588"</f>
        <v>+17707293588</v>
      </c>
      <c r="AS885" t="s">
        <v>10180</v>
      </c>
      <c r="AT885" t="s">
        <v>107</v>
      </c>
      <c r="AU885" t="str">
        <f>"Wang"</f>
        <v>Wang</v>
      </c>
      <c r="AV885" t="str">
        <f>"Lu"</f>
        <v>Lu</v>
      </c>
      <c r="AW885" t="str">
        <f>""</f>
        <v/>
      </c>
      <c r="AX885" t="str">
        <f>"3296 Summit ridge Pkwy"</f>
        <v>3296 Summit ridge Pkwy</v>
      </c>
      <c r="AY885" t="str">
        <f>"Suite 2020"</f>
        <v>Suite 2020</v>
      </c>
      <c r="AZ885" t="str">
        <f>"Duluth"</f>
        <v>Duluth</v>
      </c>
      <c r="BA885" t="str">
        <f>"GA"</f>
        <v>GA</v>
      </c>
      <c r="BB885" s="3">
        <v>30096</v>
      </c>
      <c r="BC885" t="str">
        <f t="shared" si="64"/>
        <v>UNITED STATES OF AMERICA</v>
      </c>
      <c r="BD885" t="str">
        <f>""</f>
        <v/>
      </c>
      <c r="BE885" t="str">
        <f>"+17704955906"</f>
        <v>+17704955906</v>
      </c>
      <c r="BF885" t="str">
        <f>""</f>
        <v/>
      </c>
      <c r="BG885" t="str">
        <f>"rcao@wa-law.net"</f>
        <v>rcao@wa-law.net</v>
      </c>
      <c r="BH885" t="str">
        <f>"Wang &amp; Associates, P.C."</f>
        <v>Wang &amp; Associates, P.C.</v>
      </c>
      <c r="BI885" t="str">
        <f>"GA"</f>
        <v>GA</v>
      </c>
      <c r="BJ885" t="str">
        <f>"Supreme"</f>
        <v>Supreme</v>
      </c>
      <c r="BK885">
        <v>1</v>
      </c>
      <c r="BL885" t="s">
        <v>102</v>
      </c>
      <c r="BM885" t="str">
        <f>""</f>
        <v/>
      </c>
      <c r="BN885" t="s">
        <v>7650</v>
      </c>
      <c r="BP885" t="s">
        <v>1248</v>
      </c>
      <c r="BQ885" t="s">
        <v>668</v>
      </c>
      <c r="BR885" t="s">
        <v>545</v>
      </c>
      <c r="BS885" s="5">
        <v>37027</v>
      </c>
      <c r="BT885" s="2">
        <v>118800</v>
      </c>
      <c r="BU885" s="2">
        <v>118800.01</v>
      </c>
      <c r="BV885" t="s">
        <v>105</v>
      </c>
      <c r="BW885" s="2">
        <v>110573</v>
      </c>
      <c r="BX885" t="s">
        <v>105</v>
      </c>
      <c r="BZ885" t="s">
        <v>159</v>
      </c>
      <c r="CA885" t="str">
        <f t="shared" si="65"/>
        <v>7/1/2020 - 6/30/2021</v>
      </c>
      <c r="CF885">
        <v>1</v>
      </c>
      <c r="CG885" t="s">
        <v>98</v>
      </c>
      <c r="CH885" t="s">
        <v>206</v>
      </c>
      <c r="CI885" t="s">
        <v>206</v>
      </c>
      <c r="CL885" t="s">
        <v>108</v>
      </c>
      <c r="CM885" t="s">
        <v>109</v>
      </c>
      <c r="CN885" t="str">
        <f>"Minjie"</f>
        <v>Minjie</v>
      </c>
      <c r="CO885" t="str">
        <f>"Cao"</f>
        <v>Cao</v>
      </c>
      <c r="CP885" t="str">
        <f>""</f>
        <v/>
      </c>
      <c r="CQ885" t="str">
        <f>"Wang &amp; Associates, P.C."</f>
        <v>Wang &amp; Associates, P.C.</v>
      </c>
      <c r="CR885" t="s">
        <v>8028</v>
      </c>
    </row>
    <row r="886" spans="1:96" x14ac:dyDescent="0.2">
      <c r="A886" t="s">
        <v>10181</v>
      </c>
      <c r="B886" t="s">
        <v>96</v>
      </c>
      <c r="C886" s="1">
        <v>44098</v>
      </c>
      <c r="D886" s="1">
        <v>44105</v>
      </c>
      <c r="F886" t="s">
        <v>97</v>
      </c>
      <c r="G886" t="str">
        <f>"SENIOR INFORMATICS MANAGER"</f>
        <v>SENIOR INFORMATICS MANAGER</v>
      </c>
      <c r="H886" t="s">
        <v>12180</v>
      </c>
      <c r="I886" t="s">
        <v>390</v>
      </c>
      <c r="J886" t="s">
        <v>98</v>
      </c>
      <c r="K886" s="1">
        <v>44264</v>
      </c>
      <c r="L886" s="1">
        <v>45359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 t="s">
        <v>5515</v>
      </c>
      <c r="U886" t="str">
        <f>""</f>
        <v/>
      </c>
      <c r="V886" t="s">
        <v>5516</v>
      </c>
      <c r="W886" t="str">
        <f>""</f>
        <v/>
      </c>
      <c r="X886" t="s">
        <v>5517</v>
      </c>
      <c r="Y886" t="s">
        <v>857</v>
      </c>
      <c r="Z886" s="3">
        <v>2865</v>
      </c>
      <c r="AA886" t="s">
        <v>101</v>
      </c>
      <c r="AC886" s="4" t="str">
        <f>"+14017701621"</f>
        <v>+14017701621</v>
      </c>
      <c r="AE886" t="str">
        <f>"524114"</f>
        <v>524114</v>
      </c>
      <c r="AF886" t="s">
        <v>5518</v>
      </c>
      <c r="AG886" t="s">
        <v>5519</v>
      </c>
      <c r="AH886" t="s">
        <v>5520</v>
      </c>
      <c r="AI886" t="s">
        <v>5521</v>
      </c>
      <c r="AJ886" t="s">
        <v>5522</v>
      </c>
      <c r="AK886" t="str">
        <f>"695 GEORGE WASHINGTON HWY, MAIL CODE HR695"</f>
        <v>695 GEORGE WASHINGTON HWY, MAIL CODE HR695</v>
      </c>
      <c r="AL886" t="s">
        <v>5517</v>
      </c>
      <c r="AM886" t="s">
        <v>857</v>
      </c>
      <c r="AN886" s="3">
        <v>2865</v>
      </c>
      <c r="AO886" t="s">
        <v>101</v>
      </c>
      <c r="AQ886" t="str">
        <f>"+14017701621"</f>
        <v>+14017701621</v>
      </c>
      <c r="AS886" t="s">
        <v>5523</v>
      </c>
      <c r="AT886" t="s">
        <v>107</v>
      </c>
      <c r="AU886" t="str">
        <f>"WEINTRAUB"</f>
        <v>WEINTRAUB</v>
      </c>
      <c r="AV886" t="str">
        <f>"FREDDI"</f>
        <v>FREDDI</v>
      </c>
      <c r="AW886" t="str">
        <f>"M."</f>
        <v>M.</v>
      </c>
      <c r="AX886" t="str">
        <f>"1400 BROADWAY"</f>
        <v>1400 BROADWAY</v>
      </c>
      <c r="AY886" t="str">
        <f>"9TH FL"</f>
        <v>9TH FL</v>
      </c>
      <c r="AZ886" t="str">
        <f>"NEW YORK"</f>
        <v>NEW YORK</v>
      </c>
      <c r="BA886" t="str">
        <f>"NY"</f>
        <v>NY</v>
      </c>
      <c r="BB886" s="3">
        <v>10018</v>
      </c>
      <c r="BC886" t="str">
        <f t="shared" si="64"/>
        <v>UNITED STATES OF AMERICA</v>
      </c>
      <c r="BD886" t="str">
        <f>""</f>
        <v/>
      </c>
      <c r="BE886" t="str">
        <f>"+12126888555"</f>
        <v>+12126888555</v>
      </c>
      <c r="BF886" t="str">
        <f>""</f>
        <v/>
      </c>
      <c r="BG886" t="str">
        <f>"MARK.GARCERAN@FRAGOMEN.COM"</f>
        <v>MARK.GARCERAN@FRAGOMEN.COM</v>
      </c>
      <c r="BH886" t="str">
        <f>"FRAGOMEN, DEL REY, BERNSEN &amp; LOEWY, LLP"</f>
        <v>FRAGOMEN, DEL REY, BERNSEN &amp; LOEWY, LLP</v>
      </c>
      <c r="BI886" t="str">
        <f>"NY"</f>
        <v>NY</v>
      </c>
      <c r="BJ886" t="str">
        <f>"NEW YORK STATE COURT OF APPEALS"</f>
        <v>NEW YORK STATE COURT OF APPEALS</v>
      </c>
      <c r="BK886">
        <v>1</v>
      </c>
      <c r="BL886" t="s">
        <v>102</v>
      </c>
      <c r="BM886" t="str">
        <f>""</f>
        <v/>
      </c>
      <c r="BN886" t="s">
        <v>5524</v>
      </c>
      <c r="BO886" t="s">
        <v>5525</v>
      </c>
      <c r="BP886" t="s">
        <v>211</v>
      </c>
      <c r="BQ886" t="s">
        <v>104</v>
      </c>
      <c r="BR886" t="s">
        <v>100</v>
      </c>
      <c r="BS886" s="5">
        <v>8820</v>
      </c>
      <c r="BT886" s="2">
        <v>130430</v>
      </c>
      <c r="BV886" t="s">
        <v>105</v>
      </c>
      <c r="BW886" s="2">
        <v>124405</v>
      </c>
      <c r="BX886" t="s">
        <v>105</v>
      </c>
      <c r="BZ886" t="s">
        <v>159</v>
      </c>
      <c r="CA886" t="str">
        <f t="shared" si="65"/>
        <v>7/1/2020 - 6/30/2021</v>
      </c>
      <c r="CF886">
        <v>1</v>
      </c>
      <c r="CG886" t="s">
        <v>98</v>
      </c>
      <c r="CH886" t="s">
        <v>206</v>
      </c>
      <c r="CI886" t="s">
        <v>206</v>
      </c>
      <c r="CL886" t="s">
        <v>108</v>
      </c>
      <c r="CM886" t="s">
        <v>109</v>
      </c>
      <c r="CN886" t="str">
        <f>"GARCERAN"</f>
        <v>GARCERAN</v>
      </c>
      <c r="CO886" t="str">
        <f>"MARK"</f>
        <v>MARK</v>
      </c>
      <c r="CP886" t="str">
        <f>""</f>
        <v/>
      </c>
      <c r="CQ886" t="str">
        <f>"FRAGOMEN, DEL REY, BERNSEN &amp; LOEWY, LLP"</f>
        <v>FRAGOMEN, DEL REY, BERNSEN &amp; LOEWY, LLP</v>
      </c>
      <c r="CR886" t="s">
        <v>5526</v>
      </c>
    </row>
    <row r="887" spans="1:96" x14ac:dyDescent="0.2">
      <c r="A887" t="s">
        <v>10189</v>
      </c>
      <c r="B887" t="s">
        <v>96</v>
      </c>
      <c r="C887" s="1">
        <v>44098</v>
      </c>
      <c r="D887" s="1">
        <v>44105</v>
      </c>
      <c r="F887" t="s">
        <v>97</v>
      </c>
      <c r="G887" t="str">
        <f>"Expert Support Engineer"</f>
        <v>Expert Support Engineer</v>
      </c>
      <c r="H887" t="s">
        <v>12181</v>
      </c>
      <c r="I887" t="s">
        <v>110</v>
      </c>
      <c r="J887" t="s">
        <v>98</v>
      </c>
      <c r="K887" s="1">
        <v>44105</v>
      </c>
      <c r="L887" s="1">
        <v>45200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5143</v>
      </c>
      <c r="U887" t="str">
        <f>""</f>
        <v/>
      </c>
      <c r="V887" t="s">
        <v>1276</v>
      </c>
      <c r="W887" t="str">
        <f>""</f>
        <v/>
      </c>
      <c r="X887" t="s">
        <v>1277</v>
      </c>
      <c r="Y887" t="s">
        <v>127</v>
      </c>
      <c r="Z887" s="3">
        <v>19073</v>
      </c>
      <c r="AA887" t="s">
        <v>101</v>
      </c>
      <c r="AC887" s="4" t="str">
        <f>"+16106612354"</f>
        <v>+16106612354</v>
      </c>
      <c r="AE887" t="str">
        <f>"54151"</f>
        <v>54151</v>
      </c>
      <c r="AF887" t="s">
        <v>128</v>
      </c>
      <c r="AG887" t="s">
        <v>129</v>
      </c>
      <c r="AH887" t="s">
        <v>108</v>
      </c>
      <c r="AI887" t="s">
        <v>130</v>
      </c>
      <c r="AJ887" t="s">
        <v>1276</v>
      </c>
      <c r="AK887" t="str">
        <f>"N/A"</f>
        <v>N/A</v>
      </c>
      <c r="AL887" t="s">
        <v>1277</v>
      </c>
      <c r="AM887" t="s">
        <v>127</v>
      </c>
      <c r="AN887" s="3">
        <v>19073</v>
      </c>
      <c r="AO887" t="s">
        <v>101</v>
      </c>
      <c r="AQ887" t="str">
        <f>"+16106612354"</f>
        <v>+16106612354</v>
      </c>
      <c r="AS887" t="s">
        <v>131</v>
      </c>
      <c r="AT887" t="s">
        <v>107</v>
      </c>
      <c r="AU887" t="str">
        <f>"RALSTON"</f>
        <v>RALSTON</v>
      </c>
      <c r="AV887" t="str">
        <f>"C. WILLIAM"</f>
        <v>C. WILLIAM</v>
      </c>
      <c r="AW887" t="str">
        <f>"N/A"</f>
        <v>N/A</v>
      </c>
      <c r="AX887" t="str">
        <f>"90 Matawan Road"</f>
        <v>90 Matawan Road</v>
      </c>
      <c r="AY887" t="str">
        <f>"4th Floor"</f>
        <v>4th Floor</v>
      </c>
      <c r="AZ887" t="str">
        <f>"Matawan"</f>
        <v>Matawan</v>
      </c>
      <c r="BA887" t="str">
        <f>"NJ"</f>
        <v>NJ</v>
      </c>
      <c r="BB887" s="3">
        <v>7747</v>
      </c>
      <c r="BC887" t="str">
        <f t="shared" si="64"/>
        <v>UNITED STATES OF AMERICA</v>
      </c>
      <c r="BD887" t="str">
        <f>""</f>
        <v/>
      </c>
      <c r="BE887" t="str">
        <f>"+17328625000"</f>
        <v>+17328625000</v>
      </c>
      <c r="BF887" t="str">
        <f>""</f>
        <v/>
      </c>
      <c r="BG887" t="str">
        <f>"EANTOKAL@FRAGOMEN.COM"</f>
        <v>EANTOKAL@FRAGOMEN.COM</v>
      </c>
      <c r="BH887" t="str">
        <f>"FRAGOMEN, DEL REY, BERNSEN &amp; LOEWY, LLP"</f>
        <v>FRAGOMEN, DEL REY, BERNSEN &amp; LOEWY, LLP</v>
      </c>
      <c r="BI887" t="str">
        <f>"NJ"</f>
        <v>NJ</v>
      </c>
      <c r="BJ887" t="str">
        <f>"SUPREME COURT"</f>
        <v>SUPREME COURT</v>
      </c>
      <c r="BK887">
        <v>1</v>
      </c>
      <c r="BL887" t="s">
        <v>102</v>
      </c>
      <c r="BM887" t="str">
        <f>""</f>
        <v/>
      </c>
      <c r="BN887" t="s">
        <v>1276</v>
      </c>
      <c r="BP887" t="s">
        <v>1277</v>
      </c>
      <c r="BQ887" t="s">
        <v>1556</v>
      </c>
      <c r="BR887" t="s">
        <v>127</v>
      </c>
      <c r="BS887" s="5">
        <v>19073</v>
      </c>
      <c r="BT887" s="2">
        <v>198649.92</v>
      </c>
      <c r="BV887" t="s">
        <v>105</v>
      </c>
      <c r="BW887" s="2">
        <v>104749</v>
      </c>
      <c r="BX887" t="s">
        <v>105</v>
      </c>
      <c r="BZ887" t="s">
        <v>123</v>
      </c>
      <c r="CA887" t="str">
        <f t="shared" si="65"/>
        <v>7/1/2020 - 6/30/2021</v>
      </c>
      <c r="CF887">
        <v>1</v>
      </c>
      <c r="CG887" t="s">
        <v>98</v>
      </c>
      <c r="CH887" t="s">
        <v>206</v>
      </c>
      <c r="CI887" t="s">
        <v>206</v>
      </c>
      <c r="CL887" t="s">
        <v>108</v>
      </c>
      <c r="CM887" t="s">
        <v>109</v>
      </c>
      <c r="CN887" t="str">
        <f>"RALSTON"</f>
        <v>RALSTON</v>
      </c>
      <c r="CO887" t="str">
        <f>"C. WILLIAM"</f>
        <v>C. WILLIAM</v>
      </c>
      <c r="CP887" t="str">
        <f>""</f>
        <v/>
      </c>
      <c r="CQ887" t="str">
        <f>"FRAGOMEN, DEL REY, BERNSEN &amp; LOEWY, LLP"</f>
        <v>FRAGOMEN, DEL REY, BERNSEN &amp; LOEWY, LLP</v>
      </c>
      <c r="CR887" t="s">
        <v>5449</v>
      </c>
    </row>
    <row r="888" spans="1:96" x14ac:dyDescent="0.2">
      <c r="A888" t="s">
        <v>10191</v>
      </c>
      <c r="B888" t="s">
        <v>96</v>
      </c>
      <c r="C888" s="1">
        <v>44098</v>
      </c>
      <c r="D888" s="1">
        <v>44105</v>
      </c>
      <c r="F888" t="s">
        <v>97</v>
      </c>
      <c r="G888" t="str">
        <f>"SOFTWARE DEVELOPMENT ENGINEER II"</f>
        <v>SOFTWARE DEVELOPMENT ENGINEER II</v>
      </c>
      <c r="H888" t="s">
        <v>12169</v>
      </c>
      <c r="I888" t="s">
        <v>124</v>
      </c>
      <c r="J888" t="s">
        <v>98</v>
      </c>
      <c r="K888" s="1">
        <v>44104</v>
      </c>
      <c r="L888" s="1">
        <v>45198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8394</v>
      </c>
      <c r="U888" t="str">
        <f>""</f>
        <v/>
      </c>
      <c r="V888" t="s">
        <v>809</v>
      </c>
      <c r="W888" t="str">
        <f>"SUITE 500"</f>
        <v>SUITE 500</v>
      </c>
      <c r="X888" t="s">
        <v>433</v>
      </c>
      <c r="Y888" t="s">
        <v>176</v>
      </c>
      <c r="Z888" s="3">
        <v>98121</v>
      </c>
      <c r="AA888" t="s">
        <v>101</v>
      </c>
      <c r="AC888" s="4" t="str">
        <f>"+12062661000"</f>
        <v>+12062661000</v>
      </c>
      <c r="AE888" t="str">
        <f>"454110"</f>
        <v>454110</v>
      </c>
      <c r="AF888" t="s">
        <v>442</v>
      </c>
      <c r="AG888" t="s">
        <v>443</v>
      </c>
      <c r="AH888" t="s">
        <v>108</v>
      </c>
      <c r="AI888" t="s">
        <v>434</v>
      </c>
      <c r="AJ888" t="s">
        <v>809</v>
      </c>
      <c r="AK888" t="str">
        <f>"SUITE 500"</f>
        <v>SUITE 500</v>
      </c>
      <c r="AL888" t="s">
        <v>433</v>
      </c>
      <c r="AM888" t="s">
        <v>176</v>
      </c>
      <c r="AN888" s="3">
        <v>98121</v>
      </c>
      <c r="AO888" t="s">
        <v>101</v>
      </c>
      <c r="AQ888" t="str">
        <f>"+12062661000"</f>
        <v>+12062661000</v>
      </c>
      <c r="AS888" t="s">
        <v>263</v>
      </c>
      <c r="AT888" t="s">
        <v>107</v>
      </c>
      <c r="AU888" t="str">
        <f>"MARANCI"</f>
        <v>MARANCI</v>
      </c>
      <c r="AV888" t="str">
        <f>"DANIEL"</f>
        <v>DANIEL</v>
      </c>
      <c r="AW888" t="str">
        <f>"N/A"</f>
        <v>N/A</v>
      </c>
      <c r="AX888" t="str">
        <f>"100 HIGH STREET"</f>
        <v>100 HIGH STREET</v>
      </c>
      <c r="AY888" t="str">
        <f>"3RD FLOOR C#5317034"</f>
        <v>3RD FLOOR C#5317034</v>
      </c>
      <c r="AZ888" t="str">
        <f>"BOSTON"</f>
        <v>BOSTON</v>
      </c>
      <c r="BA888" t="str">
        <f>"MA"</f>
        <v>MA</v>
      </c>
      <c r="BB888" s="3">
        <v>2110</v>
      </c>
      <c r="BC888" t="str">
        <f t="shared" si="64"/>
        <v>UNITED STATES OF AMERICA</v>
      </c>
      <c r="BD888" t="str">
        <f>""</f>
        <v/>
      </c>
      <c r="BE888" t="str">
        <f>"+16175740400"</f>
        <v>+16175740400</v>
      </c>
      <c r="BF888" t="str">
        <f>""</f>
        <v/>
      </c>
      <c r="BG888" t="str">
        <f>"AMAZONINDIA@FRAGOMEN.COM"</f>
        <v>AMAZONINDIA@FRAGOMEN.COM</v>
      </c>
      <c r="BH888" t="str">
        <f>"FRAGOMEN, DEL REY, BERNSEN &amp; LOEWY, LLP"</f>
        <v>FRAGOMEN, DEL REY, BERNSEN &amp; LOEWY, LLP</v>
      </c>
      <c r="BI888" t="str">
        <f>"MA"</f>
        <v>MA</v>
      </c>
      <c r="BJ888" t="str">
        <f>"SUPREME JUDICIAL COURT"</f>
        <v>SUPREME JUDICIAL COURT</v>
      </c>
      <c r="BK888">
        <v>1</v>
      </c>
      <c r="BL888" t="s">
        <v>102</v>
      </c>
      <c r="BM888" t="str">
        <f>""</f>
        <v/>
      </c>
      <c r="BN888" t="s">
        <v>4920</v>
      </c>
      <c r="BP888" t="s">
        <v>433</v>
      </c>
      <c r="BQ888" t="s">
        <v>183</v>
      </c>
      <c r="BR888" t="s">
        <v>176</v>
      </c>
      <c r="BS888" s="5">
        <v>98101</v>
      </c>
      <c r="BT888" s="2">
        <v>146400</v>
      </c>
      <c r="BV888" t="s">
        <v>105</v>
      </c>
      <c r="BW888" s="2">
        <v>113110</v>
      </c>
      <c r="BX888" t="s">
        <v>105</v>
      </c>
      <c r="BZ888" t="s">
        <v>167</v>
      </c>
      <c r="CA888" t="str">
        <f t="shared" si="65"/>
        <v>7/1/2020 - 6/30/2021</v>
      </c>
      <c r="CF888">
        <v>2</v>
      </c>
      <c r="CG888" t="s">
        <v>98</v>
      </c>
      <c r="CH888" t="s">
        <v>206</v>
      </c>
      <c r="CI888" t="s">
        <v>206</v>
      </c>
      <c r="CL888" t="s">
        <v>108</v>
      </c>
      <c r="CM888" t="s">
        <v>109</v>
      </c>
      <c r="CN888" t="str">
        <f>"SUNNY"</f>
        <v>SUNNY</v>
      </c>
      <c r="CO888" t="str">
        <f>"JASMIN"</f>
        <v>JASMIN</v>
      </c>
      <c r="CP888" t="str">
        <f>"N/A"</f>
        <v>N/A</v>
      </c>
      <c r="CQ888" t="str">
        <f>"FRAGOMEN, DEL REY, BERNSEN &amp; LOEWY, LLP"</f>
        <v>FRAGOMEN, DEL REY, BERNSEN &amp; LOEWY, LLP</v>
      </c>
      <c r="CR888" t="s">
        <v>650</v>
      </c>
    </row>
    <row r="889" spans="1:96" x14ac:dyDescent="0.2">
      <c r="A889" t="s">
        <v>10192</v>
      </c>
      <c r="B889" t="s">
        <v>96</v>
      </c>
      <c r="C889" s="1">
        <v>44098</v>
      </c>
      <c r="D889" s="1">
        <v>44105</v>
      </c>
      <c r="F889" t="s">
        <v>97</v>
      </c>
      <c r="G889" t="str">
        <f>"Psychiatrist"</f>
        <v>Psychiatrist</v>
      </c>
      <c r="H889" t="s">
        <v>12256</v>
      </c>
      <c r="I889" t="s">
        <v>4931</v>
      </c>
      <c r="J889" t="s">
        <v>206</v>
      </c>
      <c r="K889" s="1">
        <v>44109</v>
      </c>
      <c r="L889" s="1">
        <v>45107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 t="s">
        <v>10193</v>
      </c>
      <c r="U889" t="str">
        <f>"Palo Alto Mind Body"</f>
        <v>Palo Alto Mind Body</v>
      </c>
      <c r="V889" t="s">
        <v>10194</v>
      </c>
      <c r="W889" t="str">
        <f>"Suite 240"</f>
        <v>Suite 240</v>
      </c>
      <c r="X889" t="s">
        <v>568</v>
      </c>
      <c r="Y889" t="s">
        <v>141</v>
      </c>
      <c r="Z889" s="3">
        <v>94301</v>
      </c>
      <c r="AA889" t="s">
        <v>101</v>
      </c>
      <c r="AC889" s="4" t="str">
        <f>"+16506812900"</f>
        <v>+16506812900</v>
      </c>
      <c r="AE889" t="str">
        <f>"621112"</f>
        <v>621112</v>
      </c>
      <c r="AF889" t="s">
        <v>10195</v>
      </c>
      <c r="AG889" t="s">
        <v>10196</v>
      </c>
      <c r="AI889" t="s">
        <v>7805</v>
      </c>
      <c r="AJ889" t="s">
        <v>10194</v>
      </c>
      <c r="AK889" t="str">
        <f>"Suite 240"</f>
        <v>Suite 240</v>
      </c>
      <c r="AL889" t="s">
        <v>568</v>
      </c>
      <c r="AM889" t="s">
        <v>141</v>
      </c>
      <c r="AN889" s="3">
        <v>94301</v>
      </c>
      <c r="AO889" t="s">
        <v>101</v>
      </c>
      <c r="AQ889" t="str">
        <f>"+16506812900"</f>
        <v>+16506812900</v>
      </c>
      <c r="AS889" t="s">
        <v>10197</v>
      </c>
      <c r="AT889" t="s">
        <v>107</v>
      </c>
      <c r="AU889" t="str">
        <f>"Leibl"</f>
        <v>Leibl</v>
      </c>
      <c r="AV889" t="str">
        <f>"Geoffrey"</f>
        <v>Geoffrey</v>
      </c>
      <c r="AW889" t="str">
        <f>"D."</f>
        <v>D.</v>
      </c>
      <c r="AX889" t="str">
        <f>"12250 El Camino Real"</f>
        <v>12250 El Camino Real</v>
      </c>
      <c r="AY889" t="str">
        <f>"Suite 350"</f>
        <v>Suite 350</v>
      </c>
      <c r="AZ889" t="str">
        <f>"San Diego"</f>
        <v>San Diego</v>
      </c>
      <c r="BA889" t="str">
        <f>"CA"</f>
        <v>CA</v>
      </c>
      <c r="BB889" s="3">
        <v>92130</v>
      </c>
      <c r="BC889" t="str">
        <f t="shared" si="64"/>
        <v>UNITED STATES OF AMERICA</v>
      </c>
      <c r="BD889" t="str">
        <f>""</f>
        <v/>
      </c>
      <c r="BE889" t="str">
        <f>"+18584815211"</f>
        <v>+18584815211</v>
      </c>
      <c r="BF889" t="str">
        <f>""</f>
        <v/>
      </c>
      <c r="BG889" t="str">
        <f>"lorraine@usimmigrationlaw.net"</f>
        <v>lorraine@usimmigrationlaw.net</v>
      </c>
      <c r="BH889" t="str">
        <f>"Leibl and Kirkwood PC"</f>
        <v>Leibl and Kirkwood PC</v>
      </c>
      <c r="BI889" t="str">
        <f>"CA"</f>
        <v>CA</v>
      </c>
      <c r="BJ889" t="str">
        <f>"Supreme Court"</f>
        <v>Supreme Court</v>
      </c>
      <c r="BK889">
        <v>1</v>
      </c>
      <c r="BL889" t="s">
        <v>102</v>
      </c>
      <c r="BM889" t="str">
        <f>""</f>
        <v/>
      </c>
      <c r="BN889" t="s">
        <v>10194</v>
      </c>
      <c r="BO889" t="s">
        <v>4179</v>
      </c>
      <c r="BP889" t="s">
        <v>568</v>
      </c>
      <c r="BQ889" t="s">
        <v>230</v>
      </c>
      <c r="BR889" t="s">
        <v>141</v>
      </c>
      <c r="BS889" s="5">
        <v>94301</v>
      </c>
      <c r="BT889" s="2">
        <v>250</v>
      </c>
      <c r="BV889" t="s">
        <v>210</v>
      </c>
      <c r="BW889" s="2">
        <v>100</v>
      </c>
      <c r="BX889" t="s">
        <v>210</v>
      </c>
      <c r="BZ889" t="s">
        <v>108</v>
      </c>
      <c r="CA889" t="str">
        <f t="shared" si="65"/>
        <v>7/1/2020 - 6/30/2021</v>
      </c>
      <c r="CF889">
        <v>1</v>
      </c>
      <c r="CG889" t="s">
        <v>98</v>
      </c>
      <c r="CH889" t="s">
        <v>206</v>
      </c>
      <c r="CI889" t="s">
        <v>206</v>
      </c>
      <c r="CL889" t="s">
        <v>108</v>
      </c>
      <c r="CM889" t="s">
        <v>109</v>
      </c>
      <c r="CN889" t="str">
        <f>"Chiwai"</f>
        <v>Chiwai</v>
      </c>
      <c r="CO889" t="str">
        <f>"Lorraine"</f>
        <v>Lorraine</v>
      </c>
      <c r="CP889" t="str">
        <f>""</f>
        <v/>
      </c>
      <c r="CQ889" t="str">
        <f>"Leibl and Kirkwood PC"</f>
        <v>Leibl and Kirkwood PC</v>
      </c>
      <c r="CR889" t="s">
        <v>6514</v>
      </c>
    </row>
    <row r="890" spans="1:96" x14ac:dyDescent="0.2">
      <c r="A890" t="s">
        <v>10198</v>
      </c>
      <c r="B890" t="s">
        <v>96</v>
      </c>
      <c r="C890" s="1">
        <v>44098</v>
      </c>
      <c r="D890" s="1">
        <v>44105</v>
      </c>
      <c r="F890" t="s">
        <v>97</v>
      </c>
      <c r="G890" t="str">
        <f>"Senior Manager"</f>
        <v>Senior Manager</v>
      </c>
      <c r="H890" t="s">
        <v>12169</v>
      </c>
      <c r="I890" t="s">
        <v>124</v>
      </c>
      <c r="J890" t="s">
        <v>98</v>
      </c>
      <c r="K890" s="1">
        <v>44130</v>
      </c>
      <c r="L890" s="1">
        <v>45224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 t="s">
        <v>1565</v>
      </c>
      <c r="U890" t="str">
        <f>""</f>
        <v/>
      </c>
      <c r="V890" t="s">
        <v>1566</v>
      </c>
      <c r="W890" t="str">
        <f>"1st Floor West, Suite 129"</f>
        <v>1st Floor West, Suite 129</v>
      </c>
      <c r="X890" t="s">
        <v>1567</v>
      </c>
      <c r="Y890" t="s">
        <v>100</v>
      </c>
      <c r="Z890" s="3">
        <v>7078</v>
      </c>
      <c r="AA890" t="s">
        <v>101</v>
      </c>
      <c r="AC890" s="4" t="str">
        <f>"+18004345808"</f>
        <v>+18004345808</v>
      </c>
      <c r="AE890" t="str">
        <f>"541511"</f>
        <v>541511</v>
      </c>
      <c r="AF890" t="s">
        <v>1568</v>
      </c>
      <c r="AG890" t="s">
        <v>1569</v>
      </c>
      <c r="AI890" t="s">
        <v>1570</v>
      </c>
      <c r="AJ890" t="s">
        <v>1566</v>
      </c>
      <c r="AK890" t="str">
        <f>"1st Floor West, Suite 129"</f>
        <v>1st Floor West, Suite 129</v>
      </c>
      <c r="AL890" t="s">
        <v>1567</v>
      </c>
      <c r="AM890" t="s">
        <v>100</v>
      </c>
      <c r="AN890" s="3">
        <v>7078</v>
      </c>
      <c r="AO890" t="s">
        <v>101</v>
      </c>
      <c r="AQ890" t="str">
        <f>"+19739215225"</f>
        <v>+19739215225</v>
      </c>
      <c r="AS890" t="s">
        <v>1571</v>
      </c>
      <c r="AT890" t="s">
        <v>107</v>
      </c>
      <c r="AU890" t="str">
        <f>"Schrager"</f>
        <v>Schrager</v>
      </c>
      <c r="AV890" t="str">
        <f>"Jenny"</f>
        <v>Jenny</v>
      </c>
      <c r="AW890" t="str">
        <f>"Spring"</f>
        <v>Spring</v>
      </c>
      <c r="AX890" t="str">
        <f>"1400 Broadway"</f>
        <v>1400 Broadway</v>
      </c>
      <c r="AY890" t="str">
        <f>"9th Floor"</f>
        <v>9th Floor</v>
      </c>
      <c r="AZ890" t="str">
        <f>"New York"</f>
        <v>New York</v>
      </c>
      <c r="BA890" t="str">
        <f>"NY"</f>
        <v>NY</v>
      </c>
      <c r="BB890" s="3">
        <v>10018</v>
      </c>
      <c r="BC890" t="str">
        <f t="shared" si="64"/>
        <v>UNITED STATES OF AMERICA</v>
      </c>
      <c r="BD890" t="str">
        <f>""</f>
        <v/>
      </c>
      <c r="BE890" t="str">
        <f>"+12126888555"</f>
        <v>+12126888555</v>
      </c>
      <c r="BF890" t="str">
        <f>""</f>
        <v/>
      </c>
      <c r="BG890" t="str">
        <f>"lcagenpact@fragomen.com"</f>
        <v>lcagenpact@fragomen.com</v>
      </c>
      <c r="BH890" t="str">
        <f>"Fragomen, Del Rey, Bernsen &amp; Loewy LLP"</f>
        <v>Fragomen, Del Rey, Bernsen &amp; Loewy LLP</v>
      </c>
      <c r="BI890" t="str">
        <f>"NY"</f>
        <v>NY</v>
      </c>
      <c r="BJ890" t="str">
        <f>"New York Court of Appeals"</f>
        <v>New York Court of Appeals</v>
      </c>
      <c r="BK890">
        <v>1</v>
      </c>
      <c r="BL890" t="s">
        <v>102</v>
      </c>
      <c r="BM890" t="str">
        <f>""</f>
        <v/>
      </c>
      <c r="BN890" t="s">
        <v>10199</v>
      </c>
      <c r="BO890" t="s">
        <v>7852</v>
      </c>
      <c r="BP890" t="s">
        <v>6586</v>
      </c>
      <c r="BQ890" t="s">
        <v>481</v>
      </c>
      <c r="BR890" t="s">
        <v>215</v>
      </c>
      <c r="BS890" s="5">
        <v>30338</v>
      </c>
      <c r="BT890" s="2">
        <v>155000</v>
      </c>
      <c r="BV890" t="s">
        <v>105</v>
      </c>
      <c r="BW890" s="2">
        <v>85842</v>
      </c>
      <c r="BX890" t="s">
        <v>105</v>
      </c>
      <c r="BZ890" t="s">
        <v>167</v>
      </c>
      <c r="CA890" t="str">
        <f t="shared" si="65"/>
        <v>7/1/2020 - 6/30/2021</v>
      </c>
      <c r="CF890">
        <v>2</v>
      </c>
      <c r="CG890" t="s">
        <v>98</v>
      </c>
      <c r="CH890" t="s">
        <v>206</v>
      </c>
      <c r="CI890" t="s">
        <v>206</v>
      </c>
      <c r="CL890" t="s">
        <v>108</v>
      </c>
      <c r="CM890" t="s">
        <v>109</v>
      </c>
      <c r="CN890" t="str">
        <f>""</f>
        <v/>
      </c>
      <c r="CO890" t="str">
        <f>""</f>
        <v/>
      </c>
      <c r="CP890" t="str">
        <f>""</f>
        <v/>
      </c>
      <c r="CQ890" t="str">
        <f>""</f>
        <v/>
      </c>
    </row>
    <row r="891" spans="1:96" x14ac:dyDescent="0.2">
      <c r="A891" t="s">
        <v>10204</v>
      </c>
      <c r="B891" t="s">
        <v>96</v>
      </c>
      <c r="C891" s="1">
        <v>44098</v>
      </c>
      <c r="D891" s="1">
        <v>44105</v>
      </c>
      <c r="F891" t="s">
        <v>97</v>
      </c>
      <c r="G891" t="str">
        <f>"TECHNICAL PROJECT MANAGER"</f>
        <v>TECHNICAL PROJECT MANAGER</v>
      </c>
      <c r="H891" t="s">
        <v>12224</v>
      </c>
      <c r="I891" t="s">
        <v>198</v>
      </c>
      <c r="J891" t="s">
        <v>98</v>
      </c>
      <c r="K891" s="1">
        <v>44116</v>
      </c>
      <c r="L891" s="1">
        <v>45210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 t="s">
        <v>2435</v>
      </c>
      <c r="U891" t="str">
        <f>""</f>
        <v/>
      </c>
      <c r="V891" t="s">
        <v>2436</v>
      </c>
      <c r="W891" t="str">
        <f>""</f>
        <v/>
      </c>
      <c r="X891" t="s">
        <v>1288</v>
      </c>
      <c r="Y891" t="s">
        <v>141</v>
      </c>
      <c r="Z891" s="3">
        <v>94304</v>
      </c>
      <c r="AA891" t="s">
        <v>101</v>
      </c>
      <c r="AC891" s="4" t="str">
        <f>"+16506815000"</f>
        <v>+16506815000</v>
      </c>
      <c r="AE891" t="str">
        <f>"336111"</f>
        <v>336111</v>
      </c>
      <c r="AF891" t="s">
        <v>4291</v>
      </c>
      <c r="AG891" t="s">
        <v>2438</v>
      </c>
      <c r="AH891" t="s">
        <v>2437</v>
      </c>
      <c r="AI891" t="s">
        <v>4418</v>
      </c>
      <c r="AJ891" t="s">
        <v>2436</v>
      </c>
      <c r="AK891" t="str">
        <f>""</f>
        <v/>
      </c>
      <c r="AL891" t="s">
        <v>1288</v>
      </c>
      <c r="AM891" t="s">
        <v>141</v>
      </c>
      <c r="AN891" s="3">
        <v>94304</v>
      </c>
      <c r="AO891" t="s">
        <v>101</v>
      </c>
      <c r="AQ891" t="str">
        <f>"+16506815000"</f>
        <v>+16506815000</v>
      </c>
      <c r="AS891" t="s">
        <v>4419</v>
      </c>
      <c r="AT891" t="s">
        <v>107</v>
      </c>
      <c r="AU891" t="str">
        <f>"MEHLMAN"</f>
        <v>MEHLMAN</v>
      </c>
      <c r="AV891" t="str">
        <f>"SHARON"</f>
        <v>SHARON</v>
      </c>
      <c r="AW891" t="str">
        <f>"REGINA"</f>
        <v>REGINA</v>
      </c>
      <c r="AX891" t="str">
        <f>"P.O. BOX 928800"</f>
        <v>P.O. BOX 928800</v>
      </c>
      <c r="AY891" t="str">
        <f>""</f>
        <v/>
      </c>
      <c r="AZ891" t="str">
        <f>"SAN DIEGO"</f>
        <v>SAN DIEGO</v>
      </c>
      <c r="BA891" t="str">
        <f>"CA"</f>
        <v>CA</v>
      </c>
      <c r="BB891" s="3">
        <v>92192</v>
      </c>
      <c r="BC891" t="str">
        <f t="shared" si="64"/>
        <v>UNITED STATES OF AMERICA</v>
      </c>
      <c r="BD891" t="str">
        <f>""</f>
        <v/>
      </c>
      <c r="BE891" t="str">
        <f>"+18584126300"</f>
        <v>+18584126300</v>
      </c>
      <c r="BF891" t="str">
        <f>""</f>
        <v/>
      </c>
      <c r="BG891" t="str">
        <f>"SHARON.MEHLMAN@TSMIMMIGRATION.COM"</f>
        <v>SHARON.MEHLMAN@TSMIMMIGRATION.COM</v>
      </c>
      <c r="BH891" t="str">
        <f>"TAFAPOLSKY SMITH MEHLMAN LLP"</f>
        <v>TAFAPOLSKY SMITH MEHLMAN LLP</v>
      </c>
      <c r="BI891" t="str">
        <f>"CA"</f>
        <v>CA</v>
      </c>
      <c r="BJ891" t="str">
        <f>"CALIFORNIA SUPREME COURT"</f>
        <v>CALIFORNIA SUPREME COURT</v>
      </c>
      <c r="BK891">
        <v>1</v>
      </c>
      <c r="BL891" t="s">
        <v>102</v>
      </c>
      <c r="BM891" t="str">
        <f>""</f>
        <v/>
      </c>
      <c r="BN891" t="s">
        <v>7429</v>
      </c>
      <c r="BP891" t="s">
        <v>7430</v>
      </c>
      <c r="BQ891" t="s">
        <v>7431</v>
      </c>
      <c r="BR891" t="s">
        <v>1644</v>
      </c>
      <c r="BS891" s="5">
        <v>89437</v>
      </c>
      <c r="BT891" s="2">
        <v>95000</v>
      </c>
      <c r="BV891" t="s">
        <v>105</v>
      </c>
      <c r="BW891" s="2">
        <v>82950</v>
      </c>
      <c r="BX891" t="s">
        <v>105</v>
      </c>
      <c r="BZ891" t="s">
        <v>167</v>
      </c>
      <c r="CA891" t="str">
        <f t="shared" si="65"/>
        <v>7/1/2020 - 6/30/2021</v>
      </c>
      <c r="CF891">
        <v>1</v>
      </c>
      <c r="CG891" t="s">
        <v>98</v>
      </c>
      <c r="CH891" t="s">
        <v>206</v>
      </c>
      <c r="CI891" t="s">
        <v>206</v>
      </c>
      <c r="CL891" t="s">
        <v>108</v>
      </c>
      <c r="CM891" t="s">
        <v>109</v>
      </c>
      <c r="CN891" t="str">
        <f>"FERNANDEZ"</f>
        <v>FERNANDEZ</v>
      </c>
      <c r="CO891" t="str">
        <f>"MARIGOLD"</f>
        <v>MARIGOLD</v>
      </c>
      <c r="CP891" t="str">
        <f>"C."</f>
        <v>C.</v>
      </c>
      <c r="CQ891" t="str">
        <f>"TAFAPOLSKY SMITH MEHLMAN LLP"</f>
        <v>TAFAPOLSKY SMITH MEHLMAN LLP</v>
      </c>
      <c r="CR891" t="s">
        <v>4948</v>
      </c>
    </row>
    <row r="892" spans="1:96" x14ac:dyDescent="0.2">
      <c r="A892" t="s">
        <v>10222</v>
      </c>
      <c r="B892" t="s">
        <v>96</v>
      </c>
      <c r="C892" s="1">
        <v>44098</v>
      </c>
      <c r="D892" s="1">
        <v>44105</v>
      </c>
      <c r="F892" t="s">
        <v>97</v>
      </c>
      <c r="G892" t="str">
        <f>"Computer Systems Analyst "</f>
        <v xml:space="preserve">Computer Systems Analyst </v>
      </c>
      <c r="H892" t="s">
        <v>12181</v>
      </c>
      <c r="I892" t="s">
        <v>110</v>
      </c>
      <c r="J892" t="s">
        <v>98</v>
      </c>
      <c r="K892" s="1">
        <v>44105</v>
      </c>
      <c r="L892" s="1">
        <v>45199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10223</v>
      </c>
      <c r="U892" t="str">
        <f>"Tetrus Corp."</f>
        <v>Tetrus Corp.</v>
      </c>
      <c r="V892" t="s">
        <v>10224</v>
      </c>
      <c r="W892" t="str">
        <f>"Suite 207 N"</f>
        <v>Suite 207 N</v>
      </c>
      <c r="X892" t="s">
        <v>2646</v>
      </c>
      <c r="Y892" t="s">
        <v>100</v>
      </c>
      <c r="Z892" s="3">
        <v>8816</v>
      </c>
      <c r="AA892" t="s">
        <v>101</v>
      </c>
      <c r="AC892" s="4" t="str">
        <f>"+19083642389"</f>
        <v>+19083642389</v>
      </c>
      <c r="AE892" t="str">
        <f>"541511"</f>
        <v>541511</v>
      </c>
      <c r="AF892" t="s">
        <v>4516</v>
      </c>
      <c r="AG892" t="s">
        <v>10225</v>
      </c>
      <c r="AH892" t="s">
        <v>108</v>
      </c>
      <c r="AI892" t="s">
        <v>2916</v>
      </c>
      <c r="AJ892" t="s">
        <v>10224</v>
      </c>
      <c r="AK892" t="str">
        <f>"Suite 207 N"</f>
        <v>Suite 207 N</v>
      </c>
      <c r="AL892" t="s">
        <v>2646</v>
      </c>
      <c r="AM892" t="s">
        <v>100</v>
      </c>
      <c r="AN892" s="3">
        <v>8816</v>
      </c>
      <c r="AO892" t="s">
        <v>101</v>
      </c>
      <c r="AQ892" t="str">
        <f>"+19083642389"</f>
        <v>+19083642389</v>
      </c>
      <c r="AS892" t="s">
        <v>10226</v>
      </c>
      <c r="AT892" t="s">
        <v>107</v>
      </c>
      <c r="AU892" t="str">
        <f>"Wiegel"</f>
        <v>Wiegel</v>
      </c>
      <c r="AV892" t="str">
        <f>"Sylvia"</f>
        <v>Sylvia</v>
      </c>
      <c r="AW892" t="str">
        <f>"Ristic"</f>
        <v>Ristic</v>
      </c>
      <c r="AX892" t="str">
        <f>"5250 Corporate Dr."</f>
        <v>5250 Corporate Dr.</v>
      </c>
      <c r="AY892" t="str">
        <f>"Ste. 300"</f>
        <v>Ste. 300</v>
      </c>
      <c r="AZ892" t="str">
        <f>"Troy"</f>
        <v>Troy</v>
      </c>
      <c r="BA892" t="str">
        <f>"MI"</f>
        <v>MI</v>
      </c>
      <c r="BB892" s="3">
        <v>48098</v>
      </c>
      <c r="BC892" t="str">
        <f t="shared" si="64"/>
        <v>UNITED STATES OF AMERICA</v>
      </c>
      <c r="BD892" t="str">
        <f>""</f>
        <v/>
      </c>
      <c r="BE892" t="str">
        <f>"+12486434900"</f>
        <v>+12486434900</v>
      </c>
      <c r="BF892" t="str">
        <f>""</f>
        <v/>
      </c>
      <c r="BG892" t="str">
        <f>"SylviaW@employmentimmigration.com"</f>
        <v>SylviaW@employmentimmigration.com</v>
      </c>
      <c r="BH892" t="str">
        <f>"Fakhoury Global Immigration, USA PC"</f>
        <v>Fakhoury Global Immigration, USA PC</v>
      </c>
      <c r="BI892" t="str">
        <f>"MI"</f>
        <v>MI</v>
      </c>
      <c r="BJ892" t="str">
        <f>"Supreme Court"</f>
        <v>Supreme Court</v>
      </c>
      <c r="BK892">
        <v>1</v>
      </c>
      <c r="BL892" t="s">
        <v>102</v>
      </c>
      <c r="BM892" t="str">
        <f>""</f>
        <v/>
      </c>
      <c r="BN892" t="s">
        <v>10227</v>
      </c>
      <c r="BO892" t="s">
        <v>10228</v>
      </c>
      <c r="BP892" t="s">
        <v>2646</v>
      </c>
      <c r="BQ892" t="s">
        <v>104</v>
      </c>
      <c r="BR892" t="s">
        <v>100</v>
      </c>
      <c r="BS892" s="5">
        <v>8816</v>
      </c>
      <c r="BT892" s="2">
        <v>92500</v>
      </c>
      <c r="BV892" t="s">
        <v>105</v>
      </c>
      <c r="BW892" s="2">
        <v>92269</v>
      </c>
      <c r="BX892" t="s">
        <v>105</v>
      </c>
      <c r="BZ892" t="s">
        <v>167</v>
      </c>
      <c r="CA892" t="str">
        <f t="shared" si="65"/>
        <v>7/1/2020 - 6/30/2021</v>
      </c>
      <c r="CF892">
        <v>1</v>
      </c>
      <c r="CG892" t="s">
        <v>98</v>
      </c>
      <c r="CH892" t="s">
        <v>206</v>
      </c>
      <c r="CI892" t="s">
        <v>206</v>
      </c>
      <c r="CL892" t="s">
        <v>108</v>
      </c>
      <c r="CM892" t="s">
        <v>109</v>
      </c>
      <c r="CN892" t="str">
        <f>"Wiegel"</f>
        <v>Wiegel</v>
      </c>
      <c r="CO892" t="str">
        <f>"Sylvia"</f>
        <v>Sylvia</v>
      </c>
      <c r="CP892" t="str">
        <f>"R"</f>
        <v>R</v>
      </c>
      <c r="CQ892" t="str">
        <f>"Fakhoury Global Immigration, USA PC"</f>
        <v>Fakhoury Global Immigration, USA PC</v>
      </c>
      <c r="CR892" t="s">
        <v>8012</v>
      </c>
    </row>
    <row r="893" spans="1:96" x14ac:dyDescent="0.2">
      <c r="A893" t="s">
        <v>10263</v>
      </c>
      <c r="B893" t="s">
        <v>96</v>
      </c>
      <c r="C893" s="1">
        <v>44098</v>
      </c>
      <c r="D893" s="1">
        <v>44105</v>
      </c>
      <c r="F893" t="s">
        <v>97</v>
      </c>
      <c r="G893" t="str">
        <f>"Senior Statistical Programmer"</f>
        <v>Senior Statistical Programmer</v>
      </c>
      <c r="H893" t="s">
        <v>12180</v>
      </c>
      <c r="I893" t="s">
        <v>390</v>
      </c>
      <c r="J893" t="s">
        <v>98</v>
      </c>
      <c r="K893" s="1">
        <v>44281</v>
      </c>
      <c r="L893" s="1">
        <v>45376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 t="s">
        <v>7232</v>
      </c>
      <c r="U893" t="str">
        <f>""</f>
        <v/>
      </c>
      <c r="V893" t="s">
        <v>7233</v>
      </c>
      <c r="W893" t="str">
        <f>""</f>
        <v/>
      </c>
      <c r="X893" t="s">
        <v>3588</v>
      </c>
      <c r="Y893" t="s">
        <v>171</v>
      </c>
      <c r="Z893" s="3">
        <v>2466</v>
      </c>
      <c r="AA893" t="s">
        <v>101</v>
      </c>
      <c r="AC893" s="4" t="str">
        <f>"+19874356467"</f>
        <v>+19874356467</v>
      </c>
      <c r="AE893" t="str">
        <f>"541714"</f>
        <v>541714</v>
      </c>
      <c r="AF893" t="s">
        <v>4225</v>
      </c>
      <c r="AG893" t="s">
        <v>881</v>
      </c>
      <c r="AI893" t="s">
        <v>7234</v>
      </c>
      <c r="AJ893" t="s">
        <v>8270</v>
      </c>
      <c r="AK893" t="str">
        <f>""</f>
        <v/>
      </c>
      <c r="AL893" t="s">
        <v>7235</v>
      </c>
      <c r="AM893" t="s">
        <v>171</v>
      </c>
      <c r="AN893" s="3">
        <v>1821</v>
      </c>
      <c r="AO893" t="s">
        <v>101</v>
      </c>
      <c r="AQ893" t="str">
        <f>"+19784958070"</f>
        <v>+19784958070</v>
      </c>
      <c r="AS893" t="s">
        <v>7236</v>
      </c>
      <c r="AT893" t="s">
        <v>107</v>
      </c>
      <c r="AU893" t="str">
        <f>" LEDBETTER"</f>
        <v xml:space="preserve"> LEDBETTER</v>
      </c>
      <c r="AV893" t="str">
        <f>"ERIC"</f>
        <v>ERIC</v>
      </c>
      <c r="AW893" t="str">
        <f>""</f>
        <v/>
      </c>
      <c r="AX893" t="str">
        <f>"300 N LASALLE STREET"</f>
        <v>300 N LASALLE STREET</v>
      </c>
      <c r="AY893" t="str">
        <f>"STE. 4000"</f>
        <v>STE. 4000</v>
      </c>
      <c r="AZ893" t="str">
        <f>"CHICAGO"</f>
        <v>CHICAGO</v>
      </c>
      <c r="BA893" t="str">
        <f>"IL"</f>
        <v>IL</v>
      </c>
      <c r="BB893" s="3">
        <v>60654</v>
      </c>
      <c r="BC893" t="str">
        <f t="shared" si="64"/>
        <v>UNITED STATES OF AMERICA</v>
      </c>
      <c r="BD893" t="str">
        <f>""</f>
        <v/>
      </c>
      <c r="BE893" t="str">
        <f>"+13127155018"</f>
        <v>+13127155018</v>
      </c>
      <c r="BF893" t="str">
        <f>""</f>
        <v/>
      </c>
      <c r="BG893" t="str">
        <f>"Candace.Savino@QUARLES.COM"</f>
        <v>Candace.Savino@QUARLES.COM</v>
      </c>
      <c r="BH893" t="str">
        <f>" QUARLES &amp; BRADY LLP"</f>
        <v xml:space="preserve"> QUARLES &amp; BRADY LLP</v>
      </c>
      <c r="BI893" t="str">
        <f>"IL"</f>
        <v>IL</v>
      </c>
      <c r="BJ893" t="str">
        <f>"SUPREME COURT OF IL"</f>
        <v>SUPREME COURT OF IL</v>
      </c>
      <c r="BK893">
        <v>1</v>
      </c>
      <c r="BL893" t="s">
        <v>102</v>
      </c>
      <c r="BM893" t="str">
        <f>""</f>
        <v/>
      </c>
      <c r="BN893" t="s">
        <v>10264</v>
      </c>
      <c r="BO893" t="s">
        <v>787</v>
      </c>
      <c r="BP893" t="s">
        <v>1113</v>
      </c>
      <c r="BQ893" t="s">
        <v>302</v>
      </c>
      <c r="BR893" t="s">
        <v>122</v>
      </c>
      <c r="BS893" s="5">
        <v>27713</v>
      </c>
      <c r="BT893" s="2">
        <v>110990</v>
      </c>
      <c r="BV893" t="s">
        <v>105</v>
      </c>
      <c r="BW893" s="2">
        <v>87838</v>
      </c>
      <c r="BX893" t="s">
        <v>105</v>
      </c>
      <c r="BZ893" t="s">
        <v>167</v>
      </c>
      <c r="CA893" t="str">
        <f t="shared" si="65"/>
        <v>7/1/2020 - 6/30/2021</v>
      </c>
      <c r="CF893">
        <v>2</v>
      </c>
      <c r="CG893" t="s">
        <v>98</v>
      </c>
      <c r="CH893" t="s">
        <v>206</v>
      </c>
      <c r="CI893" t="s">
        <v>206</v>
      </c>
      <c r="CL893" t="s">
        <v>108</v>
      </c>
      <c r="CM893" t="s">
        <v>109</v>
      </c>
      <c r="CN893" t="str">
        <f>"Savino"</f>
        <v>Savino</v>
      </c>
      <c r="CO893" t="str">
        <f>"Candace"</f>
        <v>Candace</v>
      </c>
      <c r="CP893" t="str">
        <f>""</f>
        <v/>
      </c>
      <c r="CQ893" t="str">
        <f>"Quarles &amp; Brady LLP"</f>
        <v>Quarles &amp; Brady LLP</v>
      </c>
      <c r="CR893" t="s">
        <v>7237</v>
      </c>
    </row>
    <row r="894" spans="1:96" x14ac:dyDescent="0.2">
      <c r="A894" t="s">
        <v>10265</v>
      </c>
      <c r="B894" t="s">
        <v>96</v>
      </c>
      <c r="C894" s="1">
        <v>44098</v>
      </c>
      <c r="D894" s="1">
        <v>44105</v>
      </c>
      <c r="F894" t="s">
        <v>97</v>
      </c>
      <c r="G894" t="str">
        <f>"Associate Dentist"</f>
        <v>Associate Dentist</v>
      </c>
      <c r="H894" t="s">
        <v>12175</v>
      </c>
      <c r="I894" t="s">
        <v>420</v>
      </c>
      <c r="J894" t="s">
        <v>98</v>
      </c>
      <c r="K894" s="1">
        <v>44102</v>
      </c>
      <c r="L894" s="1">
        <v>45196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 t="s">
        <v>10266</v>
      </c>
      <c r="U894" t="str">
        <f>""</f>
        <v/>
      </c>
      <c r="V894" t="s">
        <v>10267</v>
      </c>
      <c r="W894" t="str">
        <f>"Suite 231"</f>
        <v>Suite 231</v>
      </c>
      <c r="X894" t="s">
        <v>398</v>
      </c>
      <c r="Y894" t="s">
        <v>141</v>
      </c>
      <c r="Z894" s="3">
        <v>94539</v>
      </c>
      <c r="AA894" t="s">
        <v>101</v>
      </c>
      <c r="AC894" s="4" t="str">
        <f>"+14085440566"</f>
        <v>+14085440566</v>
      </c>
      <c r="AE894" t="str">
        <f>"621210"</f>
        <v>621210</v>
      </c>
      <c r="AF894" t="s">
        <v>7583</v>
      </c>
      <c r="AG894" t="s">
        <v>9698</v>
      </c>
      <c r="AI894" t="s">
        <v>1488</v>
      </c>
      <c r="AJ894" t="s">
        <v>10267</v>
      </c>
      <c r="AK894" t="str">
        <f>"Suite 231"</f>
        <v>Suite 231</v>
      </c>
      <c r="AL894" t="s">
        <v>398</v>
      </c>
      <c r="AM894" t="s">
        <v>141</v>
      </c>
      <c r="AN894" s="3">
        <v>94539</v>
      </c>
      <c r="AO894" t="s">
        <v>101</v>
      </c>
      <c r="AQ894" t="str">
        <f>"+14085440566"</f>
        <v>+14085440566</v>
      </c>
      <c r="AS894" t="s">
        <v>10268</v>
      </c>
      <c r="AT894" t="s">
        <v>107</v>
      </c>
      <c r="AU894" t="str">
        <f>"Liladhar-Hathi"</f>
        <v>Liladhar-Hathi</v>
      </c>
      <c r="AV894" t="str">
        <f>"Indu"</f>
        <v>Indu</v>
      </c>
      <c r="AW894" t="str">
        <f>""</f>
        <v/>
      </c>
      <c r="AX894" t="str">
        <f>"1754 Technology Drive"</f>
        <v>1754 Technology Drive</v>
      </c>
      <c r="AY894" t="str">
        <f>"Suite 143"</f>
        <v>Suite 143</v>
      </c>
      <c r="AZ894" t="str">
        <f>"San Jose"</f>
        <v>San Jose</v>
      </c>
      <c r="BA894" t="str">
        <f>"CA"</f>
        <v>CA</v>
      </c>
      <c r="BB894" s="3">
        <v>95110</v>
      </c>
      <c r="BC894" t="str">
        <f t="shared" si="64"/>
        <v>UNITED STATES OF AMERICA</v>
      </c>
      <c r="BD894" t="str">
        <f>""</f>
        <v/>
      </c>
      <c r="BE894" t="str">
        <f>"+14084535335"</f>
        <v>+14084535335</v>
      </c>
      <c r="BF894" t="str">
        <f>""</f>
        <v/>
      </c>
      <c r="BG894" t="str">
        <f>"indu@indulaw.com"</f>
        <v>indu@indulaw.com</v>
      </c>
      <c r="BH894" t="str">
        <f>"Indu Law Group, P.C."</f>
        <v>Indu Law Group, P.C.</v>
      </c>
      <c r="BI894" t="str">
        <f>"CA"</f>
        <v>CA</v>
      </c>
      <c r="BJ894" t="str">
        <f>"Supreme Court"</f>
        <v>Supreme Court</v>
      </c>
      <c r="BK894">
        <v>1</v>
      </c>
      <c r="BL894" t="s">
        <v>102</v>
      </c>
      <c r="BM894" t="str">
        <f>""</f>
        <v/>
      </c>
      <c r="BN894" t="s">
        <v>10267</v>
      </c>
      <c r="BO894" t="s">
        <v>10269</v>
      </c>
      <c r="BP894" t="s">
        <v>398</v>
      </c>
      <c r="BQ894" t="s">
        <v>419</v>
      </c>
      <c r="BR894" t="s">
        <v>141</v>
      </c>
      <c r="BS894" s="5">
        <v>94539</v>
      </c>
      <c r="BT894" s="2">
        <v>130000</v>
      </c>
      <c r="BV894" t="s">
        <v>105</v>
      </c>
      <c r="BW894" s="2">
        <v>129979</v>
      </c>
      <c r="BX894" t="s">
        <v>105</v>
      </c>
      <c r="BZ894" t="s">
        <v>167</v>
      </c>
      <c r="CA894" t="str">
        <f t="shared" si="65"/>
        <v>7/1/2020 - 6/30/2021</v>
      </c>
      <c r="CF894">
        <v>2</v>
      </c>
      <c r="CG894" t="s">
        <v>98</v>
      </c>
      <c r="CH894" t="s">
        <v>206</v>
      </c>
      <c r="CI894" t="s">
        <v>206</v>
      </c>
      <c r="CL894" t="s">
        <v>108</v>
      </c>
      <c r="CM894" t="s">
        <v>109</v>
      </c>
      <c r="CN894" t="str">
        <f>""</f>
        <v/>
      </c>
      <c r="CO894" t="str">
        <f>""</f>
        <v/>
      </c>
      <c r="CP894" t="str">
        <f>""</f>
        <v/>
      </c>
      <c r="CQ894" t="str">
        <f>""</f>
        <v/>
      </c>
    </row>
    <row r="895" spans="1:96" x14ac:dyDescent="0.2">
      <c r="A895" t="s">
        <v>10270</v>
      </c>
      <c r="B895" t="s">
        <v>96</v>
      </c>
      <c r="C895" s="1">
        <v>44098</v>
      </c>
      <c r="D895" s="1">
        <v>44105</v>
      </c>
      <c r="F895" t="s">
        <v>97</v>
      </c>
      <c r="G895" t="str">
        <f>"AS400 Application Development Advisor"</f>
        <v>AS400 Application Development Advisor</v>
      </c>
      <c r="H895" t="s">
        <v>12169</v>
      </c>
      <c r="I895" t="s">
        <v>124</v>
      </c>
      <c r="J895" t="s">
        <v>98</v>
      </c>
      <c r="K895" s="1">
        <v>44105</v>
      </c>
      <c r="L895" s="1">
        <v>45199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 t="s">
        <v>4594</v>
      </c>
      <c r="U895" t="str">
        <f>""</f>
        <v/>
      </c>
      <c r="V895" t="s">
        <v>2202</v>
      </c>
      <c r="W895" t="str">
        <f>"Mail Code HR695"</f>
        <v>Mail Code HR695</v>
      </c>
      <c r="X895" t="s">
        <v>984</v>
      </c>
      <c r="Y895" t="s">
        <v>857</v>
      </c>
      <c r="Z895" s="3">
        <v>2865</v>
      </c>
      <c r="AA895" t="s">
        <v>101</v>
      </c>
      <c r="AC895" s="4" t="str">
        <f>"+14017703511"</f>
        <v>+14017703511</v>
      </c>
      <c r="AE895" t="str">
        <f>"424210"</f>
        <v>424210</v>
      </c>
      <c r="AF895" t="s">
        <v>2203</v>
      </c>
      <c r="AG895" t="s">
        <v>1136</v>
      </c>
      <c r="AI895" t="s">
        <v>2204</v>
      </c>
      <c r="AJ895" t="s">
        <v>2202</v>
      </c>
      <c r="AK895" t="str">
        <f>"Mail Code HR695"</f>
        <v>Mail Code HR695</v>
      </c>
      <c r="AL895" t="s">
        <v>984</v>
      </c>
      <c r="AM895" t="s">
        <v>857</v>
      </c>
      <c r="AN895" s="3">
        <v>2865</v>
      </c>
      <c r="AO895" t="s">
        <v>101</v>
      </c>
      <c r="AQ895" t="str">
        <f>"+14017701621"</f>
        <v>+14017701621</v>
      </c>
      <c r="AS895" t="s">
        <v>4595</v>
      </c>
      <c r="AT895" t="s">
        <v>107</v>
      </c>
      <c r="AU895" t="str">
        <f>"SCHECHTER"</f>
        <v>SCHECHTER</v>
      </c>
      <c r="AV895" t="str">
        <f>"REBECCA"</f>
        <v>REBECCA</v>
      </c>
      <c r="AW895" t="str">
        <f>"B"</f>
        <v>B</v>
      </c>
      <c r="AX895" t="str">
        <f>"1750 TYSONS BLVD"</f>
        <v>1750 TYSONS BLVD</v>
      </c>
      <c r="AY895" t="str">
        <f>"#1000"</f>
        <v>#1000</v>
      </c>
      <c r="AZ895" t="str">
        <f>"MCLEAN"</f>
        <v>MCLEAN</v>
      </c>
      <c r="BA895" t="str">
        <f>"VA"</f>
        <v>VA</v>
      </c>
      <c r="BB895" s="3">
        <v>22102</v>
      </c>
      <c r="BC895" t="str">
        <f t="shared" si="64"/>
        <v>UNITED STATES OF AMERICA</v>
      </c>
      <c r="BD895" t="str">
        <f>""</f>
        <v/>
      </c>
      <c r="BE895" t="str">
        <f>"+17039037578"</f>
        <v>+17039037578</v>
      </c>
      <c r="BF895" t="str">
        <f>""</f>
        <v/>
      </c>
      <c r="BG895" t="str">
        <f>"SCHECHTERR@GTLAW.COM"</f>
        <v>SCHECHTERR@GTLAW.COM</v>
      </c>
      <c r="BH895" t="str">
        <f>"GREENBERG TRAURIG LLP"</f>
        <v>GREENBERG TRAURIG LLP</v>
      </c>
      <c r="BI895" t="str">
        <f>"MD"</f>
        <v>MD</v>
      </c>
      <c r="BJ895" t="str">
        <f>"Court of Appeals"</f>
        <v>Court of Appeals</v>
      </c>
      <c r="BK895">
        <v>1</v>
      </c>
      <c r="BL895" t="s">
        <v>102</v>
      </c>
      <c r="BM895" t="str">
        <f>""</f>
        <v/>
      </c>
      <c r="BN895" t="s">
        <v>8383</v>
      </c>
      <c r="BP895" t="s">
        <v>2123</v>
      </c>
      <c r="BQ895" t="s">
        <v>691</v>
      </c>
      <c r="BR895" t="s">
        <v>345</v>
      </c>
      <c r="BS895" s="5">
        <v>60089</v>
      </c>
      <c r="BT895" s="2">
        <v>117000</v>
      </c>
      <c r="BV895" t="s">
        <v>105</v>
      </c>
      <c r="BW895" s="2">
        <v>101871</v>
      </c>
      <c r="BX895" t="s">
        <v>105</v>
      </c>
      <c r="CA895" t="str">
        <f>""</f>
        <v/>
      </c>
      <c r="CB895" t="s">
        <v>244</v>
      </c>
      <c r="CC895">
        <v>2020</v>
      </c>
      <c r="CD895" t="s">
        <v>6418</v>
      </c>
      <c r="CE895" t="s">
        <v>5041</v>
      </c>
      <c r="CF895">
        <v>2</v>
      </c>
      <c r="CG895" t="s">
        <v>98</v>
      </c>
      <c r="CH895" t="s">
        <v>206</v>
      </c>
      <c r="CI895" t="s">
        <v>206</v>
      </c>
      <c r="CL895" t="s">
        <v>108</v>
      </c>
      <c r="CM895" t="s">
        <v>109</v>
      </c>
      <c r="CN895" t="str">
        <f>"Marr"</f>
        <v>Marr</v>
      </c>
      <c r="CO895" t="str">
        <f>"Jamie"</f>
        <v>Jamie</v>
      </c>
      <c r="CP895" t="str">
        <f>""</f>
        <v/>
      </c>
      <c r="CQ895" t="str">
        <f>"Greenberg Traurig, LLP"</f>
        <v>Greenberg Traurig, LLP</v>
      </c>
      <c r="CR895" t="s">
        <v>4596</v>
      </c>
    </row>
    <row r="896" spans="1:96" x14ac:dyDescent="0.2">
      <c r="A896" t="s">
        <v>10273</v>
      </c>
      <c r="B896" t="s">
        <v>96</v>
      </c>
      <c r="C896" s="1">
        <v>44098</v>
      </c>
      <c r="D896" s="1">
        <v>44105</v>
      </c>
      <c r="F896" t="s">
        <v>97</v>
      </c>
      <c r="G896" t="str">
        <f>"Senior Manager, Engineering "</f>
        <v xml:space="preserve">Senior Manager, Engineering </v>
      </c>
      <c r="H896" t="s">
        <v>12176</v>
      </c>
      <c r="I896" t="s">
        <v>246</v>
      </c>
      <c r="J896" t="s">
        <v>98</v>
      </c>
      <c r="K896" s="1">
        <v>44102</v>
      </c>
      <c r="L896" s="1">
        <v>45196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 t="s">
        <v>6260</v>
      </c>
      <c r="U896" t="str">
        <f>""</f>
        <v/>
      </c>
      <c r="V896" t="s">
        <v>6261</v>
      </c>
      <c r="W896" t="str">
        <f>"SUITE 200"</f>
        <v>SUITE 200</v>
      </c>
      <c r="X896" t="s">
        <v>147</v>
      </c>
      <c r="Y896" t="s">
        <v>141</v>
      </c>
      <c r="Z896" s="3">
        <v>94103</v>
      </c>
      <c r="AA896" t="s">
        <v>101</v>
      </c>
      <c r="AC896" s="4" t="str">
        <f>"+14152465444"</f>
        <v>+14152465444</v>
      </c>
      <c r="AE896" t="str">
        <f>"541519"</f>
        <v>541519</v>
      </c>
      <c r="AF896" t="s">
        <v>6262</v>
      </c>
      <c r="AG896" t="s">
        <v>3019</v>
      </c>
      <c r="AH896" t="s">
        <v>108</v>
      </c>
      <c r="AI896" t="s">
        <v>6263</v>
      </c>
      <c r="AJ896" t="s">
        <v>6261</v>
      </c>
      <c r="AK896" t="str">
        <f>"SUITE 200"</f>
        <v>SUITE 200</v>
      </c>
      <c r="AL896" t="s">
        <v>147</v>
      </c>
      <c r="AM896" t="s">
        <v>141</v>
      </c>
      <c r="AN896" s="3">
        <v>94103</v>
      </c>
      <c r="AO896" t="s">
        <v>101</v>
      </c>
      <c r="AQ896" t="str">
        <f>"+19258727624"</f>
        <v>+19258727624</v>
      </c>
      <c r="AS896" t="s">
        <v>6264</v>
      </c>
      <c r="AT896" t="s">
        <v>107</v>
      </c>
      <c r="AU896" t="str">
        <f>"Derhemi"</f>
        <v>Derhemi</v>
      </c>
      <c r="AV896" t="str">
        <f>"Eda"</f>
        <v>Eda</v>
      </c>
      <c r="AW896" t="str">
        <f>"N/A"</f>
        <v>N/A</v>
      </c>
      <c r="AX896" t="str">
        <f>"1400 Broadway"</f>
        <v>1400 Broadway</v>
      </c>
      <c r="AY896" t="str">
        <f>"9TH FLOOR"</f>
        <v>9TH FLOOR</v>
      </c>
      <c r="AZ896" t="str">
        <f>"New York"</f>
        <v>New York</v>
      </c>
      <c r="BA896" t="str">
        <f>"NY"</f>
        <v>NY</v>
      </c>
      <c r="BB896" s="3">
        <v>10018</v>
      </c>
      <c r="BC896" t="str">
        <f t="shared" si="64"/>
        <v>UNITED STATES OF AMERICA</v>
      </c>
      <c r="BD896" t="str">
        <f>"NY"</f>
        <v>NY</v>
      </c>
      <c r="BE896" t="str">
        <f>"+16468616855"</f>
        <v>+16468616855</v>
      </c>
      <c r="BF896" t="str">
        <f>""</f>
        <v/>
      </c>
      <c r="BG896" t="str">
        <f>"SVESELAGA@FRAGOMEN.COM"</f>
        <v>SVESELAGA@FRAGOMEN.COM</v>
      </c>
      <c r="BH896" t="str">
        <f>"Fragomen, Del Rey, Bernsen &amp; Loewy, LLP"</f>
        <v>Fragomen, Del Rey, Bernsen &amp; Loewy, LLP</v>
      </c>
      <c r="BI896" t="str">
        <f>"NY"</f>
        <v>NY</v>
      </c>
      <c r="BJ896" t="str">
        <f>"NY APPELLATE DIVISION, SECOND DEPARTMENT"</f>
        <v>NY APPELLATE DIVISION, SECOND DEPARTMENT</v>
      </c>
      <c r="BK896">
        <v>1</v>
      </c>
      <c r="BL896" t="s">
        <v>102</v>
      </c>
      <c r="BM896" t="str">
        <f>""</f>
        <v/>
      </c>
      <c r="BN896" t="s">
        <v>6265</v>
      </c>
      <c r="BO896" t="s">
        <v>787</v>
      </c>
      <c r="BP896" t="s">
        <v>140</v>
      </c>
      <c r="BQ896" t="s">
        <v>147</v>
      </c>
      <c r="BR896" t="s">
        <v>141</v>
      </c>
      <c r="BS896" s="5">
        <v>94103</v>
      </c>
      <c r="BT896" s="2">
        <v>234500</v>
      </c>
      <c r="BV896" t="s">
        <v>105</v>
      </c>
      <c r="BW896" s="2">
        <v>169562</v>
      </c>
      <c r="BX896" t="s">
        <v>105</v>
      </c>
      <c r="BZ896" t="s">
        <v>159</v>
      </c>
      <c r="CA896" t="str">
        <f t="shared" ref="CA896:CA910" si="66">"7/1/2020 - 6/30/2021"</f>
        <v>7/1/2020 - 6/30/2021</v>
      </c>
      <c r="CF896">
        <v>2</v>
      </c>
      <c r="CG896" t="s">
        <v>98</v>
      </c>
      <c r="CH896" t="s">
        <v>206</v>
      </c>
      <c r="CI896" t="s">
        <v>206</v>
      </c>
      <c r="CL896" t="s">
        <v>108</v>
      </c>
      <c r="CM896" t="s">
        <v>109</v>
      </c>
      <c r="CN896" t="str">
        <f>"VESELAGA"</f>
        <v>VESELAGA</v>
      </c>
      <c r="CO896" t="str">
        <f>"STEISI"</f>
        <v>STEISI</v>
      </c>
      <c r="CP896" t="str">
        <f>""</f>
        <v/>
      </c>
      <c r="CQ896" t="str">
        <f>"Fragomen, Del Rey, Bernsen &amp; Loewy, LLP"</f>
        <v>Fragomen, Del Rey, Bernsen &amp; Loewy, LLP</v>
      </c>
      <c r="CR896" t="s">
        <v>6266</v>
      </c>
    </row>
    <row r="897" spans="1:96" x14ac:dyDescent="0.2">
      <c r="A897" t="s">
        <v>10283</v>
      </c>
      <c r="B897" t="s">
        <v>96</v>
      </c>
      <c r="C897" s="1">
        <v>44098</v>
      </c>
      <c r="D897" s="1">
        <v>44105</v>
      </c>
      <c r="F897" t="s">
        <v>97</v>
      </c>
      <c r="G897" t="str">
        <f>"Senior Software Engineer"</f>
        <v>Senior Software Engineer</v>
      </c>
      <c r="H897" t="s">
        <v>12176</v>
      </c>
      <c r="I897" t="s">
        <v>246</v>
      </c>
      <c r="J897" t="s">
        <v>98</v>
      </c>
      <c r="K897" s="1">
        <v>44116</v>
      </c>
      <c r="L897" s="1">
        <v>45210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4848</v>
      </c>
      <c r="U897" t="str">
        <f>""</f>
        <v/>
      </c>
      <c r="V897" t="s">
        <v>4849</v>
      </c>
      <c r="W897" t="str">
        <f>"MC: 482-C32-C66"</f>
        <v>MC: 482-C32-C66</v>
      </c>
      <c r="X897" t="s">
        <v>528</v>
      </c>
      <c r="Y897" t="s">
        <v>265</v>
      </c>
      <c r="Z897" s="3" t="s">
        <v>12296</v>
      </c>
      <c r="AA897" t="s">
        <v>101</v>
      </c>
      <c r="AC897" s="4" t="str">
        <f>"+13135700122"</f>
        <v>+13135700122</v>
      </c>
      <c r="AE897" t="str">
        <f>"3361"</f>
        <v>3361</v>
      </c>
      <c r="AF897" t="s">
        <v>4850</v>
      </c>
      <c r="AG897" t="s">
        <v>1182</v>
      </c>
      <c r="AI897" t="s">
        <v>254</v>
      </c>
      <c r="AJ897" t="s">
        <v>4851</v>
      </c>
      <c r="AK897" t="str">
        <f>"MC: 482-C32-C66"</f>
        <v>MC: 482-C32-C66</v>
      </c>
      <c r="AL897" t="s">
        <v>1682</v>
      </c>
      <c r="AM897" t="s">
        <v>265</v>
      </c>
      <c r="AN897" s="3" t="s">
        <v>12296</v>
      </c>
      <c r="AO897" t="s">
        <v>101</v>
      </c>
      <c r="AQ897" t="str">
        <f>"+13135700122"</f>
        <v>+13135700122</v>
      </c>
      <c r="AS897" t="s">
        <v>4852</v>
      </c>
      <c r="AT897" t="s">
        <v>107</v>
      </c>
      <c r="AU897" t="str">
        <f>"Roby"</f>
        <v>Roby</v>
      </c>
      <c r="AV897" t="str">
        <f>"Anthony"</f>
        <v>Anthony</v>
      </c>
      <c r="AW897" t="str">
        <f>"Michael"</f>
        <v>Michael</v>
      </c>
      <c r="AX897" t="str">
        <f>"566 Ann Street"</f>
        <v>566 Ann Street</v>
      </c>
      <c r="AY897" t="str">
        <f>""</f>
        <v/>
      </c>
      <c r="AZ897" t="str">
        <f>"Birmingham "</f>
        <v xml:space="preserve">Birmingham </v>
      </c>
      <c r="BA897" t="str">
        <f>"MI"</f>
        <v>MI</v>
      </c>
      <c r="BB897" s="3" t="s">
        <v>12307</v>
      </c>
      <c r="BC897" t="str">
        <f t="shared" si="64"/>
        <v>UNITED STATES OF AMERICA</v>
      </c>
      <c r="BD897" t="str">
        <f>""</f>
        <v/>
      </c>
      <c r="BE897" t="str">
        <f>"+12485548500"</f>
        <v>+12485548500</v>
      </c>
      <c r="BF897" t="str">
        <f>""</f>
        <v/>
      </c>
      <c r="BG897" t="str">
        <f>"anthony.roby@robylaw.com"</f>
        <v>anthony.roby@robylaw.com</v>
      </c>
      <c r="BH897" t="str">
        <f>"Roby Law Associates, PLLC"</f>
        <v>Roby Law Associates, PLLC</v>
      </c>
      <c r="BI897" t="str">
        <f>"MI"</f>
        <v>MI</v>
      </c>
      <c r="BJ897" t="str">
        <f>"U.S. Supreme Courts"</f>
        <v>U.S. Supreme Courts</v>
      </c>
      <c r="BK897">
        <v>1</v>
      </c>
      <c r="BL897" t="s">
        <v>102</v>
      </c>
      <c r="BM897" t="str">
        <f>""</f>
        <v/>
      </c>
      <c r="BN897" t="s">
        <v>5998</v>
      </c>
      <c r="BP897" t="s">
        <v>1058</v>
      </c>
      <c r="BQ897" t="s">
        <v>543</v>
      </c>
      <c r="BR897" t="s">
        <v>265</v>
      </c>
      <c r="BS897" s="5">
        <v>48093</v>
      </c>
      <c r="BT897" s="2">
        <v>114168.6</v>
      </c>
      <c r="BV897" t="s">
        <v>105</v>
      </c>
      <c r="BW897" s="2">
        <v>79248</v>
      </c>
      <c r="BX897" t="s">
        <v>105</v>
      </c>
      <c r="BZ897" t="s">
        <v>167</v>
      </c>
      <c r="CA897" t="str">
        <f t="shared" si="66"/>
        <v>7/1/2020 - 6/30/2021</v>
      </c>
      <c r="CF897">
        <v>2</v>
      </c>
      <c r="CG897" t="s">
        <v>98</v>
      </c>
      <c r="CH897" t="s">
        <v>206</v>
      </c>
      <c r="CI897" t="s">
        <v>206</v>
      </c>
      <c r="CL897" t="s">
        <v>108</v>
      </c>
      <c r="CM897" t="s">
        <v>109</v>
      </c>
      <c r="CN897" t="str">
        <f>""</f>
        <v/>
      </c>
      <c r="CO897" t="str">
        <f>""</f>
        <v/>
      </c>
      <c r="CP897" t="str">
        <f>""</f>
        <v/>
      </c>
      <c r="CQ897" t="str">
        <f>""</f>
        <v/>
      </c>
    </row>
    <row r="898" spans="1:96" x14ac:dyDescent="0.2">
      <c r="A898" t="s">
        <v>10284</v>
      </c>
      <c r="B898" t="s">
        <v>96</v>
      </c>
      <c r="C898" s="1">
        <v>44098</v>
      </c>
      <c r="D898" s="1">
        <v>44105</v>
      </c>
      <c r="F898" t="s">
        <v>97</v>
      </c>
      <c r="G898" t="str">
        <f>"DIRECTOR, APPLICATIONS DEVELOPMENT"</f>
        <v>DIRECTOR, APPLICATIONS DEVELOPMENT</v>
      </c>
      <c r="H898" t="s">
        <v>12178</v>
      </c>
      <c r="I898" t="s">
        <v>582</v>
      </c>
      <c r="J898" t="s">
        <v>98</v>
      </c>
      <c r="K898" s="1">
        <v>44098</v>
      </c>
      <c r="L898" s="1">
        <v>45190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 t="s">
        <v>6071</v>
      </c>
      <c r="U898" t="str">
        <f>""</f>
        <v/>
      </c>
      <c r="V898" t="s">
        <v>3755</v>
      </c>
      <c r="W898" t="str">
        <f>""</f>
        <v/>
      </c>
      <c r="X898" t="s">
        <v>3756</v>
      </c>
      <c r="Y898" t="s">
        <v>186</v>
      </c>
      <c r="Z898" s="3">
        <v>55474</v>
      </c>
      <c r="AA898" t="s">
        <v>101</v>
      </c>
      <c r="AC898" s="4" t="str">
        <f>"+16126718640"</f>
        <v>+16126718640</v>
      </c>
      <c r="AE898" t="str">
        <f>"523930"</f>
        <v>523930</v>
      </c>
      <c r="AF898" t="s">
        <v>3757</v>
      </c>
      <c r="AG898" t="s">
        <v>3758</v>
      </c>
      <c r="AI898" t="s">
        <v>3759</v>
      </c>
      <c r="AJ898" t="s">
        <v>3755</v>
      </c>
      <c r="AK898" t="str">
        <f>""</f>
        <v/>
      </c>
      <c r="AL898" t="s">
        <v>3756</v>
      </c>
      <c r="AM898" t="s">
        <v>186</v>
      </c>
      <c r="AN898" s="3">
        <v>55474</v>
      </c>
      <c r="AO898" t="s">
        <v>101</v>
      </c>
      <c r="AQ898" t="str">
        <f>"+16126718640"</f>
        <v>+16126718640</v>
      </c>
      <c r="AS898" t="s">
        <v>3760</v>
      </c>
      <c r="AT898" t="s">
        <v>107</v>
      </c>
      <c r="AU898" t="str">
        <f>"DONNELLY"</f>
        <v>DONNELLY</v>
      </c>
      <c r="AV898" t="str">
        <f>"SHANNON"</f>
        <v>SHANNON</v>
      </c>
      <c r="AW898" t="str">
        <f>"A."</f>
        <v>A.</v>
      </c>
      <c r="AX898" t="str">
        <f>"1111 PENNSYLVANIA AVENUE NW"</f>
        <v>1111 PENNSYLVANIA AVENUE NW</v>
      </c>
      <c r="AY898" t="str">
        <f>""</f>
        <v/>
      </c>
      <c r="AZ898" t="str">
        <f>"WASHINGTON"</f>
        <v>WASHINGTON</v>
      </c>
      <c r="BA898" t="str">
        <f>"DC"</f>
        <v>DC</v>
      </c>
      <c r="BB898" s="3">
        <v>20004</v>
      </c>
      <c r="BC898" t="str">
        <f t="shared" si="64"/>
        <v>UNITED STATES OF AMERICA</v>
      </c>
      <c r="BD898" t="str">
        <f>""</f>
        <v/>
      </c>
      <c r="BE898" t="str">
        <f>"+12027395264"</f>
        <v>+12027395264</v>
      </c>
      <c r="BF898" t="str">
        <f>""</f>
        <v/>
      </c>
      <c r="BG898" t="str">
        <f>"JANAY.DAVIS@MORGANLEWIS.COM"</f>
        <v>JANAY.DAVIS@MORGANLEWIS.COM</v>
      </c>
      <c r="BH898" t="str">
        <f>"MORGAN LEWIS &amp; BOCKIUS LLP"</f>
        <v>MORGAN LEWIS &amp; BOCKIUS LLP</v>
      </c>
      <c r="BI898" t="str">
        <f>"DC"</f>
        <v>DC</v>
      </c>
      <c r="BJ898" t="str">
        <f>"COURT OF APPEALS"</f>
        <v>COURT OF APPEALS</v>
      </c>
      <c r="BK898">
        <v>1</v>
      </c>
      <c r="BL898" t="s">
        <v>102</v>
      </c>
      <c r="BM898" t="str">
        <f>""</f>
        <v/>
      </c>
      <c r="BN898" t="s">
        <v>10285</v>
      </c>
      <c r="BO898" t="s">
        <v>10286</v>
      </c>
      <c r="BP898" t="s">
        <v>720</v>
      </c>
      <c r="BQ898" t="s">
        <v>668</v>
      </c>
      <c r="BR898" t="s">
        <v>114</v>
      </c>
      <c r="BS898" s="5">
        <v>78717</v>
      </c>
      <c r="BT898" s="2">
        <v>141900</v>
      </c>
      <c r="BU898" s="2">
        <v>185200</v>
      </c>
      <c r="BV898" t="s">
        <v>105</v>
      </c>
      <c r="BW898" s="2">
        <v>128606</v>
      </c>
      <c r="BX898" t="s">
        <v>105</v>
      </c>
      <c r="BZ898" t="s">
        <v>167</v>
      </c>
      <c r="CA898" t="str">
        <f t="shared" si="66"/>
        <v>7/1/2020 - 6/30/2021</v>
      </c>
      <c r="CF898">
        <v>2</v>
      </c>
      <c r="CG898" t="s">
        <v>98</v>
      </c>
      <c r="CH898" t="s">
        <v>206</v>
      </c>
      <c r="CI898" t="s">
        <v>206</v>
      </c>
      <c r="CL898" t="s">
        <v>108</v>
      </c>
      <c r="CM898" t="s">
        <v>109</v>
      </c>
      <c r="CN898" t="str">
        <f>""</f>
        <v/>
      </c>
      <c r="CO898" t="str">
        <f>""</f>
        <v/>
      </c>
      <c r="CP898" t="str">
        <f>""</f>
        <v/>
      </c>
      <c r="CQ898" t="str">
        <f>""</f>
        <v/>
      </c>
    </row>
    <row r="899" spans="1:96" x14ac:dyDescent="0.2">
      <c r="A899" t="s">
        <v>10303</v>
      </c>
      <c r="B899" t="s">
        <v>96</v>
      </c>
      <c r="C899" s="1">
        <v>44098</v>
      </c>
      <c r="D899" s="1">
        <v>44105</v>
      </c>
      <c r="F899" t="s">
        <v>97</v>
      </c>
      <c r="G899" t="str">
        <f>"SENIOR MANAGER, SOFTWARE ENGINEERING"</f>
        <v>SENIOR MANAGER, SOFTWARE ENGINEERING</v>
      </c>
      <c r="H899" t="s">
        <v>12169</v>
      </c>
      <c r="I899" t="s">
        <v>124</v>
      </c>
      <c r="J899" t="s">
        <v>98</v>
      </c>
      <c r="K899" s="1">
        <v>44109</v>
      </c>
      <c r="L899" s="1">
        <v>45203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 t="s">
        <v>1198</v>
      </c>
      <c r="U899" t="str">
        <f>""</f>
        <v/>
      </c>
      <c r="V899" t="s">
        <v>1199</v>
      </c>
      <c r="W899" t="str">
        <f>""</f>
        <v/>
      </c>
      <c r="X899" t="s">
        <v>693</v>
      </c>
      <c r="Y899" t="s">
        <v>135</v>
      </c>
      <c r="Z899" s="3">
        <v>23238</v>
      </c>
      <c r="AA899" t="s">
        <v>101</v>
      </c>
      <c r="AC899" s="4" t="str">
        <f>"+18042841000"</f>
        <v>+18042841000</v>
      </c>
      <c r="AE899" t="str">
        <f>"522210"</f>
        <v>522210</v>
      </c>
      <c r="AF899" t="s">
        <v>1200</v>
      </c>
      <c r="AG899" t="s">
        <v>709</v>
      </c>
      <c r="AH899" t="s">
        <v>269</v>
      </c>
      <c r="AI899" t="s">
        <v>1201</v>
      </c>
      <c r="AJ899" t="s">
        <v>1199</v>
      </c>
      <c r="AK899" t="str">
        <f>""</f>
        <v/>
      </c>
      <c r="AL899" t="s">
        <v>693</v>
      </c>
      <c r="AM899" t="s">
        <v>135</v>
      </c>
      <c r="AN899" s="3">
        <v>23238</v>
      </c>
      <c r="AO899" t="s">
        <v>101</v>
      </c>
      <c r="AQ899" t="str">
        <f>"+18042841000"</f>
        <v>+18042841000</v>
      </c>
      <c r="AS899" t="s">
        <v>1202</v>
      </c>
      <c r="AT899" t="s">
        <v>107</v>
      </c>
      <c r="AU899" t="str">
        <f>"Russo"</f>
        <v>Russo</v>
      </c>
      <c r="AV899" t="str">
        <f>"Justin"</f>
        <v>Justin</v>
      </c>
      <c r="AW899" t="str">
        <f>"5281836_5f6cdfe590e232001cdf011b"</f>
        <v>5281836_5f6cdfe590e232001cdf011b</v>
      </c>
      <c r="AX899" t="str">
        <f>"1355 Peachtree Street NE"</f>
        <v>1355 Peachtree Street NE</v>
      </c>
      <c r="AY899" t="str">
        <f>"Suite 900"</f>
        <v>Suite 900</v>
      </c>
      <c r="AZ899" t="str">
        <f>"Atlanta"</f>
        <v>Atlanta</v>
      </c>
      <c r="BA899" t="str">
        <f>"GA"</f>
        <v>GA</v>
      </c>
      <c r="BB899" s="3">
        <v>30309</v>
      </c>
      <c r="BC899" t="str">
        <f t="shared" si="64"/>
        <v>UNITED STATES OF AMERICA</v>
      </c>
      <c r="BD899" t="str">
        <f>""</f>
        <v/>
      </c>
      <c r="BE899" t="str">
        <f>"+14048565526"</f>
        <v>+14048565526</v>
      </c>
      <c r="BF899" t="str">
        <f>""</f>
        <v/>
      </c>
      <c r="BG899" t="str">
        <f>"mackenzie.miller@fragomen.com"</f>
        <v>mackenzie.miller@fragomen.com</v>
      </c>
      <c r="BH899" t="str">
        <f>"Fragomen, Del Rey, Bernsen &amp; Loewy LLP"</f>
        <v>Fragomen, Del Rey, Bernsen &amp; Loewy LLP</v>
      </c>
      <c r="BI899" t="str">
        <f>"GA"</f>
        <v>GA</v>
      </c>
      <c r="BJ899" t="str">
        <f>"Georgia Supreme Court"</f>
        <v>Georgia Supreme Court</v>
      </c>
      <c r="BK899">
        <v>1</v>
      </c>
      <c r="BL899" t="s">
        <v>102</v>
      </c>
      <c r="BM899" t="str">
        <f>""</f>
        <v/>
      </c>
      <c r="BN899" t="s">
        <v>6589</v>
      </c>
      <c r="BP899" t="s">
        <v>344</v>
      </c>
      <c r="BQ899" t="s">
        <v>454</v>
      </c>
      <c r="BR899" t="s">
        <v>135</v>
      </c>
      <c r="BS899" s="5">
        <v>22102</v>
      </c>
      <c r="BT899" s="2">
        <v>118102</v>
      </c>
      <c r="BU899" s="2">
        <v>208900</v>
      </c>
      <c r="BV899" t="s">
        <v>105</v>
      </c>
      <c r="BW899" s="2">
        <v>118102</v>
      </c>
      <c r="BX899" t="s">
        <v>105</v>
      </c>
      <c r="BZ899" t="s">
        <v>123</v>
      </c>
      <c r="CA899" t="str">
        <f t="shared" si="66"/>
        <v>7/1/2020 - 6/30/2021</v>
      </c>
      <c r="CF899">
        <v>1</v>
      </c>
      <c r="CG899" t="s">
        <v>98</v>
      </c>
      <c r="CH899" t="s">
        <v>206</v>
      </c>
      <c r="CI899" t="s">
        <v>206</v>
      </c>
      <c r="CL899" t="s">
        <v>108</v>
      </c>
      <c r="CM899" t="s">
        <v>109</v>
      </c>
      <c r="CN899" t="str">
        <f>""</f>
        <v/>
      </c>
      <c r="CO899" t="str">
        <f>""</f>
        <v/>
      </c>
      <c r="CP899" t="str">
        <f>""</f>
        <v/>
      </c>
      <c r="CQ899" t="str">
        <f>""</f>
        <v/>
      </c>
    </row>
    <row r="900" spans="1:96" x14ac:dyDescent="0.2">
      <c r="A900" t="s">
        <v>10304</v>
      </c>
      <c r="B900" t="s">
        <v>96</v>
      </c>
      <c r="C900" s="1">
        <v>44098</v>
      </c>
      <c r="D900" s="1">
        <v>44105</v>
      </c>
      <c r="F900" t="s">
        <v>97</v>
      </c>
      <c r="G900" t="str">
        <f>"Mechanical Engineer"</f>
        <v>Mechanical Engineer</v>
      </c>
      <c r="H900" t="s">
        <v>12196</v>
      </c>
      <c r="I900" t="s">
        <v>322</v>
      </c>
      <c r="J900" t="s">
        <v>98</v>
      </c>
      <c r="K900" s="1">
        <v>44123</v>
      </c>
      <c r="L900" s="1">
        <v>45217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6399</v>
      </c>
      <c r="U900" t="str">
        <f>""</f>
        <v/>
      </c>
      <c r="V900" t="s">
        <v>6400</v>
      </c>
      <c r="W900" t="str">
        <f>""</f>
        <v/>
      </c>
      <c r="X900" t="s">
        <v>1521</v>
      </c>
      <c r="Y900" t="s">
        <v>577</v>
      </c>
      <c r="Z900" s="3">
        <v>32826</v>
      </c>
      <c r="AA900" t="s">
        <v>101</v>
      </c>
      <c r="AC900" s="4" t="str">
        <f>"+14079052748"</f>
        <v>+14079052748</v>
      </c>
      <c r="AE900" t="str">
        <f>"336111"</f>
        <v>336111</v>
      </c>
      <c r="AF900" t="s">
        <v>2697</v>
      </c>
      <c r="AG900" t="s">
        <v>1464</v>
      </c>
      <c r="AI900" t="s">
        <v>6401</v>
      </c>
      <c r="AJ900" t="s">
        <v>6400</v>
      </c>
      <c r="AK900" t="str">
        <f>""</f>
        <v/>
      </c>
      <c r="AL900" t="s">
        <v>1521</v>
      </c>
      <c r="AM900" t="s">
        <v>577</v>
      </c>
      <c r="AN900" s="3">
        <v>32826</v>
      </c>
      <c r="AO900" t="s">
        <v>101</v>
      </c>
      <c r="AQ900" t="str">
        <f>"+14079062748"</f>
        <v>+14079062748</v>
      </c>
      <c r="AS900" t="s">
        <v>6402</v>
      </c>
      <c r="AT900" t="s">
        <v>107</v>
      </c>
      <c r="AU900" t="str">
        <f>"Cun"</f>
        <v>Cun</v>
      </c>
      <c r="AV900" t="str">
        <f>"Ann"</f>
        <v>Ann</v>
      </c>
      <c r="AW900" t="str">
        <f>""</f>
        <v/>
      </c>
      <c r="AX900" t="str">
        <f>"1271 Washington Ave"</f>
        <v>1271 Washington Ave</v>
      </c>
      <c r="AY900" t="str">
        <f>"888"</f>
        <v>888</v>
      </c>
      <c r="AZ900" t="str">
        <f>"San Leandro"</f>
        <v>San Leandro</v>
      </c>
      <c r="BA900" t="str">
        <f>"CA"</f>
        <v>CA</v>
      </c>
      <c r="BB900" s="3">
        <v>94577</v>
      </c>
      <c r="BC900" t="str">
        <f t="shared" si="64"/>
        <v>UNITED STATES OF AMERICA</v>
      </c>
      <c r="BD900" t="str">
        <f>""</f>
        <v/>
      </c>
      <c r="BE900" t="str">
        <f>"+15102468930"</f>
        <v>+15102468930</v>
      </c>
      <c r="BF900" t="str">
        <f>"102"</f>
        <v>102</v>
      </c>
      <c r="BG900" t="str">
        <f>"lca@accelvisa.com"</f>
        <v>lca@accelvisa.com</v>
      </c>
      <c r="BH900" t="str">
        <f>"Accel Visa Attorneys PC"</f>
        <v>Accel Visa Attorneys PC</v>
      </c>
      <c r="BI900" t="str">
        <f>"CA"</f>
        <v>CA</v>
      </c>
      <c r="BJ900" t="str">
        <f>"Supreme Court"</f>
        <v>Supreme Court</v>
      </c>
      <c r="BK900">
        <v>1</v>
      </c>
      <c r="BL900" t="s">
        <v>102</v>
      </c>
      <c r="BM900" t="str">
        <f>""</f>
        <v/>
      </c>
      <c r="BN900" t="s">
        <v>6400</v>
      </c>
      <c r="BP900" t="s">
        <v>1521</v>
      </c>
      <c r="BQ900" t="s">
        <v>377</v>
      </c>
      <c r="BR900" t="s">
        <v>577</v>
      </c>
      <c r="BS900" s="5">
        <v>32826</v>
      </c>
      <c r="BT900" s="2">
        <v>88000</v>
      </c>
      <c r="BV900" t="s">
        <v>105</v>
      </c>
      <c r="BW900" s="2">
        <v>79664</v>
      </c>
      <c r="BX900" t="s">
        <v>105</v>
      </c>
      <c r="BZ900" t="s">
        <v>167</v>
      </c>
      <c r="CA900" t="str">
        <f t="shared" si="66"/>
        <v>7/1/2020 - 6/30/2021</v>
      </c>
      <c r="CF900">
        <v>1</v>
      </c>
      <c r="CG900" t="s">
        <v>98</v>
      </c>
      <c r="CH900" t="s">
        <v>206</v>
      </c>
      <c r="CI900" t="s">
        <v>206</v>
      </c>
      <c r="CL900" t="s">
        <v>108</v>
      </c>
      <c r="CM900" t="s">
        <v>109</v>
      </c>
      <c r="CN900" t="str">
        <f>""</f>
        <v/>
      </c>
      <c r="CO900" t="str">
        <f>""</f>
        <v/>
      </c>
      <c r="CP900" t="str">
        <f>""</f>
        <v/>
      </c>
      <c r="CQ900" t="str">
        <f>""</f>
        <v/>
      </c>
    </row>
    <row r="901" spans="1:96" x14ac:dyDescent="0.2">
      <c r="A901" t="s">
        <v>10308</v>
      </c>
      <c r="B901" t="s">
        <v>96</v>
      </c>
      <c r="C901" s="1">
        <v>44098</v>
      </c>
      <c r="D901" s="1">
        <v>44105</v>
      </c>
      <c r="F901" t="s">
        <v>97</v>
      </c>
      <c r="G901" t="str">
        <f>"SENIOR ANDROID SOFTWARE DEVELOPER"</f>
        <v>SENIOR ANDROID SOFTWARE DEVELOPER</v>
      </c>
      <c r="H901" t="s">
        <v>12169</v>
      </c>
      <c r="I901" t="s">
        <v>124</v>
      </c>
      <c r="J901" t="s">
        <v>98</v>
      </c>
      <c r="K901" s="1">
        <v>44253</v>
      </c>
      <c r="L901" s="1">
        <v>45347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 t="s">
        <v>10309</v>
      </c>
      <c r="U901" t="str">
        <f>""</f>
        <v/>
      </c>
      <c r="V901" t="s">
        <v>10310</v>
      </c>
      <c r="W901" t="str">
        <f>""</f>
        <v/>
      </c>
      <c r="X901" t="s">
        <v>10311</v>
      </c>
      <c r="Y901" t="s">
        <v>141</v>
      </c>
      <c r="Z901" s="3">
        <v>95060</v>
      </c>
      <c r="AA901" t="s">
        <v>101</v>
      </c>
      <c r="AC901" s="4" t="str">
        <f>"+1770207692"</f>
        <v>+1770207692</v>
      </c>
      <c r="AE901" t="str">
        <f>"33431"</f>
        <v>33431</v>
      </c>
      <c r="AF901" t="s">
        <v>3081</v>
      </c>
      <c r="AG901" t="s">
        <v>1705</v>
      </c>
      <c r="AI901" t="s">
        <v>5501</v>
      </c>
      <c r="AJ901" t="s">
        <v>10312</v>
      </c>
      <c r="AK901" t="str">
        <f>""</f>
        <v/>
      </c>
      <c r="AL901" t="s">
        <v>4027</v>
      </c>
      <c r="AM901" t="s">
        <v>141</v>
      </c>
      <c r="AN901" s="3">
        <v>95060</v>
      </c>
      <c r="AO901" t="s">
        <v>101</v>
      </c>
      <c r="AQ901" t="str">
        <f>"+18314203069"</f>
        <v>+18314203069</v>
      </c>
      <c r="AS901" t="s">
        <v>7611</v>
      </c>
      <c r="AT901" t="s">
        <v>107</v>
      </c>
      <c r="AU901" t="str">
        <f>"Brown"</f>
        <v>Brown</v>
      </c>
      <c r="AV901" t="str">
        <f>"David"</f>
        <v>David</v>
      </c>
      <c r="AW901" t="str">
        <f>"Zaritzky"</f>
        <v>Zaritzky</v>
      </c>
      <c r="AX901" t="str">
        <f>"201 North 13th Street"</f>
        <v>201 North 13th Street</v>
      </c>
      <c r="AY901" t="str">
        <f>"Suite B"</f>
        <v>Suite B</v>
      </c>
      <c r="AZ901" t="str">
        <f>"Lincoln"</f>
        <v>Lincoln</v>
      </c>
      <c r="BA901" t="str">
        <f>"NE"</f>
        <v>NE</v>
      </c>
      <c r="BB901" s="3">
        <v>68508</v>
      </c>
      <c r="BC901" t="str">
        <f t="shared" si="64"/>
        <v>UNITED STATES OF AMERICA</v>
      </c>
      <c r="BD901" t="str">
        <f>""</f>
        <v/>
      </c>
      <c r="BE901" t="str">
        <f>"+14023289899"</f>
        <v>+14023289899</v>
      </c>
      <c r="BF901" t="str">
        <f>"0"</f>
        <v>0</v>
      </c>
      <c r="BG901" t="str">
        <f>"dol@brownimmigrationlaw.com"</f>
        <v>dol@brownimmigrationlaw.com</v>
      </c>
      <c r="BH901" t="str">
        <f>"Brown Immigration Law P.C., L.L.O."</f>
        <v>Brown Immigration Law P.C., L.L.O.</v>
      </c>
      <c r="BI901" t="str">
        <f>"CA"</f>
        <v>CA</v>
      </c>
      <c r="BJ901" t="str">
        <f>"Supreme Court of California"</f>
        <v>Supreme Court of California</v>
      </c>
      <c r="BK901">
        <v>1</v>
      </c>
      <c r="BL901" t="s">
        <v>102</v>
      </c>
      <c r="BM901" t="str">
        <f>""</f>
        <v/>
      </c>
      <c r="BN901" t="s">
        <v>10313</v>
      </c>
      <c r="BO901" t="s">
        <v>10314</v>
      </c>
      <c r="BP901" t="s">
        <v>765</v>
      </c>
      <c r="BQ901" t="s">
        <v>668</v>
      </c>
      <c r="BR901" t="s">
        <v>114</v>
      </c>
      <c r="BS901" s="5">
        <v>78729</v>
      </c>
      <c r="BT901" s="2">
        <v>90000</v>
      </c>
      <c r="BU901" s="2">
        <v>105000</v>
      </c>
      <c r="BV901" t="s">
        <v>105</v>
      </c>
      <c r="BW901" s="2">
        <v>87589</v>
      </c>
      <c r="BX901" t="s">
        <v>105</v>
      </c>
      <c r="BZ901" t="s">
        <v>167</v>
      </c>
      <c r="CA901" t="str">
        <f t="shared" si="66"/>
        <v>7/1/2020 - 6/30/2021</v>
      </c>
      <c r="CF901">
        <v>2</v>
      </c>
      <c r="CG901" t="s">
        <v>98</v>
      </c>
      <c r="CH901" t="s">
        <v>206</v>
      </c>
      <c r="CI901" t="s">
        <v>206</v>
      </c>
      <c r="CL901" t="s">
        <v>108</v>
      </c>
      <c r="CM901" t="s">
        <v>109</v>
      </c>
      <c r="CN901" t="str">
        <f>""</f>
        <v/>
      </c>
      <c r="CO901" t="str">
        <f>""</f>
        <v/>
      </c>
      <c r="CP901" t="str">
        <f>""</f>
        <v/>
      </c>
      <c r="CQ901" t="str">
        <f>""</f>
        <v/>
      </c>
    </row>
    <row r="902" spans="1:96" x14ac:dyDescent="0.2">
      <c r="A902" t="s">
        <v>10315</v>
      </c>
      <c r="B902" t="s">
        <v>96</v>
      </c>
      <c r="C902" s="1">
        <v>44098</v>
      </c>
      <c r="D902" s="1">
        <v>44105</v>
      </c>
      <c r="F902" t="s">
        <v>97</v>
      </c>
      <c r="G902" t="str">
        <f>"SOFTWARE DEVELOPMENT ENGINEER I"</f>
        <v>SOFTWARE DEVELOPMENT ENGINEER I</v>
      </c>
      <c r="H902" t="s">
        <v>12169</v>
      </c>
      <c r="I902" t="s">
        <v>124</v>
      </c>
      <c r="J902" t="s">
        <v>98</v>
      </c>
      <c r="K902" s="1">
        <v>44102</v>
      </c>
      <c r="L902" s="1">
        <v>45196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5409</v>
      </c>
      <c r="U902" t="str">
        <f>""</f>
        <v/>
      </c>
      <c r="V902" t="s">
        <v>5410</v>
      </c>
      <c r="W902" t="str">
        <f>""</f>
        <v/>
      </c>
      <c r="X902" t="s">
        <v>2104</v>
      </c>
      <c r="Y902" t="s">
        <v>100</v>
      </c>
      <c r="Z902" s="3">
        <v>7102</v>
      </c>
      <c r="AA902" t="s">
        <v>101</v>
      </c>
      <c r="AC902" s="4" t="str">
        <f>"+19738200682"</f>
        <v>+19738200682</v>
      </c>
      <c r="AE902" t="str">
        <f>"454110"</f>
        <v>454110</v>
      </c>
      <c r="AF902" t="s">
        <v>5411</v>
      </c>
      <c r="AG902" t="s">
        <v>5412</v>
      </c>
      <c r="AH902" t="s">
        <v>108</v>
      </c>
      <c r="AI902" t="s">
        <v>5413</v>
      </c>
      <c r="AJ902" t="s">
        <v>5410</v>
      </c>
      <c r="AK902" t="str">
        <f>""</f>
        <v/>
      </c>
      <c r="AL902" t="s">
        <v>2104</v>
      </c>
      <c r="AM902" t="s">
        <v>100</v>
      </c>
      <c r="AN902" s="3">
        <v>7102</v>
      </c>
      <c r="AO902" t="s">
        <v>101</v>
      </c>
      <c r="AQ902" t="str">
        <f>"+19737104146"</f>
        <v>+19737104146</v>
      </c>
      <c r="AS902" t="s">
        <v>5414</v>
      </c>
      <c r="AT902" t="s">
        <v>107</v>
      </c>
      <c r="AU902" t="str">
        <f>"MARANCI"</f>
        <v>MARANCI</v>
      </c>
      <c r="AV902" t="str">
        <f>"DANIEL"</f>
        <v>DANIEL</v>
      </c>
      <c r="AW902" t="str">
        <f>"N/A"</f>
        <v>N/A</v>
      </c>
      <c r="AX902" t="str">
        <f>"100 HIGH STREET"</f>
        <v>100 HIGH STREET</v>
      </c>
      <c r="AY902" t="str">
        <f>"3RD FLOOR C#5307706"</f>
        <v>3RD FLOOR C#5307706</v>
      </c>
      <c r="AZ902" t="str">
        <f>"BOSTON"</f>
        <v>BOSTON</v>
      </c>
      <c r="BA902" t="str">
        <f>"MA"</f>
        <v>MA</v>
      </c>
      <c r="BB902" s="3">
        <v>2110</v>
      </c>
      <c r="BC902" t="str">
        <f t="shared" si="64"/>
        <v>UNITED STATES OF AMERICA</v>
      </c>
      <c r="BD902" t="str">
        <f>""</f>
        <v/>
      </c>
      <c r="BE902" t="str">
        <f>"+16175740400"</f>
        <v>+16175740400</v>
      </c>
      <c r="BF902" t="str">
        <f>""</f>
        <v/>
      </c>
      <c r="BG902" t="str">
        <f>"AMAZONINDIA@FRAGOMEN.COM"</f>
        <v>AMAZONINDIA@FRAGOMEN.COM</v>
      </c>
      <c r="BH902" t="str">
        <f>"FRAGOMEN, DEL REY, BERNSEN &amp; LOEWY, LLP"</f>
        <v>FRAGOMEN, DEL REY, BERNSEN &amp; LOEWY, LLP</v>
      </c>
      <c r="BI902" t="str">
        <f>"MA"</f>
        <v>MA</v>
      </c>
      <c r="BJ902" t="str">
        <f>"SUPREME JUDICIAL COURT"</f>
        <v>SUPREME JUDICIAL COURT</v>
      </c>
      <c r="BK902">
        <v>1</v>
      </c>
      <c r="BL902" t="s">
        <v>102</v>
      </c>
      <c r="BM902" t="str">
        <f>""</f>
        <v/>
      </c>
      <c r="BN902" t="s">
        <v>5410</v>
      </c>
      <c r="BP902" t="s">
        <v>2104</v>
      </c>
      <c r="BQ902" t="s">
        <v>309</v>
      </c>
      <c r="BR902" t="s">
        <v>100</v>
      </c>
      <c r="BS902" s="5">
        <v>7102</v>
      </c>
      <c r="BT902" s="2">
        <v>123000</v>
      </c>
      <c r="BV902" t="s">
        <v>105</v>
      </c>
      <c r="BW902" s="2">
        <v>78811</v>
      </c>
      <c r="BX902" t="s">
        <v>105</v>
      </c>
      <c r="BZ902" t="s">
        <v>191</v>
      </c>
      <c r="CA902" t="str">
        <f t="shared" si="66"/>
        <v>7/1/2020 - 6/30/2021</v>
      </c>
      <c r="CF902">
        <v>1</v>
      </c>
      <c r="CG902" t="s">
        <v>98</v>
      </c>
      <c r="CH902" t="s">
        <v>206</v>
      </c>
      <c r="CI902" t="s">
        <v>206</v>
      </c>
      <c r="CL902" t="s">
        <v>108</v>
      </c>
      <c r="CM902" t="s">
        <v>109</v>
      </c>
      <c r="CN902" t="str">
        <f>"SUNNY"</f>
        <v>SUNNY</v>
      </c>
      <c r="CO902" t="str">
        <f>"JASMIN"</f>
        <v>JASMIN</v>
      </c>
      <c r="CP902" t="str">
        <f>"N/A"</f>
        <v>N/A</v>
      </c>
      <c r="CQ902" t="str">
        <f>"FRAGOMEN, DEL REY, BERNSEN &amp; LOEWY, LLP"</f>
        <v>FRAGOMEN, DEL REY, BERNSEN &amp; LOEWY, LLP</v>
      </c>
      <c r="CR902" t="s">
        <v>650</v>
      </c>
    </row>
    <row r="903" spans="1:96" x14ac:dyDescent="0.2">
      <c r="A903" t="s">
        <v>10316</v>
      </c>
      <c r="B903" t="s">
        <v>96</v>
      </c>
      <c r="C903" s="1">
        <v>44098</v>
      </c>
      <c r="D903" s="1">
        <v>44105</v>
      </c>
      <c r="F903" t="s">
        <v>97</v>
      </c>
      <c r="G903" t="str">
        <f>"Engineering Technician (Energy &amp; Commissioning)"</f>
        <v>Engineering Technician (Energy &amp; Commissioning)</v>
      </c>
      <c r="H903" t="s">
        <v>12281</v>
      </c>
      <c r="I903" t="s">
        <v>5579</v>
      </c>
      <c r="J903" t="s">
        <v>98</v>
      </c>
      <c r="K903" s="1">
        <v>44116</v>
      </c>
      <c r="L903" s="1">
        <v>45208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 t="s">
        <v>10317</v>
      </c>
      <c r="U903" t="str">
        <f>"Baumann Consulting"</f>
        <v>Baumann Consulting</v>
      </c>
      <c r="V903" t="s">
        <v>10318</v>
      </c>
      <c r="W903" t="str">
        <f>"Suite 2210"</f>
        <v>Suite 2210</v>
      </c>
      <c r="X903" t="s">
        <v>833</v>
      </c>
      <c r="Y903" t="s">
        <v>345</v>
      </c>
      <c r="Z903" s="3">
        <v>60601</v>
      </c>
      <c r="AA903" t="s">
        <v>101</v>
      </c>
      <c r="AC903" s="4" t="str">
        <f>"+13123867710"</f>
        <v>+13123867710</v>
      </c>
      <c r="AE903" t="str">
        <f>"541330"</f>
        <v>541330</v>
      </c>
      <c r="AF903" t="s">
        <v>10319</v>
      </c>
      <c r="AG903" t="s">
        <v>4629</v>
      </c>
      <c r="AH903" t="s">
        <v>108</v>
      </c>
      <c r="AI903" t="s">
        <v>508</v>
      </c>
      <c r="AJ903" t="s">
        <v>10318</v>
      </c>
      <c r="AK903" t="str">
        <f>"Suite 2210"</f>
        <v>Suite 2210</v>
      </c>
      <c r="AL903" t="s">
        <v>833</v>
      </c>
      <c r="AM903" t="s">
        <v>345</v>
      </c>
      <c r="AN903" s="3">
        <v>60601</v>
      </c>
      <c r="AO903" t="s">
        <v>101</v>
      </c>
      <c r="AQ903" t="str">
        <f>"+13123867710"</f>
        <v>+13123867710</v>
      </c>
      <c r="AS903" t="s">
        <v>10320</v>
      </c>
      <c r="AT903" t="s">
        <v>107</v>
      </c>
      <c r="AU903" t="str">
        <f>"Meier"</f>
        <v>Meier</v>
      </c>
      <c r="AV903" t="str">
        <f>"Mike"</f>
        <v>Mike</v>
      </c>
      <c r="AW903" t="str">
        <f>"N/A"</f>
        <v>N/A</v>
      </c>
      <c r="AX903" t="str">
        <f>"1000 5th St"</f>
        <v>1000 5th St</v>
      </c>
      <c r="AY903" t="str">
        <f>"200H3"</f>
        <v>200H3</v>
      </c>
      <c r="AZ903" t="str">
        <f>"Miami Beach"</f>
        <v>Miami Beach</v>
      </c>
      <c r="BA903" t="str">
        <f>"FL"</f>
        <v>FL</v>
      </c>
      <c r="BB903" s="3">
        <v>33139</v>
      </c>
      <c r="BC903" t="str">
        <f t="shared" si="64"/>
        <v>UNITED STATES OF AMERICA</v>
      </c>
      <c r="BD903" t="str">
        <f>""</f>
        <v/>
      </c>
      <c r="BE903" t="str">
        <f>"+12025808759"</f>
        <v>+12025808759</v>
      </c>
      <c r="BF903" t="str">
        <f>""</f>
        <v/>
      </c>
      <c r="BG903" t="str">
        <f>"mike.meier@internationallawgroup.com"</f>
        <v>mike.meier@internationallawgroup.com</v>
      </c>
      <c r="BH903" t="str">
        <f>"International Law Group"</f>
        <v>International Law Group</v>
      </c>
      <c r="BI903" t="str">
        <f>"NY"</f>
        <v>NY</v>
      </c>
      <c r="BJ903" t="str">
        <f>"Court of Appeals"</f>
        <v>Court of Appeals</v>
      </c>
      <c r="BK903">
        <v>1</v>
      </c>
      <c r="BL903" t="s">
        <v>102</v>
      </c>
      <c r="BM903" t="str">
        <f>""</f>
        <v/>
      </c>
      <c r="BN903" t="s">
        <v>10318</v>
      </c>
      <c r="BO903" t="s">
        <v>8887</v>
      </c>
      <c r="BP903" t="s">
        <v>833</v>
      </c>
      <c r="BQ903" t="s">
        <v>788</v>
      </c>
      <c r="BR903" t="s">
        <v>345</v>
      </c>
      <c r="BS903" s="5">
        <v>60601</v>
      </c>
      <c r="BT903" s="2">
        <v>65000</v>
      </c>
      <c r="BV903" t="s">
        <v>105</v>
      </c>
      <c r="BW903" s="2">
        <v>54746</v>
      </c>
      <c r="BX903" t="s">
        <v>105</v>
      </c>
      <c r="BZ903" t="s">
        <v>167</v>
      </c>
      <c r="CA903" t="str">
        <f t="shared" si="66"/>
        <v>7/1/2020 - 6/30/2021</v>
      </c>
      <c r="CF903">
        <v>1</v>
      </c>
      <c r="CG903" t="s">
        <v>98</v>
      </c>
      <c r="CH903" t="s">
        <v>206</v>
      </c>
      <c r="CI903" t="s">
        <v>206</v>
      </c>
      <c r="CL903" t="s">
        <v>108</v>
      </c>
      <c r="CM903" t="s">
        <v>353</v>
      </c>
      <c r="CN903" t="str">
        <f>"Meier"</f>
        <v>Meier</v>
      </c>
      <c r="CO903" t="str">
        <f>"Mike"</f>
        <v>Mike</v>
      </c>
      <c r="CP903" t="str">
        <f>"N/A"</f>
        <v>N/A</v>
      </c>
      <c r="CQ903" t="str">
        <f>"International Law Group"</f>
        <v>International Law Group</v>
      </c>
      <c r="CR903" t="s">
        <v>10321</v>
      </c>
    </row>
    <row r="904" spans="1:96" x14ac:dyDescent="0.2">
      <c r="A904" t="s">
        <v>10322</v>
      </c>
      <c r="B904" t="s">
        <v>96</v>
      </c>
      <c r="C904" s="1">
        <v>44098</v>
      </c>
      <c r="D904" s="1">
        <v>44105</v>
      </c>
      <c r="F904" t="s">
        <v>97</v>
      </c>
      <c r="G904" t="str">
        <f>"Investment Associate"</f>
        <v>Investment Associate</v>
      </c>
      <c r="H904" t="s">
        <v>12213</v>
      </c>
      <c r="I904" t="s">
        <v>493</v>
      </c>
      <c r="J904" t="s">
        <v>98</v>
      </c>
      <c r="K904" s="1">
        <v>44116</v>
      </c>
      <c r="L904" s="1">
        <v>45210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 t="s">
        <v>9004</v>
      </c>
      <c r="U904" t="str">
        <f>""</f>
        <v/>
      </c>
      <c r="V904" t="s">
        <v>9005</v>
      </c>
      <c r="W904" t="str">
        <f>"Flr. 2"</f>
        <v>Flr. 2</v>
      </c>
      <c r="X904" t="s">
        <v>140</v>
      </c>
      <c r="Y904" t="s">
        <v>141</v>
      </c>
      <c r="Z904" s="3">
        <v>94111</v>
      </c>
      <c r="AA904" t="s">
        <v>101</v>
      </c>
      <c r="AC904" s="4" t="str">
        <f>"+14158203125"</f>
        <v>+14158203125</v>
      </c>
      <c r="AD904">
        <v>3125</v>
      </c>
      <c r="AE904" t="str">
        <f>"523920"</f>
        <v>523920</v>
      </c>
      <c r="AF904" t="s">
        <v>9006</v>
      </c>
      <c r="AG904" t="s">
        <v>9007</v>
      </c>
      <c r="AI904" t="s">
        <v>9008</v>
      </c>
      <c r="AJ904" t="s">
        <v>9005</v>
      </c>
      <c r="AK904" t="str">
        <f>"Flr. 2"</f>
        <v>Flr. 2</v>
      </c>
      <c r="AL904" t="s">
        <v>140</v>
      </c>
      <c r="AM904" t="s">
        <v>141</v>
      </c>
      <c r="AN904" s="3">
        <v>94111</v>
      </c>
      <c r="AO904" t="s">
        <v>101</v>
      </c>
      <c r="AQ904" t="str">
        <f>"+14158203125"</f>
        <v>+14158203125</v>
      </c>
      <c r="AR904">
        <v>3125</v>
      </c>
      <c r="AS904" t="s">
        <v>9009</v>
      </c>
      <c r="AT904" t="s">
        <v>107</v>
      </c>
      <c r="AU904" t="str">
        <f>"Schaham Gordon"</f>
        <v>Schaham Gordon</v>
      </c>
      <c r="AV904" t="str">
        <f>"Gali"</f>
        <v>Gali</v>
      </c>
      <c r="AW904" t="str">
        <f>""</f>
        <v/>
      </c>
      <c r="AX904" t="str">
        <f>"461 2nd Street"</f>
        <v>461 2nd Street</v>
      </c>
      <c r="AY904" t="str">
        <f>"#C301"</f>
        <v>#C301</v>
      </c>
      <c r="AZ904" t="str">
        <f>"San Francisco"</f>
        <v>San Francisco</v>
      </c>
      <c r="BA904" t="str">
        <f>"CA"</f>
        <v>CA</v>
      </c>
      <c r="BB904" s="3">
        <v>94107</v>
      </c>
      <c r="BC904" t="str">
        <f t="shared" si="64"/>
        <v>UNITED STATES OF AMERICA</v>
      </c>
      <c r="BD904" t="str">
        <f>""</f>
        <v/>
      </c>
      <c r="BE904" t="str">
        <f>"+14152841601"</f>
        <v>+14152841601</v>
      </c>
      <c r="BF904" t="str">
        <f>""</f>
        <v/>
      </c>
      <c r="BG904" t="str">
        <f>"team@gordonlawgrouppc.com"</f>
        <v>team@gordonlawgrouppc.com</v>
      </c>
      <c r="BH904" t="str">
        <f>"Gordon Law Group PC"</f>
        <v>Gordon Law Group PC</v>
      </c>
      <c r="BI904" t="str">
        <f>"CA"</f>
        <v>CA</v>
      </c>
      <c r="BJ904" t="str">
        <f>"Supreme Court"</f>
        <v>Supreme Court</v>
      </c>
      <c r="BK904">
        <v>1</v>
      </c>
      <c r="BL904" t="s">
        <v>102</v>
      </c>
      <c r="BM904" t="str">
        <f>""</f>
        <v/>
      </c>
      <c r="BN904" t="s">
        <v>9005</v>
      </c>
      <c r="BO904" t="s">
        <v>1392</v>
      </c>
      <c r="BP904" t="s">
        <v>140</v>
      </c>
      <c r="BQ904" t="s">
        <v>147</v>
      </c>
      <c r="BR904" t="s">
        <v>141</v>
      </c>
      <c r="BS904" s="5">
        <v>94111</v>
      </c>
      <c r="BT904" s="2">
        <v>140000</v>
      </c>
      <c r="BV904" t="s">
        <v>105</v>
      </c>
      <c r="BW904" s="2">
        <v>119101</v>
      </c>
      <c r="BX904" t="s">
        <v>105</v>
      </c>
      <c r="BZ904" t="s">
        <v>123</v>
      </c>
      <c r="CA904" t="str">
        <f t="shared" si="66"/>
        <v>7/1/2020 - 6/30/2021</v>
      </c>
      <c r="CF904">
        <v>1</v>
      </c>
      <c r="CG904" t="s">
        <v>98</v>
      </c>
      <c r="CH904" t="s">
        <v>206</v>
      </c>
      <c r="CI904" t="s">
        <v>206</v>
      </c>
      <c r="CL904" t="s">
        <v>108</v>
      </c>
      <c r="CM904" t="s">
        <v>109</v>
      </c>
      <c r="CN904" t="str">
        <f>""</f>
        <v/>
      </c>
      <c r="CO904" t="str">
        <f>""</f>
        <v/>
      </c>
      <c r="CP904" t="str">
        <f>""</f>
        <v/>
      </c>
      <c r="CQ904" t="str">
        <f>""</f>
        <v/>
      </c>
    </row>
    <row r="905" spans="1:96" x14ac:dyDescent="0.2">
      <c r="A905" t="s">
        <v>10325</v>
      </c>
      <c r="B905" t="s">
        <v>96</v>
      </c>
      <c r="C905" s="1">
        <v>44098</v>
      </c>
      <c r="D905" s="1">
        <v>44105</v>
      </c>
      <c r="F905" t="s">
        <v>97</v>
      </c>
      <c r="G905" t="str">
        <f>"Systems Engineer"</f>
        <v>Systems Engineer</v>
      </c>
      <c r="H905" t="s">
        <v>12181</v>
      </c>
      <c r="I905" t="s">
        <v>110</v>
      </c>
      <c r="J905" t="s">
        <v>98</v>
      </c>
      <c r="K905" s="1">
        <v>44235</v>
      </c>
      <c r="L905" s="1">
        <v>45329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 t="s">
        <v>4848</v>
      </c>
      <c r="U905" t="str">
        <f>""</f>
        <v/>
      </c>
      <c r="V905" t="s">
        <v>4849</v>
      </c>
      <c r="W905" t="str">
        <f>"MC: 482-C32-C66"</f>
        <v>MC: 482-C32-C66</v>
      </c>
      <c r="X905" t="s">
        <v>528</v>
      </c>
      <c r="Y905" t="s">
        <v>265</v>
      </c>
      <c r="Z905" s="3" t="s">
        <v>12296</v>
      </c>
      <c r="AA905" t="s">
        <v>101</v>
      </c>
      <c r="AC905" s="4" t="str">
        <f>"+13135700122"</f>
        <v>+13135700122</v>
      </c>
      <c r="AE905" t="str">
        <f>"3361"</f>
        <v>3361</v>
      </c>
      <c r="AF905" t="s">
        <v>4850</v>
      </c>
      <c r="AG905" t="s">
        <v>1182</v>
      </c>
      <c r="AI905" t="s">
        <v>254</v>
      </c>
      <c r="AJ905" t="s">
        <v>4851</v>
      </c>
      <c r="AK905" t="str">
        <f>"MC: 482-C32-C66"</f>
        <v>MC: 482-C32-C66</v>
      </c>
      <c r="AL905" t="s">
        <v>1682</v>
      </c>
      <c r="AM905" t="s">
        <v>265</v>
      </c>
      <c r="AN905" s="3" t="s">
        <v>12296</v>
      </c>
      <c r="AO905" t="s">
        <v>101</v>
      </c>
      <c r="AQ905" t="str">
        <f>"+13135700122"</f>
        <v>+13135700122</v>
      </c>
      <c r="AS905" t="s">
        <v>4852</v>
      </c>
      <c r="AT905" t="s">
        <v>107</v>
      </c>
      <c r="AU905" t="str">
        <f>"Roby"</f>
        <v>Roby</v>
      </c>
      <c r="AV905" t="str">
        <f>"Anthony"</f>
        <v>Anthony</v>
      </c>
      <c r="AW905" t="str">
        <f>"Michael"</f>
        <v>Michael</v>
      </c>
      <c r="AX905" t="str">
        <f>"566 Ann Street"</f>
        <v>566 Ann Street</v>
      </c>
      <c r="AY905" t="str">
        <f>""</f>
        <v/>
      </c>
      <c r="AZ905" t="str">
        <f>"Birmingham "</f>
        <v xml:space="preserve">Birmingham </v>
      </c>
      <c r="BA905" t="str">
        <f>"MI"</f>
        <v>MI</v>
      </c>
      <c r="BB905" s="3" t="s">
        <v>12307</v>
      </c>
      <c r="BC905" t="str">
        <f t="shared" si="64"/>
        <v>UNITED STATES OF AMERICA</v>
      </c>
      <c r="BD905" t="str">
        <f>""</f>
        <v/>
      </c>
      <c r="BE905" t="str">
        <f>"+12485548500"</f>
        <v>+12485548500</v>
      </c>
      <c r="BF905" t="str">
        <f>""</f>
        <v/>
      </c>
      <c r="BG905" t="str">
        <f>"anthony.roby@robylaw.com"</f>
        <v>anthony.roby@robylaw.com</v>
      </c>
      <c r="BH905" t="str">
        <f>"Roby Law Associates, PLLC"</f>
        <v>Roby Law Associates, PLLC</v>
      </c>
      <c r="BI905" t="str">
        <f>"MI"</f>
        <v>MI</v>
      </c>
      <c r="BJ905" t="str">
        <f>"U.S. Supreme Courts"</f>
        <v>U.S. Supreme Courts</v>
      </c>
      <c r="BK905">
        <v>1</v>
      </c>
      <c r="BL905" t="s">
        <v>102</v>
      </c>
      <c r="BM905" t="str">
        <f>""</f>
        <v/>
      </c>
      <c r="BN905" t="s">
        <v>5037</v>
      </c>
      <c r="BP905" t="s">
        <v>1682</v>
      </c>
      <c r="BQ905" t="s">
        <v>533</v>
      </c>
      <c r="BR905" t="s">
        <v>265</v>
      </c>
      <c r="BS905" s="5">
        <v>48265</v>
      </c>
      <c r="BT905" s="2">
        <v>88642.08</v>
      </c>
      <c r="BV905" t="s">
        <v>105</v>
      </c>
      <c r="BW905" s="2">
        <v>75213</v>
      </c>
      <c r="BX905" t="s">
        <v>105</v>
      </c>
      <c r="BZ905" t="s">
        <v>167</v>
      </c>
      <c r="CA905" t="str">
        <f t="shared" si="66"/>
        <v>7/1/2020 - 6/30/2021</v>
      </c>
      <c r="CF905">
        <v>2</v>
      </c>
      <c r="CG905" t="s">
        <v>98</v>
      </c>
      <c r="CH905" t="s">
        <v>206</v>
      </c>
      <c r="CI905" t="s">
        <v>206</v>
      </c>
      <c r="CL905" t="s">
        <v>108</v>
      </c>
      <c r="CM905" t="s">
        <v>109</v>
      </c>
      <c r="CN905" t="str">
        <f>""</f>
        <v/>
      </c>
      <c r="CO905" t="str">
        <f>""</f>
        <v/>
      </c>
      <c r="CP905" t="str">
        <f>""</f>
        <v/>
      </c>
      <c r="CQ905" t="str">
        <f>""</f>
        <v/>
      </c>
    </row>
    <row r="906" spans="1:96" x14ac:dyDescent="0.2">
      <c r="A906" t="s">
        <v>10339</v>
      </c>
      <c r="B906" t="s">
        <v>96</v>
      </c>
      <c r="C906" s="1">
        <v>44098</v>
      </c>
      <c r="D906" s="1">
        <v>44105</v>
      </c>
      <c r="F906" t="s">
        <v>97</v>
      </c>
      <c r="G906" t="str">
        <f>"Software Engineer"</f>
        <v>Software Engineer</v>
      </c>
      <c r="H906" t="s">
        <v>12169</v>
      </c>
      <c r="I906" t="s">
        <v>124</v>
      </c>
      <c r="J906" t="s">
        <v>98</v>
      </c>
      <c r="K906" s="1">
        <v>44279</v>
      </c>
      <c r="L906" s="1">
        <v>45374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 t="s">
        <v>173</v>
      </c>
      <c r="U906" t="str">
        <f>""</f>
        <v/>
      </c>
      <c r="V906" t="s">
        <v>174</v>
      </c>
      <c r="W906" t="str">
        <f>"N/A"</f>
        <v>N/A</v>
      </c>
      <c r="X906" t="s">
        <v>175</v>
      </c>
      <c r="Y906" t="s">
        <v>176</v>
      </c>
      <c r="Z906" s="3">
        <v>98052</v>
      </c>
      <c r="AA906" t="s">
        <v>101</v>
      </c>
      <c r="AC906" s="4" t="str">
        <f>"+14258828080"</f>
        <v>+14258828080</v>
      </c>
      <c r="AE906" t="str">
        <f>"51121"</f>
        <v>51121</v>
      </c>
      <c r="AF906" t="s">
        <v>177</v>
      </c>
      <c r="AG906" t="s">
        <v>178</v>
      </c>
      <c r="AI906" t="s">
        <v>179</v>
      </c>
      <c r="AJ906" t="s">
        <v>174</v>
      </c>
      <c r="AK906" t="str">
        <f>""</f>
        <v/>
      </c>
      <c r="AL906" t="s">
        <v>175</v>
      </c>
      <c r="AM906" t="s">
        <v>176</v>
      </c>
      <c r="AN906" s="3">
        <v>98052</v>
      </c>
      <c r="AO906" t="s">
        <v>101</v>
      </c>
      <c r="AQ906" t="str">
        <f>"+14258828080"</f>
        <v>+14258828080</v>
      </c>
      <c r="AS906" t="s">
        <v>180</v>
      </c>
      <c r="AT906" t="s">
        <v>102</v>
      </c>
      <c r="AU906" t="str">
        <f>""</f>
        <v/>
      </c>
      <c r="AV906" t="str">
        <f>""</f>
        <v/>
      </c>
      <c r="AW906" t="str">
        <f>""</f>
        <v/>
      </c>
      <c r="AX906" t="str">
        <f>""</f>
        <v/>
      </c>
      <c r="AY906" t="str">
        <f>""</f>
        <v/>
      </c>
      <c r="AZ906" t="str">
        <f>""</f>
        <v/>
      </c>
      <c r="BA906" t="str">
        <f>""</f>
        <v/>
      </c>
      <c r="BC906" t="str">
        <f>""</f>
        <v/>
      </c>
      <c r="BD906" t="str">
        <f>""</f>
        <v/>
      </c>
      <c r="BE906" t="str">
        <f>""</f>
        <v/>
      </c>
      <c r="BF906" t="str">
        <f>""</f>
        <v/>
      </c>
      <c r="BG906" t="str">
        <f>""</f>
        <v/>
      </c>
      <c r="BH906" t="str">
        <f>""</f>
        <v/>
      </c>
      <c r="BI906" t="str">
        <f>""</f>
        <v/>
      </c>
      <c r="BJ906" t="str">
        <f>""</f>
        <v/>
      </c>
      <c r="BK906">
        <v>1</v>
      </c>
      <c r="BL906" t="s">
        <v>102</v>
      </c>
      <c r="BM906" t="str">
        <f>""</f>
        <v/>
      </c>
      <c r="BN906" t="s">
        <v>962</v>
      </c>
      <c r="BP906" t="s">
        <v>175</v>
      </c>
      <c r="BQ906" t="s">
        <v>183</v>
      </c>
      <c r="BR906" t="s">
        <v>176</v>
      </c>
      <c r="BS906" s="5">
        <v>98052</v>
      </c>
      <c r="BT906" s="2">
        <v>130420</v>
      </c>
      <c r="BV906" t="s">
        <v>105</v>
      </c>
      <c r="BW906" s="2">
        <v>113110</v>
      </c>
      <c r="BX906" t="s">
        <v>105</v>
      </c>
      <c r="BZ906" t="s">
        <v>167</v>
      </c>
      <c r="CA906" t="str">
        <f t="shared" si="66"/>
        <v>7/1/2020 - 6/30/2021</v>
      </c>
      <c r="CF906">
        <v>1</v>
      </c>
      <c r="CG906" t="s">
        <v>98</v>
      </c>
      <c r="CH906" t="s">
        <v>206</v>
      </c>
      <c r="CI906" t="s">
        <v>206</v>
      </c>
      <c r="CL906" t="s">
        <v>108</v>
      </c>
      <c r="CM906" t="s">
        <v>109</v>
      </c>
      <c r="CN906" t="str">
        <f>"DSOUZA"</f>
        <v>DSOUZA</v>
      </c>
      <c r="CO906" t="str">
        <f>"MACLIFF"</f>
        <v>MACLIFF</v>
      </c>
      <c r="CP906" t="str">
        <f>"N/A"</f>
        <v>N/A</v>
      </c>
      <c r="CQ906" t="str">
        <f>"INTEGREON MANAGED SOLUTIONS (INDIA) PVT LTD"</f>
        <v>INTEGREON MANAGED SOLUTIONS (INDIA) PVT LTD</v>
      </c>
      <c r="CR906" t="s">
        <v>1842</v>
      </c>
    </row>
    <row r="907" spans="1:96" x14ac:dyDescent="0.2">
      <c r="A907" t="s">
        <v>10351</v>
      </c>
      <c r="B907" t="s">
        <v>96</v>
      </c>
      <c r="C907" s="1">
        <v>44098</v>
      </c>
      <c r="D907" s="1">
        <v>44105</v>
      </c>
      <c r="F907" t="s">
        <v>97</v>
      </c>
      <c r="G907" t="str">
        <f>"Associate Research Scientist"</f>
        <v>Associate Research Scientist</v>
      </c>
      <c r="H907" t="s">
        <v>12170</v>
      </c>
      <c r="I907" t="s">
        <v>685</v>
      </c>
      <c r="J907" t="s">
        <v>98</v>
      </c>
      <c r="K907" s="1">
        <v>44132</v>
      </c>
      <c r="L907" s="1">
        <v>45226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487</v>
      </c>
      <c r="U907" t="str">
        <f>""</f>
        <v/>
      </c>
      <c r="V907" t="s">
        <v>488</v>
      </c>
      <c r="W907" t="str">
        <f>"Box 57B"</f>
        <v>Box 57B</v>
      </c>
      <c r="X907" t="s">
        <v>277</v>
      </c>
      <c r="Y907" t="s">
        <v>190</v>
      </c>
      <c r="Z907" s="3">
        <v>10032</v>
      </c>
      <c r="AA907" t="s">
        <v>101</v>
      </c>
      <c r="AC907" s="4" t="str">
        <f>"+12123058267"</f>
        <v>+12123058267</v>
      </c>
      <c r="AE907" t="str">
        <f>"611310"</f>
        <v>611310</v>
      </c>
      <c r="AF907" t="s">
        <v>489</v>
      </c>
      <c r="AG907" t="s">
        <v>490</v>
      </c>
      <c r="AH907" t="s">
        <v>491</v>
      </c>
      <c r="AI907" t="s">
        <v>117</v>
      </c>
      <c r="AJ907" t="s">
        <v>488</v>
      </c>
      <c r="AK907" t="str">
        <f>"Box 57B"</f>
        <v>Box 57B</v>
      </c>
      <c r="AL907" t="s">
        <v>277</v>
      </c>
      <c r="AM907" t="s">
        <v>190</v>
      </c>
      <c r="AN907" s="3">
        <v>10032</v>
      </c>
      <c r="AO907" t="s">
        <v>101</v>
      </c>
      <c r="AQ907" t="str">
        <f>"+12123058267"</f>
        <v>+12123058267</v>
      </c>
      <c r="AS907" t="s">
        <v>492</v>
      </c>
      <c r="AT907" t="s">
        <v>102</v>
      </c>
      <c r="AU907" t="str">
        <f>""</f>
        <v/>
      </c>
      <c r="AV907" t="str">
        <f>""</f>
        <v/>
      </c>
      <c r="AW907" t="str">
        <f>""</f>
        <v/>
      </c>
      <c r="AX907" t="str">
        <f>""</f>
        <v/>
      </c>
      <c r="AY907" t="str">
        <f>""</f>
        <v/>
      </c>
      <c r="AZ907" t="str">
        <f>""</f>
        <v/>
      </c>
      <c r="BA907" t="str">
        <f>""</f>
        <v/>
      </c>
      <c r="BC907" t="str">
        <f>""</f>
        <v/>
      </c>
      <c r="BD907" t="str">
        <f>""</f>
        <v/>
      </c>
      <c r="BE907" t="str">
        <f>""</f>
        <v/>
      </c>
      <c r="BF907" t="str">
        <f>""</f>
        <v/>
      </c>
      <c r="BG907" t="str">
        <f>""</f>
        <v/>
      </c>
      <c r="BH907" t="str">
        <f>""</f>
        <v/>
      </c>
      <c r="BI907" t="str">
        <f>""</f>
        <v/>
      </c>
      <c r="BJ907" t="str">
        <f>""</f>
        <v/>
      </c>
      <c r="BK907">
        <v>1</v>
      </c>
      <c r="BL907" t="s">
        <v>102</v>
      </c>
      <c r="BM907" t="str">
        <f>""</f>
        <v/>
      </c>
      <c r="BN907" t="s">
        <v>10352</v>
      </c>
      <c r="BP907" t="s">
        <v>277</v>
      </c>
      <c r="BQ907" t="s">
        <v>189</v>
      </c>
      <c r="BR907" t="s">
        <v>190</v>
      </c>
      <c r="BS907" s="5">
        <v>10032</v>
      </c>
      <c r="BT907" s="2">
        <v>66100</v>
      </c>
      <c r="BV907" t="s">
        <v>105</v>
      </c>
      <c r="BW907" s="2">
        <v>53186</v>
      </c>
      <c r="BX907" t="s">
        <v>105</v>
      </c>
      <c r="BZ907" t="s">
        <v>191</v>
      </c>
      <c r="CA907" t="str">
        <f t="shared" si="66"/>
        <v>7/1/2020 - 6/30/2021</v>
      </c>
      <c r="CF907">
        <v>1</v>
      </c>
      <c r="CG907" t="s">
        <v>98</v>
      </c>
      <c r="CH907" t="s">
        <v>206</v>
      </c>
      <c r="CI907" t="s">
        <v>206</v>
      </c>
      <c r="CL907" t="s">
        <v>108</v>
      </c>
      <c r="CM907" t="s">
        <v>109</v>
      </c>
      <c r="CN907" t="str">
        <f>""</f>
        <v/>
      </c>
      <c r="CO907" t="str">
        <f>""</f>
        <v/>
      </c>
      <c r="CP907" t="str">
        <f>""</f>
        <v/>
      </c>
      <c r="CQ907" t="str">
        <f>""</f>
        <v/>
      </c>
    </row>
    <row r="908" spans="1:96" x14ac:dyDescent="0.2">
      <c r="A908" t="s">
        <v>10353</v>
      </c>
      <c r="B908" t="s">
        <v>96</v>
      </c>
      <c r="C908" s="1">
        <v>44098</v>
      </c>
      <c r="D908" s="1">
        <v>44105</v>
      </c>
      <c r="F908" t="s">
        <v>97</v>
      </c>
      <c r="G908" t="str">
        <f>"Physical Therapist"</f>
        <v>Physical Therapist</v>
      </c>
      <c r="H908" t="s">
        <v>12202</v>
      </c>
      <c r="I908" t="s">
        <v>1740</v>
      </c>
      <c r="J908" t="s">
        <v>98</v>
      </c>
      <c r="K908" s="1">
        <v>44119</v>
      </c>
      <c r="L908" s="1">
        <v>45213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10354</v>
      </c>
      <c r="U908" t="str">
        <f>""</f>
        <v/>
      </c>
      <c r="V908" t="s">
        <v>10355</v>
      </c>
      <c r="W908" t="str">
        <f>"Floor 2"</f>
        <v>Floor 2</v>
      </c>
      <c r="X908" t="s">
        <v>2464</v>
      </c>
      <c r="Y908" t="s">
        <v>280</v>
      </c>
      <c r="Z908" s="3">
        <v>6109</v>
      </c>
      <c r="AA908" t="s">
        <v>101</v>
      </c>
      <c r="AC908" s="4" t="str">
        <f>"+18606100400"</f>
        <v>+18606100400</v>
      </c>
      <c r="AE908" t="str">
        <f>"621340"</f>
        <v>621340</v>
      </c>
      <c r="AF908" t="s">
        <v>10356</v>
      </c>
      <c r="AG908" t="s">
        <v>4024</v>
      </c>
      <c r="AI908" t="s">
        <v>10357</v>
      </c>
      <c r="AJ908" t="s">
        <v>10355</v>
      </c>
      <c r="AK908" t="str">
        <f>""</f>
        <v/>
      </c>
      <c r="AL908" t="s">
        <v>2464</v>
      </c>
      <c r="AM908" t="s">
        <v>280</v>
      </c>
      <c r="AN908" s="3">
        <v>6109</v>
      </c>
      <c r="AO908" t="s">
        <v>101</v>
      </c>
      <c r="AQ908" t="str">
        <f>"+18606100400"</f>
        <v>+18606100400</v>
      </c>
      <c r="AS908" t="s">
        <v>10358</v>
      </c>
      <c r="AT908" t="s">
        <v>107</v>
      </c>
      <c r="AU908" t="str">
        <f>"Ambrosetti"</f>
        <v>Ambrosetti</v>
      </c>
      <c r="AV908" t="str">
        <f>"Rita"</f>
        <v>Rita</v>
      </c>
      <c r="AW908" t="str">
        <f>""</f>
        <v/>
      </c>
      <c r="AX908" t="str">
        <f>"230 W. Monroe Street"</f>
        <v>230 W. Monroe Street</v>
      </c>
      <c r="AY908" t="str">
        <f>"Suite 2800"</f>
        <v>Suite 2800</v>
      </c>
      <c r="AZ908" t="str">
        <f>"Chicago"</f>
        <v>Chicago</v>
      </c>
      <c r="BA908" t="str">
        <f>"IL"</f>
        <v>IL</v>
      </c>
      <c r="BB908" s="3">
        <v>60606</v>
      </c>
      <c r="BC908" t="str">
        <f t="shared" ref="BC908:BC919" si="67">"UNITED STATES OF AMERICA"</f>
        <v>UNITED STATES OF AMERICA</v>
      </c>
      <c r="BD908" t="str">
        <f>""</f>
        <v/>
      </c>
      <c r="BE908" t="str">
        <f>"+13127226300"</f>
        <v>+13127226300</v>
      </c>
      <c r="BF908" t="str">
        <f>""</f>
        <v/>
      </c>
      <c r="BG908" t="str">
        <f>"gov@giafirm.com"</f>
        <v>gov@giafirm.com</v>
      </c>
      <c r="BH908" t="str">
        <f>"Global Immigration Associates, P.C."</f>
        <v>Global Immigration Associates, P.C.</v>
      </c>
      <c r="BI908" t="str">
        <f>"NY"</f>
        <v>NY</v>
      </c>
      <c r="BJ908" t="str">
        <f>"New York Court of Appeals"</f>
        <v>New York Court of Appeals</v>
      </c>
      <c r="BK908">
        <v>1</v>
      </c>
      <c r="BL908" t="s">
        <v>107</v>
      </c>
      <c r="BM908" t="str">
        <f>"The Pines at Poughkeepsie Center for Nursing"</f>
        <v>The Pines at Poughkeepsie Center for Nursing</v>
      </c>
      <c r="BN908" t="s">
        <v>10359</v>
      </c>
      <c r="BP908" t="s">
        <v>4834</v>
      </c>
      <c r="BQ908" t="s">
        <v>4835</v>
      </c>
      <c r="BR908" t="s">
        <v>190</v>
      </c>
      <c r="BS908" s="5">
        <v>12601</v>
      </c>
      <c r="BT908" s="2">
        <v>91500</v>
      </c>
      <c r="BV908" t="s">
        <v>105</v>
      </c>
      <c r="BW908" s="2">
        <v>85342</v>
      </c>
      <c r="BX908" t="s">
        <v>105</v>
      </c>
      <c r="BZ908" t="s">
        <v>167</v>
      </c>
      <c r="CA908" t="str">
        <f t="shared" si="66"/>
        <v>7/1/2020 - 6/30/2021</v>
      </c>
      <c r="CF908">
        <v>1</v>
      </c>
      <c r="CG908" t="s">
        <v>98</v>
      </c>
      <c r="CH908" t="s">
        <v>206</v>
      </c>
      <c r="CI908" t="s">
        <v>206</v>
      </c>
      <c r="CL908" t="s">
        <v>108</v>
      </c>
      <c r="CM908" t="s">
        <v>109</v>
      </c>
      <c r="CN908" t="str">
        <f>""</f>
        <v/>
      </c>
      <c r="CO908" t="str">
        <f>""</f>
        <v/>
      </c>
      <c r="CP908" t="str">
        <f>""</f>
        <v/>
      </c>
      <c r="CQ908" t="str">
        <f>""</f>
        <v/>
      </c>
    </row>
    <row r="909" spans="1:96" x14ac:dyDescent="0.2">
      <c r="A909" t="s">
        <v>10372</v>
      </c>
      <c r="B909" t="s">
        <v>96</v>
      </c>
      <c r="C909" s="1">
        <v>44098</v>
      </c>
      <c r="D909" s="1">
        <v>44105</v>
      </c>
      <c r="F909" t="s">
        <v>97</v>
      </c>
      <c r="G909" t="str">
        <f>"Business Analyst III"</f>
        <v>Business Analyst III</v>
      </c>
      <c r="H909" t="s">
        <v>12214</v>
      </c>
      <c r="I909" t="s">
        <v>276</v>
      </c>
      <c r="J909" t="s">
        <v>98</v>
      </c>
      <c r="K909" s="1">
        <v>44123</v>
      </c>
      <c r="L909" s="1">
        <v>45217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 t="s">
        <v>10337</v>
      </c>
      <c r="U909" t="str">
        <f>""</f>
        <v/>
      </c>
      <c r="V909" t="s">
        <v>3433</v>
      </c>
      <c r="W909" t="str">
        <f>""</f>
        <v/>
      </c>
      <c r="X909" t="s">
        <v>847</v>
      </c>
      <c r="Y909" t="s">
        <v>215</v>
      </c>
      <c r="Z909" s="3">
        <v>30005</v>
      </c>
      <c r="AA909" t="s">
        <v>101</v>
      </c>
      <c r="AC909" s="4" t="str">
        <f>"+16786946873"</f>
        <v>+16786946873</v>
      </c>
      <c r="AE909" t="str">
        <f>"51119"</f>
        <v>51119</v>
      </c>
      <c r="AF909" t="s">
        <v>3434</v>
      </c>
      <c r="AG909" t="s">
        <v>3435</v>
      </c>
      <c r="AI909" t="s">
        <v>3436</v>
      </c>
      <c r="AJ909" t="s">
        <v>3433</v>
      </c>
      <c r="AK909" t="str">
        <f>""</f>
        <v/>
      </c>
      <c r="AL909" t="s">
        <v>847</v>
      </c>
      <c r="AM909" t="s">
        <v>215</v>
      </c>
      <c r="AN909" s="3">
        <v>30005</v>
      </c>
      <c r="AO909" t="s">
        <v>101</v>
      </c>
      <c r="AQ909" t="str">
        <f>"+16786946873"</f>
        <v>+16786946873</v>
      </c>
      <c r="AS909" t="s">
        <v>3437</v>
      </c>
      <c r="AT909" t="s">
        <v>107</v>
      </c>
      <c r="AU909" t="str">
        <f>"Hoops"</f>
        <v>Hoops</v>
      </c>
      <c r="AV909" t="str">
        <f>"Michael"</f>
        <v>Michael</v>
      </c>
      <c r="AW909" t="str">
        <f>"William"</f>
        <v>William</v>
      </c>
      <c r="AX909" t="str">
        <f>"1540 Broadway"</f>
        <v>1540 Broadway</v>
      </c>
      <c r="AY909" t="str">
        <f>""</f>
        <v/>
      </c>
      <c r="AZ909" t="str">
        <f>"New York"</f>
        <v>New York</v>
      </c>
      <c r="BA909" t="str">
        <f>"NY"</f>
        <v>NY</v>
      </c>
      <c r="BB909" s="3">
        <v>10036</v>
      </c>
      <c r="BC909" t="str">
        <f t="shared" si="67"/>
        <v>UNITED STATES OF AMERICA</v>
      </c>
      <c r="BD909" t="str">
        <f>""</f>
        <v/>
      </c>
      <c r="BE909" t="str">
        <f>"+12124711846"</f>
        <v>+12124711846</v>
      </c>
      <c r="BF909" t="str">
        <f>""</f>
        <v/>
      </c>
      <c r="BG909" t="str">
        <f>"mwhoops@duanemorris.com"</f>
        <v>mwhoops@duanemorris.com</v>
      </c>
      <c r="BH909" t="str">
        <f>"Duane Morris LLP"</f>
        <v>Duane Morris LLP</v>
      </c>
      <c r="BI909" t="str">
        <f>"NY"</f>
        <v>NY</v>
      </c>
      <c r="BJ909" t="str">
        <f>"Second Appellate Division"</f>
        <v>Second Appellate Division</v>
      </c>
      <c r="BK909">
        <v>1</v>
      </c>
      <c r="BL909" t="s">
        <v>102</v>
      </c>
      <c r="BM909" t="str">
        <f>""</f>
        <v/>
      </c>
      <c r="BN909" t="s">
        <v>10338</v>
      </c>
      <c r="BP909" t="s">
        <v>3553</v>
      </c>
      <c r="BQ909" t="s">
        <v>2990</v>
      </c>
      <c r="BR909" t="s">
        <v>100</v>
      </c>
      <c r="BS909" s="5">
        <v>7974</v>
      </c>
      <c r="BT909" s="2">
        <v>62733</v>
      </c>
      <c r="BV909" t="s">
        <v>105</v>
      </c>
      <c r="BW909" s="2">
        <v>62733</v>
      </c>
      <c r="BX909" t="s">
        <v>105</v>
      </c>
      <c r="BZ909" t="s">
        <v>191</v>
      </c>
      <c r="CA909" t="str">
        <f t="shared" si="66"/>
        <v>7/1/2020 - 6/30/2021</v>
      </c>
      <c r="CF909">
        <v>2</v>
      </c>
      <c r="CG909" t="s">
        <v>98</v>
      </c>
      <c r="CH909" t="s">
        <v>206</v>
      </c>
      <c r="CI909" t="s">
        <v>206</v>
      </c>
      <c r="CL909" t="s">
        <v>108</v>
      </c>
      <c r="CM909" t="s">
        <v>353</v>
      </c>
      <c r="CN909" t="str">
        <f>""</f>
        <v/>
      </c>
      <c r="CO909" t="str">
        <f>""</f>
        <v/>
      </c>
      <c r="CP909" t="str">
        <f>""</f>
        <v/>
      </c>
      <c r="CQ909" t="str">
        <f>""</f>
        <v/>
      </c>
    </row>
    <row r="910" spans="1:96" x14ac:dyDescent="0.2">
      <c r="A910" t="s">
        <v>10373</v>
      </c>
      <c r="B910" t="s">
        <v>96</v>
      </c>
      <c r="C910" s="1">
        <v>44098</v>
      </c>
      <c r="D910" s="1">
        <v>44105</v>
      </c>
      <c r="F910" t="s">
        <v>97</v>
      </c>
      <c r="G910" t="str">
        <f>"Game Engineer"</f>
        <v>Game Engineer</v>
      </c>
      <c r="H910" t="s">
        <v>12169</v>
      </c>
      <c r="I910" t="s">
        <v>124</v>
      </c>
      <c r="J910" t="s">
        <v>98</v>
      </c>
      <c r="K910" s="1">
        <v>44104</v>
      </c>
      <c r="L910" s="1">
        <v>45198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 t="s">
        <v>10374</v>
      </c>
      <c r="U910" t="str">
        <f>""</f>
        <v/>
      </c>
      <c r="V910" t="s">
        <v>10375</v>
      </c>
      <c r="W910" t="str">
        <f>"Suite 328"</f>
        <v>Suite 328</v>
      </c>
      <c r="X910" t="s">
        <v>1247</v>
      </c>
      <c r="Y910" t="s">
        <v>141</v>
      </c>
      <c r="Z910" s="3">
        <v>90245</v>
      </c>
      <c r="AA910" t="s">
        <v>101</v>
      </c>
      <c r="AC910" s="4" t="str">
        <f>"+18018229166"</f>
        <v>+18018229166</v>
      </c>
      <c r="AE910" t="str">
        <f>"512110"</f>
        <v>512110</v>
      </c>
      <c r="AF910" t="s">
        <v>10376</v>
      </c>
      <c r="AG910" t="s">
        <v>5044</v>
      </c>
      <c r="AI910" t="s">
        <v>508</v>
      </c>
      <c r="AJ910" t="s">
        <v>10375</v>
      </c>
      <c r="AK910" t="str">
        <f>"Suite 328"</f>
        <v>Suite 328</v>
      </c>
      <c r="AL910" t="s">
        <v>1247</v>
      </c>
      <c r="AM910" t="s">
        <v>141</v>
      </c>
      <c r="AN910" s="3">
        <v>90245</v>
      </c>
      <c r="AO910" t="s">
        <v>101</v>
      </c>
      <c r="AQ910" t="str">
        <f>"+18018229166"</f>
        <v>+18018229166</v>
      </c>
      <c r="AS910" t="s">
        <v>10377</v>
      </c>
      <c r="AT910" t="s">
        <v>107</v>
      </c>
      <c r="AU910" t="str">
        <f>"EHRENPREIS"</f>
        <v>EHRENPREIS</v>
      </c>
      <c r="AV910" t="str">
        <f>"JEFFREY"</f>
        <v>JEFFREY</v>
      </c>
      <c r="AW910" t="str">
        <f>""</f>
        <v/>
      </c>
      <c r="AX910" t="str">
        <f>"1880 CENTURY PARK EAST"</f>
        <v>1880 CENTURY PARK EAST</v>
      </c>
      <c r="AY910" t="str">
        <f>"SUITE 550"</f>
        <v>SUITE 550</v>
      </c>
      <c r="AZ910" t="str">
        <f>"LOS ANGELES"</f>
        <v>LOS ANGELES</v>
      </c>
      <c r="BA910" t="str">
        <f>"CA"</f>
        <v>CA</v>
      </c>
      <c r="BB910" s="3">
        <v>90067</v>
      </c>
      <c r="BC910" t="str">
        <f t="shared" si="67"/>
        <v>UNITED STATES OF AMERICA</v>
      </c>
      <c r="BD910" t="str">
        <f>""</f>
        <v/>
      </c>
      <c r="BE910" t="str">
        <f>"+13105536600"</f>
        <v>+13105536600</v>
      </c>
      <c r="BF910" t="str">
        <f>""</f>
        <v/>
      </c>
      <c r="BG910" t="str">
        <f>"JEFF@RALPHEHRENPREIS.COM"</f>
        <v>JEFF@RALPHEHRENPREIS.COM</v>
      </c>
      <c r="BH910" t="str">
        <f>"RALPH EHRENPREIS, A PLC"</f>
        <v>RALPH EHRENPREIS, A PLC</v>
      </c>
      <c r="BI910" t="str">
        <f>"CA"</f>
        <v>CA</v>
      </c>
      <c r="BJ910" t="str">
        <f>"SUPREME COURT OF CALIFORNIA"</f>
        <v>SUPREME COURT OF CALIFORNIA</v>
      </c>
      <c r="BK910">
        <v>1</v>
      </c>
      <c r="BL910" t="s">
        <v>102</v>
      </c>
      <c r="BM910" t="str">
        <f>""</f>
        <v/>
      </c>
      <c r="BN910" t="s">
        <v>10375</v>
      </c>
      <c r="BO910" t="s">
        <v>2496</v>
      </c>
      <c r="BP910" t="s">
        <v>1247</v>
      </c>
      <c r="BQ910" t="s">
        <v>365</v>
      </c>
      <c r="BR910" t="s">
        <v>141</v>
      </c>
      <c r="BS910" s="5">
        <v>90245</v>
      </c>
      <c r="BT910" s="2">
        <v>127000</v>
      </c>
      <c r="BU910" s="2">
        <v>132000</v>
      </c>
      <c r="BV910" t="s">
        <v>105</v>
      </c>
      <c r="BW910" s="2">
        <v>99632</v>
      </c>
      <c r="BX910" t="s">
        <v>105</v>
      </c>
      <c r="BZ910" t="s">
        <v>167</v>
      </c>
      <c r="CA910" t="str">
        <f t="shared" si="66"/>
        <v>7/1/2020 - 6/30/2021</v>
      </c>
      <c r="CF910">
        <v>1</v>
      </c>
      <c r="CG910" t="s">
        <v>98</v>
      </c>
      <c r="CH910" t="s">
        <v>206</v>
      </c>
      <c r="CI910" t="s">
        <v>206</v>
      </c>
      <c r="CL910" t="s">
        <v>108</v>
      </c>
      <c r="CM910" t="s">
        <v>109</v>
      </c>
      <c r="CN910" t="str">
        <f>""</f>
        <v/>
      </c>
      <c r="CO910" t="str">
        <f>""</f>
        <v/>
      </c>
      <c r="CP910" t="str">
        <f>""</f>
        <v/>
      </c>
      <c r="CQ910" t="str">
        <f>""</f>
        <v/>
      </c>
    </row>
    <row r="911" spans="1:96" x14ac:dyDescent="0.2">
      <c r="A911" t="s">
        <v>10383</v>
      </c>
      <c r="B911" t="s">
        <v>96</v>
      </c>
      <c r="C911" s="1">
        <v>44098</v>
      </c>
      <c r="D911" s="1">
        <v>44105</v>
      </c>
      <c r="F911" t="s">
        <v>97</v>
      </c>
      <c r="G911" t="str">
        <f>"Senior Accountant"</f>
        <v>Senior Accountant</v>
      </c>
      <c r="H911" t="s">
        <v>12192</v>
      </c>
      <c r="I911" t="s">
        <v>855</v>
      </c>
      <c r="J911" t="s">
        <v>98</v>
      </c>
      <c r="K911" s="1">
        <v>44105</v>
      </c>
      <c r="L911" s="1">
        <v>45200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10384</v>
      </c>
      <c r="U911" t="str">
        <f>""</f>
        <v/>
      </c>
      <c r="V911" t="s">
        <v>8845</v>
      </c>
      <c r="W911" t="str">
        <f>"Suite 1001"</f>
        <v>Suite 1001</v>
      </c>
      <c r="X911" t="s">
        <v>277</v>
      </c>
      <c r="Y911" t="s">
        <v>190</v>
      </c>
      <c r="Z911" s="3">
        <v>10013</v>
      </c>
      <c r="AA911" t="s">
        <v>101</v>
      </c>
      <c r="AC911" s="4" t="str">
        <f>"+13108041912"</f>
        <v>+13108041912</v>
      </c>
      <c r="AE911" t="str">
        <f>"448150"</f>
        <v>448150</v>
      </c>
      <c r="AF911" t="s">
        <v>10385</v>
      </c>
      <c r="AG911" t="s">
        <v>5361</v>
      </c>
      <c r="AI911" t="s">
        <v>534</v>
      </c>
      <c r="AJ911" t="s">
        <v>8845</v>
      </c>
      <c r="AK911" t="str">
        <f>"Suite 1001"</f>
        <v>Suite 1001</v>
      </c>
      <c r="AL911" t="s">
        <v>277</v>
      </c>
      <c r="AM911" t="s">
        <v>190</v>
      </c>
      <c r="AN911" s="3">
        <v>10013</v>
      </c>
      <c r="AO911" t="s">
        <v>101</v>
      </c>
      <c r="AQ911" t="str">
        <f>"+13108041912"</f>
        <v>+13108041912</v>
      </c>
      <c r="AS911" t="s">
        <v>10386</v>
      </c>
      <c r="AT911" t="s">
        <v>107</v>
      </c>
      <c r="AU911" t="str">
        <f>"Morell"</f>
        <v>Morell</v>
      </c>
      <c r="AV911" t="str">
        <f>"Avram"</f>
        <v>Avram</v>
      </c>
      <c r="AW911" t="str">
        <f>"E."</f>
        <v>E.</v>
      </c>
      <c r="AX911" t="str">
        <f>"7 Times Square"</f>
        <v>7 Times Square</v>
      </c>
      <c r="AY911" t="str">
        <f>"38th Floor"</f>
        <v>38th Floor</v>
      </c>
      <c r="AZ911" t="str">
        <f>"New York"</f>
        <v>New York</v>
      </c>
      <c r="BA911" t="str">
        <f>"NY"</f>
        <v>NY</v>
      </c>
      <c r="BB911" s="3">
        <v>10036</v>
      </c>
      <c r="BC911" t="str">
        <f t="shared" si="67"/>
        <v>UNITED STATES OF AMERICA</v>
      </c>
      <c r="BD911" t="str">
        <f>""</f>
        <v/>
      </c>
      <c r="BE911" t="str">
        <f>"+12123030558"</f>
        <v>+12123030558</v>
      </c>
      <c r="BF911" t="str">
        <f>""</f>
        <v/>
      </c>
      <c r="BG911" t="str">
        <f>"dgoldfinger@pryorcashman.com"</f>
        <v>dgoldfinger@pryorcashman.com</v>
      </c>
      <c r="BH911" t="str">
        <f>"Pryor Cashman LLP"</f>
        <v>Pryor Cashman LLP</v>
      </c>
      <c r="BI911" t="str">
        <f>"NY"</f>
        <v>NY</v>
      </c>
      <c r="BJ911" t="str">
        <f>"New York"</f>
        <v>New York</v>
      </c>
      <c r="BK911">
        <v>1</v>
      </c>
      <c r="BL911" t="s">
        <v>102</v>
      </c>
      <c r="BM911" t="str">
        <f>""</f>
        <v/>
      </c>
      <c r="BN911" t="s">
        <v>8845</v>
      </c>
      <c r="BO911" t="s">
        <v>10171</v>
      </c>
      <c r="BP911" t="s">
        <v>277</v>
      </c>
      <c r="BQ911" t="s">
        <v>189</v>
      </c>
      <c r="BR911" t="s">
        <v>190</v>
      </c>
      <c r="BS911" s="5">
        <v>10013</v>
      </c>
      <c r="BT911" s="2">
        <v>75000</v>
      </c>
      <c r="BV911" t="s">
        <v>105</v>
      </c>
      <c r="BW911" s="2">
        <v>73046</v>
      </c>
      <c r="BX911" t="s">
        <v>105</v>
      </c>
      <c r="CA911" t="str">
        <f>""</f>
        <v/>
      </c>
      <c r="CB911" t="s">
        <v>244</v>
      </c>
      <c r="CC911">
        <v>2020</v>
      </c>
      <c r="CD911" t="s">
        <v>3557</v>
      </c>
      <c r="CE911" t="s">
        <v>5125</v>
      </c>
      <c r="CF911">
        <v>1</v>
      </c>
      <c r="CG911" t="s">
        <v>98</v>
      </c>
      <c r="CH911" t="s">
        <v>206</v>
      </c>
      <c r="CI911" t="s">
        <v>206</v>
      </c>
      <c r="CL911" t="s">
        <v>108</v>
      </c>
      <c r="CM911" t="s">
        <v>109</v>
      </c>
      <c r="CN911" t="str">
        <f>""</f>
        <v/>
      </c>
      <c r="CO911" t="str">
        <f>""</f>
        <v/>
      </c>
      <c r="CP911" t="str">
        <f>""</f>
        <v/>
      </c>
      <c r="CQ911" t="str">
        <f>""</f>
        <v/>
      </c>
    </row>
    <row r="912" spans="1:96" x14ac:dyDescent="0.2">
      <c r="A912" t="s">
        <v>10389</v>
      </c>
      <c r="B912" t="s">
        <v>96</v>
      </c>
      <c r="C912" s="1">
        <v>44098</v>
      </c>
      <c r="D912" s="1">
        <v>44105</v>
      </c>
      <c r="F912" t="s">
        <v>97</v>
      </c>
      <c r="G912" t="str">
        <f>"Staff Accountant"</f>
        <v>Staff Accountant</v>
      </c>
      <c r="H912" t="s">
        <v>12192</v>
      </c>
      <c r="I912" t="s">
        <v>855</v>
      </c>
      <c r="J912" t="s">
        <v>206</v>
      </c>
      <c r="K912" s="1">
        <v>44109</v>
      </c>
      <c r="L912" s="1">
        <v>45203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 t="s">
        <v>10390</v>
      </c>
      <c r="U912" t="str">
        <f>"1010data"</f>
        <v>1010data</v>
      </c>
      <c r="V912" t="s">
        <v>10391</v>
      </c>
      <c r="W912" t="str">
        <f>"Floor 4"</f>
        <v>Floor 4</v>
      </c>
      <c r="X912" t="s">
        <v>277</v>
      </c>
      <c r="Y912" t="s">
        <v>190</v>
      </c>
      <c r="Z912" s="3">
        <v>10017</v>
      </c>
      <c r="AA912" t="s">
        <v>101</v>
      </c>
      <c r="AC912" s="4" t="str">
        <f>"+16465325074"</f>
        <v>+16465325074</v>
      </c>
      <c r="AE912" t="str">
        <f>"541511"</f>
        <v>541511</v>
      </c>
      <c r="AF912" t="s">
        <v>10392</v>
      </c>
      <c r="AG912" t="s">
        <v>349</v>
      </c>
      <c r="AI912" t="s">
        <v>1183</v>
      </c>
      <c r="AJ912" t="s">
        <v>10391</v>
      </c>
      <c r="AK912" t="str">
        <f>"Floor 4"</f>
        <v>Floor 4</v>
      </c>
      <c r="AL912" t="s">
        <v>277</v>
      </c>
      <c r="AM912" t="s">
        <v>190</v>
      </c>
      <c r="AN912" s="3">
        <v>10017</v>
      </c>
      <c r="AO912" t="s">
        <v>101</v>
      </c>
      <c r="AQ912" t="str">
        <f>"+16465325074"</f>
        <v>+16465325074</v>
      </c>
      <c r="AS912" t="s">
        <v>10393</v>
      </c>
      <c r="AT912" t="s">
        <v>107</v>
      </c>
      <c r="AU912" t="str">
        <f>"Clarke"</f>
        <v>Clarke</v>
      </c>
      <c r="AV912" t="str">
        <f>"Marsha"</f>
        <v>Marsha</v>
      </c>
      <c r="AW912" t="str">
        <f>""</f>
        <v/>
      </c>
      <c r="AX912" t="str">
        <f>"230 W Monroe Street"</f>
        <v>230 W Monroe Street</v>
      </c>
      <c r="AY912" t="str">
        <f>"Suite 2800"</f>
        <v>Suite 2800</v>
      </c>
      <c r="AZ912" t="str">
        <f>"Chicago"</f>
        <v>Chicago</v>
      </c>
      <c r="BA912" t="str">
        <f>"IL"</f>
        <v>IL</v>
      </c>
      <c r="BB912" s="3">
        <v>60606</v>
      </c>
      <c r="BC912" t="str">
        <f t="shared" si="67"/>
        <v>UNITED STATES OF AMERICA</v>
      </c>
      <c r="BD912" t="str">
        <f>""</f>
        <v/>
      </c>
      <c r="BE912" t="str">
        <f>"+13127226300"</f>
        <v>+13127226300</v>
      </c>
      <c r="BF912" t="str">
        <f>""</f>
        <v/>
      </c>
      <c r="BG912" t="str">
        <f>"gov@giafirm.com"</f>
        <v>gov@giafirm.com</v>
      </c>
      <c r="BH912" t="str">
        <f>"Global Immigration Associates, P. C."</f>
        <v>Global Immigration Associates, P. C.</v>
      </c>
      <c r="BI912" t="str">
        <f>"CT"</f>
        <v>CT</v>
      </c>
      <c r="BJ912" t="str">
        <f>"Supreme Court"</f>
        <v>Supreme Court</v>
      </c>
      <c r="BK912">
        <v>1</v>
      </c>
      <c r="BL912" t="s">
        <v>102</v>
      </c>
      <c r="BM912" t="str">
        <f>""</f>
        <v/>
      </c>
      <c r="BN912" t="s">
        <v>10391</v>
      </c>
      <c r="BO912" t="s">
        <v>1105</v>
      </c>
      <c r="BP912" t="s">
        <v>277</v>
      </c>
      <c r="BQ912" t="s">
        <v>189</v>
      </c>
      <c r="BR912" t="s">
        <v>190</v>
      </c>
      <c r="BS912" s="5">
        <v>10017</v>
      </c>
      <c r="BT912" s="2">
        <v>30.76</v>
      </c>
      <c r="BV912" t="s">
        <v>210</v>
      </c>
      <c r="BW912" s="2">
        <v>29.84</v>
      </c>
      <c r="BX912" t="s">
        <v>210</v>
      </c>
      <c r="BZ912" t="s">
        <v>191</v>
      </c>
      <c r="CA912" t="str">
        <f t="shared" ref="CA912:CA917" si="68">"7/1/2020 - 6/30/2021"</f>
        <v>7/1/2020 - 6/30/2021</v>
      </c>
      <c r="CF912">
        <v>1</v>
      </c>
      <c r="CG912" t="s">
        <v>98</v>
      </c>
      <c r="CH912" t="s">
        <v>206</v>
      </c>
      <c r="CI912" t="s">
        <v>206</v>
      </c>
      <c r="CL912" t="s">
        <v>108</v>
      </c>
      <c r="CM912" t="s">
        <v>109</v>
      </c>
      <c r="CN912" t="str">
        <f>""</f>
        <v/>
      </c>
      <c r="CO912" t="str">
        <f>""</f>
        <v/>
      </c>
      <c r="CP912" t="str">
        <f>""</f>
        <v/>
      </c>
      <c r="CQ912" t="str">
        <f>""</f>
        <v/>
      </c>
    </row>
    <row r="913" spans="1:96" x14ac:dyDescent="0.2">
      <c r="A913" t="s">
        <v>10398</v>
      </c>
      <c r="B913" t="s">
        <v>96</v>
      </c>
      <c r="C913" s="1">
        <v>44098</v>
      </c>
      <c r="D913" s="1">
        <v>44105</v>
      </c>
      <c r="F913" t="s">
        <v>97</v>
      </c>
      <c r="G913" t="str">
        <f>"Firmware Engineer"</f>
        <v>Firmware Engineer</v>
      </c>
      <c r="H913" t="s">
        <v>12258</v>
      </c>
      <c r="I913" t="s">
        <v>863</v>
      </c>
      <c r="J913" t="s">
        <v>98</v>
      </c>
      <c r="K913" s="1">
        <v>44144</v>
      </c>
      <c r="L913" s="1">
        <v>45238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 t="s">
        <v>5444</v>
      </c>
      <c r="U913" t="str">
        <f>""</f>
        <v/>
      </c>
      <c r="V913" t="s">
        <v>5445</v>
      </c>
      <c r="W913" t="str">
        <f>""</f>
        <v/>
      </c>
      <c r="X913" t="s">
        <v>3158</v>
      </c>
      <c r="Y913" t="s">
        <v>166</v>
      </c>
      <c r="Z913" s="3">
        <v>80021</v>
      </c>
      <c r="AA913" t="s">
        <v>101</v>
      </c>
      <c r="AC913" s="4" t="str">
        <f>"+14084818673"</f>
        <v>+14084818673</v>
      </c>
      <c r="AE913" t="str">
        <f>"334519"</f>
        <v>334519</v>
      </c>
      <c r="AF913" t="s">
        <v>5267</v>
      </c>
      <c r="AG913" t="s">
        <v>5268</v>
      </c>
      <c r="AI913" t="s">
        <v>2030</v>
      </c>
      <c r="AJ913" t="s">
        <v>5269</v>
      </c>
      <c r="AK913" t="str">
        <f>""</f>
        <v/>
      </c>
      <c r="AL913" t="s">
        <v>3158</v>
      </c>
      <c r="AM913" t="s">
        <v>166</v>
      </c>
      <c r="AN913" s="3">
        <v>80021</v>
      </c>
      <c r="AO913" t="s">
        <v>101</v>
      </c>
      <c r="AQ913" t="str">
        <f>"+13036357475"</f>
        <v>+13036357475</v>
      </c>
      <c r="AS913" t="s">
        <v>5270</v>
      </c>
      <c r="AT913" t="s">
        <v>107</v>
      </c>
      <c r="AU913" t="str">
        <f>"DINIUS-PEREZ"</f>
        <v>DINIUS-PEREZ</v>
      </c>
      <c r="AV913" t="str">
        <f>"LAURIE"</f>
        <v>LAURIE</v>
      </c>
      <c r="AW913" t="str">
        <f>"ANNE"</f>
        <v>ANNE</v>
      </c>
      <c r="AX913" t="str">
        <f>"2400 N. GLENVILLE DRIVE"</f>
        <v>2400 N. GLENVILLE DRIVE</v>
      </c>
      <c r="AY913" t="str">
        <f>"BUILDING A, STE 100"</f>
        <v>BUILDING A, STE 100</v>
      </c>
      <c r="AZ913" t="str">
        <f>"RICHARDSON"</f>
        <v>RICHARDSON</v>
      </c>
      <c r="BA913" t="str">
        <f>"TX"</f>
        <v>TX</v>
      </c>
      <c r="BB913" s="3">
        <v>75082</v>
      </c>
      <c r="BC913" t="str">
        <f t="shared" si="67"/>
        <v>UNITED STATES OF AMERICA</v>
      </c>
      <c r="BD913" t="str">
        <f>""</f>
        <v/>
      </c>
      <c r="BE913" t="str">
        <f>"+14696543200"</f>
        <v>+14696543200</v>
      </c>
      <c r="BF913" t="str">
        <f>""</f>
        <v/>
      </c>
      <c r="BG913" t="str">
        <f>"LAURIE.PEREZ@BALGLOBAL.COM"</f>
        <v>LAURIE.PEREZ@BALGLOBAL.COM</v>
      </c>
      <c r="BH913" t="str">
        <f>"Berry Appleman &amp; Leiden LLP"</f>
        <v>Berry Appleman &amp; Leiden LLP</v>
      </c>
      <c r="BI913" t="str">
        <f>"ID"</f>
        <v>ID</v>
      </c>
      <c r="BJ913" t="str">
        <f>"SUPREME COURT"</f>
        <v>SUPREME COURT</v>
      </c>
      <c r="BK913">
        <v>1</v>
      </c>
      <c r="BL913" t="s">
        <v>102</v>
      </c>
      <c r="BM913" t="str">
        <f>""</f>
        <v/>
      </c>
      <c r="BN913" t="s">
        <v>10399</v>
      </c>
      <c r="BP913" t="s">
        <v>229</v>
      </c>
      <c r="BQ913" t="s">
        <v>230</v>
      </c>
      <c r="BR913" t="s">
        <v>141</v>
      </c>
      <c r="BS913" s="5">
        <v>94085</v>
      </c>
      <c r="BT913" s="2">
        <v>132808</v>
      </c>
      <c r="BU913" s="2">
        <v>151900</v>
      </c>
      <c r="BV913" t="s">
        <v>105</v>
      </c>
      <c r="BW913" s="2">
        <v>132808</v>
      </c>
      <c r="BX913" t="s">
        <v>105</v>
      </c>
      <c r="BZ913" t="s">
        <v>167</v>
      </c>
      <c r="CA913" t="str">
        <f t="shared" si="68"/>
        <v>7/1/2020 - 6/30/2021</v>
      </c>
      <c r="CF913">
        <v>2</v>
      </c>
      <c r="CG913" t="s">
        <v>98</v>
      </c>
      <c r="CH913" t="s">
        <v>206</v>
      </c>
      <c r="CI913" t="s">
        <v>206</v>
      </c>
      <c r="CL913" t="s">
        <v>108</v>
      </c>
      <c r="CM913" t="s">
        <v>109</v>
      </c>
      <c r="CN913" t="str">
        <f>""</f>
        <v/>
      </c>
      <c r="CO913" t="str">
        <f>""</f>
        <v/>
      </c>
      <c r="CP913" t="str">
        <f>""</f>
        <v/>
      </c>
      <c r="CQ913" t="str">
        <f>""</f>
        <v/>
      </c>
    </row>
    <row r="914" spans="1:96" x14ac:dyDescent="0.2">
      <c r="A914" t="s">
        <v>10400</v>
      </c>
      <c r="B914" t="s">
        <v>96</v>
      </c>
      <c r="C914" s="1">
        <v>44098</v>
      </c>
      <c r="D914" s="1">
        <v>44105</v>
      </c>
      <c r="F914" t="s">
        <v>97</v>
      </c>
      <c r="G914" t="str">
        <f>"Data Engineer III"</f>
        <v>Data Engineer III</v>
      </c>
      <c r="H914" t="s">
        <v>12168</v>
      </c>
      <c r="I914" t="s">
        <v>354</v>
      </c>
      <c r="J914" t="s">
        <v>98</v>
      </c>
      <c r="K914" s="1">
        <v>44198</v>
      </c>
      <c r="L914" s="1">
        <v>45292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 t="s">
        <v>10401</v>
      </c>
      <c r="U914" t="str">
        <f>""</f>
        <v/>
      </c>
      <c r="V914" t="s">
        <v>8827</v>
      </c>
      <c r="W914" t="str">
        <f>"Suite #300"</f>
        <v>Suite #300</v>
      </c>
      <c r="X914" t="s">
        <v>182</v>
      </c>
      <c r="Y914" t="s">
        <v>176</v>
      </c>
      <c r="Z914" s="3">
        <v>98005</v>
      </c>
      <c r="AA914" t="s">
        <v>101</v>
      </c>
      <c r="AC914" s="4" t="str">
        <f>"+18006489504"</f>
        <v>+18006489504</v>
      </c>
      <c r="AE914" t="str">
        <f>"524210"</f>
        <v>524210</v>
      </c>
      <c r="AF914" t="s">
        <v>10402</v>
      </c>
      <c r="AG914" t="s">
        <v>692</v>
      </c>
      <c r="AI914" t="s">
        <v>8266</v>
      </c>
      <c r="AJ914" t="s">
        <v>8827</v>
      </c>
      <c r="AK914" t="str">
        <f>""</f>
        <v/>
      </c>
      <c r="AL914" t="s">
        <v>182</v>
      </c>
      <c r="AM914" t="s">
        <v>176</v>
      </c>
      <c r="AN914" s="3">
        <v>98005</v>
      </c>
      <c r="AO914" t="s">
        <v>101</v>
      </c>
      <c r="AQ914" t="str">
        <f>"+12242659755"</f>
        <v>+12242659755</v>
      </c>
      <c r="AS914" t="s">
        <v>10403</v>
      </c>
      <c r="AT914" t="s">
        <v>107</v>
      </c>
      <c r="AU914" t="str">
        <f>"Fu"</f>
        <v>Fu</v>
      </c>
      <c r="AV914" t="str">
        <f>"Minnie"</f>
        <v>Minnie</v>
      </c>
      <c r="AW914" t="str">
        <f>""</f>
        <v/>
      </c>
      <c r="AX914" t="str">
        <f>"10701 Parkridge Blvd."</f>
        <v>10701 Parkridge Blvd.</v>
      </c>
      <c r="AY914" t="str">
        <f>"Ste. 300"</f>
        <v>Ste. 300</v>
      </c>
      <c r="AZ914" t="str">
        <f>"Reston"</f>
        <v>Reston</v>
      </c>
      <c r="BA914" t="str">
        <f>"VA"</f>
        <v>VA</v>
      </c>
      <c r="BB914" s="3">
        <v>20191</v>
      </c>
      <c r="BC914" t="str">
        <f t="shared" si="67"/>
        <v>UNITED STATES OF AMERICA</v>
      </c>
      <c r="BD914" t="str">
        <f>""</f>
        <v/>
      </c>
      <c r="BE914" t="str">
        <f>"+17034838300"</f>
        <v>+17034838300</v>
      </c>
      <c r="BF914" t="str">
        <f>"8311"</f>
        <v>8311</v>
      </c>
      <c r="BG914" t="str">
        <f>"Minnie.Fu@jacksonlewis.com"</f>
        <v>Minnie.Fu@jacksonlewis.com</v>
      </c>
      <c r="BH914" t="str">
        <f>"Jackson Lewis P.C."</f>
        <v>Jackson Lewis P.C.</v>
      </c>
      <c r="BI914" t="str">
        <f>"DC"</f>
        <v>DC</v>
      </c>
      <c r="BJ914" t="str">
        <f>"Court of Appeals"</f>
        <v>Court of Appeals</v>
      </c>
      <c r="BK914">
        <v>1</v>
      </c>
      <c r="BL914" t="s">
        <v>102</v>
      </c>
      <c r="BM914" t="str">
        <f>""</f>
        <v/>
      </c>
      <c r="BN914" t="s">
        <v>10404</v>
      </c>
      <c r="BO914" t="s">
        <v>10405</v>
      </c>
      <c r="BP914" t="s">
        <v>182</v>
      </c>
      <c r="BQ914" t="s">
        <v>183</v>
      </c>
      <c r="BR914" t="s">
        <v>176</v>
      </c>
      <c r="BS914" s="5">
        <v>98005</v>
      </c>
      <c r="BT914" s="2">
        <v>134976.48000000001</v>
      </c>
      <c r="BV914" t="s">
        <v>105</v>
      </c>
      <c r="BW914" s="2">
        <v>97510</v>
      </c>
      <c r="BX914" t="s">
        <v>105</v>
      </c>
      <c r="BZ914" t="s">
        <v>123</v>
      </c>
      <c r="CA914" t="str">
        <f t="shared" si="68"/>
        <v>7/1/2020 - 6/30/2021</v>
      </c>
      <c r="CF914">
        <v>2</v>
      </c>
      <c r="CG914" t="s">
        <v>98</v>
      </c>
      <c r="CH914" t="s">
        <v>206</v>
      </c>
      <c r="CI914" t="s">
        <v>206</v>
      </c>
      <c r="CL914" t="s">
        <v>108</v>
      </c>
      <c r="CM914" t="s">
        <v>353</v>
      </c>
      <c r="CN914" t="str">
        <f>""</f>
        <v/>
      </c>
      <c r="CO914" t="str">
        <f>""</f>
        <v/>
      </c>
      <c r="CP914" t="str">
        <f>""</f>
        <v/>
      </c>
      <c r="CQ914" t="str">
        <f>""</f>
        <v/>
      </c>
    </row>
    <row r="915" spans="1:96" x14ac:dyDescent="0.2">
      <c r="A915" t="s">
        <v>10408</v>
      </c>
      <c r="B915" t="s">
        <v>96</v>
      </c>
      <c r="C915" s="1">
        <v>44098</v>
      </c>
      <c r="D915" s="1">
        <v>44105</v>
      </c>
      <c r="F915" t="s">
        <v>97</v>
      </c>
      <c r="G915" t="str">
        <f>"ITC Support Engineer"</f>
        <v>ITC Support Engineer</v>
      </c>
      <c r="H915" t="s">
        <v>12179</v>
      </c>
      <c r="I915" t="s">
        <v>1357</v>
      </c>
      <c r="J915" t="s">
        <v>98</v>
      </c>
      <c r="K915" s="1">
        <v>44105</v>
      </c>
      <c r="L915" s="1">
        <v>45200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6486</v>
      </c>
      <c r="U915" t="str">
        <f>""</f>
        <v/>
      </c>
      <c r="V915" t="s">
        <v>6487</v>
      </c>
      <c r="W915" t="str">
        <f>""</f>
        <v/>
      </c>
      <c r="X915" t="s">
        <v>277</v>
      </c>
      <c r="Y915" t="s">
        <v>190</v>
      </c>
      <c r="Z915" s="3">
        <v>10001</v>
      </c>
      <c r="AA915" t="s">
        <v>101</v>
      </c>
      <c r="AC915" s="4" t="str">
        <f>"+17183134554"</f>
        <v>+17183134554</v>
      </c>
      <c r="AE915" t="str">
        <f>"541330"</f>
        <v>541330</v>
      </c>
      <c r="AF915" t="s">
        <v>6488</v>
      </c>
      <c r="AG915" t="s">
        <v>964</v>
      </c>
      <c r="AI915" t="s">
        <v>876</v>
      </c>
      <c r="AJ915" t="s">
        <v>6487</v>
      </c>
      <c r="AK915" t="str">
        <f>""</f>
        <v/>
      </c>
      <c r="AL915" t="s">
        <v>277</v>
      </c>
      <c r="AM915" t="s">
        <v>190</v>
      </c>
      <c r="AN915" s="3">
        <v>10001</v>
      </c>
      <c r="AO915" t="s">
        <v>101</v>
      </c>
      <c r="AQ915" t="str">
        <f>"+17183134554"</f>
        <v>+17183134554</v>
      </c>
      <c r="AS915" t="s">
        <v>6489</v>
      </c>
      <c r="AT915" t="s">
        <v>107</v>
      </c>
      <c r="AU915" t="str">
        <f>"Sorensen"</f>
        <v>Sorensen</v>
      </c>
      <c r="AV915" t="str">
        <f>"Anita"</f>
        <v>Anita</v>
      </c>
      <c r="AW915" t="str">
        <f>"Mae"</f>
        <v>Mae</v>
      </c>
      <c r="AX915" t="str">
        <f>"Foley &amp; Lardner LLP"</f>
        <v>Foley &amp; Lardner LLP</v>
      </c>
      <c r="AY915" t="str">
        <f>"150 East Gilman Street, Suite 5000"</f>
        <v>150 East Gilman Street, Suite 5000</v>
      </c>
      <c r="AZ915" t="str">
        <f>"Madison"</f>
        <v>Madison</v>
      </c>
      <c r="BA915" t="str">
        <f>"WI"</f>
        <v>WI</v>
      </c>
      <c r="BB915" s="3">
        <v>53703</v>
      </c>
      <c r="BC915" t="str">
        <f t="shared" si="67"/>
        <v>UNITED STATES OF AMERICA</v>
      </c>
      <c r="BD915" t="str">
        <f>""</f>
        <v/>
      </c>
      <c r="BE915" t="str">
        <f>"+16082584253"</f>
        <v>+16082584253</v>
      </c>
      <c r="BF915" t="str">
        <f>""</f>
        <v/>
      </c>
      <c r="BG915" t="str">
        <f>"asorensen@foley.com"</f>
        <v>asorensen@foley.com</v>
      </c>
      <c r="BH915" t="str">
        <f>"Foley &amp; Lardner LLP"</f>
        <v>Foley &amp; Lardner LLP</v>
      </c>
      <c r="BI915" t="str">
        <f>"WI"</f>
        <v>WI</v>
      </c>
      <c r="BJ915" t="str">
        <f>"Supreme Court"</f>
        <v>Supreme Court</v>
      </c>
      <c r="BK915">
        <v>1</v>
      </c>
      <c r="BL915" t="s">
        <v>107</v>
      </c>
      <c r="BM915" t="str">
        <f>"Siemens Mobility"</f>
        <v>Siemens Mobility</v>
      </c>
      <c r="BN915" t="s">
        <v>10409</v>
      </c>
      <c r="BP915" t="s">
        <v>1213</v>
      </c>
      <c r="BQ915" t="s">
        <v>1214</v>
      </c>
      <c r="BR915" t="s">
        <v>100</v>
      </c>
      <c r="BS915" s="5">
        <v>7306</v>
      </c>
      <c r="BT915" s="2">
        <v>76610</v>
      </c>
      <c r="BV915" t="s">
        <v>105</v>
      </c>
      <c r="BW915" s="2">
        <v>76606</v>
      </c>
      <c r="BX915" t="s">
        <v>105</v>
      </c>
      <c r="BZ915" t="s">
        <v>191</v>
      </c>
      <c r="CA915" t="str">
        <f t="shared" si="68"/>
        <v>7/1/2020 - 6/30/2021</v>
      </c>
      <c r="CF915">
        <v>1</v>
      </c>
      <c r="CG915" t="s">
        <v>98</v>
      </c>
      <c r="CH915" t="s">
        <v>206</v>
      </c>
      <c r="CI915" t="s">
        <v>206</v>
      </c>
      <c r="CL915" t="s">
        <v>108</v>
      </c>
      <c r="CM915" t="s">
        <v>109</v>
      </c>
      <c r="CN915" t="str">
        <f>""</f>
        <v/>
      </c>
      <c r="CO915" t="str">
        <f>""</f>
        <v/>
      </c>
      <c r="CP915" t="str">
        <f>""</f>
        <v/>
      </c>
      <c r="CQ915" t="str">
        <f>""</f>
        <v/>
      </c>
    </row>
    <row r="916" spans="1:96" x14ac:dyDescent="0.2">
      <c r="A916" t="s">
        <v>10410</v>
      </c>
      <c r="B916" t="s">
        <v>96</v>
      </c>
      <c r="C916" s="1">
        <v>44098</v>
      </c>
      <c r="D916" s="1">
        <v>44105</v>
      </c>
      <c r="F916" t="s">
        <v>97</v>
      </c>
      <c r="G916" t="str">
        <f>"SENIOR DATABASE ADMINISTRATOR TECH SPECIALIST"</f>
        <v>SENIOR DATABASE ADMINISTRATOR TECH SPECIALIST</v>
      </c>
      <c r="H916" t="s">
        <v>12225</v>
      </c>
      <c r="I916" t="s">
        <v>628</v>
      </c>
      <c r="J916" t="s">
        <v>98</v>
      </c>
      <c r="K916" s="1">
        <v>44279</v>
      </c>
      <c r="L916" s="1">
        <v>45374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 t="s">
        <v>5515</v>
      </c>
      <c r="U916" t="str">
        <f>""</f>
        <v/>
      </c>
      <c r="V916" t="s">
        <v>5516</v>
      </c>
      <c r="W916" t="str">
        <f>""</f>
        <v/>
      </c>
      <c r="X916" t="s">
        <v>5517</v>
      </c>
      <c r="Y916" t="s">
        <v>857</v>
      </c>
      <c r="Z916" s="3">
        <v>2865</v>
      </c>
      <c r="AA916" t="s">
        <v>101</v>
      </c>
      <c r="AC916" s="4" t="str">
        <f>"+14017701621"</f>
        <v>+14017701621</v>
      </c>
      <c r="AE916" t="str">
        <f>"524114"</f>
        <v>524114</v>
      </c>
      <c r="AF916" t="s">
        <v>5518</v>
      </c>
      <c r="AG916" t="s">
        <v>5519</v>
      </c>
      <c r="AH916" t="s">
        <v>5520</v>
      </c>
      <c r="AI916" t="s">
        <v>5521</v>
      </c>
      <c r="AJ916" t="s">
        <v>5522</v>
      </c>
      <c r="AK916" t="str">
        <f>"695 GEORGE WASHINGTON HWY, MAIL CODE HR695"</f>
        <v>695 GEORGE WASHINGTON HWY, MAIL CODE HR695</v>
      </c>
      <c r="AL916" t="s">
        <v>5517</v>
      </c>
      <c r="AM916" t="s">
        <v>857</v>
      </c>
      <c r="AN916" s="3">
        <v>2865</v>
      </c>
      <c r="AO916" t="s">
        <v>101</v>
      </c>
      <c r="AQ916" t="str">
        <f>"+14017701621"</f>
        <v>+14017701621</v>
      </c>
      <c r="AS916" t="s">
        <v>5523</v>
      </c>
      <c r="AT916" t="s">
        <v>107</v>
      </c>
      <c r="AU916" t="str">
        <f>"WEINTRAUB"</f>
        <v>WEINTRAUB</v>
      </c>
      <c r="AV916" t="str">
        <f>"FREDDI"</f>
        <v>FREDDI</v>
      </c>
      <c r="AW916" t="str">
        <f>"M."</f>
        <v>M.</v>
      </c>
      <c r="AX916" t="str">
        <f>"1400 BROADWAY"</f>
        <v>1400 BROADWAY</v>
      </c>
      <c r="AY916" t="str">
        <f>"9TH FL"</f>
        <v>9TH FL</v>
      </c>
      <c r="AZ916" t="str">
        <f>"NEW YORK"</f>
        <v>NEW YORK</v>
      </c>
      <c r="BA916" t="str">
        <f>"NY"</f>
        <v>NY</v>
      </c>
      <c r="BB916" s="3">
        <v>10018</v>
      </c>
      <c r="BC916" t="str">
        <f t="shared" si="67"/>
        <v>UNITED STATES OF AMERICA</v>
      </c>
      <c r="BD916" t="str">
        <f>""</f>
        <v/>
      </c>
      <c r="BE916" t="str">
        <f>"+12126888555"</f>
        <v>+12126888555</v>
      </c>
      <c r="BF916" t="str">
        <f>""</f>
        <v/>
      </c>
      <c r="BG916" t="str">
        <f>"MARK.GARCERAN@FRAGOMEN.COM"</f>
        <v>MARK.GARCERAN@FRAGOMEN.COM</v>
      </c>
      <c r="BH916" t="str">
        <f>"FRAGOMEN, DEL REY, BERNSEN &amp; LOEWY, LLP"</f>
        <v>FRAGOMEN, DEL REY, BERNSEN &amp; LOEWY, LLP</v>
      </c>
      <c r="BI916" t="str">
        <f>"NY"</f>
        <v>NY</v>
      </c>
      <c r="BJ916" t="str">
        <f>"NEW YORK STATE COURT OF APPEALS"</f>
        <v>NEW YORK STATE COURT OF APPEALS</v>
      </c>
      <c r="BK916">
        <v>1</v>
      </c>
      <c r="BL916" t="s">
        <v>102</v>
      </c>
      <c r="BM916" t="str">
        <f>""</f>
        <v/>
      </c>
      <c r="BN916" t="s">
        <v>5515</v>
      </c>
      <c r="BO916" t="s">
        <v>6254</v>
      </c>
      <c r="BP916" t="s">
        <v>189</v>
      </c>
      <c r="BQ916" t="s">
        <v>189</v>
      </c>
      <c r="BR916" t="s">
        <v>190</v>
      </c>
      <c r="BS916" s="5">
        <v>10013</v>
      </c>
      <c r="BT916" s="2">
        <v>130051</v>
      </c>
      <c r="BV916" t="s">
        <v>105</v>
      </c>
      <c r="BW916" s="2">
        <v>113048</v>
      </c>
      <c r="BX916" t="s">
        <v>105</v>
      </c>
      <c r="BZ916" t="s">
        <v>123</v>
      </c>
      <c r="CA916" t="str">
        <f t="shared" si="68"/>
        <v>7/1/2020 - 6/30/2021</v>
      </c>
      <c r="CF916">
        <v>1</v>
      </c>
      <c r="CG916" t="s">
        <v>98</v>
      </c>
      <c r="CH916" t="s">
        <v>206</v>
      </c>
      <c r="CI916" t="s">
        <v>206</v>
      </c>
      <c r="CL916" t="s">
        <v>108</v>
      </c>
      <c r="CM916" t="s">
        <v>109</v>
      </c>
      <c r="CN916" t="str">
        <f>"GARCERAN"</f>
        <v>GARCERAN</v>
      </c>
      <c r="CO916" t="str">
        <f>"MARK"</f>
        <v>MARK</v>
      </c>
      <c r="CP916" t="str">
        <f>""</f>
        <v/>
      </c>
      <c r="CQ916" t="str">
        <f>"FRAGOMEN, DEL REY, BERNSEN &amp; LOEWY, LLP"</f>
        <v>FRAGOMEN, DEL REY, BERNSEN &amp; LOEWY, LLP</v>
      </c>
      <c r="CR916" t="s">
        <v>5526</v>
      </c>
    </row>
    <row r="917" spans="1:96" x14ac:dyDescent="0.2">
      <c r="A917" t="s">
        <v>10411</v>
      </c>
      <c r="B917" t="s">
        <v>96</v>
      </c>
      <c r="C917" s="1">
        <v>44098</v>
      </c>
      <c r="D917" s="1">
        <v>44105</v>
      </c>
      <c r="F917" t="s">
        <v>97</v>
      </c>
      <c r="G917" t="str">
        <f>"Associate Director - Professional Services"</f>
        <v>Associate Director - Professional Services</v>
      </c>
      <c r="H917" t="s">
        <v>12178</v>
      </c>
      <c r="I917" t="s">
        <v>582</v>
      </c>
      <c r="J917" t="s">
        <v>98</v>
      </c>
      <c r="K917" s="1">
        <v>44105</v>
      </c>
      <c r="L917" s="1">
        <v>45199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9527</v>
      </c>
      <c r="U917" t="str">
        <f>""</f>
        <v/>
      </c>
      <c r="V917" t="s">
        <v>4147</v>
      </c>
      <c r="W917" t="str">
        <f>"Suite 410"</f>
        <v>Suite 410</v>
      </c>
      <c r="X917" t="s">
        <v>947</v>
      </c>
      <c r="Y917" t="s">
        <v>100</v>
      </c>
      <c r="Z917" s="3">
        <v>8540</v>
      </c>
      <c r="AA917" t="s">
        <v>101</v>
      </c>
      <c r="AC917" s="4" t="str">
        <f>"+19493621247"</f>
        <v>+19493621247</v>
      </c>
      <c r="AE917" t="str">
        <f>"541511"</f>
        <v>541511</v>
      </c>
      <c r="AF917" t="s">
        <v>9528</v>
      </c>
      <c r="AG917" t="s">
        <v>6005</v>
      </c>
      <c r="AI917" t="s">
        <v>9529</v>
      </c>
      <c r="AJ917" t="s">
        <v>4147</v>
      </c>
      <c r="AK917" t="str">
        <f>"SUITE 410"</f>
        <v>SUITE 410</v>
      </c>
      <c r="AL917" t="s">
        <v>947</v>
      </c>
      <c r="AM917" t="s">
        <v>100</v>
      </c>
      <c r="AN917" s="3">
        <v>8540</v>
      </c>
      <c r="AO917" t="s">
        <v>101</v>
      </c>
      <c r="AQ917" t="str">
        <f>"+19492281430"</f>
        <v>+19492281430</v>
      </c>
      <c r="AS917" t="s">
        <v>9530</v>
      </c>
      <c r="AT917" t="s">
        <v>107</v>
      </c>
      <c r="AU917" t="str">
        <f>"MEHROTRA"</f>
        <v>MEHROTRA</v>
      </c>
      <c r="AV917" t="str">
        <f>"RAKESH"</f>
        <v>RAKESH</v>
      </c>
      <c r="AW917" t="str">
        <f>""</f>
        <v/>
      </c>
      <c r="AX917" t="str">
        <f>"11490 Commerce Park Drive"</f>
        <v>11490 Commerce Park Drive</v>
      </c>
      <c r="AY917" t="str">
        <f>"Suite 300"</f>
        <v>Suite 300</v>
      </c>
      <c r="AZ917" t="str">
        <f>"Reston"</f>
        <v>Reston</v>
      </c>
      <c r="BA917" t="str">
        <f>"VA"</f>
        <v>VA</v>
      </c>
      <c r="BB917" s="3">
        <v>20191</v>
      </c>
      <c r="BC917" t="str">
        <f t="shared" si="67"/>
        <v>UNITED STATES OF AMERICA</v>
      </c>
      <c r="BD917" t="str">
        <f>""</f>
        <v/>
      </c>
      <c r="BE917" t="str">
        <f>"+17032306800"</f>
        <v>+17032306800</v>
      </c>
      <c r="BF917" t="str">
        <f>""</f>
        <v/>
      </c>
      <c r="BG917" t="str">
        <f>"vikram@immigrationonline.com"</f>
        <v>vikram@immigrationonline.com</v>
      </c>
      <c r="BH917" t="str">
        <f>"Law Offices of Rakesh Mehrotra"</f>
        <v>Law Offices of Rakesh Mehrotra</v>
      </c>
      <c r="BI917" t="str">
        <f>"VA"</f>
        <v>VA</v>
      </c>
      <c r="BJ917" t="str">
        <f>"SUPREME COURT OF VIRGINIA"</f>
        <v>SUPREME COURT OF VIRGINIA</v>
      </c>
      <c r="BK917">
        <v>1</v>
      </c>
      <c r="BL917" t="s">
        <v>102</v>
      </c>
      <c r="BM917" t="str">
        <f>""</f>
        <v/>
      </c>
      <c r="BN917" t="s">
        <v>4147</v>
      </c>
      <c r="BO917" t="s">
        <v>4919</v>
      </c>
      <c r="BP917" t="s">
        <v>947</v>
      </c>
      <c r="BQ917" t="s">
        <v>404</v>
      </c>
      <c r="BR917" t="s">
        <v>100</v>
      </c>
      <c r="BS917" s="5">
        <v>8540</v>
      </c>
      <c r="BT917" s="2">
        <v>148536</v>
      </c>
      <c r="BV917" t="s">
        <v>105</v>
      </c>
      <c r="BW917" s="2">
        <v>140795</v>
      </c>
      <c r="BX917" t="s">
        <v>105</v>
      </c>
      <c r="BZ917" t="s">
        <v>167</v>
      </c>
      <c r="CA917" t="str">
        <f t="shared" si="68"/>
        <v>7/1/2020 - 6/30/2021</v>
      </c>
      <c r="CF917">
        <v>1</v>
      </c>
      <c r="CG917" t="s">
        <v>98</v>
      </c>
      <c r="CH917" t="s">
        <v>206</v>
      </c>
      <c r="CI917" t="s">
        <v>206</v>
      </c>
      <c r="CL917" t="s">
        <v>108</v>
      </c>
      <c r="CM917" t="s">
        <v>109</v>
      </c>
      <c r="CN917" t="str">
        <f>"AKULA"</f>
        <v>AKULA</v>
      </c>
      <c r="CO917" t="str">
        <f>"Vikram"</f>
        <v>Vikram</v>
      </c>
      <c r="CP917" t="str">
        <f>""</f>
        <v/>
      </c>
      <c r="CQ917" t="str">
        <f>"Law Offices of Rakesh Mehrotra"</f>
        <v>Law Offices of Rakesh Mehrotra</v>
      </c>
      <c r="CR917" t="s">
        <v>6603</v>
      </c>
    </row>
    <row r="918" spans="1:96" x14ac:dyDescent="0.2">
      <c r="A918" t="s">
        <v>10416</v>
      </c>
      <c r="B918" t="s">
        <v>96</v>
      </c>
      <c r="C918" s="1">
        <v>44098</v>
      </c>
      <c r="D918" s="1">
        <v>44105</v>
      </c>
      <c r="F918" t="s">
        <v>97</v>
      </c>
      <c r="G918" t="str">
        <f>"Senior Engineer, Radio Frequency"</f>
        <v>Senior Engineer, Radio Frequency</v>
      </c>
      <c r="H918" t="s">
        <v>12186</v>
      </c>
      <c r="I918" t="s">
        <v>232</v>
      </c>
      <c r="J918" t="s">
        <v>98</v>
      </c>
      <c r="K918" s="1">
        <v>44099</v>
      </c>
      <c r="L918" s="1">
        <v>45193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 t="s">
        <v>478</v>
      </c>
      <c r="U918" t="str">
        <f>""</f>
        <v/>
      </c>
      <c r="V918" t="s">
        <v>479</v>
      </c>
      <c r="W918" t="str">
        <f>""</f>
        <v/>
      </c>
      <c r="X918" t="s">
        <v>182</v>
      </c>
      <c r="Y918" t="s">
        <v>176</v>
      </c>
      <c r="Z918" s="3">
        <v>98006</v>
      </c>
      <c r="AA918" t="s">
        <v>101</v>
      </c>
      <c r="AC918" s="4" t="str">
        <f>"+14253832515"</f>
        <v>+14253832515</v>
      </c>
      <c r="AE918" t="str">
        <f>"517312"</f>
        <v>517312</v>
      </c>
      <c r="AF918" t="s">
        <v>1499</v>
      </c>
      <c r="AG918" t="s">
        <v>1500</v>
      </c>
      <c r="AI918" t="s">
        <v>4827</v>
      </c>
      <c r="AJ918" t="s">
        <v>479</v>
      </c>
      <c r="AK918" t="str">
        <f>""</f>
        <v/>
      </c>
      <c r="AL918" t="s">
        <v>182</v>
      </c>
      <c r="AM918" t="s">
        <v>176</v>
      </c>
      <c r="AN918" s="3">
        <v>98006</v>
      </c>
      <c r="AO918" t="s">
        <v>101</v>
      </c>
      <c r="AQ918" t="str">
        <f>"+14253832515"</f>
        <v>+14253832515</v>
      </c>
      <c r="AS918" t="s">
        <v>1501</v>
      </c>
      <c r="AT918" t="s">
        <v>107</v>
      </c>
      <c r="AU918" t="str">
        <f>"Schultz"</f>
        <v>Schultz</v>
      </c>
      <c r="AV918" t="str">
        <f>"Warren"</f>
        <v>Warren</v>
      </c>
      <c r="AW918" t="str">
        <f>"Michael"</f>
        <v>Michael</v>
      </c>
      <c r="AX918" t="str">
        <f>"333 W. Wacker Drive"</f>
        <v>333 W. Wacker Drive</v>
      </c>
      <c r="AY918" t="str">
        <f>"15th Floor"</f>
        <v>15th Floor</v>
      </c>
      <c r="AZ918" t="str">
        <f>"Chicago"</f>
        <v>Chicago</v>
      </c>
      <c r="BA918" t="str">
        <f>"IL"</f>
        <v>IL</v>
      </c>
      <c r="BB918" s="3">
        <v>60606</v>
      </c>
      <c r="BC918" t="str">
        <f t="shared" si="67"/>
        <v>UNITED STATES OF AMERICA</v>
      </c>
      <c r="BD918" t="str">
        <f>""</f>
        <v/>
      </c>
      <c r="BE918" t="str">
        <f>"+13122636101"</f>
        <v>+13122636101</v>
      </c>
      <c r="BF918" t="str">
        <f>""</f>
        <v/>
      </c>
      <c r="BG918" t="str">
        <f>"LMillis@Fragomen.com"</f>
        <v>LMillis@Fragomen.com</v>
      </c>
      <c r="BH918" t="str">
        <f>"Fragomen Del Rey Bernsen &amp; Loewy LLP"</f>
        <v>Fragomen Del Rey Bernsen &amp; Loewy LLP</v>
      </c>
      <c r="BI918" t="str">
        <f>"PA"</f>
        <v>PA</v>
      </c>
      <c r="BJ918" t="str">
        <f>"Supreme Court"</f>
        <v>Supreme Court</v>
      </c>
      <c r="BK918">
        <v>1</v>
      </c>
      <c r="BL918" t="s">
        <v>102</v>
      </c>
      <c r="BM918" t="str">
        <f>""</f>
        <v/>
      </c>
      <c r="BN918" t="s">
        <v>10417</v>
      </c>
      <c r="BO918" t="s">
        <v>4650</v>
      </c>
      <c r="BP918" t="s">
        <v>5134</v>
      </c>
      <c r="BQ918" t="s">
        <v>5135</v>
      </c>
      <c r="BR918" t="s">
        <v>4591</v>
      </c>
      <c r="BS918" s="5">
        <v>87109</v>
      </c>
      <c r="BT918" s="2">
        <v>105279.95</v>
      </c>
      <c r="BV918" t="s">
        <v>105</v>
      </c>
      <c r="BW918" s="2">
        <v>86453</v>
      </c>
      <c r="BX918" t="s">
        <v>105</v>
      </c>
      <c r="CA918" t="str">
        <f>""</f>
        <v/>
      </c>
      <c r="CB918" t="s">
        <v>244</v>
      </c>
      <c r="CC918">
        <v>2020</v>
      </c>
      <c r="CD918" t="s">
        <v>2321</v>
      </c>
      <c r="CE918" t="s">
        <v>3899</v>
      </c>
      <c r="CF918">
        <v>2</v>
      </c>
      <c r="CG918" t="s">
        <v>98</v>
      </c>
      <c r="CH918" t="s">
        <v>206</v>
      </c>
      <c r="CI918" t="s">
        <v>206</v>
      </c>
      <c r="CL918" t="s">
        <v>108</v>
      </c>
      <c r="CM918" t="s">
        <v>109</v>
      </c>
      <c r="CN918" t="str">
        <f>"Arechar"</f>
        <v>Arechar</v>
      </c>
      <c r="CO918" t="str">
        <f>"Elida"</f>
        <v>Elida</v>
      </c>
      <c r="CP918" t="str">
        <f>""</f>
        <v/>
      </c>
      <c r="CQ918" t="str">
        <f>"Fragomen, Del Rey, Bernsen &amp; Loewy, LLp"</f>
        <v>Fragomen, Del Rey, Bernsen &amp; Loewy, LLp</v>
      </c>
      <c r="CR918" t="s">
        <v>1502</v>
      </c>
    </row>
    <row r="919" spans="1:96" x14ac:dyDescent="0.2">
      <c r="A919" t="s">
        <v>10436</v>
      </c>
      <c r="B919" t="s">
        <v>96</v>
      </c>
      <c r="C919" s="1">
        <v>44098</v>
      </c>
      <c r="D919" s="1">
        <v>44105</v>
      </c>
      <c r="F919" t="s">
        <v>97</v>
      </c>
      <c r="G919" t="str">
        <f>"REGULATORY AFFAIRS SPECIALIST II"</f>
        <v>REGULATORY AFFAIRS SPECIALIST II</v>
      </c>
      <c r="H919" t="s">
        <v>12218</v>
      </c>
      <c r="I919" t="s">
        <v>4120</v>
      </c>
      <c r="J919" t="s">
        <v>98</v>
      </c>
      <c r="K919" s="1">
        <v>44220</v>
      </c>
      <c r="L919" s="1">
        <v>45314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 t="s">
        <v>10437</v>
      </c>
      <c r="U919" t="str">
        <f>""</f>
        <v/>
      </c>
      <c r="V919" t="s">
        <v>10438</v>
      </c>
      <c r="W919" t="str">
        <f>""</f>
        <v/>
      </c>
      <c r="X919" t="s">
        <v>6026</v>
      </c>
      <c r="Y919" t="s">
        <v>265</v>
      </c>
      <c r="Z919" s="3">
        <v>48187</v>
      </c>
      <c r="AA919" t="s">
        <v>101</v>
      </c>
      <c r="AC919" s="4" t="str">
        <f>"+17342450152"</f>
        <v>+17342450152</v>
      </c>
      <c r="AE919" t="str">
        <f>"54169"</f>
        <v>54169</v>
      </c>
      <c r="AF919" t="s">
        <v>3686</v>
      </c>
      <c r="AG919" t="s">
        <v>10439</v>
      </c>
      <c r="AI919" t="s">
        <v>228</v>
      </c>
      <c r="AJ919" t="s">
        <v>10438</v>
      </c>
      <c r="AK919" t="str">
        <f>""</f>
        <v/>
      </c>
      <c r="AL919" t="s">
        <v>6026</v>
      </c>
      <c r="AM919" t="s">
        <v>265</v>
      </c>
      <c r="AN919" s="3">
        <v>48187</v>
      </c>
      <c r="AO919" t="s">
        <v>101</v>
      </c>
      <c r="AQ919" t="str">
        <f>"+17342450152"</f>
        <v>+17342450152</v>
      </c>
      <c r="AS919" t="s">
        <v>10440</v>
      </c>
      <c r="AT919" t="s">
        <v>107</v>
      </c>
      <c r="AU919" t="str">
        <f>"RAVAL"</f>
        <v>RAVAL</v>
      </c>
      <c r="AV919" t="str">
        <f>"SACHIN"</f>
        <v>SACHIN</v>
      </c>
      <c r="AW919" t="str">
        <f>"RAMESH"</f>
        <v>RAMESH</v>
      </c>
      <c r="AX919" t="str">
        <f>"PO BOX 1642"</f>
        <v>PO BOX 1642</v>
      </c>
      <c r="AY919" t="str">
        <f>""</f>
        <v/>
      </c>
      <c r="AZ919" t="str">
        <f>"Hoboken"</f>
        <v>Hoboken</v>
      </c>
      <c r="BA919" t="str">
        <f>"NJ"</f>
        <v>NJ</v>
      </c>
      <c r="BB919" s="3">
        <v>7030</v>
      </c>
      <c r="BC919" t="str">
        <f t="shared" si="67"/>
        <v>UNITED STATES OF AMERICA</v>
      </c>
      <c r="BD919" t="str">
        <f>""</f>
        <v/>
      </c>
      <c r="BE919" t="str">
        <f>"+16468214000"</f>
        <v>+16468214000</v>
      </c>
      <c r="BF919" t="str">
        <f>""</f>
        <v/>
      </c>
      <c r="BG919" t="str">
        <f>"MAIL@IMMLEGAL.COM"</f>
        <v>MAIL@IMMLEGAL.COM</v>
      </c>
      <c r="BH919" t="str">
        <f>"RAMCHAND &amp; RAVAL, P.C."</f>
        <v>RAMCHAND &amp; RAVAL, P.C.</v>
      </c>
      <c r="BI919" t="str">
        <f>"NY"</f>
        <v>NY</v>
      </c>
      <c r="BJ919" t="str">
        <f>"COURT OF APPEALS"</f>
        <v>COURT OF APPEALS</v>
      </c>
      <c r="BK919">
        <v>1</v>
      </c>
      <c r="BL919" t="s">
        <v>102</v>
      </c>
      <c r="BM919" t="str">
        <f>""</f>
        <v/>
      </c>
      <c r="BN919" t="s">
        <v>10438</v>
      </c>
      <c r="BP919" t="s">
        <v>6026</v>
      </c>
      <c r="BQ919" t="s">
        <v>533</v>
      </c>
      <c r="BR919" t="s">
        <v>265</v>
      </c>
      <c r="BS919" s="5">
        <v>48187</v>
      </c>
      <c r="BT919" s="2">
        <v>72000</v>
      </c>
      <c r="BV919" t="s">
        <v>105</v>
      </c>
      <c r="BW919" s="2">
        <v>60258</v>
      </c>
      <c r="BX919" t="s">
        <v>105</v>
      </c>
      <c r="BZ919" t="s">
        <v>167</v>
      </c>
      <c r="CA919" t="str">
        <f t="shared" ref="CA919:CA948" si="69">"7/1/2020 - 6/30/2021"</f>
        <v>7/1/2020 - 6/30/2021</v>
      </c>
      <c r="CF919">
        <v>1</v>
      </c>
      <c r="CG919" t="s">
        <v>98</v>
      </c>
      <c r="CH919" t="s">
        <v>206</v>
      </c>
      <c r="CI919" t="s">
        <v>206</v>
      </c>
      <c r="CL919" t="s">
        <v>108</v>
      </c>
      <c r="CM919" t="s">
        <v>109</v>
      </c>
      <c r="CN919" t="str">
        <f>"RAVAL"</f>
        <v>RAVAL</v>
      </c>
      <c r="CO919" t="str">
        <f>"SACHIN"</f>
        <v>SACHIN</v>
      </c>
      <c r="CP919" t="str">
        <f>"R"</f>
        <v>R</v>
      </c>
      <c r="CQ919" t="str">
        <f>"RAMCHAND &amp; RAVAL, P.C."</f>
        <v>RAMCHAND &amp; RAVAL, P.C.</v>
      </c>
      <c r="CR919" t="s">
        <v>10350</v>
      </c>
    </row>
    <row r="920" spans="1:96" x14ac:dyDescent="0.2">
      <c r="A920" t="s">
        <v>10444</v>
      </c>
      <c r="B920" t="s">
        <v>96</v>
      </c>
      <c r="C920" s="1">
        <v>44098</v>
      </c>
      <c r="D920" s="1">
        <v>44105</v>
      </c>
      <c r="F920" t="s">
        <v>97</v>
      </c>
      <c r="G920" t="str">
        <f>"DIRECTOR-SOLUTION ARCHITECTURE"</f>
        <v>DIRECTOR-SOLUTION ARCHITECTURE</v>
      </c>
      <c r="H920" t="s">
        <v>12169</v>
      </c>
      <c r="I920" t="s">
        <v>124</v>
      </c>
      <c r="J920" t="s">
        <v>98</v>
      </c>
      <c r="K920" s="1">
        <v>44105</v>
      </c>
      <c r="L920" s="1">
        <v>44980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 t="s">
        <v>8918</v>
      </c>
      <c r="U920" t="str">
        <f>""</f>
        <v/>
      </c>
      <c r="V920" t="s">
        <v>8919</v>
      </c>
      <c r="W920" t="str">
        <f>"SUITE 101"</f>
        <v>SUITE 101</v>
      </c>
      <c r="X920" t="s">
        <v>211</v>
      </c>
      <c r="Y920" t="s">
        <v>100</v>
      </c>
      <c r="Z920" s="3">
        <v>8820</v>
      </c>
      <c r="AA920" t="s">
        <v>101</v>
      </c>
      <c r="AC920" s="4" t="str">
        <f>"+19083801960"</f>
        <v>+19083801960</v>
      </c>
      <c r="AE920" t="str">
        <f>"541511"</f>
        <v>541511</v>
      </c>
      <c r="AF920" t="s">
        <v>8920</v>
      </c>
      <c r="AG920" t="s">
        <v>8921</v>
      </c>
      <c r="AI920" t="s">
        <v>8922</v>
      </c>
      <c r="AJ920" t="s">
        <v>8919</v>
      </c>
      <c r="AK920" t="str">
        <f>"SUITE 101"</f>
        <v>SUITE 101</v>
      </c>
      <c r="AL920" t="s">
        <v>211</v>
      </c>
      <c r="AM920" t="s">
        <v>100</v>
      </c>
      <c r="AN920" s="3">
        <v>8820</v>
      </c>
      <c r="AO920" t="s">
        <v>101</v>
      </c>
      <c r="AQ920" t="str">
        <f>"+19083801960"</f>
        <v>+19083801960</v>
      </c>
      <c r="AS920" t="s">
        <v>8923</v>
      </c>
      <c r="AT920" t="s">
        <v>102</v>
      </c>
      <c r="AU920" t="str">
        <f>""</f>
        <v/>
      </c>
      <c r="AV920" t="str">
        <f>""</f>
        <v/>
      </c>
      <c r="AW920" t="str">
        <f>""</f>
        <v/>
      </c>
      <c r="AX920" t="str">
        <f>""</f>
        <v/>
      </c>
      <c r="AY920" t="str">
        <f>""</f>
        <v/>
      </c>
      <c r="AZ920" t="str">
        <f>""</f>
        <v/>
      </c>
      <c r="BA920" t="str">
        <f>""</f>
        <v/>
      </c>
      <c r="BC920" t="str">
        <f>""</f>
        <v/>
      </c>
      <c r="BD920" t="str">
        <f>""</f>
        <v/>
      </c>
      <c r="BE920" t="str">
        <f>""</f>
        <v/>
      </c>
      <c r="BF920" t="str">
        <f>""</f>
        <v/>
      </c>
      <c r="BG920" t="str">
        <f>""</f>
        <v/>
      </c>
      <c r="BH920" t="str">
        <f>""</f>
        <v/>
      </c>
      <c r="BI920" t="str">
        <f>""</f>
        <v/>
      </c>
      <c r="BJ920" t="str">
        <f>""</f>
        <v/>
      </c>
      <c r="BK920">
        <v>1</v>
      </c>
      <c r="BL920" t="s">
        <v>107</v>
      </c>
      <c r="BM920" t="str">
        <f>"MCKINSOL SOFTWARE DELIVERY CENTER(TAPESTRY INC.) "</f>
        <v xml:space="preserve">MCKINSOL SOFTWARE DELIVERY CENTER(TAPESTRY INC.) </v>
      </c>
      <c r="BN920" t="s">
        <v>8919</v>
      </c>
      <c r="BO920" t="s">
        <v>7433</v>
      </c>
      <c r="BP920" t="s">
        <v>211</v>
      </c>
      <c r="BQ920" t="s">
        <v>104</v>
      </c>
      <c r="BR920" t="s">
        <v>100</v>
      </c>
      <c r="BS920" s="5">
        <v>8820</v>
      </c>
      <c r="BT920" s="2">
        <v>101000</v>
      </c>
      <c r="BV920" t="s">
        <v>105</v>
      </c>
      <c r="BW920" s="2">
        <v>100526</v>
      </c>
      <c r="BX920" t="s">
        <v>105</v>
      </c>
      <c r="BZ920" t="s">
        <v>167</v>
      </c>
      <c r="CA920" t="str">
        <f t="shared" si="69"/>
        <v>7/1/2020 - 6/30/2021</v>
      </c>
      <c r="CF920">
        <v>1</v>
      </c>
      <c r="CG920" t="s">
        <v>98</v>
      </c>
      <c r="CH920" t="s">
        <v>206</v>
      </c>
      <c r="CI920" t="s">
        <v>206</v>
      </c>
      <c r="CL920" t="s">
        <v>108</v>
      </c>
      <c r="CM920" t="s">
        <v>109</v>
      </c>
      <c r="CN920" t="str">
        <f>""</f>
        <v/>
      </c>
      <c r="CO920" t="str">
        <f>""</f>
        <v/>
      </c>
      <c r="CP920" t="str">
        <f>""</f>
        <v/>
      </c>
      <c r="CQ920" t="str">
        <f>""</f>
        <v/>
      </c>
    </row>
    <row r="921" spans="1:96" x14ac:dyDescent="0.2">
      <c r="A921" t="s">
        <v>10445</v>
      </c>
      <c r="B921" t="s">
        <v>96</v>
      </c>
      <c r="C921" s="1">
        <v>44098</v>
      </c>
      <c r="D921" s="1">
        <v>44105</v>
      </c>
      <c r="F921" t="s">
        <v>97</v>
      </c>
      <c r="G921" t="str">
        <f>"Senior Software Engineer"</f>
        <v>Senior Software Engineer</v>
      </c>
      <c r="H921" t="s">
        <v>12169</v>
      </c>
      <c r="I921" t="s">
        <v>124</v>
      </c>
      <c r="J921" t="s">
        <v>98</v>
      </c>
      <c r="K921" s="1">
        <v>44105</v>
      </c>
      <c r="L921" s="1">
        <v>45199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 t="s">
        <v>3779</v>
      </c>
      <c r="U921" t="str">
        <f>""</f>
        <v/>
      </c>
      <c r="V921" t="s">
        <v>3780</v>
      </c>
      <c r="W921" t="str">
        <f>""</f>
        <v/>
      </c>
      <c r="X921" t="s">
        <v>1613</v>
      </c>
      <c r="Y921" t="s">
        <v>330</v>
      </c>
      <c r="Z921" s="3">
        <v>53202</v>
      </c>
      <c r="AA921" t="s">
        <v>101</v>
      </c>
      <c r="AC921" s="4" t="str">
        <f>"+14142712400"</f>
        <v>+14142712400</v>
      </c>
      <c r="AE921" t="str">
        <f>"5241"</f>
        <v>5241</v>
      </c>
      <c r="AF921" t="s">
        <v>3781</v>
      </c>
      <c r="AG921" t="s">
        <v>1705</v>
      </c>
      <c r="AH921" t="s">
        <v>1435</v>
      </c>
      <c r="AI921" t="s">
        <v>321</v>
      </c>
      <c r="AJ921" t="s">
        <v>3782</v>
      </c>
      <c r="AK921" t="str">
        <f>""</f>
        <v/>
      </c>
      <c r="AL921" t="s">
        <v>1613</v>
      </c>
      <c r="AM921" t="s">
        <v>330</v>
      </c>
      <c r="AN921" s="3">
        <v>53202</v>
      </c>
      <c r="AO921" t="s">
        <v>101</v>
      </c>
      <c r="AQ921" t="str">
        <f>"+14141665175"</f>
        <v>+14141665175</v>
      </c>
      <c r="AS921" t="s">
        <v>3783</v>
      </c>
      <c r="AT921" t="s">
        <v>107</v>
      </c>
      <c r="AU921" t="str">
        <f>"Kallmeyer"</f>
        <v>Kallmeyer</v>
      </c>
      <c r="AV921" t="str">
        <f>"Maria"</f>
        <v>Maria</v>
      </c>
      <c r="AW921" t="str">
        <f>""</f>
        <v/>
      </c>
      <c r="AX921" t="str">
        <f>"411 East Wisconsin Avenue"</f>
        <v>411 East Wisconsin Avenue</v>
      </c>
      <c r="AY921" t="str">
        <f>"Suite 2400"</f>
        <v>Suite 2400</v>
      </c>
      <c r="AZ921" t="str">
        <f>"Milwaukee"</f>
        <v>Milwaukee</v>
      </c>
      <c r="BA921" t="str">
        <f>"WI"</f>
        <v>WI</v>
      </c>
      <c r="BB921" s="3">
        <v>53202</v>
      </c>
      <c r="BC921" t="str">
        <f t="shared" ref="BC921:BC937" si="70">"UNITED STATES OF AMERICA"</f>
        <v>UNITED STATES OF AMERICA</v>
      </c>
      <c r="BD921" t="str">
        <f>""</f>
        <v/>
      </c>
      <c r="BE921" t="str">
        <f>"+13127155009"</f>
        <v>+13127155009</v>
      </c>
      <c r="BF921" t="str">
        <f>""</f>
        <v/>
      </c>
      <c r="BG921" t="str">
        <f>"stephanie.rackow@quarles.com"</f>
        <v>stephanie.rackow@quarles.com</v>
      </c>
      <c r="BH921" t="str">
        <f>"Quarles &amp; Brady LLP"</f>
        <v>Quarles &amp; Brady LLP</v>
      </c>
      <c r="BI921" t="str">
        <f>"IL"</f>
        <v>IL</v>
      </c>
      <c r="BJ921" t="str">
        <f>"Supreme Court"</f>
        <v>Supreme Court</v>
      </c>
      <c r="BK921">
        <v>1</v>
      </c>
      <c r="BL921" t="s">
        <v>102</v>
      </c>
      <c r="BM921" t="str">
        <f>""</f>
        <v/>
      </c>
      <c r="BN921" t="s">
        <v>5111</v>
      </c>
      <c r="BP921" t="s">
        <v>1613</v>
      </c>
      <c r="BQ921" t="s">
        <v>1614</v>
      </c>
      <c r="BR921" t="s">
        <v>330</v>
      </c>
      <c r="BS921" s="5">
        <v>53202</v>
      </c>
      <c r="BT921" s="2">
        <v>117000</v>
      </c>
      <c r="BV921" t="s">
        <v>105</v>
      </c>
      <c r="BW921" s="2">
        <v>97677</v>
      </c>
      <c r="BX921" t="s">
        <v>105</v>
      </c>
      <c r="BZ921" t="s">
        <v>123</v>
      </c>
      <c r="CA921" t="str">
        <f t="shared" si="69"/>
        <v>7/1/2020 - 6/30/2021</v>
      </c>
      <c r="CF921">
        <v>1</v>
      </c>
      <c r="CG921" t="s">
        <v>98</v>
      </c>
      <c r="CH921" t="s">
        <v>206</v>
      </c>
      <c r="CI921" t="s">
        <v>206</v>
      </c>
      <c r="CL921" t="s">
        <v>108</v>
      </c>
      <c r="CM921" t="s">
        <v>109</v>
      </c>
      <c r="CN921" t="str">
        <f>""</f>
        <v/>
      </c>
      <c r="CO921" t="str">
        <f>""</f>
        <v/>
      </c>
      <c r="CP921" t="str">
        <f>""</f>
        <v/>
      </c>
      <c r="CQ921" t="str">
        <f>""</f>
        <v/>
      </c>
    </row>
    <row r="922" spans="1:96" x14ac:dyDescent="0.2">
      <c r="A922" t="s">
        <v>10448</v>
      </c>
      <c r="B922" t="s">
        <v>96</v>
      </c>
      <c r="C922" s="1">
        <v>44098</v>
      </c>
      <c r="D922" s="1">
        <v>44105</v>
      </c>
      <c r="F922" t="s">
        <v>97</v>
      </c>
      <c r="G922" t="str">
        <f>"Product Management Senior Manager"</f>
        <v>Product Management Senior Manager</v>
      </c>
      <c r="H922" t="s">
        <v>12178</v>
      </c>
      <c r="I922" t="s">
        <v>582</v>
      </c>
      <c r="J922" t="s">
        <v>98</v>
      </c>
      <c r="K922" s="1">
        <v>44274</v>
      </c>
      <c r="L922" s="1">
        <v>45369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 t="s">
        <v>138</v>
      </c>
      <c r="U922" t="str">
        <f>""</f>
        <v/>
      </c>
      <c r="V922" t="s">
        <v>139</v>
      </c>
      <c r="W922" t="str">
        <f>""</f>
        <v/>
      </c>
      <c r="X922" t="s">
        <v>140</v>
      </c>
      <c r="Y922" t="s">
        <v>141</v>
      </c>
      <c r="Z922" s="3">
        <v>94105</v>
      </c>
      <c r="AA922" t="s">
        <v>101</v>
      </c>
      <c r="AC922" s="4" t="str">
        <f>"+14154234215"</f>
        <v>+14154234215</v>
      </c>
      <c r="AD922">
        <v>0</v>
      </c>
      <c r="AE922" t="str">
        <f>"541511"</f>
        <v>541511</v>
      </c>
      <c r="AF922" t="s">
        <v>142</v>
      </c>
      <c r="AG922" t="s">
        <v>143</v>
      </c>
      <c r="AI922" t="s">
        <v>144</v>
      </c>
      <c r="AJ922" t="s">
        <v>139</v>
      </c>
      <c r="AK922" t="str">
        <f>""</f>
        <v/>
      </c>
      <c r="AL922" t="s">
        <v>140</v>
      </c>
      <c r="AM922" t="s">
        <v>141</v>
      </c>
      <c r="AN922" s="3">
        <v>94105</v>
      </c>
      <c r="AO922" t="s">
        <v>101</v>
      </c>
      <c r="AQ922" t="str">
        <f>"+14154234215"</f>
        <v>+14154234215</v>
      </c>
      <c r="AR922">
        <v>0</v>
      </c>
      <c r="AS922" t="s">
        <v>145</v>
      </c>
      <c r="AT922" t="s">
        <v>107</v>
      </c>
      <c r="AU922" t="str">
        <f>"Annand"</f>
        <v>Annand</v>
      </c>
      <c r="AV922" t="str">
        <f>"Christine"</f>
        <v>Christine</v>
      </c>
      <c r="AW922" t="str">
        <f>"F."</f>
        <v>F.</v>
      </c>
      <c r="AX922" t="str">
        <f>"2101 Wilson Blvd."</f>
        <v>2101 Wilson Blvd.</v>
      </c>
      <c r="AY922" t="str">
        <f>"Suite 1100"</f>
        <v>Suite 1100</v>
      </c>
      <c r="AZ922" t="str">
        <f>"Arlington"</f>
        <v>Arlington</v>
      </c>
      <c r="BA922" t="str">
        <f>"VA"</f>
        <v>VA</v>
      </c>
      <c r="BB922" s="3">
        <v>22201</v>
      </c>
      <c r="BC922" t="str">
        <f t="shared" si="70"/>
        <v>UNITED STATES OF AMERICA</v>
      </c>
      <c r="BD922" t="str">
        <f>""</f>
        <v/>
      </c>
      <c r="BE922" t="str">
        <f>"+17036784000"</f>
        <v>+17036784000</v>
      </c>
      <c r="BF922" t="str">
        <f>""</f>
        <v/>
      </c>
      <c r="BG922" t="str">
        <f>"christine@eiglaw.com"</f>
        <v>christine@eiglaw.com</v>
      </c>
      <c r="BH922" t="str">
        <f>"Erickson Immigration Group"</f>
        <v>Erickson Immigration Group</v>
      </c>
      <c r="BI922" t="str">
        <f>"PA"</f>
        <v>PA</v>
      </c>
      <c r="BJ922" t="str">
        <f>"Supreme Court"</f>
        <v>Supreme Court</v>
      </c>
      <c r="BK922">
        <v>1</v>
      </c>
      <c r="BL922" t="s">
        <v>102</v>
      </c>
      <c r="BM922" t="str">
        <f>""</f>
        <v/>
      </c>
      <c r="BN922" t="s">
        <v>10449</v>
      </c>
      <c r="BO922" t="s">
        <v>10450</v>
      </c>
      <c r="BP922" t="s">
        <v>5487</v>
      </c>
      <c r="BQ922" t="s">
        <v>183</v>
      </c>
      <c r="BR922" t="s">
        <v>176</v>
      </c>
      <c r="BS922" s="5">
        <v>98033</v>
      </c>
      <c r="BT922" s="2">
        <v>143998</v>
      </c>
      <c r="BV922" t="s">
        <v>105</v>
      </c>
      <c r="BW922" s="2">
        <v>143998</v>
      </c>
      <c r="BX922" t="s">
        <v>105</v>
      </c>
      <c r="BZ922" t="s">
        <v>167</v>
      </c>
      <c r="CA922" t="str">
        <f t="shared" si="69"/>
        <v>7/1/2020 - 6/30/2021</v>
      </c>
      <c r="CF922">
        <v>2</v>
      </c>
      <c r="CG922" t="s">
        <v>98</v>
      </c>
      <c r="CH922" t="s">
        <v>206</v>
      </c>
      <c r="CI922" t="s">
        <v>206</v>
      </c>
      <c r="CL922" t="s">
        <v>108</v>
      </c>
      <c r="CM922" t="s">
        <v>109</v>
      </c>
      <c r="CN922" t="str">
        <f>"Vandenberg"</f>
        <v>Vandenberg</v>
      </c>
      <c r="CO922" t="str">
        <f>"James"</f>
        <v>James</v>
      </c>
      <c r="CP922" t="str">
        <f>""</f>
        <v/>
      </c>
      <c r="CQ922" t="str">
        <f>"Erickson Immigration Group"</f>
        <v>Erickson Immigration Group</v>
      </c>
      <c r="CR922" t="s">
        <v>3334</v>
      </c>
    </row>
    <row r="923" spans="1:96" x14ac:dyDescent="0.2">
      <c r="A923" t="s">
        <v>10451</v>
      </c>
      <c r="B923" t="s">
        <v>96</v>
      </c>
      <c r="C923" s="1">
        <v>44098</v>
      </c>
      <c r="D923" s="1">
        <v>44105</v>
      </c>
      <c r="F923" t="s">
        <v>97</v>
      </c>
      <c r="G923" t="str">
        <f>"IT Senior Manager, Project Manager"</f>
        <v>IT Senior Manager, Project Manager</v>
      </c>
      <c r="H923" t="s">
        <v>12179</v>
      </c>
      <c r="I923" t="s">
        <v>1357</v>
      </c>
      <c r="J923" t="s">
        <v>98</v>
      </c>
      <c r="K923" s="1">
        <v>44103</v>
      </c>
      <c r="L923" s="1">
        <v>45197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8575</v>
      </c>
      <c r="U923" t="str">
        <f>""</f>
        <v/>
      </c>
      <c r="V923" t="s">
        <v>4100</v>
      </c>
      <c r="W923" t="str">
        <f>""</f>
        <v/>
      </c>
      <c r="X923" t="s">
        <v>99</v>
      </c>
      <c r="Y923" t="s">
        <v>100</v>
      </c>
      <c r="Z923" s="3">
        <v>8933</v>
      </c>
      <c r="AA923" t="s">
        <v>101</v>
      </c>
      <c r="AC923" s="4" t="str">
        <f>"+17325245931"</f>
        <v>+17325245931</v>
      </c>
      <c r="AE923" t="str">
        <f>"3254"</f>
        <v>3254</v>
      </c>
      <c r="AF923" t="s">
        <v>3305</v>
      </c>
      <c r="AG923" t="s">
        <v>748</v>
      </c>
      <c r="AI923" t="s">
        <v>4552</v>
      </c>
      <c r="AJ923" t="s">
        <v>4100</v>
      </c>
      <c r="AK923" t="str">
        <f>""</f>
        <v/>
      </c>
      <c r="AL923" t="s">
        <v>99</v>
      </c>
      <c r="AM923" t="s">
        <v>100</v>
      </c>
      <c r="AN923" s="3">
        <v>8933</v>
      </c>
      <c r="AO923" t="s">
        <v>101</v>
      </c>
      <c r="AQ923" t="str">
        <f>"+17325245931"</f>
        <v>+17325245931</v>
      </c>
      <c r="AS923" t="s">
        <v>4101</v>
      </c>
      <c r="AT923" t="s">
        <v>107</v>
      </c>
      <c r="AU923" t="str">
        <f>"Hamill"</f>
        <v>Hamill</v>
      </c>
      <c r="AV923" t="str">
        <f>"John"</f>
        <v>John</v>
      </c>
      <c r="AW923" t="str">
        <f>"D."</f>
        <v>D.</v>
      </c>
      <c r="AX923" t="str">
        <f>"11 Times Square"</f>
        <v>11 Times Square</v>
      </c>
      <c r="AY923" t="str">
        <f>""</f>
        <v/>
      </c>
      <c r="AZ923" t="str">
        <f>"New York"</f>
        <v>New York</v>
      </c>
      <c r="BA923" t="str">
        <f>"NY"</f>
        <v>NY</v>
      </c>
      <c r="BB923" s="3">
        <v>10036</v>
      </c>
      <c r="BC923" t="str">
        <f t="shared" si="70"/>
        <v>UNITED STATES OF AMERICA</v>
      </c>
      <c r="BD923" t="str">
        <f>""</f>
        <v/>
      </c>
      <c r="BE923" t="str">
        <f>"+14695052822"</f>
        <v>+14695052822</v>
      </c>
      <c r="BF923" t="str">
        <f>""</f>
        <v/>
      </c>
      <c r="BG923" t="str">
        <f>"Ssanichar@balglobal.com"</f>
        <v>Ssanichar@balglobal.com</v>
      </c>
      <c r="BH923" t="str">
        <f>"Berry Appleman &amp; Leiden LLP"</f>
        <v>Berry Appleman &amp; Leiden LLP</v>
      </c>
      <c r="BI923" t="str">
        <f>"NY"</f>
        <v>NY</v>
      </c>
      <c r="BJ923" t="str">
        <f>"New York Court of Appeals"</f>
        <v>New York Court of Appeals</v>
      </c>
      <c r="BK923">
        <v>1</v>
      </c>
      <c r="BL923" t="s">
        <v>102</v>
      </c>
      <c r="BM923" t="str">
        <f>""</f>
        <v/>
      </c>
      <c r="BN923" t="s">
        <v>10452</v>
      </c>
      <c r="BP923" t="s">
        <v>2288</v>
      </c>
      <c r="BQ923" t="s">
        <v>1238</v>
      </c>
      <c r="BR923" t="s">
        <v>127</v>
      </c>
      <c r="BS923" s="5">
        <v>19380</v>
      </c>
      <c r="BT923" s="2">
        <v>166700</v>
      </c>
      <c r="BV923" t="s">
        <v>105</v>
      </c>
      <c r="BW923" s="2">
        <v>125070</v>
      </c>
      <c r="BX923" t="s">
        <v>105</v>
      </c>
      <c r="BZ923" t="s">
        <v>159</v>
      </c>
      <c r="CA923" t="str">
        <f t="shared" si="69"/>
        <v>7/1/2020 - 6/30/2021</v>
      </c>
      <c r="CF923">
        <v>1</v>
      </c>
      <c r="CG923" t="s">
        <v>98</v>
      </c>
      <c r="CH923" t="s">
        <v>206</v>
      </c>
      <c r="CI923" t="s">
        <v>206</v>
      </c>
      <c r="CL923" t="s">
        <v>108</v>
      </c>
      <c r="CM923" t="s">
        <v>109</v>
      </c>
      <c r="CN923" t="str">
        <f>""</f>
        <v/>
      </c>
      <c r="CO923" t="str">
        <f>""</f>
        <v/>
      </c>
      <c r="CP923" t="str">
        <f>""</f>
        <v/>
      </c>
      <c r="CQ923" t="str">
        <f>""</f>
        <v/>
      </c>
    </row>
    <row r="924" spans="1:96" x14ac:dyDescent="0.2">
      <c r="A924" t="s">
        <v>10453</v>
      </c>
      <c r="B924" t="s">
        <v>96</v>
      </c>
      <c r="C924" s="1">
        <v>44098</v>
      </c>
      <c r="D924" s="1">
        <v>44105</v>
      </c>
      <c r="F924" t="s">
        <v>97</v>
      </c>
      <c r="G924" t="str">
        <f>"MTS 1, Information Security"</f>
        <v>MTS 1, Information Security</v>
      </c>
      <c r="H924" t="s">
        <v>12169</v>
      </c>
      <c r="I924" t="s">
        <v>124</v>
      </c>
      <c r="J924" t="s">
        <v>98</v>
      </c>
      <c r="K924" s="1">
        <v>44271</v>
      </c>
      <c r="L924" s="1">
        <v>45366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 t="s">
        <v>583</v>
      </c>
      <c r="U924" t="str">
        <f>""</f>
        <v/>
      </c>
      <c r="V924" t="s">
        <v>584</v>
      </c>
      <c r="W924" t="str">
        <f>"N/A"</f>
        <v>N/A</v>
      </c>
      <c r="X924" t="s">
        <v>585</v>
      </c>
      <c r="Y924" t="s">
        <v>141</v>
      </c>
      <c r="Z924" s="3">
        <v>95131</v>
      </c>
      <c r="AA924" t="s">
        <v>101</v>
      </c>
      <c r="AB924" t="s">
        <v>108</v>
      </c>
      <c r="AC924" s="4" t="str">
        <f>"+14089672992"</f>
        <v>+14089672992</v>
      </c>
      <c r="AD924">
        <v>0</v>
      </c>
      <c r="AE924" t="str">
        <f>"522320"</f>
        <v>522320</v>
      </c>
      <c r="AF924" t="s">
        <v>586</v>
      </c>
      <c r="AG924" t="s">
        <v>587</v>
      </c>
      <c r="AH924" t="s">
        <v>108</v>
      </c>
      <c r="AI924" t="s">
        <v>460</v>
      </c>
      <c r="AJ924" t="s">
        <v>584</v>
      </c>
      <c r="AK924" t="str">
        <f>"N/A"</f>
        <v>N/A</v>
      </c>
      <c r="AL924" t="s">
        <v>585</v>
      </c>
      <c r="AM924" t="s">
        <v>141</v>
      </c>
      <c r="AN924" s="3">
        <v>95131</v>
      </c>
      <c r="AO924" t="s">
        <v>101</v>
      </c>
      <c r="AQ924" t="str">
        <f>"+14089672992"</f>
        <v>+14089672992</v>
      </c>
      <c r="AR924">
        <v>0</v>
      </c>
      <c r="AS924" t="s">
        <v>588</v>
      </c>
      <c r="AT924" t="s">
        <v>107</v>
      </c>
      <c r="AU924" t="str">
        <f>"Jung"</f>
        <v>Jung</v>
      </c>
      <c r="AV924" t="str">
        <f>"David"</f>
        <v>David</v>
      </c>
      <c r="AW924" t="str">
        <f>""</f>
        <v/>
      </c>
      <c r="AX924" t="str">
        <f>"2101 Wilson Blvd."</f>
        <v>2101 Wilson Blvd.</v>
      </c>
      <c r="AY924" t="str">
        <f>"Suite 1100"</f>
        <v>Suite 1100</v>
      </c>
      <c r="AZ924" t="str">
        <f>"Arlington"</f>
        <v>Arlington</v>
      </c>
      <c r="BA924" t="str">
        <f>"VA"</f>
        <v>VA</v>
      </c>
      <c r="BB924" s="3">
        <v>22201</v>
      </c>
      <c r="BC924" t="str">
        <f t="shared" si="70"/>
        <v>UNITED STATES OF AMERICA</v>
      </c>
      <c r="BD924" t="str">
        <f>""</f>
        <v/>
      </c>
      <c r="BE924" t="str">
        <f>"+17036784000"</f>
        <v>+17036784000</v>
      </c>
      <c r="BF924" t="str">
        <f>""</f>
        <v/>
      </c>
      <c r="BG924" t="str">
        <f>"david@eiglaw.com"</f>
        <v>david@eiglaw.com</v>
      </c>
      <c r="BH924" t="str">
        <f>"Erickson Immigration Group"</f>
        <v>Erickson Immigration Group</v>
      </c>
      <c r="BI924" t="str">
        <f>"TN"</f>
        <v>TN</v>
      </c>
      <c r="BJ924" t="str">
        <f>"Supreme Court"</f>
        <v>Supreme Court</v>
      </c>
      <c r="BK924">
        <v>1</v>
      </c>
      <c r="BL924" t="s">
        <v>102</v>
      </c>
      <c r="BM924" t="str">
        <f>""</f>
        <v/>
      </c>
      <c r="BN924" t="s">
        <v>5625</v>
      </c>
      <c r="BP924" t="s">
        <v>1174</v>
      </c>
      <c r="BQ924" t="s">
        <v>257</v>
      </c>
      <c r="BR924" t="s">
        <v>258</v>
      </c>
      <c r="BS924" s="5">
        <v>85258</v>
      </c>
      <c r="BT924" s="2">
        <v>137149</v>
      </c>
      <c r="BV924" t="s">
        <v>105</v>
      </c>
      <c r="BW924" s="2">
        <v>118602</v>
      </c>
      <c r="BX924" t="s">
        <v>105</v>
      </c>
      <c r="BZ924" t="s">
        <v>159</v>
      </c>
      <c r="CA924" t="str">
        <f t="shared" si="69"/>
        <v>7/1/2020 - 6/30/2021</v>
      </c>
      <c r="CF924">
        <v>2</v>
      </c>
      <c r="CG924" t="s">
        <v>98</v>
      </c>
      <c r="CH924" t="s">
        <v>206</v>
      </c>
      <c r="CI924" t="s">
        <v>206</v>
      </c>
      <c r="CL924" t="s">
        <v>108</v>
      </c>
      <c r="CM924" t="s">
        <v>109</v>
      </c>
      <c r="CN924" t="str">
        <f>"KOUWENAAR"</f>
        <v>KOUWENAAR</v>
      </c>
      <c r="CO924" t="str">
        <f>"DAVITA"</f>
        <v>DAVITA</v>
      </c>
      <c r="CP924" t="str">
        <f>"W"</f>
        <v>W</v>
      </c>
      <c r="CQ924" t="str">
        <f>"ERICKSON IMMIGRATION GROUP"</f>
        <v>ERICKSON IMMIGRATION GROUP</v>
      </c>
      <c r="CR924" t="s">
        <v>2858</v>
      </c>
    </row>
    <row r="925" spans="1:96" x14ac:dyDescent="0.2">
      <c r="A925" t="s">
        <v>10454</v>
      </c>
      <c r="B925" t="s">
        <v>96</v>
      </c>
      <c r="C925" s="1">
        <v>44098</v>
      </c>
      <c r="D925" s="1">
        <v>44105</v>
      </c>
      <c r="F925" t="s">
        <v>97</v>
      </c>
      <c r="G925" t="str">
        <f>"Software Development Engineer, Sr."</f>
        <v>Software Development Engineer, Sr.</v>
      </c>
      <c r="H925" t="s">
        <v>12176</v>
      </c>
      <c r="I925" t="s">
        <v>246</v>
      </c>
      <c r="J925" t="s">
        <v>98</v>
      </c>
      <c r="K925" s="1">
        <v>44242</v>
      </c>
      <c r="L925" s="1">
        <v>45336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 t="s">
        <v>7360</v>
      </c>
      <c r="U925" t="str">
        <f>""</f>
        <v/>
      </c>
      <c r="V925" t="s">
        <v>7361</v>
      </c>
      <c r="W925" t="str">
        <f>""</f>
        <v/>
      </c>
      <c r="X925" t="s">
        <v>651</v>
      </c>
      <c r="Y925" t="s">
        <v>141</v>
      </c>
      <c r="Z925" s="3">
        <v>95134</v>
      </c>
      <c r="AA925" t="s">
        <v>101</v>
      </c>
      <c r="AC925" s="4" t="str">
        <f>"+14086206220"</f>
        <v>+14086206220</v>
      </c>
      <c r="AE925" t="str">
        <f>"541511"</f>
        <v>541511</v>
      </c>
      <c r="AF925" t="s">
        <v>7362</v>
      </c>
      <c r="AG925" t="s">
        <v>1022</v>
      </c>
      <c r="AI925" t="s">
        <v>7363</v>
      </c>
      <c r="AJ925" t="s">
        <v>7364</v>
      </c>
      <c r="AK925" t="str">
        <f>""</f>
        <v/>
      </c>
      <c r="AL925" t="s">
        <v>585</v>
      </c>
      <c r="AM925" t="s">
        <v>141</v>
      </c>
      <c r="AN925" s="3">
        <v>95134</v>
      </c>
      <c r="AO925" t="s">
        <v>101</v>
      </c>
      <c r="AQ925" t="str">
        <f>"+14083348079"</f>
        <v>+14083348079</v>
      </c>
      <c r="AS925" t="s">
        <v>7365</v>
      </c>
      <c r="AT925" t="s">
        <v>107</v>
      </c>
      <c r="AU925" t="str">
        <f>"Baker Jones"</f>
        <v>Baker Jones</v>
      </c>
      <c r="AV925" t="str">
        <f>"Lisa"</f>
        <v>Lisa</v>
      </c>
      <c r="AW925" t="str">
        <f>""</f>
        <v/>
      </c>
      <c r="AX925" t="str">
        <f>"2121 Tasman Drive"</f>
        <v>2121 Tasman Drive</v>
      </c>
      <c r="AY925" t="str">
        <f>""</f>
        <v/>
      </c>
      <c r="AZ925" t="str">
        <f>"Santa Clara"</f>
        <v>Santa Clara</v>
      </c>
      <c r="BA925" t="str">
        <f>"CA"</f>
        <v>CA</v>
      </c>
      <c r="BB925" s="3">
        <v>95054</v>
      </c>
      <c r="BC925" t="str">
        <f t="shared" si="70"/>
        <v>UNITED STATES OF AMERICA</v>
      </c>
      <c r="BD925" t="str">
        <f>""</f>
        <v/>
      </c>
      <c r="BE925" t="str">
        <f>"+14089190600"</f>
        <v>+14089190600</v>
      </c>
      <c r="BF925" t="str">
        <f>""</f>
        <v/>
      </c>
      <c r="BG925" t="str">
        <f>"James.Miller@Fragomen.com"</f>
        <v>James.Miller@Fragomen.com</v>
      </c>
      <c r="BH925" t="str">
        <f>"Fragomen, Del Rey, Bernsen &amp; Loewy, LLP"</f>
        <v>Fragomen, Del Rey, Bernsen &amp; Loewy, LLP</v>
      </c>
      <c r="BI925" t="str">
        <f>"CA"</f>
        <v>CA</v>
      </c>
      <c r="BJ925" t="str">
        <f>"Supreme Court"</f>
        <v>Supreme Court</v>
      </c>
      <c r="BK925">
        <v>1</v>
      </c>
      <c r="BL925" t="s">
        <v>102</v>
      </c>
      <c r="BM925" t="str">
        <f>""</f>
        <v/>
      </c>
      <c r="BN925" t="s">
        <v>7364</v>
      </c>
      <c r="BP925" t="s">
        <v>585</v>
      </c>
      <c r="BQ925" t="s">
        <v>230</v>
      </c>
      <c r="BR925" t="s">
        <v>141</v>
      </c>
      <c r="BS925" s="5">
        <v>95134</v>
      </c>
      <c r="BT925" s="2">
        <v>145725</v>
      </c>
      <c r="BU925" s="2">
        <v>167521</v>
      </c>
      <c r="BV925" t="s">
        <v>105</v>
      </c>
      <c r="BW925" s="2">
        <v>145725</v>
      </c>
      <c r="BX925" t="s">
        <v>105</v>
      </c>
      <c r="BZ925" t="s">
        <v>123</v>
      </c>
      <c r="CA925" t="str">
        <f t="shared" si="69"/>
        <v>7/1/2020 - 6/30/2021</v>
      </c>
      <c r="CF925">
        <v>2</v>
      </c>
      <c r="CG925" t="s">
        <v>98</v>
      </c>
      <c r="CH925" t="s">
        <v>206</v>
      </c>
      <c r="CI925" t="s">
        <v>206</v>
      </c>
      <c r="CL925" t="s">
        <v>108</v>
      </c>
      <c r="CM925" t="s">
        <v>109</v>
      </c>
      <c r="CN925" t="str">
        <f>""</f>
        <v/>
      </c>
      <c r="CO925" t="str">
        <f>""</f>
        <v/>
      </c>
      <c r="CP925" t="str">
        <f>""</f>
        <v/>
      </c>
      <c r="CQ925" t="str">
        <f>""</f>
        <v/>
      </c>
    </row>
    <row r="926" spans="1:96" x14ac:dyDescent="0.2">
      <c r="A926" t="s">
        <v>10455</v>
      </c>
      <c r="B926" t="s">
        <v>96</v>
      </c>
      <c r="C926" s="1">
        <v>44098</v>
      </c>
      <c r="D926" s="1">
        <v>44105</v>
      </c>
      <c r="F926" t="s">
        <v>97</v>
      </c>
      <c r="G926" t="str">
        <f>"Technical Leader"</f>
        <v>Technical Leader</v>
      </c>
      <c r="H926" t="s">
        <v>12176</v>
      </c>
      <c r="I926" t="s">
        <v>246</v>
      </c>
      <c r="J926" t="s">
        <v>98</v>
      </c>
      <c r="K926" s="1">
        <v>44136</v>
      </c>
      <c r="L926" s="1">
        <v>45078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 t="s">
        <v>767</v>
      </c>
      <c r="U926" t="str">
        <f>""</f>
        <v/>
      </c>
      <c r="V926" t="s">
        <v>768</v>
      </c>
      <c r="W926" t="str">
        <f>""</f>
        <v/>
      </c>
      <c r="X926" t="s">
        <v>585</v>
      </c>
      <c r="Y926" t="s">
        <v>141</v>
      </c>
      <c r="Z926" s="3">
        <v>95134</v>
      </c>
      <c r="AA926" t="s">
        <v>101</v>
      </c>
      <c r="AC926" s="4" t="str">
        <f>"+14085264000"</f>
        <v>+14085264000</v>
      </c>
      <c r="AE926" t="str">
        <f>"334111"</f>
        <v>334111</v>
      </c>
      <c r="AF926" t="s">
        <v>769</v>
      </c>
      <c r="AG926" t="s">
        <v>770</v>
      </c>
      <c r="AH926" t="s">
        <v>771</v>
      </c>
      <c r="AI926" t="s">
        <v>772</v>
      </c>
      <c r="AJ926" t="s">
        <v>768</v>
      </c>
      <c r="AK926" t="str">
        <f>""</f>
        <v/>
      </c>
      <c r="AL926" t="s">
        <v>585</v>
      </c>
      <c r="AM926" t="s">
        <v>141</v>
      </c>
      <c r="AN926" s="3">
        <v>95134</v>
      </c>
      <c r="AO926" t="s">
        <v>101</v>
      </c>
      <c r="AQ926" t="str">
        <f>"+14085264000"</f>
        <v>+14085264000</v>
      </c>
      <c r="AS926" t="s">
        <v>773</v>
      </c>
      <c r="AT926" t="s">
        <v>107</v>
      </c>
      <c r="AU926" t="str">
        <f>"Hirao"</f>
        <v>Hirao</v>
      </c>
      <c r="AV926" t="str">
        <f>"Mayu"</f>
        <v>Mayu</v>
      </c>
      <c r="AW926" t="str">
        <f>""</f>
        <v/>
      </c>
      <c r="AX926" t="str">
        <f>"2121 Tasman Drive"</f>
        <v>2121 Tasman Drive</v>
      </c>
      <c r="AY926" t="str">
        <f>""</f>
        <v/>
      </c>
      <c r="AZ926" t="str">
        <f>"Santa Clara"</f>
        <v>Santa Clara</v>
      </c>
      <c r="BA926" t="str">
        <f>"CA"</f>
        <v>CA</v>
      </c>
      <c r="BB926" s="3">
        <v>95054</v>
      </c>
      <c r="BC926" t="str">
        <f t="shared" si="70"/>
        <v>UNITED STATES OF AMERICA</v>
      </c>
      <c r="BD926" t="str">
        <f>""</f>
        <v/>
      </c>
      <c r="BE926" t="str">
        <f>"+14089190600"</f>
        <v>+14089190600</v>
      </c>
      <c r="BF926" t="str">
        <f>""</f>
        <v/>
      </c>
      <c r="BG926" t="str">
        <f>"mhirao@fragomen.com"</f>
        <v>mhirao@fragomen.com</v>
      </c>
      <c r="BH926" t="str">
        <f>"Fragomen, Del Rey, Bernsen &amp; Loewy, LLP"</f>
        <v>Fragomen, Del Rey, Bernsen &amp; Loewy, LLP</v>
      </c>
      <c r="BI926" t="str">
        <f>"NJ"</f>
        <v>NJ</v>
      </c>
      <c r="BJ926" t="str">
        <f>"Supreme Court"</f>
        <v>Supreme Court</v>
      </c>
      <c r="BK926">
        <v>1</v>
      </c>
      <c r="BL926" t="s">
        <v>102</v>
      </c>
      <c r="BM926" t="str">
        <f>""</f>
        <v/>
      </c>
      <c r="BN926" t="s">
        <v>10456</v>
      </c>
      <c r="BP926" t="s">
        <v>398</v>
      </c>
      <c r="BQ926" t="s">
        <v>419</v>
      </c>
      <c r="BR926" t="s">
        <v>141</v>
      </c>
      <c r="BS926" s="5">
        <v>94536</v>
      </c>
      <c r="BT926" s="2">
        <v>160700</v>
      </c>
      <c r="BU926" s="2">
        <v>233700</v>
      </c>
      <c r="BV926" t="s">
        <v>105</v>
      </c>
      <c r="BW926" s="2">
        <v>145246</v>
      </c>
      <c r="BX926" t="s">
        <v>105</v>
      </c>
      <c r="BZ926" t="s">
        <v>123</v>
      </c>
      <c r="CA926" t="str">
        <f t="shared" si="69"/>
        <v>7/1/2020 - 6/30/2021</v>
      </c>
      <c r="CF926">
        <v>1</v>
      </c>
      <c r="CG926" t="s">
        <v>98</v>
      </c>
      <c r="CH926" t="s">
        <v>206</v>
      </c>
      <c r="CI926" t="s">
        <v>206</v>
      </c>
      <c r="CL926" t="s">
        <v>108</v>
      </c>
      <c r="CM926" t="s">
        <v>109</v>
      </c>
      <c r="CN926" t="str">
        <f>"Bohnhoff"</f>
        <v>Bohnhoff</v>
      </c>
      <c r="CO926" t="str">
        <f>"Kristine"</f>
        <v>Kristine</v>
      </c>
      <c r="CP926" t="str">
        <f>""</f>
        <v/>
      </c>
      <c r="CQ926" t="str">
        <f>"Fragomen, Del Rey, Bernsen &amp; Loewy, LLP"</f>
        <v>Fragomen, Del Rey, Bernsen &amp; Loewy, LLP</v>
      </c>
      <c r="CR926" t="s">
        <v>2075</v>
      </c>
    </row>
    <row r="927" spans="1:96" x14ac:dyDescent="0.2">
      <c r="A927" t="s">
        <v>10458</v>
      </c>
      <c r="B927" t="s">
        <v>96</v>
      </c>
      <c r="C927" s="1">
        <v>44098</v>
      </c>
      <c r="D927" s="1">
        <v>44105</v>
      </c>
      <c r="F927" t="s">
        <v>97</v>
      </c>
      <c r="G927" t="str">
        <f>"Life Sciences Specialist"</f>
        <v>Life Sciences Specialist</v>
      </c>
      <c r="H927" t="s">
        <v>12263</v>
      </c>
      <c r="I927" t="s">
        <v>5853</v>
      </c>
      <c r="J927" t="s">
        <v>98</v>
      </c>
      <c r="K927" s="1">
        <v>44105</v>
      </c>
      <c r="L927" s="1">
        <v>44787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 t="s">
        <v>10459</v>
      </c>
      <c r="U927" t="str">
        <f>""</f>
        <v/>
      </c>
      <c r="V927" t="s">
        <v>7410</v>
      </c>
      <c r="W927" t="str">
        <f>"Floor 19"</f>
        <v>Floor 19</v>
      </c>
      <c r="X927" t="s">
        <v>207</v>
      </c>
      <c r="Y927" t="s">
        <v>171</v>
      </c>
      <c r="Z927" s="3">
        <v>2109</v>
      </c>
      <c r="AA927" t="s">
        <v>101</v>
      </c>
      <c r="AC927" s="4" t="str">
        <f>"+16179519629"</f>
        <v>+16179519629</v>
      </c>
      <c r="AE927" t="str">
        <f>"541611"</f>
        <v>541611</v>
      </c>
      <c r="AF927" t="s">
        <v>2038</v>
      </c>
      <c r="AG927" t="s">
        <v>3323</v>
      </c>
      <c r="AH927" t="s">
        <v>108</v>
      </c>
      <c r="AI927" t="s">
        <v>10460</v>
      </c>
      <c r="AJ927" t="s">
        <v>7410</v>
      </c>
      <c r="AK927" t="str">
        <f>"Floor 19"</f>
        <v>Floor 19</v>
      </c>
      <c r="AL927" t="s">
        <v>207</v>
      </c>
      <c r="AM927" t="s">
        <v>171</v>
      </c>
      <c r="AN927" s="3">
        <v>2109</v>
      </c>
      <c r="AO927" t="s">
        <v>101</v>
      </c>
      <c r="AQ927" t="str">
        <f>"+16179519629"</f>
        <v>+16179519629</v>
      </c>
      <c r="AS927" t="s">
        <v>10461</v>
      </c>
      <c r="AT927" t="s">
        <v>107</v>
      </c>
      <c r="AU927" t="str">
        <f>"Bhora"</f>
        <v>Bhora</v>
      </c>
      <c r="AV927" t="str">
        <f>"Naveen"</f>
        <v>Naveen</v>
      </c>
      <c r="AW927" t="str">
        <f>"Rahman"</f>
        <v>Rahman</v>
      </c>
      <c r="AX927" t="str">
        <f>"641 Lexington Avenue"</f>
        <v>641 Lexington Avenue</v>
      </c>
      <c r="AY927" t="str">
        <f>"15th Floor"</f>
        <v>15th Floor</v>
      </c>
      <c r="AZ927" t="str">
        <f>"New York"</f>
        <v>New York</v>
      </c>
      <c r="BA927" t="str">
        <f>"NY"</f>
        <v>NY</v>
      </c>
      <c r="BB927" s="3">
        <v>10022</v>
      </c>
      <c r="BC927" t="str">
        <f t="shared" si="70"/>
        <v>UNITED STATES OF AMERICA</v>
      </c>
      <c r="BD927" t="str">
        <f>""</f>
        <v/>
      </c>
      <c r="BE927" t="str">
        <f>"+12128995040"</f>
        <v>+12128995040</v>
      </c>
      <c r="BF927" t="str">
        <f>""</f>
        <v/>
      </c>
      <c r="BG927" t="str">
        <f>"nrahman@wolfsdorf.com"</f>
        <v>nrahman@wolfsdorf.com</v>
      </c>
      <c r="BH927" t="str">
        <f>"Wolfsdorf Rosenthal LLP"</f>
        <v>Wolfsdorf Rosenthal LLP</v>
      </c>
      <c r="BI927" t="str">
        <f>"CA"</f>
        <v>CA</v>
      </c>
      <c r="BJ927" t="str">
        <f>"Supreme Court"</f>
        <v>Supreme Court</v>
      </c>
      <c r="BK927">
        <v>1</v>
      </c>
      <c r="BL927" t="s">
        <v>102</v>
      </c>
      <c r="BM927" t="str">
        <f>""</f>
        <v/>
      </c>
      <c r="BN927" t="s">
        <v>7410</v>
      </c>
      <c r="BO927" t="s">
        <v>2628</v>
      </c>
      <c r="BP927" t="s">
        <v>207</v>
      </c>
      <c r="BQ927" t="s">
        <v>209</v>
      </c>
      <c r="BR927" t="s">
        <v>171</v>
      </c>
      <c r="BS927" s="5">
        <v>2109</v>
      </c>
      <c r="BT927" s="2">
        <v>132000</v>
      </c>
      <c r="BV927" t="s">
        <v>105</v>
      </c>
      <c r="BW927" s="2">
        <v>92810</v>
      </c>
      <c r="BX927" t="s">
        <v>105</v>
      </c>
      <c r="BZ927" t="s">
        <v>123</v>
      </c>
      <c r="CA927" t="str">
        <f t="shared" si="69"/>
        <v>7/1/2020 - 6/30/2021</v>
      </c>
      <c r="CF927">
        <v>2</v>
      </c>
      <c r="CG927" t="s">
        <v>98</v>
      </c>
      <c r="CH927" t="s">
        <v>206</v>
      </c>
      <c r="CI927" t="s">
        <v>206</v>
      </c>
      <c r="CL927" t="s">
        <v>108</v>
      </c>
      <c r="CM927" t="s">
        <v>109</v>
      </c>
      <c r="CN927" t="str">
        <f>"Luo"</f>
        <v>Luo</v>
      </c>
      <c r="CO927" t="str">
        <f>"Tian"</f>
        <v>Tian</v>
      </c>
      <c r="CP927" t="str">
        <f>""</f>
        <v/>
      </c>
      <c r="CQ927" t="str">
        <f>"Wolfsdorf Rosenthal LLP"</f>
        <v>Wolfsdorf Rosenthal LLP</v>
      </c>
      <c r="CR927" t="s">
        <v>1997</v>
      </c>
    </row>
    <row r="928" spans="1:96" x14ac:dyDescent="0.2">
      <c r="A928" t="s">
        <v>10463</v>
      </c>
      <c r="B928" t="s">
        <v>96</v>
      </c>
      <c r="C928" s="1">
        <v>44098</v>
      </c>
      <c r="D928" s="1">
        <v>44105</v>
      </c>
      <c r="F928" t="s">
        <v>97</v>
      </c>
      <c r="G928" t="str">
        <f>"MORTGAGE LENDING BUSINESS ANALYTICS ANALYST II"</f>
        <v>MORTGAGE LENDING BUSINESS ANALYTICS ANALYST II</v>
      </c>
      <c r="H928" t="s">
        <v>12169</v>
      </c>
      <c r="I928" t="s">
        <v>124</v>
      </c>
      <c r="J928" t="s">
        <v>98</v>
      </c>
      <c r="K928" s="1">
        <v>44243</v>
      </c>
      <c r="L928" s="1">
        <v>45337</v>
      </c>
      <c r="M928">
        <v>3</v>
      </c>
      <c r="N928">
        <v>0</v>
      </c>
      <c r="O928">
        <v>3</v>
      </c>
      <c r="P928">
        <v>0</v>
      </c>
      <c r="Q928">
        <v>0</v>
      </c>
      <c r="R928">
        <v>0</v>
      </c>
      <c r="S928">
        <v>0</v>
      </c>
      <c r="T928" t="s">
        <v>6822</v>
      </c>
      <c r="U928" t="str">
        <f>""</f>
        <v/>
      </c>
      <c r="V928" t="s">
        <v>6823</v>
      </c>
      <c r="W928" t="str">
        <f>""</f>
        <v/>
      </c>
      <c r="X928" t="s">
        <v>998</v>
      </c>
      <c r="Y928" t="s">
        <v>122</v>
      </c>
      <c r="Z928" s="3">
        <v>28202</v>
      </c>
      <c r="AA928" t="s">
        <v>101</v>
      </c>
      <c r="AC928" s="4" t="str">
        <f>"+16153918416"</f>
        <v>+16153918416</v>
      </c>
      <c r="AE928" t="str">
        <f>"522110"</f>
        <v>522110</v>
      </c>
      <c r="AF928" t="s">
        <v>2080</v>
      </c>
      <c r="AG928" t="s">
        <v>3160</v>
      </c>
      <c r="AH928" t="s">
        <v>1576</v>
      </c>
      <c r="AI928" t="s">
        <v>6824</v>
      </c>
      <c r="AJ928" t="s">
        <v>6825</v>
      </c>
      <c r="AK928" t="str">
        <f>""</f>
        <v/>
      </c>
      <c r="AL928" t="s">
        <v>1369</v>
      </c>
      <c r="AM928" t="s">
        <v>545</v>
      </c>
      <c r="AN928" s="3">
        <v>37214</v>
      </c>
      <c r="AO928" t="s">
        <v>101</v>
      </c>
      <c r="AQ928" t="str">
        <f>"+16153918416"</f>
        <v>+16153918416</v>
      </c>
      <c r="AS928" t="s">
        <v>6826</v>
      </c>
      <c r="AT928" t="s">
        <v>107</v>
      </c>
      <c r="AU928" t="str">
        <f>"BRADSHAW"</f>
        <v>BRADSHAW</v>
      </c>
      <c r="AV928" t="str">
        <f>"PENNI"</f>
        <v>PENNI</v>
      </c>
      <c r="AW928" t="str">
        <f>"PEARSON"</f>
        <v>PEARSON</v>
      </c>
      <c r="AX928" t="str">
        <f>"100 N. CHERRY ST."</f>
        <v>100 N. CHERRY ST.</v>
      </c>
      <c r="AY928" t="str">
        <f>"STE. 300"</f>
        <v>STE. 300</v>
      </c>
      <c r="AZ928" t="str">
        <f>"WINSTON-SALEM"</f>
        <v>WINSTON-SALEM</v>
      </c>
      <c r="BA928" t="str">
        <f>"NC"</f>
        <v>NC</v>
      </c>
      <c r="BB928" s="3">
        <v>27101</v>
      </c>
      <c r="BC928" t="str">
        <f t="shared" si="70"/>
        <v>UNITED STATES OF AMERICA</v>
      </c>
      <c r="BD928" t="str">
        <f>""</f>
        <v/>
      </c>
      <c r="BE928" t="str">
        <f>"+13367216842"</f>
        <v>+13367216842</v>
      </c>
      <c r="BF928" t="str">
        <f>""</f>
        <v/>
      </c>
      <c r="BG928" t="str">
        <f>"AKNOWLES@CONSTANGY.COM"</f>
        <v>AKNOWLES@CONSTANGY.COM</v>
      </c>
      <c r="BH928" t="str">
        <f>"CONSTANGY, BROOKS, SMITH &amp; PROPHETE, LLP"</f>
        <v>CONSTANGY, BROOKS, SMITH &amp; PROPHETE, LLP</v>
      </c>
      <c r="BI928" t="str">
        <f>"NC"</f>
        <v>NC</v>
      </c>
      <c r="BJ928" t="str">
        <f>"SUPREME COURT"</f>
        <v>SUPREME COURT</v>
      </c>
      <c r="BK928">
        <v>3</v>
      </c>
      <c r="BL928" t="s">
        <v>102</v>
      </c>
      <c r="BM928" t="str">
        <f>""</f>
        <v/>
      </c>
      <c r="BN928" t="s">
        <v>10464</v>
      </c>
      <c r="BP928" t="s">
        <v>998</v>
      </c>
      <c r="BQ928" t="s">
        <v>121</v>
      </c>
      <c r="BR928" t="s">
        <v>122</v>
      </c>
      <c r="BS928" s="5">
        <v>28273</v>
      </c>
      <c r="BT928" s="2">
        <v>122650</v>
      </c>
      <c r="BU928" s="2">
        <v>132650</v>
      </c>
      <c r="BV928" t="s">
        <v>105</v>
      </c>
      <c r="BW928" s="2">
        <v>122616</v>
      </c>
      <c r="BX928" t="s">
        <v>105</v>
      </c>
      <c r="BZ928" t="s">
        <v>159</v>
      </c>
      <c r="CA928" t="str">
        <f t="shared" si="69"/>
        <v>7/1/2020 - 6/30/2021</v>
      </c>
      <c r="CF928">
        <v>1</v>
      </c>
      <c r="CG928" t="s">
        <v>98</v>
      </c>
      <c r="CH928" t="s">
        <v>206</v>
      </c>
      <c r="CI928" t="s">
        <v>206</v>
      </c>
      <c r="CL928" t="s">
        <v>108</v>
      </c>
      <c r="CM928" t="s">
        <v>109</v>
      </c>
      <c r="CN928" t="str">
        <f>"KNOWLES"</f>
        <v>KNOWLES</v>
      </c>
      <c r="CO928" t="str">
        <f>"ALICIA"</f>
        <v>ALICIA</v>
      </c>
      <c r="CP928" t="str">
        <f>"G"</f>
        <v>G</v>
      </c>
      <c r="CQ928" t="str">
        <f>"CONSTANGY, BROOKS, SMITH &amp; PROPHETE, LLP"</f>
        <v>CONSTANGY, BROOKS, SMITH &amp; PROPHETE, LLP</v>
      </c>
      <c r="CR928" t="s">
        <v>1610</v>
      </c>
    </row>
    <row r="929" spans="1:96" x14ac:dyDescent="0.2">
      <c r="A929" t="s">
        <v>10465</v>
      </c>
      <c r="B929" t="s">
        <v>96</v>
      </c>
      <c r="C929" s="1">
        <v>44098</v>
      </c>
      <c r="D929" s="1">
        <v>44105</v>
      </c>
      <c r="F929" t="s">
        <v>97</v>
      </c>
      <c r="G929" t="str">
        <f>"Oracle Applications Developer IV   "</f>
        <v xml:space="preserve">Oracle Applications Developer IV   </v>
      </c>
      <c r="H929" t="s">
        <v>12169</v>
      </c>
      <c r="I929" t="s">
        <v>124</v>
      </c>
      <c r="J929" t="s">
        <v>98</v>
      </c>
      <c r="K929" s="1">
        <v>44105</v>
      </c>
      <c r="L929" s="1">
        <v>45199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 t="s">
        <v>3947</v>
      </c>
      <c r="U929" t="str">
        <f>""</f>
        <v/>
      </c>
      <c r="V929" t="s">
        <v>3948</v>
      </c>
      <c r="W929" t="str">
        <f>"One AMC Way"</f>
        <v>One AMC Way</v>
      </c>
      <c r="X929" t="s">
        <v>3949</v>
      </c>
      <c r="Y929" t="s">
        <v>193</v>
      </c>
      <c r="Z929" s="3">
        <v>66211</v>
      </c>
      <c r="AA929" t="s">
        <v>101</v>
      </c>
      <c r="AC929" s="4" t="str">
        <f>"+19132132243"</f>
        <v>+19132132243</v>
      </c>
      <c r="AE929" t="str">
        <f>"512131"</f>
        <v>512131</v>
      </c>
      <c r="AF929" t="s">
        <v>3950</v>
      </c>
      <c r="AG929" t="s">
        <v>200</v>
      </c>
      <c r="AH929" t="s">
        <v>3951</v>
      </c>
      <c r="AI929" t="s">
        <v>3952</v>
      </c>
      <c r="AJ929" t="s">
        <v>3953</v>
      </c>
      <c r="AK929" t="str">
        <f>"One AMC Way"</f>
        <v>One AMC Way</v>
      </c>
      <c r="AL929" t="s">
        <v>3949</v>
      </c>
      <c r="AM929" t="s">
        <v>193</v>
      </c>
      <c r="AN929" s="3">
        <v>66211</v>
      </c>
      <c r="AO929" t="s">
        <v>101</v>
      </c>
      <c r="AQ929" t="str">
        <f>"+19132132243"</f>
        <v>+19132132243</v>
      </c>
      <c r="AS929" t="s">
        <v>3954</v>
      </c>
      <c r="AT929" t="s">
        <v>107</v>
      </c>
      <c r="AU929" t="str">
        <f>"Benet"</f>
        <v>Benet</v>
      </c>
      <c r="AV929" t="str">
        <f>"William"</f>
        <v>William</v>
      </c>
      <c r="AW929" t="str">
        <f>"N."</f>
        <v>N.</v>
      </c>
      <c r="AX929" t="str">
        <f>"2000 S Colorado Blvd."</f>
        <v>2000 S Colorado Blvd.</v>
      </c>
      <c r="AY929" t="str">
        <f>"Tower 3, Suite 900"</f>
        <v>Tower 3, Suite 900</v>
      </c>
      <c r="AZ929" t="str">
        <f>"Denver"</f>
        <v>Denver</v>
      </c>
      <c r="BA929" t="str">
        <f>"CO"</f>
        <v>CO</v>
      </c>
      <c r="BB929" s="3">
        <v>80222</v>
      </c>
      <c r="BC929" t="str">
        <f t="shared" si="70"/>
        <v>UNITED STATES OF AMERICA</v>
      </c>
      <c r="BD929" t="str">
        <f>""</f>
        <v/>
      </c>
      <c r="BE929" t="str">
        <f>"+13037646800"</f>
        <v>+13037646800</v>
      </c>
      <c r="BF929" t="str">
        <f>""</f>
        <v/>
      </c>
      <c r="BG929" t="str">
        <f>"william.benet@ogletree.com"</f>
        <v>william.benet@ogletree.com</v>
      </c>
      <c r="BH929" t="str">
        <f>"Ogletree Deakins"</f>
        <v>Ogletree Deakins</v>
      </c>
      <c r="BI929" t="str">
        <f>"MN"</f>
        <v>MN</v>
      </c>
      <c r="BJ929" t="str">
        <f>"Minnesota Supreme Court"</f>
        <v>Minnesota Supreme Court</v>
      </c>
      <c r="BK929">
        <v>1</v>
      </c>
      <c r="BL929" t="s">
        <v>102</v>
      </c>
      <c r="BM929" t="str">
        <f>""</f>
        <v/>
      </c>
      <c r="BN929" t="s">
        <v>5260</v>
      </c>
      <c r="BP929" t="s">
        <v>3949</v>
      </c>
      <c r="BQ929" t="s">
        <v>1372</v>
      </c>
      <c r="BR929" t="s">
        <v>193</v>
      </c>
      <c r="BS929" s="5">
        <v>66211</v>
      </c>
      <c r="BT929" s="2">
        <v>52.19</v>
      </c>
      <c r="BU929" s="2">
        <v>63.09</v>
      </c>
      <c r="BV929" t="s">
        <v>210</v>
      </c>
      <c r="BW929" s="2">
        <v>52.19</v>
      </c>
      <c r="BX929" t="s">
        <v>210</v>
      </c>
      <c r="BZ929" t="s">
        <v>159</v>
      </c>
      <c r="CA929" t="str">
        <f t="shared" si="69"/>
        <v>7/1/2020 - 6/30/2021</v>
      </c>
      <c r="CF929">
        <v>1</v>
      </c>
      <c r="CG929" t="s">
        <v>98</v>
      </c>
      <c r="CH929" t="s">
        <v>206</v>
      </c>
      <c r="CI929" t="s">
        <v>206</v>
      </c>
      <c r="CL929" t="s">
        <v>108</v>
      </c>
      <c r="CM929" t="s">
        <v>109</v>
      </c>
      <c r="CN929" t="str">
        <f>"Windhausen"</f>
        <v>Windhausen</v>
      </c>
      <c r="CO929" t="str">
        <f>"Michelle"</f>
        <v>Michelle</v>
      </c>
      <c r="CP929" t="str">
        <f>"A"</f>
        <v>A</v>
      </c>
      <c r="CQ929" t="str">
        <f>"Ogletree Deakins"</f>
        <v>Ogletree Deakins</v>
      </c>
      <c r="CR929" t="s">
        <v>1785</v>
      </c>
    </row>
    <row r="930" spans="1:96" x14ac:dyDescent="0.2">
      <c r="A930" t="s">
        <v>10466</v>
      </c>
      <c r="B930" t="s">
        <v>96</v>
      </c>
      <c r="C930" s="1">
        <v>44098</v>
      </c>
      <c r="D930" s="1">
        <v>44105</v>
      </c>
      <c r="F930" t="s">
        <v>97</v>
      </c>
      <c r="G930" t="str">
        <f>"Senior DevOps Engineer, Cloud"</f>
        <v>Senior DevOps Engineer, Cloud</v>
      </c>
      <c r="H930" t="s">
        <v>12168</v>
      </c>
      <c r="I930" t="s">
        <v>160</v>
      </c>
      <c r="J930" t="s">
        <v>98</v>
      </c>
      <c r="K930" s="1">
        <v>44109</v>
      </c>
      <c r="L930" s="1">
        <v>45203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 t="s">
        <v>7106</v>
      </c>
      <c r="U930" t="str">
        <f>""</f>
        <v/>
      </c>
      <c r="V930" t="s">
        <v>7107</v>
      </c>
      <c r="W930" t="str">
        <f>""</f>
        <v/>
      </c>
      <c r="X930" t="s">
        <v>394</v>
      </c>
      <c r="Y930" t="s">
        <v>114</v>
      </c>
      <c r="Z930" s="3">
        <v>77072</v>
      </c>
      <c r="AA930" t="s">
        <v>101</v>
      </c>
      <c r="AC930" s="4" t="str">
        <f>"+15107238104"</f>
        <v>+15107238104</v>
      </c>
      <c r="AE930" t="str">
        <f>"315211"</f>
        <v>315211</v>
      </c>
      <c r="AF930" t="s">
        <v>7108</v>
      </c>
      <c r="AG930" t="s">
        <v>7109</v>
      </c>
      <c r="AH930" t="s">
        <v>3489</v>
      </c>
      <c r="AI930" t="s">
        <v>7055</v>
      </c>
      <c r="AJ930" t="s">
        <v>7110</v>
      </c>
      <c r="AK930" t="str">
        <f>""</f>
        <v/>
      </c>
      <c r="AL930" t="s">
        <v>398</v>
      </c>
      <c r="AM930" t="s">
        <v>141</v>
      </c>
      <c r="AN930" s="3">
        <v>94538</v>
      </c>
      <c r="AO930" t="s">
        <v>101</v>
      </c>
      <c r="AQ930" t="str">
        <f>"+15107238438"</f>
        <v>+15107238438</v>
      </c>
      <c r="AS930" t="s">
        <v>7111</v>
      </c>
      <c r="AT930" t="s">
        <v>107</v>
      </c>
      <c r="AU930" t="str">
        <f>"Steger"</f>
        <v>Steger</v>
      </c>
      <c r="AV930" t="str">
        <f>"Susan"</f>
        <v>Susan</v>
      </c>
      <c r="AW930" t="str">
        <f>"Z. "</f>
        <v xml:space="preserve">Z. </v>
      </c>
      <c r="AX930" t="str">
        <f>"5080 Spectrum Drive"</f>
        <v>5080 Spectrum Drive</v>
      </c>
      <c r="AY930" t="str">
        <f>"Suite 850W"</f>
        <v>Suite 850W</v>
      </c>
      <c r="AZ930" t="str">
        <f>"Addison"</f>
        <v>Addison</v>
      </c>
      <c r="BA930" t="str">
        <f>"TX"</f>
        <v>TX</v>
      </c>
      <c r="BB930" s="3">
        <v>75001</v>
      </c>
      <c r="BC930" t="str">
        <f t="shared" si="70"/>
        <v>UNITED STATES OF AMERICA</v>
      </c>
      <c r="BD930" t="str">
        <f>""</f>
        <v/>
      </c>
      <c r="BE930" t="str">
        <f>"+19722336646"</f>
        <v>+19722336646</v>
      </c>
      <c r="BF930" t="str">
        <f>""</f>
        <v/>
      </c>
      <c r="BG930" t="str">
        <f>"Jparsons@fragomen.com"</f>
        <v>Jparsons@fragomen.com</v>
      </c>
      <c r="BH930" t="str">
        <f>"Fragomen, Del Rey, Bernsen &amp; Loewy, LLP"</f>
        <v>Fragomen, Del Rey, Bernsen &amp; Loewy, LLP</v>
      </c>
      <c r="BI930" t="str">
        <f>"TX"</f>
        <v>TX</v>
      </c>
      <c r="BJ930" t="str">
        <f>"SUPREME COURT OF TEXAS"</f>
        <v>SUPREME COURT OF TEXAS</v>
      </c>
      <c r="BK930">
        <v>1</v>
      </c>
      <c r="BL930" t="s">
        <v>102</v>
      </c>
      <c r="BM930" t="str">
        <f>""</f>
        <v/>
      </c>
      <c r="BN930" t="s">
        <v>7107</v>
      </c>
      <c r="BP930" t="s">
        <v>394</v>
      </c>
      <c r="BQ930" t="s">
        <v>395</v>
      </c>
      <c r="BR930" t="s">
        <v>114</v>
      </c>
      <c r="BS930" s="5">
        <v>77072</v>
      </c>
      <c r="BT930" s="2">
        <v>120000</v>
      </c>
      <c r="BV930" t="s">
        <v>105</v>
      </c>
      <c r="BW930" s="2">
        <v>101795</v>
      </c>
      <c r="BX930" t="s">
        <v>105</v>
      </c>
      <c r="BZ930" t="s">
        <v>159</v>
      </c>
      <c r="CA930" t="str">
        <f t="shared" si="69"/>
        <v>7/1/2020 - 6/30/2021</v>
      </c>
      <c r="CF930">
        <v>1</v>
      </c>
      <c r="CG930" t="s">
        <v>98</v>
      </c>
      <c r="CH930" t="s">
        <v>206</v>
      </c>
      <c r="CI930" t="s">
        <v>206</v>
      </c>
      <c r="CL930" t="s">
        <v>108</v>
      </c>
      <c r="CM930" t="s">
        <v>353</v>
      </c>
      <c r="CN930" t="str">
        <f>""</f>
        <v/>
      </c>
      <c r="CO930" t="str">
        <f>""</f>
        <v/>
      </c>
      <c r="CP930" t="str">
        <f>""</f>
        <v/>
      </c>
      <c r="CQ930" t="str">
        <f>""</f>
        <v/>
      </c>
    </row>
    <row r="931" spans="1:96" x14ac:dyDescent="0.2">
      <c r="A931" t="s">
        <v>10467</v>
      </c>
      <c r="B931" t="s">
        <v>96</v>
      </c>
      <c r="C931" s="1">
        <v>44098</v>
      </c>
      <c r="D931" s="1">
        <v>44105</v>
      </c>
      <c r="F931" t="s">
        <v>97</v>
      </c>
      <c r="G931" t="str">
        <f>"Senior Analytical Chemist"</f>
        <v>Senior Analytical Chemist</v>
      </c>
      <c r="H931" t="s">
        <v>12198</v>
      </c>
      <c r="I931" t="s">
        <v>402</v>
      </c>
      <c r="J931" t="s">
        <v>98</v>
      </c>
      <c r="K931" s="1">
        <v>44123</v>
      </c>
      <c r="L931" s="1">
        <v>45217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 t="s">
        <v>10468</v>
      </c>
      <c r="U931" t="str">
        <f>""</f>
        <v/>
      </c>
      <c r="V931" t="s">
        <v>10469</v>
      </c>
      <c r="W931" t="str">
        <f>""</f>
        <v/>
      </c>
      <c r="X931" t="s">
        <v>894</v>
      </c>
      <c r="Y931" t="s">
        <v>166</v>
      </c>
      <c r="Z931" s="3">
        <v>80301</v>
      </c>
      <c r="AA931" t="s">
        <v>101</v>
      </c>
      <c r="AC931" s="4" t="str">
        <f>"+13039386410"</f>
        <v>+13039386410</v>
      </c>
      <c r="AE931" t="str">
        <f>"325412"</f>
        <v>325412</v>
      </c>
      <c r="AF931" t="s">
        <v>2369</v>
      </c>
      <c r="AG931" t="s">
        <v>1193</v>
      </c>
      <c r="AI931" t="s">
        <v>10470</v>
      </c>
      <c r="AJ931" t="s">
        <v>10469</v>
      </c>
      <c r="AK931" t="str">
        <f>""</f>
        <v/>
      </c>
      <c r="AL931" t="s">
        <v>894</v>
      </c>
      <c r="AM931" t="s">
        <v>166</v>
      </c>
      <c r="AN931" s="3">
        <v>80301</v>
      </c>
      <c r="AO931" t="s">
        <v>101</v>
      </c>
      <c r="AQ931" t="str">
        <f>"+13039386410"</f>
        <v>+13039386410</v>
      </c>
      <c r="AS931" t="s">
        <v>10471</v>
      </c>
      <c r="AT931" t="s">
        <v>107</v>
      </c>
      <c r="AU931" t="str">
        <f>"Dinnen"</f>
        <v>Dinnen</v>
      </c>
      <c r="AV931" t="str">
        <f>"Elizabeth"</f>
        <v>Elizabeth</v>
      </c>
      <c r="AW931" t="str">
        <f>""</f>
        <v/>
      </c>
      <c r="AX931" t="str">
        <f>"1799 Pennsylvania St."</f>
        <v>1799 Pennsylvania St.</v>
      </c>
      <c r="AY931" t="str">
        <f>""</f>
        <v/>
      </c>
      <c r="AZ931" t="str">
        <f>"Denver"</f>
        <v>Denver</v>
      </c>
      <c r="BA931" t="str">
        <f>"CO"</f>
        <v>CO</v>
      </c>
      <c r="BB931" s="3">
        <v>80203</v>
      </c>
      <c r="BC931" t="str">
        <f t="shared" si="70"/>
        <v>UNITED STATES OF AMERICA</v>
      </c>
      <c r="BD931" t="str">
        <f>""</f>
        <v/>
      </c>
      <c r="BE931" t="str">
        <f>"+13032235430"</f>
        <v>+13032235430</v>
      </c>
      <c r="BF931" t="str">
        <f>""</f>
        <v/>
      </c>
      <c r="BG931" t="str">
        <f>"edinnen@employerscouncil.org"</f>
        <v>edinnen@employerscouncil.org</v>
      </c>
      <c r="BH931" t="str">
        <f>"Employers Council"</f>
        <v>Employers Council</v>
      </c>
      <c r="BI931" t="str">
        <f>"FL"</f>
        <v>FL</v>
      </c>
      <c r="BJ931" t="str">
        <f>"Supreme Court of Florida"</f>
        <v>Supreme Court of Florida</v>
      </c>
      <c r="BK931">
        <v>1</v>
      </c>
      <c r="BL931" t="s">
        <v>102</v>
      </c>
      <c r="BM931" t="str">
        <f>""</f>
        <v/>
      </c>
      <c r="BN931" t="s">
        <v>10469</v>
      </c>
      <c r="BP931" t="s">
        <v>894</v>
      </c>
      <c r="BQ931" t="s">
        <v>895</v>
      </c>
      <c r="BR931" t="s">
        <v>166</v>
      </c>
      <c r="BS931" s="5">
        <v>80301</v>
      </c>
      <c r="BT931" s="2">
        <v>88000</v>
      </c>
      <c r="BV931" t="s">
        <v>105</v>
      </c>
      <c r="BW931" s="2">
        <v>77646</v>
      </c>
      <c r="BX931" t="s">
        <v>105</v>
      </c>
      <c r="BZ931" t="s">
        <v>167</v>
      </c>
      <c r="CA931" t="str">
        <f t="shared" si="69"/>
        <v>7/1/2020 - 6/30/2021</v>
      </c>
      <c r="CF931">
        <v>1</v>
      </c>
      <c r="CG931" t="s">
        <v>98</v>
      </c>
      <c r="CH931" t="s">
        <v>206</v>
      </c>
      <c r="CI931" t="s">
        <v>206</v>
      </c>
      <c r="CL931" t="s">
        <v>108</v>
      </c>
      <c r="CM931" t="s">
        <v>109</v>
      </c>
      <c r="CN931" t="str">
        <f>""</f>
        <v/>
      </c>
      <c r="CO931" t="str">
        <f>""</f>
        <v/>
      </c>
      <c r="CP931" t="str">
        <f>""</f>
        <v/>
      </c>
      <c r="CQ931" t="str">
        <f>""</f>
        <v/>
      </c>
    </row>
    <row r="932" spans="1:96" x14ac:dyDescent="0.2">
      <c r="A932" t="s">
        <v>10481</v>
      </c>
      <c r="B932" t="s">
        <v>96</v>
      </c>
      <c r="C932" s="1">
        <v>44098</v>
      </c>
      <c r="D932" s="1">
        <v>44105</v>
      </c>
      <c r="F932" t="s">
        <v>97</v>
      </c>
      <c r="G932" t="str">
        <f>"Data Modeler"</f>
        <v>Data Modeler</v>
      </c>
      <c r="H932" t="s">
        <v>12168</v>
      </c>
      <c r="I932" t="s">
        <v>722</v>
      </c>
      <c r="J932" t="s">
        <v>98</v>
      </c>
      <c r="K932" s="1">
        <v>44105</v>
      </c>
      <c r="L932" s="1">
        <v>45199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 t="s">
        <v>10482</v>
      </c>
      <c r="U932" t="str">
        <f>""</f>
        <v/>
      </c>
      <c r="V932" t="s">
        <v>10483</v>
      </c>
      <c r="W932" t="str">
        <f>"Suite #331"</f>
        <v>Suite #331</v>
      </c>
      <c r="X932" t="s">
        <v>5124</v>
      </c>
      <c r="Y932" t="s">
        <v>100</v>
      </c>
      <c r="Z932" s="3">
        <v>7004</v>
      </c>
      <c r="AA932" t="s">
        <v>101</v>
      </c>
      <c r="AC932" s="4" t="str">
        <f>"+19734575727"</f>
        <v>+19734575727</v>
      </c>
      <c r="AE932" t="str">
        <f>"541511"</f>
        <v>541511</v>
      </c>
      <c r="AF932" t="s">
        <v>10484</v>
      </c>
      <c r="AG932" t="s">
        <v>10485</v>
      </c>
      <c r="AI932" t="s">
        <v>10486</v>
      </c>
      <c r="AJ932" t="s">
        <v>10487</v>
      </c>
      <c r="AK932" t="str">
        <f>"Suite #331"</f>
        <v>Suite #331</v>
      </c>
      <c r="AL932" t="s">
        <v>5124</v>
      </c>
      <c r="AM932" t="s">
        <v>100</v>
      </c>
      <c r="AN932" s="3">
        <v>7004</v>
      </c>
      <c r="AO932" t="s">
        <v>101</v>
      </c>
      <c r="AQ932" t="str">
        <f>"+19734575727"</f>
        <v>+19734575727</v>
      </c>
      <c r="AS932" t="s">
        <v>10488</v>
      </c>
      <c r="AT932" t="s">
        <v>107</v>
      </c>
      <c r="AU932" t="str">
        <f>"YAO"</f>
        <v>YAO</v>
      </c>
      <c r="AV932" t="str">
        <f>"Alice"</f>
        <v>Alice</v>
      </c>
      <c r="AW932" t="str">
        <f>"Y"</f>
        <v>Y</v>
      </c>
      <c r="AX932" t="str">
        <f>"8 Bridge Street"</f>
        <v>8 Bridge Street</v>
      </c>
      <c r="AY932" t="str">
        <f>""</f>
        <v/>
      </c>
      <c r="AZ932" t="str">
        <f>"Metuchen"</f>
        <v>Metuchen</v>
      </c>
      <c r="BA932" t="str">
        <f>"NJ"</f>
        <v>NJ</v>
      </c>
      <c r="BB932" s="3">
        <v>8840</v>
      </c>
      <c r="BC932" t="str">
        <f t="shared" si="70"/>
        <v>UNITED STATES OF AMERICA</v>
      </c>
      <c r="BD932" t="str">
        <f>""</f>
        <v/>
      </c>
      <c r="BE932" t="str">
        <f>"+17325489595"</f>
        <v>+17325489595</v>
      </c>
      <c r="BF932" t="str">
        <f>""</f>
        <v/>
      </c>
      <c r="BG932" t="str">
        <f>"alice.yaoesq@gmail.com"</f>
        <v>alice.yaoesq@gmail.com</v>
      </c>
      <c r="BH932" t="str">
        <f>"Law Office of Alice Y Yao Esq"</f>
        <v>Law Office of Alice Y Yao Esq</v>
      </c>
      <c r="BI932" t="str">
        <f>"NJ"</f>
        <v>NJ</v>
      </c>
      <c r="BJ932" t="str">
        <f>"Supreme Court"</f>
        <v>Supreme Court</v>
      </c>
      <c r="BK932">
        <v>1</v>
      </c>
      <c r="BL932" t="s">
        <v>107</v>
      </c>
      <c r="BM932" t="str">
        <f>"Mass Mutual"</f>
        <v>Mass Mutual</v>
      </c>
      <c r="BN932" t="s">
        <v>10489</v>
      </c>
      <c r="BP932" t="s">
        <v>421</v>
      </c>
      <c r="BQ932" t="s">
        <v>3576</v>
      </c>
      <c r="BR932" t="s">
        <v>171</v>
      </c>
      <c r="BS932" s="5">
        <v>1111</v>
      </c>
      <c r="BT932" s="2">
        <v>163200</v>
      </c>
      <c r="BV932" t="s">
        <v>105</v>
      </c>
      <c r="BW932" s="2">
        <v>88920</v>
      </c>
      <c r="BX932" t="s">
        <v>105</v>
      </c>
      <c r="BZ932" t="s">
        <v>159</v>
      </c>
      <c r="CA932" t="str">
        <f t="shared" si="69"/>
        <v>7/1/2020 - 6/30/2021</v>
      </c>
      <c r="CF932">
        <v>2</v>
      </c>
      <c r="CG932" t="s">
        <v>98</v>
      </c>
      <c r="CH932" t="s">
        <v>206</v>
      </c>
      <c r="CI932" t="s">
        <v>206</v>
      </c>
      <c r="CL932" t="s">
        <v>108</v>
      </c>
      <c r="CM932" t="s">
        <v>109</v>
      </c>
      <c r="CN932" t="str">
        <f>"YAO"</f>
        <v>YAO</v>
      </c>
      <c r="CO932" t="str">
        <f>"Alice"</f>
        <v>Alice</v>
      </c>
      <c r="CP932" t="str">
        <f>"Y."</f>
        <v>Y.</v>
      </c>
      <c r="CQ932" t="str">
        <f>"Law Office of Alice Y. Yao Esq."</f>
        <v>Law Office of Alice Y. Yao Esq.</v>
      </c>
      <c r="CR932" t="s">
        <v>6511</v>
      </c>
    </row>
    <row r="933" spans="1:96" x14ac:dyDescent="0.2">
      <c r="A933" t="s">
        <v>10490</v>
      </c>
      <c r="B933" t="s">
        <v>96</v>
      </c>
      <c r="C933" s="1">
        <v>44098</v>
      </c>
      <c r="D933" s="1">
        <v>44105</v>
      </c>
      <c r="F933" t="s">
        <v>97</v>
      </c>
      <c r="G933" t="str">
        <f>"SOFTWARE DEVELOPMENT ENGINEER II"</f>
        <v>SOFTWARE DEVELOPMENT ENGINEER II</v>
      </c>
      <c r="H933" t="s">
        <v>12169</v>
      </c>
      <c r="I933" t="s">
        <v>124</v>
      </c>
      <c r="J933" t="s">
        <v>98</v>
      </c>
      <c r="K933" s="1">
        <v>44104</v>
      </c>
      <c r="L933" s="1">
        <v>45198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 t="s">
        <v>1129</v>
      </c>
      <c r="U933" t="str">
        <f>""</f>
        <v/>
      </c>
      <c r="V933" t="s">
        <v>809</v>
      </c>
      <c r="W933" t="str">
        <f>"SUITE 500"</f>
        <v>SUITE 500</v>
      </c>
      <c r="X933" t="s">
        <v>433</v>
      </c>
      <c r="Y933" t="s">
        <v>176</v>
      </c>
      <c r="Z933" s="3">
        <v>98121</v>
      </c>
      <c r="AA933" t="s">
        <v>101</v>
      </c>
      <c r="AC933" s="4" t="str">
        <f>"+12062661000"</f>
        <v>+12062661000</v>
      </c>
      <c r="AE933" t="str">
        <f>"454110"</f>
        <v>454110</v>
      </c>
      <c r="AF933" t="s">
        <v>442</v>
      </c>
      <c r="AG933" t="s">
        <v>443</v>
      </c>
      <c r="AH933" t="s">
        <v>108</v>
      </c>
      <c r="AI933" t="s">
        <v>434</v>
      </c>
      <c r="AJ933" t="s">
        <v>809</v>
      </c>
      <c r="AK933" t="str">
        <f>"SUITE 500"</f>
        <v>SUITE 500</v>
      </c>
      <c r="AL933" t="s">
        <v>433</v>
      </c>
      <c r="AM933" t="s">
        <v>176</v>
      </c>
      <c r="AN933" s="3">
        <v>98121</v>
      </c>
      <c r="AO933" t="s">
        <v>101</v>
      </c>
      <c r="AQ933" t="str">
        <f>"+12062661000"</f>
        <v>+12062661000</v>
      </c>
      <c r="AS933" t="s">
        <v>263</v>
      </c>
      <c r="AT933" t="s">
        <v>107</v>
      </c>
      <c r="AU933" t="str">
        <f>"MARANCI"</f>
        <v>MARANCI</v>
      </c>
      <c r="AV933" t="str">
        <f>"DANIEL"</f>
        <v>DANIEL</v>
      </c>
      <c r="AW933" t="str">
        <f>"N/A"</f>
        <v>N/A</v>
      </c>
      <c r="AX933" t="str">
        <f>"100 HIGH STREET"</f>
        <v>100 HIGH STREET</v>
      </c>
      <c r="AY933" t="str">
        <f>"3RD FLOOR C#5316229"</f>
        <v>3RD FLOOR C#5316229</v>
      </c>
      <c r="AZ933" t="str">
        <f>"BOSTON"</f>
        <v>BOSTON</v>
      </c>
      <c r="BA933" t="str">
        <f>"MA"</f>
        <v>MA</v>
      </c>
      <c r="BB933" s="3">
        <v>2110</v>
      </c>
      <c r="BC933" t="str">
        <f t="shared" si="70"/>
        <v>UNITED STATES OF AMERICA</v>
      </c>
      <c r="BD933" t="str">
        <f>""</f>
        <v/>
      </c>
      <c r="BE933" t="str">
        <f>"+16175740400"</f>
        <v>+16175740400</v>
      </c>
      <c r="BF933" t="str">
        <f>""</f>
        <v/>
      </c>
      <c r="BG933" t="str">
        <f>"AMAZONINDIA@FRAGOMEN.COM"</f>
        <v>AMAZONINDIA@FRAGOMEN.COM</v>
      </c>
      <c r="BH933" t="str">
        <f>"FRAGOMEN, DEL REY, BERNSEN &amp; LOEWY, LLP"</f>
        <v>FRAGOMEN, DEL REY, BERNSEN &amp; LOEWY, LLP</v>
      </c>
      <c r="BI933" t="str">
        <f>"MA"</f>
        <v>MA</v>
      </c>
      <c r="BJ933" t="str">
        <f>"SUPREME JUDICIAL COURT"</f>
        <v>SUPREME JUDICIAL COURT</v>
      </c>
      <c r="BK933">
        <v>1</v>
      </c>
      <c r="BL933" t="s">
        <v>102</v>
      </c>
      <c r="BM933" t="str">
        <f>""</f>
        <v/>
      </c>
      <c r="BN933" t="s">
        <v>7350</v>
      </c>
      <c r="BP933" t="s">
        <v>951</v>
      </c>
      <c r="BQ933" t="s">
        <v>209</v>
      </c>
      <c r="BR933" t="s">
        <v>171</v>
      </c>
      <c r="BS933" s="5">
        <v>2210</v>
      </c>
      <c r="BT933" s="2">
        <v>119900</v>
      </c>
      <c r="BV933" t="s">
        <v>105</v>
      </c>
      <c r="BW933" s="2">
        <v>96242</v>
      </c>
      <c r="BX933" t="s">
        <v>105</v>
      </c>
      <c r="BZ933" t="s">
        <v>167</v>
      </c>
      <c r="CA933" t="str">
        <f t="shared" si="69"/>
        <v>7/1/2020 - 6/30/2021</v>
      </c>
      <c r="CF933">
        <v>1</v>
      </c>
      <c r="CG933" t="s">
        <v>98</v>
      </c>
      <c r="CH933" t="s">
        <v>206</v>
      </c>
      <c r="CI933" t="s">
        <v>206</v>
      </c>
      <c r="CL933" t="s">
        <v>108</v>
      </c>
      <c r="CM933" t="s">
        <v>109</v>
      </c>
      <c r="CN933" t="str">
        <f>"SUNNY"</f>
        <v>SUNNY</v>
      </c>
      <c r="CO933" t="str">
        <f>"JASMIN"</f>
        <v>JASMIN</v>
      </c>
      <c r="CP933" t="str">
        <f>"N/A"</f>
        <v>N/A</v>
      </c>
      <c r="CQ933" t="str">
        <f>"FRAGOMEN, DEL REY, BERNSEN &amp; LOEWY, LLP"</f>
        <v>FRAGOMEN, DEL REY, BERNSEN &amp; LOEWY, LLP</v>
      </c>
      <c r="CR933" t="s">
        <v>650</v>
      </c>
    </row>
    <row r="934" spans="1:96" x14ac:dyDescent="0.2">
      <c r="A934" t="s">
        <v>10502</v>
      </c>
      <c r="B934" t="s">
        <v>96</v>
      </c>
      <c r="C934" s="1">
        <v>44098</v>
      </c>
      <c r="D934" s="1">
        <v>44105</v>
      </c>
      <c r="F934" t="s">
        <v>97</v>
      </c>
      <c r="G934" t="str">
        <f>"DIRECT EXAMINATION OPERATIONS MANAGER"</f>
        <v>DIRECT EXAMINATION OPERATIONS MANAGER</v>
      </c>
      <c r="H934" t="s">
        <v>12201</v>
      </c>
      <c r="I934" t="s">
        <v>578</v>
      </c>
      <c r="J934" t="s">
        <v>98</v>
      </c>
      <c r="K934" s="1">
        <v>44207</v>
      </c>
      <c r="L934" s="1">
        <v>45301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 t="s">
        <v>9176</v>
      </c>
      <c r="U934" t="str">
        <f>""</f>
        <v/>
      </c>
      <c r="V934" t="s">
        <v>9177</v>
      </c>
      <c r="W934" t="str">
        <f>"SUITE 1650"</f>
        <v>SUITE 1650</v>
      </c>
      <c r="X934" t="s">
        <v>805</v>
      </c>
      <c r="Y934" t="s">
        <v>114</v>
      </c>
      <c r="Z934" s="3">
        <v>77056</v>
      </c>
      <c r="AA934" t="s">
        <v>101</v>
      </c>
      <c r="AC934" s="4" t="str">
        <f>"+18326342924"</f>
        <v>+18326342924</v>
      </c>
      <c r="AE934" t="str">
        <f>"237120"</f>
        <v>237120</v>
      </c>
      <c r="AF934" t="s">
        <v>2604</v>
      </c>
      <c r="AG934" t="s">
        <v>5732</v>
      </c>
      <c r="AI934" t="s">
        <v>3335</v>
      </c>
      <c r="AJ934" t="s">
        <v>9177</v>
      </c>
      <c r="AK934" t="str">
        <f>"SUITE 1650"</f>
        <v>SUITE 1650</v>
      </c>
      <c r="AL934" t="s">
        <v>805</v>
      </c>
      <c r="AM934" t="s">
        <v>114</v>
      </c>
      <c r="AN934" s="3">
        <v>77056</v>
      </c>
      <c r="AO934" t="s">
        <v>101</v>
      </c>
      <c r="AQ934" t="str">
        <f>"+18326342924"</f>
        <v>+18326342924</v>
      </c>
      <c r="AS934" t="s">
        <v>9178</v>
      </c>
      <c r="AT934" t="s">
        <v>107</v>
      </c>
      <c r="AU934" t="str">
        <f>"Ezer"</f>
        <v>Ezer</v>
      </c>
      <c r="AV934" t="str">
        <f>"Nicole"</f>
        <v>Nicole</v>
      </c>
      <c r="AW934" t="str">
        <f>"Lawrence"</f>
        <v>Lawrence</v>
      </c>
      <c r="AX934" t="str">
        <f>"14511 Falling Creek Drive"</f>
        <v>14511 Falling Creek Drive</v>
      </c>
      <c r="AY934" t="str">
        <f>"Suite 202"</f>
        <v>Suite 202</v>
      </c>
      <c r="AZ934" t="str">
        <f>"Houston"</f>
        <v>Houston</v>
      </c>
      <c r="BA934" t="str">
        <f>"TX"</f>
        <v>TX</v>
      </c>
      <c r="BB934" s="3">
        <v>77014</v>
      </c>
      <c r="BC934" t="str">
        <f t="shared" si="70"/>
        <v>UNITED STATES OF AMERICA</v>
      </c>
      <c r="BD934" t="str">
        <f>""</f>
        <v/>
      </c>
      <c r="BE934" t="str">
        <f>"+12814047781"</f>
        <v>+12814047781</v>
      </c>
      <c r="BF934" t="str">
        <f>""</f>
        <v/>
      </c>
      <c r="BG934" t="str">
        <f>"ezernl@ezerlawgroup.com"</f>
        <v>ezernl@ezerlawgroup.com</v>
      </c>
      <c r="BH934" t="str">
        <f>"The Ezer Law Group PLLC"</f>
        <v>The Ezer Law Group PLLC</v>
      </c>
      <c r="BI934" t="str">
        <f>"TX"</f>
        <v>TX</v>
      </c>
      <c r="BJ934" t="str">
        <f>"The Supreme Court of Texas"</f>
        <v>The Supreme Court of Texas</v>
      </c>
      <c r="BK934">
        <v>1</v>
      </c>
      <c r="BL934" t="s">
        <v>102</v>
      </c>
      <c r="BM934" t="str">
        <f>""</f>
        <v/>
      </c>
      <c r="BN934" t="s">
        <v>10503</v>
      </c>
      <c r="BP934" t="s">
        <v>10504</v>
      </c>
      <c r="BQ934" t="s">
        <v>7014</v>
      </c>
      <c r="BR934" t="s">
        <v>169</v>
      </c>
      <c r="BS934" s="5">
        <v>84032</v>
      </c>
      <c r="BT934" s="2">
        <v>140806.39999999999</v>
      </c>
      <c r="BV934" t="s">
        <v>105</v>
      </c>
      <c r="BW934" s="2">
        <v>99528</v>
      </c>
      <c r="BX934" t="s">
        <v>105</v>
      </c>
      <c r="BZ934" t="s">
        <v>159</v>
      </c>
      <c r="CA934" t="str">
        <f t="shared" si="69"/>
        <v>7/1/2020 - 6/30/2021</v>
      </c>
      <c r="CF934">
        <v>1</v>
      </c>
      <c r="CG934" t="s">
        <v>98</v>
      </c>
      <c r="CH934" t="s">
        <v>206</v>
      </c>
      <c r="CI934" t="s">
        <v>206</v>
      </c>
      <c r="CL934" t="s">
        <v>108</v>
      </c>
      <c r="CM934" t="s">
        <v>109</v>
      </c>
      <c r="CN934" t="str">
        <f>""</f>
        <v/>
      </c>
      <c r="CO934" t="str">
        <f>""</f>
        <v/>
      </c>
      <c r="CP934" t="str">
        <f>""</f>
        <v/>
      </c>
      <c r="CQ934" t="str">
        <f>""</f>
        <v/>
      </c>
    </row>
    <row r="935" spans="1:96" x14ac:dyDescent="0.2">
      <c r="A935" t="s">
        <v>10508</v>
      </c>
      <c r="B935" t="s">
        <v>96</v>
      </c>
      <c r="C935" s="1">
        <v>44098</v>
      </c>
      <c r="D935" s="1">
        <v>44105</v>
      </c>
      <c r="F935" t="s">
        <v>97</v>
      </c>
      <c r="G935" t="str">
        <f>"DESIGN ENGINEER - HYDRAULIC VALVES"</f>
        <v>DESIGN ENGINEER - HYDRAULIC VALVES</v>
      </c>
      <c r="H935" t="s">
        <v>12196</v>
      </c>
      <c r="I935" t="s">
        <v>322</v>
      </c>
      <c r="J935" t="s">
        <v>206</v>
      </c>
      <c r="K935" s="1">
        <v>44105</v>
      </c>
      <c r="L935" s="1">
        <v>45200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10509</v>
      </c>
      <c r="U935" t="str">
        <f>""</f>
        <v/>
      </c>
      <c r="V935" t="s">
        <v>4599</v>
      </c>
      <c r="W935" t="str">
        <f>""</f>
        <v/>
      </c>
      <c r="X935" t="s">
        <v>1497</v>
      </c>
      <c r="Y935" t="s">
        <v>265</v>
      </c>
      <c r="Z935" s="3">
        <v>48331</v>
      </c>
      <c r="AA935" t="s">
        <v>101</v>
      </c>
      <c r="AC935" s="4" t="str">
        <f>"+12488762012"</f>
        <v>+12488762012</v>
      </c>
      <c r="AE935" t="str">
        <f>"333995"</f>
        <v>333995</v>
      </c>
      <c r="AF935" t="s">
        <v>4600</v>
      </c>
      <c r="AG935" t="s">
        <v>4601</v>
      </c>
      <c r="AI935" t="s">
        <v>10510</v>
      </c>
      <c r="AJ935" t="s">
        <v>4599</v>
      </c>
      <c r="AK935" t="str">
        <f>""</f>
        <v/>
      </c>
      <c r="AL935" t="s">
        <v>1497</v>
      </c>
      <c r="AM935" t="s">
        <v>265</v>
      </c>
      <c r="AN935" s="3">
        <v>48331</v>
      </c>
      <c r="AO935" t="s">
        <v>101</v>
      </c>
      <c r="AQ935" t="str">
        <f>"+12488762012"</f>
        <v>+12488762012</v>
      </c>
      <c r="AS935" t="s">
        <v>4603</v>
      </c>
      <c r="AT935" t="s">
        <v>107</v>
      </c>
      <c r="AU935" t="str">
        <f>"JACOBSON"</f>
        <v>JACOBSON</v>
      </c>
      <c r="AV935" t="str">
        <f>"P. MICHELLE"</f>
        <v>P. MICHELLE</v>
      </c>
      <c r="AW935" t="str">
        <f>""</f>
        <v/>
      </c>
      <c r="AX935" t="str">
        <f>"333 WEST WACKER DRIVE"</f>
        <v>333 WEST WACKER DRIVE</v>
      </c>
      <c r="AY935" t="str">
        <f>"15TH FLOOR"</f>
        <v>15TH FLOOR</v>
      </c>
      <c r="AZ935" t="str">
        <f>"CHICAGO"</f>
        <v>CHICAGO</v>
      </c>
      <c r="BA935" t="str">
        <f>"IL"</f>
        <v>IL</v>
      </c>
      <c r="BB935" s="3">
        <v>60606</v>
      </c>
      <c r="BC935" t="str">
        <f t="shared" si="70"/>
        <v>UNITED STATES OF AMERICA</v>
      </c>
      <c r="BD935" t="str">
        <f>""</f>
        <v/>
      </c>
      <c r="BE935" t="str">
        <f>"+13122636101"</f>
        <v>+13122636101</v>
      </c>
      <c r="BF935" t="str">
        <f>""</f>
        <v/>
      </c>
      <c r="BG935" t="str">
        <f>"FRAGOMEN.BOSCHACCOUNT@FRAGOMEN.COM"</f>
        <v>FRAGOMEN.BOSCHACCOUNT@FRAGOMEN.COM</v>
      </c>
      <c r="BH935" t="str">
        <f>"FRAGOMEN, DEL REY, BERSEN &amp; LOEWY, LLP"</f>
        <v>FRAGOMEN, DEL REY, BERSEN &amp; LOEWY, LLP</v>
      </c>
      <c r="BI935" t="str">
        <f>"IL"</f>
        <v>IL</v>
      </c>
      <c r="BJ935" t="str">
        <f>"ILLINOIS SUPREME COURT"</f>
        <v>ILLINOIS SUPREME COURT</v>
      </c>
      <c r="BK935">
        <v>1</v>
      </c>
      <c r="BL935" t="s">
        <v>102</v>
      </c>
      <c r="BM935" t="str">
        <f>""</f>
        <v/>
      </c>
      <c r="BN935" t="s">
        <v>10511</v>
      </c>
      <c r="BP935" t="s">
        <v>10512</v>
      </c>
      <c r="BQ935" t="s">
        <v>5788</v>
      </c>
      <c r="BR935" t="s">
        <v>594</v>
      </c>
      <c r="BS935" s="5">
        <v>29644</v>
      </c>
      <c r="BT935" s="2">
        <v>36.82</v>
      </c>
      <c r="BV935" t="s">
        <v>210</v>
      </c>
      <c r="BW935" s="2">
        <v>36.82</v>
      </c>
      <c r="BX935" t="s">
        <v>210</v>
      </c>
      <c r="BZ935" t="s">
        <v>167</v>
      </c>
      <c r="CA935" t="str">
        <f t="shared" si="69"/>
        <v>7/1/2020 - 6/30/2021</v>
      </c>
      <c r="CF935">
        <v>2</v>
      </c>
      <c r="CG935" t="s">
        <v>98</v>
      </c>
      <c r="CH935" t="s">
        <v>206</v>
      </c>
      <c r="CI935" t="s">
        <v>206</v>
      </c>
      <c r="CL935" t="s">
        <v>108</v>
      </c>
      <c r="CM935" t="s">
        <v>109</v>
      </c>
      <c r="CN935" t="str">
        <f>""</f>
        <v/>
      </c>
      <c r="CO935" t="str">
        <f>""</f>
        <v/>
      </c>
      <c r="CP935" t="str">
        <f>""</f>
        <v/>
      </c>
      <c r="CQ935" t="str">
        <f>""</f>
        <v/>
      </c>
    </row>
    <row r="936" spans="1:96" x14ac:dyDescent="0.2">
      <c r="A936" t="s">
        <v>10513</v>
      </c>
      <c r="B936" t="s">
        <v>96</v>
      </c>
      <c r="C936" s="1">
        <v>44098</v>
      </c>
      <c r="D936" s="1">
        <v>44105</v>
      </c>
      <c r="F936" t="s">
        <v>97</v>
      </c>
      <c r="G936" t="str">
        <f>"Cluster Manager, SLC Cluster"</f>
        <v>Cluster Manager, SLC Cluster</v>
      </c>
      <c r="H936" t="s">
        <v>12194</v>
      </c>
      <c r="I936" t="s">
        <v>1793</v>
      </c>
      <c r="J936" t="s">
        <v>98</v>
      </c>
      <c r="K936" s="1">
        <v>44149</v>
      </c>
      <c r="L936" s="1">
        <v>45243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 t="s">
        <v>10514</v>
      </c>
      <c r="U936" t="str">
        <f>""</f>
        <v/>
      </c>
      <c r="V936" t="s">
        <v>6510</v>
      </c>
      <c r="W936" t="str">
        <f>""</f>
        <v/>
      </c>
      <c r="X936" t="s">
        <v>1886</v>
      </c>
      <c r="Y936" t="s">
        <v>280</v>
      </c>
      <c r="Z936" s="3">
        <v>6810</v>
      </c>
      <c r="AA936" t="s">
        <v>101</v>
      </c>
      <c r="AC936" s="4" t="str">
        <f>"+12038372231"</f>
        <v>+12038372231</v>
      </c>
      <c r="AE936" t="str">
        <f>"32512"</f>
        <v>32512</v>
      </c>
      <c r="AF936" t="s">
        <v>1883</v>
      </c>
      <c r="AG936" t="s">
        <v>10515</v>
      </c>
      <c r="AI936" t="s">
        <v>1543</v>
      </c>
      <c r="AJ936" t="s">
        <v>1885</v>
      </c>
      <c r="AK936" t="str">
        <f>""</f>
        <v/>
      </c>
      <c r="AL936" t="s">
        <v>1886</v>
      </c>
      <c r="AM936" t="s">
        <v>280</v>
      </c>
      <c r="AN936" s="3">
        <v>6810</v>
      </c>
      <c r="AO936" t="s">
        <v>101</v>
      </c>
      <c r="AQ936" t="str">
        <f>"+12038372231"</f>
        <v>+12038372231</v>
      </c>
      <c r="AS936" t="s">
        <v>1887</v>
      </c>
      <c r="AT936" t="s">
        <v>107</v>
      </c>
      <c r="AU936" t="str">
        <f>"ROSENBERG"</f>
        <v>ROSENBERG</v>
      </c>
      <c r="AV936" t="str">
        <f>"HYLA"</f>
        <v>HYLA</v>
      </c>
      <c r="AW936" t="str">
        <f>"KAPLAN"</f>
        <v>KAPLAN</v>
      </c>
      <c r="AX936" t="str">
        <f>"1400 BROADWAY"</f>
        <v>1400 BROADWAY</v>
      </c>
      <c r="AY936" t="str">
        <f>""</f>
        <v/>
      </c>
      <c r="AZ936" t="str">
        <f>"NEW YORK"</f>
        <v>NEW YORK</v>
      </c>
      <c r="BA936" t="str">
        <f>"NY"</f>
        <v>NY</v>
      </c>
      <c r="BB936" s="3">
        <v>10018</v>
      </c>
      <c r="BC936" t="str">
        <f t="shared" si="70"/>
        <v>UNITED STATES OF AMERICA</v>
      </c>
      <c r="BD936" t="str">
        <f>""</f>
        <v/>
      </c>
      <c r="BE936" t="str">
        <f>"+12126888555"</f>
        <v>+12126888555</v>
      </c>
      <c r="BF936" t="str">
        <f>""</f>
        <v/>
      </c>
      <c r="BG936" t="str">
        <f>"DTHAKUR@FRAGOMEN.COM"</f>
        <v>DTHAKUR@FRAGOMEN.COM</v>
      </c>
      <c r="BH936" t="str">
        <f>"Fragomen, Del Rey, Bernsen &amp; Loewy, LLP"</f>
        <v>Fragomen, Del Rey, Bernsen &amp; Loewy, LLP</v>
      </c>
      <c r="BI936" t="str">
        <f>"NY"</f>
        <v>NY</v>
      </c>
      <c r="BJ936" t="str">
        <f>"NEW YORK SUPREME COURT "</f>
        <v xml:space="preserve">NEW YORK SUPREME COURT </v>
      </c>
      <c r="BK936">
        <v>1</v>
      </c>
      <c r="BL936" t="s">
        <v>102</v>
      </c>
      <c r="BM936" t="str">
        <f>""</f>
        <v/>
      </c>
      <c r="BN936" t="s">
        <v>9510</v>
      </c>
      <c r="BP936" t="s">
        <v>9511</v>
      </c>
      <c r="BQ936" t="s">
        <v>6544</v>
      </c>
      <c r="BR936" t="s">
        <v>169</v>
      </c>
      <c r="BS936" s="5">
        <v>84054</v>
      </c>
      <c r="BT936" s="2">
        <v>110000</v>
      </c>
      <c r="BV936" t="s">
        <v>105</v>
      </c>
      <c r="BW936" s="2">
        <v>105789</v>
      </c>
      <c r="BX936" t="s">
        <v>105</v>
      </c>
      <c r="BZ936" t="s">
        <v>159</v>
      </c>
      <c r="CA936" t="str">
        <f t="shared" si="69"/>
        <v>7/1/2020 - 6/30/2021</v>
      </c>
      <c r="CF936">
        <v>1</v>
      </c>
      <c r="CG936" t="s">
        <v>98</v>
      </c>
      <c r="CH936" t="s">
        <v>206</v>
      </c>
      <c r="CI936" t="s">
        <v>206</v>
      </c>
      <c r="CL936" t="s">
        <v>108</v>
      </c>
      <c r="CM936" t="s">
        <v>109</v>
      </c>
      <c r="CN936" t="str">
        <f>"THAKUR"</f>
        <v>THAKUR</v>
      </c>
      <c r="CO936" t="str">
        <f>"DIVYA"</f>
        <v>DIVYA</v>
      </c>
      <c r="CP936" t="str">
        <f>""</f>
        <v/>
      </c>
      <c r="CQ936" t="str">
        <f>" Fragomen, Del Rey, Bernsen &amp; Loewy, LLP"</f>
        <v xml:space="preserve"> Fragomen, Del Rey, Bernsen &amp; Loewy, LLP</v>
      </c>
      <c r="CR936" t="s">
        <v>10516</v>
      </c>
    </row>
    <row r="937" spans="1:96" x14ac:dyDescent="0.2">
      <c r="A937" t="s">
        <v>10517</v>
      </c>
      <c r="B937" t="s">
        <v>96</v>
      </c>
      <c r="C937" s="1">
        <v>44098</v>
      </c>
      <c r="D937" s="1">
        <v>44105</v>
      </c>
      <c r="F937" t="s">
        <v>97</v>
      </c>
      <c r="G937" t="str">
        <f>"Analyst"</f>
        <v>Analyst</v>
      </c>
      <c r="H937" t="s">
        <v>12169</v>
      </c>
      <c r="I937" t="s">
        <v>124</v>
      </c>
      <c r="J937" t="s">
        <v>98</v>
      </c>
      <c r="K937" s="1">
        <v>44105</v>
      </c>
      <c r="L937" s="1">
        <v>45199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 t="s">
        <v>2755</v>
      </c>
      <c r="U937" t="str">
        <f>""</f>
        <v/>
      </c>
      <c r="V937" t="s">
        <v>2756</v>
      </c>
      <c r="W937" t="str">
        <f>""</f>
        <v/>
      </c>
      <c r="X937" t="s">
        <v>1775</v>
      </c>
      <c r="Y937" t="s">
        <v>1776</v>
      </c>
      <c r="Z937" s="3">
        <v>19809</v>
      </c>
      <c r="AA937" t="s">
        <v>101</v>
      </c>
      <c r="AC937" s="4" t="str">
        <f>"+13027972000"</f>
        <v>+13027972000</v>
      </c>
      <c r="AE937" t="str">
        <f>"523920"</f>
        <v>523920</v>
      </c>
      <c r="AF937" t="s">
        <v>2757</v>
      </c>
      <c r="AG937" t="s">
        <v>2758</v>
      </c>
      <c r="AI937" t="s">
        <v>2759</v>
      </c>
      <c r="AJ937" t="s">
        <v>2756</v>
      </c>
      <c r="AK937" t="str">
        <f>""</f>
        <v/>
      </c>
      <c r="AL937" t="s">
        <v>1775</v>
      </c>
      <c r="AM937" t="s">
        <v>1776</v>
      </c>
      <c r="AN937" s="3">
        <v>19809</v>
      </c>
      <c r="AO937" t="s">
        <v>101</v>
      </c>
      <c r="AQ937" t="str">
        <f>"+13027972000"</f>
        <v>+13027972000</v>
      </c>
      <c r="AS937" t="s">
        <v>2760</v>
      </c>
      <c r="AT937" t="s">
        <v>107</v>
      </c>
      <c r="AU937" t="str">
        <f>"Allen"</f>
        <v>Allen</v>
      </c>
      <c r="AV937" t="str">
        <f>"Sarah"</f>
        <v>Sarah</v>
      </c>
      <c r="AW937" t="str">
        <f>""</f>
        <v/>
      </c>
      <c r="AX937" t="str">
        <f>"1400 Broadway"</f>
        <v>1400 Broadway</v>
      </c>
      <c r="AY937" t="str">
        <f>""</f>
        <v/>
      </c>
      <c r="AZ937" t="str">
        <f>"New York"</f>
        <v>New York</v>
      </c>
      <c r="BA937" t="str">
        <f>"NY"</f>
        <v>NY</v>
      </c>
      <c r="BB937" s="3">
        <v>10018</v>
      </c>
      <c r="BC937" t="str">
        <f t="shared" si="70"/>
        <v>UNITED STATES OF AMERICA</v>
      </c>
      <c r="BD937" t="str">
        <f>""</f>
        <v/>
      </c>
      <c r="BE937" t="str">
        <f>"+12126888555"</f>
        <v>+12126888555</v>
      </c>
      <c r="BF937" t="str">
        <f>""</f>
        <v/>
      </c>
      <c r="BG937" t="str">
        <f>"ctardio@fragomen.com"</f>
        <v>ctardio@fragomen.com</v>
      </c>
      <c r="BH937" t="str">
        <f>"Fragomen, Del Rey, Bernsen &amp; Loewy, LLP"</f>
        <v>Fragomen, Del Rey, Bernsen &amp; Loewy, LLP</v>
      </c>
      <c r="BI937" t="str">
        <f>"NY"</f>
        <v>NY</v>
      </c>
      <c r="BJ937" t="str">
        <f>"Supreme Court"</f>
        <v>Supreme Court</v>
      </c>
      <c r="BK937">
        <v>1</v>
      </c>
      <c r="BL937" t="s">
        <v>102</v>
      </c>
      <c r="BM937" t="str">
        <f>""</f>
        <v/>
      </c>
      <c r="BN937" t="s">
        <v>10518</v>
      </c>
      <c r="BO937" t="s">
        <v>10519</v>
      </c>
      <c r="BP937" t="s">
        <v>1661</v>
      </c>
      <c r="BQ937" t="s">
        <v>576</v>
      </c>
      <c r="BR937" t="s">
        <v>577</v>
      </c>
      <c r="BS937" s="5">
        <v>33069</v>
      </c>
      <c r="BT937" s="2">
        <v>85842</v>
      </c>
      <c r="BU937" s="2">
        <v>90000</v>
      </c>
      <c r="BV937" t="s">
        <v>105</v>
      </c>
      <c r="BW937" s="2">
        <v>80995</v>
      </c>
      <c r="BX937" t="s">
        <v>105</v>
      </c>
      <c r="BZ937" t="s">
        <v>167</v>
      </c>
      <c r="CA937" t="str">
        <f t="shared" si="69"/>
        <v>7/1/2020 - 6/30/2021</v>
      </c>
      <c r="CF937">
        <v>1</v>
      </c>
      <c r="CG937" t="s">
        <v>98</v>
      </c>
      <c r="CH937" t="s">
        <v>206</v>
      </c>
      <c r="CI937" t="s">
        <v>206</v>
      </c>
      <c r="CL937" t="s">
        <v>108</v>
      </c>
      <c r="CM937" t="s">
        <v>109</v>
      </c>
      <c r="CN937" t="str">
        <f>"Tardio"</f>
        <v>Tardio</v>
      </c>
      <c r="CO937" t="str">
        <f>"Caitlin"</f>
        <v>Caitlin</v>
      </c>
      <c r="CP937" t="str">
        <f>""</f>
        <v/>
      </c>
      <c r="CQ937" t="str">
        <f>"Fragomen, Del Rey, Bernsen &amp; Loewy, LLP"</f>
        <v>Fragomen, Del Rey, Bernsen &amp; Loewy, LLP</v>
      </c>
      <c r="CR937" t="s">
        <v>7103</v>
      </c>
    </row>
    <row r="938" spans="1:96" x14ac:dyDescent="0.2">
      <c r="A938" t="s">
        <v>10524</v>
      </c>
      <c r="B938" t="s">
        <v>96</v>
      </c>
      <c r="C938" s="1">
        <v>44098</v>
      </c>
      <c r="D938" s="1">
        <v>44105</v>
      </c>
      <c r="F938" t="s">
        <v>97</v>
      </c>
      <c r="G938" t="str">
        <f>"Law Clerk"</f>
        <v>Law Clerk</v>
      </c>
      <c r="H938" t="s">
        <v>12282</v>
      </c>
      <c r="I938" t="s">
        <v>2937</v>
      </c>
      <c r="J938" t="s">
        <v>206</v>
      </c>
      <c r="K938" s="1">
        <v>44109</v>
      </c>
      <c r="L938" s="1">
        <v>45203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10525</v>
      </c>
      <c r="U938" t="str">
        <f>"D'Alessio Law Group"</f>
        <v>D'Alessio Law Group</v>
      </c>
      <c r="V938" t="s">
        <v>10526</v>
      </c>
      <c r="W938" t="str">
        <f>"SUITE 1100"</f>
        <v>SUITE 1100</v>
      </c>
      <c r="X938" t="s">
        <v>853</v>
      </c>
      <c r="Y938" t="s">
        <v>141</v>
      </c>
      <c r="Z938" s="3">
        <v>90048</v>
      </c>
      <c r="AA938" t="s">
        <v>101</v>
      </c>
      <c r="AC938" s="4" t="str">
        <f>"+13109093934"</f>
        <v>+13109093934</v>
      </c>
      <c r="AE938" t="str">
        <f>"541110"</f>
        <v>541110</v>
      </c>
      <c r="AF938" t="s">
        <v>10527</v>
      </c>
      <c r="AG938" t="s">
        <v>10120</v>
      </c>
      <c r="AH938" t="s">
        <v>108</v>
      </c>
      <c r="AI938" t="s">
        <v>3559</v>
      </c>
      <c r="AJ938" t="s">
        <v>10526</v>
      </c>
      <c r="AK938" t="str">
        <f>"SUITE 1100"</f>
        <v>SUITE 1100</v>
      </c>
      <c r="AL938" t="s">
        <v>853</v>
      </c>
      <c r="AM938" t="s">
        <v>141</v>
      </c>
      <c r="AN938" s="3">
        <v>90048</v>
      </c>
      <c r="AO938" t="s">
        <v>101</v>
      </c>
      <c r="AQ938" t="str">
        <f>"+13109093934"</f>
        <v>+13109093934</v>
      </c>
      <c r="AS938" t="s">
        <v>10528</v>
      </c>
      <c r="AT938" t="s">
        <v>102</v>
      </c>
      <c r="AU938" t="str">
        <f>""</f>
        <v/>
      </c>
      <c r="AV938" t="str">
        <f>""</f>
        <v/>
      </c>
      <c r="AW938" t="str">
        <f>""</f>
        <v/>
      </c>
      <c r="AX938" t="str">
        <f>""</f>
        <v/>
      </c>
      <c r="AY938" t="str">
        <f>""</f>
        <v/>
      </c>
      <c r="AZ938" t="str">
        <f>""</f>
        <v/>
      </c>
      <c r="BA938" t="str">
        <f>""</f>
        <v/>
      </c>
      <c r="BC938" t="str">
        <f>""</f>
        <v/>
      </c>
      <c r="BD938" t="str">
        <f>""</f>
        <v/>
      </c>
      <c r="BE938" t="str">
        <f>""</f>
        <v/>
      </c>
      <c r="BF938" t="str">
        <f>""</f>
        <v/>
      </c>
      <c r="BG938" t="str">
        <f>""</f>
        <v/>
      </c>
      <c r="BH938" t="str">
        <f>""</f>
        <v/>
      </c>
      <c r="BI938" t="str">
        <f>""</f>
        <v/>
      </c>
      <c r="BJ938" t="str">
        <f>""</f>
        <v/>
      </c>
      <c r="BK938">
        <v>1</v>
      </c>
      <c r="BL938" t="s">
        <v>102</v>
      </c>
      <c r="BM938" t="str">
        <f>""</f>
        <v/>
      </c>
      <c r="BN938" t="s">
        <v>10529</v>
      </c>
      <c r="BO938" t="s">
        <v>10530</v>
      </c>
      <c r="BP938" t="s">
        <v>853</v>
      </c>
      <c r="BQ938" t="s">
        <v>365</v>
      </c>
      <c r="BR938" t="s">
        <v>141</v>
      </c>
      <c r="BS938" s="5">
        <v>90048</v>
      </c>
      <c r="BT938" s="2">
        <v>31.92</v>
      </c>
      <c r="BV938" t="s">
        <v>210</v>
      </c>
      <c r="BW938" s="2">
        <v>31.92</v>
      </c>
      <c r="BX938" t="s">
        <v>210</v>
      </c>
      <c r="BZ938" t="s">
        <v>167</v>
      </c>
      <c r="CA938" t="str">
        <f t="shared" si="69"/>
        <v>7/1/2020 - 6/30/2021</v>
      </c>
      <c r="CF938">
        <v>2</v>
      </c>
      <c r="CG938" t="s">
        <v>98</v>
      </c>
      <c r="CH938" t="s">
        <v>206</v>
      </c>
      <c r="CI938" t="s">
        <v>206</v>
      </c>
      <c r="CL938" t="s">
        <v>108</v>
      </c>
      <c r="CM938" t="s">
        <v>109</v>
      </c>
      <c r="CN938" t="str">
        <f>""</f>
        <v/>
      </c>
      <c r="CO938" t="str">
        <f>""</f>
        <v/>
      </c>
      <c r="CP938" t="str">
        <f>""</f>
        <v/>
      </c>
      <c r="CQ938" t="str">
        <f>""</f>
        <v/>
      </c>
    </row>
    <row r="939" spans="1:96" x14ac:dyDescent="0.2">
      <c r="A939" t="s">
        <v>10533</v>
      </c>
      <c r="B939" t="s">
        <v>96</v>
      </c>
      <c r="C939" s="1">
        <v>44098</v>
      </c>
      <c r="D939" s="1">
        <v>44105</v>
      </c>
      <c r="F939" t="s">
        <v>97</v>
      </c>
      <c r="G939" t="str">
        <f>"SOFTWARE ENGINEER "</f>
        <v xml:space="preserve">SOFTWARE ENGINEER </v>
      </c>
      <c r="H939" t="s">
        <v>12191</v>
      </c>
      <c r="I939" t="s">
        <v>649</v>
      </c>
      <c r="J939" t="s">
        <v>98</v>
      </c>
      <c r="K939" s="1">
        <v>44130</v>
      </c>
      <c r="L939" s="1">
        <v>45224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 t="s">
        <v>4934</v>
      </c>
      <c r="U939" t="str">
        <f>""</f>
        <v/>
      </c>
      <c r="V939" t="s">
        <v>7056</v>
      </c>
      <c r="W939" t="str">
        <f>""</f>
        <v/>
      </c>
      <c r="X939" t="s">
        <v>1288</v>
      </c>
      <c r="Y939" t="s">
        <v>141</v>
      </c>
      <c r="Z939" s="3">
        <v>94303</v>
      </c>
      <c r="AA939" t="s">
        <v>101</v>
      </c>
      <c r="AC939" s="4" t="str">
        <f>"+14157388017"</f>
        <v>+14157388017</v>
      </c>
      <c r="AE939" t="str">
        <f>"541512"</f>
        <v>541512</v>
      </c>
      <c r="AF939" t="s">
        <v>8307</v>
      </c>
      <c r="AG939" t="s">
        <v>6303</v>
      </c>
      <c r="AI939" t="s">
        <v>2208</v>
      </c>
      <c r="AJ939" t="s">
        <v>7057</v>
      </c>
      <c r="AK939" t="str">
        <f>""</f>
        <v/>
      </c>
      <c r="AL939" t="s">
        <v>1288</v>
      </c>
      <c r="AM939" t="s">
        <v>141</v>
      </c>
      <c r="AN939" s="3">
        <v>94303</v>
      </c>
      <c r="AO939" t="s">
        <v>101</v>
      </c>
      <c r="AQ939" t="str">
        <f>"+14128186533"</f>
        <v>+14128186533</v>
      </c>
      <c r="AS939" t="s">
        <v>10534</v>
      </c>
      <c r="AT939" t="s">
        <v>107</v>
      </c>
      <c r="AU939" t="str">
        <f>"REYES GONZALEZ"</f>
        <v>REYES GONZALEZ</v>
      </c>
      <c r="AV939" t="str">
        <f>"ADRIANA"</f>
        <v>ADRIANA</v>
      </c>
      <c r="AW939" t="str">
        <f>""</f>
        <v/>
      </c>
      <c r="AX939" t="str">
        <f>"2801 VIA FORTUNA"</f>
        <v>2801 VIA FORTUNA</v>
      </c>
      <c r="AY939" t="str">
        <f>"SUITE 350"</f>
        <v>SUITE 350</v>
      </c>
      <c r="AZ939" t="str">
        <f>"AUSTIN"</f>
        <v>AUSTIN</v>
      </c>
      <c r="BA939" t="str">
        <f>"TX"</f>
        <v>TX</v>
      </c>
      <c r="BB939" s="3">
        <v>78746</v>
      </c>
      <c r="BC939" t="str">
        <f>"UNITED STATES OF AMERICA"</f>
        <v>UNITED STATES OF AMERICA</v>
      </c>
      <c r="BD939" t="str">
        <f>""</f>
        <v/>
      </c>
      <c r="BE939" t="str">
        <f>"+15124826830"</f>
        <v>+15124826830</v>
      </c>
      <c r="BF939" t="str">
        <f>""</f>
        <v/>
      </c>
      <c r="BG939" t="str">
        <f>"SUSAN.KING@KLGATES.COM"</f>
        <v>SUSAN.KING@KLGATES.COM</v>
      </c>
      <c r="BH939" t="str">
        <f>"K&amp;L GATES LLP"</f>
        <v>K&amp;L GATES LLP</v>
      </c>
      <c r="BI939" t="str">
        <f>"TX"</f>
        <v>TX</v>
      </c>
      <c r="BJ939" t="str">
        <f>"SUPREME COURT OF TEXAS"</f>
        <v>SUPREME COURT OF TEXAS</v>
      </c>
      <c r="BK939">
        <v>1</v>
      </c>
      <c r="BL939" t="s">
        <v>102</v>
      </c>
      <c r="BM939" t="str">
        <f>""</f>
        <v/>
      </c>
      <c r="BN939" t="s">
        <v>10535</v>
      </c>
      <c r="BP939" t="s">
        <v>568</v>
      </c>
      <c r="BQ939" t="s">
        <v>230</v>
      </c>
      <c r="BR939" t="s">
        <v>141</v>
      </c>
      <c r="BS939" s="5">
        <v>94303</v>
      </c>
      <c r="BT939" s="2">
        <v>150000</v>
      </c>
      <c r="BU939" s="2">
        <v>230000</v>
      </c>
      <c r="BV939" t="s">
        <v>105</v>
      </c>
      <c r="BW939" s="2">
        <v>144123</v>
      </c>
      <c r="BX939" t="s">
        <v>105</v>
      </c>
      <c r="BZ939" t="s">
        <v>167</v>
      </c>
      <c r="CA939" t="str">
        <f t="shared" si="69"/>
        <v>7/1/2020 - 6/30/2021</v>
      </c>
      <c r="CF939">
        <v>2</v>
      </c>
      <c r="CG939" t="s">
        <v>98</v>
      </c>
      <c r="CH939" t="s">
        <v>206</v>
      </c>
      <c r="CI939" t="s">
        <v>206</v>
      </c>
      <c r="CL939" t="s">
        <v>108</v>
      </c>
      <c r="CM939" t="s">
        <v>109</v>
      </c>
      <c r="CN939" t="str">
        <f>"REDNER"</f>
        <v>REDNER</v>
      </c>
      <c r="CO939" t="str">
        <f>"MISTY"</f>
        <v>MISTY</v>
      </c>
      <c r="CP939" t="str">
        <f>""</f>
        <v/>
      </c>
      <c r="CQ939" t="str">
        <f>"K&amp;L GATES LLP"</f>
        <v>K&amp;L GATES LLP</v>
      </c>
      <c r="CR939" t="s">
        <v>10536</v>
      </c>
    </row>
    <row r="940" spans="1:96" x14ac:dyDescent="0.2">
      <c r="A940" t="s">
        <v>10537</v>
      </c>
      <c r="B940" t="s">
        <v>96</v>
      </c>
      <c r="C940" s="1">
        <v>44098</v>
      </c>
      <c r="D940" s="1">
        <v>44105</v>
      </c>
      <c r="F940" t="s">
        <v>97</v>
      </c>
      <c r="G940" t="str">
        <f>"Senior Cloud Support Engineer"</f>
        <v>Senior Cloud Support Engineer</v>
      </c>
      <c r="H940" t="s">
        <v>12187</v>
      </c>
      <c r="I940" t="s">
        <v>331</v>
      </c>
      <c r="J940" t="s">
        <v>98</v>
      </c>
      <c r="K940" s="1">
        <v>44104</v>
      </c>
      <c r="L940" s="1">
        <v>45198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2682</v>
      </c>
      <c r="U940" t="str">
        <f>""</f>
        <v/>
      </c>
      <c r="V940" t="s">
        <v>1959</v>
      </c>
      <c r="W940" t="str">
        <f>""</f>
        <v/>
      </c>
      <c r="X940" t="s">
        <v>261</v>
      </c>
      <c r="Y940" t="s">
        <v>176</v>
      </c>
      <c r="Z940" s="3">
        <v>98109</v>
      </c>
      <c r="AA940" t="s">
        <v>101</v>
      </c>
      <c r="AC940" s="4" t="str">
        <f>"+12062661000"</f>
        <v>+12062661000</v>
      </c>
      <c r="AE940" t="str">
        <f>"518210"</f>
        <v>518210</v>
      </c>
      <c r="AF940" t="s">
        <v>2661</v>
      </c>
      <c r="AG940" t="s">
        <v>2662</v>
      </c>
      <c r="AH940" t="s">
        <v>108</v>
      </c>
      <c r="AI940" t="s">
        <v>1553</v>
      </c>
      <c r="AJ940" t="s">
        <v>1959</v>
      </c>
      <c r="AK940" t="str">
        <f>""</f>
        <v/>
      </c>
      <c r="AL940" t="s">
        <v>261</v>
      </c>
      <c r="AM940" t="s">
        <v>176</v>
      </c>
      <c r="AN940" s="3">
        <v>98109</v>
      </c>
      <c r="AO940" t="s">
        <v>101</v>
      </c>
      <c r="AQ940" t="str">
        <f>"+12062661000"</f>
        <v>+12062661000</v>
      </c>
      <c r="AS940" t="s">
        <v>2663</v>
      </c>
      <c r="AT940" t="s">
        <v>102</v>
      </c>
      <c r="AU940" t="str">
        <f>""</f>
        <v/>
      </c>
      <c r="AV940" t="str">
        <f>""</f>
        <v/>
      </c>
      <c r="AW940" t="str">
        <f>""</f>
        <v/>
      </c>
      <c r="AX940" t="str">
        <f>""</f>
        <v/>
      </c>
      <c r="AY940" t="str">
        <f>""</f>
        <v/>
      </c>
      <c r="AZ940" t="str">
        <f>""</f>
        <v/>
      </c>
      <c r="BA940" t="str">
        <f>""</f>
        <v/>
      </c>
      <c r="BC940" t="str">
        <f>""</f>
        <v/>
      </c>
      <c r="BD940" t="str">
        <f>""</f>
        <v/>
      </c>
      <c r="BE940" t="str">
        <f>""</f>
        <v/>
      </c>
      <c r="BF940" t="str">
        <f>""</f>
        <v/>
      </c>
      <c r="BG940" t="str">
        <f>""</f>
        <v/>
      </c>
      <c r="BH940" t="str">
        <f>""</f>
        <v/>
      </c>
      <c r="BI940" t="str">
        <f>""</f>
        <v/>
      </c>
      <c r="BJ940" t="str">
        <f>""</f>
        <v/>
      </c>
      <c r="BK940">
        <v>1</v>
      </c>
      <c r="BL940" t="s">
        <v>102</v>
      </c>
      <c r="BM940" t="str">
        <f>""</f>
        <v/>
      </c>
      <c r="BN940" t="s">
        <v>1959</v>
      </c>
      <c r="BP940" t="s">
        <v>261</v>
      </c>
      <c r="BQ940" t="s">
        <v>183</v>
      </c>
      <c r="BR940" t="s">
        <v>176</v>
      </c>
      <c r="BS940" s="5">
        <v>98109</v>
      </c>
      <c r="BT940" s="2">
        <v>129000</v>
      </c>
      <c r="BV940" t="s">
        <v>105</v>
      </c>
      <c r="BW940" s="2">
        <v>99154</v>
      </c>
      <c r="BX940" t="s">
        <v>105</v>
      </c>
      <c r="BZ940" t="s">
        <v>123</v>
      </c>
      <c r="CA940" t="str">
        <f t="shared" si="69"/>
        <v>7/1/2020 - 6/30/2021</v>
      </c>
      <c r="CF940">
        <v>2</v>
      </c>
      <c r="CG940" t="s">
        <v>98</v>
      </c>
      <c r="CH940" t="s">
        <v>206</v>
      </c>
      <c r="CI940" t="s">
        <v>206</v>
      </c>
      <c r="CL940" t="s">
        <v>108</v>
      </c>
      <c r="CM940" t="s">
        <v>109</v>
      </c>
      <c r="CN940" t="str">
        <f>"Zai"</f>
        <v>Zai</v>
      </c>
      <c r="CO940" t="str">
        <f>"Christopher"</f>
        <v>Christopher</v>
      </c>
      <c r="CP940" t="str">
        <f>"N/A"</f>
        <v>N/A</v>
      </c>
      <c r="CQ940" t="str">
        <f>"de Lint LLP "</f>
        <v xml:space="preserve">de Lint LLP </v>
      </c>
      <c r="CR940" t="s">
        <v>2664</v>
      </c>
    </row>
    <row r="941" spans="1:96" x14ac:dyDescent="0.2">
      <c r="A941" t="s">
        <v>10538</v>
      </c>
      <c r="B941" t="s">
        <v>96</v>
      </c>
      <c r="C941" s="1">
        <v>44098</v>
      </c>
      <c r="D941" s="1">
        <v>44105</v>
      </c>
      <c r="F941" t="s">
        <v>97</v>
      </c>
      <c r="G941" t="str">
        <f>"Postdoctoral Research Assoc.-Condensed Matter Physics"</f>
        <v>Postdoctoral Research Assoc.-Condensed Matter Physics</v>
      </c>
      <c r="H941" t="s">
        <v>12200</v>
      </c>
      <c r="I941" t="s">
        <v>1587</v>
      </c>
      <c r="J941" t="s">
        <v>98</v>
      </c>
      <c r="K941" s="1">
        <v>44147</v>
      </c>
      <c r="L941" s="1">
        <v>44518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 t="s">
        <v>1650</v>
      </c>
      <c r="U941" t="str">
        <f>""</f>
        <v/>
      </c>
      <c r="V941" t="s">
        <v>1651</v>
      </c>
      <c r="W941" t="str">
        <f>""</f>
        <v/>
      </c>
      <c r="X941" t="s">
        <v>1652</v>
      </c>
      <c r="Y941" t="s">
        <v>545</v>
      </c>
      <c r="Z941" s="3">
        <v>37831</v>
      </c>
      <c r="AA941" t="s">
        <v>101</v>
      </c>
      <c r="AC941" s="4" t="str">
        <f>"+18652419404"</f>
        <v>+18652419404</v>
      </c>
      <c r="AE941" t="str">
        <f>"54171"</f>
        <v>54171</v>
      </c>
      <c r="AF941" t="s">
        <v>1653</v>
      </c>
      <c r="AG941" t="s">
        <v>1654</v>
      </c>
      <c r="AH941" t="s">
        <v>611</v>
      </c>
      <c r="AI941" t="s">
        <v>221</v>
      </c>
      <c r="AJ941" t="s">
        <v>1655</v>
      </c>
      <c r="AK941" t="str">
        <f>""</f>
        <v/>
      </c>
      <c r="AL941" t="s">
        <v>1656</v>
      </c>
      <c r="AM941" t="s">
        <v>545</v>
      </c>
      <c r="AN941" s="3">
        <v>37831</v>
      </c>
      <c r="AO941" t="s">
        <v>101</v>
      </c>
      <c r="AQ941" t="str">
        <f>"+18652419404"</f>
        <v>+18652419404</v>
      </c>
      <c r="AS941" t="s">
        <v>1657</v>
      </c>
      <c r="AT941" t="s">
        <v>102</v>
      </c>
      <c r="AU941" t="str">
        <f>""</f>
        <v/>
      </c>
      <c r="AV941" t="str">
        <f>""</f>
        <v/>
      </c>
      <c r="AW941" t="str">
        <f>""</f>
        <v/>
      </c>
      <c r="AX941" t="str">
        <f>""</f>
        <v/>
      </c>
      <c r="AY941" t="str">
        <f>""</f>
        <v/>
      </c>
      <c r="AZ941" t="str">
        <f>""</f>
        <v/>
      </c>
      <c r="BA941" t="str">
        <f>""</f>
        <v/>
      </c>
      <c r="BC941" t="str">
        <f>""</f>
        <v/>
      </c>
      <c r="BD941" t="str">
        <f>""</f>
        <v/>
      </c>
      <c r="BE941" t="str">
        <f>""</f>
        <v/>
      </c>
      <c r="BF941" t="str">
        <f>""</f>
        <v/>
      </c>
      <c r="BG941" t="str">
        <f>""</f>
        <v/>
      </c>
      <c r="BH941" t="str">
        <f>""</f>
        <v/>
      </c>
      <c r="BI941" t="str">
        <f>""</f>
        <v/>
      </c>
      <c r="BJ941" t="str">
        <f>""</f>
        <v/>
      </c>
      <c r="BK941">
        <v>1</v>
      </c>
      <c r="BL941" t="s">
        <v>102</v>
      </c>
      <c r="BM941" t="str">
        <f>""</f>
        <v/>
      </c>
      <c r="BN941" t="s">
        <v>1651</v>
      </c>
      <c r="BP941" t="s">
        <v>1656</v>
      </c>
      <c r="BQ941" t="s">
        <v>1658</v>
      </c>
      <c r="BR941" t="s">
        <v>545</v>
      </c>
      <c r="BS941" s="5">
        <v>37831</v>
      </c>
      <c r="BT941" s="2">
        <v>74448</v>
      </c>
      <c r="BV941" t="s">
        <v>105</v>
      </c>
      <c r="BW941" s="2">
        <v>65229</v>
      </c>
      <c r="BX941" t="s">
        <v>105</v>
      </c>
      <c r="BZ941" t="s">
        <v>167</v>
      </c>
      <c r="CA941" t="str">
        <f t="shared" si="69"/>
        <v>7/1/2020 - 6/30/2021</v>
      </c>
      <c r="CF941">
        <v>1</v>
      </c>
      <c r="CG941" t="s">
        <v>98</v>
      </c>
      <c r="CH941" t="s">
        <v>206</v>
      </c>
      <c r="CI941" t="s">
        <v>206</v>
      </c>
      <c r="CL941" t="s">
        <v>108</v>
      </c>
      <c r="CM941" t="s">
        <v>718</v>
      </c>
      <c r="CN941" t="str">
        <f>""</f>
        <v/>
      </c>
      <c r="CO941" t="str">
        <f>""</f>
        <v/>
      </c>
      <c r="CP941" t="str">
        <f>""</f>
        <v/>
      </c>
      <c r="CQ941" t="str">
        <f>""</f>
        <v/>
      </c>
    </row>
    <row r="942" spans="1:96" x14ac:dyDescent="0.2">
      <c r="A942" t="s">
        <v>10540</v>
      </c>
      <c r="B942" t="s">
        <v>96</v>
      </c>
      <c r="C942" s="1">
        <v>44098</v>
      </c>
      <c r="D942" s="1">
        <v>44105</v>
      </c>
      <c r="F942" t="s">
        <v>97</v>
      </c>
      <c r="G942" t="str">
        <f>"Associate, Software Engineering"</f>
        <v>Associate, Software Engineering</v>
      </c>
      <c r="H942" t="s">
        <v>12168</v>
      </c>
      <c r="I942" t="s">
        <v>160</v>
      </c>
      <c r="J942" t="s">
        <v>98</v>
      </c>
      <c r="K942" s="1">
        <v>44147</v>
      </c>
      <c r="L942" s="1">
        <v>45241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 t="s">
        <v>2242</v>
      </c>
      <c r="U942" t="str">
        <f>""</f>
        <v/>
      </c>
      <c r="V942" t="s">
        <v>2243</v>
      </c>
      <c r="W942" t="str">
        <f>""</f>
        <v/>
      </c>
      <c r="X942" t="s">
        <v>833</v>
      </c>
      <c r="Y942" t="s">
        <v>345</v>
      </c>
      <c r="Z942" s="3">
        <v>60603</v>
      </c>
      <c r="AA942" t="s">
        <v>101</v>
      </c>
      <c r="AC942" s="4" t="str">
        <f>"+13127322655"</f>
        <v>+13127322655</v>
      </c>
      <c r="AE942" t="str">
        <f>"551112"</f>
        <v>551112</v>
      </c>
      <c r="AF942" t="s">
        <v>3398</v>
      </c>
      <c r="AG942" t="s">
        <v>1720</v>
      </c>
      <c r="AI942" t="s">
        <v>2246</v>
      </c>
      <c r="AJ942" t="s">
        <v>2247</v>
      </c>
      <c r="AK942" t="str">
        <f>""</f>
        <v/>
      </c>
      <c r="AL942" t="s">
        <v>843</v>
      </c>
      <c r="AM942" t="s">
        <v>345</v>
      </c>
      <c r="AN942" s="3">
        <v>60603</v>
      </c>
      <c r="AO942" t="s">
        <v>101</v>
      </c>
      <c r="AQ942" t="str">
        <f>"+13127322773"</f>
        <v>+13127322773</v>
      </c>
      <c r="AS942" t="s">
        <v>3399</v>
      </c>
      <c r="AT942" t="s">
        <v>107</v>
      </c>
      <c r="AU942" t="str">
        <f>"NIEVES"</f>
        <v>NIEVES</v>
      </c>
      <c r="AV942" t="str">
        <f>"JENNY "</f>
        <v xml:space="preserve">JENNY </v>
      </c>
      <c r="AW942" t="str">
        <f>""</f>
        <v/>
      </c>
      <c r="AX942" t="str">
        <f>"1400 BROADWAY	"</f>
        <v xml:space="preserve">1400 BROADWAY	</v>
      </c>
      <c r="AY942" t="str">
        <f>"FRAGOMEN, DEL REY, BERNSEN &amp; LOEWY LLP"</f>
        <v>FRAGOMEN, DEL REY, BERNSEN &amp; LOEWY LLP</v>
      </c>
      <c r="AZ942" t="str">
        <f>"NEW YORK"</f>
        <v>NEW YORK</v>
      </c>
      <c r="BA942" t="str">
        <f>"NY"</f>
        <v>NY</v>
      </c>
      <c r="BB942" s="3">
        <v>10018</v>
      </c>
      <c r="BC942" t="str">
        <f>"UNITED STATES OF AMERICA"</f>
        <v>UNITED STATES OF AMERICA</v>
      </c>
      <c r="BD942" t="str">
        <f>""</f>
        <v/>
      </c>
      <c r="BE942" t="str">
        <f>"+12126888555"</f>
        <v>+12126888555</v>
      </c>
      <c r="BF942" t="str">
        <f>""</f>
        <v/>
      </c>
      <c r="BG942" t="str">
        <f>"SGIAN@FRAGOMEN.COM"</f>
        <v>SGIAN@FRAGOMEN.COM</v>
      </c>
      <c r="BH942" t="str">
        <f>"FRAGOMEN, DEL REY, BERNSEN &amp; LOEWY LLP"</f>
        <v>FRAGOMEN, DEL REY, BERNSEN &amp; LOEWY LLP</v>
      </c>
      <c r="BI942" t="str">
        <f>"NY"</f>
        <v>NY</v>
      </c>
      <c r="BJ942" t="str">
        <f>"NYS APPELLATE DIVISION, SECOND DEPARTMENT"</f>
        <v>NYS APPELLATE DIVISION, SECOND DEPARTMENT</v>
      </c>
      <c r="BK942">
        <v>1</v>
      </c>
      <c r="BL942" t="s">
        <v>102</v>
      </c>
      <c r="BM942" t="str">
        <f>""</f>
        <v/>
      </c>
      <c r="BN942" t="s">
        <v>10122</v>
      </c>
      <c r="BO942" t="s">
        <v>2242</v>
      </c>
      <c r="BP942" t="s">
        <v>277</v>
      </c>
      <c r="BQ942" t="s">
        <v>189</v>
      </c>
      <c r="BR942" t="s">
        <v>190</v>
      </c>
      <c r="BS942" s="5">
        <v>10001</v>
      </c>
      <c r="BT942" s="2">
        <v>121100</v>
      </c>
      <c r="BV942" t="s">
        <v>105</v>
      </c>
      <c r="BW942" s="2">
        <v>67766</v>
      </c>
      <c r="BX942" t="s">
        <v>105</v>
      </c>
      <c r="BZ942" t="s">
        <v>167</v>
      </c>
      <c r="CA942" t="str">
        <f t="shared" si="69"/>
        <v>7/1/2020 - 6/30/2021</v>
      </c>
      <c r="CF942">
        <v>3</v>
      </c>
      <c r="CG942" t="s">
        <v>98</v>
      </c>
      <c r="CH942" t="s">
        <v>206</v>
      </c>
      <c r="CI942" t="s">
        <v>206</v>
      </c>
      <c r="CL942" t="s">
        <v>108</v>
      </c>
      <c r="CM942" t="s">
        <v>109</v>
      </c>
      <c r="CN942" t="str">
        <f>"GIAN"</f>
        <v>GIAN</v>
      </c>
      <c r="CO942" t="str">
        <f>"SUSAN"</f>
        <v>SUSAN</v>
      </c>
      <c r="CP942" t="str">
        <f>""</f>
        <v/>
      </c>
      <c r="CQ942" t="str">
        <f>"FRAGOMEN, DEL REY, BERNSEN &amp; LOEWY, LLP"</f>
        <v>FRAGOMEN, DEL REY, BERNSEN &amp; LOEWY, LLP</v>
      </c>
      <c r="CR942" t="s">
        <v>9183</v>
      </c>
    </row>
    <row r="943" spans="1:96" x14ac:dyDescent="0.2">
      <c r="A943" t="s">
        <v>10548</v>
      </c>
      <c r="B943" t="s">
        <v>96</v>
      </c>
      <c r="C943" s="1">
        <v>44098</v>
      </c>
      <c r="D943" s="1">
        <v>44105</v>
      </c>
      <c r="F943" t="s">
        <v>97</v>
      </c>
      <c r="G943" t="str">
        <f>"Platform Architect &amp; Integration Manager"</f>
        <v>Platform Architect &amp; Integration Manager</v>
      </c>
      <c r="H943" t="s">
        <v>12168</v>
      </c>
      <c r="I943" t="s">
        <v>367</v>
      </c>
      <c r="J943" t="s">
        <v>98</v>
      </c>
      <c r="K943" s="1">
        <v>44126</v>
      </c>
      <c r="L943" s="1">
        <v>45220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 t="s">
        <v>5271</v>
      </c>
      <c r="U943" t="str">
        <f>""</f>
        <v/>
      </c>
      <c r="V943" t="s">
        <v>6127</v>
      </c>
      <c r="W943" t="str">
        <f>""</f>
        <v/>
      </c>
      <c r="X943" t="s">
        <v>3516</v>
      </c>
      <c r="Y943" t="s">
        <v>100</v>
      </c>
      <c r="Z943" s="3">
        <v>7981</v>
      </c>
      <c r="AA943" t="s">
        <v>101</v>
      </c>
      <c r="AC943" s="4" t="str">
        <f>"+13146948801"</f>
        <v>+13146948801</v>
      </c>
      <c r="AE943" t="str">
        <f>"325411"</f>
        <v>325411</v>
      </c>
      <c r="AF943" t="s">
        <v>2282</v>
      </c>
      <c r="AG943" t="s">
        <v>1719</v>
      </c>
      <c r="AH943" t="s">
        <v>2280</v>
      </c>
      <c r="AI943" t="s">
        <v>2175</v>
      </c>
      <c r="AJ943" t="s">
        <v>6127</v>
      </c>
      <c r="AK943" t="str">
        <f>""</f>
        <v/>
      </c>
      <c r="AL943" t="s">
        <v>3516</v>
      </c>
      <c r="AM943" t="s">
        <v>100</v>
      </c>
      <c r="AN943" s="3">
        <v>7981</v>
      </c>
      <c r="AO943" t="s">
        <v>101</v>
      </c>
      <c r="AQ943" t="str">
        <f>"+13146948801"</f>
        <v>+13146948801</v>
      </c>
      <c r="AS943" t="s">
        <v>5887</v>
      </c>
      <c r="AT943" t="s">
        <v>107</v>
      </c>
      <c r="AU943" t="str">
        <f>"Friend"</f>
        <v>Friend</v>
      </c>
      <c r="AV943" t="str">
        <f>"Carol"</f>
        <v>Carol</v>
      </c>
      <c r="AW943" t="str">
        <f>"A."</f>
        <v>A.</v>
      </c>
      <c r="AX943" t="str">
        <f>"660 Woodward Avenue"</f>
        <v>660 Woodward Avenue</v>
      </c>
      <c r="AY943" t="str">
        <f>"Ste. 2290"</f>
        <v>Ste. 2290</v>
      </c>
      <c r="AZ943" t="str">
        <f>"Detroit"</f>
        <v>Detroit</v>
      </c>
      <c r="BA943" t="str">
        <f>"MI"</f>
        <v>MI</v>
      </c>
      <c r="BB943" s="3">
        <v>48226</v>
      </c>
      <c r="BC943" t="str">
        <f>"UNITED STATES OF AMERICA"</f>
        <v>UNITED STATES OF AMERICA</v>
      </c>
      <c r="BD943" t="str">
        <f>""</f>
        <v/>
      </c>
      <c r="BE943" t="str">
        <f>"+13134657374"</f>
        <v>+13134657374</v>
      </c>
      <c r="BF943" t="str">
        <f>""</f>
        <v/>
      </c>
      <c r="BG943" t="str">
        <f>"cfriend@honigman.com"</f>
        <v>cfriend@honigman.com</v>
      </c>
      <c r="BH943" t="str">
        <f>"Honigman LLP"</f>
        <v>Honigman LLP</v>
      </c>
      <c r="BI943" t="str">
        <f>"MI"</f>
        <v>MI</v>
      </c>
      <c r="BJ943" t="str">
        <f>"Michigan Supreme Court"</f>
        <v>Michigan Supreme Court</v>
      </c>
      <c r="BK943">
        <v>1</v>
      </c>
      <c r="BL943" t="s">
        <v>102</v>
      </c>
      <c r="BM943" t="str">
        <f>""</f>
        <v/>
      </c>
      <c r="BN943" t="s">
        <v>5272</v>
      </c>
      <c r="BP943" t="s">
        <v>3516</v>
      </c>
      <c r="BQ943" t="s">
        <v>1029</v>
      </c>
      <c r="BR943" t="s">
        <v>100</v>
      </c>
      <c r="BS943" s="5">
        <v>7981</v>
      </c>
      <c r="BT943" s="2">
        <v>133600</v>
      </c>
      <c r="BV943" t="s">
        <v>105</v>
      </c>
      <c r="BW943" s="2">
        <v>114962</v>
      </c>
      <c r="BX943" t="s">
        <v>105</v>
      </c>
      <c r="BZ943" t="s">
        <v>159</v>
      </c>
      <c r="CA943" t="str">
        <f t="shared" si="69"/>
        <v>7/1/2020 - 6/30/2021</v>
      </c>
      <c r="CF943">
        <v>2</v>
      </c>
      <c r="CG943" t="s">
        <v>98</v>
      </c>
      <c r="CH943" t="s">
        <v>206</v>
      </c>
      <c r="CI943" t="s">
        <v>206</v>
      </c>
      <c r="CL943" t="s">
        <v>108</v>
      </c>
      <c r="CM943" t="s">
        <v>109</v>
      </c>
      <c r="CN943" t="str">
        <f>"Friend"</f>
        <v>Friend</v>
      </c>
      <c r="CO943" t="str">
        <f>"Carol"</f>
        <v>Carol</v>
      </c>
      <c r="CP943" t="str">
        <f>"A."</f>
        <v>A.</v>
      </c>
      <c r="CQ943" t="str">
        <f>"Honigman LLP"</f>
        <v>Honigman LLP</v>
      </c>
      <c r="CR943" t="s">
        <v>5273</v>
      </c>
    </row>
    <row r="944" spans="1:96" x14ac:dyDescent="0.2">
      <c r="A944" t="s">
        <v>10549</v>
      </c>
      <c r="B944" t="s">
        <v>96</v>
      </c>
      <c r="C944" s="1">
        <v>44098</v>
      </c>
      <c r="D944" s="1">
        <v>44105</v>
      </c>
      <c r="F944" t="s">
        <v>97</v>
      </c>
      <c r="G944" t="str">
        <f>"Engineer 4, API Engineer"</f>
        <v>Engineer 4, API Engineer</v>
      </c>
      <c r="H944" t="s">
        <v>12169</v>
      </c>
      <c r="I944" t="s">
        <v>124</v>
      </c>
      <c r="J944" t="s">
        <v>98</v>
      </c>
      <c r="K944" s="1">
        <v>44281</v>
      </c>
      <c r="L944" s="1">
        <v>45376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 t="s">
        <v>2215</v>
      </c>
      <c r="U944" t="str">
        <f>""</f>
        <v/>
      </c>
      <c r="V944" t="s">
        <v>1816</v>
      </c>
      <c r="W944" t="str">
        <f>"1701 John F Kennedy Blvd"</f>
        <v>1701 John F Kennedy Blvd</v>
      </c>
      <c r="X944" t="s">
        <v>218</v>
      </c>
      <c r="Y944" t="s">
        <v>127</v>
      </c>
      <c r="Z944" s="3">
        <v>19103</v>
      </c>
      <c r="AA944" t="s">
        <v>101</v>
      </c>
      <c r="AC944" s="4" t="str">
        <f>"+12157380579"</f>
        <v>+12157380579</v>
      </c>
      <c r="AE944" t="str">
        <f>"515210"</f>
        <v>515210</v>
      </c>
      <c r="AF944" t="s">
        <v>2216</v>
      </c>
      <c r="AG944" t="s">
        <v>1819</v>
      </c>
      <c r="AI944" t="s">
        <v>2217</v>
      </c>
      <c r="AJ944" t="s">
        <v>5188</v>
      </c>
      <c r="AK944" t="str">
        <f>"11th Floor East"</f>
        <v>11th Floor East</v>
      </c>
      <c r="AL944" t="s">
        <v>218</v>
      </c>
      <c r="AM944" t="s">
        <v>127</v>
      </c>
      <c r="AN944" s="3">
        <v>19102</v>
      </c>
      <c r="AO944" t="s">
        <v>101</v>
      </c>
      <c r="AQ944" t="str">
        <f>"+12157380579"</f>
        <v>+12157380579</v>
      </c>
      <c r="AS944" t="s">
        <v>1821</v>
      </c>
      <c r="AT944" t="s">
        <v>107</v>
      </c>
      <c r="AU944" t="str">
        <f>"Stock"</f>
        <v>Stock</v>
      </c>
      <c r="AV944" t="str">
        <f>"William"</f>
        <v>William</v>
      </c>
      <c r="AW944" t="str">
        <f>"A."</f>
        <v>A.</v>
      </c>
      <c r="AX944" t="str">
        <f>"1601 Market Street"</f>
        <v>1601 Market Street</v>
      </c>
      <c r="AY944" t="str">
        <f>"Suite 2600"</f>
        <v>Suite 2600</v>
      </c>
      <c r="AZ944" t="str">
        <f>"Philadelphia"</f>
        <v>Philadelphia</v>
      </c>
      <c r="BA944" t="str">
        <f>"PA"</f>
        <v>PA</v>
      </c>
      <c r="BB944" s="3">
        <v>19103</v>
      </c>
      <c r="BC944" t="str">
        <f>"UNITED STATES OF AMERICA"</f>
        <v>UNITED STATES OF AMERICA</v>
      </c>
      <c r="BD944" t="str">
        <f>""</f>
        <v/>
      </c>
      <c r="BE944" t="str">
        <f>"+12158258600"</f>
        <v>+12158258600</v>
      </c>
      <c r="BF944" t="str">
        <f>""</f>
        <v/>
      </c>
      <c r="BG944" t="str">
        <f>"dheim@klaskolaw.com"</f>
        <v>dheim@klaskolaw.com</v>
      </c>
      <c r="BH944" t="str">
        <f>"Klasko Immigration Law Partners, LLP"</f>
        <v>Klasko Immigration Law Partners, LLP</v>
      </c>
      <c r="BI944" t="str">
        <f>"PA"</f>
        <v>PA</v>
      </c>
      <c r="BJ944" t="str">
        <f>"Supreme"</f>
        <v>Supreme</v>
      </c>
      <c r="BK944">
        <v>1</v>
      </c>
      <c r="BL944" t="s">
        <v>102</v>
      </c>
      <c r="BM944" t="str">
        <f>""</f>
        <v/>
      </c>
      <c r="BN944" t="s">
        <v>2218</v>
      </c>
      <c r="BP944" t="s">
        <v>218</v>
      </c>
      <c r="BQ944" t="s">
        <v>510</v>
      </c>
      <c r="BR944" t="s">
        <v>127</v>
      </c>
      <c r="BS944" s="5">
        <v>19103</v>
      </c>
      <c r="BT944" s="2">
        <v>121909</v>
      </c>
      <c r="BU944" s="2">
        <v>133522.88</v>
      </c>
      <c r="BV944" t="s">
        <v>105</v>
      </c>
      <c r="BW944" s="2">
        <v>121909</v>
      </c>
      <c r="BX944" t="s">
        <v>105</v>
      </c>
      <c r="BZ944" t="s">
        <v>159</v>
      </c>
      <c r="CA944" t="str">
        <f t="shared" si="69"/>
        <v>7/1/2020 - 6/30/2021</v>
      </c>
      <c r="CF944">
        <v>1</v>
      </c>
      <c r="CG944" t="s">
        <v>98</v>
      </c>
      <c r="CH944" t="s">
        <v>206</v>
      </c>
      <c r="CI944" t="s">
        <v>206</v>
      </c>
      <c r="CL944" t="s">
        <v>108</v>
      </c>
      <c r="CM944" t="s">
        <v>109</v>
      </c>
      <c r="CN944" t="str">
        <f>""</f>
        <v/>
      </c>
      <c r="CO944" t="str">
        <f>""</f>
        <v/>
      </c>
      <c r="CP944" t="str">
        <f>""</f>
        <v/>
      </c>
      <c r="CQ944" t="str">
        <f>""</f>
        <v/>
      </c>
    </row>
    <row r="945" spans="1:96" x14ac:dyDescent="0.2">
      <c r="A945" t="s">
        <v>10553</v>
      </c>
      <c r="B945" t="s">
        <v>96</v>
      </c>
      <c r="C945" s="1">
        <v>44098</v>
      </c>
      <c r="D945" s="1">
        <v>44105</v>
      </c>
      <c r="F945" t="s">
        <v>97</v>
      </c>
      <c r="G945" t="str">
        <f>"Senior Data Scientist"</f>
        <v>Senior Data Scientist</v>
      </c>
      <c r="H945" t="s">
        <v>12191</v>
      </c>
      <c r="I945" t="s">
        <v>649</v>
      </c>
      <c r="J945" t="s">
        <v>98</v>
      </c>
      <c r="K945" s="1">
        <v>44099</v>
      </c>
      <c r="L945" s="1">
        <v>45193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 t="s">
        <v>1601</v>
      </c>
      <c r="U945" t="str">
        <f>"IBM CORPORATION"</f>
        <v>IBM CORPORATION</v>
      </c>
      <c r="V945" t="s">
        <v>1602</v>
      </c>
      <c r="W945" t="str">
        <f>"BUILDING 002 "</f>
        <v xml:space="preserve">BUILDING 002 </v>
      </c>
      <c r="X945" t="s">
        <v>302</v>
      </c>
      <c r="Y945" t="s">
        <v>122</v>
      </c>
      <c r="Z945" s="3" t="s">
        <v>12292</v>
      </c>
      <c r="AA945" t="s">
        <v>101</v>
      </c>
      <c r="AB945" t="s">
        <v>122</v>
      </c>
      <c r="AC945" s="4" t="str">
        <f>"+19195430507"</f>
        <v>+19195430507</v>
      </c>
      <c r="AE945" t="str">
        <f>"54151"</f>
        <v>54151</v>
      </c>
      <c r="AF945" t="s">
        <v>303</v>
      </c>
      <c r="AG945" t="s">
        <v>304</v>
      </c>
      <c r="AI945" t="s">
        <v>305</v>
      </c>
      <c r="AJ945" t="s">
        <v>301</v>
      </c>
      <c r="AK945" t="str">
        <f>""</f>
        <v/>
      </c>
      <c r="AL945" t="s">
        <v>302</v>
      </c>
      <c r="AM945" t="s">
        <v>122</v>
      </c>
      <c r="AN945" s="3">
        <v>27709</v>
      </c>
      <c r="AO945" t="s">
        <v>101</v>
      </c>
      <c r="AQ945" t="str">
        <f>"+19192541817"</f>
        <v>+19192541817</v>
      </c>
      <c r="AS945" t="s">
        <v>306</v>
      </c>
      <c r="AT945" t="s">
        <v>102</v>
      </c>
      <c r="AU945" t="str">
        <f>""</f>
        <v/>
      </c>
      <c r="AV945" t="str">
        <f>""</f>
        <v/>
      </c>
      <c r="AW945" t="str">
        <f>""</f>
        <v/>
      </c>
      <c r="AX945" t="str">
        <f>""</f>
        <v/>
      </c>
      <c r="AY945" t="str">
        <f>""</f>
        <v/>
      </c>
      <c r="AZ945" t="str">
        <f>""</f>
        <v/>
      </c>
      <c r="BA945" t="str">
        <f>""</f>
        <v/>
      </c>
      <c r="BC945" t="str">
        <f>""</f>
        <v/>
      </c>
      <c r="BD945" t="str">
        <f>""</f>
        <v/>
      </c>
      <c r="BE945" t="str">
        <f>""</f>
        <v/>
      </c>
      <c r="BF945" t="str">
        <f>""</f>
        <v/>
      </c>
      <c r="BG945" t="str">
        <f>""</f>
        <v/>
      </c>
      <c r="BH945" t="str">
        <f>""</f>
        <v/>
      </c>
      <c r="BI945" t="str">
        <f>""</f>
        <v/>
      </c>
      <c r="BJ945" t="str">
        <f>""</f>
        <v/>
      </c>
      <c r="BK945">
        <v>1</v>
      </c>
      <c r="BL945" t="s">
        <v>102</v>
      </c>
      <c r="BM945" t="str">
        <f>""</f>
        <v/>
      </c>
      <c r="BN945" t="s">
        <v>10554</v>
      </c>
      <c r="BP945" t="s">
        <v>5184</v>
      </c>
      <c r="BQ945" t="s">
        <v>2026</v>
      </c>
      <c r="BR945" t="s">
        <v>127</v>
      </c>
      <c r="BS945" s="5">
        <v>17011</v>
      </c>
      <c r="BT945" s="2">
        <v>95139</v>
      </c>
      <c r="BU945" s="2">
        <v>193500</v>
      </c>
      <c r="BV945" t="s">
        <v>105</v>
      </c>
      <c r="BW945" s="2">
        <v>95139</v>
      </c>
      <c r="BX945" t="s">
        <v>105</v>
      </c>
      <c r="BZ945" t="s">
        <v>167</v>
      </c>
      <c r="CA945" t="str">
        <f t="shared" si="69"/>
        <v>7/1/2020 - 6/30/2021</v>
      </c>
      <c r="CF945">
        <v>1</v>
      </c>
      <c r="CG945" t="s">
        <v>98</v>
      </c>
      <c r="CH945" t="s">
        <v>206</v>
      </c>
      <c r="CI945" t="s">
        <v>206</v>
      </c>
      <c r="CL945" t="s">
        <v>108</v>
      </c>
      <c r="CM945" t="s">
        <v>109</v>
      </c>
      <c r="CN945" t="str">
        <f>""</f>
        <v/>
      </c>
      <c r="CO945" t="str">
        <f>""</f>
        <v/>
      </c>
      <c r="CP945" t="str">
        <f>""</f>
        <v/>
      </c>
      <c r="CQ945" t="str">
        <f>""</f>
        <v/>
      </c>
    </row>
    <row r="946" spans="1:96" x14ac:dyDescent="0.2">
      <c r="A946" t="s">
        <v>10555</v>
      </c>
      <c r="B946" t="s">
        <v>96</v>
      </c>
      <c r="C946" s="1">
        <v>44098</v>
      </c>
      <c r="D946" s="1">
        <v>44105</v>
      </c>
      <c r="F946" t="s">
        <v>97</v>
      </c>
      <c r="G946" t="str">
        <f>" Information Systems Engineer"</f>
        <v xml:space="preserve"> Information Systems Engineer</v>
      </c>
      <c r="H946" t="s">
        <v>12168</v>
      </c>
      <c r="I946" t="s">
        <v>160</v>
      </c>
      <c r="J946" t="s">
        <v>98</v>
      </c>
      <c r="K946" s="1">
        <v>44105</v>
      </c>
      <c r="L946" s="1">
        <v>45199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1522</v>
      </c>
      <c r="U946" t="str">
        <f>""</f>
        <v/>
      </c>
      <c r="V946" t="s">
        <v>1281</v>
      </c>
      <c r="W946" t="str">
        <f>""</f>
        <v/>
      </c>
      <c r="X946" t="s">
        <v>538</v>
      </c>
      <c r="Y946" t="s">
        <v>135</v>
      </c>
      <c r="Z946" s="3">
        <v>22030</v>
      </c>
      <c r="AA946" t="s">
        <v>101</v>
      </c>
      <c r="AC946" s="4" t="str">
        <f>"+17032678000"</f>
        <v>+17032678000</v>
      </c>
      <c r="AD946">
        <v>0</v>
      </c>
      <c r="AE946" t="str">
        <f>"541512"</f>
        <v>541512</v>
      </c>
      <c r="AF946" t="s">
        <v>1282</v>
      </c>
      <c r="AG946" t="s">
        <v>1283</v>
      </c>
      <c r="AI946" t="s">
        <v>1284</v>
      </c>
      <c r="AJ946" t="s">
        <v>1281</v>
      </c>
      <c r="AK946" t="str">
        <f>""</f>
        <v/>
      </c>
      <c r="AL946" t="s">
        <v>538</v>
      </c>
      <c r="AM946" t="s">
        <v>135</v>
      </c>
      <c r="AN946" s="3">
        <v>22030</v>
      </c>
      <c r="AO946" t="s">
        <v>101</v>
      </c>
      <c r="AQ946" t="str">
        <f>"+17324282390"</f>
        <v>+17324282390</v>
      </c>
      <c r="AS946" t="s">
        <v>1285</v>
      </c>
      <c r="AT946" t="s">
        <v>107</v>
      </c>
      <c r="AU946" t="str">
        <f>"SMITH"</f>
        <v>SMITH</v>
      </c>
      <c r="AV946" t="str">
        <f>"MICHAEL"</f>
        <v>MICHAEL</v>
      </c>
      <c r="AW946" t="str">
        <f>"FRANCIS"</f>
        <v>FRANCIS</v>
      </c>
      <c r="AX946" t="str">
        <f>"1101 15TH STREET, NW"</f>
        <v>1101 15TH STREET, NW</v>
      </c>
      <c r="AY946" t="str">
        <f>"SUITE 700"</f>
        <v>SUITE 700</v>
      </c>
      <c r="AZ946" t="str">
        <f>"WASHINGTON"</f>
        <v>WASHINGTON</v>
      </c>
      <c r="BA946" t="str">
        <f>"DC"</f>
        <v>DC</v>
      </c>
      <c r="BB946" s="3">
        <v>20005</v>
      </c>
      <c r="BC946" t="str">
        <f t="shared" ref="BC946:BC952" si="71">"UNITED STATES OF AMERICA"</f>
        <v>UNITED STATES OF AMERICA</v>
      </c>
      <c r="BD946" t="str">
        <f>""</f>
        <v/>
      </c>
      <c r="BE946" t="str">
        <f>"+12022235515"</f>
        <v>+12022235515</v>
      </c>
      <c r="BF946" t="str">
        <f>"0"</f>
        <v>0</v>
      </c>
      <c r="BG946" t="str">
        <f>"LCATeamPham@FRAGOMEN.COM"</f>
        <v>LCATeamPham@FRAGOMEN.COM</v>
      </c>
      <c r="BH946" t="str">
        <f>"Fragomen, Del Rey, Bernsen &amp; Loewy, LLP"</f>
        <v>Fragomen, Del Rey, Bernsen &amp; Loewy, LLP</v>
      </c>
      <c r="BI946" t="str">
        <f>"DC"</f>
        <v>DC</v>
      </c>
      <c r="BJ946" t="str">
        <f>"DISTRICT OF COLUMBIA COURT OF APPEALS"</f>
        <v>DISTRICT OF COLUMBIA COURT OF APPEALS</v>
      </c>
      <c r="BK946">
        <v>1</v>
      </c>
      <c r="BL946" t="s">
        <v>102</v>
      </c>
      <c r="BM946" t="str">
        <f>""</f>
        <v/>
      </c>
      <c r="BN946" t="s">
        <v>10556</v>
      </c>
      <c r="BO946" t="s">
        <v>2973</v>
      </c>
      <c r="BP946" t="s">
        <v>4487</v>
      </c>
      <c r="BQ946" t="s">
        <v>474</v>
      </c>
      <c r="BR946" t="s">
        <v>141</v>
      </c>
      <c r="BS946" s="5">
        <v>95670</v>
      </c>
      <c r="BT946" s="2">
        <v>120750</v>
      </c>
      <c r="BV946" t="s">
        <v>105</v>
      </c>
      <c r="BW946" s="2">
        <v>72654</v>
      </c>
      <c r="BX946" t="s">
        <v>105</v>
      </c>
      <c r="BZ946" t="s">
        <v>167</v>
      </c>
      <c r="CA946" t="str">
        <f t="shared" si="69"/>
        <v>7/1/2020 - 6/30/2021</v>
      </c>
      <c r="CF946">
        <v>2</v>
      </c>
      <c r="CG946" t="s">
        <v>98</v>
      </c>
      <c r="CH946" t="s">
        <v>206</v>
      </c>
      <c r="CI946" t="s">
        <v>206</v>
      </c>
      <c r="CL946" t="s">
        <v>108</v>
      </c>
      <c r="CM946" t="s">
        <v>109</v>
      </c>
      <c r="CN946" t="str">
        <f>""</f>
        <v/>
      </c>
      <c r="CO946" t="str">
        <f>""</f>
        <v/>
      </c>
      <c r="CP946" t="str">
        <f>""</f>
        <v/>
      </c>
      <c r="CQ946" t="str">
        <f>""</f>
        <v/>
      </c>
    </row>
    <row r="947" spans="1:96" x14ac:dyDescent="0.2">
      <c r="A947" t="s">
        <v>10557</v>
      </c>
      <c r="B947" t="s">
        <v>96</v>
      </c>
      <c r="C947" s="1">
        <v>44098</v>
      </c>
      <c r="D947" s="1">
        <v>44105</v>
      </c>
      <c r="F947" t="s">
        <v>97</v>
      </c>
      <c r="G947" t="str">
        <f>"Product Manager II"</f>
        <v>Product Manager II</v>
      </c>
      <c r="H947" t="s">
        <v>12182</v>
      </c>
      <c r="I947" t="s">
        <v>168</v>
      </c>
      <c r="J947" t="s">
        <v>98</v>
      </c>
      <c r="K947" s="1">
        <v>44102</v>
      </c>
      <c r="L947" s="1">
        <v>45196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431</v>
      </c>
      <c r="U947" t="str">
        <f>""</f>
        <v/>
      </c>
      <c r="V947" t="s">
        <v>432</v>
      </c>
      <c r="W947" t="str">
        <f>""</f>
        <v/>
      </c>
      <c r="X947" t="s">
        <v>433</v>
      </c>
      <c r="Y947" t="s">
        <v>176</v>
      </c>
      <c r="Z947" s="3">
        <v>98121</v>
      </c>
      <c r="AA947" t="s">
        <v>101</v>
      </c>
      <c r="AC947" s="4" t="str">
        <f>"+12062661000"</f>
        <v>+12062661000</v>
      </c>
      <c r="AE947" t="str">
        <f>"45411"</f>
        <v>45411</v>
      </c>
      <c r="AF947" t="s">
        <v>4134</v>
      </c>
      <c r="AG947" t="s">
        <v>4135</v>
      </c>
      <c r="AI947" t="s">
        <v>262</v>
      </c>
      <c r="AJ947" t="s">
        <v>432</v>
      </c>
      <c r="AK947" t="str">
        <f>""</f>
        <v/>
      </c>
      <c r="AL947" t="s">
        <v>261</v>
      </c>
      <c r="AM947" t="s">
        <v>176</v>
      </c>
      <c r="AN947" s="3">
        <v>98121</v>
      </c>
      <c r="AO947" t="s">
        <v>101</v>
      </c>
      <c r="AQ947" t="str">
        <f>"+12062661000"</f>
        <v>+12062661000</v>
      </c>
      <c r="AS947" t="s">
        <v>263</v>
      </c>
      <c r="AT947" t="s">
        <v>107</v>
      </c>
      <c r="AU947" t="str">
        <f>"Davis"</f>
        <v>Davis</v>
      </c>
      <c r="AV947" t="str">
        <f>"Lauren"</f>
        <v>Lauren</v>
      </c>
      <c r="AW947" t="str">
        <f>"Allyson"</f>
        <v>Allyson</v>
      </c>
      <c r="AX947" t="str">
        <f>"2400 North Glenville Drive"</f>
        <v>2400 North Glenville Drive</v>
      </c>
      <c r="AY947" t="str">
        <f>"Bldg. A, Suite 100"</f>
        <v>Bldg. A, Suite 100</v>
      </c>
      <c r="AZ947" t="str">
        <f>"Richardson"</f>
        <v>Richardson</v>
      </c>
      <c r="BA947" t="str">
        <f>"TX"</f>
        <v>TX</v>
      </c>
      <c r="BB947" s="3">
        <v>75082</v>
      </c>
      <c r="BC947" t="str">
        <f t="shared" si="71"/>
        <v>UNITED STATES OF AMERICA</v>
      </c>
      <c r="BD947" t="str">
        <f>""</f>
        <v/>
      </c>
      <c r="BE947" t="str">
        <f>"+19728617085"</f>
        <v>+19728617085</v>
      </c>
      <c r="BF947" t="str">
        <f>""</f>
        <v/>
      </c>
      <c r="BG947" t="str">
        <f>"spoveda@balglobal.com"</f>
        <v>spoveda@balglobal.com</v>
      </c>
      <c r="BH947" t="str">
        <f>"Berry Appleman and Leiden LLP"</f>
        <v>Berry Appleman and Leiden LLP</v>
      </c>
      <c r="BI947" t="str">
        <f>"TX"</f>
        <v>TX</v>
      </c>
      <c r="BJ947" t="str">
        <f>"Supreme Court of Texas"</f>
        <v>Supreme Court of Texas</v>
      </c>
      <c r="BK947">
        <v>1</v>
      </c>
      <c r="BL947" t="s">
        <v>102</v>
      </c>
      <c r="BM947" t="str">
        <f>""</f>
        <v/>
      </c>
      <c r="BN947" t="s">
        <v>10558</v>
      </c>
      <c r="BO947" t="s">
        <v>10559</v>
      </c>
      <c r="BP947" t="s">
        <v>833</v>
      </c>
      <c r="BQ947" t="s">
        <v>788</v>
      </c>
      <c r="BR947" t="s">
        <v>345</v>
      </c>
      <c r="BS947" s="5">
        <v>60656</v>
      </c>
      <c r="BT947" s="2">
        <v>125800</v>
      </c>
      <c r="BV947" t="s">
        <v>105</v>
      </c>
      <c r="BW947" s="2">
        <v>79747</v>
      </c>
      <c r="BX947" t="s">
        <v>105</v>
      </c>
      <c r="BZ947" t="s">
        <v>167</v>
      </c>
      <c r="CA947" t="str">
        <f t="shared" si="69"/>
        <v>7/1/2020 - 6/30/2021</v>
      </c>
      <c r="CF947">
        <v>1</v>
      </c>
      <c r="CG947" t="s">
        <v>98</v>
      </c>
      <c r="CH947" t="s">
        <v>206</v>
      </c>
      <c r="CI947" t="s">
        <v>206</v>
      </c>
      <c r="CL947" t="s">
        <v>108</v>
      </c>
      <c r="CM947" t="s">
        <v>109</v>
      </c>
      <c r="CN947" t="str">
        <f>"N/A"</f>
        <v>N/A</v>
      </c>
      <c r="CO947" t="str">
        <f>"N/A"</f>
        <v>N/A</v>
      </c>
      <c r="CP947" t="str">
        <f>"N/A"</f>
        <v>N/A</v>
      </c>
      <c r="CQ947" t="str">
        <f>"N/A--"</f>
        <v>N/A--</v>
      </c>
      <c r="CR947" t="s">
        <v>108</v>
      </c>
    </row>
    <row r="948" spans="1:96" x14ac:dyDescent="0.2">
      <c r="A948" t="s">
        <v>10572</v>
      </c>
      <c r="B948" t="s">
        <v>96</v>
      </c>
      <c r="C948" s="1">
        <v>44098</v>
      </c>
      <c r="D948" s="1">
        <v>44105</v>
      </c>
      <c r="F948" t="s">
        <v>97</v>
      </c>
      <c r="G948" t="str">
        <f>"ASSOCIATE"</f>
        <v>ASSOCIATE</v>
      </c>
      <c r="H948" t="s">
        <v>12221</v>
      </c>
      <c r="I948" t="s">
        <v>566</v>
      </c>
      <c r="J948" t="s">
        <v>98</v>
      </c>
      <c r="K948" s="1">
        <v>44105</v>
      </c>
      <c r="L948" s="1">
        <v>45199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10573</v>
      </c>
      <c r="U948" t="str">
        <f>""</f>
        <v/>
      </c>
      <c r="V948" t="s">
        <v>10574</v>
      </c>
      <c r="W948" t="str">
        <f>""</f>
        <v/>
      </c>
      <c r="X948" t="s">
        <v>617</v>
      </c>
      <c r="Y948" t="s">
        <v>127</v>
      </c>
      <c r="Z948" s="3">
        <v>15222</v>
      </c>
      <c r="AA948" t="s">
        <v>101</v>
      </c>
      <c r="AC948" s="4" t="str">
        <f>"+12125215400"</f>
        <v>+12125215400</v>
      </c>
      <c r="AE948" t="str">
        <f>"541110"</f>
        <v>541110</v>
      </c>
      <c r="AF948" t="s">
        <v>10575</v>
      </c>
      <c r="AG948" t="s">
        <v>2449</v>
      </c>
      <c r="AI948" t="s">
        <v>10576</v>
      </c>
      <c r="AJ948" t="s">
        <v>10577</v>
      </c>
      <c r="AK948" t="str">
        <f>""</f>
        <v/>
      </c>
      <c r="AL948" t="s">
        <v>189</v>
      </c>
      <c r="AM948" t="s">
        <v>190</v>
      </c>
      <c r="AN948" s="3">
        <v>10022</v>
      </c>
      <c r="AO948" t="s">
        <v>101</v>
      </c>
      <c r="AQ948" t="str">
        <f>"+14122883266"</f>
        <v>+14122883266</v>
      </c>
      <c r="AS948" t="s">
        <v>10578</v>
      </c>
      <c r="AT948" t="s">
        <v>107</v>
      </c>
      <c r="AU948" t="str">
        <f>"LIBERMAN"</f>
        <v>LIBERMAN</v>
      </c>
      <c r="AV948" t="str">
        <f>"RAQUEL"</f>
        <v>RAQUEL</v>
      </c>
      <c r="AW948" t="str">
        <f>""</f>
        <v/>
      </c>
      <c r="AX948" t="str">
        <f>"1400 BROADWAY"</f>
        <v>1400 BROADWAY</v>
      </c>
      <c r="AY948" t="str">
        <f>""</f>
        <v/>
      </c>
      <c r="AZ948" t="str">
        <f>"NEW YORK"</f>
        <v>NEW YORK</v>
      </c>
      <c r="BA948" t="str">
        <f>"NY"</f>
        <v>NY</v>
      </c>
      <c r="BB948" s="3">
        <v>10018</v>
      </c>
      <c r="BC948" t="str">
        <f t="shared" si="71"/>
        <v>UNITED STATES OF AMERICA</v>
      </c>
      <c r="BD948" t="str">
        <f>""</f>
        <v/>
      </c>
      <c r="BE948" t="str">
        <f>"+12126888555"</f>
        <v>+12126888555</v>
      </c>
      <c r="BF948" t="str">
        <f>""</f>
        <v/>
      </c>
      <c r="BG948" t="str">
        <f>"MROSTOM@FRAGOMEN.COM"</f>
        <v>MROSTOM@FRAGOMEN.COM</v>
      </c>
      <c r="BH948" t="str">
        <f>"FRAGOMEN, DEL REY, BERNSEN &amp; LOEWY, LLP"</f>
        <v>FRAGOMEN, DEL REY, BERNSEN &amp; LOEWY, LLP</v>
      </c>
      <c r="BI948" t="str">
        <f>"NY"</f>
        <v>NY</v>
      </c>
      <c r="BJ948" t="str">
        <f>"SUPREME COURT"</f>
        <v>SUPREME COURT</v>
      </c>
      <c r="BK948">
        <v>1</v>
      </c>
      <c r="BL948" t="s">
        <v>102</v>
      </c>
      <c r="BM948" t="str">
        <f>""</f>
        <v/>
      </c>
      <c r="BN948" t="s">
        <v>10577</v>
      </c>
      <c r="BP948" t="s">
        <v>189</v>
      </c>
      <c r="BQ948" t="s">
        <v>189</v>
      </c>
      <c r="BR948" t="s">
        <v>190</v>
      </c>
      <c r="BS948" s="5">
        <v>10022</v>
      </c>
      <c r="BT948" s="2">
        <v>190000</v>
      </c>
      <c r="BV948" t="s">
        <v>105</v>
      </c>
      <c r="BW948" s="2">
        <v>82472</v>
      </c>
      <c r="BX948" t="s">
        <v>105</v>
      </c>
      <c r="BZ948" t="s">
        <v>191</v>
      </c>
      <c r="CA948" t="str">
        <f t="shared" si="69"/>
        <v>7/1/2020 - 6/30/2021</v>
      </c>
      <c r="CF948">
        <v>2</v>
      </c>
      <c r="CG948" t="s">
        <v>98</v>
      </c>
      <c r="CH948" t="s">
        <v>206</v>
      </c>
      <c r="CI948" t="s">
        <v>206</v>
      </c>
      <c r="CL948" t="s">
        <v>108</v>
      </c>
      <c r="CM948" t="s">
        <v>109</v>
      </c>
      <c r="CN948" t="str">
        <f>"ROSTOM"</f>
        <v>ROSTOM</v>
      </c>
      <c r="CO948" t="str">
        <f>"MINA"</f>
        <v>MINA</v>
      </c>
      <c r="CP948" t="str">
        <f>""</f>
        <v/>
      </c>
      <c r="CQ948" t="str">
        <f>"FRAGOMEN, DEL REY, BERNSEN &amp; LOEWY, LLP"</f>
        <v>FRAGOMEN, DEL REY, BERNSEN &amp; LOEWY, LLP</v>
      </c>
      <c r="CR948" t="s">
        <v>7693</v>
      </c>
    </row>
    <row r="949" spans="1:96" x14ac:dyDescent="0.2">
      <c r="A949" t="s">
        <v>10580</v>
      </c>
      <c r="B949" t="s">
        <v>96</v>
      </c>
      <c r="C949" s="1">
        <v>44098</v>
      </c>
      <c r="D949" s="1">
        <v>44105</v>
      </c>
      <c r="F949" t="s">
        <v>97</v>
      </c>
      <c r="G949" t="str">
        <f>"Senior Software Engineer - IT"</f>
        <v>Senior Software Engineer - IT</v>
      </c>
      <c r="H949" t="s">
        <v>12169</v>
      </c>
      <c r="I949" t="s">
        <v>124</v>
      </c>
      <c r="J949" t="s">
        <v>98</v>
      </c>
      <c r="K949" s="1">
        <v>44248</v>
      </c>
      <c r="L949" s="1">
        <v>45342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 t="s">
        <v>1532</v>
      </c>
      <c r="U949" t="str">
        <f>""</f>
        <v/>
      </c>
      <c r="V949" t="s">
        <v>1533</v>
      </c>
      <c r="W949" t="str">
        <f>""</f>
        <v/>
      </c>
      <c r="X949" t="s">
        <v>1534</v>
      </c>
      <c r="Y949" t="s">
        <v>114</v>
      </c>
      <c r="Z949" s="3">
        <v>78682</v>
      </c>
      <c r="AA949" t="s">
        <v>101</v>
      </c>
      <c r="AC949" s="4" t="str">
        <f>"+15127281627"</f>
        <v>+15127281627</v>
      </c>
      <c r="AE949" t="str">
        <f>"42343"</f>
        <v>42343</v>
      </c>
      <c r="AF949" t="s">
        <v>1535</v>
      </c>
      <c r="AG949" t="s">
        <v>4647</v>
      </c>
      <c r="AI949" t="s">
        <v>1536</v>
      </c>
      <c r="AJ949" t="s">
        <v>1533</v>
      </c>
      <c r="AK949" t="str">
        <f>""</f>
        <v/>
      </c>
      <c r="AL949" t="s">
        <v>1534</v>
      </c>
      <c r="AM949" t="s">
        <v>114</v>
      </c>
      <c r="AN949" s="3">
        <v>78682</v>
      </c>
      <c r="AO949" t="s">
        <v>101</v>
      </c>
      <c r="AQ949" t="str">
        <f>"+15127281627"</f>
        <v>+15127281627</v>
      </c>
      <c r="AS949" t="s">
        <v>108</v>
      </c>
      <c r="AT949" t="s">
        <v>107</v>
      </c>
      <c r="AU949" t="str">
        <f>"Holland  "</f>
        <v xml:space="preserve">Holland  </v>
      </c>
      <c r="AV949" t="str">
        <f>"Stephanie "</f>
        <v xml:space="preserve">Stephanie </v>
      </c>
      <c r="AW949" t="str">
        <f>"Alexandra "</f>
        <v xml:space="preserve">Alexandra </v>
      </c>
      <c r="AX949" t="str">
        <f>"191 Peachtree St NE"</f>
        <v>191 Peachtree St NE</v>
      </c>
      <c r="AY949" t="str">
        <f>"Suite 4800"</f>
        <v>Suite 4800</v>
      </c>
      <c r="AZ949" t="str">
        <f>"Atlanta"</f>
        <v>Atlanta</v>
      </c>
      <c r="BA949" t="str">
        <f>"GA"</f>
        <v>GA</v>
      </c>
      <c r="BB949" s="3" t="s">
        <v>12306</v>
      </c>
      <c r="BC949" t="str">
        <f t="shared" si="71"/>
        <v>UNITED STATES OF AMERICA</v>
      </c>
      <c r="BD949" t="str">
        <f>""</f>
        <v/>
      </c>
      <c r="BE949" t="str">
        <f>"+14048811300"</f>
        <v>+14048811300</v>
      </c>
      <c r="BF949" t="str">
        <f>""</f>
        <v/>
      </c>
      <c r="BG949" t="str">
        <f>"kieya.bailey@ogletreedeakins.com"</f>
        <v>kieya.bailey@ogletreedeakins.com</v>
      </c>
      <c r="BH949" t="str">
        <f>"Ogletree, Deakins, Nash, Smoak &amp; Stewart, P.C."</f>
        <v>Ogletree, Deakins, Nash, Smoak &amp; Stewart, P.C.</v>
      </c>
      <c r="BI949" t="str">
        <f>"GA"</f>
        <v>GA</v>
      </c>
      <c r="BJ949" t="str">
        <f>"Georgia Supreme Court"</f>
        <v>Georgia Supreme Court</v>
      </c>
      <c r="BK949">
        <v>1</v>
      </c>
      <c r="BL949" t="s">
        <v>102</v>
      </c>
      <c r="BM949" t="str">
        <f>""</f>
        <v/>
      </c>
      <c r="BN949" t="s">
        <v>1533</v>
      </c>
      <c r="BP949" t="s">
        <v>1534</v>
      </c>
      <c r="BQ949" t="s">
        <v>668</v>
      </c>
      <c r="BR949" t="s">
        <v>114</v>
      </c>
      <c r="BS949" s="5">
        <v>78682</v>
      </c>
      <c r="BT949" s="2">
        <v>105000</v>
      </c>
      <c r="BV949" t="s">
        <v>105</v>
      </c>
      <c r="BW949" s="2">
        <v>98036</v>
      </c>
      <c r="BX949" t="s">
        <v>105</v>
      </c>
      <c r="CA949" t="str">
        <f>""</f>
        <v/>
      </c>
      <c r="CB949" t="s">
        <v>244</v>
      </c>
      <c r="CC949">
        <v>2020</v>
      </c>
      <c r="CD949" t="s">
        <v>569</v>
      </c>
      <c r="CE949" t="s">
        <v>3102</v>
      </c>
      <c r="CF949">
        <v>2</v>
      </c>
      <c r="CG949" t="s">
        <v>98</v>
      </c>
      <c r="CH949" t="s">
        <v>206</v>
      </c>
      <c r="CI949" t="s">
        <v>206</v>
      </c>
      <c r="CL949" t="s">
        <v>108</v>
      </c>
      <c r="CM949" t="s">
        <v>109</v>
      </c>
      <c r="CN949" t="str">
        <f>" Holland "</f>
        <v xml:space="preserve"> Holland </v>
      </c>
      <c r="CO949" t="str">
        <f>" Stephanie "</f>
        <v xml:space="preserve"> Stephanie </v>
      </c>
      <c r="CP949" t="str">
        <f>"A"</f>
        <v>A</v>
      </c>
      <c r="CQ949" t="str">
        <f>" Ogletree, Deakins, Nash, Smoak &amp; Stewart, P.C."</f>
        <v xml:space="preserve"> Ogletree, Deakins, Nash, Smoak &amp; Stewart, P.C.</v>
      </c>
      <c r="CR949" t="s">
        <v>4648</v>
      </c>
    </row>
    <row r="950" spans="1:96" x14ac:dyDescent="0.2">
      <c r="A950" t="s">
        <v>10584</v>
      </c>
      <c r="B950" t="s">
        <v>96</v>
      </c>
      <c r="C950" s="1">
        <v>44098</v>
      </c>
      <c r="D950" s="1">
        <v>44105</v>
      </c>
      <c r="F950" t="s">
        <v>97</v>
      </c>
      <c r="G950" t="str">
        <f>"Technical Component Lead"</f>
        <v>Technical Component Lead</v>
      </c>
      <c r="H950" t="s">
        <v>12169</v>
      </c>
      <c r="I950" t="s">
        <v>124</v>
      </c>
      <c r="J950" t="s">
        <v>98</v>
      </c>
      <c r="K950" s="1">
        <v>44161</v>
      </c>
      <c r="L950" s="1">
        <v>45255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 t="s">
        <v>10585</v>
      </c>
      <c r="U950" t="str">
        <f>""</f>
        <v/>
      </c>
      <c r="V950" t="s">
        <v>10586</v>
      </c>
      <c r="W950" t="str">
        <f>"Unit 220"</f>
        <v>Unit 220</v>
      </c>
      <c r="X950" t="s">
        <v>3765</v>
      </c>
      <c r="Y950" t="s">
        <v>193</v>
      </c>
      <c r="Z950" s="3">
        <v>66047</v>
      </c>
      <c r="AA950" t="s">
        <v>101</v>
      </c>
      <c r="AC950" s="4" t="str">
        <f>"+18557767956"</f>
        <v>+18557767956</v>
      </c>
      <c r="AE950" t="str">
        <f>"511210"</f>
        <v>511210</v>
      </c>
      <c r="AF950" t="s">
        <v>2275</v>
      </c>
      <c r="AG950" t="s">
        <v>10587</v>
      </c>
      <c r="AI950" t="s">
        <v>10588</v>
      </c>
      <c r="AJ950" t="s">
        <v>10586</v>
      </c>
      <c r="AK950" t="str">
        <f>"Unit 220"</f>
        <v>Unit 220</v>
      </c>
      <c r="AL950" t="s">
        <v>3765</v>
      </c>
      <c r="AM950" t="s">
        <v>193</v>
      </c>
      <c r="AN950" s="3">
        <v>66047</v>
      </c>
      <c r="AO950" t="s">
        <v>101</v>
      </c>
      <c r="AQ950" t="str">
        <f>"+18557767956"</f>
        <v>+18557767956</v>
      </c>
      <c r="AS950" t="s">
        <v>10589</v>
      </c>
      <c r="AT950" t="s">
        <v>107</v>
      </c>
      <c r="AU950" t="str">
        <f>"Hirsh"</f>
        <v>Hirsh</v>
      </c>
      <c r="AV950" t="str">
        <f>"Gizie"</f>
        <v>Gizie</v>
      </c>
      <c r="AW950" t="str">
        <f>"D. "</f>
        <v xml:space="preserve">D. </v>
      </c>
      <c r="AX950" t="str">
        <f>"2345 Grand Blvd."</f>
        <v>2345 Grand Blvd.</v>
      </c>
      <c r="AY950" t="str">
        <f>"Suite 2200"</f>
        <v>Suite 2200</v>
      </c>
      <c r="AZ950" t="str">
        <f>"Kansas City"</f>
        <v>Kansas City</v>
      </c>
      <c r="BA950" t="str">
        <f>"MO"</f>
        <v>MO</v>
      </c>
      <c r="BB950" s="3">
        <v>64108</v>
      </c>
      <c r="BC950" t="str">
        <f t="shared" si="71"/>
        <v>UNITED STATES OF AMERICA</v>
      </c>
      <c r="BD950" t="str">
        <f>""</f>
        <v/>
      </c>
      <c r="BE950" t="str">
        <f>"+18164605848"</f>
        <v>+18164605848</v>
      </c>
      <c r="BF950" t="str">
        <f>""</f>
        <v/>
      </c>
      <c r="BG950" t="str">
        <f>"gizie.hirsh@lathropgpm.com"</f>
        <v>gizie.hirsh@lathropgpm.com</v>
      </c>
      <c r="BH950" t="str">
        <f>"Lathrop GPM LLP"</f>
        <v>Lathrop GPM LLP</v>
      </c>
      <c r="BI950" t="str">
        <f>"MO"</f>
        <v>MO</v>
      </c>
      <c r="BJ950" t="str">
        <f>"Supreme Court"</f>
        <v>Supreme Court</v>
      </c>
      <c r="BK950">
        <v>1</v>
      </c>
      <c r="BL950" t="s">
        <v>102</v>
      </c>
      <c r="BM950" t="str">
        <f>""</f>
        <v/>
      </c>
      <c r="BN950" t="s">
        <v>10590</v>
      </c>
      <c r="BP950" t="s">
        <v>223</v>
      </c>
      <c r="BQ950" t="s">
        <v>224</v>
      </c>
      <c r="BR950" t="s">
        <v>225</v>
      </c>
      <c r="BS950" s="5">
        <v>43016</v>
      </c>
      <c r="BT950" s="2">
        <v>84000</v>
      </c>
      <c r="BU950" s="2">
        <v>93000</v>
      </c>
      <c r="BV950" t="s">
        <v>105</v>
      </c>
      <c r="BW950" s="2">
        <v>83075</v>
      </c>
      <c r="BX950" t="s">
        <v>105</v>
      </c>
      <c r="BZ950" t="s">
        <v>167</v>
      </c>
      <c r="CA950" t="str">
        <f>"7/1/2020 - 6/30/2021"</f>
        <v>7/1/2020 - 6/30/2021</v>
      </c>
      <c r="CF950">
        <v>2</v>
      </c>
      <c r="CG950" t="s">
        <v>98</v>
      </c>
      <c r="CH950" t="s">
        <v>206</v>
      </c>
      <c r="CI950" t="s">
        <v>206</v>
      </c>
      <c r="CL950" t="s">
        <v>108</v>
      </c>
      <c r="CM950" t="s">
        <v>109</v>
      </c>
      <c r="CN950" t="str">
        <f>""</f>
        <v/>
      </c>
      <c r="CO950" t="str">
        <f>""</f>
        <v/>
      </c>
      <c r="CP950" t="str">
        <f>""</f>
        <v/>
      </c>
      <c r="CQ950" t="str">
        <f>""</f>
        <v/>
      </c>
    </row>
    <row r="951" spans="1:96" x14ac:dyDescent="0.2">
      <c r="A951" t="s">
        <v>10591</v>
      </c>
      <c r="B951" t="s">
        <v>96</v>
      </c>
      <c r="C951" s="1">
        <v>44098</v>
      </c>
      <c r="D951" s="1">
        <v>44105</v>
      </c>
      <c r="F951" t="s">
        <v>97</v>
      </c>
      <c r="G951" t="str">
        <f>"Engineer 2"</f>
        <v>Engineer 2</v>
      </c>
      <c r="H951" t="s">
        <v>12176</v>
      </c>
      <c r="I951" t="s">
        <v>246</v>
      </c>
      <c r="J951" t="s">
        <v>98</v>
      </c>
      <c r="K951" s="1">
        <v>44131</v>
      </c>
      <c r="L951" s="1">
        <v>45225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 t="s">
        <v>3091</v>
      </c>
      <c r="U951" t="str">
        <f>""</f>
        <v/>
      </c>
      <c r="V951" t="s">
        <v>5471</v>
      </c>
      <c r="W951" t="str">
        <f>"Suite 1000"</f>
        <v>Suite 1000</v>
      </c>
      <c r="X951" t="s">
        <v>261</v>
      </c>
      <c r="Y951" t="s">
        <v>176</v>
      </c>
      <c r="Z951" s="3">
        <v>98101</v>
      </c>
      <c r="AA951" t="s">
        <v>101</v>
      </c>
      <c r="AC951" s="4" t="str">
        <f>"+12063032347"</f>
        <v>+12063032347</v>
      </c>
      <c r="AE951" t="str">
        <f>"45221"</f>
        <v>45221</v>
      </c>
      <c r="AF951" t="s">
        <v>5472</v>
      </c>
      <c r="AG951" t="s">
        <v>5473</v>
      </c>
      <c r="AI951" t="s">
        <v>5474</v>
      </c>
      <c r="AJ951" t="s">
        <v>5471</v>
      </c>
      <c r="AK951" t="str">
        <f>"Suite 1000"</f>
        <v>Suite 1000</v>
      </c>
      <c r="AL951" t="s">
        <v>261</v>
      </c>
      <c r="AM951" t="s">
        <v>176</v>
      </c>
      <c r="AN951" s="3">
        <v>98101</v>
      </c>
      <c r="AO951" t="s">
        <v>101</v>
      </c>
      <c r="AQ951" t="str">
        <f>"+12063032347"</f>
        <v>+12063032347</v>
      </c>
      <c r="AS951" t="s">
        <v>5475</v>
      </c>
      <c r="AT951" t="s">
        <v>107</v>
      </c>
      <c r="AU951" t="str">
        <f>"Preston"</f>
        <v>Preston</v>
      </c>
      <c r="AV951" t="str">
        <f>"Christopher"</f>
        <v>Christopher</v>
      </c>
      <c r="AW951" t="str">
        <f>"J"</f>
        <v>J</v>
      </c>
      <c r="AX951" t="str">
        <f>"230 W Monroe Street [340878]"</f>
        <v>230 W Monroe Street [340878]</v>
      </c>
      <c r="AY951" t="str">
        <f>"Suite 2800"</f>
        <v>Suite 2800</v>
      </c>
      <c r="AZ951" t="str">
        <f>"Chicago"</f>
        <v>Chicago</v>
      </c>
      <c r="BA951" t="str">
        <f>"IL"</f>
        <v>IL</v>
      </c>
      <c r="BB951" s="3">
        <v>60606</v>
      </c>
      <c r="BC951" t="str">
        <f t="shared" si="71"/>
        <v>UNITED STATES OF AMERICA</v>
      </c>
      <c r="BD951" t="str">
        <f>""</f>
        <v/>
      </c>
      <c r="BE951" t="str">
        <f>"+13127226300"</f>
        <v>+13127226300</v>
      </c>
      <c r="BF951" t="str">
        <f>""</f>
        <v/>
      </c>
      <c r="BG951" t="str">
        <f>"chris.preston@giafirm.com"</f>
        <v>chris.preston@giafirm.com</v>
      </c>
      <c r="BH951" t="str">
        <f>"Global Immigration Associates, P.C."</f>
        <v>Global Immigration Associates, P.C.</v>
      </c>
      <c r="BI951" t="str">
        <f>"NE"</f>
        <v>NE</v>
      </c>
      <c r="BJ951" t="str">
        <f>"Supreme Court"</f>
        <v>Supreme Court</v>
      </c>
      <c r="BK951">
        <v>1</v>
      </c>
      <c r="BL951" t="s">
        <v>102</v>
      </c>
      <c r="BM951" t="str">
        <f>""</f>
        <v/>
      </c>
      <c r="BN951" t="s">
        <v>7341</v>
      </c>
      <c r="BO951" t="s">
        <v>3048</v>
      </c>
      <c r="BP951" t="s">
        <v>261</v>
      </c>
      <c r="BQ951" t="s">
        <v>183</v>
      </c>
      <c r="BR951" t="s">
        <v>176</v>
      </c>
      <c r="BS951" s="5">
        <v>98101</v>
      </c>
      <c r="BT951" s="2">
        <v>130000</v>
      </c>
      <c r="BV951" t="s">
        <v>105</v>
      </c>
      <c r="BW951" s="2">
        <v>113110</v>
      </c>
      <c r="BX951" t="s">
        <v>105</v>
      </c>
      <c r="BZ951" t="s">
        <v>167</v>
      </c>
      <c r="CA951" t="str">
        <f>"7/1/2020 - 6/30/2021"</f>
        <v>7/1/2020 - 6/30/2021</v>
      </c>
      <c r="CF951">
        <v>2</v>
      </c>
      <c r="CG951" t="s">
        <v>98</v>
      </c>
      <c r="CH951" t="s">
        <v>206</v>
      </c>
      <c r="CI951" t="s">
        <v>206</v>
      </c>
      <c r="CL951" t="s">
        <v>108</v>
      </c>
      <c r="CM951" t="s">
        <v>109</v>
      </c>
      <c r="CN951" t="str">
        <f>""</f>
        <v/>
      </c>
      <c r="CO951" t="str">
        <f>""</f>
        <v/>
      </c>
      <c r="CP951" t="str">
        <f>""</f>
        <v/>
      </c>
      <c r="CQ951" t="str">
        <f>""</f>
        <v/>
      </c>
    </row>
    <row r="952" spans="1:96" x14ac:dyDescent="0.2">
      <c r="A952" t="s">
        <v>10593</v>
      </c>
      <c r="B952" t="s">
        <v>96</v>
      </c>
      <c r="C952" s="1">
        <v>44098</v>
      </c>
      <c r="D952" s="1">
        <v>44105</v>
      </c>
      <c r="F952" t="s">
        <v>97</v>
      </c>
      <c r="G952" t="str">
        <f>"PRFL, PRODUCT PLANNING (MGR I, PRODUCT MGMT)"</f>
        <v>PRFL, PRODUCT PLANNING (MGR I, PRODUCT MGMT)</v>
      </c>
      <c r="H952" t="s">
        <v>12214</v>
      </c>
      <c r="I952" t="s">
        <v>276</v>
      </c>
      <c r="J952" t="s">
        <v>98</v>
      </c>
      <c r="K952" s="1">
        <v>44281</v>
      </c>
      <c r="L952" s="1">
        <v>45376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 t="s">
        <v>7709</v>
      </c>
      <c r="U952" t="str">
        <f>""</f>
        <v/>
      </c>
      <c r="V952" t="s">
        <v>7710</v>
      </c>
      <c r="W952" t="str">
        <f>""</f>
        <v/>
      </c>
      <c r="X952" t="s">
        <v>5130</v>
      </c>
      <c r="Y952" t="s">
        <v>100</v>
      </c>
      <c r="Z952" s="3">
        <v>7660</v>
      </c>
      <c r="AA952" t="s">
        <v>101</v>
      </c>
      <c r="AC952" s="4" t="str">
        <f>"+12016578092"</f>
        <v>+12016578092</v>
      </c>
      <c r="AE952" t="str">
        <f>"425110"</f>
        <v>425110</v>
      </c>
      <c r="AF952" t="s">
        <v>7711</v>
      </c>
      <c r="AG952" t="s">
        <v>7521</v>
      </c>
      <c r="AI952" t="s">
        <v>10594</v>
      </c>
      <c r="AJ952" t="s">
        <v>7710</v>
      </c>
      <c r="AK952" t="str">
        <f>""</f>
        <v/>
      </c>
      <c r="AL952" t="s">
        <v>5130</v>
      </c>
      <c r="AM952" t="s">
        <v>100</v>
      </c>
      <c r="AN952" s="3">
        <v>7660</v>
      </c>
      <c r="AO952" t="s">
        <v>101</v>
      </c>
      <c r="AQ952" t="str">
        <f>"+12016578092"</f>
        <v>+12016578092</v>
      </c>
      <c r="AS952" t="s">
        <v>7712</v>
      </c>
      <c r="AT952" t="s">
        <v>107</v>
      </c>
      <c r="AU952" t="str">
        <f>"HEALY"</f>
        <v>HEALY</v>
      </c>
      <c r="AV952" t="str">
        <f>"ELISE"</f>
        <v>ELISE</v>
      </c>
      <c r="AW952" t="str">
        <f>"A."</f>
        <v>A.</v>
      </c>
      <c r="AX952" t="str">
        <f>"900 JACKSON STREET"</f>
        <v>900 JACKSON STREET</v>
      </c>
      <c r="AY952" t="str">
        <f>"SUITE 150"</f>
        <v>SUITE 150</v>
      </c>
      <c r="AZ952" t="str">
        <f>"DALLAS"</f>
        <v>DALLAS</v>
      </c>
      <c r="BA952" t="str">
        <f>"TX"</f>
        <v>TX</v>
      </c>
      <c r="BB952" s="3">
        <v>75202</v>
      </c>
      <c r="BC952" t="str">
        <f t="shared" si="71"/>
        <v>UNITED STATES OF AMERICA</v>
      </c>
      <c r="BD952" t="str">
        <f>""</f>
        <v/>
      </c>
      <c r="BE952" t="str">
        <f>"+12144429005"</f>
        <v>+12144429005</v>
      </c>
      <c r="BF952" t="str">
        <f>""</f>
        <v/>
      </c>
      <c r="BG952" t="str">
        <f>"EHEALY@EHEALYLAW.COM"</f>
        <v>EHEALY@EHEALYLAW.COM</v>
      </c>
      <c r="BH952" t="str">
        <f>"ELISE HEALY + ASSOCIATES"</f>
        <v>ELISE HEALY + ASSOCIATES</v>
      </c>
      <c r="BI952" t="str">
        <f>"TX"</f>
        <v>TX</v>
      </c>
      <c r="BJ952" t="str">
        <f>"TEXAS SUPREME COURT"</f>
        <v>TEXAS SUPREME COURT</v>
      </c>
      <c r="BK952">
        <v>1</v>
      </c>
      <c r="BL952" t="s">
        <v>102</v>
      </c>
      <c r="BM952" t="str">
        <f>""</f>
        <v/>
      </c>
      <c r="BN952" t="s">
        <v>7710</v>
      </c>
      <c r="BP952" t="s">
        <v>5130</v>
      </c>
      <c r="BQ952" t="s">
        <v>1307</v>
      </c>
      <c r="BR952" t="s">
        <v>100</v>
      </c>
      <c r="BS952" s="5">
        <v>7660</v>
      </c>
      <c r="BT952" s="2">
        <v>127430.63</v>
      </c>
      <c r="BV952" t="s">
        <v>105</v>
      </c>
      <c r="BW952" s="2">
        <v>116938</v>
      </c>
      <c r="BX952" t="s">
        <v>105</v>
      </c>
      <c r="BZ952" t="s">
        <v>123</v>
      </c>
      <c r="CA952" t="str">
        <f>"7/1/2020 - 6/30/2021"</f>
        <v>7/1/2020 - 6/30/2021</v>
      </c>
      <c r="CF952">
        <v>2</v>
      </c>
      <c r="CG952" t="s">
        <v>98</v>
      </c>
      <c r="CH952" t="s">
        <v>206</v>
      </c>
      <c r="CI952" t="s">
        <v>206</v>
      </c>
      <c r="CL952" t="s">
        <v>108</v>
      </c>
      <c r="CM952" t="s">
        <v>109</v>
      </c>
      <c r="CN952" t="str">
        <f>""</f>
        <v/>
      </c>
      <c r="CO952" t="str">
        <f>""</f>
        <v/>
      </c>
      <c r="CP952" t="str">
        <f>""</f>
        <v/>
      </c>
      <c r="CQ952" t="str">
        <f>""</f>
        <v/>
      </c>
    </row>
    <row r="953" spans="1:96" x14ac:dyDescent="0.2">
      <c r="A953" t="s">
        <v>10595</v>
      </c>
      <c r="B953" t="s">
        <v>96</v>
      </c>
      <c r="C953" s="1">
        <v>44098</v>
      </c>
      <c r="D953" s="1">
        <v>44105</v>
      </c>
      <c r="F953" t="s">
        <v>97</v>
      </c>
      <c r="G953" t="str">
        <f>"Research Assistant Professor"</f>
        <v>Research Assistant Professor</v>
      </c>
      <c r="H953" t="s">
        <v>12170</v>
      </c>
      <c r="I953" t="s">
        <v>685</v>
      </c>
      <c r="J953" t="s">
        <v>98</v>
      </c>
      <c r="K953" s="1">
        <v>44228</v>
      </c>
      <c r="L953" s="1">
        <v>45322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 t="s">
        <v>4698</v>
      </c>
      <c r="U953" t="str">
        <f>""</f>
        <v/>
      </c>
      <c r="V953" t="s">
        <v>4699</v>
      </c>
      <c r="W953" t="str">
        <f>"309 Park Building"</f>
        <v>309 Park Building</v>
      </c>
      <c r="X953" t="s">
        <v>2151</v>
      </c>
      <c r="Y953" t="s">
        <v>169</v>
      </c>
      <c r="Z953" s="3">
        <v>84112</v>
      </c>
      <c r="AA953" t="s">
        <v>101</v>
      </c>
      <c r="AC953" s="4" t="str">
        <f>"+18015857002"</f>
        <v>+18015857002</v>
      </c>
      <c r="AE953" t="str">
        <f>"611310"</f>
        <v>611310</v>
      </c>
      <c r="AF953" t="s">
        <v>4700</v>
      </c>
      <c r="AG953" t="s">
        <v>1578</v>
      </c>
      <c r="AH953" t="s">
        <v>1080</v>
      </c>
      <c r="AI953" t="s">
        <v>2605</v>
      </c>
      <c r="AJ953" t="s">
        <v>4699</v>
      </c>
      <c r="AK953" t="str">
        <f>"309 Park Building"</f>
        <v>309 Park Building</v>
      </c>
      <c r="AL953" t="s">
        <v>2151</v>
      </c>
      <c r="AM953" t="s">
        <v>169</v>
      </c>
      <c r="AN953" s="3">
        <v>84112</v>
      </c>
      <c r="AO953" t="s">
        <v>101</v>
      </c>
      <c r="AQ953" t="str">
        <f>"+18015857002"</f>
        <v>+18015857002</v>
      </c>
      <c r="AS953" t="s">
        <v>4701</v>
      </c>
      <c r="AT953" t="s">
        <v>102</v>
      </c>
      <c r="AU953" t="str">
        <f>""</f>
        <v/>
      </c>
      <c r="AV953" t="str">
        <f>""</f>
        <v/>
      </c>
      <c r="AW953" t="str">
        <f>""</f>
        <v/>
      </c>
      <c r="AX953" t="str">
        <f>""</f>
        <v/>
      </c>
      <c r="AY953" t="str">
        <f>""</f>
        <v/>
      </c>
      <c r="AZ953" t="str">
        <f>""</f>
        <v/>
      </c>
      <c r="BA953" t="str">
        <f>""</f>
        <v/>
      </c>
      <c r="BC953" t="str">
        <f>""</f>
        <v/>
      </c>
      <c r="BD953" t="str">
        <f>""</f>
        <v/>
      </c>
      <c r="BE953" t="str">
        <f>""</f>
        <v/>
      </c>
      <c r="BF953" t="str">
        <f>""</f>
        <v/>
      </c>
      <c r="BG953" t="str">
        <f>""</f>
        <v/>
      </c>
      <c r="BH953" t="str">
        <f>""</f>
        <v/>
      </c>
      <c r="BI953" t="str">
        <f>""</f>
        <v/>
      </c>
      <c r="BJ953" t="str">
        <f>""</f>
        <v/>
      </c>
      <c r="BK953">
        <v>1</v>
      </c>
      <c r="BL953" t="s">
        <v>102</v>
      </c>
      <c r="BM953" t="str">
        <f>""</f>
        <v/>
      </c>
      <c r="BN953" t="s">
        <v>10596</v>
      </c>
      <c r="BP953" t="s">
        <v>2151</v>
      </c>
      <c r="BQ953" t="s">
        <v>1095</v>
      </c>
      <c r="BR953" t="s">
        <v>169</v>
      </c>
      <c r="BS953" s="5">
        <v>84132</v>
      </c>
      <c r="BT953" s="2">
        <v>80000</v>
      </c>
      <c r="BV953" t="s">
        <v>105</v>
      </c>
      <c r="BW953" s="2">
        <v>61880</v>
      </c>
      <c r="BX953" t="s">
        <v>105</v>
      </c>
      <c r="BZ953" t="s">
        <v>167</v>
      </c>
      <c r="CA953" t="str">
        <f>"7/1/2020 - 6/30/2021"</f>
        <v>7/1/2020 - 6/30/2021</v>
      </c>
      <c r="CF953">
        <v>1</v>
      </c>
      <c r="CG953" t="s">
        <v>98</v>
      </c>
      <c r="CH953" t="s">
        <v>206</v>
      </c>
      <c r="CI953" t="s">
        <v>206</v>
      </c>
      <c r="CL953" t="s">
        <v>108</v>
      </c>
      <c r="CM953" t="s">
        <v>109</v>
      </c>
      <c r="CN953" t="str">
        <f>""</f>
        <v/>
      </c>
      <c r="CO953" t="str">
        <f>""</f>
        <v/>
      </c>
      <c r="CP953" t="str">
        <f>""</f>
        <v/>
      </c>
      <c r="CQ953" t="str">
        <f>""</f>
        <v/>
      </c>
    </row>
    <row r="954" spans="1:96" x14ac:dyDescent="0.2">
      <c r="A954" t="s">
        <v>10597</v>
      </c>
      <c r="B954" t="s">
        <v>96</v>
      </c>
      <c r="C954" s="1">
        <v>44098</v>
      </c>
      <c r="D954" s="1">
        <v>44105</v>
      </c>
      <c r="F954" t="s">
        <v>97</v>
      </c>
      <c r="G954" t="str">
        <f>"Team Leader"</f>
        <v>Team Leader</v>
      </c>
      <c r="H954" t="s">
        <v>12178</v>
      </c>
      <c r="I954" t="s">
        <v>582</v>
      </c>
      <c r="J954" t="s">
        <v>98</v>
      </c>
      <c r="K954" s="1">
        <v>44279</v>
      </c>
      <c r="L954" s="1">
        <v>45374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t="s">
        <v>2978</v>
      </c>
      <c r="U954" t="str">
        <f>"Bloomberg"</f>
        <v>Bloomberg</v>
      </c>
      <c r="V954" t="s">
        <v>2979</v>
      </c>
      <c r="W954" t="str">
        <f>""</f>
        <v/>
      </c>
      <c r="X954" t="s">
        <v>277</v>
      </c>
      <c r="Y954" t="s">
        <v>190</v>
      </c>
      <c r="Z954" s="3">
        <v>10022</v>
      </c>
      <c r="AA954" t="s">
        <v>101</v>
      </c>
      <c r="AC954" s="4" t="str">
        <f>"+12123182000"</f>
        <v>+12123182000</v>
      </c>
      <c r="AD954">
        <v>0</v>
      </c>
      <c r="AE954" t="str">
        <f>"51919"</f>
        <v>51919</v>
      </c>
      <c r="AF954" t="s">
        <v>2980</v>
      </c>
      <c r="AG954" t="s">
        <v>1013</v>
      </c>
      <c r="AI954" t="s">
        <v>2981</v>
      </c>
      <c r="AJ954" t="s">
        <v>2979</v>
      </c>
      <c r="AK954" t="str">
        <f>""</f>
        <v/>
      </c>
      <c r="AL954" t="s">
        <v>277</v>
      </c>
      <c r="AM954" t="s">
        <v>190</v>
      </c>
      <c r="AN954" s="3">
        <v>10022</v>
      </c>
      <c r="AO954" t="s">
        <v>101</v>
      </c>
      <c r="AQ954" t="str">
        <f>"+12126173329"</f>
        <v>+12126173329</v>
      </c>
      <c r="AS954" t="s">
        <v>2982</v>
      </c>
      <c r="AT954" t="s">
        <v>107</v>
      </c>
      <c r="AU954" t="str">
        <f>"Fallon"</f>
        <v>Fallon</v>
      </c>
      <c r="AV954" t="str">
        <f>"Amy"</f>
        <v>Amy</v>
      </c>
      <c r="AW954" t="str">
        <f>"Elizabeth"</f>
        <v>Elizabeth</v>
      </c>
      <c r="AX954" t="str">
        <f>"1400 Broadway"</f>
        <v>1400 Broadway</v>
      </c>
      <c r="AY954" t="str">
        <f>""</f>
        <v/>
      </c>
      <c r="AZ954" t="str">
        <f>"New York"</f>
        <v>New York</v>
      </c>
      <c r="BA954" t="str">
        <f>"NY"</f>
        <v>NY</v>
      </c>
      <c r="BB954" s="3">
        <v>10018</v>
      </c>
      <c r="BC954" t="str">
        <f t="shared" ref="BC954:BC970" si="72">"UNITED STATES OF AMERICA"</f>
        <v>UNITED STATES OF AMERICA</v>
      </c>
      <c r="BD954" t="str">
        <f>""</f>
        <v/>
      </c>
      <c r="BE954" t="str">
        <f>"+12122302846"</f>
        <v>+12122302846</v>
      </c>
      <c r="BF954" t="str">
        <f>""</f>
        <v/>
      </c>
      <c r="BG954" t="str">
        <f>"mni@fragomen.com"</f>
        <v>mni@fragomen.com</v>
      </c>
      <c r="BH954" t="str">
        <f>"Fragomen, Del Rey, Bernsen &amp; Loewy, LLP"</f>
        <v>Fragomen, Del Rey, Bernsen &amp; Loewy, LLP</v>
      </c>
      <c r="BI954" t="str">
        <f>"NY"</f>
        <v>NY</v>
      </c>
      <c r="BJ954" t="str">
        <f>"Supreme Court of the United States"</f>
        <v>Supreme Court of the United States</v>
      </c>
      <c r="BK954">
        <v>1</v>
      </c>
      <c r="BL954" t="s">
        <v>102</v>
      </c>
      <c r="BM954" t="str">
        <f>""</f>
        <v/>
      </c>
      <c r="BN954" t="s">
        <v>2983</v>
      </c>
      <c r="BP954" t="s">
        <v>277</v>
      </c>
      <c r="BQ954" t="s">
        <v>189</v>
      </c>
      <c r="BR954" t="s">
        <v>190</v>
      </c>
      <c r="BS954" s="5">
        <v>10017</v>
      </c>
      <c r="BT954" s="2">
        <v>160555</v>
      </c>
      <c r="BU954" s="2">
        <v>310555</v>
      </c>
      <c r="BV954" t="s">
        <v>105</v>
      </c>
      <c r="BW954" s="2">
        <v>160555</v>
      </c>
      <c r="BX954" t="s">
        <v>105</v>
      </c>
      <c r="BZ954" t="s">
        <v>167</v>
      </c>
      <c r="CA954" t="str">
        <f>"7/1/2020 - 6/30/2021"</f>
        <v>7/1/2020 - 6/30/2021</v>
      </c>
      <c r="CF954">
        <v>1</v>
      </c>
      <c r="CG954" t="s">
        <v>98</v>
      </c>
      <c r="CH954" t="s">
        <v>206</v>
      </c>
      <c r="CI954" t="s">
        <v>206</v>
      </c>
      <c r="CL954" t="s">
        <v>108</v>
      </c>
      <c r="CM954" t="s">
        <v>109</v>
      </c>
      <c r="CN954" t="str">
        <f>"Ni"</f>
        <v>Ni</v>
      </c>
      <c r="CO954" t="str">
        <f>"Michael"</f>
        <v>Michael</v>
      </c>
      <c r="CP954" t="str">
        <f>""</f>
        <v/>
      </c>
      <c r="CQ954" t="str">
        <f>"Fragomen, Del Rey, Bernsen &amp; Loewy"</f>
        <v>Fragomen, Del Rey, Bernsen &amp; Loewy</v>
      </c>
      <c r="CR954" t="s">
        <v>4219</v>
      </c>
    </row>
    <row r="955" spans="1:96" x14ac:dyDescent="0.2">
      <c r="A955" t="s">
        <v>10600</v>
      </c>
      <c r="B955" t="s">
        <v>96</v>
      </c>
      <c r="C955" s="1">
        <v>44098</v>
      </c>
      <c r="D955" s="1">
        <v>44105</v>
      </c>
      <c r="F955" t="s">
        <v>97</v>
      </c>
      <c r="G955" t="str">
        <f>"Consulting Software Engineer"</f>
        <v>Consulting Software Engineer</v>
      </c>
      <c r="H955" t="s">
        <v>12169</v>
      </c>
      <c r="I955" t="s">
        <v>124</v>
      </c>
      <c r="J955" t="s">
        <v>98</v>
      </c>
      <c r="K955" s="1">
        <v>44259</v>
      </c>
      <c r="L955" s="1">
        <v>45354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 t="s">
        <v>7992</v>
      </c>
      <c r="U955" t="str">
        <f>""</f>
        <v/>
      </c>
      <c r="V955" t="s">
        <v>3433</v>
      </c>
      <c r="W955" t="str">
        <f>""</f>
        <v/>
      </c>
      <c r="X955" t="s">
        <v>847</v>
      </c>
      <c r="Y955" t="s">
        <v>141</v>
      </c>
      <c r="Z955" s="3">
        <v>30005</v>
      </c>
      <c r="AA955" t="s">
        <v>101</v>
      </c>
      <c r="AC955" s="4" t="str">
        <f>"+16786946873"</f>
        <v>+16786946873</v>
      </c>
      <c r="AE955" t="str">
        <f>"51119"</f>
        <v>51119</v>
      </c>
      <c r="AF955" t="s">
        <v>10601</v>
      </c>
      <c r="AG955" t="s">
        <v>1767</v>
      </c>
      <c r="AH955" t="s">
        <v>2402</v>
      </c>
      <c r="AI955" t="s">
        <v>3559</v>
      </c>
      <c r="AJ955" t="s">
        <v>3433</v>
      </c>
      <c r="AK955" t="str">
        <f>""</f>
        <v/>
      </c>
      <c r="AL955" t="s">
        <v>847</v>
      </c>
      <c r="AM955" t="s">
        <v>215</v>
      </c>
      <c r="AN955" s="3">
        <v>30005</v>
      </c>
      <c r="AO955" t="s">
        <v>101</v>
      </c>
      <c r="AQ955" t="str">
        <f>"+16786946873"</f>
        <v>+16786946873</v>
      </c>
      <c r="AS955" t="s">
        <v>3437</v>
      </c>
      <c r="AT955" t="s">
        <v>107</v>
      </c>
      <c r="AU955" t="str">
        <f>"Hoops"</f>
        <v>Hoops</v>
      </c>
      <c r="AV955" t="str">
        <f>"Michael"</f>
        <v>Michael</v>
      </c>
      <c r="AW955" t="str">
        <f>"William"</f>
        <v>William</v>
      </c>
      <c r="AX955" t="str">
        <f>"1540 Broadway"</f>
        <v>1540 Broadway</v>
      </c>
      <c r="AY955" t="str">
        <f>""</f>
        <v/>
      </c>
      <c r="AZ955" t="str">
        <f>"New York"</f>
        <v>New York</v>
      </c>
      <c r="BA955" t="str">
        <f>"NY"</f>
        <v>NY</v>
      </c>
      <c r="BB955" s="3">
        <v>10036</v>
      </c>
      <c r="BC955" t="str">
        <f t="shared" si="72"/>
        <v>UNITED STATES OF AMERICA</v>
      </c>
      <c r="BD955" t="str">
        <f>""</f>
        <v/>
      </c>
      <c r="BE955" t="str">
        <f>"+12124711846"</f>
        <v>+12124711846</v>
      </c>
      <c r="BF955" t="str">
        <f>""</f>
        <v/>
      </c>
      <c r="BG955" t="str">
        <f>"mwhoops@duanemorris.com"</f>
        <v>mwhoops@duanemorris.com</v>
      </c>
      <c r="BH955" t="str">
        <f>"Duane Morris LLP"</f>
        <v>Duane Morris LLP</v>
      </c>
      <c r="BI955" t="str">
        <f>"NY"</f>
        <v>NY</v>
      </c>
      <c r="BJ955" t="str">
        <f>"Second Appellate Division"</f>
        <v>Second Appellate Division</v>
      </c>
      <c r="BK955">
        <v>1</v>
      </c>
      <c r="BL955" t="s">
        <v>102</v>
      </c>
      <c r="BM955" t="str">
        <f>""</f>
        <v/>
      </c>
      <c r="BN955" t="s">
        <v>7993</v>
      </c>
      <c r="BP955" t="s">
        <v>1066</v>
      </c>
      <c r="BQ955" t="s">
        <v>1067</v>
      </c>
      <c r="BR955" t="s">
        <v>122</v>
      </c>
      <c r="BS955" s="5">
        <v>27606</v>
      </c>
      <c r="BT955" s="2">
        <v>105032</v>
      </c>
      <c r="BV955" t="s">
        <v>105</v>
      </c>
      <c r="BW955" s="2">
        <v>105032</v>
      </c>
      <c r="BX955" t="s">
        <v>105</v>
      </c>
      <c r="CA955" t="str">
        <f>""</f>
        <v/>
      </c>
      <c r="CB955" t="s">
        <v>244</v>
      </c>
      <c r="CC955">
        <v>2019</v>
      </c>
      <c r="CD955" t="s">
        <v>245</v>
      </c>
      <c r="CE955" t="s">
        <v>5365</v>
      </c>
      <c r="CF955">
        <v>2</v>
      </c>
      <c r="CG955" t="s">
        <v>98</v>
      </c>
      <c r="CH955" t="s">
        <v>206</v>
      </c>
      <c r="CI955" t="s">
        <v>206</v>
      </c>
      <c r="CL955" t="s">
        <v>108</v>
      </c>
      <c r="CM955" t="s">
        <v>109</v>
      </c>
      <c r="CN955" t="str">
        <f>""</f>
        <v/>
      </c>
      <c r="CO955" t="str">
        <f>""</f>
        <v/>
      </c>
      <c r="CP955" t="str">
        <f>""</f>
        <v/>
      </c>
      <c r="CQ955" t="str">
        <f>""</f>
        <v/>
      </c>
    </row>
    <row r="956" spans="1:96" x14ac:dyDescent="0.2">
      <c r="A956" t="s">
        <v>10602</v>
      </c>
      <c r="B956" t="s">
        <v>96</v>
      </c>
      <c r="C956" s="1">
        <v>44098</v>
      </c>
      <c r="D956" s="1">
        <v>44105</v>
      </c>
      <c r="F956" t="s">
        <v>97</v>
      </c>
      <c r="G956" t="str">
        <f>"Senior Engineer I"</f>
        <v>Senior Engineer I</v>
      </c>
      <c r="H956" t="s">
        <v>12168</v>
      </c>
      <c r="I956" t="s">
        <v>160</v>
      </c>
      <c r="J956" t="s">
        <v>98</v>
      </c>
      <c r="K956" s="1">
        <v>44123</v>
      </c>
      <c r="L956" s="1">
        <v>45217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5991</v>
      </c>
      <c r="U956" t="str">
        <f>""</f>
        <v/>
      </c>
      <c r="V956" t="s">
        <v>5992</v>
      </c>
      <c r="W956" t="str">
        <f>"Suite 200"</f>
        <v>Suite 200</v>
      </c>
      <c r="X956" t="s">
        <v>207</v>
      </c>
      <c r="Y956" t="s">
        <v>171</v>
      </c>
      <c r="Z956" s="3">
        <v>2210</v>
      </c>
      <c r="AA956" t="s">
        <v>101</v>
      </c>
      <c r="AC956" s="4" t="str">
        <f>"+16178177022"</f>
        <v>+16178177022</v>
      </c>
      <c r="AE956" t="str">
        <f>"5415"</f>
        <v>5415</v>
      </c>
      <c r="AF956" t="s">
        <v>5993</v>
      </c>
      <c r="AG956" t="s">
        <v>1386</v>
      </c>
      <c r="AH956" t="s">
        <v>4322</v>
      </c>
      <c r="AI956" t="s">
        <v>5994</v>
      </c>
      <c r="AJ956" t="s">
        <v>5992</v>
      </c>
      <c r="AK956" t="str">
        <f>"Suite 200"</f>
        <v>Suite 200</v>
      </c>
      <c r="AL956" t="s">
        <v>207</v>
      </c>
      <c r="AM956" t="s">
        <v>171</v>
      </c>
      <c r="AN956" s="3">
        <v>2210</v>
      </c>
      <c r="AO956" t="s">
        <v>101</v>
      </c>
      <c r="AQ956" t="str">
        <f>"+16178177022"</f>
        <v>+16178177022</v>
      </c>
      <c r="AS956" t="s">
        <v>5995</v>
      </c>
      <c r="AT956" t="s">
        <v>107</v>
      </c>
      <c r="AU956" t="str">
        <f>"Garvin"</f>
        <v>Garvin</v>
      </c>
      <c r="AV956" t="str">
        <f>"Laura "</f>
        <v xml:space="preserve">Laura </v>
      </c>
      <c r="AW956" t="str">
        <f>""</f>
        <v/>
      </c>
      <c r="AX956" t="str">
        <f>"1111 Pennsylvania Avenue NW"</f>
        <v>1111 Pennsylvania Avenue NW</v>
      </c>
      <c r="AY956" t="str">
        <f>""</f>
        <v/>
      </c>
      <c r="AZ956" t="str">
        <f>"Washington"</f>
        <v>Washington</v>
      </c>
      <c r="BA956" t="str">
        <f>"DC"</f>
        <v>DC</v>
      </c>
      <c r="BB956" s="3">
        <v>20004</v>
      </c>
      <c r="BC956" t="str">
        <f t="shared" si="72"/>
        <v>UNITED STATES OF AMERICA</v>
      </c>
      <c r="BD956" t="str">
        <f>""</f>
        <v/>
      </c>
      <c r="BE956" t="str">
        <f>"+12027393000"</f>
        <v>+12027393000</v>
      </c>
      <c r="BF956" t="str">
        <f>""</f>
        <v/>
      </c>
      <c r="BG956" t="str">
        <f>"Laura.garvin@morganlewis.com"</f>
        <v>Laura.garvin@morganlewis.com</v>
      </c>
      <c r="BH956" t="str">
        <f>"Morgan Lewis Bockius LLP"</f>
        <v>Morgan Lewis Bockius LLP</v>
      </c>
      <c r="BI956" t="str">
        <f>"DC"</f>
        <v>DC</v>
      </c>
      <c r="BJ956" t="str">
        <f>"District of Columbia"</f>
        <v>District of Columbia</v>
      </c>
      <c r="BK956">
        <v>1</v>
      </c>
      <c r="BL956" t="s">
        <v>102</v>
      </c>
      <c r="BM956" t="str">
        <f>""</f>
        <v/>
      </c>
      <c r="BN956" t="s">
        <v>5996</v>
      </c>
      <c r="BP956" t="s">
        <v>333</v>
      </c>
      <c r="BQ956" t="s">
        <v>861</v>
      </c>
      <c r="BR956" t="s">
        <v>127</v>
      </c>
      <c r="BS956" s="5">
        <v>15027</v>
      </c>
      <c r="BT956" s="2">
        <v>90002</v>
      </c>
      <c r="BU956" s="2">
        <v>140000</v>
      </c>
      <c r="BV956" t="s">
        <v>105</v>
      </c>
      <c r="BW956" s="2">
        <v>77355</v>
      </c>
      <c r="BX956" t="s">
        <v>105</v>
      </c>
      <c r="BZ956" t="s">
        <v>123</v>
      </c>
      <c r="CA956" t="str">
        <f t="shared" ref="CA956:CA969" si="73">"7/1/2020 - 6/30/2021"</f>
        <v>7/1/2020 - 6/30/2021</v>
      </c>
      <c r="CF956">
        <v>2</v>
      </c>
      <c r="CG956" t="s">
        <v>98</v>
      </c>
      <c r="CH956" t="s">
        <v>206</v>
      </c>
      <c r="CI956" t="s">
        <v>206</v>
      </c>
      <c r="CL956" t="s">
        <v>108</v>
      </c>
      <c r="CM956" t="s">
        <v>109</v>
      </c>
      <c r="CN956" t="str">
        <f>"Liang"</f>
        <v>Liang</v>
      </c>
      <c r="CO956" t="str">
        <f>"Cindy"</f>
        <v>Cindy</v>
      </c>
      <c r="CP956" t="str">
        <f>"H"</f>
        <v>H</v>
      </c>
      <c r="CQ956" t="str">
        <f>"Morgan Lewis Bockius LLP"</f>
        <v>Morgan Lewis Bockius LLP</v>
      </c>
      <c r="CR956" t="s">
        <v>1778</v>
      </c>
    </row>
    <row r="957" spans="1:96" x14ac:dyDescent="0.2">
      <c r="A957" t="s">
        <v>10606</v>
      </c>
      <c r="B957" t="s">
        <v>96</v>
      </c>
      <c r="C957" s="1">
        <v>44098</v>
      </c>
      <c r="D957" s="1">
        <v>44105</v>
      </c>
      <c r="F957" t="s">
        <v>97</v>
      </c>
      <c r="G957" t="str">
        <f>"Senior Business Intelligence Analyst"</f>
        <v>Senior Business Intelligence Analyst</v>
      </c>
      <c r="H957" t="s">
        <v>12169</v>
      </c>
      <c r="I957" t="s">
        <v>124</v>
      </c>
      <c r="J957" t="s">
        <v>98</v>
      </c>
      <c r="K957" s="1">
        <v>44105</v>
      </c>
      <c r="L957" s="1">
        <v>45199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 t="s">
        <v>10607</v>
      </c>
      <c r="U957" t="str">
        <f>""</f>
        <v/>
      </c>
      <c r="V957" t="s">
        <v>9762</v>
      </c>
      <c r="W957" t="str">
        <f>""</f>
        <v/>
      </c>
      <c r="X957" t="s">
        <v>746</v>
      </c>
      <c r="Y957" t="s">
        <v>374</v>
      </c>
      <c r="Z957" s="3">
        <v>63164</v>
      </c>
      <c r="AA957" t="s">
        <v>101</v>
      </c>
      <c r="AC957" s="4" t="str">
        <f>"+16715713531"</f>
        <v>+16715713531</v>
      </c>
      <c r="AE957" t="str">
        <f>"311111"</f>
        <v>311111</v>
      </c>
      <c r="AF957" t="s">
        <v>10608</v>
      </c>
      <c r="AG957" t="s">
        <v>10609</v>
      </c>
      <c r="AI957" t="s">
        <v>10610</v>
      </c>
      <c r="AJ957" t="s">
        <v>10611</v>
      </c>
      <c r="AK957" t="str">
        <f>""</f>
        <v/>
      </c>
      <c r="AL957" t="s">
        <v>3518</v>
      </c>
      <c r="AM957" t="s">
        <v>374</v>
      </c>
      <c r="AN957" s="3">
        <v>63164</v>
      </c>
      <c r="AO957" t="s">
        <v>101</v>
      </c>
      <c r="AQ957" t="str">
        <f>"+15714573531"</f>
        <v>+15714573531</v>
      </c>
      <c r="AS957" t="s">
        <v>10612</v>
      </c>
      <c r="AT957" t="s">
        <v>107</v>
      </c>
      <c r="AU957" t="str">
        <f>"Miner"</f>
        <v>Miner</v>
      </c>
      <c r="AV957" t="str">
        <f>"Kevin"</f>
        <v>Kevin</v>
      </c>
      <c r="AW957" t="str">
        <f>"William"</f>
        <v>William</v>
      </c>
      <c r="AX957" t="str">
        <f>"1355 Peacthree Street NE"</f>
        <v>1355 Peacthree Street NE</v>
      </c>
      <c r="AY957" t="str">
        <f>"Suite 900 [5251550]"</f>
        <v>Suite 900 [5251550]</v>
      </c>
      <c r="AZ957" t="str">
        <f>"Atlanta"</f>
        <v>Atlanta</v>
      </c>
      <c r="BA957" t="str">
        <f>"GA"</f>
        <v>GA</v>
      </c>
      <c r="BB957" s="3">
        <v>30309</v>
      </c>
      <c r="BC957" t="str">
        <f t="shared" si="72"/>
        <v>UNITED STATES OF AMERICA</v>
      </c>
      <c r="BD957" t="str">
        <f>""</f>
        <v/>
      </c>
      <c r="BE957" t="str">
        <f>"+14048565577"</f>
        <v>+14048565577</v>
      </c>
      <c r="BF957" t="str">
        <f>""</f>
        <v/>
      </c>
      <c r="BG957" t="str">
        <f>"rjohnson@fragomen.com"</f>
        <v>rjohnson@fragomen.com</v>
      </c>
      <c r="BH957" t="str">
        <f>"FRAGOMEN, DEL REY, BERNSEN, &amp; LOEWY, LLP"</f>
        <v>FRAGOMEN, DEL REY, BERNSEN, &amp; LOEWY, LLP</v>
      </c>
      <c r="BI957" t="str">
        <f>"NH"</f>
        <v>NH</v>
      </c>
      <c r="BJ957" t="str">
        <f>"Supreme"</f>
        <v>Supreme</v>
      </c>
      <c r="BK957">
        <v>1</v>
      </c>
      <c r="BL957" t="s">
        <v>102</v>
      </c>
      <c r="BM957" t="str">
        <f>""</f>
        <v/>
      </c>
      <c r="BN957" t="s">
        <v>10611</v>
      </c>
      <c r="BP957" t="s">
        <v>3518</v>
      </c>
      <c r="BQ957" t="s">
        <v>1964</v>
      </c>
      <c r="BR957" t="s">
        <v>374</v>
      </c>
      <c r="BS957" s="5">
        <v>63164</v>
      </c>
      <c r="BT957" s="2">
        <v>116000</v>
      </c>
      <c r="BU957" s="2">
        <v>136000</v>
      </c>
      <c r="BV957" t="s">
        <v>105</v>
      </c>
      <c r="BW957" s="2">
        <v>113901</v>
      </c>
      <c r="BX957" t="s">
        <v>105</v>
      </c>
      <c r="BZ957" t="s">
        <v>159</v>
      </c>
      <c r="CA957" t="str">
        <f t="shared" si="73"/>
        <v>7/1/2020 - 6/30/2021</v>
      </c>
      <c r="CF957">
        <v>2</v>
      </c>
      <c r="CG957" t="s">
        <v>98</v>
      </c>
      <c r="CH957" t="s">
        <v>206</v>
      </c>
      <c r="CI957" t="s">
        <v>206</v>
      </c>
      <c r="CL957" t="s">
        <v>108</v>
      </c>
      <c r="CM957" t="s">
        <v>109</v>
      </c>
      <c r="CN957" t="str">
        <f>""</f>
        <v/>
      </c>
      <c r="CO957" t="str">
        <f>""</f>
        <v/>
      </c>
      <c r="CP957" t="str">
        <f>""</f>
        <v/>
      </c>
      <c r="CQ957" t="str">
        <f>""</f>
        <v/>
      </c>
    </row>
    <row r="958" spans="1:96" x14ac:dyDescent="0.2">
      <c r="A958" t="s">
        <v>10613</v>
      </c>
      <c r="B958" t="s">
        <v>96</v>
      </c>
      <c r="C958" s="1">
        <v>44098</v>
      </c>
      <c r="D958" s="1">
        <v>44105</v>
      </c>
      <c r="F958" t="s">
        <v>97</v>
      </c>
      <c r="G958" t="str">
        <f>"Software Engineer  1615.59400"</f>
        <v>Software Engineer  1615.59400</v>
      </c>
      <c r="H958" t="s">
        <v>12169</v>
      </c>
      <c r="I958" t="s">
        <v>124</v>
      </c>
      <c r="J958" t="s">
        <v>98</v>
      </c>
      <c r="K958" s="1">
        <v>44104</v>
      </c>
      <c r="L958" s="1">
        <v>45198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 t="s">
        <v>289</v>
      </c>
      <c r="U958" t="str">
        <f>""</f>
        <v/>
      </c>
      <c r="V958" t="s">
        <v>290</v>
      </c>
      <c r="W958" t="str">
        <f>""</f>
        <v/>
      </c>
      <c r="X958" t="s">
        <v>155</v>
      </c>
      <c r="Y958" t="s">
        <v>141</v>
      </c>
      <c r="Z958" s="3">
        <v>94043</v>
      </c>
      <c r="AA958" t="s">
        <v>101</v>
      </c>
      <c r="AC958" s="4" t="str">
        <f>"+16502037602"</f>
        <v>+16502037602</v>
      </c>
      <c r="AE958" t="str">
        <f>"541512"</f>
        <v>541512</v>
      </c>
      <c r="AF958" t="s">
        <v>427</v>
      </c>
      <c r="AG958" t="s">
        <v>1880</v>
      </c>
      <c r="AI958" t="s">
        <v>893</v>
      </c>
      <c r="AJ958" t="s">
        <v>1562</v>
      </c>
      <c r="AK958" t="str">
        <f>""</f>
        <v/>
      </c>
      <c r="AL958" t="s">
        <v>150</v>
      </c>
      <c r="AM958" t="s">
        <v>141</v>
      </c>
      <c r="AN958" s="3">
        <v>94043</v>
      </c>
      <c r="AO958" t="s">
        <v>101</v>
      </c>
      <c r="AQ958" t="str">
        <f>"+16502534513"</f>
        <v>+16502534513</v>
      </c>
      <c r="AS958" t="s">
        <v>429</v>
      </c>
      <c r="AT958" t="s">
        <v>107</v>
      </c>
      <c r="AU958" t="str">
        <f>"Wu"</f>
        <v>Wu</v>
      </c>
      <c r="AV958" t="str">
        <f>"Mengying"</f>
        <v>Mengying</v>
      </c>
      <c r="AW958" t="str">
        <f>""</f>
        <v/>
      </c>
      <c r="AX958" t="str">
        <f>"2400 N. Glenville Drive"</f>
        <v>2400 N. Glenville Drive</v>
      </c>
      <c r="AY958" t="str">
        <f>"Building A, Suite 100"</f>
        <v>Building A, Suite 100</v>
      </c>
      <c r="AZ958" t="str">
        <f>"Richardson"</f>
        <v>Richardson</v>
      </c>
      <c r="BA958" t="str">
        <f>"TX"</f>
        <v>TX</v>
      </c>
      <c r="BB958" s="3">
        <v>75082</v>
      </c>
      <c r="BC958" t="str">
        <f t="shared" si="72"/>
        <v>UNITED STATES OF AMERICA</v>
      </c>
      <c r="BD958" t="str">
        <f>""</f>
        <v/>
      </c>
      <c r="BE958" t="str">
        <f>"+19728617129"</f>
        <v>+19728617129</v>
      </c>
      <c r="BF958" t="str">
        <f>""</f>
        <v/>
      </c>
      <c r="BG958" t="str">
        <f>"GoogleDOL@balglobal.com"</f>
        <v>GoogleDOL@balglobal.com</v>
      </c>
      <c r="BH958" t="str">
        <f>"Berry Appleman &amp; Leiden LLP"</f>
        <v>Berry Appleman &amp; Leiden LLP</v>
      </c>
      <c r="BI958" t="str">
        <f>"NY"</f>
        <v>NY</v>
      </c>
      <c r="BJ958" t="str">
        <f>"Supreme Court of New York"</f>
        <v>Supreme Court of New York</v>
      </c>
      <c r="BK958">
        <v>1</v>
      </c>
      <c r="BL958" t="s">
        <v>102</v>
      </c>
      <c r="BM958" t="str">
        <f>""</f>
        <v/>
      </c>
      <c r="BN958" t="s">
        <v>1059</v>
      </c>
      <c r="BP958" t="s">
        <v>229</v>
      </c>
      <c r="BQ958" t="s">
        <v>230</v>
      </c>
      <c r="BR958" t="s">
        <v>141</v>
      </c>
      <c r="BS958" s="5">
        <v>94089</v>
      </c>
      <c r="BT958" s="2">
        <v>170000</v>
      </c>
      <c r="BV958" t="s">
        <v>105</v>
      </c>
      <c r="BW958" s="2">
        <v>120578</v>
      </c>
      <c r="BX958" t="s">
        <v>105</v>
      </c>
      <c r="BZ958" t="s">
        <v>167</v>
      </c>
      <c r="CA958" t="str">
        <f t="shared" si="73"/>
        <v>7/1/2020 - 6/30/2021</v>
      </c>
      <c r="CF958">
        <v>2</v>
      </c>
      <c r="CG958" t="s">
        <v>98</v>
      </c>
      <c r="CH958" t="s">
        <v>206</v>
      </c>
      <c r="CI958" t="s">
        <v>206</v>
      </c>
      <c r="CL958" t="s">
        <v>108</v>
      </c>
      <c r="CM958" t="s">
        <v>109</v>
      </c>
      <c r="CN958" t="str">
        <f>"Calderon"</f>
        <v>Calderon</v>
      </c>
      <c r="CO958" t="str">
        <f>"Andrea"</f>
        <v>Andrea</v>
      </c>
      <c r="CP958" t="str">
        <f>"C"</f>
        <v>C</v>
      </c>
      <c r="CQ958" t="str">
        <f>"Berry Appleman and Leiden LLP "</f>
        <v xml:space="preserve">Berry Appleman and Leiden LLP </v>
      </c>
      <c r="CR958" t="s">
        <v>2214</v>
      </c>
    </row>
    <row r="959" spans="1:96" x14ac:dyDescent="0.2">
      <c r="A959" t="s">
        <v>10616</v>
      </c>
      <c r="B959" t="s">
        <v>96</v>
      </c>
      <c r="C959" s="1">
        <v>44098</v>
      </c>
      <c r="D959" s="1">
        <v>44105</v>
      </c>
      <c r="F959" t="s">
        <v>97</v>
      </c>
      <c r="G959" t="str">
        <f>"Infectious Disease Physician"</f>
        <v>Infectious Disease Physician</v>
      </c>
      <c r="H959" t="s">
        <v>12207</v>
      </c>
      <c r="I959" t="s">
        <v>997</v>
      </c>
      <c r="J959" t="s">
        <v>98</v>
      </c>
      <c r="K959" s="1">
        <v>44271</v>
      </c>
      <c r="L959" s="1">
        <v>45366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 t="s">
        <v>10617</v>
      </c>
      <c r="U959" t="str">
        <f>"UnityPoint Clinic"</f>
        <v>UnityPoint Clinic</v>
      </c>
      <c r="V959" t="s">
        <v>5182</v>
      </c>
      <c r="W959" t="str">
        <f>"Ste. 400"</f>
        <v>Ste. 400</v>
      </c>
      <c r="X959" t="s">
        <v>3829</v>
      </c>
      <c r="Y959" t="s">
        <v>608</v>
      </c>
      <c r="Z959" s="3">
        <v>50266</v>
      </c>
      <c r="AA959" t="s">
        <v>101</v>
      </c>
      <c r="AC959" s="4" t="str">
        <f>"+15154719770"</f>
        <v>+15154719770</v>
      </c>
      <c r="AE959" t="str">
        <f>"621111"</f>
        <v>621111</v>
      </c>
      <c r="AF959" t="s">
        <v>10618</v>
      </c>
      <c r="AG959" t="s">
        <v>464</v>
      </c>
      <c r="AI959" t="s">
        <v>5181</v>
      </c>
      <c r="AJ959" t="s">
        <v>5182</v>
      </c>
      <c r="AK959" t="str">
        <f>"Ste 400"</f>
        <v>Ste 400</v>
      </c>
      <c r="AL959" t="s">
        <v>3829</v>
      </c>
      <c r="AM959" t="s">
        <v>608</v>
      </c>
      <c r="AN959" s="3">
        <v>50266</v>
      </c>
      <c r="AO959" t="s">
        <v>101</v>
      </c>
      <c r="AQ959" t="str">
        <f>"+15154719204"</f>
        <v>+15154719204</v>
      </c>
      <c r="AS959" t="s">
        <v>10619</v>
      </c>
      <c r="AT959" t="s">
        <v>107</v>
      </c>
      <c r="AU959" t="str">
        <f>"Chesser"</f>
        <v>Chesser</v>
      </c>
      <c r="AV959" t="str">
        <f>"Lori"</f>
        <v>Lori</v>
      </c>
      <c r="AW959" t="str">
        <f>"T."</f>
        <v>T.</v>
      </c>
      <c r="AX959" t="str">
        <f>"215 10th Street"</f>
        <v>215 10th Street</v>
      </c>
      <c r="AY959" t="str">
        <f>"Suite 1300"</f>
        <v>Suite 1300</v>
      </c>
      <c r="AZ959" t="str">
        <f>"Des Moines"</f>
        <v>Des Moines</v>
      </c>
      <c r="BA959" t="str">
        <f>"IA"</f>
        <v>IA</v>
      </c>
      <c r="BB959" s="3">
        <v>50309</v>
      </c>
      <c r="BC959" t="str">
        <f t="shared" si="72"/>
        <v>UNITED STATES OF AMERICA</v>
      </c>
      <c r="BD959" t="str">
        <f>""</f>
        <v/>
      </c>
      <c r="BE959" t="str">
        <f>"+15152882500"</f>
        <v>+15152882500</v>
      </c>
      <c r="BF959" t="str">
        <f>""</f>
        <v/>
      </c>
      <c r="BG959" t="str">
        <f>"lorichesser@davisbrownlaw.com"</f>
        <v>lorichesser@davisbrownlaw.com</v>
      </c>
      <c r="BH959" t="str">
        <f>"Davis Brown Law Firm"</f>
        <v>Davis Brown Law Firm</v>
      </c>
      <c r="BI959" t="str">
        <f>"IA"</f>
        <v>IA</v>
      </c>
      <c r="BJ959" t="str">
        <f>"Supreme Court of Iowa"</f>
        <v>Supreme Court of Iowa</v>
      </c>
      <c r="BK959">
        <v>1</v>
      </c>
      <c r="BL959" t="s">
        <v>102</v>
      </c>
      <c r="BM959" t="str">
        <f>""</f>
        <v/>
      </c>
      <c r="BN959" t="s">
        <v>10620</v>
      </c>
      <c r="BO959" t="s">
        <v>2641</v>
      </c>
      <c r="BP959" t="s">
        <v>6833</v>
      </c>
      <c r="BQ959" t="s">
        <v>4060</v>
      </c>
      <c r="BR959" t="s">
        <v>608</v>
      </c>
      <c r="BS959" s="5">
        <v>52722</v>
      </c>
      <c r="BT959" s="2">
        <v>3500000</v>
      </c>
      <c r="BV959" t="s">
        <v>105</v>
      </c>
      <c r="BW959" s="2">
        <v>119371</v>
      </c>
      <c r="BX959" t="s">
        <v>105</v>
      </c>
      <c r="BZ959" t="s">
        <v>123</v>
      </c>
      <c r="CA959" t="str">
        <f t="shared" si="73"/>
        <v>7/1/2020 - 6/30/2021</v>
      </c>
      <c r="CF959">
        <v>2</v>
      </c>
      <c r="CG959" t="s">
        <v>98</v>
      </c>
      <c r="CH959" t="s">
        <v>206</v>
      </c>
      <c r="CI959" t="s">
        <v>206</v>
      </c>
      <c r="CL959" t="s">
        <v>108</v>
      </c>
      <c r="CM959" t="s">
        <v>109</v>
      </c>
      <c r="CN959" t="str">
        <f>"Chesser"</f>
        <v>Chesser</v>
      </c>
      <c r="CO959" t="str">
        <f>"Lori"</f>
        <v>Lori</v>
      </c>
      <c r="CP959" t="str">
        <f>"T"</f>
        <v>T</v>
      </c>
      <c r="CQ959" t="str">
        <f>"Davis Brown Law Firm"</f>
        <v>Davis Brown Law Firm</v>
      </c>
      <c r="CR959" t="s">
        <v>2568</v>
      </c>
    </row>
    <row r="960" spans="1:96" x14ac:dyDescent="0.2">
      <c r="A960" t="s">
        <v>10621</v>
      </c>
      <c r="B960" t="s">
        <v>96</v>
      </c>
      <c r="C960" s="1">
        <v>44098</v>
      </c>
      <c r="D960" s="1">
        <v>44105</v>
      </c>
      <c r="F960" t="s">
        <v>97</v>
      </c>
      <c r="G960" t="str">
        <f>"ADVANCED SOFTWARE DEVELOPER"</f>
        <v>ADVANCED SOFTWARE DEVELOPER</v>
      </c>
      <c r="H960" t="s">
        <v>12169</v>
      </c>
      <c r="I960" t="s">
        <v>124</v>
      </c>
      <c r="J960" t="s">
        <v>98</v>
      </c>
      <c r="K960" s="1">
        <v>44099</v>
      </c>
      <c r="L960" s="1">
        <v>45193</v>
      </c>
      <c r="M960">
        <v>10</v>
      </c>
      <c r="N960">
        <v>2</v>
      </c>
      <c r="O960">
        <v>2</v>
      </c>
      <c r="P960">
        <v>2</v>
      </c>
      <c r="Q960">
        <v>0</v>
      </c>
      <c r="R960">
        <v>2</v>
      </c>
      <c r="S960">
        <v>2</v>
      </c>
      <c r="T960" t="s">
        <v>2068</v>
      </c>
      <c r="U960" t="str">
        <f>""</f>
        <v/>
      </c>
      <c r="V960" t="s">
        <v>2069</v>
      </c>
      <c r="W960" t="str">
        <f>""</f>
        <v/>
      </c>
      <c r="X960" t="s">
        <v>1025</v>
      </c>
      <c r="Y960" t="s">
        <v>577</v>
      </c>
      <c r="Z960" s="3">
        <v>33605</v>
      </c>
      <c r="AA960" t="s">
        <v>101</v>
      </c>
      <c r="AC960" s="4" t="str">
        <f>"+18135525000"</f>
        <v>+18135525000</v>
      </c>
      <c r="AE960" t="str">
        <f>"5416"</f>
        <v>5416</v>
      </c>
      <c r="AF960" t="s">
        <v>2070</v>
      </c>
      <c r="AG960" t="s">
        <v>2071</v>
      </c>
      <c r="AI960" t="s">
        <v>497</v>
      </c>
      <c r="AJ960" t="s">
        <v>2072</v>
      </c>
      <c r="AK960" t="str">
        <f>""</f>
        <v/>
      </c>
      <c r="AL960" t="s">
        <v>1025</v>
      </c>
      <c r="AM960" t="s">
        <v>577</v>
      </c>
      <c r="AN960" s="3">
        <v>33605</v>
      </c>
      <c r="AO960" t="s">
        <v>101</v>
      </c>
      <c r="AQ960" t="str">
        <f>"+18135525000"</f>
        <v>+18135525000</v>
      </c>
      <c r="AS960" t="s">
        <v>2073</v>
      </c>
      <c r="AT960" t="s">
        <v>107</v>
      </c>
      <c r="AU960" t="str">
        <f>"WHITE "</f>
        <v xml:space="preserve">WHITE </v>
      </c>
      <c r="AV960" t="str">
        <f>"ROBERT"</f>
        <v>ROBERT</v>
      </c>
      <c r="AW960" t="str">
        <f>"SAMUEL"</f>
        <v>SAMUEL</v>
      </c>
      <c r="AX960" t="str">
        <f>"200 N MARTINGALE ROAD"</f>
        <v>200 N MARTINGALE ROAD</v>
      </c>
      <c r="AY960" t="str">
        <f>"SUITE 800"</f>
        <v>SUITE 800</v>
      </c>
      <c r="AZ960" t="str">
        <f>"SCHAUMBURG"</f>
        <v>SCHAUMBURG</v>
      </c>
      <c r="BA960" t="str">
        <f>"IL"</f>
        <v>IL</v>
      </c>
      <c r="BB960" s="3">
        <v>60173</v>
      </c>
      <c r="BC960" t="str">
        <f t="shared" si="72"/>
        <v>UNITED STATES OF AMERICA</v>
      </c>
      <c r="BD960" t="str">
        <f>""</f>
        <v/>
      </c>
      <c r="BE960" t="str">
        <f>"+18477348811"</f>
        <v>+18477348811</v>
      </c>
      <c r="BF960" t="str">
        <f>""</f>
        <v/>
      </c>
      <c r="BG960" t="str">
        <f>"RWHITE@MASUDAFUNAI.COM"</f>
        <v>RWHITE@MASUDAFUNAI.COM</v>
      </c>
      <c r="BH960" t="str">
        <f>"Masuda Funai Eifert &amp; Mitchell, Ltd."</f>
        <v>Masuda Funai Eifert &amp; Mitchell, Ltd.</v>
      </c>
      <c r="BI960" t="str">
        <f>"IL"</f>
        <v>IL</v>
      </c>
      <c r="BJ960" t="str">
        <f>"SUPREME COURT"</f>
        <v>SUPREME COURT</v>
      </c>
      <c r="BK960">
        <v>10</v>
      </c>
      <c r="BL960" t="s">
        <v>107</v>
      </c>
      <c r="BM960" t="str">
        <f>"ALLY FINANCIAL, INC."</f>
        <v>ALLY FINANCIAL, INC.</v>
      </c>
      <c r="BN960" t="s">
        <v>5856</v>
      </c>
      <c r="BP960" t="s">
        <v>528</v>
      </c>
      <c r="BQ960" t="s">
        <v>533</v>
      </c>
      <c r="BR960" t="s">
        <v>265</v>
      </c>
      <c r="BS960" s="5">
        <v>48226</v>
      </c>
      <c r="BT960" s="2">
        <v>45.75</v>
      </c>
      <c r="BU960" s="2">
        <v>90</v>
      </c>
      <c r="BV960" t="s">
        <v>210</v>
      </c>
      <c r="BW960" s="2">
        <v>45.75</v>
      </c>
      <c r="BX960" t="s">
        <v>210</v>
      </c>
      <c r="BZ960" t="s">
        <v>123</v>
      </c>
      <c r="CA960" t="str">
        <f t="shared" si="73"/>
        <v>7/1/2020 - 6/30/2021</v>
      </c>
      <c r="CF960">
        <v>2</v>
      </c>
      <c r="CG960" t="s">
        <v>98</v>
      </c>
      <c r="CH960" t="s">
        <v>206</v>
      </c>
      <c r="CI960" t="s">
        <v>206</v>
      </c>
      <c r="CL960" t="s">
        <v>108</v>
      </c>
      <c r="CM960" t="s">
        <v>109</v>
      </c>
      <c r="CN960" t="str">
        <f>""</f>
        <v/>
      </c>
      <c r="CO960" t="str">
        <f>""</f>
        <v/>
      </c>
      <c r="CP960" t="str">
        <f>""</f>
        <v/>
      </c>
      <c r="CQ960" t="str">
        <f>""</f>
        <v/>
      </c>
    </row>
    <row r="961" spans="1:96" x14ac:dyDescent="0.2">
      <c r="A961" t="s">
        <v>10632</v>
      </c>
      <c r="B961" t="s">
        <v>96</v>
      </c>
      <c r="C961" s="1">
        <v>44098</v>
      </c>
      <c r="D961" s="1">
        <v>44105</v>
      </c>
      <c r="F961" t="s">
        <v>97</v>
      </c>
      <c r="G961" t="str">
        <f>"PRINCIPAL SOFTWARE ENGINEER - IT "</f>
        <v xml:space="preserve">PRINCIPAL SOFTWARE ENGINEER - IT </v>
      </c>
      <c r="H961" t="s">
        <v>12168</v>
      </c>
      <c r="I961" t="s">
        <v>160</v>
      </c>
      <c r="J961" t="s">
        <v>98</v>
      </c>
      <c r="K961" s="1">
        <v>44244</v>
      </c>
      <c r="L961" s="1">
        <v>45338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 t="s">
        <v>8533</v>
      </c>
      <c r="U961" t="str">
        <f>""</f>
        <v/>
      </c>
      <c r="V961" t="s">
        <v>4264</v>
      </c>
      <c r="W961" t="str">
        <f>""</f>
        <v/>
      </c>
      <c r="X961" t="s">
        <v>4109</v>
      </c>
      <c r="Y961" t="s">
        <v>114</v>
      </c>
      <c r="Z961" s="3">
        <v>78682</v>
      </c>
      <c r="AA961" t="s">
        <v>101</v>
      </c>
      <c r="AC961" s="4" t="str">
        <f>"+15127281627"</f>
        <v>+15127281627</v>
      </c>
      <c r="AE961" t="str">
        <f>"42343"</f>
        <v>42343</v>
      </c>
      <c r="AF961" t="s">
        <v>4265</v>
      </c>
      <c r="AG961" t="s">
        <v>10633</v>
      </c>
      <c r="AI961" t="s">
        <v>4267</v>
      </c>
      <c r="AJ961" t="s">
        <v>4264</v>
      </c>
      <c r="AK961" t="str">
        <f>""</f>
        <v/>
      </c>
      <c r="AL961" t="s">
        <v>4109</v>
      </c>
      <c r="AM961" t="s">
        <v>114</v>
      </c>
      <c r="AN961" s="3">
        <v>78682</v>
      </c>
      <c r="AO961" t="s">
        <v>101</v>
      </c>
      <c r="AQ961" t="str">
        <f>"+15127281627"</f>
        <v>+15127281627</v>
      </c>
      <c r="AS961" t="s">
        <v>108</v>
      </c>
      <c r="AT961" t="s">
        <v>107</v>
      </c>
      <c r="AU961" t="str">
        <f>"SHEPHERD"</f>
        <v>SHEPHERD</v>
      </c>
      <c r="AV961" t="str">
        <f>"PHILIP"</f>
        <v>PHILIP</v>
      </c>
      <c r="AW961" t="str">
        <f>"A."</f>
        <v>A.</v>
      </c>
      <c r="AX961" t="str">
        <f>"191 PEACHTREE STREET N.E."</f>
        <v>191 PEACHTREE STREET N.E.</v>
      </c>
      <c r="AY961" t="str">
        <f>"SUITE 4800"</f>
        <v>SUITE 4800</v>
      </c>
      <c r="AZ961" t="str">
        <f>"ATLANTA"</f>
        <v>ATLANTA</v>
      </c>
      <c r="BA961" t="str">
        <f>"GA"</f>
        <v>GA</v>
      </c>
      <c r="BB961" s="3">
        <v>30303</v>
      </c>
      <c r="BC961" t="str">
        <f t="shared" si="72"/>
        <v>UNITED STATES OF AMERICA</v>
      </c>
      <c r="BD961" t="str">
        <f>""</f>
        <v/>
      </c>
      <c r="BE961" t="str">
        <f>"+14048811300"</f>
        <v>+14048811300</v>
      </c>
      <c r="BF961" t="str">
        <f>""</f>
        <v/>
      </c>
      <c r="BG961" t="str">
        <f>"COREY.LAWRENCE@OGLETREEDEAKINS.COM"</f>
        <v>COREY.LAWRENCE@OGLETREEDEAKINS.COM</v>
      </c>
      <c r="BH961" t="str">
        <f>"OGLETREE, DEAKINS, NASH, SMOAK &amp; STEWART P.C. "</f>
        <v xml:space="preserve">OGLETREE, DEAKINS, NASH, SMOAK &amp; STEWART P.C. </v>
      </c>
      <c r="BI961" t="str">
        <f>"GA"</f>
        <v>GA</v>
      </c>
      <c r="BJ961" t="str">
        <f>"GEORGIA SUPREME COURT "</f>
        <v xml:space="preserve">GEORGIA SUPREME COURT </v>
      </c>
      <c r="BK961">
        <v>1</v>
      </c>
      <c r="BL961" t="s">
        <v>102</v>
      </c>
      <c r="BM961" t="str">
        <f>""</f>
        <v/>
      </c>
      <c r="BN961" t="s">
        <v>7130</v>
      </c>
      <c r="BP961" t="s">
        <v>4109</v>
      </c>
      <c r="BQ961" t="s">
        <v>668</v>
      </c>
      <c r="BR961" t="s">
        <v>114</v>
      </c>
      <c r="BS961" s="5">
        <v>78682</v>
      </c>
      <c r="BT961" s="2">
        <v>107665</v>
      </c>
      <c r="BV961" t="s">
        <v>105</v>
      </c>
      <c r="BW961" s="2">
        <v>102606</v>
      </c>
      <c r="BX961" t="s">
        <v>105</v>
      </c>
      <c r="BZ961" t="s">
        <v>159</v>
      </c>
      <c r="CA961" t="str">
        <f t="shared" si="73"/>
        <v>7/1/2020 - 6/30/2021</v>
      </c>
      <c r="CF961">
        <v>2</v>
      </c>
      <c r="CG961" t="s">
        <v>98</v>
      </c>
      <c r="CH961" t="s">
        <v>206</v>
      </c>
      <c r="CI961" t="s">
        <v>206</v>
      </c>
      <c r="CL961" t="s">
        <v>108</v>
      </c>
      <c r="CM961" t="s">
        <v>109</v>
      </c>
      <c r="CN961" t="str">
        <f>"SHEPHERD"</f>
        <v>SHEPHERD</v>
      </c>
      <c r="CO961" t="str">
        <f>"PHILIP"</f>
        <v>PHILIP</v>
      </c>
      <c r="CP961" t="str">
        <f>"A"</f>
        <v>A</v>
      </c>
      <c r="CQ961" t="str">
        <f>"OGLETREE, DEAKINS, NASH, SMOAK &amp; STEWART P.C. "</f>
        <v xml:space="preserve">OGLETREE, DEAKINS, NASH, SMOAK &amp; STEWART P.C. </v>
      </c>
      <c r="CR961" t="s">
        <v>5019</v>
      </c>
    </row>
    <row r="962" spans="1:96" x14ac:dyDescent="0.2">
      <c r="A962" t="s">
        <v>10634</v>
      </c>
      <c r="B962" t="s">
        <v>96</v>
      </c>
      <c r="C962" s="1">
        <v>44098</v>
      </c>
      <c r="D962" s="1">
        <v>44105</v>
      </c>
      <c r="F962" t="s">
        <v>97</v>
      </c>
      <c r="G962" t="str">
        <f>"Management Analyst"</f>
        <v>Management Analyst</v>
      </c>
      <c r="H962" t="s">
        <v>12214</v>
      </c>
      <c r="I962" t="s">
        <v>276</v>
      </c>
      <c r="J962" t="s">
        <v>98</v>
      </c>
      <c r="K962" s="1">
        <v>44105</v>
      </c>
      <c r="L962" s="1">
        <v>45199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10635</v>
      </c>
      <c r="U962" t="str">
        <f>""</f>
        <v/>
      </c>
      <c r="V962" t="s">
        <v>10636</v>
      </c>
      <c r="W962" t="str">
        <f>""</f>
        <v/>
      </c>
      <c r="X962" t="s">
        <v>7780</v>
      </c>
      <c r="Y962" t="s">
        <v>141</v>
      </c>
      <c r="Z962" s="3">
        <v>94550</v>
      </c>
      <c r="AA962" t="s">
        <v>101</v>
      </c>
      <c r="AC962" s="4" t="str">
        <f>"+19254562997"</f>
        <v>+19254562997</v>
      </c>
      <c r="AE962" t="str">
        <f>"238210"</f>
        <v>238210</v>
      </c>
      <c r="AF962" t="s">
        <v>10637</v>
      </c>
      <c r="AG962" t="s">
        <v>10638</v>
      </c>
      <c r="AH962" t="s">
        <v>10639</v>
      </c>
      <c r="AI962" t="s">
        <v>2105</v>
      </c>
      <c r="AJ962" t="s">
        <v>10640</v>
      </c>
      <c r="AK962" t="str">
        <f>""</f>
        <v/>
      </c>
      <c r="AL962" t="s">
        <v>7780</v>
      </c>
      <c r="AM962" t="s">
        <v>141</v>
      </c>
      <c r="AN962" s="3">
        <v>94550</v>
      </c>
      <c r="AO962" t="s">
        <v>101</v>
      </c>
      <c r="AQ962" t="str">
        <f>"+19259802799"</f>
        <v>+19259802799</v>
      </c>
      <c r="AS962" t="s">
        <v>10641</v>
      </c>
      <c r="AT962" t="s">
        <v>107</v>
      </c>
      <c r="AU962" t="str">
        <f>"D'Andrea"</f>
        <v>D'Andrea</v>
      </c>
      <c r="AV962" t="str">
        <f>"Robert"</f>
        <v>Robert</v>
      </c>
      <c r="AW962" t="str">
        <f>""</f>
        <v/>
      </c>
      <c r="AX962" t="str">
        <f>"510 S Grand Ave, Suite 203"</f>
        <v>510 S Grand Ave, Suite 203</v>
      </c>
      <c r="AY962" t="str">
        <f>""</f>
        <v/>
      </c>
      <c r="AZ962" t="str">
        <f>"Glendora"</f>
        <v>Glendora</v>
      </c>
      <c r="BA962" t="str">
        <f>"CA"</f>
        <v>CA</v>
      </c>
      <c r="BB962" s="3">
        <v>91741</v>
      </c>
      <c r="BC962" t="str">
        <f t="shared" si="72"/>
        <v>UNITED STATES OF AMERICA</v>
      </c>
      <c r="BD962" t="str">
        <f>""</f>
        <v/>
      </c>
      <c r="BE962" t="str">
        <f>"+16268528600"</f>
        <v>+16268528600</v>
      </c>
      <c r="BF962" t="str">
        <f>""</f>
        <v/>
      </c>
      <c r="BG962" t="str">
        <f>"robert@dandrealaw.com"</f>
        <v>robert@dandrealaw.com</v>
      </c>
      <c r="BH962" t="str">
        <f>"D'Andrea Law Corporation"</f>
        <v>D'Andrea Law Corporation</v>
      </c>
      <c r="BI962" t="str">
        <f>"DC"</f>
        <v>DC</v>
      </c>
      <c r="BJ962" t="str">
        <f>"DC Court of Appeals"</f>
        <v>DC Court of Appeals</v>
      </c>
      <c r="BK962">
        <v>1</v>
      </c>
      <c r="BL962" t="s">
        <v>102</v>
      </c>
      <c r="BM962" t="str">
        <f>""</f>
        <v/>
      </c>
      <c r="BN962" t="s">
        <v>10642</v>
      </c>
      <c r="BP962" t="s">
        <v>7780</v>
      </c>
      <c r="BQ962" t="s">
        <v>419</v>
      </c>
      <c r="BR962" t="s">
        <v>141</v>
      </c>
      <c r="BS962" s="5">
        <v>94550</v>
      </c>
      <c r="BT962" s="2">
        <v>65000</v>
      </c>
      <c r="BV962" t="s">
        <v>105</v>
      </c>
      <c r="BW962" s="2">
        <v>64563</v>
      </c>
      <c r="BX962" t="s">
        <v>105</v>
      </c>
      <c r="BZ962" t="s">
        <v>191</v>
      </c>
      <c r="CA962" t="str">
        <f t="shared" si="73"/>
        <v>7/1/2020 - 6/30/2021</v>
      </c>
      <c r="CF962">
        <v>1</v>
      </c>
      <c r="CG962" t="s">
        <v>98</v>
      </c>
      <c r="CH962" t="s">
        <v>206</v>
      </c>
      <c r="CI962" t="s">
        <v>206</v>
      </c>
      <c r="CL962" t="s">
        <v>108</v>
      </c>
      <c r="CM962" t="s">
        <v>109</v>
      </c>
      <c r="CN962" t="str">
        <f>""</f>
        <v/>
      </c>
      <c r="CO962" t="str">
        <f>""</f>
        <v/>
      </c>
      <c r="CP962" t="str">
        <f>""</f>
        <v/>
      </c>
      <c r="CQ962" t="str">
        <f>""</f>
        <v/>
      </c>
    </row>
    <row r="963" spans="1:96" x14ac:dyDescent="0.2">
      <c r="A963" t="s">
        <v>10644</v>
      </c>
      <c r="B963" t="s">
        <v>96</v>
      </c>
      <c r="C963" s="1">
        <v>44098</v>
      </c>
      <c r="D963" s="1">
        <v>44105</v>
      </c>
      <c r="F963" t="s">
        <v>97</v>
      </c>
      <c r="G963" t="str">
        <f>"SENIOR SOFTWARE ENGINEER"</f>
        <v>SENIOR SOFTWARE ENGINEER</v>
      </c>
      <c r="H963" t="s">
        <v>12169</v>
      </c>
      <c r="I963" t="s">
        <v>124</v>
      </c>
      <c r="J963" t="s">
        <v>98</v>
      </c>
      <c r="K963" s="1">
        <v>44281</v>
      </c>
      <c r="L963" s="1">
        <v>45376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 t="s">
        <v>3582</v>
      </c>
      <c r="U963" t="str">
        <f>""</f>
        <v/>
      </c>
      <c r="V963" t="s">
        <v>3583</v>
      </c>
      <c r="W963" t="str">
        <f>"4 Copley Place"</f>
        <v>4 Copley Place</v>
      </c>
      <c r="X963" t="s">
        <v>207</v>
      </c>
      <c r="Y963" t="s">
        <v>171</v>
      </c>
      <c r="Z963" s="3">
        <v>2116</v>
      </c>
      <c r="AA963" t="s">
        <v>101</v>
      </c>
      <c r="AC963" s="4" t="str">
        <f>"+18573153115"</f>
        <v>+18573153115</v>
      </c>
      <c r="AE963" t="str">
        <f>"454110"</f>
        <v>454110</v>
      </c>
      <c r="AF963" t="s">
        <v>3584</v>
      </c>
      <c r="AG963" t="s">
        <v>567</v>
      </c>
      <c r="AI963" t="s">
        <v>937</v>
      </c>
      <c r="AJ963" t="s">
        <v>3585</v>
      </c>
      <c r="AK963" t="str">
        <f>"4 COPLEY PLACE"</f>
        <v>4 COPLEY PLACE</v>
      </c>
      <c r="AL963" t="s">
        <v>951</v>
      </c>
      <c r="AM963" t="s">
        <v>171</v>
      </c>
      <c r="AN963" s="3">
        <v>2116</v>
      </c>
      <c r="AO963" t="s">
        <v>101</v>
      </c>
      <c r="AQ963" t="str">
        <f>"+18573153115"</f>
        <v>+18573153115</v>
      </c>
      <c r="AS963" t="s">
        <v>3586</v>
      </c>
      <c r="AT963" t="s">
        <v>107</v>
      </c>
      <c r="AU963" t="str">
        <f>"Wilson"</f>
        <v>Wilson</v>
      </c>
      <c r="AV963" t="str">
        <f>"Mariah"</f>
        <v>Mariah</v>
      </c>
      <c r="AW963" t="str">
        <f>"G"</f>
        <v>G</v>
      </c>
      <c r="AX963" t="str">
        <f>"100 High Street"</f>
        <v>100 High Street</v>
      </c>
      <c r="AY963" t="str">
        <f>"3rd Floor"</f>
        <v>3rd Floor</v>
      </c>
      <c r="AZ963" t="str">
        <f>"Boston"</f>
        <v>Boston</v>
      </c>
      <c r="BA963" t="str">
        <f>"MA"</f>
        <v>MA</v>
      </c>
      <c r="BB963" s="3">
        <v>2110</v>
      </c>
      <c r="BC963" t="str">
        <f t="shared" si="72"/>
        <v>UNITED STATES OF AMERICA</v>
      </c>
      <c r="BD963" t="str">
        <f>""</f>
        <v/>
      </c>
      <c r="BE963" t="str">
        <f>"+16175740400"</f>
        <v>+16175740400</v>
      </c>
      <c r="BF963" t="str">
        <f>""</f>
        <v/>
      </c>
      <c r="BG963" t="str">
        <f>"wayfair@fragomen.com"</f>
        <v>wayfair@fragomen.com</v>
      </c>
      <c r="BH963" t="str">
        <f>"Fragomen, Del Rey, Bernsen, &amp; Loewy, LLP"</f>
        <v>Fragomen, Del Rey, Bernsen, &amp; Loewy, LLP</v>
      </c>
      <c r="BI963" t="str">
        <f>"MA"</f>
        <v>MA</v>
      </c>
      <c r="BJ963" t="str">
        <f>"Supreme Judicial Court"</f>
        <v>Supreme Judicial Court</v>
      </c>
      <c r="BK963">
        <v>1</v>
      </c>
      <c r="BL963" t="s">
        <v>102</v>
      </c>
      <c r="BM963" t="str">
        <f>""</f>
        <v/>
      </c>
      <c r="BN963" t="s">
        <v>3585</v>
      </c>
      <c r="BO963" t="s">
        <v>4632</v>
      </c>
      <c r="BP963" t="s">
        <v>951</v>
      </c>
      <c r="BQ963" t="s">
        <v>209</v>
      </c>
      <c r="BR963" t="s">
        <v>171</v>
      </c>
      <c r="BS963" s="5">
        <v>2116</v>
      </c>
      <c r="BT963" s="2">
        <v>143000</v>
      </c>
      <c r="BV963" t="s">
        <v>105</v>
      </c>
      <c r="BW963" s="2">
        <v>115939</v>
      </c>
      <c r="BX963" t="s">
        <v>105</v>
      </c>
      <c r="BZ963" t="s">
        <v>123</v>
      </c>
      <c r="CA963" t="str">
        <f t="shared" si="73"/>
        <v>7/1/2020 - 6/30/2021</v>
      </c>
      <c r="CF963">
        <v>3</v>
      </c>
      <c r="CG963" t="s">
        <v>98</v>
      </c>
      <c r="CH963" t="s">
        <v>206</v>
      </c>
      <c r="CI963" t="s">
        <v>206</v>
      </c>
      <c r="CL963" t="s">
        <v>108</v>
      </c>
      <c r="CM963" t="s">
        <v>109</v>
      </c>
      <c r="CN963" t="str">
        <f>"MENON"</f>
        <v>MENON</v>
      </c>
      <c r="CO963" t="str">
        <f>"ANAND"</f>
        <v>ANAND</v>
      </c>
      <c r="CP963" t="str">
        <f>""</f>
        <v/>
      </c>
      <c r="CQ963" t="str">
        <f>"FRAGOMEN, DEL REY, BERNSEN, &amp; LOEWY, LLP"</f>
        <v>FRAGOMEN, DEL REY, BERNSEN, &amp; LOEWY, LLP</v>
      </c>
      <c r="CR963" t="s">
        <v>4633</v>
      </c>
    </row>
    <row r="964" spans="1:96" x14ac:dyDescent="0.2">
      <c r="A964" t="s">
        <v>10653</v>
      </c>
      <c r="B964" t="s">
        <v>96</v>
      </c>
      <c r="C964" s="1">
        <v>44098</v>
      </c>
      <c r="D964" s="1">
        <v>44105</v>
      </c>
      <c r="F964" t="s">
        <v>97</v>
      </c>
      <c r="G964" t="str">
        <f>"SENIOR SCRUM MASTER"</f>
        <v>SENIOR SCRUM MASTER</v>
      </c>
      <c r="H964" t="s">
        <v>12169</v>
      </c>
      <c r="I964" t="s">
        <v>124</v>
      </c>
      <c r="J964" t="s">
        <v>98</v>
      </c>
      <c r="K964" s="1">
        <v>44130</v>
      </c>
      <c r="L964" s="1">
        <v>45224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 t="s">
        <v>6822</v>
      </c>
      <c r="U964" t="str">
        <f>""</f>
        <v/>
      </c>
      <c r="V964" t="s">
        <v>6823</v>
      </c>
      <c r="W964" t="str">
        <f>""</f>
        <v/>
      </c>
      <c r="X964" t="s">
        <v>998</v>
      </c>
      <c r="Y964" t="s">
        <v>122</v>
      </c>
      <c r="Z964" s="3">
        <v>28202</v>
      </c>
      <c r="AA964" t="s">
        <v>101</v>
      </c>
      <c r="AC964" s="4" t="str">
        <f>"+16153918416"</f>
        <v>+16153918416</v>
      </c>
      <c r="AE964" t="str">
        <f>"522110"</f>
        <v>522110</v>
      </c>
      <c r="AF964" t="s">
        <v>2080</v>
      </c>
      <c r="AG964" t="s">
        <v>3160</v>
      </c>
      <c r="AH964" t="s">
        <v>1576</v>
      </c>
      <c r="AI964" t="s">
        <v>6824</v>
      </c>
      <c r="AJ964" t="s">
        <v>6825</v>
      </c>
      <c r="AK964" t="str">
        <f>""</f>
        <v/>
      </c>
      <c r="AL964" t="s">
        <v>1369</v>
      </c>
      <c r="AM964" t="s">
        <v>545</v>
      </c>
      <c r="AN964" s="3">
        <v>37214</v>
      </c>
      <c r="AO964" t="s">
        <v>101</v>
      </c>
      <c r="AQ964" t="str">
        <f>"+16153918416"</f>
        <v>+16153918416</v>
      </c>
      <c r="AS964" t="s">
        <v>6826</v>
      </c>
      <c r="AT964" t="s">
        <v>107</v>
      </c>
      <c r="AU964" t="str">
        <f>"BRADSHAW"</f>
        <v>BRADSHAW</v>
      </c>
      <c r="AV964" t="str">
        <f>"PENNI"</f>
        <v>PENNI</v>
      </c>
      <c r="AW964" t="str">
        <f>"PEARSON"</f>
        <v>PEARSON</v>
      </c>
      <c r="AX964" t="str">
        <f>"100 N. CHERRY ST."</f>
        <v>100 N. CHERRY ST.</v>
      </c>
      <c r="AY964" t="str">
        <f>"STE. 300"</f>
        <v>STE. 300</v>
      </c>
      <c r="AZ964" t="str">
        <f>"WINSTON-SALEM"</f>
        <v>WINSTON-SALEM</v>
      </c>
      <c r="BA964" t="str">
        <f>"NC"</f>
        <v>NC</v>
      </c>
      <c r="BB964" s="3">
        <v>27101</v>
      </c>
      <c r="BC964" t="str">
        <f t="shared" si="72"/>
        <v>UNITED STATES OF AMERICA</v>
      </c>
      <c r="BD964" t="str">
        <f>""</f>
        <v/>
      </c>
      <c r="BE964" t="str">
        <f>"+13367216842"</f>
        <v>+13367216842</v>
      </c>
      <c r="BF964" t="str">
        <f>""</f>
        <v/>
      </c>
      <c r="BG964" t="str">
        <f>"AKNOWLES@CONSTANGY.COM"</f>
        <v>AKNOWLES@CONSTANGY.COM</v>
      </c>
      <c r="BH964" t="str">
        <f>"CONSTANGY, BROOKS, SMITH &amp; PROPHETE, LLP"</f>
        <v>CONSTANGY, BROOKS, SMITH &amp; PROPHETE, LLP</v>
      </c>
      <c r="BI964" t="str">
        <f>"NC"</f>
        <v>NC</v>
      </c>
      <c r="BJ964" t="str">
        <f>"SUPREME COURT"</f>
        <v>SUPREME COURT</v>
      </c>
      <c r="BK964">
        <v>1</v>
      </c>
      <c r="BL964" t="s">
        <v>102</v>
      </c>
      <c r="BM964" t="str">
        <f>""</f>
        <v/>
      </c>
      <c r="BN964" t="s">
        <v>6827</v>
      </c>
      <c r="BP964" t="s">
        <v>480</v>
      </c>
      <c r="BQ964" t="s">
        <v>214</v>
      </c>
      <c r="BR964" t="s">
        <v>215</v>
      </c>
      <c r="BS964" s="5">
        <v>30303</v>
      </c>
      <c r="BT964" s="2">
        <v>90000</v>
      </c>
      <c r="BU964" s="2">
        <v>110000</v>
      </c>
      <c r="BV964" t="s">
        <v>105</v>
      </c>
      <c r="BW964" s="2">
        <v>85842</v>
      </c>
      <c r="BX964" t="s">
        <v>105</v>
      </c>
      <c r="BZ964" t="s">
        <v>167</v>
      </c>
      <c r="CA964" t="str">
        <f t="shared" si="73"/>
        <v>7/1/2020 - 6/30/2021</v>
      </c>
      <c r="CF964">
        <v>2</v>
      </c>
      <c r="CG964" t="s">
        <v>98</v>
      </c>
      <c r="CH964" t="s">
        <v>206</v>
      </c>
      <c r="CI964" t="s">
        <v>206</v>
      </c>
      <c r="CL964" t="s">
        <v>108</v>
      </c>
      <c r="CM964" t="s">
        <v>109</v>
      </c>
      <c r="CN964" t="str">
        <f>"KNOWLES"</f>
        <v>KNOWLES</v>
      </c>
      <c r="CO964" t="str">
        <f>"ALICIA"</f>
        <v>ALICIA</v>
      </c>
      <c r="CP964" t="str">
        <f>"G"</f>
        <v>G</v>
      </c>
      <c r="CQ964" t="str">
        <f>"CONSTANGY, BROOKS, SMITH &amp; PROPHETE, LLP"</f>
        <v>CONSTANGY, BROOKS, SMITH &amp; PROPHETE, LLP</v>
      </c>
      <c r="CR964" t="s">
        <v>1610</v>
      </c>
    </row>
    <row r="965" spans="1:96" x14ac:dyDescent="0.2">
      <c r="A965" t="s">
        <v>10655</v>
      </c>
      <c r="B965" t="s">
        <v>96</v>
      </c>
      <c r="C965" s="1">
        <v>44098</v>
      </c>
      <c r="D965" s="1">
        <v>44105</v>
      </c>
      <c r="F965" t="s">
        <v>97</v>
      </c>
      <c r="G965" t="str">
        <f>"Architect"</f>
        <v>Architect</v>
      </c>
      <c r="H965" t="s">
        <v>12169</v>
      </c>
      <c r="I965" t="s">
        <v>124</v>
      </c>
      <c r="J965" t="s">
        <v>98</v>
      </c>
      <c r="K965" s="1">
        <v>44266</v>
      </c>
      <c r="L965" s="1">
        <v>45361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 t="s">
        <v>138</v>
      </c>
      <c r="U965" t="str">
        <f>""</f>
        <v/>
      </c>
      <c r="V965" t="s">
        <v>139</v>
      </c>
      <c r="W965" t="str">
        <f>""</f>
        <v/>
      </c>
      <c r="X965" t="s">
        <v>140</v>
      </c>
      <c r="Y965" t="s">
        <v>141</v>
      </c>
      <c r="Z965" s="3">
        <v>94105</v>
      </c>
      <c r="AA965" t="s">
        <v>101</v>
      </c>
      <c r="AC965" s="4" t="str">
        <f>"+14154234215"</f>
        <v>+14154234215</v>
      </c>
      <c r="AD965">
        <v>0</v>
      </c>
      <c r="AE965" t="str">
        <f>"541511"</f>
        <v>541511</v>
      </c>
      <c r="AF965" t="s">
        <v>142</v>
      </c>
      <c r="AG965" t="s">
        <v>143</v>
      </c>
      <c r="AI965" t="s">
        <v>144</v>
      </c>
      <c r="AJ965" t="s">
        <v>139</v>
      </c>
      <c r="AK965" t="str">
        <f>""</f>
        <v/>
      </c>
      <c r="AL965" t="s">
        <v>140</v>
      </c>
      <c r="AM965" t="s">
        <v>141</v>
      </c>
      <c r="AN965" s="3">
        <v>94105</v>
      </c>
      <c r="AO965" t="s">
        <v>101</v>
      </c>
      <c r="AQ965" t="str">
        <f>"+14154234215"</f>
        <v>+14154234215</v>
      </c>
      <c r="AR965">
        <v>0</v>
      </c>
      <c r="AS965" t="s">
        <v>145</v>
      </c>
      <c r="AT965" t="s">
        <v>107</v>
      </c>
      <c r="AU965" t="str">
        <f>"Twimasi  "</f>
        <v xml:space="preserve">Twimasi  </v>
      </c>
      <c r="AV965" t="str">
        <f>" Lucy   "</f>
        <v xml:space="preserve"> Lucy   </v>
      </c>
      <c r="AW965" t="str">
        <f>"Yaa  "</f>
        <v xml:space="preserve">Yaa  </v>
      </c>
      <c r="AX965" t="str">
        <f>"2101 Wilson Blvd"</f>
        <v>2101 Wilson Blvd</v>
      </c>
      <c r="AY965" t="str">
        <f>"Suite 1100"</f>
        <v>Suite 1100</v>
      </c>
      <c r="AZ965" t="str">
        <f>"Arlington"</f>
        <v>Arlington</v>
      </c>
      <c r="BA965" t="str">
        <f>"VA"</f>
        <v>VA</v>
      </c>
      <c r="BB965" s="3">
        <v>22201</v>
      </c>
      <c r="BC965" t="str">
        <f t="shared" si="72"/>
        <v>UNITED STATES OF AMERICA</v>
      </c>
      <c r="BD965" t="str">
        <f>"VIRGINIA"</f>
        <v>VIRGINIA</v>
      </c>
      <c r="BE965" t="str">
        <f>"+17036784000"</f>
        <v>+17036784000</v>
      </c>
      <c r="BF965" t="str">
        <f>""</f>
        <v/>
      </c>
      <c r="BG965" t="str">
        <f>"lucy@eiglaw.com"</f>
        <v>lucy@eiglaw.com</v>
      </c>
      <c r="BH965" t="str">
        <f>"Erickson Immigration Group"</f>
        <v>Erickson Immigration Group</v>
      </c>
      <c r="BI965" t="str">
        <f>"VA"</f>
        <v>VA</v>
      </c>
      <c r="BJ965" t="str">
        <f>" Supreme Court of Virginia   "</f>
        <v xml:space="preserve"> Supreme Court of Virginia   </v>
      </c>
      <c r="BK965">
        <v>1</v>
      </c>
      <c r="BL965" t="s">
        <v>102</v>
      </c>
      <c r="BM965" t="str">
        <f>""</f>
        <v/>
      </c>
      <c r="BN965" t="s">
        <v>1563</v>
      </c>
      <c r="BP965" t="s">
        <v>140</v>
      </c>
      <c r="BQ965" t="s">
        <v>147</v>
      </c>
      <c r="BR965" t="s">
        <v>141</v>
      </c>
      <c r="BS965" s="5">
        <v>94015</v>
      </c>
      <c r="BT965" s="2">
        <v>169562</v>
      </c>
      <c r="BV965" t="s">
        <v>105</v>
      </c>
      <c r="BW965" s="2">
        <v>169562</v>
      </c>
      <c r="BX965" t="s">
        <v>105</v>
      </c>
      <c r="BZ965" t="s">
        <v>159</v>
      </c>
      <c r="CA965" t="str">
        <f t="shared" si="73"/>
        <v>7/1/2020 - 6/30/2021</v>
      </c>
      <c r="CF965">
        <v>3</v>
      </c>
      <c r="CG965" t="s">
        <v>98</v>
      </c>
      <c r="CH965" t="s">
        <v>206</v>
      </c>
      <c r="CI965" t="s">
        <v>206</v>
      </c>
      <c r="CL965" t="s">
        <v>108</v>
      </c>
      <c r="CM965" t="s">
        <v>109</v>
      </c>
      <c r="CN965" t="str">
        <f>"Bruner"</f>
        <v>Bruner</v>
      </c>
      <c r="CO965" t="str">
        <f>"Jesse"</f>
        <v>Jesse</v>
      </c>
      <c r="CP965" t="str">
        <f>"E"</f>
        <v>E</v>
      </c>
      <c r="CQ965" t="str">
        <f>"Erickson Immigration Group"</f>
        <v>Erickson Immigration Group</v>
      </c>
      <c r="CR965" t="s">
        <v>1564</v>
      </c>
    </row>
    <row r="966" spans="1:96" x14ac:dyDescent="0.2">
      <c r="A966" t="s">
        <v>10656</v>
      </c>
      <c r="B966" t="s">
        <v>96</v>
      </c>
      <c r="C966" s="1">
        <v>44098</v>
      </c>
      <c r="D966" s="1">
        <v>44105</v>
      </c>
      <c r="F966" t="s">
        <v>97</v>
      </c>
      <c r="G966" t="str">
        <f>"Data Architect - Analyst"</f>
        <v>Data Architect - Analyst</v>
      </c>
      <c r="H966" t="s">
        <v>12168</v>
      </c>
      <c r="I966" t="s">
        <v>354</v>
      </c>
      <c r="J966" t="s">
        <v>98</v>
      </c>
      <c r="K966" s="1">
        <v>44105</v>
      </c>
      <c r="L966" s="1">
        <v>45199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1036</v>
      </c>
      <c r="U966" t="str">
        <f>""</f>
        <v/>
      </c>
      <c r="V966" t="s">
        <v>1037</v>
      </c>
      <c r="W966" t="str">
        <f>""</f>
        <v/>
      </c>
      <c r="X966" t="s">
        <v>1015</v>
      </c>
      <c r="Y966" t="s">
        <v>330</v>
      </c>
      <c r="Z966" s="3">
        <v>53045</v>
      </c>
      <c r="AA966" t="s">
        <v>101</v>
      </c>
      <c r="AC966" s="4" t="str">
        <f>"+12628795000"</f>
        <v>+12628795000</v>
      </c>
      <c r="AE966" t="str">
        <f>"518210"</f>
        <v>518210</v>
      </c>
      <c r="AF966" t="s">
        <v>1038</v>
      </c>
      <c r="AG966" t="s">
        <v>1039</v>
      </c>
      <c r="AH966" t="s">
        <v>108</v>
      </c>
      <c r="AI966" t="s">
        <v>1040</v>
      </c>
      <c r="AJ966" t="s">
        <v>1041</v>
      </c>
      <c r="AK966" t="str">
        <f>"N/A"</f>
        <v>N/A</v>
      </c>
      <c r="AL966" t="s">
        <v>1042</v>
      </c>
      <c r="AM966" t="s">
        <v>330</v>
      </c>
      <c r="AN966" s="3">
        <v>53045</v>
      </c>
      <c r="AO966" t="s">
        <v>101</v>
      </c>
      <c r="AQ966" t="str">
        <f>"+12628795000"</f>
        <v>+12628795000</v>
      </c>
      <c r="AS966" t="s">
        <v>1043</v>
      </c>
      <c r="AT966" t="s">
        <v>107</v>
      </c>
      <c r="AU966" t="str">
        <f>"OLIVER"</f>
        <v>OLIVER</v>
      </c>
      <c r="AV966" t="str">
        <f>"BRENDA"</f>
        <v>BRENDA</v>
      </c>
      <c r="AW966" t="str">
        <f>"J"</f>
        <v>J</v>
      </c>
      <c r="AX966" t="str">
        <f>"1101 15TH STREET, NW"</f>
        <v>1101 15TH STREET, NW</v>
      </c>
      <c r="AY966" t="str">
        <f>"SUITE 700"</f>
        <v>SUITE 700</v>
      </c>
      <c r="AZ966" t="str">
        <f>"WASHINGTON"</f>
        <v>WASHINGTON</v>
      </c>
      <c r="BA966" t="str">
        <f>"DC"</f>
        <v>DC</v>
      </c>
      <c r="BB966" s="3">
        <v>20005</v>
      </c>
      <c r="BC966" t="str">
        <f t="shared" si="72"/>
        <v>UNITED STATES OF AMERICA</v>
      </c>
      <c r="BD966" t="str">
        <f>""</f>
        <v/>
      </c>
      <c r="BE966" t="str">
        <f>"+12022235515"</f>
        <v>+12022235515</v>
      </c>
      <c r="BF966" t="str">
        <f>""</f>
        <v/>
      </c>
      <c r="BG966" t="str">
        <f>"LCATeamPham@Fragomen.com"</f>
        <v>LCATeamPham@Fragomen.com</v>
      </c>
      <c r="BH966" t="str">
        <f>"Fragomen, Del Rey, Bernsen &amp; Loewy, LLP"</f>
        <v>Fragomen, Del Rey, Bernsen &amp; Loewy, LLP</v>
      </c>
      <c r="BI966" t="str">
        <f>"DC"</f>
        <v>DC</v>
      </c>
      <c r="BJ966" t="str">
        <f>"COURT OF APPEALS"</f>
        <v>COURT OF APPEALS</v>
      </c>
      <c r="BK966">
        <v>1</v>
      </c>
      <c r="BL966" t="s">
        <v>107</v>
      </c>
      <c r="BM966" t="str">
        <f>"Total Administrative Services Corporation"</f>
        <v>Total Administrative Services Corporation</v>
      </c>
      <c r="BN966" t="s">
        <v>10657</v>
      </c>
      <c r="BP966" t="s">
        <v>1018</v>
      </c>
      <c r="BQ966" t="s">
        <v>1019</v>
      </c>
      <c r="BR966" t="s">
        <v>330</v>
      </c>
      <c r="BS966" s="5">
        <v>53704</v>
      </c>
      <c r="BT966" s="2">
        <v>94453</v>
      </c>
      <c r="BU966" s="2">
        <v>127600</v>
      </c>
      <c r="BV966" t="s">
        <v>105</v>
      </c>
      <c r="BW966" s="2">
        <v>76024</v>
      </c>
      <c r="BX966" t="s">
        <v>105</v>
      </c>
      <c r="BZ966" t="s">
        <v>123</v>
      </c>
      <c r="CA966" t="str">
        <f t="shared" si="73"/>
        <v>7/1/2020 - 6/30/2021</v>
      </c>
      <c r="CF966">
        <v>2</v>
      </c>
      <c r="CG966" t="s">
        <v>98</v>
      </c>
      <c r="CH966" t="s">
        <v>206</v>
      </c>
      <c r="CI966" t="s">
        <v>206</v>
      </c>
      <c r="CL966" t="s">
        <v>108</v>
      </c>
      <c r="CM966" t="s">
        <v>109</v>
      </c>
      <c r="CN966" t="str">
        <f>"Toronto"</f>
        <v>Toronto</v>
      </c>
      <c r="CO966" t="str">
        <f>"Stephanie"</f>
        <v>Stephanie</v>
      </c>
      <c r="CP966" t="str">
        <f>""</f>
        <v/>
      </c>
      <c r="CQ966" t="str">
        <f>"Fragomen, Del Rey, Bernsen &amp; Loewy, LLP"</f>
        <v>Fragomen, Del Rey, Bernsen &amp; Loewy, LLP</v>
      </c>
      <c r="CR966" t="s">
        <v>1046</v>
      </c>
    </row>
    <row r="967" spans="1:96" x14ac:dyDescent="0.2">
      <c r="A967" t="s">
        <v>10660</v>
      </c>
      <c r="B967" t="s">
        <v>96</v>
      </c>
      <c r="C967" s="1">
        <v>44098</v>
      </c>
      <c r="D967" s="1">
        <v>44105</v>
      </c>
      <c r="F967" t="s">
        <v>97</v>
      </c>
      <c r="G967" t="str">
        <f>"Technology Specialist"</f>
        <v>Technology Specialist</v>
      </c>
      <c r="H967" t="s">
        <v>12168</v>
      </c>
      <c r="I967" t="s">
        <v>160</v>
      </c>
      <c r="J967" t="s">
        <v>98</v>
      </c>
      <c r="K967" s="1">
        <v>44102</v>
      </c>
      <c r="L967" s="1">
        <v>45196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 t="s">
        <v>4574</v>
      </c>
      <c r="U967" t="str">
        <f>""</f>
        <v/>
      </c>
      <c r="V967" t="s">
        <v>4575</v>
      </c>
      <c r="W967" t="str">
        <f>""</f>
        <v/>
      </c>
      <c r="X967" t="s">
        <v>2724</v>
      </c>
      <c r="Y967" t="s">
        <v>374</v>
      </c>
      <c r="Z967" s="3">
        <v>63017</v>
      </c>
      <c r="AA967" t="s">
        <v>101</v>
      </c>
      <c r="AC967" s="4" t="str">
        <f>"+13142127000"</f>
        <v>+13142127000</v>
      </c>
      <c r="AE967" t="str">
        <f>"541511"</f>
        <v>541511</v>
      </c>
      <c r="AF967" t="s">
        <v>3417</v>
      </c>
      <c r="AG967" t="s">
        <v>1069</v>
      </c>
      <c r="AH967" t="s">
        <v>339</v>
      </c>
      <c r="AI967" t="s">
        <v>10661</v>
      </c>
      <c r="AJ967" t="s">
        <v>4575</v>
      </c>
      <c r="AK967" t="str">
        <f>""</f>
        <v/>
      </c>
      <c r="AL967" t="s">
        <v>2724</v>
      </c>
      <c r="AM967" t="s">
        <v>374</v>
      </c>
      <c r="AN967" s="3">
        <v>63017</v>
      </c>
      <c r="AO967" t="s">
        <v>101</v>
      </c>
      <c r="AQ967" t="str">
        <f>"+13142127000"</f>
        <v>+13142127000</v>
      </c>
      <c r="AS967" t="s">
        <v>4576</v>
      </c>
      <c r="AT967" t="s">
        <v>107</v>
      </c>
      <c r="AU967" t="str">
        <f>"Schultz"</f>
        <v>Schultz</v>
      </c>
      <c r="AV967" t="str">
        <f>"Warren"</f>
        <v>Warren</v>
      </c>
      <c r="AW967" t="str">
        <f>"Michael"</f>
        <v>Michael</v>
      </c>
      <c r="AX967" t="str">
        <f>"333 W. Wacker Drive"</f>
        <v>333 W. Wacker Drive</v>
      </c>
      <c r="AY967" t="str">
        <f>"15th Floor"</f>
        <v>15th Floor</v>
      </c>
      <c r="AZ967" t="str">
        <f>"Chicago"</f>
        <v>Chicago</v>
      </c>
      <c r="BA967" t="str">
        <f>"IL"</f>
        <v>IL</v>
      </c>
      <c r="BB967" s="3">
        <v>60606</v>
      </c>
      <c r="BC967" t="str">
        <f t="shared" si="72"/>
        <v>UNITED STATES OF AMERICA</v>
      </c>
      <c r="BD967" t="str">
        <f>""</f>
        <v/>
      </c>
      <c r="BE967" t="str">
        <f>"+13122636101"</f>
        <v>+13122636101</v>
      </c>
      <c r="BF967" t="str">
        <f>""</f>
        <v/>
      </c>
      <c r="BG967" t="str">
        <f>"lmillis@Fragomen.com"</f>
        <v>lmillis@Fragomen.com</v>
      </c>
      <c r="BH967" t="str">
        <f>"Fragomen Del Rey Bernsen &amp; Loewy LLP"</f>
        <v>Fragomen Del Rey Bernsen &amp; Loewy LLP</v>
      </c>
      <c r="BI967" t="str">
        <f>"PA"</f>
        <v>PA</v>
      </c>
      <c r="BJ967" t="str">
        <f>"Supreme Court"</f>
        <v>Supreme Court</v>
      </c>
      <c r="BK967">
        <v>1</v>
      </c>
      <c r="BL967" t="s">
        <v>102</v>
      </c>
      <c r="BM967" t="str">
        <f>""</f>
        <v/>
      </c>
      <c r="BN967" t="s">
        <v>10662</v>
      </c>
      <c r="BP967" t="s">
        <v>297</v>
      </c>
      <c r="BQ967" t="s">
        <v>556</v>
      </c>
      <c r="BR967" t="s">
        <v>114</v>
      </c>
      <c r="BS967" s="5">
        <v>75024</v>
      </c>
      <c r="BT967" s="2">
        <v>110000.16</v>
      </c>
      <c r="BV967" t="s">
        <v>105</v>
      </c>
      <c r="BW967" s="2">
        <v>74027</v>
      </c>
      <c r="BX967" t="s">
        <v>105</v>
      </c>
      <c r="BZ967" t="s">
        <v>167</v>
      </c>
      <c r="CA967" t="str">
        <f t="shared" si="73"/>
        <v>7/1/2020 - 6/30/2021</v>
      </c>
      <c r="CF967">
        <v>2</v>
      </c>
      <c r="CG967" t="s">
        <v>98</v>
      </c>
      <c r="CH967" t="s">
        <v>206</v>
      </c>
      <c r="CI967" t="s">
        <v>206</v>
      </c>
      <c r="CL967" t="s">
        <v>108</v>
      </c>
      <c r="CM967" t="s">
        <v>109</v>
      </c>
      <c r="CN967" t="str">
        <f>"Lim"</f>
        <v>Lim</v>
      </c>
      <c r="CO967" t="str">
        <f>"Stanley"</f>
        <v>Stanley</v>
      </c>
      <c r="CP967" t="str">
        <f>"G"</f>
        <v>G</v>
      </c>
      <c r="CQ967" t="str">
        <f>"Fragomen, Del Rey, Bernsen &amp; Loewy"</f>
        <v>Fragomen, Del Rey, Bernsen &amp; Loewy</v>
      </c>
      <c r="CR967" t="s">
        <v>4577</v>
      </c>
    </row>
    <row r="968" spans="1:96" x14ac:dyDescent="0.2">
      <c r="A968" t="s">
        <v>10666</v>
      </c>
      <c r="B968" t="s">
        <v>96</v>
      </c>
      <c r="C968" s="1">
        <v>44098</v>
      </c>
      <c r="D968" s="1">
        <v>44105</v>
      </c>
      <c r="F968" t="s">
        <v>97</v>
      </c>
      <c r="G968" t="str">
        <f>"Senior Software Engineer 20012.2082"</f>
        <v>Senior Software Engineer 20012.2082</v>
      </c>
      <c r="H968" t="s">
        <v>12169</v>
      </c>
      <c r="I968" t="s">
        <v>124</v>
      </c>
      <c r="J968" t="s">
        <v>98</v>
      </c>
      <c r="K968" s="1">
        <v>44274</v>
      </c>
      <c r="L968" s="1">
        <v>45369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 t="s">
        <v>3801</v>
      </c>
      <c r="U968" t="str">
        <f>""</f>
        <v/>
      </c>
      <c r="V968" t="s">
        <v>3802</v>
      </c>
      <c r="W968" t="str">
        <f>""</f>
        <v/>
      </c>
      <c r="X968" t="s">
        <v>184</v>
      </c>
      <c r="Y968" t="s">
        <v>186</v>
      </c>
      <c r="Z968" s="3">
        <v>55344</v>
      </c>
      <c r="AA968" t="s">
        <v>101</v>
      </c>
      <c r="AC968" s="4" t="str">
        <f>"+19529361616"</f>
        <v>+19529361616</v>
      </c>
      <c r="AE968" t="str">
        <f>"541512"</f>
        <v>541512</v>
      </c>
      <c r="AF968" t="s">
        <v>3135</v>
      </c>
      <c r="AG968" t="s">
        <v>3136</v>
      </c>
      <c r="AI968" t="s">
        <v>3137</v>
      </c>
      <c r="AJ968" t="s">
        <v>3138</v>
      </c>
      <c r="AK968" t="str">
        <f>""</f>
        <v/>
      </c>
      <c r="AL968" t="s">
        <v>3139</v>
      </c>
      <c r="AM968" t="s">
        <v>186</v>
      </c>
      <c r="AN968" s="3">
        <v>55343</v>
      </c>
      <c r="AO968" t="s">
        <v>101</v>
      </c>
      <c r="AQ968" t="str">
        <f>"+19529361616"</f>
        <v>+19529361616</v>
      </c>
      <c r="AS968" t="s">
        <v>3140</v>
      </c>
      <c r="AT968" t="s">
        <v>107</v>
      </c>
      <c r="AU968" t="str">
        <f>"Petzold"</f>
        <v>Petzold</v>
      </c>
      <c r="AV968" t="str">
        <f>"Rick"</f>
        <v>Rick</v>
      </c>
      <c r="AW968" t="str">
        <f>""</f>
        <v/>
      </c>
      <c r="AX968" t="str">
        <f>"2400 N. Glenville Drive, Building A"</f>
        <v>2400 N. Glenville Drive, Building A</v>
      </c>
      <c r="AY968" t="str">
        <f>"Suite 100"</f>
        <v>Suite 100</v>
      </c>
      <c r="AZ968" t="str">
        <f>"Richardson"</f>
        <v>Richardson</v>
      </c>
      <c r="BA968" t="str">
        <f>"TX"</f>
        <v>TX</v>
      </c>
      <c r="BB968" s="3">
        <v>75082</v>
      </c>
      <c r="BC968" t="str">
        <f t="shared" si="72"/>
        <v>UNITED STATES OF AMERICA</v>
      </c>
      <c r="BD968" t="str">
        <f>""</f>
        <v/>
      </c>
      <c r="BE968" t="str">
        <f>"+19727296094"</f>
        <v>+19727296094</v>
      </c>
      <c r="BF968" t="str">
        <f>""</f>
        <v/>
      </c>
      <c r="BG968" t="str">
        <f>"mperez@balglobal.com"</f>
        <v>mperez@balglobal.com</v>
      </c>
      <c r="BH968" t="str">
        <f>"Berry Appleman &amp; Leiden LLP"</f>
        <v>Berry Appleman &amp; Leiden LLP</v>
      </c>
      <c r="BI968" t="str">
        <f>"NJ"</f>
        <v>NJ</v>
      </c>
      <c r="BJ968" t="str">
        <f>"New Jersey Supreme Court"</f>
        <v>New Jersey Supreme Court</v>
      </c>
      <c r="BK968">
        <v>1</v>
      </c>
      <c r="BL968" t="s">
        <v>102</v>
      </c>
      <c r="BM968" t="str">
        <f>""</f>
        <v/>
      </c>
      <c r="BN968" t="s">
        <v>4477</v>
      </c>
      <c r="BP968" t="s">
        <v>184</v>
      </c>
      <c r="BQ968" t="s">
        <v>185</v>
      </c>
      <c r="BR968" t="s">
        <v>186</v>
      </c>
      <c r="BS968" s="5">
        <v>55344</v>
      </c>
      <c r="BT968" s="2">
        <v>105726</v>
      </c>
      <c r="BU968" s="2">
        <v>140000</v>
      </c>
      <c r="BV968" t="s">
        <v>105</v>
      </c>
      <c r="BW968" s="2">
        <v>105726</v>
      </c>
      <c r="BX968" t="s">
        <v>105</v>
      </c>
      <c r="BZ968" t="s">
        <v>123</v>
      </c>
      <c r="CA968" t="str">
        <f t="shared" si="73"/>
        <v>7/1/2020 - 6/30/2021</v>
      </c>
      <c r="CF968">
        <v>2</v>
      </c>
      <c r="CG968" t="s">
        <v>98</v>
      </c>
      <c r="CH968" t="s">
        <v>206</v>
      </c>
      <c r="CI968" t="s">
        <v>206</v>
      </c>
      <c r="CL968" t="s">
        <v>108</v>
      </c>
      <c r="CM968" t="s">
        <v>109</v>
      </c>
      <c r="CN968" t="str">
        <f>"Eubanks"</f>
        <v>Eubanks</v>
      </c>
      <c r="CO968" t="str">
        <f>"Maria"</f>
        <v>Maria</v>
      </c>
      <c r="CP968" t="str">
        <f>""</f>
        <v/>
      </c>
      <c r="CQ968" t="str">
        <f>"Berry Appleman &amp; Leiden LLP"</f>
        <v>Berry Appleman &amp; Leiden LLP</v>
      </c>
      <c r="CR968" t="s">
        <v>6762</v>
      </c>
    </row>
    <row r="969" spans="1:96" x14ac:dyDescent="0.2">
      <c r="A969" t="s">
        <v>10667</v>
      </c>
      <c r="B969" t="s">
        <v>96</v>
      </c>
      <c r="C969" s="1">
        <v>44098</v>
      </c>
      <c r="D969" s="1">
        <v>44105</v>
      </c>
      <c r="F969" t="s">
        <v>97</v>
      </c>
      <c r="G969" t="str">
        <f>"Software Engineer"</f>
        <v>Software Engineer</v>
      </c>
      <c r="H969" t="s">
        <v>12169</v>
      </c>
      <c r="I969" t="s">
        <v>124</v>
      </c>
      <c r="J969" t="s">
        <v>98</v>
      </c>
      <c r="K969" s="1">
        <v>44109</v>
      </c>
      <c r="L969" s="1">
        <v>45203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 t="s">
        <v>3059</v>
      </c>
      <c r="U969" t="str">
        <f>""</f>
        <v/>
      </c>
      <c r="V969" t="s">
        <v>3060</v>
      </c>
      <c r="W969" t="str">
        <f>"Suite 600"</f>
        <v>Suite 600</v>
      </c>
      <c r="X969" t="s">
        <v>140</v>
      </c>
      <c r="Y969" t="s">
        <v>141</v>
      </c>
      <c r="Z969" s="3">
        <v>94103</v>
      </c>
      <c r="AA969" t="s">
        <v>101</v>
      </c>
      <c r="AC969" s="4" t="str">
        <f>"+14153753176"</f>
        <v>+14153753176</v>
      </c>
      <c r="AD969">
        <v>0</v>
      </c>
      <c r="AE969" t="str">
        <f>"511210"</f>
        <v>511210</v>
      </c>
      <c r="AF969" t="s">
        <v>3061</v>
      </c>
      <c r="AG969" t="s">
        <v>3062</v>
      </c>
      <c r="AI969" t="s">
        <v>3063</v>
      </c>
      <c r="AJ969" t="s">
        <v>3064</v>
      </c>
      <c r="AK969" t="str">
        <f>"Suite 600"</f>
        <v>Suite 600</v>
      </c>
      <c r="AL969" t="s">
        <v>140</v>
      </c>
      <c r="AM969" t="s">
        <v>141</v>
      </c>
      <c r="AN969" s="3">
        <v>94103</v>
      </c>
      <c r="AO969" t="s">
        <v>101</v>
      </c>
      <c r="AQ969" t="str">
        <f>"+14153753176"</f>
        <v>+14153753176</v>
      </c>
      <c r="AR969">
        <v>0</v>
      </c>
      <c r="AS969" t="s">
        <v>3065</v>
      </c>
      <c r="AT969" t="s">
        <v>107</v>
      </c>
      <c r="AU969" t="str">
        <f>"Kirst"</f>
        <v>Kirst</v>
      </c>
      <c r="AV969" t="str">
        <f>"Krystal"</f>
        <v>Krystal</v>
      </c>
      <c r="AW969" t="str">
        <f>"S."</f>
        <v>S.</v>
      </c>
      <c r="AX969" t="str">
        <f>"2101 Wilson Blvd."</f>
        <v>2101 Wilson Blvd.</v>
      </c>
      <c r="AY969" t="str">
        <f>"Suite 1100"</f>
        <v>Suite 1100</v>
      </c>
      <c r="AZ969" t="str">
        <f>"Arlington"</f>
        <v>Arlington</v>
      </c>
      <c r="BA969" t="str">
        <f>"VA"</f>
        <v>VA</v>
      </c>
      <c r="BB969" s="3">
        <v>22201</v>
      </c>
      <c r="BC969" t="str">
        <f t="shared" si="72"/>
        <v>UNITED STATES OF AMERICA</v>
      </c>
      <c r="BD969" t="str">
        <f>""</f>
        <v/>
      </c>
      <c r="BE969" t="str">
        <f>"+17036784000"</f>
        <v>+17036784000</v>
      </c>
      <c r="BF969" t="str">
        <f>""</f>
        <v/>
      </c>
      <c r="BG969" t="str">
        <f>"krystal@eiglaw.com"</f>
        <v>krystal@eiglaw.com</v>
      </c>
      <c r="BH969" t="str">
        <f>"Erickson Immigration Group"</f>
        <v>Erickson Immigration Group</v>
      </c>
      <c r="BI969" t="str">
        <f>"VA"</f>
        <v>VA</v>
      </c>
      <c r="BJ969" t="str">
        <f>"Supreme Court"</f>
        <v>Supreme Court</v>
      </c>
      <c r="BK969">
        <v>1</v>
      </c>
      <c r="BL969" t="s">
        <v>102</v>
      </c>
      <c r="BM969" t="str">
        <f>""</f>
        <v/>
      </c>
      <c r="BN969" t="s">
        <v>5553</v>
      </c>
      <c r="BO969" t="s">
        <v>664</v>
      </c>
      <c r="BP969" t="s">
        <v>140</v>
      </c>
      <c r="BQ969" t="s">
        <v>147</v>
      </c>
      <c r="BR969" t="s">
        <v>141</v>
      </c>
      <c r="BS969" s="5">
        <v>94103</v>
      </c>
      <c r="BT969" s="2">
        <v>178000</v>
      </c>
      <c r="BV969" t="s">
        <v>105</v>
      </c>
      <c r="BW969" s="2">
        <v>145246</v>
      </c>
      <c r="BX969" t="s">
        <v>105</v>
      </c>
      <c r="BZ969" t="s">
        <v>123</v>
      </c>
      <c r="CA969" t="str">
        <f t="shared" si="73"/>
        <v>7/1/2020 - 6/30/2021</v>
      </c>
      <c r="CF969">
        <v>4</v>
      </c>
      <c r="CG969" t="s">
        <v>98</v>
      </c>
      <c r="CH969" t="s">
        <v>206</v>
      </c>
      <c r="CI969" t="s">
        <v>206</v>
      </c>
      <c r="CL969" t="s">
        <v>108</v>
      </c>
      <c r="CM969" t="s">
        <v>109</v>
      </c>
      <c r="CN969" t="str">
        <f>"Jou"</f>
        <v>Jou</v>
      </c>
      <c r="CO969" t="str">
        <f>"Jennifer"</f>
        <v>Jennifer</v>
      </c>
      <c r="CP969" t="str">
        <f>"N/A"</f>
        <v>N/A</v>
      </c>
      <c r="CQ969" t="str">
        <f>"Erickson Immigration Group"</f>
        <v>Erickson Immigration Group</v>
      </c>
      <c r="CR969" t="s">
        <v>3728</v>
      </c>
    </row>
    <row r="970" spans="1:96" x14ac:dyDescent="0.2">
      <c r="A970" t="s">
        <v>10675</v>
      </c>
      <c r="B970" t="s">
        <v>96</v>
      </c>
      <c r="C970" s="1">
        <v>44098</v>
      </c>
      <c r="D970" s="1">
        <v>44105</v>
      </c>
      <c r="F970" t="s">
        <v>97</v>
      </c>
      <c r="G970" t="str">
        <f>"Assistant Professor, Division of Health and Human Services"</f>
        <v>Assistant Professor, Division of Health and Human Services</v>
      </c>
      <c r="H970" t="s">
        <v>12283</v>
      </c>
      <c r="I970" t="s">
        <v>7806</v>
      </c>
      <c r="J970" t="s">
        <v>98</v>
      </c>
      <c r="K970" s="1">
        <v>44197</v>
      </c>
      <c r="L970" s="1">
        <v>45291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 t="s">
        <v>10676</v>
      </c>
      <c r="U970" t="str">
        <f>""</f>
        <v/>
      </c>
      <c r="V970" t="s">
        <v>10677</v>
      </c>
      <c r="W970" t="str">
        <f>""</f>
        <v/>
      </c>
      <c r="X970" t="s">
        <v>7267</v>
      </c>
      <c r="Y970" t="s">
        <v>190</v>
      </c>
      <c r="Z970" s="3">
        <v>11439</v>
      </c>
      <c r="AA970" t="s">
        <v>101</v>
      </c>
      <c r="AC970" s="4" t="str">
        <f>"+17189902000"</f>
        <v>+17189902000</v>
      </c>
      <c r="AE970" t="str">
        <f>"611310"</f>
        <v>611310</v>
      </c>
      <c r="AF970" t="s">
        <v>6576</v>
      </c>
      <c r="AG970" t="s">
        <v>1076</v>
      </c>
      <c r="AI970" t="s">
        <v>10678</v>
      </c>
      <c r="AJ970" t="s">
        <v>10677</v>
      </c>
      <c r="AK970" t="str">
        <f>""</f>
        <v/>
      </c>
      <c r="AL970" t="s">
        <v>7267</v>
      </c>
      <c r="AM970" t="s">
        <v>190</v>
      </c>
      <c r="AN970" s="3">
        <v>11439</v>
      </c>
      <c r="AO970" t="s">
        <v>101</v>
      </c>
      <c r="AQ970" t="str">
        <f>"+17189901488"</f>
        <v>+17189901488</v>
      </c>
      <c r="AS970" t="s">
        <v>10679</v>
      </c>
      <c r="AT970" t="s">
        <v>107</v>
      </c>
      <c r="AU970" t="str">
        <f>"Gray"</f>
        <v>Gray</v>
      </c>
      <c r="AV970" t="str">
        <f>"Allison"</f>
        <v>Allison</v>
      </c>
      <c r="AW970" t="str">
        <f>"Dolph"</f>
        <v>Dolph</v>
      </c>
      <c r="AX970" t="str">
        <f>"1177 Avenue of the Americas"</f>
        <v>1177 Avenue of the Americas</v>
      </c>
      <c r="AY970" t="str">
        <f>"23rd Floor"</f>
        <v>23rd Floor</v>
      </c>
      <c r="AZ970" t="str">
        <f>"New York"</f>
        <v>New York</v>
      </c>
      <c r="BA970" t="str">
        <f>"NY"</f>
        <v>NY</v>
      </c>
      <c r="BB970" s="3">
        <v>10036</v>
      </c>
      <c r="BC970" t="str">
        <f t="shared" si="72"/>
        <v>UNITED STATES OF AMERICA</v>
      </c>
      <c r="BD970" t="str">
        <f>""</f>
        <v/>
      </c>
      <c r="BE970" t="str">
        <f>"+12127159439"</f>
        <v>+12127159439</v>
      </c>
      <c r="BF970" t="str">
        <f>""</f>
        <v/>
      </c>
      <c r="BG970" t="str">
        <f>"soh@kramerlevin.com"</f>
        <v>soh@kramerlevin.com</v>
      </c>
      <c r="BH970" t="str">
        <f>"Kramer Levin Naftalis and Frankel LLP"</f>
        <v>Kramer Levin Naftalis and Frankel LLP</v>
      </c>
      <c r="BI970" t="str">
        <f>"NY"</f>
        <v>NY</v>
      </c>
      <c r="BJ970" t="str">
        <f>"State of New York Supreme Court"</f>
        <v>State of New York Supreme Court</v>
      </c>
      <c r="BK970">
        <v>1</v>
      </c>
      <c r="BL970" t="s">
        <v>102</v>
      </c>
      <c r="BM970" t="str">
        <f>""</f>
        <v/>
      </c>
      <c r="BN970" t="s">
        <v>10677</v>
      </c>
      <c r="BP970" t="s">
        <v>7267</v>
      </c>
      <c r="BQ970" t="s">
        <v>2007</v>
      </c>
      <c r="BR970" t="s">
        <v>190</v>
      </c>
      <c r="BS970" s="5">
        <v>11439</v>
      </c>
      <c r="BT970" s="2">
        <v>81900</v>
      </c>
      <c r="BV970" t="s">
        <v>105</v>
      </c>
      <c r="BW970" s="2">
        <v>81900</v>
      </c>
      <c r="BX970" t="s">
        <v>105</v>
      </c>
      <c r="CA970" t="str">
        <f>""</f>
        <v/>
      </c>
      <c r="CB970" t="s">
        <v>106</v>
      </c>
      <c r="CC970">
        <v>2017</v>
      </c>
      <c r="CF970">
        <v>2</v>
      </c>
      <c r="CG970" t="s">
        <v>98</v>
      </c>
      <c r="CH970" t="s">
        <v>206</v>
      </c>
      <c r="CI970" t="s">
        <v>206</v>
      </c>
      <c r="CL970" t="s">
        <v>108</v>
      </c>
      <c r="CM970" t="s">
        <v>109</v>
      </c>
      <c r="CN970" t="str">
        <f>"OH"</f>
        <v>OH</v>
      </c>
      <c r="CO970" t="str">
        <f>"Stacy"</f>
        <v>Stacy</v>
      </c>
      <c r="CP970" t="str">
        <f>""</f>
        <v/>
      </c>
      <c r="CQ970" t="str">
        <f>"Kramer Levin Naftalis and Frankel LLP"</f>
        <v>Kramer Levin Naftalis and Frankel LLP</v>
      </c>
      <c r="CR970" t="s">
        <v>5554</v>
      </c>
    </row>
    <row r="971" spans="1:96" x14ac:dyDescent="0.2">
      <c r="A971" t="s">
        <v>10688</v>
      </c>
      <c r="B971" t="s">
        <v>96</v>
      </c>
      <c r="C971" s="1">
        <v>44098</v>
      </c>
      <c r="D971" s="1">
        <v>44105</v>
      </c>
      <c r="F971" t="s">
        <v>97</v>
      </c>
      <c r="G971" t="str">
        <f>"Reservoir Engineer"</f>
        <v>Reservoir Engineer</v>
      </c>
      <c r="H971" t="s">
        <v>12284</v>
      </c>
      <c r="I971" t="s">
        <v>6142</v>
      </c>
      <c r="J971" t="s">
        <v>98</v>
      </c>
      <c r="K971" s="1">
        <v>44105</v>
      </c>
      <c r="L971" s="1">
        <v>45199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7953</v>
      </c>
      <c r="U971" t="str">
        <f>""</f>
        <v/>
      </c>
      <c r="V971" t="s">
        <v>7954</v>
      </c>
      <c r="W971" t="str">
        <f>""</f>
        <v/>
      </c>
      <c r="X971" t="s">
        <v>394</v>
      </c>
      <c r="Y971" t="s">
        <v>114</v>
      </c>
      <c r="Z971" s="3">
        <v>77079</v>
      </c>
      <c r="AA971" t="s">
        <v>101</v>
      </c>
      <c r="AC971" s="4" t="str">
        <f>"+18323376418"</f>
        <v>+18323376418</v>
      </c>
      <c r="AE971" t="str">
        <f>"2111"</f>
        <v>2111</v>
      </c>
      <c r="AF971" t="s">
        <v>3805</v>
      </c>
      <c r="AG971" t="s">
        <v>3806</v>
      </c>
      <c r="AI971" t="s">
        <v>3807</v>
      </c>
      <c r="AJ971" t="s">
        <v>7954</v>
      </c>
      <c r="AK971" t="str">
        <f>""</f>
        <v/>
      </c>
      <c r="AL971" t="s">
        <v>394</v>
      </c>
      <c r="AM971" t="s">
        <v>114</v>
      </c>
      <c r="AN971" s="3">
        <v>77079</v>
      </c>
      <c r="AO971" t="s">
        <v>101</v>
      </c>
      <c r="AQ971" t="str">
        <f>"+18323376418"</f>
        <v>+18323376418</v>
      </c>
      <c r="AS971" t="s">
        <v>3808</v>
      </c>
      <c r="AT971" t="s">
        <v>102</v>
      </c>
      <c r="AU971" t="str">
        <f>""</f>
        <v/>
      </c>
      <c r="AV971" t="str">
        <f>""</f>
        <v/>
      </c>
      <c r="AW971" t="str">
        <f>""</f>
        <v/>
      </c>
      <c r="AX971" t="str">
        <f>""</f>
        <v/>
      </c>
      <c r="AY971" t="str">
        <f>""</f>
        <v/>
      </c>
      <c r="AZ971" t="str">
        <f>""</f>
        <v/>
      </c>
      <c r="BA971" t="str">
        <f>""</f>
        <v/>
      </c>
      <c r="BC971" t="str">
        <f>""</f>
        <v/>
      </c>
      <c r="BD971" t="str">
        <f>""</f>
        <v/>
      </c>
      <c r="BE971" t="str">
        <f>""</f>
        <v/>
      </c>
      <c r="BF971" t="str">
        <f>""</f>
        <v/>
      </c>
      <c r="BG971" t="str">
        <f>""</f>
        <v/>
      </c>
      <c r="BH971" t="str">
        <f>""</f>
        <v/>
      </c>
      <c r="BI971" t="str">
        <f>""</f>
        <v/>
      </c>
      <c r="BJ971" t="str">
        <f>""</f>
        <v/>
      </c>
      <c r="BK971">
        <v>1</v>
      </c>
      <c r="BL971" t="s">
        <v>102</v>
      </c>
      <c r="BM971" t="str">
        <f>""</f>
        <v/>
      </c>
      <c r="BN971" t="s">
        <v>7954</v>
      </c>
      <c r="BP971" t="s">
        <v>394</v>
      </c>
      <c r="BQ971" t="s">
        <v>395</v>
      </c>
      <c r="BR971" t="s">
        <v>114</v>
      </c>
      <c r="BS971" s="5">
        <v>77079</v>
      </c>
      <c r="BT971" s="2">
        <v>138000</v>
      </c>
      <c r="BV971" t="s">
        <v>105</v>
      </c>
      <c r="BW971" s="2">
        <v>106288</v>
      </c>
      <c r="BX971" t="s">
        <v>105</v>
      </c>
      <c r="BZ971" t="s">
        <v>191</v>
      </c>
      <c r="CA971" t="str">
        <f>"7/1/2020 - 6/30/2021"</f>
        <v>7/1/2020 - 6/30/2021</v>
      </c>
      <c r="CF971">
        <v>1</v>
      </c>
      <c r="CG971" t="s">
        <v>98</v>
      </c>
      <c r="CH971" t="s">
        <v>206</v>
      </c>
      <c r="CI971" t="s">
        <v>206</v>
      </c>
      <c r="CL971" t="s">
        <v>108</v>
      </c>
      <c r="CM971" t="s">
        <v>109</v>
      </c>
      <c r="CN971" t="str">
        <f>"Tahir"</f>
        <v>Tahir</v>
      </c>
      <c r="CO971" t="str">
        <f>"Hassan"</f>
        <v>Hassan</v>
      </c>
      <c r="CP971" t="str">
        <f>""</f>
        <v/>
      </c>
      <c r="CQ971" t="str">
        <f>"PwC Law LLP"</f>
        <v>PwC Law LLP</v>
      </c>
      <c r="CR971" t="s">
        <v>3809</v>
      </c>
    </row>
    <row r="972" spans="1:96" x14ac:dyDescent="0.2">
      <c r="A972" t="s">
        <v>10689</v>
      </c>
      <c r="B972" t="s">
        <v>96</v>
      </c>
      <c r="C972" s="1">
        <v>44098</v>
      </c>
      <c r="D972" s="1">
        <v>44105</v>
      </c>
      <c r="F972" t="s">
        <v>97</v>
      </c>
      <c r="G972" t="str">
        <f>"Global Equity Analyst "</f>
        <v xml:space="preserve">Global Equity Analyst </v>
      </c>
      <c r="H972" t="s">
        <v>12213</v>
      </c>
      <c r="I972" t="s">
        <v>493</v>
      </c>
      <c r="J972" t="s">
        <v>98</v>
      </c>
      <c r="K972" s="1">
        <v>44268</v>
      </c>
      <c r="L972" s="1">
        <v>45363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 t="s">
        <v>10690</v>
      </c>
      <c r="U972" t="str">
        <f>""</f>
        <v/>
      </c>
      <c r="V972" t="s">
        <v>10691</v>
      </c>
      <c r="W972" t="str">
        <f>""</f>
        <v/>
      </c>
      <c r="X972" t="s">
        <v>1371</v>
      </c>
      <c r="Y972" t="s">
        <v>193</v>
      </c>
      <c r="Z972" s="3">
        <v>66202</v>
      </c>
      <c r="AA972" t="s">
        <v>101</v>
      </c>
      <c r="AC972" s="4" t="str">
        <f>"+19132362300"</f>
        <v>+19132362300</v>
      </c>
      <c r="AE972" t="str">
        <f>"523920"</f>
        <v>523920</v>
      </c>
      <c r="AF972" t="s">
        <v>2272</v>
      </c>
      <c r="AG972" t="s">
        <v>10692</v>
      </c>
      <c r="AI972" t="s">
        <v>8100</v>
      </c>
      <c r="AJ972" t="s">
        <v>10691</v>
      </c>
      <c r="AK972" t="str">
        <f>""</f>
        <v/>
      </c>
      <c r="AL972" t="s">
        <v>1371</v>
      </c>
      <c r="AM972" t="s">
        <v>193</v>
      </c>
      <c r="AN972" s="3">
        <v>66202</v>
      </c>
      <c r="AO972" t="s">
        <v>101</v>
      </c>
      <c r="AQ972" t="str">
        <f>"+19132362300"</f>
        <v>+19132362300</v>
      </c>
      <c r="AS972" t="s">
        <v>10693</v>
      </c>
      <c r="AT972" t="s">
        <v>107</v>
      </c>
      <c r="AU972" t="str">
        <f>"Johnson"</f>
        <v>Johnson</v>
      </c>
      <c r="AV972" t="str">
        <f>"David"</f>
        <v>David</v>
      </c>
      <c r="AW972" t="str">
        <f>"W."</f>
        <v>W.</v>
      </c>
      <c r="AX972" t="str">
        <f>"665 Fifth Avenue"</f>
        <v>665 Fifth Avenue</v>
      </c>
      <c r="AY972" t="str">
        <f>""</f>
        <v/>
      </c>
      <c r="AZ972" t="str">
        <f>"New York"</f>
        <v>New York</v>
      </c>
      <c r="BA972" t="str">
        <f>"NY"</f>
        <v>NY</v>
      </c>
      <c r="BB972" s="3">
        <v>10022</v>
      </c>
      <c r="BC972" t="str">
        <f t="shared" ref="BC972:BC996" si="74">"UNITED STATES OF AMERICA"</f>
        <v>UNITED STATES OF AMERICA</v>
      </c>
      <c r="BD972" t="str">
        <f>""</f>
        <v/>
      </c>
      <c r="BE972" t="str">
        <f>"+12126885151"</f>
        <v>+12126885151</v>
      </c>
      <c r="BF972" t="str">
        <f>""</f>
        <v/>
      </c>
      <c r="BG972" t="str">
        <f>"alopezsanchez@gibney.com"</f>
        <v>alopezsanchez@gibney.com</v>
      </c>
      <c r="BH972" t="str">
        <f>"Gibney, Anthony &amp; Flaherty LLP"</f>
        <v>Gibney, Anthony &amp; Flaherty LLP</v>
      </c>
      <c r="BI972" t="str">
        <f>"MN"</f>
        <v>MN</v>
      </c>
      <c r="BJ972" t="str">
        <f>"Supreme Court"</f>
        <v>Supreme Court</v>
      </c>
      <c r="BK972">
        <v>1</v>
      </c>
      <c r="BL972" t="s">
        <v>102</v>
      </c>
      <c r="BM972" t="str">
        <f>""</f>
        <v/>
      </c>
      <c r="BN972" t="s">
        <v>10691</v>
      </c>
      <c r="BP972" t="s">
        <v>1371</v>
      </c>
      <c r="BQ972" t="s">
        <v>1372</v>
      </c>
      <c r="BR972" t="s">
        <v>193</v>
      </c>
      <c r="BS972" s="5">
        <v>66202</v>
      </c>
      <c r="BT972" s="2">
        <v>140000</v>
      </c>
      <c r="BV972" t="s">
        <v>105</v>
      </c>
      <c r="BW972" s="2">
        <v>101358</v>
      </c>
      <c r="BX972" t="s">
        <v>105</v>
      </c>
      <c r="BZ972" t="s">
        <v>159</v>
      </c>
      <c r="CA972" t="str">
        <f>"7/1/2020 - 6/30/2021"</f>
        <v>7/1/2020 - 6/30/2021</v>
      </c>
      <c r="CF972">
        <v>1</v>
      </c>
      <c r="CG972" t="s">
        <v>98</v>
      </c>
      <c r="CH972" t="s">
        <v>206</v>
      </c>
      <c r="CI972" t="s">
        <v>206</v>
      </c>
      <c r="CL972" t="s">
        <v>108</v>
      </c>
      <c r="CM972" t="s">
        <v>109</v>
      </c>
      <c r="CN972" t="str">
        <f>"Lopez Sanchez (12545-00004.002)"</f>
        <v>Lopez Sanchez (12545-00004.002)</v>
      </c>
      <c r="CO972" t="str">
        <f>"Annais"</f>
        <v>Annais</v>
      </c>
      <c r="CP972" t="str">
        <f>""</f>
        <v/>
      </c>
      <c r="CQ972" t="str">
        <f>"Gibney, Anthony &amp; Flaherty, LLP"</f>
        <v>Gibney, Anthony &amp; Flaherty, LLP</v>
      </c>
      <c r="CR972" t="s">
        <v>7476</v>
      </c>
    </row>
    <row r="973" spans="1:96" x14ac:dyDescent="0.2">
      <c r="A973" t="s">
        <v>10699</v>
      </c>
      <c r="B973" t="s">
        <v>96</v>
      </c>
      <c r="C973" s="1">
        <v>44098</v>
      </c>
      <c r="D973" s="1">
        <v>44105</v>
      </c>
      <c r="F973" t="s">
        <v>97</v>
      </c>
      <c r="G973" t="str">
        <f>"Technical Architect"</f>
        <v>Technical Architect</v>
      </c>
      <c r="H973" t="s">
        <v>12169</v>
      </c>
      <c r="I973" t="s">
        <v>124</v>
      </c>
      <c r="J973" t="s">
        <v>98</v>
      </c>
      <c r="K973" s="1">
        <v>44103</v>
      </c>
      <c r="L973" s="1">
        <v>45197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5582</v>
      </c>
      <c r="U973" t="str">
        <f>""</f>
        <v/>
      </c>
      <c r="V973" t="s">
        <v>5583</v>
      </c>
      <c r="W973" t="str">
        <f>"Suite 1400"</f>
        <v>Suite 1400</v>
      </c>
      <c r="X973" t="s">
        <v>213</v>
      </c>
      <c r="Y973" t="s">
        <v>215</v>
      </c>
      <c r="Z973" s="3">
        <v>30328</v>
      </c>
      <c r="AA973" t="s">
        <v>101</v>
      </c>
      <c r="AC973" s="4" t="str">
        <f>"+18042738047"</f>
        <v>+18042738047</v>
      </c>
      <c r="AE973" t="str">
        <f>"541611"</f>
        <v>541611</v>
      </c>
      <c r="AF973" t="s">
        <v>5584</v>
      </c>
      <c r="AG973" t="s">
        <v>2370</v>
      </c>
      <c r="AI973" t="s">
        <v>5585</v>
      </c>
      <c r="AJ973" t="s">
        <v>5583</v>
      </c>
      <c r="AK973" t="str">
        <f>"Suite 1400"</f>
        <v>Suite 1400</v>
      </c>
      <c r="AL973" t="s">
        <v>213</v>
      </c>
      <c r="AM973" t="s">
        <v>215</v>
      </c>
      <c r="AN973" s="3">
        <v>30328</v>
      </c>
      <c r="AO973" t="s">
        <v>101</v>
      </c>
      <c r="AQ973" t="str">
        <f>"+17703792380"</f>
        <v>+17703792380</v>
      </c>
      <c r="AS973" t="s">
        <v>5586</v>
      </c>
      <c r="AT973" t="s">
        <v>107</v>
      </c>
      <c r="AU973" t="str">
        <f>"Sherman"</f>
        <v>Sherman</v>
      </c>
      <c r="AV973" t="str">
        <f>"Kyle"</f>
        <v>Kyle</v>
      </c>
      <c r="AW973" t="str">
        <f>""</f>
        <v/>
      </c>
      <c r="AX973" t="str">
        <f>"1355 Peachtree St NE"</f>
        <v>1355 Peachtree St NE</v>
      </c>
      <c r="AY973" t="str">
        <f>"Suite 900"</f>
        <v>Suite 900</v>
      </c>
      <c r="AZ973" t="str">
        <f>"Atlanta"</f>
        <v>Atlanta</v>
      </c>
      <c r="BA973" t="str">
        <f>"GA"</f>
        <v>GA</v>
      </c>
      <c r="BB973" s="3">
        <v>30309</v>
      </c>
      <c r="BC973" t="str">
        <f t="shared" si="74"/>
        <v>UNITED STATES OF AMERICA</v>
      </c>
      <c r="BD973" t="str">
        <f>""</f>
        <v/>
      </c>
      <c r="BE973" t="str">
        <f>"+14048565532"</f>
        <v>+14048565532</v>
      </c>
      <c r="BF973" t="str">
        <f>""</f>
        <v/>
      </c>
      <c r="BG973" t="str">
        <f>"gmorajuarez@fragomen.com"</f>
        <v>gmorajuarez@fragomen.com</v>
      </c>
      <c r="BH973" t="str">
        <f>"Fragomen, Del Rey, Bernsen, &amp; Lowey LLP"</f>
        <v>Fragomen, Del Rey, Bernsen, &amp; Lowey LLP</v>
      </c>
      <c r="BI973" t="str">
        <f>"GA"</f>
        <v>GA</v>
      </c>
      <c r="BJ973" t="str">
        <f>"Supreme Court"</f>
        <v>Supreme Court</v>
      </c>
      <c r="BK973">
        <v>1</v>
      </c>
      <c r="BL973" t="s">
        <v>102</v>
      </c>
      <c r="BM973" t="str">
        <f>""</f>
        <v/>
      </c>
      <c r="BN973" t="s">
        <v>10700</v>
      </c>
      <c r="BO973" t="s">
        <v>754</v>
      </c>
      <c r="BP973" t="s">
        <v>5306</v>
      </c>
      <c r="BQ973" t="s">
        <v>529</v>
      </c>
      <c r="BR973" t="s">
        <v>127</v>
      </c>
      <c r="BS973" s="5">
        <v>19422</v>
      </c>
      <c r="BT973" s="2">
        <v>119416</v>
      </c>
      <c r="BU973" s="2">
        <v>164150</v>
      </c>
      <c r="BV973" t="s">
        <v>105</v>
      </c>
      <c r="BW973" s="2">
        <v>119416</v>
      </c>
      <c r="BX973" t="s">
        <v>105</v>
      </c>
      <c r="CA973" t="str">
        <f>""</f>
        <v/>
      </c>
      <c r="CB973" t="s">
        <v>244</v>
      </c>
      <c r="CC973">
        <v>2019</v>
      </c>
      <c r="CD973" t="s">
        <v>245</v>
      </c>
      <c r="CE973" t="s">
        <v>597</v>
      </c>
      <c r="CF973">
        <v>2</v>
      </c>
      <c r="CG973" t="s">
        <v>98</v>
      </c>
      <c r="CH973" t="s">
        <v>206</v>
      </c>
      <c r="CI973" t="s">
        <v>206</v>
      </c>
      <c r="CL973" t="s">
        <v>108</v>
      </c>
      <c r="CM973" t="s">
        <v>109</v>
      </c>
      <c r="CN973" t="str">
        <f>""</f>
        <v/>
      </c>
      <c r="CO973" t="str">
        <f>""</f>
        <v/>
      </c>
      <c r="CP973" t="str">
        <f>""</f>
        <v/>
      </c>
      <c r="CQ973" t="str">
        <f>""</f>
        <v/>
      </c>
    </row>
    <row r="974" spans="1:96" x14ac:dyDescent="0.2">
      <c r="A974" t="s">
        <v>10707</v>
      </c>
      <c r="B974" t="s">
        <v>96</v>
      </c>
      <c r="C974" s="1">
        <v>44098</v>
      </c>
      <c r="D974" s="1">
        <v>44105</v>
      </c>
      <c r="F974" t="s">
        <v>97</v>
      </c>
      <c r="G974" t="str">
        <f>"Postdoctoral Research Associate "</f>
        <v xml:space="preserve">Postdoctoral Research Associate </v>
      </c>
      <c r="H974" t="s">
        <v>12190</v>
      </c>
      <c r="I974" t="s">
        <v>1072</v>
      </c>
      <c r="J974" t="s">
        <v>98</v>
      </c>
      <c r="K974" s="1">
        <v>44245</v>
      </c>
      <c r="L974" s="1">
        <v>45339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7727</v>
      </c>
      <c r="U974" t="str">
        <f>""</f>
        <v/>
      </c>
      <c r="V974" t="s">
        <v>7728</v>
      </c>
      <c r="W974" t="str">
        <f>""</f>
        <v/>
      </c>
      <c r="X974" t="s">
        <v>394</v>
      </c>
      <c r="Y974" t="s">
        <v>114</v>
      </c>
      <c r="Z974" s="3">
        <v>77005</v>
      </c>
      <c r="AA974" t="s">
        <v>101</v>
      </c>
      <c r="AC974" s="4" t="str">
        <f>"+17133486323"</f>
        <v>+17133486323</v>
      </c>
      <c r="AE974" t="str">
        <f>"611310"</f>
        <v>611310</v>
      </c>
      <c r="AF974" t="s">
        <v>8539</v>
      </c>
      <c r="AG974" t="s">
        <v>7352</v>
      </c>
      <c r="AI974" t="s">
        <v>8540</v>
      </c>
      <c r="AJ974" t="s">
        <v>7732</v>
      </c>
      <c r="AK974" t="str">
        <f>""</f>
        <v/>
      </c>
      <c r="AL974" t="s">
        <v>394</v>
      </c>
      <c r="AM974" t="s">
        <v>114</v>
      </c>
      <c r="AN974" s="3">
        <v>77005</v>
      </c>
      <c r="AO974" t="s">
        <v>101</v>
      </c>
      <c r="AQ974" t="str">
        <f>"+17133486323"</f>
        <v>+17133486323</v>
      </c>
      <c r="AS974" t="s">
        <v>7731</v>
      </c>
      <c r="AT974" t="s">
        <v>107</v>
      </c>
      <c r="AU974" t="str">
        <f>"Eichorn"</f>
        <v>Eichorn</v>
      </c>
      <c r="AV974" t="str">
        <f>"Philip "</f>
        <v xml:space="preserve">Philip </v>
      </c>
      <c r="AW974" t="str">
        <f>""</f>
        <v/>
      </c>
      <c r="AX974" t="str">
        <f>"3 Greenway Plaza "</f>
        <v xml:space="preserve">3 Greenway Plaza </v>
      </c>
      <c r="AY974" t="str">
        <f>""</f>
        <v/>
      </c>
      <c r="AZ974" t="str">
        <f>"Houston "</f>
        <v xml:space="preserve">Houston </v>
      </c>
      <c r="BA974" t="str">
        <f>"TX"</f>
        <v>TX</v>
      </c>
      <c r="BB974" s="3">
        <v>77046</v>
      </c>
      <c r="BC974" t="str">
        <f t="shared" si="74"/>
        <v>UNITED STATES OF AMERICA</v>
      </c>
      <c r="BD974" t="str">
        <f>""</f>
        <v/>
      </c>
      <c r="BE974" t="str">
        <f>"+17133353930"</f>
        <v>+17133353930</v>
      </c>
      <c r="BF974" t="str">
        <f>""</f>
        <v/>
      </c>
      <c r="BG974" t="str">
        <f>"RiceImmigration@fosterglobal.com"</f>
        <v>RiceImmigration@fosterglobal.com</v>
      </c>
      <c r="BH974" t="str">
        <f>"Foster LLP "</f>
        <v xml:space="preserve">Foster LLP </v>
      </c>
      <c r="BI974" t="str">
        <f>"OH"</f>
        <v>OH</v>
      </c>
      <c r="BJ974" t="str">
        <f>"Supreme Court of Ohio "</f>
        <v xml:space="preserve">Supreme Court of Ohio </v>
      </c>
      <c r="BK974">
        <v>1</v>
      </c>
      <c r="BL974" t="s">
        <v>102</v>
      </c>
      <c r="BM974" t="str">
        <f>""</f>
        <v/>
      </c>
      <c r="BN974" t="s">
        <v>7728</v>
      </c>
      <c r="BP974" t="s">
        <v>394</v>
      </c>
      <c r="BQ974" t="s">
        <v>395</v>
      </c>
      <c r="BR974" t="s">
        <v>114</v>
      </c>
      <c r="BS974" s="5">
        <v>77005</v>
      </c>
      <c r="BT974" s="2">
        <v>48000</v>
      </c>
      <c r="BV974" t="s">
        <v>105</v>
      </c>
      <c r="BW974" s="2">
        <v>35589</v>
      </c>
      <c r="BX974" t="s">
        <v>105</v>
      </c>
      <c r="BZ974" t="s">
        <v>191</v>
      </c>
      <c r="CA974" t="str">
        <f t="shared" ref="CA974:CA1005" si="75">"7/1/2020 - 6/30/2021"</f>
        <v>7/1/2020 - 6/30/2021</v>
      </c>
      <c r="CF974">
        <v>1</v>
      </c>
      <c r="CG974" t="s">
        <v>98</v>
      </c>
      <c r="CH974" t="s">
        <v>206</v>
      </c>
      <c r="CI974" t="s">
        <v>206</v>
      </c>
      <c r="CL974" t="s">
        <v>108</v>
      </c>
      <c r="CM974" t="s">
        <v>109</v>
      </c>
      <c r="CN974" t="str">
        <f>"Eichorn"</f>
        <v>Eichorn</v>
      </c>
      <c r="CO974" t="str">
        <f>"Philip"</f>
        <v>Philip</v>
      </c>
      <c r="CP974" t="str">
        <f>""</f>
        <v/>
      </c>
      <c r="CQ974" t="str">
        <f>"Foster LLP "</f>
        <v xml:space="preserve">Foster LLP </v>
      </c>
      <c r="CR974" t="s">
        <v>7733</v>
      </c>
    </row>
    <row r="975" spans="1:96" x14ac:dyDescent="0.2">
      <c r="A975" t="s">
        <v>10710</v>
      </c>
      <c r="B975" t="s">
        <v>96</v>
      </c>
      <c r="C975" s="1">
        <v>44098</v>
      </c>
      <c r="D975" s="1">
        <v>44105</v>
      </c>
      <c r="F975" t="s">
        <v>97</v>
      </c>
      <c r="G975" t="str">
        <f>"Staff, Scrum Master"</f>
        <v>Staff, Scrum Master</v>
      </c>
      <c r="H975" t="s">
        <v>12181</v>
      </c>
      <c r="I975" t="s">
        <v>110</v>
      </c>
      <c r="J975" t="s">
        <v>98</v>
      </c>
      <c r="K975" s="1">
        <v>44278</v>
      </c>
      <c r="L975" s="1">
        <v>45373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 t="s">
        <v>3597</v>
      </c>
      <c r="U975" t="str">
        <f>""</f>
        <v/>
      </c>
      <c r="V975" t="s">
        <v>3598</v>
      </c>
      <c r="W975" t="str">
        <f>""</f>
        <v/>
      </c>
      <c r="X975" t="s">
        <v>3551</v>
      </c>
      <c r="Y975" t="s">
        <v>166</v>
      </c>
      <c r="Z975" s="3">
        <v>80124</v>
      </c>
      <c r="AA975" t="s">
        <v>101</v>
      </c>
      <c r="AC975" s="4" t="str">
        <f>"+17204185071"</f>
        <v>+17204185071</v>
      </c>
      <c r="AE975" t="str">
        <f>"52311"</f>
        <v>52311</v>
      </c>
      <c r="AF975" t="s">
        <v>3599</v>
      </c>
      <c r="AG975" t="s">
        <v>3600</v>
      </c>
      <c r="AI975" t="s">
        <v>3601</v>
      </c>
      <c r="AJ975" t="s">
        <v>3598</v>
      </c>
      <c r="AK975" t="str">
        <f>""</f>
        <v/>
      </c>
      <c r="AL975" t="s">
        <v>3551</v>
      </c>
      <c r="AM975" t="s">
        <v>166</v>
      </c>
      <c r="AN975" s="3">
        <v>80124</v>
      </c>
      <c r="AO975" t="s">
        <v>101</v>
      </c>
      <c r="AQ975" t="str">
        <f>"+17372473218"</f>
        <v>+17372473218</v>
      </c>
      <c r="AS975" t="s">
        <v>3602</v>
      </c>
      <c r="AT975" t="s">
        <v>107</v>
      </c>
      <c r="AU975" t="str">
        <f>"BAHNAN"</f>
        <v>BAHNAN</v>
      </c>
      <c r="AV975" t="str">
        <f>"NADINE"</f>
        <v>NADINE</v>
      </c>
      <c r="AW975" t="str">
        <f>"KHAMIS"</f>
        <v>KHAMIS</v>
      </c>
      <c r="AX975" t="str">
        <f>"555 MONTGOMERY STREET"</f>
        <v>555 MONTGOMERY STREET</v>
      </c>
      <c r="AY975" t="str">
        <f>"4TH FLOOR C#5190088"</f>
        <v>4TH FLOOR C#5190088</v>
      </c>
      <c r="AZ975" t="str">
        <f>"SAN FRANCISCO"</f>
        <v>SAN FRANCISCO</v>
      </c>
      <c r="BA975" t="str">
        <f>"CA"</f>
        <v>CA</v>
      </c>
      <c r="BB975" s="3">
        <v>94111</v>
      </c>
      <c r="BC975" t="str">
        <f t="shared" si="74"/>
        <v>UNITED STATES OF AMERICA</v>
      </c>
      <c r="BD975" t="str">
        <f>""</f>
        <v/>
      </c>
      <c r="BE975" t="str">
        <f>"+14159861446"</f>
        <v>+14159861446</v>
      </c>
      <c r="BF975" t="str">
        <f>""</f>
        <v/>
      </c>
      <c r="BG975" t="str">
        <f>"ImmigrationSpecialist@fragomen.com"</f>
        <v>ImmigrationSpecialist@fragomen.com</v>
      </c>
      <c r="BH975" t="str">
        <f>"FRAGOMEN, DEL REY, BERNSEN &amp; LOEWY, LLP"</f>
        <v>FRAGOMEN, DEL REY, BERNSEN &amp; LOEWY, LLP</v>
      </c>
      <c r="BI975" t="str">
        <f>"CA"</f>
        <v>CA</v>
      </c>
      <c r="BJ975" t="str">
        <f>"SUPREME COURT"</f>
        <v>SUPREME COURT</v>
      </c>
      <c r="BK975">
        <v>1</v>
      </c>
      <c r="BL975" t="s">
        <v>102</v>
      </c>
      <c r="BM975" t="str">
        <f>""</f>
        <v/>
      </c>
      <c r="BN975" t="s">
        <v>5867</v>
      </c>
      <c r="BP975" t="s">
        <v>2635</v>
      </c>
      <c r="BQ975" t="s">
        <v>792</v>
      </c>
      <c r="BR975" t="s">
        <v>114</v>
      </c>
      <c r="BS975" s="5">
        <v>76262</v>
      </c>
      <c r="BT975" s="2">
        <v>103584</v>
      </c>
      <c r="BU975" s="2">
        <v>118700</v>
      </c>
      <c r="BV975" t="s">
        <v>105</v>
      </c>
      <c r="BW975" s="2">
        <v>97240</v>
      </c>
      <c r="BX975" t="s">
        <v>105</v>
      </c>
      <c r="BZ975" t="s">
        <v>123</v>
      </c>
      <c r="CA975" t="str">
        <f t="shared" si="75"/>
        <v>7/1/2020 - 6/30/2021</v>
      </c>
      <c r="CF975">
        <v>2</v>
      </c>
      <c r="CG975" t="s">
        <v>98</v>
      </c>
      <c r="CH975" t="s">
        <v>206</v>
      </c>
      <c r="CI975" t="s">
        <v>206</v>
      </c>
      <c r="CL975" t="s">
        <v>108</v>
      </c>
      <c r="CM975" t="s">
        <v>109</v>
      </c>
      <c r="CN975" t="str">
        <f>"BAHNAN"</f>
        <v>BAHNAN</v>
      </c>
      <c r="CO975" t="str">
        <f>"NADINE"</f>
        <v>NADINE</v>
      </c>
      <c r="CP975" t="str">
        <f>"K"</f>
        <v>K</v>
      </c>
      <c r="CQ975" t="str">
        <f>"FRAGOMEN, DEL REY, BERNSEN &amp; LOEWY, LLP"</f>
        <v>FRAGOMEN, DEL REY, BERNSEN &amp; LOEWY, LLP</v>
      </c>
      <c r="CR975" t="s">
        <v>5990</v>
      </c>
    </row>
    <row r="976" spans="1:96" x14ac:dyDescent="0.2">
      <c r="A976" t="s">
        <v>10721</v>
      </c>
      <c r="B976" t="s">
        <v>96</v>
      </c>
      <c r="C976" s="1">
        <v>44098</v>
      </c>
      <c r="D976" s="1">
        <v>44105</v>
      </c>
      <c r="F976" t="s">
        <v>97</v>
      </c>
      <c r="G976" t="str">
        <f>"Software Developer"</f>
        <v>Software Developer</v>
      </c>
      <c r="H976" t="s">
        <v>12169</v>
      </c>
      <c r="I976" t="s">
        <v>124</v>
      </c>
      <c r="J976" t="s">
        <v>98</v>
      </c>
      <c r="K976" s="1">
        <v>44105</v>
      </c>
      <c r="L976" s="1">
        <v>45199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10722</v>
      </c>
      <c r="U976" t="str">
        <f>""</f>
        <v/>
      </c>
      <c r="V976" t="s">
        <v>10723</v>
      </c>
      <c r="W976" t="str">
        <f>"Suite 500"</f>
        <v>Suite 500</v>
      </c>
      <c r="X976" t="s">
        <v>1335</v>
      </c>
      <c r="Y976" t="s">
        <v>114</v>
      </c>
      <c r="Z976" s="3">
        <v>77380</v>
      </c>
      <c r="AA976" t="s">
        <v>101</v>
      </c>
      <c r="AC976" s="4" t="str">
        <f>"+18324577473"</f>
        <v>+18324577473</v>
      </c>
      <c r="AE976" t="str">
        <f>"541511"</f>
        <v>541511</v>
      </c>
      <c r="AF976" t="s">
        <v>10724</v>
      </c>
      <c r="AG976" t="s">
        <v>7223</v>
      </c>
      <c r="AI976" t="s">
        <v>10725</v>
      </c>
      <c r="AJ976" t="s">
        <v>10723</v>
      </c>
      <c r="AK976" t="str">
        <f>"Suite 500"</f>
        <v>Suite 500</v>
      </c>
      <c r="AL976" t="s">
        <v>1335</v>
      </c>
      <c r="AM976" t="s">
        <v>114</v>
      </c>
      <c r="AN976" s="3">
        <v>77380</v>
      </c>
      <c r="AO976" t="s">
        <v>101</v>
      </c>
      <c r="AQ976" t="str">
        <f>"+18324577473"</f>
        <v>+18324577473</v>
      </c>
      <c r="AS976" t="s">
        <v>10726</v>
      </c>
      <c r="AT976" t="s">
        <v>107</v>
      </c>
      <c r="AU976" t="str">
        <f>"Akula"</f>
        <v>Akula</v>
      </c>
      <c r="AV976" t="str">
        <f>"Kavitha"</f>
        <v>Kavitha</v>
      </c>
      <c r="AW976" t="str">
        <f>""</f>
        <v/>
      </c>
      <c r="AX976" t="str">
        <f>"17400 DALLAS PKWY"</f>
        <v>17400 DALLAS PKWY</v>
      </c>
      <c r="AY976" t="str">
        <f>"SUITE 216"</f>
        <v>SUITE 216</v>
      </c>
      <c r="AZ976" t="str">
        <f>"DALLAS"</f>
        <v>DALLAS</v>
      </c>
      <c r="BA976" t="str">
        <f>"TX"</f>
        <v>TX</v>
      </c>
      <c r="BB976" s="3">
        <v>75287</v>
      </c>
      <c r="BC976" t="str">
        <f t="shared" si="74"/>
        <v>UNITED STATES OF AMERICA</v>
      </c>
      <c r="BD976" t="str">
        <f>""</f>
        <v/>
      </c>
      <c r="BE976" t="str">
        <f>"+19722414698"</f>
        <v>+19722414698</v>
      </c>
      <c r="BF976" t="str">
        <f>""</f>
        <v/>
      </c>
      <c r="BG976" t="str">
        <f>"inella.coleman@akulalaw.com"</f>
        <v>inella.coleman@akulalaw.com</v>
      </c>
      <c r="BH976" t="str">
        <f>"Akula &amp; Associates, P.C."</f>
        <v>Akula &amp; Associates, P.C.</v>
      </c>
      <c r="BI976" t="str">
        <f>"TX"</f>
        <v>TX</v>
      </c>
      <c r="BJ976" t="str">
        <f>"SUPREME COURT"</f>
        <v>SUPREME COURT</v>
      </c>
      <c r="BK976">
        <v>1</v>
      </c>
      <c r="BL976" t="s">
        <v>102</v>
      </c>
      <c r="BM976" t="str">
        <f>""</f>
        <v/>
      </c>
      <c r="BN976" t="s">
        <v>10727</v>
      </c>
      <c r="BP976" t="s">
        <v>1335</v>
      </c>
      <c r="BQ976" t="s">
        <v>529</v>
      </c>
      <c r="BR976" t="s">
        <v>114</v>
      </c>
      <c r="BS976" s="5">
        <v>77380</v>
      </c>
      <c r="BT976" s="2">
        <v>73362</v>
      </c>
      <c r="BU976" s="2">
        <v>80000</v>
      </c>
      <c r="BV976" t="s">
        <v>105</v>
      </c>
      <c r="BW976" s="2">
        <v>73362</v>
      </c>
      <c r="BX976" t="s">
        <v>105</v>
      </c>
      <c r="BZ976" t="s">
        <v>191</v>
      </c>
      <c r="CA976" t="str">
        <f t="shared" si="75"/>
        <v>7/1/2020 - 6/30/2021</v>
      </c>
      <c r="CF976">
        <v>1</v>
      </c>
      <c r="CG976" t="s">
        <v>98</v>
      </c>
      <c r="CH976" t="s">
        <v>206</v>
      </c>
      <c r="CI976" t="s">
        <v>206</v>
      </c>
      <c r="CL976" t="s">
        <v>108</v>
      </c>
      <c r="CM976" t="s">
        <v>109</v>
      </c>
      <c r="CN976" t="str">
        <f>""</f>
        <v/>
      </c>
      <c r="CO976" t="str">
        <f>""</f>
        <v/>
      </c>
      <c r="CP976" t="str">
        <f>""</f>
        <v/>
      </c>
      <c r="CQ976" t="str">
        <f>""</f>
        <v/>
      </c>
    </row>
    <row r="977" spans="1:96" x14ac:dyDescent="0.2">
      <c r="A977" t="s">
        <v>10730</v>
      </c>
      <c r="B977" t="s">
        <v>96</v>
      </c>
      <c r="C977" s="1">
        <v>44098</v>
      </c>
      <c r="D977" s="1">
        <v>44105</v>
      </c>
      <c r="F977" t="s">
        <v>97</v>
      </c>
      <c r="G977" t="str">
        <f>"PRINCIPAL DATA ANALYST"</f>
        <v>PRINCIPAL DATA ANALYST</v>
      </c>
      <c r="H977" t="s">
        <v>12176</v>
      </c>
      <c r="I977" t="s">
        <v>246</v>
      </c>
      <c r="J977" t="s">
        <v>98</v>
      </c>
      <c r="K977" s="1">
        <v>44197</v>
      </c>
      <c r="L977" s="1">
        <v>45291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 t="s">
        <v>10731</v>
      </c>
      <c r="U977" t="str">
        <f>""</f>
        <v/>
      </c>
      <c r="V977" t="s">
        <v>10732</v>
      </c>
      <c r="W977" t="str">
        <f>"UNIT #803"</f>
        <v>UNIT #803</v>
      </c>
      <c r="X977" t="s">
        <v>4447</v>
      </c>
      <c r="Y977" t="s">
        <v>114</v>
      </c>
      <c r="Z977" s="3">
        <v>77459</v>
      </c>
      <c r="AA977" t="s">
        <v>101</v>
      </c>
      <c r="AC977" s="4" t="str">
        <f>"+17135850099"</f>
        <v>+17135850099</v>
      </c>
      <c r="AE977" t="str">
        <f>"541511"</f>
        <v>541511</v>
      </c>
      <c r="AF977" t="s">
        <v>4448</v>
      </c>
      <c r="AG977" t="s">
        <v>4449</v>
      </c>
      <c r="AI977" t="s">
        <v>425</v>
      </c>
      <c r="AJ977" t="s">
        <v>10732</v>
      </c>
      <c r="AK977" t="str">
        <f>"UNIT #803"</f>
        <v>UNIT #803</v>
      </c>
      <c r="AL977" t="s">
        <v>4447</v>
      </c>
      <c r="AM977" t="s">
        <v>114</v>
      </c>
      <c r="AN977" s="3">
        <v>77459</v>
      </c>
      <c r="AO977" t="s">
        <v>101</v>
      </c>
      <c r="AQ977" t="str">
        <f>"+17135850099"</f>
        <v>+17135850099</v>
      </c>
      <c r="AS977" t="s">
        <v>4450</v>
      </c>
      <c r="AT977" t="s">
        <v>107</v>
      </c>
      <c r="AU977" t="str">
        <f>"NGUYEN"</f>
        <v>NGUYEN</v>
      </c>
      <c r="AV977" t="str">
        <f>"KHOA"</f>
        <v>KHOA</v>
      </c>
      <c r="AW977" t="str">
        <f>"DANG"</f>
        <v>DANG</v>
      </c>
      <c r="AX977" t="str">
        <f>"6100 CORPORATE DR"</f>
        <v>6100 CORPORATE DR</v>
      </c>
      <c r="AY977" t="str">
        <f>"STE. 170"</f>
        <v>STE. 170</v>
      </c>
      <c r="AZ977" t="str">
        <f>"HOUSTON"</f>
        <v>HOUSTON</v>
      </c>
      <c r="BA977" t="str">
        <f>"TX"</f>
        <v>TX</v>
      </c>
      <c r="BB977" s="3">
        <v>77036</v>
      </c>
      <c r="BC977" t="str">
        <f t="shared" si="74"/>
        <v>UNITED STATES OF AMERICA</v>
      </c>
      <c r="BD977" t="str">
        <f>""</f>
        <v/>
      </c>
      <c r="BE977" t="str">
        <f>"+12812243835"</f>
        <v>+12812243835</v>
      </c>
      <c r="BF977" t="str">
        <f>""</f>
        <v/>
      </c>
      <c r="BG977" t="str">
        <f>"STEVEN@SKNLAWFIRM.COM"</f>
        <v>STEVEN@SKNLAWFIRM.COM</v>
      </c>
      <c r="BH977" t="str">
        <f>"LAW OFFICE OF STEVEN NGUYEN"</f>
        <v>LAW OFFICE OF STEVEN NGUYEN</v>
      </c>
      <c r="BI977" t="str">
        <f>"TX"</f>
        <v>TX</v>
      </c>
      <c r="BJ977" t="str">
        <f>"SUPREME COURT"</f>
        <v>SUPREME COURT</v>
      </c>
      <c r="BK977">
        <v>1</v>
      </c>
      <c r="BL977" t="s">
        <v>107</v>
      </c>
      <c r="BM977" t="str">
        <f>"AT&amp;T, INC."</f>
        <v>AT&amp;T, INC.</v>
      </c>
      <c r="BN977" t="s">
        <v>10624</v>
      </c>
      <c r="BP977" t="s">
        <v>2748</v>
      </c>
      <c r="BQ977" t="s">
        <v>183</v>
      </c>
      <c r="BR977" t="s">
        <v>176</v>
      </c>
      <c r="BS977" s="5">
        <v>98011</v>
      </c>
      <c r="BT977" s="2">
        <v>113110</v>
      </c>
      <c r="BU977" s="2">
        <v>118110</v>
      </c>
      <c r="BV977" t="s">
        <v>105</v>
      </c>
      <c r="BW977" s="2">
        <v>113110</v>
      </c>
      <c r="BX977" t="s">
        <v>105</v>
      </c>
      <c r="BZ977" t="s">
        <v>167</v>
      </c>
      <c r="CA977" t="str">
        <f t="shared" si="75"/>
        <v>7/1/2020 - 6/30/2021</v>
      </c>
      <c r="CF977">
        <v>2</v>
      </c>
      <c r="CG977" t="s">
        <v>98</v>
      </c>
      <c r="CH977" t="s">
        <v>206</v>
      </c>
      <c r="CI977" t="s">
        <v>206</v>
      </c>
      <c r="CL977" t="s">
        <v>108</v>
      </c>
      <c r="CM977" t="s">
        <v>109</v>
      </c>
      <c r="CN977" t="str">
        <f>""</f>
        <v/>
      </c>
      <c r="CO977" t="str">
        <f>""</f>
        <v/>
      </c>
      <c r="CP977" t="str">
        <f>""</f>
        <v/>
      </c>
      <c r="CQ977" t="str">
        <f>""</f>
        <v/>
      </c>
    </row>
    <row r="978" spans="1:96" x14ac:dyDescent="0.2">
      <c r="A978" t="s">
        <v>10733</v>
      </c>
      <c r="B978" t="s">
        <v>96</v>
      </c>
      <c r="C978" s="1">
        <v>44098</v>
      </c>
      <c r="D978" s="1">
        <v>44105</v>
      </c>
      <c r="F978" t="s">
        <v>97</v>
      </c>
      <c r="G978" t="str">
        <f>"Practice Manager, SMB Vault RIM"</f>
        <v>Practice Manager, SMB Vault RIM</v>
      </c>
      <c r="H978" t="s">
        <v>12176</v>
      </c>
      <c r="I978" t="s">
        <v>246</v>
      </c>
      <c r="J978" t="s">
        <v>98</v>
      </c>
      <c r="K978" s="1">
        <v>44218</v>
      </c>
      <c r="L978" s="1">
        <v>45312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 t="s">
        <v>5010</v>
      </c>
      <c r="U978" t="str">
        <f>""</f>
        <v/>
      </c>
      <c r="V978" t="s">
        <v>5011</v>
      </c>
      <c r="W978" t="str">
        <f>""</f>
        <v/>
      </c>
      <c r="X978" t="s">
        <v>1020</v>
      </c>
      <c r="Y978" t="s">
        <v>141</v>
      </c>
      <c r="Z978" s="3">
        <v>94588</v>
      </c>
      <c r="AA978" t="s">
        <v>101</v>
      </c>
      <c r="AC978" s="4" t="str">
        <f>"+16467951412"</f>
        <v>+16467951412</v>
      </c>
      <c r="AE978" t="str">
        <f>"541511"</f>
        <v>541511</v>
      </c>
      <c r="AF978" t="s">
        <v>10734</v>
      </c>
      <c r="AG978" t="s">
        <v>4476</v>
      </c>
      <c r="AI978" t="s">
        <v>5012</v>
      </c>
      <c r="AJ978" t="s">
        <v>5011</v>
      </c>
      <c r="AK978" t="str">
        <f>""</f>
        <v/>
      </c>
      <c r="AL978" t="s">
        <v>1020</v>
      </c>
      <c r="AM978" t="s">
        <v>141</v>
      </c>
      <c r="AN978" s="3">
        <v>94588</v>
      </c>
      <c r="AO978" t="s">
        <v>101</v>
      </c>
      <c r="AQ978" t="str">
        <f>"+16467951412"</f>
        <v>+16467951412</v>
      </c>
      <c r="AS978" t="s">
        <v>5014</v>
      </c>
      <c r="AT978" t="s">
        <v>107</v>
      </c>
      <c r="AU978" t="str">
        <f>"CRUSHA"</f>
        <v>CRUSHA</v>
      </c>
      <c r="AV978" t="str">
        <f>"JEFFREY"</f>
        <v>JEFFREY</v>
      </c>
      <c r="AW978" t="str">
        <f>"MICHAEL"</f>
        <v>MICHAEL</v>
      </c>
      <c r="AX978" t="str">
        <f>"555 MONTGOMERY STREET"</f>
        <v>555 MONTGOMERY STREET</v>
      </c>
      <c r="AY978" t="str">
        <f>"4th FLOOR"</f>
        <v>4th FLOOR</v>
      </c>
      <c r="AZ978" t="str">
        <f>"SAN FRANCISCO"</f>
        <v>SAN FRANCISCO</v>
      </c>
      <c r="BA978" t="str">
        <f>"CA"</f>
        <v>CA</v>
      </c>
      <c r="BB978" s="3">
        <v>94111</v>
      </c>
      <c r="BC978" t="str">
        <f t="shared" si="74"/>
        <v>UNITED STATES OF AMERICA</v>
      </c>
      <c r="BD978" t="str">
        <f>""</f>
        <v/>
      </c>
      <c r="BE978" t="str">
        <f>"+14159861446"</f>
        <v>+14159861446</v>
      </c>
      <c r="BF978" t="str">
        <f>""</f>
        <v/>
      </c>
      <c r="BG978" t="str">
        <f>"jdarroch@FRAGOMEN.COM"</f>
        <v>jdarroch@FRAGOMEN.COM</v>
      </c>
      <c r="BH978" t="str">
        <f>"FRAGOMEN, DEL REY, BERNSEN &amp; LOEWY, LLP"</f>
        <v>FRAGOMEN, DEL REY, BERNSEN &amp; LOEWY, LLP</v>
      </c>
      <c r="BI978" t="str">
        <f>"NY"</f>
        <v>NY</v>
      </c>
      <c r="BJ978" t="str">
        <f>"NEW YORK COURT OF APPEALS"</f>
        <v>NEW YORK COURT OF APPEALS</v>
      </c>
      <c r="BK978">
        <v>1</v>
      </c>
      <c r="BL978" t="s">
        <v>102</v>
      </c>
      <c r="BM978" t="str">
        <f>""</f>
        <v/>
      </c>
      <c r="BN978" t="s">
        <v>5013</v>
      </c>
      <c r="BP978" t="s">
        <v>631</v>
      </c>
      <c r="BQ978" t="s">
        <v>419</v>
      </c>
      <c r="BR978" t="s">
        <v>141</v>
      </c>
      <c r="BS978" s="5">
        <v>94588</v>
      </c>
      <c r="BT978" s="2">
        <v>135000</v>
      </c>
      <c r="BV978" t="s">
        <v>105</v>
      </c>
      <c r="BW978" s="2">
        <v>120931</v>
      </c>
      <c r="BX978" t="s">
        <v>105</v>
      </c>
      <c r="BZ978" t="s">
        <v>167</v>
      </c>
      <c r="CA978" t="str">
        <f t="shared" si="75"/>
        <v>7/1/2020 - 6/30/2021</v>
      </c>
      <c r="CF978">
        <v>2</v>
      </c>
      <c r="CG978" t="s">
        <v>98</v>
      </c>
      <c r="CH978" t="s">
        <v>206</v>
      </c>
      <c r="CI978" t="s">
        <v>206</v>
      </c>
      <c r="CL978" t="s">
        <v>108</v>
      </c>
      <c r="CM978" t="s">
        <v>109</v>
      </c>
      <c r="CN978" t="str">
        <f>"Crusha"</f>
        <v>Crusha</v>
      </c>
      <c r="CO978" t="str">
        <f>"Jeffrey"</f>
        <v>Jeffrey</v>
      </c>
      <c r="CP978" t="str">
        <f>"M"</f>
        <v>M</v>
      </c>
      <c r="CQ978" t="str">
        <f>"FRAGOMEN, DEL REY, BERNSEN &amp; LOEWY, LLP"</f>
        <v>FRAGOMEN, DEL REY, BERNSEN &amp; LOEWY, LLP</v>
      </c>
      <c r="CR978" t="s">
        <v>6685</v>
      </c>
    </row>
    <row r="979" spans="1:96" x14ac:dyDescent="0.2">
      <c r="A979" t="s">
        <v>10735</v>
      </c>
      <c r="B979" t="s">
        <v>96</v>
      </c>
      <c r="C979" s="1">
        <v>44098</v>
      </c>
      <c r="D979" s="1">
        <v>44105</v>
      </c>
      <c r="F979" t="s">
        <v>97</v>
      </c>
      <c r="G979" t="str">
        <f>"Senior Business Intelligence Specialist"</f>
        <v>Senior Business Intelligence Specialist</v>
      </c>
      <c r="H979" t="s">
        <v>12169</v>
      </c>
      <c r="I979" t="s">
        <v>124</v>
      </c>
      <c r="J979" t="s">
        <v>98</v>
      </c>
      <c r="K979" s="1">
        <v>44109</v>
      </c>
      <c r="L979" s="1">
        <v>45203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 t="s">
        <v>4294</v>
      </c>
      <c r="U979" t="str">
        <f>""</f>
        <v/>
      </c>
      <c r="V979" t="s">
        <v>4295</v>
      </c>
      <c r="W979" t="str">
        <f>""</f>
        <v/>
      </c>
      <c r="X979" t="s">
        <v>2951</v>
      </c>
      <c r="Y979" t="s">
        <v>215</v>
      </c>
      <c r="Z979" s="3">
        <v>30701</v>
      </c>
      <c r="AA979" t="s">
        <v>101</v>
      </c>
      <c r="AC979" s="4" t="str">
        <f>"+12143094355"</f>
        <v>+12143094355</v>
      </c>
      <c r="AE979" t="str">
        <f>"326150"</f>
        <v>326150</v>
      </c>
      <c r="AF979" t="s">
        <v>2952</v>
      </c>
      <c r="AG979" t="s">
        <v>2953</v>
      </c>
      <c r="AI979" t="s">
        <v>4296</v>
      </c>
      <c r="AJ979" t="s">
        <v>4297</v>
      </c>
      <c r="AK979" t="str">
        <f>""</f>
        <v/>
      </c>
      <c r="AL979" t="s">
        <v>595</v>
      </c>
      <c r="AM979" t="s">
        <v>114</v>
      </c>
      <c r="AN979" s="3">
        <v>75217</v>
      </c>
      <c r="AO979" t="s">
        <v>101</v>
      </c>
      <c r="AQ979" t="str">
        <f>"+12143094355"</f>
        <v>+12143094355</v>
      </c>
      <c r="AS979" t="s">
        <v>4298</v>
      </c>
      <c r="AT979" t="s">
        <v>107</v>
      </c>
      <c r="AU979" t="str">
        <f>"Scofield"</f>
        <v>Scofield</v>
      </c>
      <c r="AV979" t="str">
        <f>"Eileen"</f>
        <v>Eileen</v>
      </c>
      <c r="AW979" t="str">
        <f>""</f>
        <v/>
      </c>
      <c r="AX979" t="str">
        <f>"1201 W. Peachtree Street"</f>
        <v>1201 W. Peachtree Street</v>
      </c>
      <c r="AY979" t="str">
        <f>"Alston &amp; Bird LLP"</f>
        <v>Alston &amp; Bird LLP</v>
      </c>
      <c r="AZ979" t="str">
        <f>"Atlanta"</f>
        <v>Atlanta</v>
      </c>
      <c r="BA979" t="str">
        <f>"GA"</f>
        <v>GA</v>
      </c>
      <c r="BB979" s="3">
        <v>30309</v>
      </c>
      <c r="BC979" t="str">
        <f t="shared" si="74"/>
        <v>UNITED STATES OF AMERICA</v>
      </c>
      <c r="BD979" t="str">
        <f>""</f>
        <v/>
      </c>
      <c r="BE979" t="str">
        <f>"+14048817375"</f>
        <v>+14048817375</v>
      </c>
      <c r="BF979" t="str">
        <f>"7375"</f>
        <v>7375</v>
      </c>
      <c r="BG979" t="str">
        <f>"eileen.scofield@alston.com"</f>
        <v>eileen.scofield@alston.com</v>
      </c>
      <c r="BH979" t="str">
        <f>"Alston &amp; Bird LLP"</f>
        <v>Alston &amp; Bird LLP</v>
      </c>
      <c r="BI979" t="str">
        <f>"GA"</f>
        <v>GA</v>
      </c>
      <c r="BJ979" t="str">
        <f>"Supreme Court"</f>
        <v>Supreme Court</v>
      </c>
      <c r="BK979">
        <v>1</v>
      </c>
      <c r="BL979" t="s">
        <v>102</v>
      </c>
      <c r="BM979" t="str">
        <f>""</f>
        <v/>
      </c>
      <c r="BN979" t="s">
        <v>6258</v>
      </c>
      <c r="BO979" t="s">
        <v>787</v>
      </c>
      <c r="BP979" t="s">
        <v>6259</v>
      </c>
      <c r="BQ979" t="s">
        <v>1121</v>
      </c>
      <c r="BR979" t="s">
        <v>215</v>
      </c>
      <c r="BS979" s="5">
        <v>30144</v>
      </c>
      <c r="BT979" s="2">
        <v>132000</v>
      </c>
      <c r="BV979" t="s">
        <v>105</v>
      </c>
      <c r="BW979" s="2">
        <v>121139</v>
      </c>
      <c r="BX979" t="s">
        <v>105</v>
      </c>
      <c r="BZ979" t="s">
        <v>159</v>
      </c>
      <c r="CA979" t="str">
        <f t="shared" si="75"/>
        <v>7/1/2020 - 6/30/2021</v>
      </c>
      <c r="CF979">
        <v>1</v>
      </c>
      <c r="CG979" t="s">
        <v>98</v>
      </c>
      <c r="CH979" t="s">
        <v>206</v>
      </c>
      <c r="CI979" t="s">
        <v>206</v>
      </c>
      <c r="CL979" t="s">
        <v>108</v>
      </c>
      <c r="CM979" t="s">
        <v>109</v>
      </c>
      <c r="CN979" t="str">
        <f>""</f>
        <v/>
      </c>
      <c r="CO979" t="str">
        <f>""</f>
        <v/>
      </c>
      <c r="CP979" t="str">
        <f>""</f>
        <v/>
      </c>
      <c r="CQ979" t="str">
        <f>""</f>
        <v/>
      </c>
    </row>
    <row r="980" spans="1:96" x14ac:dyDescent="0.2">
      <c r="A980" t="s">
        <v>10736</v>
      </c>
      <c r="B980" t="s">
        <v>96</v>
      </c>
      <c r="C980" s="1">
        <v>44098</v>
      </c>
      <c r="D980" s="1">
        <v>44105</v>
      </c>
      <c r="F980" t="s">
        <v>97</v>
      </c>
      <c r="G980" t="str">
        <f>"Engineering Manager"</f>
        <v>Engineering Manager</v>
      </c>
      <c r="H980" t="s">
        <v>12178</v>
      </c>
      <c r="I980" t="s">
        <v>582</v>
      </c>
      <c r="J980" t="s">
        <v>98</v>
      </c>
      <c r="K980" s="1">
        <v>44148</v>
      </c>
      <c r="L980" s="1">
        <v>45242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 t="s">
        <v>3079</v>
      </c>
      <c r="U980" t="str">
        <f>""</f>
        <v/>
      </c>
      <c r="V980" t="s">
        <v>3080</v>
      </c>
      <c r="W980" t="str">
        <f>""</f>
        <v/>
      </c>
      <c r="X980" t="s">
        <v>155</v>
      </c>
      <c r="Y980" t="s">
        <v>141</v>
      </c>
      <c r="Z980" s="3">
        <v>94041</v>
      </c>
      <c r="AA980" t="s">
        <v>101</v>
      </c>
      <c r="AC980" s="4" t="str">
        <f>"+14157011110"</f>
        <v>+14157011110</v>
      </c>
      <c r="AE980" t="str">
        <f>"541511"</f>
        <v>541511</v>
      </c>
      <c r="AF980" t="s">
        <v>3081</v>
      </c>
      <c r="AG980" t="s">
        <v>3082</v>
      </c>
      <c r="AI980" t="s">
        <v>2030</v>
      </c>
      <c r="AJ980" t="s">
        <v>3080</v>
      </c>
      <c r="AK980" t="str">
        <f>""</f>
        <v/>
      </c>
      <c r="AL980" t="s">
        <v>155</v>
      </c>
      <c r="AM980" t="s">
        <v>141</v>
      </c>
      <c r="AN980" s="3">
        <v>94041</v>
      </c>
      <c r="AO980" t="s">
        <v>101</v>
      </c>
      <c r="AQ980" t="str">
        <f>"+14157011110"</f>
        <v>+14157011110</v>
      </c>
      <c r="AS980" t="s">
        <v>3083</v>
      </c>
      <c r="AT980" t="s">
        <v>107</v>
      </c>
      <c r="AU980" t="str">
        <f>"Luk"</f>
        <v>Luk</v>
      </c>
      <c r="AV980" t="str">
        <f>"Florence"</f>
        <v>Florence</v>
      </c>
      <c r="AW980" t="str">
        <f>"Laiyee"</f>
        <v>Laiyee</v>
      </c>
      <c r="AX980" t="str">
        <f>"3 Greenway Plaza"</f>
        <v>3 Greenway Plaza</v>
      </c>
      <c r="AY980" t="str">
        <f>"Suite 800"</f>
        <v>Suite 800</v>
      </c>
      <c r="AZ980" t="str">
        <f>"Houston"</f>
        <v>Houston</v>
      </c>
      <c r="BA980" t="str">
        <f>"TX"</f>
        <v>TX</v>
      </c>
      <c r="BB980" s="3">
        <v>77046</v>
      </c>
      <c r="BC980" t="str">
        <f t="shared" si="74"/>
        <v>UNITED STATES OF AMERICA</v>
      </c>
      <c r="BD980" t="str">
        <f>"N/A"</f>
        <v>N/A</v>
      </c>
      <c r="BE980" t="str">
        <f>"+17133353937"</f>
        <v>+17133353937</v>
      </c>
      <c r="BF980" t="str">
        <f>""</f>
        <v/>
      </c>
      <c r="BG980" t="str">
        <f>"atlassian@fosterglobal.com"</f>
        <v>atlassian@fosterglobal.com</v>
      </c>
      <c r="BH980" t="str">
        <f>"Foster LLP"</f>
        <v>Foster LLP</v>
      </c>
      <c r="BI980" t="str">
        <f>"TX"</f>
        <v>TX</v>
      </c>
      <c r="BJ980" t="str">
        <f>"Supreme Court of Texas"</f>
        <v>Supreme Court of Texas</v>
      </c>
      <c r="BK980">
        <v>1</v>
      </c>
      <c r="BL980" t="s">
        <v>102</v>
      </c>
      <c r="BM980" t="str">
        <f>""</f>
        <v/>
      </c>
      <c r="BN980" t="s">
        <v>3080</v>
      </c>
      <c r="BP980" t="s">
        <v>155</v>
      </c>
      <c r="BQ980" t="s">
        <v>230</v>
      </c>
      <c r="BR980" t="s">
        <v>141</v>
      </c>
      <c r="BS980" s="5">
        <v>94041</v>
      </c>
      <c r="BT980" s="2">
        <v>178069</v>
      </c>
      <c r="BU980" s="2">
        <v>207400</v>
      </c>
      <c r="BV980" t="s">
        <v>105</v>
      </c>
      <c r="BW980" s="2">
        <v>178069</v>
      </c>
      <c r="BX980" t="s">
        <v>105</v>
      </c>
      <c r="BZ980" t="s">
        <v>167</v>
      </c>
      <c r="CA980" t="str">
        <f t="shared" si="75"/>
        <v>7/1/2020 - 6/30/2021</v>
      </c>
      <c r="CF980">
        <v>4</v>
      </c>
      <c r="CG980" t="s">
        <v>98</v>
      </c>
      <c r="CH980" t="s">
        <v>206</v>
      </c>
      <c r="CI980" t="s">
        <v>206</v>
      </c>
      <c r="CL980" t="s">
        <v>108</v>
      </c>
      <c r="CM980" t="s">
        <v>109</v>
      </c>
      <c r="CN980" t="str">
        <f>""</f>
        <v/>
      </c>
      <c r="CO980" t="str">
        <f>""</f>
        <v/>
      </c>
      <c r="CP980" t="str">
        <f>""</f>
        <v/>
      </c>
      <c r="CQ980" t="str">
        <f>""</f>
        <v/>
      </c>
    </row>
    <row r="981" spans="1:96" x14ac:dyDescent="0.2">
      <c r="A981" t="s">
        <v>10738</v>
      </c>
      <c r="B981" t="s">
        <v>96</v>
      </c>
      <c r="C981" s="1">
        <v>44098</v>
      </c>
      <c r="D981" s="1">
        <v>44105</v>
      </c>
      <c r="F981" t="s">
        <v>97</v>
      </c>
      <c r="G981" t="str">
        <f>"Senior Product Manager"</f>
        <v>Senior Product Manager</v>
      </c>
      <c r="H981" t="s">
        <v>12178</v>
      </c>
      <c r="I981" t="s">
        <v>582</v>
      </c>
      <c r="J981" t="s">
        <v>98</v>
      </c>
      <c r="K981" s="1">
        <v>44130</v>
      </c>
      <c r="L981" s="1">
        <v>45224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 t="s">
        <v>5294</v>
      </c>
      <c r="U981" t="str">
        <f>""</f>
        <v/>
      </c>
      <c r="V981" t="s">
        <v>5295</v>
      </c>
      <c r="W981" t="str">
        <f>""</f>
        <v/>
      </c>
      <c r="X981" t="s">
        <v>1151</v>
      </c>
      <c r="Y981" t="s">
        <v>141</v>
      </c>
      <c r="Z981" s="3">
        <v>94403</v>
      </c>
      <c r="AA981" t="s">
        <v>101</v>
      </c>
      <c r="AC981" s="4" t="str">
        <f>"+18888582569"</f>
        <v>+18888582569</v>
      </c>
      <c r="AE981" t="str">
        <f>"518210"</f>
        <v>518210</v>
      </c>
      <c r="AF981" t="s">
        <v>10739</v>
      </c>
      <c r="AG981" t="s">
        <v>10740</v>
      </c>
      <c r="AI981" t="s">
        <v>2384</v>
      </c>
      <c r="AJ981" t="s">
        <v>5295</v>
      </c>
      <c r="AK981" t="str">
        <f>""</f>
        <v/>
      </c>
      <c r="AL981" t="s">
        <v>1151</v>
      </c>
      <c r="AM981" t="s">
        <v>141</v>
      </c>
      <c r="AN981" s="3">
        <v>94403</v>
      </c>
      <c r="AO981" t="s">
        <v>101</v>
      </c>
      <c r="AQ981" t="str">
        <f>"+14084395985"</f>
        <v>+14084395985</v>
      </c>
      <c r="AS981" t="s">
        <v>5298</v>
      </c>
      <c r="AT981" t="s">
        <v>107</v>
      </c>
      <c r="AU981" t="str">
        <f>"Horne"</f>
        <v>Horne</v>
      </c>
      <c r="AV981" t="str">
        <f>"Daniel"</f>
        <v>Daniel</v>
      </c>
      <c r="AW981" t="str">
        <f>"C."</f>
        <v>C.</v>
      </c>
      <c r="AX981" t="str">
        <f>"909 Montgomery St"</f>
        <v>909 Montgomery St</v>
      </c>
      <c r="AY981" t="str">
        <f>"Suite 200"</f>
        <v>Suite 200</v>
      </c>
      <c r="AZ981" t="str">
        <f>"San Francisco"</f>
        <v>San Francisco</v>
      </c>
      <c r="BA981" t="str">
        <f>"CA"</f>
        <v>CA</v>
      </c>
      <c r="BB981" s="3">
        <v>94133</v>
      </c>
      <c r="BC981" t="str">
        <f t="shared" si="74"/>
        <v>UNITED STATES OF AMERICA</v>
      </c>
      <c r="BD981" t="str">
        <f>"CA"</f>
        <v>CA</v>
      </c>
      <c r="BE981" t="str">
        <f>"+14159864559"</f>
        <v>+14159864559</v>
      </c>
      <c r="BF981" t="str">
        <f>""</f>
        <v/>
      </c>
      <c r="BG981" t="str">
        <f>"dhorne@jackson-hertogs.com"</f>
        <v>dhorne@jackson-hertogs.com</v>
      </c>
      <c r="BH981" t="str">
        <f>"Jackson &amp; Hertogs LLP"</f>
        <v>Jackson &amp; Hertogs LLP</v>
      </c>
      <c r="BI981" t="str">
        <f>"CO"</f>
        <v>CO</v>
      </c>
      <c r="BJ981" t="str">
        <f>"Supreme Court"</f>
        <v>Supreme Court</v>
      </c>
      <c r="BK981">
        <v>1</v>
      </c>
      <c r="BL981" t="s">
        <v>102</v>
      </c>
      <c r="BM981" t="str">
        <f>""</f>
        <v/>
      </c>
      <c r="BN981" t="s">
        <v>5295</v>
      </c>
      <c r="BP981" t="s">
        <v>1151</v>
      </c>
      <c r="BQ981" t="s">
        <v>994</v>
      </c>
      <c r="BR981" t="s">
        <v>141</v>
      </c>
      <c r="BS981" s="5">
        <v>94403</v>
      </c>
      <c r="BT981" s="2">
        <v>302750</v>
      </c>
      <c r="BV981" t="s">
        <v>105</v>
      </c>
      <c r="BW981" s="2">
        <v>237162</v>
      </c>
      <c r="BX981" t="s">
        <v>105</v>
      </c>
      <c r="BZ981" t="s">
        <v>159</v>
      </c>
      <c r="CA981" t="str">
        <f t="shared" si="75"/>
        <v>7/1/2020 - 6/30/2021</v>
      </c>
      <c r="CF981">
        <v>1</v>
      </c>
      <c r="CG981" t="s">
        <v>98</v>
      </c>
      <c r="CH981" t="s">
        <v>206</v>
      </c>
      <c r="CI981" t="s">
        <v>206</v>
      </c>
      <c r="CL981" t="s">
        <v>108</v>
      </c>
      <c r="CM981" t="s">
        <v>109</v>
      </c>
      <c r="CN981" t="str">
        <f>"Horne 86651"</f>
        <v>Horne 86651</v>
      </c>
      <c r="CO981" t="str">
        <f>"Daniel"</f>
        <v>Daniel</v>
      </c>
      <c r="CP981" t="str">
        <f>"C"</f>
        <v>C</v>
      </c>
      <c r="CQ981" t="str">
        <f>"Jackson Hertogs LLP"</f>
        <v>Jackson Hertogs LLP</v>
      </c>
      <c r="CR981" t="s">
        <v>3868</v>
      </c>
    </row>
    <row r="982" spans="1:96" x14ac:dyDescent="0.2">
      <c r="A982" t="s">
        <v>10746</v>
      </c>
      <c r="B982" t="s">
        <v>96</v>
      </c>
      <c r="C982" s="1">
        <v>44098</v>
      </c>
      <c r="D982" s="1">
        <v>44105</v>
      </c>
      <c r="F982" t="s">
        <v>97</v>
      </c>
      <c r="G982" t="str">
        <f>"HARDWARE DEVELOPMENT ENGINEER III"</f>
        <v>HARDWARE DEVELOPMENT ENGINEER III</v>
      </c>
      <c r="H982" t="s">
        <v>12258</v>
      </c>
      <c r="I982" t="s">
        <v>863</v>
      </c>
      <c r="J982" t="s">
        <v>98</v>
      </c>
      <c r="K982" s="1">
        <v>44278</v>
      </c>
      <c r="L982" s="1">
        <v>45373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 t="s">
        <v>440</v>
      </c>
      <c r="U982" t="str">
        <f>""</f>
        <v/>
      </c>
      <c r="V982" t="s">
        <v>809</v>
      </c>
      <c r="W982" t="str">
        <f>"SUITE 500"</f>
        <v>SUITE 500</v>
      </c>
      <c r="X982" t="s">
        <v>433</v>
      </c>
      <c r="Y982" t="s">
        <v>176</v>
      </c>
      <c r="Z982" s="3">
        <v>98121</v>
      </c>
      <c r="AA982" t="s">
        <v>101</v>
      </c>
      <c r="AC982" s="4" t="str">
        <f>"+12062661000"</f>
        <v>+12062661000</v>
      </c>
      <c r="AE982" t="str">
        <f>"454110"</f>
        <v>454110</v>
      </c>
      <c r="AF982" t="s">
        <v>442</v>
      </c>
      <c r="AG982" t="s">
        <v>443</v>
      </c>
      <c r="AH982" t="s">
        <v>108</v>
      </c>
      <c r="AI982" t="s">
        <v>434</v>
      </c>
      <c r="AJ982" t="s">
        <v>809</v>
      </c>
      <c r="AK982" t="str">
        <f>"SUITE 500"</f>
        <v>SUITE 500</v>
      </c>
      <c r="AL982" t="s">
        <v>433</v>
      </c>
      <c r="AM982" t="s">
        <v>176</v>
      </c>
      <c r="AN982" s="3">
        <v>98121</v>
      </c>
      <c r="AO982" t="s">
        <v>101</v>
      </c>
      <c r="AQ982" t="str">
        <f>"+12062661000"</f>
        <v>+12062661000</v>
      </c>
      <c r="AS982" t="s">
        <v>263</v>
      </c>
      <c r="AT982" t="s">
        <v>107</v>
      </c>
      <c r="AU982" t="str">
        <f>"MARANCI"</f>
        <v>MARANCI</v>
      </c>
      <c r="AV982" t="str">
        <f>"DANIEL"</f>
        <v>DANIEL</v>
      </c>
      <c r="AW982" t="str">
        <f>"N/A"</f>
        <v>N/A</v>
      </c>
      <c r="AX982" t="str">
        <f>"100 HIGH STREET"</f>
        <v>100 HIGH STREET</v>
      </c>
      <c r="AY982" t="str">
        <f>"3RD FLOOR C#5308008"</f>
        <v>3RD FLOOR C#5308008</v>
      </c>
      <c r="AZ982" t="str">
        <f>"BOSTON"</f>
        <v>BOSTON</v>
      </c>
      <c r="BA982" t="str">
        <f>"MA"</f>
        <v>MA</v>
      </c>
      <c r="BB982" s="3">
        <v>2110</v>
      </c>
      <c r="BC982" t="str">
        <f t="shared" si="74"/>
        <v>UNITED STATES OF AMERICA</v>
      </c>
      <c r="BD982" t="str">
        <f>""</f>
        <v/>
      </c>
      <c r="BE982" t="str">
        <f>"+16175740400"</f>
        <v>+16175740400</v>
      </c>
      <c r="BF982" t="str">
        <f>""</f>
        <v/>
      </c>
      <c r="BG982" t="str">
        <f>"AMAZONINDIA@FRAGOMEN.COM"</f>
        <v>AMAZONINDIA@FRAGOMEN.COM</v>
      </c>
      <c r="BH982" t="str">
        <f>"FRAGOMEN, DEL REY, BERNSEN &amp; LOEWY, LLP"</f>
        <v>FRAGOMEN, DEL REY, BERNSEN &amp; LOEWY, LLP</v>
      </c>
      <c r="BI982" t="str">
        <f>"MA"</f>
        <v>MA</v>
      </c>
      <c r="BJ982" t="str">
        <f>"SUPREME JUDICIAL COURT"</f>
        <v>SUPREME JUDICIAL COURT</v>
      </c>
      <c r="BK982">
        <v>1</v>
      </c>
      <c r="BL982" t="s">
        <v>102</v>
      </c>
      <c r="BM982" t="str">
        <f>""</f>
        <v/>
      </c>
      <c r="BN982" t="s">
        <v>7427</v>
      </c>
      <c r="BP982" t="s">
        <v>230</v>
      </c>
      <c r="BQ982" t="s">
        <v>230</v>
      </c>
      <c r="BR982" t="s">
        <v>141</v>
      </c>
      <c r="BS982" s="5">
        <v>95054</v>
      </c>
      <c r="BT982" s="2">
        <v>175100</v>
      </c>
      <c r="BV982" t="s">
        <v>105</v>
      </c>
      <c r="BW982" s="2">
        <v>161200</v>
      </c>
      <c r="BX982" t="s">
        <v>105</v>
      </c>
      <c r="BZ982" t="s">
        <v>123</v>
      </c>
      <c r="CA982" t="str">
        <f t="shared" si="75"/>
        <v>7/1/2020 - 6/30/2021</v>
      </c>
      <c r="CF982">
        <v>1</v>
      </c>
      <c r="CG982" t="s">
        <v>98</v>
      </c>
      <c r="CH982" t="s">
        <v>206</v>
      </c>
      <c r="CI982" t="s">
        <v>206</v>
      </c>
      <c r="CL982" t="s">
        <v>108</v>
      </c>
      <c r="CM982" t="s">
        <v>109</v>
      </c>
      <c r="CN982" t="str">
        <f>"SUNNY"</f>
        <v>SUNNY</v>
      </c>
      <c r="CO982" t="str">
        <f>"JASMIN"</f>
        <v>JASMIN</v>
      </c>
      <c r="CP982" t="str">
        <f>"N/A"</f>
        <v>N/A</v>
      </c>
      <c r="CQ982" t="str">
        <f>"FRAGOMEN, DEL REY, BERNSEN &amp; LOEWY, LLP"</f>
        <v>FRAGOMEN, DEL REY, BERNSEN &amp; LOEWY, LLP</v>
      </c>
      <c r="CR982" t="s">
        <v>650</v>
      </c>
    </row>
    <row r="983" spans="1:96" x14ac:dyDescent="0.2">
      <c r="A983" t="s">
        <v>10753</v>
      </c>
      <c r="B983" t="s">
        <v>96</v>
      </c>
      <c r="C983" s="1">
        <v>44098</v>
      </c>
      <c r="D983" s="1">
        <v>44105</v>
      </c>
      <c r="F983" t="s">
        <v>97</v>
      </c>
      <c r="G983" t="str">
        <f>"SOFTWARE DEVELOPMENT ENGINEER II"</f>
        <v>SOFTWARE DEVELOPMENT ENGINEER II</v>
      </c>
      <c r="H983" t="s">
        <v>12169</v>
      </c>
      <c r="I983" t="s">
        <v>124</v>
      </c>
      <c r="J983" t="s">
        <v>98</v>
      </c>
      <c r="K983" s="1">
        <v>44102</v>
      </c>
      <c r="L983" s="1">
        <v>45196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 t="s">
        <v>5409</v>
      </c>
      <c r="U983" t="str">
        <f>""</f>
        <v/>
      </c>
      <c r="V983" t="s">
        <v>5410</v>
      </c>
      <c r="W983" t="str">
        <f>""</f>
        <v/>
      </c>
      <c r="X983" t="s">
        <v>2104</v>
      </c>
      <c r="Y983" t="s">
        <v>100</v>
      </c>
      <c r="Z983" s="3">
        <v>7102</v>
      </c>
      <c r="AA983" t="s">
        <v>101</v>
      </c>
      <c r="AC983" s="4" t="str">
        <f>"+19738200682"</f>
        <v>+19738200682</v>
      </c>
      <c r="AE983" t="str">
        <f>"454110"</f>
        <v>454110</v>
      </c>
      <c r="AF983" t="s">
        <v>5411</v>
      </c>
      <c r="AG983" t="s">
        <v>5412</v>
      </c>
      <c r="AH983" t="s">
        <v>108</v>
      </c>
      <c r="AI983" t="s">
        <v>5413</v>
      </c>
      <c r="AJ983" t="s">
        <v>5410</v>
      </c>
      <c r="AK983" t="str">
        <f>""</f>
        <v/>
      </c>
      <c r="AL983" t="s">
        <v>2104</v>
      </c>
      <c r="AM983" t="s">
        <v>100</v>
      </c>
      <c r="AN983" s="3">
        <v>7102</v>
      </c>
      <c r="AO983" t="s">
        <v>101</v>
      </c>
      <c r="AQ983" t="str">
        <f>"+19737104146"</f>
        <v>+19737104146</v>
      </c>
      <c r="AS983" t="s">
        <v>5414</v>
      </c>
      <c r="AT983" t="s">
        <v>107</v>
      </c>
      <c r="AU983" t="str">
        <f>"MARANCI"</f>
        <v>MARANCI</v>
      </c>
      <c r="AV983" t="str">
        <f>"DANIEL"</f>
        <v>DANIEL</v>
      </c>
      <c r="AW983" t="str">
        <f>"N/A"</f>
        <v>N/A</v>
      </c>
      <c r="AX983" t="str">
        <f>"100 HIGH STREET"</f>
        <v>100 HIGH STREET</v>
      </c>
      <c r="AY983" t="str">
        <f>"3RD FLOOR C#5309789"</f>
        <v>3RD FLOOR C#5309789</v>
      </c>
      <c r="AZ983" t="str">
        <f>"BOSTON"</f>
        <v>BOSTON</v>
      </c>
      <c r="BA983" t="str">
        <f>"MA"</f>
        <v>MA</v>
      </c>
      <c r="BB983" s="3">
        <v>2110</v>
      </c>
      <c r="BC983" t="str">
        <f t="shared" si="74"/>
        <v>UNITED STATES OF AMERICA</v>
      </c>
      <c r="BD983" t="str">
        <f>""</f>
        <v/>
      </c>
      <c r="BE983" t="str">
        <f>"+16175740400"</f>
        <v>+16175740400</v>
      </c>
      <c r="BF983" t="str">
        <f>""</f>
        <v/>
      </c>
      <c r="BG983" t="str">
        <f>"AMAZONINDIA@FRAGOMEN.COM"</f>
        <v>AMAZONINDIA@FRAGOMEN.COM</v>
      </c>
      <c r="BH983" t="str">
        <f>"FRAGOMEN, DEL REY, BERNSEN &amp; LOEWY, LLP"</f>
        <v>FRAGOMEN, DEL REY, BERNSEN &amp; LOEWY, LLP</v>
      </c>
      <c r="BI983" t="str">
        <f>"MA"</f>
        <v>MA</v>
      </c>
      <c r="BJ983" t="str">
        <f>"SUPREME JUDICIAL COURT"</f>
        <v>SUPREME JUDICIAL COURT</v>
      </c>
      <c r="BK983">
        <v>1</v>
      </c>
      <c r="BL983" t="s">
        <v>102</v>
      </c>
      <c r="BM983" t="str">
        <f>""</f>
        <v/>
      </c>
      <c r="BN983" t="s">
        <v>6703</v>
      </c>
      <c r="BP983" t="s">
        <v>2104</v>
      </c>
      <c r="BQ983" t="s">
        <v>309</v>
      </c>
      <c r="BR983" t="s">
        <v>100</v>
      </c>
      <c r="BS983" s="5">
        <v>7102</v>
      </c>
      <c r="BT983" s="2">
        <v>152400</v>
      </c>
      <c r="BV983" t="s">
        <v>105</v>
      </c>
      <c r="BW983" s="2">
        <v>100526</v>
      </c>
      <c r="BX983" t="s">
        <v>105</v>
      </c>
      <c r="BZ983" t="s">
        <v>167</v>
      </c>
      <c r="CA983" t="str">
        <f t="shared" si="75"/>
        <v>7/1/2020 - 6/30/2021</v>
      </c>
      <c r="CF983">
        <v>2</v>
      </c>
      <c r="CG983" t="s">
        <v>98</v>
      </c>
      <c r="CH983" t="s">
        <v>206</v>
      </c>
      <c r="CI983" t="s">
        <v>206</v>
      </c>
      <c r="CL983" t="s">
        <v>108</v>
      </c>
      <c r="CM983" t="s">
        <v>109</v>
      </c>
      <c r="CN983" t="str">
        <f>"SUNNY"</f>
        <v>SUNNY</v>
      </c>
      <c r="CO983" t="str">
        <f>"JASMIN"</f>
        <v>JASMIN</v>
      </c>
      <c r="CP983" t="str">
        <f>"N/A"</f>
        <v>N/A</v>
      </c>
      <c r="CQ983" t="str">
        <f>"FRAGOMEN, DEL REY, BERNSEN &amp; LOEWY, LLP"</f>
        <v>FRAGOMEN, DEL REY, BERNSEN &amp; LOEWY, LLP</v>
      </c>
      <c r="CR983" t="s">
        <v>650</v>
      </c>
    </row>
    <row r="984" spans="1:96" x14ac:dyDescent="0.2">
      <c r="A984" t="s">
        <v>10757</v>
      </c>
      <c r="B984" t="s">
        <v>96</v>
      </c>
      <c r="C984" s="1">
        <v>44098</v>
      </c>
      <c r="D984" s="1">
        <v>44105</v>
      </c>
      <c r="F984" t="s">
        <v>97</v>
      </c>
      <c r="G984" t="str">
        <f>"Senior Developer Applications (IT)"</f>
        <v>Senior Developer Applications (IT)</v>
      </c>
      <c r="H984" t="s">
        <v>12169</v>
      </c>
      <c r="I984" t="s">
        <v>124</v>
      </c>
      <c r="J984" t="s">
        <v>98</v>
      </c>
      <c r="K984" s="1">
        <v>44192</v>
      </c>
      <c r="L984" s="1">
        <v>45286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 t="s">
        <v>4927</v>
      </c>
      <c r="U984" t="str">
        <f>""</f>
        <v/>
      </c>
      <c r="V984" t="s">
        <v>689</v>
      </c>
      <c r="W984" t="str">
        <f>"Suite 410"</f>
        <v>Suite 410</v>
      </c>
      <c r="X984" t="s">
        <v>690</v>
      </c>
      <c r="Y984" t="s">
        <v>345</v>
      </c>
      <c r="Z984" s="3">
        <v>60061</v>
      </c>
      <c r="AA984" t="s">
        <v>101</v>
      </c>
      <c r="AC984" s="4" t="str">
        <f>"+18476242465"</f>
        <v>+18476242465</v>
      </c>
      <c r="AE984" t="str">
        <f>"621492"</f>
        <v>621492</v>
      </c>
      <c r="AF984" t="s">
        <v>4928</v>
      </c>
      <c r="AG984" t="s">
        <v>4820</v>
      </c>
      <c r="AI984" t="s">
        <v>4929</v>
      </c>
      <c r="AJ984" t="s">
        <v>689</v>
      </c>
      <c r="AK984" t="str">
        <f>"Suite 410"</f>
        <v>Suite 410</v>
      </c>
      <c r="AL984" t="s">
        <v>690</v>
      </c>
      <c r="AM984" t="s">
        <v>345</v>
      </c>
      <c r="AN984" s="3">
        <v>60061</v>
      </c>
      <c r="AO984" t="s">
        <v>101</v>
      </c>
      <c r="AQ984" t="str">
        <f>"+18476242465"</f>
        <v>+18476242465</v>
      </c>
      <c r="AS984" t="s">
        <v>4930</v>
      </c>
      <c r="AT984" t="s">
        <v>107</v>
      </c>
      <c r="AU984" t="str">
        <f>"DiGiorgio"</f>
        <v>DiGiorgio</v>
      </c>
      <c r="AV984" t="str">
        <f>"Christopher"</f>
        <v>Christopher</v>
      </c>
      <c r="AW984" t="str">
        <f>""</f>
        <v/>
      </c>
      <c r="AX984" t="str">
        <f>"2103 Ross Park Avenue"</f>
        <v>2103 Ross Park Avenue</v>
      </c>
      <c r="AY984" t="str">
        <f>""</f>
        <v/>
      </c>
      <c r="AZ984" t="str">
        <f>"Hoover"</f>
        <v>Hoover</v>
      </c>
      <c r="BA984" t="str">
        <f>"AL"</f>
        <v>AL</v>
      </c>
      <c r="BB984" s="3">
        <v>35226</v>
      </c>
      <c r="BC984" t="str">
        <f t="shared" si="74"/>
        <v>UNITED STATES OF AMERICA</v>
      </c>
      <c r="BD984" t="str">
        <f>""</f>
        <v/>
      </c>
      <c r="BE984" t="str">
        <f>"+14048055855"</f>
        <v>+14048055855</v>
      </c>
      <c r="BF984" t="str">
        <f>""</f>
        <v/>
      </c>
      <c r="BG984" t="str">
        <f>"cdigiorgio@grahamadair.com"</f>
        <v>cdigiorgio@grahamadair.com</v>
      </c>
      <c r="BH984" t="str">
        <f>"Graham Adair, Inc."</f>
        <v>Graham Adair, Inc.</v>
      </c>
      <c r="BI984" t="str">
        <f>"AL"</f>
        <v>AL</v>
      </c>
      <c r="BJ984" t="str">
        <f>"Supreme Court"</f>
        <v>Supreme Court</v>
      </c>
      <c r="BK984">
        <v>1</v>
      </c>
      <c r="BL984" t="s">
        <v>102</v>
      </c>
      <c r="BM984" t="str">
        <f>""</f>
        <v/>
      </c>
      <c r="BN984" t="s">
        <v>10758</v>
      </c>
      <c r="BP984" t="s">
        <v>1247</v>
      </c>
      <c r="BQ984" t="s">
        <v>365</v>
      </c>
      <c r="BR984" t="s">
        <v>141</v>
      </c>
      <c r="BS984" s="5">
        <v>90245</v>
      </c>
      <c r="BT984" s="2">
        <v>121160</v>
      </c>
      <c r="BU984" s="2">
        <v>142667</v>
      </c>
      <c r="BV984" t="s">
        <v>105</v>
      </c>
      <c r="BW984" s="2">
        <v>121160</v>
      </c>
      <c r="BX984" t="s">
        <v>105</v>
      </c>
      <c r="BZ984" t="s">
        <v>123</v>
      </c>
      <c r="CA984" t="str">
        <f t="shared" si="75"/>
        <v>7/1/2020 - 6/30/2021</v>
      </c>
      <c r="CF984">
        <v>2</v>
      </c>
      <c r="CG984" t="s">
        <v>98</v>
      </c>
      <c r="CH984" t="s">
        <v>206</v>
      </c>
      <c r="CI984" t="s">
        <v>206</v>
      </c>
      <c r="CL984" t="s">
        <v>108</v>
      </c>
      <c r="CM984" t="s">
        <v>109</v>
      </c>
      <c r="CN984" t="str">
        <f>""</f>
        <v/>
      </c>
      <c r="CO984" t="str">
        <f>""</f>
        <v/>
      </c>
      <c r="CP984" t="str">
        <f>""</f>
        <v/>
      </c>
      <c r="CQ984" t="str">
        <f>""</f>
        <v/>
      </c>
    </row>
    <row r="985" spans="1:96" x14ac:dyDescent="0.2">
      <c r="A985" t="s">
        <v>10762</v>
      </c>
      <c r="B985" t="s">
        <v>96</v>
      </c>
      <c r="C985" s="1">
        <v>44098</v>
      </c>
      <c r="D985" s="1">
        <v>44105</v>
      </c>
      <c r="F985" t="s">
        <v>97</v>
      </c>
      <c r="G985" t="str">
        <f>"Associate Director of Institutional Research &amp; Effectiveness"</f>
        <v>Associate Director of Institutional Research &amp; Effectiveness</v>
      </c>
      <c r="H985" t="s">
        <v>12233</v>
      </c>
      <c r="I985" t="s">
        <v>2109</v>
      </c>
      <c r="J985" t="s">
        <v>98</v>
      </c>
      <c r="K985" s="1">
        <v>44256</v>
      </c>
      <c r="L985" s="1">
        <v>45351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 t="s">
        <v>10422</v>
      </c>
      <c r="U985" t="str">
        <f>""</f>
        <v/>
      </c>
      <c r="V985" t="s">
        <v>10423</v>
      </c>
      <c r="W985" t="str">
        <f>""</f>
        <v/>
      </c>
      <c r="X985" t="s">
        <v>4220</v>
      </c>
      <c r="Y985" t="s">
        <v>100</v>
      </c>
      <c r="Z985" s="3">
        <v>7030</v>
      </c>
      <c r="AA985" t="s">
        <v>101</v>
      </c>
      <c r="AC985" s="4" t="str">
        <f>"+12012165189"</f>
        <v>+12012165189</v>
      </c>
      <c r="AE985" t="str">
        <f>"611310"</f>
        <v>611310</v>
      </c>
      <c r="AF985" t="s">
        <v>1079</v>
      </c>
      <c r="AG985" t="s">
        <v>10763</v>
      </c>
      <c r="AI985" t="s">
        <v>8393</v>
      </c>
      <c r="AJ985" t="s">
        <v>10423</v>
      </c>
      <c r="AK985" t="str">
        <f>"Howe Center, 9th Floor"</f>
        <v>Howe Center, 9th Floor</v>
      </c>
      <c r="AL985" t="s">
        <v>4220</v>
      </c>
      <c r="AM985" t="s">
        <v>100</v>
      </c>
      <c r="AN985" s="3">
        <v>7030</v>
      </c>
      <c r="AO985" t="s">
        <v>101</v>
      </c>
      <c r="AQ985" t="str">
        <f>"+12012165189"</f>
        <v>+12012165189</v>
      </c>
      <c r="AS985" t="s">
        <v>10424</v>
      </c>
      <c r="AT985" t="s">
        <v>107</v>
      </c>
      <c r="AU985" t="str">
        <f>"Madera"</f>
        <v>Madera</v>
      </c>
      <c r="AV985" t="str">
        <f>"Michele"</f>
        <v>Michele</v>
      </c>
      <c r="AW985" t="str">
        <f>"G"</f>
        <v>G</v>
      </c>
      <c r="AX985" t="str">
        <f>"1601 Market Street"</f>
        <v>1601 Market Street</v>
      </c>
      <c r="AY985" t="str">
        <f>"Suite 2600"</f>
        <v>Suite 2600</v>
      </c>
      <c r="AZ985" t="str">
        <f>"Philadelphia"</f>
        <v>Philadelphia</v>
      </c>
      <c r="BA985" t="str">
        <f>"PA"</f>
        <v>PA</v>
      </c>
      <c r="BB985" s="3">
        <v>19103</v>
      </c>
      <c r="BC985" t="str">
        <f t="shared" si="74"/>
        <v>UNITED STATES OF AMERICA</v>
      </c>
      <c r="BD985" t="str">
        <f>""</f>
        <v/>
      </c>
      <c r="BE985" t="str">
        <f>"+12158258600"</f>
        <v>+12158258600</v>
      </c>
      <c r="BF985" t="str">
        <f>""</f>
        <v/>
      </c>
      <c r="BG985" t="str">
        <f>"wtrevethick@klaskolaw.com"</f>
        <v>wtrevethick@klaskolaw.com</v>
      </c>
      <c r="BH985" t="str">
        <f>"Klasko Immigration Law Partners, LLP"</f>
        <v>Klasko Immigration Law Partners, LLP</v>
      </c>
      <c r="BI985" t="str">
        <f>"NY"</f>
        <v>NY</v>
      </c>
      <c r="BJ985" t="str">
        <f>"Supreme"</f>
        <v>Supreme</v>
      </c>
      <c r="BK985">
        <v>1</v>
      </c>
      <c r="BL985" t="s">
        <v>102</v>
      </c>
      <c r="BM985" t="str">
        <f>""</f>
        <v/>
      </c>
      <c r="BN985" t="s">
        <v>10425</v>
      </c>
      <c r="BP985" t="s">
        <v>4220</v>
      </c>
      <c r="BQ985" t="s">
        <v>1214</v>
      </c>
      <c r="BR985" t="s">
        <v>100</v>
      </c>
      <c r="BS985" s="5">
        <v>7030</v>
      </c>
      <c r="BT985" s="2">
        <v>122060.64</v>
      </c>
      <c r="BV985" t="s">
        <v>105</v>
      </c>
      <c r="BW985" s="2">
        <v>110136</v>
      </c>
      <c r="BX985" t="s">
        <v>105</v>
      </c>
      <c r="BZ985" t="s">
        <v>159</v>
      </c>
      <c r="CA985" t="str">
        <f t="shared" si="75"/>
        <v>7/1/2020 - 6/30/2021</v>
      </c>
      <c r="CF985">
        <v>1</v>
      </c>
      <c r="CG985" t="s">
        <v>98</v>
      </c>
      <c r="CH985" t="s">
        <v>206</v>
      </c>
      <c r="CI985" t="s">
        <v>206</v>
      </c>
      <c r="CL985" t="s">
        <v>108</v>
      </c>
      <c r="CM985" t="s">
        <v>109</v>
      </c>
      <c r="CN985" t="str">
        <f>""</f>
        <v/>
      </c>
      <c r="CO985" t="str">
        <f>""</f>
        <v/>
      </c>
      <c r="CP985" t="str">
        <f>""</f>
        <v/>
      </c>
      <c r="CQ985" t="str">
        <f>""</f>
        <v/>
      </c>
    </row>
    <row r="986" spans="1:96" x14ac:dyDescent="0.2">
      <c r="A986" t="s">
        <v>10770</v>
      </c>
      <c r="B986" t="s">
        <v>96</v>
      </c>
      <c r="C986" s="1">
        <v>44098</v>
      </c>
      <c r="D986" s="1">
        <v>44105</v>
      </c>
      <c r="F986" t="s">
        <v>97</v>
      </c>
      <c r="G986" t="str">
        <f>"Statistician"</f>
        <v>Statistician</v>
      </c>
      <c r="H986" t="s">
        <v>12180</v>
      </c>
      <c r="I986" t="s">
        <v>390</v>
      </c>
      <c r="J986" t="s">
        <v>98</v>
      </c>
      <c r="K986" s="1">
        <v>44098</v>
      </c>
      <c r="L986" s="1">
        <v>45193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 t="s">
        <v>7958</v>
      </c>
      <c r="U986" t="str">
        <f>""</f>
        <v/>
      </c>
      <c r="V986" t="s">
        <v>7959</v>
      </c>
      <c r="W986" t="str">
        <f>""</f>
        <v/>
      </c>
      <c r="X986" t="s">
        <v>394</v>
      </c>
      <c r="Y986" t="s">
        <v>114</v>
      </c>
      <c r="Z986" s="3">
        <v>77087</v>
      </c>
      <c r="AA986" t="s">
        <v>101</v>
      </c>
      <c r="AC986" s="4" t="str">
        <f>"+17136737701"</f>
        <v>+17136737701</v>
      </c>
      <c r="AE986" t="str">
        <f>"423810"</f>
        <v>423810</v>
      </c>
      <c r="AF986" t="s">
        <v>7960</v>
      </c>
      <c r="AG986" t="s">
        <v>1767</v>
      </c>
      <c r="AI986" t="s">
        <v>646</v>
      </c>
      <c r="AJ986" t="s">
        <v>7959</v>
      </c>
      <c r="AK986" t="str">
        <f>""</f>
        <v/>
      </c>
      <c r="AL986" t="s">
        <v>394</v>
      </c>
      <c r="AM986" t="s">
        <v>114</v>
      </c>
      <c r="AN986" s="3">
        <v>77087</v>
      </c>
      <c r="AO986" t="s">
        <v>101</v>
      </c>
      <c r="AQ986" t="str">
        <f>"+17136737701"</f>
        <v>+17136737701</v>
      </c>
      <c r="AS986" t="s">
        <v>7961</v>
      </c>
      <c r="AT986" t="s">
        <v>107</v>
      </c>
      <c r="AU986" t="str">
        <f>"NGUYEN"</f>
        <v>NGUYEN</v>
      </c>
      <c r="AV986" t="str">
        <f>"David"</f>
        <v>David</v>
      </c>
      <c r="AW986" t="str">
        <f>"Minh"</f>
        <v>Minh</v>
      </c>
      <c r="AX986" t="str">
        <f>"12828 Veterans Memorial Drive"</f>
        <v>12828 Veterans Memorial Drive</v>
      </c>
      <c r="AY986" t="str">
        <f>""</f>
        <v/>
      </c>
      <c r="AZ986" t="str">
        <f>"Houston"</f>
        <v>Houston</v>
      </c>
      <c r="BA986" t="str">
        <f>"TX"</f>
        <v>TX</v>
      </c>
      <c r="BB986" s="3">
        <v>77014</v>
      </c>
      <c r="BC986" t="str">
        <f t="shared" si="74"/>
        <v>UNITED STATES OF AMERICA</v>
      </c>
      <c r="BD986" t="str">
        <f>""</f>
        <v/>
      </c>
      <c r="BE986" t="str">
        <f>"+12817771236"</f>
        <v>+12817771236</v>
      </c>
      <c r="BF986" t="str">
        <f>""</f>
        <v/>
      </c>
      <c r="BG986" t="str">
        <f>"dnguyen@dntxlegal.com"</f>
        <v>dnguyen@dntxlegal.com</v>
      </c>
      <c r="BH986" t="str">
        <f>"Law Office of David Nguyen, PC"</f>
        <v>Law Office of David Nguyen, PC</v>
      </c>
      <c r="BI986" t="str">
        <f>"TX"</f>
        <v>TX</v>
      </c>
      <c r="BJ986" t="str">
        <f>"Supreme Court of Texas"</f>
        <v>Supreme Court of Texas</v>
      </c>
      <c r="BK986">
        <v>1</v>
      </c>
      <c r="BL986" t="s">
        <v>102</v>
      </c>
      <c r="BM986" t="str">
        <f>""</f>
        <v/>
      </c>
      <c r="BN986" t="s">
        <v>7959</v>
      </c>
      <c r="BP986" t="s">
        <v>394</v>
      </c>
      <c r="BQ986" t="s">
        <v>395</v>
      </c>
      <c r="BR986" t="s">
        <v>114</v>
      </c>
      <c r="BS986" s="5">
        <v>77087</v>
      </c>
      <c r="BT986" s="2">
        <v>68827</v>
      </c>
      <c r="BV986" t="s">
        <v>105</v>
      </c>
      <c r="BW986" s="2">
        <v>68827</v>
      </c>
      <c r="BX986" t="s">
        <v>105</v>
      </c>
      <c r="BZ986" t="s">
        <v>167</v>
      </c>
      <c r="CA986" t="str">
        <f t="shared" si="75"/>
        <v>7/1/2020 - 6/30/2021</v>
      </c>
      <c r="CF986">
        <v>1</v>
      </c>
      <c r="CG986" t="s">
        <v>98</v>
      </c>
      <c r="CH986" t="s">
        <v>206</v>
      </c>
      <c r="CI986" t="s">
        <v>206</v>
      </c>
      <c r="CL986" t="s">
        <v>108</v>
      </c>
      <c r="CM986" t="s">
        <v>109</v>
      </c>
      <c r="CN986" t="str">
        <f>"Nguyen"</f>
        <v>Nguyen</v>
      </c>
      <c r="CO986" t="str">
        <f>"David"</f>
        <v>David</v>
      </c>
      <c r="CP986" t="str">
        <f>"M"</f>
        <v>M</v>
      </c>
      <c r="CQ986" t="str">
        <f>"Law Office of David Nguyen, PC"</f>
        <v>Law Office of David Nguyen, PC</v>
      </c>
      <c r="CR986" t="s">
        <v>10771</v>
      </c>
    </row>
    <row r="987" spans="1:96" x14ac:dyDescent="0.2">
      <c r="A987" t="s">
        <v>10773</v>
      </c>
      <c r="B987" t="s">
        <v>96</v>
      </c>
      <c r="C987" s="1">
        <v>44098</v>
      </c>
      <c r="D987" s="1">
        <v>44105</v>
      </c>
      <c r="F987" t="s">
        <v>97</v>
      </c>
      <c r="G987" t="str">
        <f>"Vice President Projects"</f>
        <v>Vice President Projects</v>
      </c>
      <c r="H987" t="s">
        <v>12185</v>
      </c>
      <c r="I987" t="s">
        <v>810</v>
      </c>
      <c r="J987" t="s">
        <v>98</v>
      </c>
      <c r="K987" s="1">
        <v>44109</v>
      </c>
      <c r="L987" s="1">
        <v>44827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10774</v>
      </c>
      <c r="U987" t="str">
        <f>""</f>
        <v/>
      </c>
      <c r="V987" t="s">
        <v>10775</v>
      </c>
      <c r="W987" t="str">
        <f>""</f>
        <v/>
      </c>
      <c r="X987" t="s">
        <v>6566</v>
      </c>
      <c r="Y987" t="s">
        <v>135</v>
      </c>
      <c r="Z987" s="3">
        <v>24501</v>
      </c>
      <c r="AA987" t="s">
        <v>101</v>
      </c>
      <c r="AC987" s="4" t="str">
        <f>"+14348474575"</f>
        <v>+14348474575</v>
      </c>
      <c r="AE987" t="str">
        <f>"238120"</f>
        <v>238120</v>
      </c>
      <c r="AF987" t="s">
        <v>765</v>
      </c>
      <c r="AG987" t="s">
        <v>278</v>
      </c>
      <c r="AI987" t="s">
        <v>10776</v>
      </c>
      <c r="AJ987" t="s">
        <v>10775</v>
      </c>
      <c r="AK987" t="str">
        <f>""</f>
        <v/>
      </c>
      <c r="AL987" t="s">
        <v>6566</v>
      </c>
      <c r="AM987" t="s">
        <v>135</v>
      </c>
      <c r="AN987" s="3">
        <v>24501</v>
      </c>
      <c r="AO987" t="s">
        <v>101</v>
      </c>
      <c r="AQ987" t="str">
        <f>"+14348474575"</f>
        <v>+14348474575</v>
      </c>
      <c r="AS987" t="s">
        <v>10777</v>
      </c>
      <c r="AT987" t="s">
        <v>107</v>
      </c>
      <c r="AU987" t="str">
        <f>"Thompson"</f>
        <v>Thompson</v>
      </c>
      <c r="AV987" t="str">
        <f>"Rachel"</f>
        <v>Rachel</v>
      </c>
      <c r="AW987" t="str">
        <f>""</f>
        <v/>
      </c>
      <c r="AX987" t="str">
        <f>"201 S College Ave"</f>
        <v>201 S College Ave</v>
      </c>
      <c r="AY987" t="str">
        <f>""</f>
        <v/>
      </c>
      <c r="AZ987" t="str">
        <f>"Salem"</f>
        <v>Salem</v>
      </c>
      <c r="BA987" t="str">
        <f>"VA"</f>
        <v>VA</v>
      </c>
      <c r="BB987" s="3">
        <v>24153</v>
      </c>
      <c r="BC987" t="str">
        <f t="shared" si="74"/>
        <v>UNITED STATES OF AMERICA</v>
      </c>
      <c r="BD987" t="str">
        <f>""</f>
        <v/>
      </c>
      <c r="BE987" t="str">
        <f>"+15403871005"</f>
        <v>+15403871005</v>
      </c>
      <c r="BF987" t="str">
        <f>""</f>
        <v/>
      </c>
      <c r="BG987" t="str">
        <f>"ecf@poarchlaw.com"</f>
        <v>ecf@poarchlaw.com</v>
      </c>
      <c r="BH987" t="str">
        <f>"Poarch Thompson Law"</f>
        <v>Poarch Thompson Law</v>
      </c>
      <c r="BI987" t="str">
        <f>"VA"</f>
        <v>VA</v>
      </c>
      <c r="BJ987" t="str">
        <f>"Supreme Court of Virginia"</f>
        <v>Supreme Court of Virginia</v>
      </c>
      <c r="BK987">
        <v>1</v>
      </c>
      <c r="BL987" t="s">
        <v>102</v>
      </c>
      <c r="BM987" t="str">
        <f>""</f>
        <v/>
      </c>
      <c r="BN987" t="s">
        <v>10775</v>
      </c>
      <c r="BP987" t="s">
        <v>6566</v>
      </c>
      <c r="BQ987" t="s">
        <v>6567</v>
      </c>
      <c r="BR987" t="s">
        <v>135</v>
      </c>
      <c r="BS987" s="5">
        <v>24501</v>
      </c>
      <c r="BT987" s="2">
        <v>117125</v>
      </c>
      <c r="BU987" s="2">
        <v>250000</v>
      </c>
      <c r="BV987" t="s">
        <v>105</v>
      </c>
      <c r="BW987" s="2">
        <v>117125</v>
      </c>
      <c r="BX987" t="s">
        <v>105</v>
      </c>
      <c r="BZ987" t="s">
        <v>159</v>
      </c>
      <c r="CA987" t="str">
        <f t="shared" si="75"/>
        <v>7/1/2020 - 6/30/2021</v>
      </c>
      <c r="CF987">
        <v>1</v>
      </c>
      <c r="CG987" t="s">
        <v>98</v>
      </c>
      <c r="CH987" t="s">
        <v>206</v>
      </c>
      <c r="CI987" t="s">
        <v>206</v>
      </c>
      <c r="CL987" t="s">
        <v>108</v>
      </c>
      <c r="CM987" t="s">
        <v>109</v>
      </c>
      <c r="CN987" t="str">
        <f>"Thompson"</f>
        <v>Thompson</v>
      </c>
      <c r="CO987" t="str">
        <f>"Rachel"</f>
        <v>Rachel</v>
      </c>
      <c r="CP987" t="str">
        <f>""</f>
        <v/>
      </c>
      <c r="CQ987" t="str">
        <f>"Poarch Thompson Law"</f>
        <v>Poarch Thompson Law</v>
      </c>
      <c r="CR987" t="s">
        <v>7588</v>
      </c>
    </row>
    <row r="988" spans="1:96" x14ac:dyDescent="0.2">
      <c r="A988" t="s">
        <v>10778</v>
      </c>
      <c r="B988" t="s">
        <v>96</v>
      </c>
      <c r="C988" s="1">
        <v>44098</v>
      </c>
      <c r="D988" s="1">
        <v>44105</v>
      </c>
      <c r="F988" t="s">
        <v>97</v>
      </c>
      <c r="G988" t="str">
        <f>"SENIOR SOFTWARE DEVELOPER"</f>
        <v>SENIOR SOFTWARE DEVELOPER</v>
      </c>
      <c r="H988" t="s">
        <v>12169</v>
      </c>
      <c r="I988" t="s">
        <v>124</v>
      </c>
      <c r="J988" t="s">
        <v>98</v>
      </c>
      <c r="K988" s="1">
        <v>44099</v>
      </c>
      <c r="L988" s="1">
        <v>45193</v>
      </c>
      <c r="M988">
        <v>10</v>
      </c>
      <c r="N988">
        <v>2</v>
      </c>
      <c r="O988">
        <v>2</v>
      </c>
      <c r="P988">
        <v>2</v>
      </c>
      <c r="Q988">
        <v>0</v>
      </c>
      <c r="R988">
        <v>2</v>
      </c>
      <c r="S988">
        <v>2</v>
      </c>
      <c r="T988" t="s">
        <v>2068</v>
      </c>
      <c r="U988" t="str">
        <f>""</f>
        <v/>
      </c>
      <c r="V988" t="s">
        <v>2069</v>
      </c>
      <c r="W988" t="str">
        <f>""</f>
        <v/>
      </c>
      <c r="X988" t="s">
        <v>1025</v>
      </c>
      <c r="Y988" t="s">
        <v>577</v>
      </c>
      <c r="Z988" s="3">
        <v>33605</v>
      </c>
      <c r="AA988" t="s">
        <v>101</v>
      </c>
      <c r="AC988" s="4" t="str">
        <f>"+18135525000"</f>
        <v>+18135525000</v>
      </c>
      <c r="AE988" t="str">
        <f>"5416"</f>
        <v>5416</v>
      </c>
      <c r="AF988" t="s">
        <v>2070</v>
      </c>
      <c r="AG988" t="s">
        <v>2071</v>
      </c>
      <c r="AI988" t="s">
        <v>497</v>
      </c>
      <c r="AJ988" t="s">
        <v>2072</v>
      </c>
      <c r="AK988" t="str">
        <f>""</f>
        <v/>
      </c>
      <c r="AL988" t="s">
        <v>1025</v>
      </c>
      <c r="AM988" t="s">
        <v>577</v>
      </c>
      <c r="AN988" s="3">
        <v>33605</v>
      </c>
      <c r="AO988" t="s">
        <v>101</v>
      </c>
      <c r="AQ988" t="str">
        <f>"+18135525000"</f>
        <v>+18135525000</v>
      </c>
      <c r="AS988" t="s">
        <v>2073</v>
      </c>
      <c r="AT988" t="s">
        <v>107</v>
      </c>
      <c r="AU988" t="str">
        <f>"WHITE "</f>
        <v xml:space="preserve">WHITE </v>
      </c>
      <c r="AV988" t="str">
        <f>"ROBERT"</f>
        <v>ROBERT</v>
      </c>
      <c r="AW988" t="str">
        <f>"SAMUEL"</f>
        <v>SAMUEL</v>
      </c>
      <c r="AX988" t="str">
        <f>"200 N MARTINGALE ROAD"</f>
        <v>200 N MARTINGALE ROAD</v>
      </c>
      <c r="AY988" t="str">
        <f>"SUITE 800"</f>
        <v>SUITE 800</v>
      </c>
      <c r="AZ988" t="str">
        <f>"SCHAUMBURG"</f>
        <v>SCHAUMBURG</v>
      </c>
      <c r="BA988" t="str">
        <f>"IL"</f>
        <v>IL</v>
      </c>
      <c r="BB988" s="3">
        <v>60173</v>
      </c>
      <c r="BC988" t="str">
        <f t="shared" si="74"/>
        <v>UNITED STATES OF AMERICA</v>
      </c>
      <c r="BD988" t="str">
        <f>""</f>
        <v/>
      </c>
      <c r="BE988" t="str">
        <f>"+18477348811"</f>
        <v>+18477348811</v>
      </c>
      <c r="BF988" t="str">
        <f>""</f>
        <v/>
      </c>
      <c r="BG988" t="str">
        <f>"RWHITE@MASUDAFUNAI.COM"</f>
        <v>RWHITE@MASUDAFUNAI.COM</v>
      </c>
      <c r="BH988" t="str">
        <f>"Masuda Funai Eifert &amp; Mitchell, Ltd."</f>
        <v>Masuda Funai Eifert &amp; Mitchell, Ltd.</v>
      </c>
      <c r="BI988" t="str">
        <f>"IL"</f>
        <v>IL</v>
      </c>
      <c r="BJ988" t="str">
        <f>"SUPREME COURT"</f>
        <v>SUPREME COURT</v>
      </c>
      <c r="BK988">
        <v>10</v>
      </c>
      <c r="BL988" t="s">
        <v>107</v>
      </c>
      <c r="BM988" t="str">
        <f>"WILLIAMS-SONOMA, INC."</f>
        <v>WILLIAMS-SONOMA, INC.</v>
      </c>
      <c r="BN988" t="s">
        <v>6375</v>
      </c>
      <c r="BP988" t="s">
        <v>147</v>
      </c>
      <c r="BQ988" t="s">
        <v>147</v>
      </c>
      <c r="BR988" t="s">
        <v>141</v>
      </c>
      <c r="BS988" s="5">
        <v>94109</v>
      </c>
      <c r="BT988" s="2">
        <v>58.14</v>
      </c>
      <c r="BU988" s="2">
        <v>70</v>
      </c>
      <c r="BV988" t="s">
        <v>210</v>
      </c>
      <c r="BW988" s="2">
        <v>58.14</v>
      </c>
      <c r="BX988" t="s">
        <v>210</v>
      </c>
      <c r="BZ988" t="s">
        <v>167</v>
      </c>
      <c r="CA988" t="str">
        <f t="shared" si="75"/>
        <v>7/1/2020 - 6/30/2021</v>
      </c>
      <c r="CF988">
        <v>2</v>
      </c>
      <c r="CG988" t="s">
        <v>98</v>
      </c>
      <c r="CH988" t="s">
        <v>206</v>
      </c>
      <c r="CI988" t="s">
        <v>206</v>
      </c>
      <c r="CL988" t="s">
        <v>108</v>
      </c>
      <c r="CM988" t="s">
        <v>109</v>
      </c>
      <c r="CN988" t="str">
        <f>""</f>
        <v/>
      </c>
      <c r="CO988" t="str">
        <f>""</f>
        <v/>
      </c>
      <c r="CP988" t="str">
        <f>""</f>
        <v/>
      </c>
      <c r="CQ988" t="str">
        <f>""</f>
        <v/>
      </c>
    </row>
    <row r="989" spans="1:96" x14ac:dyDescent="0.2">
      <c r="A989" t="s">
        <v>10801</v>
      </c>
      <c r="B989" t="s">
        <v>96</v>
      </c>
      <c r="C989" s="1">
        <v>44098</v>
      </c>
      <c r="D989" s="1">
        <v>44105</v>
      </c>
      <c r="F989" t="s">
        <v>97</v>
      </c>
      <c r="G989" t="str">
        <f>"Software Engineer  1615.59384"</f>
        <v>Software Engineer  1615.59384</v>
      </c>
      <c r="H989" t="s">
        <v>12169</v>
      </c>
      <c r="I989" t="s">
        <v>124</v>
      </c>
      <c r="J989" t="s">
        <v>98</v>
      </c>
      <c r="K989" s="1">
        <v>44104</v>
      </c>
      <c r="L989" s="1">
        <v>45198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 t="s">
        <v>289</v>
      </c>
      <c r="U989" t="str">
        <f>""</f>
        <v/>
      </c>
      <c r="V989" t="s">
        <v>290</v>
      </c>
      <c r="W989" t="str">
        <f>""</f>
        <v/>
      </c>
      <c r="X989" t="s">
        <v>155</v>
      </c>
      <c r="Y989" t="s">
        <v>141</v>
      </c>
      <c r="Z989" s="3">
        <v>94043</v>
      </c>
      <c r="AA989" t="s">
        <v>101</v>
      </c>
      <c r="AC989" s="4" t="str">
        <f>"+16502037602"</f>
        <v>+16502037602</v>
      </c>
      <c r="AE989" t="str">
        <f>"541512"</f>
        <v>541512</v>
      </c>
      <c r="AF989" t="s">
        <v>427</v>
      </c>
      <c r="AG989" t="s">
        <v>1880</v>
      </c>
      <c r="AI989" t="s">
        <v>893</v>
      </c>
      <c r="AJ989" t="s">
        <v>1562</v>
      </c>
      <c r="AK989" t="str">
        <f>""</f>
        <v/>
      </c>
      <c r="AL989" t="s">
        <v>150</v>
      </c>
      <c r="AM989" t="s">
        <v>141</v>
      </c>
      <c r="AN989" s="3">
        <v>94043</v>
      </c>
      <c r="AO989" t="s">
        <v>101</v>
      </c>
      <c r="AQ989" t="str">
        <f>"+16502534513"</f>
        <v>+16502534513</v>
      </c>
      <c r="AS989" t="s">
        <v>429</v>
      </c>
      <c r="AT989" t="s">
        <v>107</v>
      </c>
      <c r="AU989" t="str">
        <f>"Wu"</f>
        <v>Wu</v>
      </c>
      <c r="AV989" t="str">
        <f>"Mengying"</f>
        <v>Mengying</v>
      </c>
      <c r="AW989" t="str">
        <f>""</f>
        <v/>
      </c>
      <c r="AX989" t="str">
        <f>"2400 N. Glenville Drive"</f>
        <v>2400 N. Glenville Drive</v>
      </c>
      <c r="AY989" t="str">
        <f>"Building A, Suite 100"</f>
        <v>Building A, Suite 100</v>
      </c>
      <c r="AZ989" t="str">
        <f>"Richardson"</f>
        <v>Richardson</v>
      </c>
      <c r="BA989" t="str">
        <f>"TX"</f>
        <v>TX</v>
      </c>
      <c r="BB989" s="3">
        <v>75082</v>
      </c>
      <c r="BC989" t="str">
        <f t="shared" si="74"/>
        <v>UNITED STATES OF AMERICA</v>
      </c>
      <c r="BD989" t="str">
        <f>""</f>
        <v/>
      </c>
      <c r="BE989" t="str">
        <f>"+19728617129"</f>
        <v>+19728617129</v>
      </c>
      <c r="BF989" t="str">
        <f>""</f>
        <v/>
      </c>
      <c r="BG989" t="str">
        <f>"GoogleDOL@balglobal.com"</f>
        <v>GoogleDOL@balglobal.com</v>
      </c>
      <c r="BH989" t="str">
        <f>"Berry Appleman &amp; Leiden LLP"</f>
        <v>Berry Appleman &amp; Leiden LLP</v>
      </c>
      <c r="BI989" t="str">
        <f>"NY"</f>
        <v>NY</v>
      </c>
      <c r="BJ989" t="str">
        <f>"Supreme Court of New York"</f>
        <v>Supreme Court of New York</v>
      </c>
      <c r="BK989">
        <v>1</v>
      </c>
      <c r="BL989" t="s">
        <v>102</v>
      </c>
      <c r="BM989" t="str">
        <f>""</f>
        <v/>
      </c>
      <c r="BN989" t="s">
        <v>1059</v>
      </c>
      <c r="BP989" t="s">
        <v>229</v>
      </c>
      <c r="BQ989" t="s">
        <v>230</v>
      </c>
      <c r="BR989" t="s">
        <v>141</v>
      </c>
      <c r="BS989" s="5">
        <v>94089</v>
      </c>
      <c r="BT989" s="2">
        <v>150000</v>
      </c>
      <c r="BV989" t="s">
        <v>105</v>
      </c>
      <c r="BW989" s="2">
        <v>120578</v>
      </c>
      <c r="BX989" t="s">
        <v>105</v>
      </c>
      <c r="BZ989" t="s">
        <v>167</v>
      </c>
      <c r="CA989" t="str">
        <f t="shared" si="75"/>
        <v>7/1/2020 - 6/30/2021</v>
      </c>
      <c r="CF989">
        <v>3</v>
      </c>
      <c r="CG989" t="s">
        <v>98</v>
      </c>
      <c r="CH989" t="s">
        <v>206</v>
      </c>
      <c r="CI989" t="s">
        <v>206</v>
      </c>
      <c r="CL989" t="s">
        <v>108</v>
      </c>
      <c r="CM989" t="s">
        <v>109</v>
      </c>
      <c r="CN989" t="str">
        <f>"Calderon"</f>
        <v>Calderon</v>
      </c>
      <c r="CO989" t="str">
        <f>"Andrea"</f>
        <v>Andrea</v>
      </c>
      <c r="CP989" t="str">
        <f>"C"</f>
        <v>C</v>
      </c>
      <c r="CQ989" t="str">
        <f>"Berry Appleman and Leiden LLP "</f>
        <v xml:space="preserve">Berry Appleman and Leiden LLP </v>
      </c>
      <c r="CR989" t="s">
        <v>2214</v>
      </c>
    </row>
    <row r="990" spans="1:96" x14ac:dyDescent="0.2">
      <c r="A990" t="s">
        <v>10804</v>
      </c>
      <c r="B990" t="s">
        <v>96</v>
      </c>
      <c r="C990" s="1">
        <v>44098</v>
      </c>
      <c r="D990" s="1">
        <v>44105</v>
      </c>
      <c r="F990" t="s">
        <v>97</v>
      </c>
      <c r="G990" t="str">
        <f>"Computer Programmer"</f>
        <v>Computer Programmer</v>
      </c>
      <c r="H990" t="s">
        <v>12239</v>
      </c>
      <c r="I990" t="s">
        <v>378</v>
      </c>
      <c r="J990" t="s">
        <v>98</v>
      </c>
      <c r="K990" s="1">
        <v>44098</v>
      </c>
      <c r="L990" s="1">
        <v>45192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7367</v>
      </c>
      <c r="U990" t="str">
        <f>""</f>
        <v/>
      </c>
      <c r="V990" t="s">
        <v>7368</v>
      </c>
      <c r="W990" t="str">
        <f>""</f>
        <v/>
      </c>
      <c r="X990" t="s">
        <v>6832</v>
      </c>
      <c r="Y990" t="s">
        <v>141</v>
      </c>
      <c r="Z990" s="3">
        <v>95677</v>
      </c>
      <c r="AA990" t="s">
        <v>101</v>
      </c>
      <c r="AC990" s="4" t="str">
        <f>"+18334733338"</f>
        <v>+18334733338</v>
      </c>
      <c r="AE990" t="str">
        <f>"541511"</f>
        <v>541511</v>
      </c>
      <c r="AF990" t="s">
        <v>7369</v>
      </c>
      <c r="AG990" t="s">
        <v>2698</v>
      </c>
      <c r="AH990" t="s">
        <v>108</v>
      </c>
      <c r="AI990" t="s">
        <v>2516</v>
      </c>
      <c r="AJ990" t="s">
        <v>7368</v>
      </c>
      <c r="AK990" t="str">
        <f>""</f>
        <v/>
      </c>
      <c r="AL990" t="s">
        <v>6832</v>
      </c>
      <c r="AM990" t="s">
        <v>141</v>
      </c>
      <c r="AN990" s="3">
        <v>95677</v>
      </c>
      <c r="AO990" t="s">
        <v>101</v>
      </c>
      <c r="AQ990" t="str">
        <f>"+18334733338"</f>
        <v>+18334733338</v>
      </c>
      <c r="AS990" t="s">
        <v>7370</v>
      </c>
      <c r="AT990" t="s">
        <v>107</v>
      </c>
      <c r="AU990" t="str">
        <f>"Wang"</f>
        <v>Wang</v>
      </c>
      <c r="AV990" t="str">
        <f>"Chien-Yu"</f>
        <v>Chien-Yu</v>
      </c>
      <c r="AW990" t="str">
        <f>"Michael"</f>
        <v>Michael</v>
      </c>
      <c r="AX990" t="str">
        <f>"2730 Gateway Oaks Drive "</f>
        <v xml:space="preserve">2730 Gateway Oaks Drive </v>
      </c>
      <c r="AY990" t="str">
        <f>"Suite 208"</f>
        <v>Suite 208</v>
      </c>
      <c r="AZ990" t="str">
        <f>"Sacramento"</f>
        <v>Sacramento</v>
      </c>
      <c r="BA990" t="str">
        <f>"CA"</f>
        <v>CA</v>
      </c>
      <c r="BB990" s="3">
        <v>95833</v>
      </c>
      <c r="BC990" t="str">
        <f t="shared" si="74"/>
        <v>UNITED STATES OF AMERICA</v>
      </c>
      <c r="BD990" t="str">
        <f>""</f>
        <v/>
      </c>
      <c r="BE990" t="str">
        <f>"+19166434657"</f>
        <v>+19166434657</v>
      </c>
      <c r="BF990" t="str">
        <f>""</f>
        <v/>
      </c>
      <c r="BG990" t="str">
        <f>"mwang@wilneroreilly.com"</f>
        <v>mwang@wilneroreilly.com</v>
      </c>
      <c r="BH990" t="str">
        <f>"Wilner &amp; O'Reilly, APLC "</f>
        <v xml:space="preserve">Wilner &amp; O'Reilly, APLC </v>
      </c>
      <c r="BI990" t="str">
        <f>"CA"</f>
        <v>CA</v>
      </c>
      <c r="BJ990" t="str">
        <f>"CA"</f>
        <v>CA</v>
      </c>
      <c r="BK990">
        <v>1</v>
      </c>
      <c r="BL990" t="s">
        <v>102</v>
      </c>
      <c r="BM990" t="str">
        <f>""</f>
        <v/>
      </c>
      <c r="BN990" t="s">
        <v>10805</v>
      </c>
      <c r="BP990" t="s">
        <v>6832</v>
      </c>
      <c r="BQ990" t="s">
        <v>2273</v>
      </c>
      <c r="BR990" t="s">
        <v>141</v>
      </c>
      <c r="BS990" s="5">
        <v>95677</v>
      </c>
      <c r="BT990" s="2">
        <v>70000</v>
      </c>
      <c r="BV990" t="s">
        <v>105</v>
      </c>
      <c r="BW990" s="2">
        <v>65978</v>
      </c>
      <c r="BX990" t="s">
        <v>105</v>
      </c>
      <c r="BZ990" t="s">
        <v>167</v>
      </c>
      <c r="CA990" t="str">
        <f t="shared" si="75"/>
        <v>7/1/2020 - 6/30/2021</v>
      </c>
      <c r="CF990">
        <v>1</v>
      </c>
      <c r="CG990" t="s">
        <v>98</v>
      </c>
      <c r="CH990" t="s">
        <v>206</v>
      </c>
      <c r="CI990" t="s">
        <v>206</v>
      </c>
      <c r="CL990" t="s">
        <v>108</v>
      </c>
      <c r="CM990" t="s">
        <v>109</v>
      </c>
      <c r="CN990" t="str">
        <f>""</f>
        <v/>
      </c>
      <c r="CO990" t="str">
        <f>""</f>
        <v/>
      </c>
      <c r="CP990" t="str">
        <f>""</f>
        <v/>
      </c>
      <c r="CQ990" t="str">
        <f>""</f>
        <v/>
      </c>
    </row>
    <row r="991" spans="1:96" x14ac:dyDescent="0.2">
      <c r="A991" t="s">
        <v>10806</v>
      </c>
      <c r="B991" t="s">
        <v>96</v>
      </c>
      <c r="C991" s="1">
        <v>44098</v>
      </c>
      <c r="D991" s="1">
        <v>44105</v>
      </c>
      <c r="F991" t="s">
        <v>97</v>
      </c>
      <c r="G991" t="str">
        <f>"Kafka Architect"</f>
        <v>Kafka Architect</v>
      </c>
      <c r="H991" t="s">
        <v>12169</v>
      </c>
      <c r="I991" t="s">
        <v>124</v>
      </c>
      <c r="J991" t="s">
        <v>98</v>
      </c>
      <c r="K991" s="1">
        <v>44109</v>
      </c>
      <c r="L991" s="1">
        <v>44839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5424</v>
      </c>
      <c r="U991" t="str">
        <f>""</f>
        <v/>
      </c>
      <c r="V991" t="s">
        <v>5425</v>
      </c>
      <c r="W991" t="str">
        <f>""</f>
        <v/>
      </c>
      <c r="X991" t="s">
        <v>4781</v>
      </c>
      <c r="Y991" t="s">
        <v>100</v>
      </c>
      <c r="Z991" s="3">
        <v>7920</v>
      </c>
      <c r="AA991" t="s">
        <v>101</v>
      </c>
      <c r="AC991" s="4" t="str">
        <f>"+19738895259"</f>
        <v>+19738895259</v>
      </c>
      <c r="AE991" t="str">
        <f>"541511"</f>
        <v>541511</v>
      </c>
      <c r="AF991" t="s">
        <v>5426</v>
      </c>
      <c r="AG991" t="s">
        <v>5427</v>
      </c>
      <c r="AI991" t="s">
        <v>629</v>
      </c>
      <c r="AJ991" t="s">
        <v>5425</v>
      </c>
      <c r="AK991" t="str">
        <f>""</f>
        <v/>
      </c>
      <c r="AL991" t="s">
        <v>4781</v>
      </c>
      <c r="AM991" t="s">
        <v>100</v>
      </c>
      <c r="AN991" s="3">
        <v>7920</v>
      </c>
      <c r="AO991" t="s">
        <v>101</v>
      </c>
      <c r="AQ991" t="str">
        <f>"+19738895259"</f>
        <v>+19738895259</v>
      </c>
      <c r="AS991" t="s">
        <v>5428</v>
      </c>
      <c r="AT991" t="s">
        <v>107</v>
      </c>
      <c r="AU991" t="str">
        <f>"Dave"</f>
        <v>Dave</v>
      </c>
      <c r="AV991" t="str">
        <f>"Aparna"</f>
        <v>Aparna</v>
      </c>
      <c r="AW991" t="str">
        <f>"Raju"</f>
        <v>Raju</v>
      </c>
      <c r="AX991" t="str">
        <f>"107 Alderwood Drive"</f>
        <v>107 Alderwood Drive</v>
      </c>
      <c r="AY991" t="str">
        <f>""</f>
        <v/>
      </c>
      <c r="AZ991" t="str">
        <f>"Gaithersburg"</f>
        <v>Gaithersburg</v>
      </c>
      <c r="BA991" t="str">
        <f>"MD"</f>
        <v>MD</v>
      </c>
      <c r="BB991" s="3">
        <v>20878</v>
      </c>
      <c r="BC991" t="str">
        <f t="shared" si="74"/>
        <v>UNITED STATES OF AMERICA</v>
      </c>
      <c r="BD991" t="str">
        <f>""</f>
        <v/>
      </c>
      <c r="BE991" t="str">
        <f>"+13013155842"</f>
        <v>+13013155842</v>
      </c>
      <c r="BF991" t="str">
        <f>""</f>
        <v/>
      </c>
      <c r="BG991" t="str">
        <f>"aparnadave@immigration2us.com"</f>
        <v>aparnadave@immigration2us.com</v>
      </c>
      <c r="BH991" t="str">
        <f>"Law Office of Aparna Dave"</f>
        <v>Law Office of Aparna Dave</v>
      </c>
      <c r="BI991" t="str">
        <f>"MA"</f>
        <v>MA</v>
      </c>
      <c r="BJ991" t="str">
        <f>"Supreme Judicial Court"</f>
        <v>Supreme Judicial Court</v>
      </c>
      <c r="BK991">
        <v>1</v>
      </c>
      <c r="BL991" t="s">
        <v>107</v>
      </c>
      <c r="BM991" t="str">
        <f>"Wells Fargo"</f>
        <v>Wells Fargo</v>
      </c>
      <c r="BN991" t="s">
        <v>10807</v>
      </c>
      <c r="BP991" t="s">
        <v>256</v>
      </c>
      <c r="BQ991" t="s">
        <v>257</v>
      </c>
      <c r="BR991" t="s">
        <v>258</v>
      </c>
      <c r="BS991" s="5">
        <v>85286</v>
      </c>
      <c r="BT991" s="2">
        <v>51</v>
      </c>
      <c r="BV991" t="s">
        <v>210</v>
      </c>
      <c r="BW991" s="2">
        <v>40.21</v>
      </c>
      <c r="BX991" t="s">
        <v>210</v>
      </c>
      <c r="BZ991" t="s">
        <v>167</v>
      </c>
      <c r="CA991" t="str">
        <f t="shared" si="75"/>
        <v>7/1/2020 - 6/30/2021</v>
      </c>
      <c r="CF991">
        <v>3</v>
      </c>
      <c r="CG991" t="s">
        <v>98</v>
      </c>
      <c r="CH991" t="s">
        <v>206</v>
      </c>
      <c r="CI991" t="s">
        <v>206</v>
      </c>
      <c r="CL991" t="s">
        <v>108</v>
      </c>
      <c r="CM991" t="s">
        <v>109</v>
      </c>
      <c r="CN991" t="str">
        <f>""</f>
        <v/>
      </c>
      <c r="CO991" t="str">
        <f>""</f>
        <v/>
      </c>
      <c r="CP991" t="str">
        <f>""</f>
        <v/>
      </c>
      <c r="CQ991" t="str">
        <f>""</f>
        <v/>
      </c>
    </row>
    <row r="992" spans="1:96" x14ac:dyDescent="0.2">
      <c r="A992" t="s">
        <v>10811</v>
      </c>
      <c r="B992" t="s">
        <v>96</v>
      </c>
      <c r="C992" s="1">
        <v>44098</v>
      </c>
      <c r="D992" s="1">
        <v>44105</v>
      </c>
      <c r="F992" t="s">
        <v>97</v>
      </c>
      <c r="G992" t="str">
        <f>"Electrical Advanced Serviceability of Design Engineer"</f>
        <v>Electrical Advanced Serviceability of Design Engineer</v>
      </c>
      <c r="H992" t="s">
        <v>12179</v>
      </c>
      <c r="I992" t="s">
        <v>1357</v>
      </c>
      <c r="J992" t="s">
        <v>98</v>
      </c>
      <c r="K992" s="1">
        <v>44245</v>
      </c>
      <c r="L992" s="1">
        <v>45339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 t="s">
        <v>4848</v>
      </c>
      <c r="U992" t="str">
        <f>""</f>
        <v/>
      </c>
      <c r="V992" t="s">
        <v>4849</v>
      </c>
      <c r="W992" t="str">
        <f>"MC: 482-C32-C66"</f>
        <v>MC: 482-C32-C66</v>
      </c>
      <c r="X992" t="s">
        <v>528</v>
      </c>
      <c r="Y992" t="s">
        <v>265</v>
      </c>
      <c r="Z992" s="3" t="s">
        <v>12296</v>
      </c>
      <c r="AA992" t="s">
        <v>101</v>
      </c>
      <c r="AC992" s="4" t="str">
        <f>"+13135700122"</f>
        <v>+13135700122</v>
      </c>
      <c r="AE992" t="str">
        <f>"3361"</f>
        <v>3361</v>
      </c>
      <c r="AF992" t="s">
        <v>4850</v>
      </c>
      <c r="AG992" t="s">
        <v>1182</v>
      </c>
      <c r="AI992" t="s">
        <v>254</v>
      </c>
      <c r="AJ992" t="s">
        <v>4851</v>
      </c>
      <c r="AK992" t="str">
        <f>"MC: 482-C32-C66"</f>
        <v>MC: 482-C32-C66</v>
      </c>
      <c r="AL992" t="s">
        <v>1682</v>
      </c>
      <c r="AM992" t="s">
        <v>265</v>
      </c>
      <c r="AN992" s="3" t="s">
        <v>12296</v>
      </c>
      <c r="AO992" t="s">
        <v>101</v>
      </c>
      <c r="AQ992" t="str">
        <f>"+13135700122"</f>
        <v>+13135700122</v>
      </c>
      <c r="AS992" t="s">
        <v>4852</v>
      </c>
      <c r="AT992" t="s">
        <v>107</v>
      </c>
      <c r="AU992" t="str">
        <f>"Roby"</f>
        <v>Roby</v>
      </c>
      <c r="AV992" t="str">
        <f>"Anthony"</f>
        <v>Anthony</v>
      </c>
      <c r="AW992" t="str">
        <f>"Michael"</f>
        <v>Michael</v>
      </c>
      <c r="AX992" t="str">
        <f>"566 Ann Street"</f>
        <v>566 Ann Street</v>
      </c>
      <c r="AY992" t="str">
        <f>""</f>
        <v/>
      </c>
      <c r="AZ992" t="str">
        <f>"Birmingham "</f>
        <v xml:space="preserve">Birmingham </v>
      </c>
      <c r="BA992" t="str">
        <f>"MI"</f>
        <v>MI</v>
      </c>
      <c r="BB992" s="3" t="s">
        <v>12307</v>
      </c>
      <c r="BC992" t="str">
        <f t="shared" si="74"/>
        <v>UNITED STATES OF AMERICA</v>
      </c>
      <c r="BD992" t="str">
        <f>""</f>
        <v/>
      </c>
      <c r="BE992" t="str">
        <f>"+12485548500"</f>
        <v>+12485548500</v>
      </c>
      <c r="BF992" t="str">
        <f>""</f>
        <v/>
      </c>
      <c r="BG992" t="str">
        <f>"anthony.roby@robylaw.com"</f>
        <v>anthony.roby@robylaw.com</v>
      </c>
      <c r="BH992" t="str">
        <f>"Roby Law Associates, PLLC"</f>
        <v>Roby Law Associates, PLLC</v>
      </c>
      <c r="BI992" t="str">
        <f>"MI"</f>
        <v>MI</v>
      </c>
      <c r="BJ992" t="str">
        <f>"U.S. Supreme Courts"</f>
        <v>U.S. Supreme Courts</v>
      </c>
      <c r="BK992">
        <v>1</v>
      </c>
      <c r="BL992" t="s">
        <v>102</v>
      </c>
      <c r="BM992" t="str">
        <f>""</f>
        <v/>
      </c>
      <c r="BN992" t="s">
        <v>10812</v>
      </c>
      <c r="BP992" t="s">
        <v>1058</v>
      </c>
      <c r="BQ992" t="s">
        <v>543</v>
      </c>
      <c r="BR992" t="s">
        <v>265</v>
      </c>
      <c r="BS992" s="5">
        <v>48093</v>
      </c>
      <c r="BT992" s="2">
        <v>93926.28</v>
      </c>
      <c r="BV992" t="s">
        <v>105</v>
      </c>
      <c r="BW992" s="2">
        <v>81827</v>
      </c>
      <c r="BX992" t="s">
        <v>105</v>
      </c>
      <c r="BZ992" t="s">
        <v>167</v>
      </c>
      <c r="CA992" t="str">
        <f t="shared" si="75"/>
        <v>7/1/2020 - 6/30/2021</v>
      </c>
      <c r="CF992">
        <v>2</v>
      </c>
      <c r="CG992" t="s">
        <v>98</v>
      </c>
      <c r="CH992" t="s">
        <v>206</v>
      </c>
      <c r="CI992" t="s">
        <v>206</v>
      </c>
      <c r="CL992" t="s">
        <v>108</v>
      </c>
      <c r="CM992" t="s">
        <v>109</v>
      </c>
      <c r="CN992" t="str">
        <f>""</f>
        <v/>
      </c>
      <c r="CO992" t="str">
        <f>""</f>
        <v/>
      </c>
      <c r="CP992" t="str">
        <f>""</f>
        <v/>
      </c>
      <c r="CQ992" t="str">
        <f>""</f>
        <v/>
      </c>
    </row>
    <row r="993" spans="1:96" x14ac:dyDescent="0.2">
      <c r="A993" t="s">
        <v>10820</v>
      </c>
      <c r="B993" t="s">
        <v>96</v>
      </c>
      <c r="C993" s="1">
        <v>44098</v>
      </c>
      <c r="D993" s="1">
        <v>44105</v>
      </c>
      <c r="F993" t="s">
        <v>97</v>
      </c>
      <c r="G993" t="str">
        <f>"Technical Program Manager - Mobile Development"</f>
        <v>Technical Program Manager - Mobile Development</v>
      </c>
      <c r="H993" t="s">
        <v>12168</v>
      </c>
      <c r="I993" t="s">
        <v>367</v>
      </c>
      <c r="J993" t="s">
        <v>98</v>
      </c>
      <c r="K993" s="1">
        <v>44116</v>
      </c>
      <c r="L993" s="1">
        <v>45210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 t="s">
        <v>4343</v>
      </c>
      <c r="U993" t="str">
        <f>""</f>
        <v/>
      </c>
      <c r="V993" t="s">
        <v>4344</v>
      </c>
      <c r="W993" t="str">
        <f>""</f>
        <v/>
      </c>
      <c r="X993" t="s">
        <v>4345</v>
      </c>
      <c r="Y993" t="s">
        <v>190</v>
      </c>
      <c r="Z993" s="3">
        <v>10591</v>
      </c>
      <c r="AA993" t="s">
        <v>101</v>
      </c>
      <c r="AC993" s="4" t="str">
        <f>"+19143665911"</f>
        <v>+19143665911</v>
      </c>
      <c r="AE993" t="str">
        <f>"541511"</f>
        <v>541511</v>
      </c>
      <c r="AF993" t="s">
        <v>4346</v>
      </c>
      <c r="AG993" t="s">
        <v>4347</v>
      </c>
      <c r="AI993" t="s">
        <v>298</v>
      </c>
      <c r="AJ993" t="s">
        <v>4344</v>
      </c>
      <c r="AK993" t="str">
        <f>""</f>
        <v/>
      </c>
      <c r="AL993" t="s">
        <v>4345</v>
      </c>
      <c r="AM993" t="s">
        <v>190</v>
      </c>
      <c r="AN993" s="3">
        <v>10591</v>
      </c>
      <c r="AO993" t="s">
        <v>101</v>
      </c>
      <c r="AQ993" t="str">
        <f>"+19143665911"</f>
        <v>+19143665911</v>
      </c>
      <c r="AS993" t="s">
        <v>4348</v>
      </c>
      <c r="AT993" t="s">
        <v>107</v>
      </c>
      <c r="AU993" t="str">
        <f>"Heckler"</f>
        <v>Heckler</v>
      </c>
      <c r="AV993" t="str">
        <f>"Jenna"</f>
        <v>Jenna</v>
      </c>
      <c r="AW993" t="str">
        <f>"F"</f>
        <v>F</v>
      </c>
      <c r="AX993" t="str">
        <f>"169 N. Broadway"</f>
        <v>169 N. Broadway</v>
      </c>
      <c r="AY993" t="str">
        <f>"Ste. A"</f>
        <v>Ste. A</v>
      </c>
      <c r="AZ993" t="str">
        <f>"South Amboy"</f>
        <v>South Amboy</v>
      </c>
      <c r="BA993" t="str">
        <f>"NJ"</f>
        <v>NJ</v>
      </c>
      <c r="BB993" s="3">
        <v>8879</v>
      </c>
      <c r="BC993" t="str">
        <f t="shared" si="74"/>
        <v>UNITED STATES OF AMERICA</v>
      </c>
      <c r="BD993" t="str">
        <f>""</f>
        <v/>
      </c>
      <c r="BE993" t="str">
        <f>"+17323089623"</f>
        <v>+17323089623</v>
      </c>
      <c r="BF993" t="str">
        <f>""</f>
        <v/>
      </c>
      <c r="BG993" t="str">
        <f>"Debbie@aheckler.com"</f>
        <v>Debbie@aheckler.com</v>
      </c>
      <c r="BH993" t="str">
        <f>"Jenna F. Heckler, PC"</f>
        <v>Jenna F. Heckler, PC</v>
      </c>
      <c r="BI993" t="str">
        <f>"NJ"</f>
        <v>NJ</v>
      </c>
      <c r="BJ993" t="str">
        <f>"Supreme Court"</f>
        <v>Supreme Court</v>
      </c>
      <c r="BK993">
        <v>1</v>
      </c>
      <c r="BL993" t="s">
        <v>107</v>
      </c>
      <c r="BM993" t="str">
        <f>"Citigroup"</f>
        <v>Citigroup</v>
      </c>
      <c r="BN993" t="s">
        <v>2961</v>
      </c>
      <c r="BP993" t="s">
        <v>483</v>
      </c>
      <c r="BQ993" t="s">
        <v>484</v>
      </c>
      <c r="BR993" t="s">
        <v>114</v>
      </c>
      <c r="BS993" s="5">
        <v>75039</v>
      </c>
      <c r="BT993" s="2">
        <v>35.590000000000003</v>
      </c>
      <c r="BU993" s="2">
        <v>85</v>
      </c>
      <c r="BV993" t="s">
        <v>210</v>
      </c>
      <c r="BW993" s="2">
        <v>35.590000000000003</v>
      </c>
      <c r="BX993" t="s">
        <v>210</v>
      </c>
      <c r="BZ993" t="s">
        <v>167</v>
      </c>
      <c r="CA993" t="str">
        <f t="shared" si="75"/>
        <v>7/1/2020 - 6/30/2021</v>
      </c>
      <c r="CF993">
        <v>2</v>
      </c>
      <c r="CG993" t="s">
        <v>98</v>
      </c>
      <c r="CH993" t="s">
        <v>206</v>
      </c>
      <c r="CI993" t="s">
        <v>206</v>
      </c>
      <c r="CL993" t="s">
        <v>108</v>
      </c>
      <c r="CM993" t="s">
        <v>109</v>
      </c>
      <c r="CN993" t="str">
        <f>"Heckler"</f>
        <v>Heckler</v>
      </c>
      <c r="CO993" t="str">
        <f>"Jenna"</f>
        <v>Jenna</v>
      </c>
      <c r="CP993" t="str">
        <f>"F"</f>
        <v>F</v>
      </c>
      <c r="CQ993" t="str">
        <f>"Jenna F. Heckler, PC"</f>
        <v>Jenna F. Heckler, PC</v>
      </c>
      <c r="CR993" t="s">
        <v>4349</v>
      </c>
    </row>
    <row r="994" spans="1:96" x14ac:dyDescent="0.2">
      <c r="A994" t="s">
        <v>10821</v>
      </c>
      <c r="B994" t="s">
        <v>96</v>
      </c>
      <c r="C994" s="1">
        <v>44098</v>
      </c>
      <c r="D994" s="1">
        <v>44105</v>
      </c>
      <c r="F994" t="s">
        <v>97</v>
      </c>
      <c r="G994" t="str">
        <f>"Chief Technology Officer"</f>
        <v>Chief Technology Officer</v>
      </c>
      <c r="H994" t="s">
        <v>12191</v>
      </c>
      <c r="I994" t="s">
        <v>649</v>
      </c>
      <c r="J994" t="s">
        <v>98</v>
      </c>
      <c r="K994" s="1">
        <v>44109</v>
      </c>
      <c r="L994" s="1">
        <v>45203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 t="s">
        <v>10822</v>
      </c>
      <c r="U994" t="str">
        <f>""</f>
        <v/>
      </c>
      <c r="V994" t="s">
        <v>10823</v>
      </c>
      <c r="W994" t="str">
        <f>""</f>
        <v/>
      </c>
      <c r="X994" t="s">
        <v>1135</v>
      </c>
      <c r="Y994" t="s">
        <v>141</v>
      </c>
      <c r="Z994" s="3">
        <v>94010</v>
      </c>
      <c r="AA994" t="s">
        <v>101</v>
      </c>
      <c r="AC994" s="4" t="str">
        <f>"+16502684504"</f>
        <v>+16502684504</v>
      </c>
      <c r="AE994" t="str">
        <f>"54151"</f>
        <v>54151</v>
      </c>
      <c r="AF994" t="s">
        <v>10824</v>
      </c>
      <c r="AG994" t="s">
        <v>10825</v>
      </c>
      <c r="AI994" t="s">
        <v>646</v>
      </c>
      <c r="AJ994" t="s">
        <v>10823</v>
      </c>
      <c r="AK994" t="str">
        <f>""</f>
        <v/>
      </c>
      <c r="AL994" t="s">
        <v>1135</v>
      </c>
      <c r="AM994" t="s">
        <v>141</v>
      </c>
      <c r="AN994" s="3">
        <v>94010</v>
      </c>
      <c r="AO994" t="s">
        <v>101</v>
      </c>
      <c r="AQ994" t="str">
        <f>"+16502684504"</f>
        <v>+16502684504</v>
      </c>
      <c r="AS994" t="s">
        <v>10826</v>
      </c>
      <c r="AT994" t="s">
        <v>107</v>
      </c>
      <c r="AU994" t="str">
        <f>"Reinhorn"</f>
        <v>Reinhorn</v>
      </c>
      <c r="AV994" t="str">
        <f>"Amy"</f>
        <v>Amy</v>
      </c>
      <c r="AW994" t="str">
        <f>""</f>
        <v/>
      </c>
      <c r="AX994" t="str">
        <f>"576 Sacramento Street"</f>
        <v>576 Sacramento Street</v>
      </c>
      <c r="AY994" t="str">
        <f>"7th Floor"</f>
        <v>7th Floor</v>
      </c>
      <c r="AZ994" t="str">
        <f>"San Francisco"</f>
        <v>San Francisco</v>
      </c>
      <c r="BA994" t="str">
        <f>"CA"</f>
        <v>CA</v>
      </c>
      <c r="BB994" s="3">
        <v>94111</v>
      </c>
      <c r="BC994" t="str">
        <f t="shared" si="74"/>
        <v>UNITED STATES OF AMERICA</v>
      </c>
      <c r="BD994" t="str">
        <f>""</f>
        <v/>
      </c>
      <c r="BE994" t="str">
        <f>"+14155135912"</f>
        <v>+14155135912</v>
      </c>
      <c r="BF994" t="str">
        <f>""</f>
        <v/>
      </c>
      <c r="BG994" t="str">
        <f>"amy@reinhornlaw.com"</f>
        <v>amy@reinhornlaw.com</v>
      </c>
      <c r="BH994" t="str">
        <f>"Reinhorn Law, Inc."</f>
        <v>Reinhorn Law, Inc.</v>
      </c>
      <c r="BI994" t="str">
        <f>"CA"</f>
        <v>CA</v>
      </c>
      <c r="BJ994" t="str">
        <f>"SUPREME COURT"</f>
        <v>SUPREME COURT</v>
      </c>
      <c r="BK994">
        <v>1</v>
      </c>
      <c r="BL994" t="s">
        <v>102</v>
      </c>
      <c r="BM994" t="str">
        <f>""</f>
        <v/>
      </c>
      <c r="BN994" t="s">
        <v>10823</v>
      </c>
      <c r="BP994" t="s">
        <v>1135</v>
      </c>
      <c r="BQ994" t="s">
        <v>994</v>
      </c>
      <c r="BR994" t="s">
        <v>141</v>
      </c>
      <c r="BS994" s="5">
        <v>94010</v>
      </c>
      <c r="BT994" s="2">
        <v>118000</v>
      </c>
      <c r="BU994" s="2">
        <v>138000</v>
      </c>
      <c r="BV994" t="s">
        <v>105</v>
      </c>
      <c r="BW994" s="2">
        <v>72342</v>
      </c>
      <c r="BX994" t="s">
        <v>105</v>
      </c>
      <c r="BZ994" t="s">
        <v>191</v>
      </c>
      <c r="CA994" t="str">
        <f t="shared" si="75"/>
        <v>7/1/2020 - 6/30/2021</v>
      </c>
      <c r="CF994">
        <v>2</v>
      </c>
      <c r="CG994" t="s">
        <v>98</v>
      </c>
      <c r="CH994" t="s">
        <v>206</v>
      </c>
      <c r="CI994" t="s">
        <v>206</v>
      </c>
      <c r="CL994" t="s">
        <v>108</v>
      </c>
      <c r="CM994" t="s">
        <v>109</v>
      </c>
      <c r="CN994" t="str">
        <f>"Randlett"</f>
        <v>Randlett</v>
      </c>
      <c r="CO994" t="str">
        <f>"Cameron"</f>
        <v>Cameron</v>
      </c>
      <c r="CP994" t="str">
        <f>""</f>
        <v/>
      </c>
      <c r="CQ994" t="str">
        <f>"Reinhorn Law, Inc."</f>
        <v>Reinhorn Law, Inc.</v>
      </c>
      <c r="CR994" t="s">
        <v>1137</v>
      </c>
    </row>
    <row r="995" spans="1:96" x14ac:dyDescent="0.2">
      <c r="A995" t="s">
        <v>10827</v>
      </c>
      <c r="B995" t="s">
        <v>96</v>
      </c>
      <c r="C995" s="1">
        <v>44098</v>
      </c>
      <c r="D995" s="1">
        <v>44105</v>
      </c>
      <c r="F995" t="s">
        <v>97</v>
      </c>
      <c r="G995" t="str">
        <f>"Middle School Spanish Teacher"</f>
        <v>Middle School Spanish Teacher</v>
      </c>
      <c r="H995" t="s">
        <v>12250</v>
      </c>
      <c r="I995" t="s">
        <v>4455</v>
      </c>
      <c r="J995" t="s">
        <v>98</v>
      </c>
      <c r="K995" s="1">
        <v>44236</v>
      </c>
      <c r="L995" s="1">
        <v>45330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 t="s">
        <v>9691</v>
      </c>
      <c r="U995" t="str">
        <f>""</f>
        <v/>
      </c>
      <c r="V995" t="s">
        <v>9692</v>
      </c>
      <c r="W995" t="str">
        <f>""</f>
        <v/>
      </c>
      <c r="X995" t="s">
        <v>1998</v>
      </c>
      <c r="Y995" t="s">
        <v>114</v>
      </c>
      <c r="Z995" s="3">
        <v>79761</v>
      </c>
      <c r="AA995" t="s">
        <v>101</v>
      </c>
      <c r="AC995" s="4" t="str">
        <f>"+14324560000"</f>
        <v>+14324560000</v>
      </c>
      <c r="AE995" t="str">
        <f>"611110"</f>
        <v>611110</v>
      </c>
      <c r="AF995" t="s">
        <v>9693</v>
      </c>
      <c r="AG995" t="s">
        <v>9694</v>
      </c>
      <c r="AI995" t="s">
        <v>9695</v>
      </c>
      <c r="AJ995" t="s">
        <v>9692</v>
      </c>
      <c r="AK995" t="str">
        <f>""</f>
        <v/>
      </c>
      <c r="AL995" t="s">
        <v>1998</v>
      </c>
      <c r="AM995" t="s">
        <v>114</v>
      </c>
      <c r="AN995" s="3">
        <v>79761</v>
      </c>
      <c r="AO995" t="s">
        <v>101</v>
      </c>
      <c r="AQ995" t="str">
        <f>"+14324560994"</f>
        <v>+14324560994</v>
      </c>
      <c r="AS995" t="s">
        <v>9696</v>
      </c>
      <c r="AT995" t="s">
        <v>107</v>
      </c>
      <c r="AU995" t="str">
        <f>"Dennis"</f>
        <v>Dennis</v>
      </c>
      <c r="AV995" t="str">
        <f>"Tatiana"</f>
        <v>Tatiana</v>
      </c>
      <c r="AW995" t="str">
        <f>"Tyutko"</f>
        <v>Tyutko</v>
      </c>
      <c r="AX995" t="str">
        <f>"3800 East 42nd Street"</f>
        <v>3800 East 42nd Street</v>
      </c>
      <c r="AY995" t="str">
        <f>"Suite 500"</f>
        <v>Suite 500</v>
      </c>
      <c r="AZ995" t="str">
        <f>"Odessa"</f>
        <v>Odessa</v>
      </c>
      <c r="BA995" t="str">
        <f>"TX"</f>
        <v>TX</v>
      </c>
      <c r="BB995" s="3">
        <v>79762</v>
      </c>
      <c r="BC995" t="str">
        <f t="shared" si="74"/>
        <v>UNITED STATES OF AMERICA</v>
      </c>
      <c r="BD995" t="str">
        <f>""</f>
        <v/>
      </c>
      <c r="BE995" t="str">
        <f>"+14323311600"</f>
        <v>+14323311600</v>
      </c>
      <c r="BF995" t="str">
        <f>""</f>
        <v/>
      </c>
      <c r="BG995" t="str">
        <f>"tdennis@odessalawfirm.com"</f>
        <v>tdennis@odessalawfirm.com</v>
      </c>
      <c r="BH995" t="str">
        <f>"Atkins, Hollmann, Jones, Peacock, Lewis &amp; Lyon, Inc."</f>
        <v>Atkins, Hollmann, Jones, Peacock, Lewis &amp; Lyon, Inc.</v>
      </c>
      <c r="BI995" t="str">
        <f>"TX"</f>
        <v>TX</v>
      </c>
      <c r="BJ995" t="str">
        <f>"The Supreme Court of Texas"</f>
        <v>The Supreme Court of Texas</v>
      </c>
      <c r="BK995">
        <v>1</v>
      </c>
      <c r="BL995" t="s">
        <v>102</v>
      </c>
      <c r="BM995" t="str">
        <f>""</f>
        <v/>
      </c>
      <c r="BN995" t="s">
        <v>10828</v>
      </c>
      <c r="BP995" t="s">
        <v>1998</v>
      </c>
      <c r="BQ995" t="s">
        <v>9690</v>
      </c>
      <c r="BR995" t="s">
        <v>114</v>
      </c>
      <c r="BS995" s="5">
        <v>79763</v>
      </c>
      <c r="BT995" s="2">
        <v>55390</v>
      </c>
      <c r="BV995" t="s">
        <v>105</v>
      </c>
      <c r="BW995" s="2">
        <v>40780</v>
      </c>
      <c r="BX995" t="s">
        <v>105</v>
      </c>
      <c r="BZ995" t="s">
        <v>191</v>
      </c>
      <c r="CA995" t="str">
        <f t="shared" si="75"/>
        <v>7/1/2020 - 6/30/2021</v>
      </c>
      <c r="CF995">
        <v>1</v>
      </c>
      <c r="CG995" t="s">
        <v>98</v>
      </c>
      <c r="CH995" t="s">
        <v>206</v>
      </c>
      <c r="CI995" t="s">
        <v>206</v>
      </c>
      <c r="CL995" t="s">
        <v>108</v>
      </c>
      <c r="CM995" t="s">
        <v>109</v>
      </c>
      <c r="CN995" t="str">
        <f>""</f>
        <v/>
      </c>
      <c r="CO995" t="str">
        <f>""</f>
        <v/>
      </c>
      <c r="CP995" t="str">
        <f>""</f>
        <v/>
      </c>
      <c r="CQ995" t="str">
        <f>""</f>
        <v/>
      </c>
    </row>
    <row r="996" spans="1:96" x14ac:dyDescent="0.2">
      <c r="A996" t="s">
        <v>10829</v>
      </c>
      <c r="B996" t="s">
        <v>96</v>
      </c>
      <c r="C996" s="1">
        <v>44098</v>
      </c>
      <c r="D996" s="1">
        <v>44105</v>
      </c>
      <c r="F996" t="s">
        <v>97</v>
      </c>
      <c r="G996" t="str">
        <f>"Data Product Manager"</f>
        <v>Data Product Manager</v>
      </c>
      <c r="H996" t="s">
        <v>12168</v>
      </c>
      <c r="I996" t="s">
        <v>367</v>
      </c>
      <c r="J996" t="s">
        <v>98</v>
      </c>
      <c r="K996" s="1">
        <v>44116</v>
      </c>
      <c r="L996" s="1">
        <v>45210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 t="s">
        <v>5802</v>
      </c>
      <c r="U996" t="str">
        <f>"HelloFresh "</f>
        <v xml:space="preserve">HelloFresh </v>
      </c>
      <c r="V996" t="s">
        <v>5803</v>
      </c>
      <c r="W996" t="str">
        <f>"10th Floor "</f>
        <v xml:space="preserve">10th Floor </v>
      </c>
      <c r="X996" t="s">
        <v>295</v>
      </c>
      <c r="Y996" t="s">
        <v>190</v>
      </c>
      <c r="Z996" s="3">
        <v>10005</v>
      </c>
      <c r="AA996" t="s">
        <v>101</v>
      </c>
      <c r="AC996" s="4" t="str">
        <f>"+19294903700"</f>
        <v>+19294903700</v>
      </c>
      <c r="AE996" t="str">
        <f>"45411"</f>
        <v>45411</v>
      </c>
      <c r="AF996" t="s">
        <v>5804</v>
      </c>
      <c r="AG996" t="s">
        <v>5805</v>
      </c>
      <c r="AI996" t="s">
        <v>4813</v>
      </c>
      <c r="AJ996" t="s">
        <v>5803</v>
      </c>
      <c r="AK996" t="str">
        <f>"10th Floor "</f>
        <v xml:space="preserve">10th Floor </v>
      </c>
      <c r="AL996" t="s">
        <v>295</v>
      </c>
      <c r="AM996" t="s">
        <v>190</v>
      </c>
      <c r="AN996" s="3">
        <v>10005</v>
      </c>
      <c r="AO996" t="s">
        <v>101</v>
      </c>
      <c r="AQ996" t="str">
        <f>"+19294903700"</f>
        <v>+19294903700</v>
      </c>
      <c r="AS996" t="s">
        <v>5806</v>
      </c>
      <c r="AT996" t="s">
        <v>107</v>
      </c>
      <c r="AU996" t="str">
        <f>"Nishikawara "</f>
        <v xml:space="preserve">Nishikawara </v>
      </c>
      <c r="AV996" t="str">
        <f>"Hiroaki "</f>
        <v xml:space="preserve">Hiroaki </v>
      </c>
      <c r="AW996" t="str">
        <f>""</f>
        <v/>
      </c>
      <c r="AX996" t="str">
        <f>"1177 Avenue of the Americas"</f>
        <v>1177 Avenue of the Americas</v>
      </c>
      <c r="AY996" t="str">
        <f>" 23rd Floor "</f>
        <v xml:space="preserve"> 23rd Floor </v>
      </c>
      <c r="AZ996" t="str">
        <f>"New York "</f>
        <v xml:space="preserve">New York </v>
      </c>
      <c r="BA996" t="str">
        <f>"NY"</f>
        <v>NY</v>
      </c>
      <c r="BB996" s="3">
        <v>10036</v>
      </c>
      <c r="BC996" t="str">
        <f t="shared" si="74"/>
        <v>UNITED STATES OF AMERICA</v>
      </c>
      <c r="BD996" t="str">
        <f>""</f>
        <v/>
      </c>
      <c r="BE996" t="str">
        <f>"+12127159449"</f>
        <v>+12127159449</v>
      </c>
      <c r="BF996" t="str">
        <f>""</f>
        <v/>
      </c>
      <c r="BG996" t="str">
        <f>"hnishikawara@kramerlevin.com"</f>
        <v>hnishikawara@kramerlevin.com</v>
      </c>
      <c r="BH996" t="str">
        <f>"Kramer Levin Naftalis &amp; Frankel LLP"</f>
        <v>Kramer Levin Naftalis &amp; Frankel LLP</v>
      </c>
      <c r="BI996" t="str">
        <f>"NY"</f>
        <v>NY</v>
      </c>
      <c r="BJ996" t="str">
        <f>"Supreme Court "</f>
        <v xml:space="preserve">Supreme Court </v>
      </c>
      <c r="BK996">
        <v>1</v>
      </c>
      <c r="BL996" t="s">
        <v>102</v>
      </c>
      <c r="BM996" t="str">
        <f>""</f>
        <v/>
      </c>
      <c r="BN996" t="s">
        <v>5803</v>
      </c>
      <c r="BP996" t="s">
        <v>277</v>
      </c>
      <c r="BQ996" t="s">
        <v>189</v>
      </c>
      <c r="BR996" t="s">
        <v>190</v>
      </c>
      <c r="BS996" s="5">
        <v>10005</v>
      </c>
      <c r="BT996" s="2">
        <v>145000</v>
      </c>
      <c r="BU996" s="2">
        <v>155000</v>
      </c>
      <c r="BV996" t="s">
        <v>105</v>
      </c>
      <c r="BW996" s="2">
        <v>114962</v>
      </c>
      <c r="BX996" t="s">
        <v>105</v>
      </c>
      <c r="BZ996" t="s">
        <v>159</v>
      </c>
      <c r="CA996" t="str">
        <f t="shared" si="75"/>
        <v>7/1/2020 - 6/30/2021</v>
      </c>
      <c r="CF996">
        <v>2</v>
      </c>
      <c r="CG996" t="s">
        <v>98</v>
      </c>
      <c r="CH996" t="s">
        <v>206</v>
      </c>
      <c r="CI996" t="s">
        <v>206</v>
      </c>
      <c r="CL996" t="s">
        <v>108</v>
      </c>
      <c r="CM996" t="s">
        <v>109</v>
      </c>
      <c r="CN996" t="str">
        <f>""</f>
        <v/>
      </c>
      <c r="CO996" t="str">
        <f>""</f>
        <v/>
      </c>
      <c r="CP996" t="str">
        <f>""</f>
        <v/>
      </c>
      <c r="CQ996" t="str">
        <f>""</f>
        <v/>
      </c>
    </row>
    <row r="997" spans="1:96" x14ac:dyDescent="0.2">
      <c r="A997" t="s">
        <v>10830</v>
      </c>
      <c r="B997" t="s">
        <v>96</v>
      </c>
      <c r="C997" s="1">
        <v>44098</v>
      </c>
      <c r="D997" s="1">
        <v>44105</v>
      </c>
      <c r="F997" t="s">
        <v>97</v>
      </c>
      <c r="G997" t="str">
        <f>"Senior Software Developer"</f>
        <v>Senior Software Developer</v>
      </c>
      <c r="H997" t="s">
        <v>12169</v>
      </c>
      <c r="I997" t="s">
        <v>124</v>
      </c>
      <c r="J997" t="s">
        <v>98</v>
      </c>
      <c r="K997" s="1">
        <v>44098</v>
      </c>
      <c r="L997" s="1">
        <v>45192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 t="s">
        <v>10831</v>
      </c>
      <c r="U997" t="str">
        <f>""</f>
        <v/>
      </c>
      <c r="V997" t="s">
        <v>10832</v>
      </c>
      <c r="W997" t="str">
        <f>"Suite 15"</f>
        <v>Suite 15</v>
      </c>
      <c r="X997" t="s">
        <v>8199</v>
      </c>
      <c r="Y997" t="s">
        <v>141</v>
      </c>
      <c r="Z997" s="3">
        <v>94523</v>
      </c>
      <c r="AA997" t="s">
        <v>101</v>
      </c>
      <c r="AC997" s="4" t="str">
        <f>"+19252628117"</f>
        <v>+19252628117</v>
      </c>
      <c r="AE997" t="str">
        <f>"541511"</f>
        <v>541511</v>
      </c>
      <c r="AF997" t="s">
        <v>2179</v>
      </c>
      <c r="AG997" t="s">
        <v>10833</v>
      </c>
      <c r="AI997" t="s">
        <v>508</v>
      </c>
      <c r="AJ997" t="s">
        <v>10832</v>
      </c>
      <c r="AK997" t="str">
        <f>"Suite 15"</f>
        <v>Suite 15</v>
      </c>
      <c r="AL997" t="s">
        <v>8199</v>
      </c>
      <c r="AM997" t="s">
        <v>141</v>
      </c>
      <c r="AN997" s="3">
        <v>94523</v>
      </c>
      <c r="AO997" t="s">
        <v>101</v>
      </c>
      <c r="AQ997" t="str">
        <f>"+19252628117"</f>
        <v>+19252628117</v>
      </c>
      <c r="AS997" t="s">
        <v>10834</v>
      </c>
      <c r="AT997" t="s">
        <v>102</v>
      </c>
      <c r="AU997" t="str">
        <f>""</f>
        <v/>
      </c>
      <c r="AV997" t="str">
        <f>""</f>
        <v/>
      </c>
      <c r="AW997" t="str">
        <f>""</f>
        <v/>
      </c>
      <c r="AX997" t="str">
        <f>""</f>
        <v/>
      </c>
      <c r="AY997" t="str">
        <f>""</f>
        <v/>
      </c>
      <c r="AZ997" t="str">
        <f>""</f>
        <v/>
      </c>
      <c r="BA997" t="str">
        <f>""</f>
        <v/>
      </c>
      <c r="BC997" t="str">
        <f>""</f>
        <v/>
      </c>
      <c r="BD997" t="str">
        <f>""</f>
        <v/>
      </c>
      <c r="BE997" t="str">
        <f>""</f>
        <v/>
      </c>
      <c r="BF997" t="str">
        <f>""</f>
        <v/>
      </c>
      <c r="BG997" t="str">
        <f>""</f>
        <v/>
      </c>
      <c r="BH997" t="str">
        <f>""</f>
        <v/>
      </c>
      <c r="BI997" t="str">
        <f>""</f>
        <v/>
      </c>
      <c r="BJ997" t="str">
        <f>""</f>
        <v/>
      </c>
      <c r="BK997">
        <v>1</v>
      </c>
      <c r="BL997" t="s">
        <v>107</v>
      </c>
      <c r="BM997" t="str">
        <f>"SalientCRGT"</f>
        <v>SalientCRGT</v>
      </c>
      <c r="BN997" t="s">
        <v>10835</v>
      </c>
      <c r="BP997" t="s">
        <v>2187</v>
      </c>
      <c r="BQ997" t="s">
        <v>454</v>
      </c>
      <c r="BR997" t="s">
        <v>135</v>
      </c>
      <c r="BS997" s="5">
        <v>20151</v>
      </c>
      <c r="BT997" s="2">
        <v>118102</v>
      </c>
      <c r="BU997" s="2">
        <v>120000</v>
      </c>
      <c r="BV997" t="s">
        <v>105</v>
      </c>
      <c r="BW997" s="2">
        <v>118102</v>
      </c>
      <c r="BX997" t="s">
        <v>105</v>
      </c>
      <c r="BZ997" t="s">
        <v>123</v>
      </c>
      <c r="CA997" t="str">
        <f t="shared" si="75"/>
        <v>7/1/2020 - 6/30/2021</v>
      </c>
      <c r="CF997">
        <v>1</v>
      </c>
      <c r="CG997" t="s">
        <v>98</v>
      </c>
      <c r="CH997" t="s">
        <v>206</v>
      </c>
      <c r="CI997" t="s">
        <v>206</v>
      </c>
      <c r="CL997" t="s">
        <v>108</v>
      </c>
      <c r="CM997" t="s">
        <v>109</v>
      </c>
      <c r="CN997" t="str">
        <f>""</f>
        <v/>
      </c>
      <c r="CO997" t="str">
        <f>""</f>
        <v/>
      </c>
      <c r="CP997" t="str">
        <f>""</f>
        <v/>
      </c>
      <c r="CQ997" t="str">
        <f>""</f>
        <v/>
      </c>
    </row>
    <row r="998" spans="1:96" x14ac:dyDescent="0.2">
      <c r="A998" t="s">
        <v>10836</v>
      </c>
      <c r="B998" t="s">
        <v>96</v>
      </c>
      <c r="C998" s="1">
        <v>44098</v>
      </c>
      <c r="D998" s="1">
        <v>44105</v>
      </c>
      <c r="F998" t="s">
        <v>97</v>
      </c>
      <c r="G998" t="str">
        <f>"Business Operations Specialist"</f>
        <v>Business Operations Specialist</v>
      </c>
      <c r="H998" t="s">
        <v>12174</v>
      </c>
      <c r="I998" t="s">
        <v>1795</v>
      </c>
      <c r="J998" t="s">
        <v>98</v>
      </c>
      <c r="K998" s="1">
        <v>44105</v>
      </c>
      <c r="L998" s="1">
        <v>45200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10837</v>
      </c>
      <c r="U998" t="str">
        <f>""</f>
        <v/>
      </c>
      <c r="V998" t="s">
        <v>10838</v>
      </c>
      <c r="W998" t="str">
        <f>"Suite 200"</f>
        <v>Suite 200</v>
      </c>
      <c r="X998" t="s">
        <v>4352</v>
      </c>
      <c r="Y998" t="s">
        <v>171</v>
      </c>
      <c r="Z998" s="3">
        <v>2129</v>
      </c>
      <c r="AA998" t="s">
        <v>101</v>
      </c>
      <c r="AC998" s="4" t="str">
        <f>"+18882008414"</f>
        <v>+18882008414</v>
      </c>
      <c r="AE998" t="str">
        <f>"3162"</f>
        <v>3162</v>
      </c>
      <c r="AF998" t="s">
        <v>10839</v>
      </c>
      <c r="AG998" t="s">
        <v>8636</v>
      </c>
      <c r="AI998" t="s">
        <v>860</v>
      </c>
      <c r="AJ998" t="s">
        <v>10838</v>
      </c>
      <c r="AK998" t="str">
        <f>"Suite 200"</f>
        <v>Suite 200</v>
      </c>
      <c r="AL998" t="s">
        <v>4352</v>
      </c>
      <c r="AM998" t="s">
        <v>171</v>
      </c>
      <c r="AN998" s="3">
        <v>2129</v>
      </c>
      <c r="AO998" t="s">
        <v>101</v>
      </c>
      <c r="AQ998" t="str">
        <f>"+18882008414"</f>
        <v>+18882008414</v>
      </c>
      <c r="AS998" t="s">
        <v>10840</v>
      </c>
      <c r="AT998" t="s">
        <v>107</v>
      </c>
      <c r="AU998" t="str">
        <f>"Strasser"</f>
        <v>Strasser</v>
      </c>
      <c r="AV998" t="str">
        <f>"Frederick"</f>
        <v>Frederick</v>
      </c>
      <c r="AW998" t="str">
        <f>"Warren"</f>
        <v>Warren</v>
      </c>
      <c r="AX998" t="str">
        <f>"409 Second Avenue"</f>
        <v>409 Second Avenue</v>
      </c>
      <c r="AY998" t="str">
        <f>""</f>
        <v/>
      </c>
      <c r="AZ998" t="str">
        <f>"Bradley Beach"</f>
        <v>Bradley Beach</v>
      </c>
      <c r="BA998" t="str">
        <f>"NJ"</f>
        <v>NJ</v>
      </c>
      <c r="BB998" s="3">
        <v>7720</v>
      </c>
      <c r="BC998" t="str">
        <f t="shared" ref="BC998:BC1004" si="76">"UNITED STATES OF AMERICA"</f>
        <v>UNITED STATES OF AMERICA</v>
      </c>
      <c r="BD998" t="str">
        <f>""</f>
        <v/>
      </c>
      <c r="BE998" t="str">
        <f>"+17328075802"</f>
        <v>+17328075802</v>
      </c>
      <c r="BF998" t="str">
        <f>""</f>
        <v/>
      </c>
      <c r="BG998" t="str">
        <f>"fstrasser@fwsassociatesllc.com"</f>
        <v>fstrasser@fwsassociatesllc.com</v>
      </c>
      <c r="BH998" t="str">
        <f>"FW Strasser Associates LLC"</f>
        <v>FW Strasser Associates LLC</v>
      </c>
      <c r="BI998" t="str">
        <f>"NJ"</f>
        <v>NJ</v>
      </c>
      <c r="BJ998" t="str">
        <f>"New Jersey Supreme Court"</f>
        <v>New Jersey Supreme Court</v>
      </c>
      <c r="BK998">
        <v>1</v>
      </c>
      <c r="BL998" t="s">
        <v>102</v>
      </c>
      <c r="BM998" t="str">
        <f>""</f>
        <v/>
      </c>
      <c r="BN998" t="s">
        <v>10838</v>
      </c>
      <c r="BO998" t="s">
        <v>787</v>
      </c>
      <c r="BP998" t="s">
        <v>4352</v>
      </c>
      <c r="BQ998" t="s">
        <v>209</v>
      </c>
      <c r="BR998" t="s">
        <v>171</v>
      </c>
      <c r="BS998" s="5">
        <v>2129</v>
      </c>
      <c r="BT998" s="2">
        <v>69487.34</v>
      </c>
      <c r="BV998" t="s">
        <v>105</v>
      </c>
      <c r="BW998" s="2">
        <v>60154</v>
      </c>
      <c r="BX998" t="s">
        <v>105</v>
      </c>
      <c r="BZ998" t="s">
        <v>167</v>
      </c>
      <c r="CA998" t="str">
        <f t="shared" si="75"/>
        <v>7/1/2020 - 6/30/2021</v>
      </c>
      <c r="CF998">
        <v>2</v>
      </c>
      <c r="CG998" t="s">
        <v>98</v>
      </c>
      <c r="CH998" t="s">
        <v>206</v>
      </c>
      <c r="CI998" t="s">
        <v>206</v>
      </c>
      <c r="CL998" t="s">
        <v>108</v>
      </c>
      <c r="CM998" t="s">
        <v>109</v>
      </c>
      <c r="CN998" t="str">
        <f>""</f>
        <v/>
      </c>
      <c r="CO998" t="str">
        <f>""</f>
        <v/>
      </c>
      <c r="CP998" t="str">
        <f>""</f>
        <v/>
      </c>
      <c r="CQ998" t="str">
        <f>""</f>
        <v/>
      </c>
    </row>
    <row r="999" spans="1:96" x14ac:dyDescent="0.2">
      <c r="A999" t="s">
        <v>10843</v>
      </c>
      <c r="B999" t="s">
        <v>96</v>
      </c>
      <c r="C999" s="1">
        <v>44098</v>
      </c>
      <c r="D999" s="1">
        <v>44105</v>
      </c>
      <c r="F999" t="s">
        <v>97</v>
      </c>
      <c r="G999" t="str">
        <f>"Investment Associate"</f>
        <v>Investment Associate</v>
      </c>
      <c r="H999" t="s">
        <v>12213</v>
      </c>
      <c r="I999" t="s">
        <v>493</v>
      </c>
      <c r="J999" t="s">
        <v>98</v>
      </c>
      <c r="K999" s="1">
        <v>44116</v>
      </c>
      <c r="L999" s="1">
        <v>45210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9004</v>
      </c>
      <c r="U999" t="str">
        <f>""</f>
        <v/>
      </c>
      <c r="V999" t="s">
        <v>9005</v>
      </c>
      <c r="W999" t="str">
        <f>"Flr. 2"</f>
        <v>Flr. 2</v>
      </c>
      <c r="X999" t="s">
        <v>140</v>
      </c>
      <c r="Y999" t="s">
        <v>141</v>
      </c>
      <c r="Z999" s="3">
        <v>94111</v>
      </c>
      <c r="AA999" t="s">
        <v>101</v>
      </c>
      <c r="AC999" s="4" t="str">
        <f>"+14158203125"</f>
        <v>+14158203125</v>
      </c>
      <c r="AD999">
        <v>3125</v>
      </c>
      <c r="AE999" t="str">
        <f>"523920"</f>
        <v>523920</v>
      </c>
      <c r="AF999" t="s">
        <v>9006</v>
      </c>
      <c r="AG999" t="s">
        <v>9007</v>
      </c>
      <c r="AI999" t="s">
        <v>10018</v>
      </c>
      <c r="AJ999" t="s">
        <v>9005</v>
      </c>
      <c r="AK999" t="str">
        <f>"Flr. 2"</f>
        <v>Flr. 2</v>
      </c>
      <c r="AL999" t="s">
        <v>140</v>
      </c>
      <c r="AM999" t="s">
        <v>141</v>
      </c>
      <c r="AN999" s="3">
        <v>94111</v>
      </c>
      <c r="AO999" t="s">
        <v>101</v>
      </c>
      <c r="AQ999" t="str">
        <f>"+14158203125"</f>
        <v>+14158203125</v>
      </c>
      <c r="AR999">
        <v>3125</v>
      </c>
      <c r="AS999" t="s">
        <v>9009</v>
      </c>
      <c r="AT999" t="s">
        <v>107</v>
      </c>
      <c r="AU999" t="str">
        <f>"Schaham Gordon"</f>
        <v>Schaham Gordon</v>
      </c>
      <c r="AV999" t="str">
        <f>"Gali"</f>
        <v>Gali</v>
      </c>
      <c r="AW999" t="str">
        <f>""</f>
        <v/>
      </c>
      <c r="AX999" t="str">
        <f>"461 2nd Street"</f>
        <v>461 2nd Street</v>
      </c>
      <c r="AY999" t="str">
        <f>"#C301"</f>
        <v>#C301</v>
      </c>
      <c r="AZ999" t="str">
        <f>"San Francisco"</f>
        <v>San Francisco</v>
      </c>
      <c r="BA999" t="str">
        <f>"CA"</f>
        <v>CA</v>
      </c>
      <c r="BB999" s="3">
        <v>94107</v>
      </c>
      <c r="BC999" t="str">
        <f t="shared" si="76"/>
        <v>UNITED STATES OF AMERICA</v>
      </c>
      <c r="BD999" t="str">
        <f>""</f>
        <v/>
      </c>
      <c r="BE999" t="str">
        <f>"+14152841601"</f>
        <v>+14152841601</v>
      </c>
      <c r="BF999" t="str">
        <f>""</f>
        <v/>
      </c>
      <c r="BG999" t="str">
        <f>"team@gordonlawgrouppc.com"</f>
        <v>team@gordonlawgrouppc.com</v>
      </c>
      <c r="BH999" t="str">
        <f>"Gordon Law Group PC"</f>
        <v>Gordon Law Group PC</v>
      </c>
      <c r="BI999" t="str">
        <f>"CA"</f>
        <v>CA</v>
      </c>
      <c r="BJ999" t="str">
        <f>"Supreme Court"</f>
        <v>Supreme Court</v>
      </c>
      <c r="BK999">
        <v>1</v>
      </c>
      <c r="BL999" t="s">
        <v>102</v>
      </c>
      <c r="BM999" t="str">
        <f>""</f>
        <v/>
      </c>
      <c r="BN999" t="s">
        <v>10844</v>
      </c>
      <c r="BO999" t="s">
        <v>10845</v>
      </c>
      <c r="BP999" t="s">
        <v>277</v>
      </c>
      <c r="BQ999" t="s">
        <v>189</v>
      </c>
      <c r="BR999" t="s">
        <v>190</v>
      </c>
      <c r="BS999" s="5">
        <v>10010</v>
      </c>
      <c r="BT999" s="2">
        <v>130000</v>
      </c>
      <c r="BV999" t="s">
        <v>105</v>
      </c>
      <c r="BW999" s="2">
        <v>102024</v>
      </c>
      <c r="BX999" t="s">
        <v>105</v>
      </c>
      <c r="BZ999" t="s">
        <v>167</v>
      </c>
      <c r="CA999" t="str">
        <f t="shared" si="75"/>
        <v>7/1/2020 - 6/30/2021</v>
      </c>
      <c r="CF999">
        <v>1</v>
      </c>
      <c r="CG999" t="s">
        <v>98</v>
      </c>
      <c r="CH999" t="s">
        <v>206</v>
      </c>
      <c r="CI999" t="s">
        <v>206</v>
      </c>
      <c r="CL999" t="s">
        <v>108</v>
      </c>
      <c r="CM999" t="s">
        <v>109</v>
      </c>
      <c r="CN999" t="str">
        <f>""</f>
        <v/>
      </c>
      <c r="CO999" t="str">
        <f>""</f>
        <v/>
      </c>
      <c r="CP999" t="str">
        <f>""</f>
        <v/>
      </c>
      <c r="CQ999" t="str">
        <f>""</f>
        <v/>
      </c>
    </row>
    <row r="1000" spans="1:96" x14ac:dyDescent="0.2">
      <c r="A1000" t="s">
        <v>10846</v>
      </c>
      <c r="B1000" t="s">
        <v>96</v>
      </c>
      <c r="C1000" s="1">
        <v>44098</v>
      </c>
      <c r="D1000" s="1">
        <v>44105</v>
      </c>
      <c r="F1000" t="s">
        <v>97</v>
      </c>
      <c r="G1000" t="str">
        <f>"Software Engineer 2"</f>
        <v>Software Engineer 2</v>
      </c>
      <c r="H1000" t="s">
        <v>12169</v>
      </c>
      <c r="I1000" t="s">
        <v>124</v>
      </c>
      <c r="J1000" t="s">
        <v>98</v>
      </c>
      <c r="K1000" s="1">
        <v>44105</v>
      </c>
      <c r="L1000" s="1">
        <v>45199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 t="s">
        <v>5458</v>
      </c>
      <c r="U1000" t="str">
        <f>""</f>
        <v/>
      </c>
      <c r="V1000" t="s">
        <v>5459</v>
      </c>
      <c r="W1000" t="str">
        <f>"Suite 110"</f>
        <v>Suite 110</v>
      </c>
      <c r="X1000" t="s">
        <v>5460</v>
      </c>
      <c r="Y1000" t="s">
        <v>195</v>
      </c>
      <c r="Z1000" s="3">
        <v>21093</v>
      </c>
      <c r="AA1000" t="s">
        <v>101</v>
      </c>
      <c r="AC1000" s="4" t="str">
        <f>"+14089672992"</f>
        <v>+14089672992</v>
      </c>
      <c r="AE1000" t="str">
        <f>"522320"</f>
        <v>522320</v>
      </c>
      <c r="AF1000" t="s">
        <v>586</v>
      </c>
      <c r="AG1000" t="s">
        <v>587</v>
      </c>
      <c r="AI1000" t="s">
        <v>460</v>
      </c>
      <c r="AJ1000" t="s">
        <v>4108</v>
      </c>
      <c r="AK1000" t="str">
        <f>""</f>
        <v/>
      </c>
      <c r="AL1000" t="s">
        <v>585</v>
      </c>
      <c r="AM1000" t="s">
        <v>141</v>
      </c>
      <c r="AN1000" s="3">
        <v>95131</v>
      </c>
      <c r="AO1000" t="s">
        <v>101</v>
      </c>
      <c r="AQ1000" t="str">
        <f>"+14089672992"</f>
        <v>+14089672992</v>
      </c>
      <c r="AS1000" t="s">
        <v>5461</v>
      </c>
      <c r="AT1000" t="s">
        <v>107</v>
      </c>
      <c r="AU1000" t="str">
        <f>"Taylor"</f>
        <v>Taylor</v>
      </c>
      <c r="AV1000" t="str">
        <f>"Robert"</f>
        <v>Robert</v>
      </c>
      <c r="AW1000" t="str">
        <f>"P."</f>
        <v>P.</v>
      </c>
      <c r="AX1000" t="str">
        <f>"2101 Wilson Blvd."</f>
        <v>2101 Wilson Blvd.</v>
      </c>
      <c r="AY1000" t="str">
        <f>"Suite 1100"</f>
        <v>Suite 1100</v>
      </c>
      <c r="AZ1000" t="str">
        <f>"Arlington"</f>
        <v>Arlington</v>
      </c>
      <c r="BA1000" t="str">
        <f>"VA"</f>
        <v>VA</v>
      </c>
      <c r="BB1000" s="3">
        <v>22201</v>
      </c>
      <c r="BC1000" t="str">
        <f t="shared" si="76"/>
        <v>UNITED STATES OF AMERICA</v>
      </c>
      <c r="BD1000" t="str">
        <f>""</f>
        <v/>
      </c>
      <c r="BE1000" t="str">
        <f>"+17036784000"</f>
        <v>+17036784000</v>
      </c>
      <c r="BF1000" t="str">
        <f>""</f>
        <v/>
      </c>
      <c r="BG1000" t="str">
        <f>"rob@eiglaw.com"</f>
        <v>rob@eiglaw.com</v>
      </c>
      <c r="BH1000" t="str">
        <f>"Erickson Immigration Group"</f>
        <v>Erickson Immigration Group</v>
      </c>
      <c r="BI1000" t="str">
        <f>"OH"</f>
        <v>OH</v>
      </c>
      <c r="BJ1000" t="str">
        <f>"Supreme Court"</f>
        <v>Supreme Court</v>
      </c>
      <c r="BK1000">
        <v>1</v>
      </c>
      <c r="BL1000" t="s">
        <v>102</v>
      </c>
      <c r="BM1000" t="str">
        <f>""</f>
        <v/>
      </c>
      <c r="BN1000" t="s">
        <v>8702</v>
      </c>
      <c r="BO1000" t="s">
        <v>8290</v>
      </c>
      <c r="BP1000" t="s">
        <v>765</v>
      </c>
      <c r="BQ1000" t="s">
        <v>668</v>
      </c>
      <c r="BR1000" t="s">
        <v>114</v>
      </c>
      <c r="BS1000" s="5">
        <v>78729</v>
      </c>
      <c r="BT1000" s="2">
        <v>91350</v>
      </c>
      <c r="BV1000" t="s">
        <v>105</v>
      </c>
      <c r="BW1000" s="2">
        <v>69118</v>
      </c>
      <c r="BX1000" t="s">
        <v>105</v>
      </c>
      <c r="BZ1000" t="s">
        <v>191</v>
      </c>
      <c r="CA1000" t="str">
        <f t="shared" si="75"/>
        <v>7/1/2020 - 6/30/2021</v>
      </c>
      <c r="CF1000">
        <v>2</v>
      </c>
      <c r="CG1000" t="s">
        <v>98</v>
      </c>
      <c r="CH1000" t="s">
        <v>206</v>
      </c>
      <c r="CI1000" t="s">
        <v>206</v>
      </c>
      <c r="CL1000" t="s">
        <v>108</v>
      </c>
      <c r="CM1000" t="s">
        <v>109</v>
      </c>
      <c r="CN1000" t="str">
        <f>"Rufkahr"</f>
        <v>Rufkahr</v>
      </c>
      <c r="CO1000" t="str">
        <f>"William"</f>
        <v>William</v>
      </c>
      <c r="CP1000" t="str">
        <f>"A"</f>
        <v>A</v>
      </c>
      <c r="CQ1000" t="str">
        <f>"Erickson Immigration Group"</f>
        <v>Erickson Immigration Group</v>
      </c>
      <c r="CR1000" t="s">
        <v>1735</v>
      </c>
    </row>
    <row r="1001" spans="1:96" x14ac:dyDescent="0.2">
      <c r="A1001" t="s">
        <v>10849</v>
      </c>
      <c r="B1001" t="s">
        <v>96</v>
      </c>
      <c r="C1001" s="1">
        <v>44098</v>
      </c>
      <c r="D1001" s="1">
        <v>44105</v>
      </c>
      <c r="F1001" t="s">
        <v>97</v>
      </c>
      <c r="G1001" t="str">
        <f>"Research Lab Manager"</f>
        <v>Research Lab Manager</v>
      </c>
      <c r="H1001" t="s">
        <v>12223</v>
      </c>
      <c r="I1001" t="s">
        <v>486</v>
      </c>
      <c r="J1001" t="s">
        <v>98</v>
      </c>
      <c r="K1001" s="1">
        <v>44139</v>
      </c>
      <c r="L1001" s="1">
        <v>45233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 t="s">
        <v>10850</v>
      </c>
      <c r="U1001" t="str">
        <f>""</f>
        <v/>
      </c>
      <c r="V1001" t="s">
        <v>10851</v>
      </c>
      <c r="W1001" t="str">
        <f>""</f>
        <v/>
      </c>
      <c r="X1001" t="s">
        <v>951</v>
      </c>
      <c r="Y1001" t="s">
        <v>171</v>
      </c>
      <c r="Z1001" s="3">
        <v>2215</v>
      </c>
      <c r="AA1001" t="s">
        <v>101</v>
      </c>
      <c r="AC1001" s="4" t="str">
        <f>"+16176329452"</f>
        <v>+16176329452</v>
      </c>
      <c r="AE1001" t="str">
        <f>"622110"</f>
        <v>622110</v>
      </c>
      <c r="AF1001" t="s">
        <v>7643</v>
      </c>
      <c r="AG1001" t="s">
        <v>3250</v>
      </c>
      <c r="AH1001" t="s">
        <v>1080</v>
      </c>
      <c r="AI1001" t="s">
        <v>10523</v>
      </c>
      <c r="AJ1001" t="s">
        <v>6763</v>
      </c>
      <c r="AK1001" t="str">
        <f>""</f>
        <v/>
      </c>
      <c r="AL1001" t="s">
        <v>207</v>
      </c>
      <c r="AM1001" t="s">
        <v>171</v>
      </c>
      <c r="AN1001" s="3">
        <v>2215</v>
      </c>
      <c r="AO1001" t="s">
        <v>101</v>
      </c>
      <c r="AQ1001" t="str">
        <f>"+16176329406"</f>
        <v>+16176329406</v>
      </c>
      <c r="AS1001" t="s">
        <v>7644</v>
      </c>
      <c r="AT1001" t="s">
        <v>107</v>
      </c>
      <c r="AU1001" t="str">
        <f>"Desai"</f>
        <v>Desai</v>
      </c>
      <c r="AV1001" t="str">
        <f>"Prasant"</f>
        <v>Prasant</v>
      </c>
      <c r="AW1001" t="str">
        <f>"Dhirajlal"</f>
        <v>Dhirajlal</v>
      </c>
      <c r="AX1001" t="str">
        <f>"38 Third Avenue"</f>
        <v>38 Third Avenue</v>
      </c>
      <c r="AY1001" t="str">
        <f>"Suite 100"</f>
        <v>Suite 100</v>
      </c>
      <c r="AZ1001" t="str">
        <f>"Boston"</f>
        <v>Boston</v>
      </c>
      <c r="BA1001" t="str">
        <f>"MA"</f>
        <v>MA</v>
      </c>
      <c r="BB1001" s="3">
        <v>2129</v>
      </c>
      <c r="BC1001" t="str">
        <f t="shared" si="76"/>
        <v>UNITED STATES OF AMERICA</v>
      </c>
      <c r="BD1001" t="str">
        <f>""</f>
        <v/>
      </c>
      <c r="BE1001" t="str">
        <f>"+16174821010"</f>
        <v>+16174821010</v>
      </c>
      <c r="BF1001" t="str">
        <f>""</f>
        <v/>
      </c>
      <c r="BG1001" t="str">
        <f>"desai@iandoli.com"</f>
        <v>desai@iandoli.com</v>
      </c>
      <c r="BH1001" t="str">
        <f>"Iandoli Desai &amp; Cronin P.C."</f>
        <v>Iandoli Desai &amp; Cronin P.C.</v>
      </c>
      <c r="BI1001" t="str">
        <f>"MA"</f>
        <v>MA</v>
      </c>
      <c r="BJ1001" t="str">
        <f>"Supreme Judicial Court"</f>
        <v>Supreme Judicial Court</v>
      </c>
      <c r="BK1001">
        <v>1</v>
      </c>
      <c r="BL1001" t="s">
        <v>102</v>
      </c>
      <c r="BM1001" t="str">
        <f>""</f>
        <v/>
      </c>
      <c r="BN1001" t="s">
        <v>6763</v>
      </c>
      <c r="BP1001" t="s">
        <v>207</v>
      </c>
      <c r="BQ1001" t="s">
        <v>209</v>
      </c>
      <c r="BR1001" t="s">
        <v>171</v>
      </c>
      <c r="BS1001" s="5">
        <v>2215</v>
      </c>
      <c r="BT1001" s="2">
        <v>81600.479999999996</v>
      </c>
      <c r="BV1001" t="s">
        <v>105</v>
      </c>
      <c r="BW1001" s="2">
        <v>68515</v>
      </c>
      <c r="BX1001" t="s">
        <v>105</v>
      </c>
      <c r="BZ1001" t="s">
        <v>123</v>
      </c>
      <c r="CA1001" t="str">
        <f t="shared" si="75"/>
        <v>7/1/2020 - 6/30/2021</v>
      </c>
      <c r="CF1001">
        <v>1</v>
      </c>
      <c r="CG1001" t="s">
        <v>98</v>
      </c>
      <c r="CH1001" t="s">
        <v>206</v>
      </c>
      <c r="CI1001" t="s">
        <v>206</v>
      </c>
      <c r="CL1001" t="s">
        <v>108</v>
      </c>
      <c r="CM1001" t="s">
        <v>109</v>
      </c>
      <c r="CN1001" t="str">
        <f>""</f>
        <v/>
      </c>
      <c r="CO1001" t="str">
        <f>""</f>
        <v/>
      </c>
      <c r="CP1001" t="str">
        <f>""</f>
        <v/>
      </c>
      <c r="CQ1001" t="str">
        <f>""</f>
        <v/>
      </c>
    </row>
    <row r="1002" spans="1:96" x14ac:dyDescent="0.2">
      <c r="A1002" t="s">
        <v>10853</v>
      </c>
      <c r="B1002" t="s">
        <v>96</v>
      </c>
      <c r="C1002" s="1">
        <v>44098</v>
      </c>
      <c r="D1002" s="1">
        <v>44105</v>
      </c>
      <c r="F1002" t="s">
        <v>97</v>
      </c>
      <c r="G1002" t="str">
        <f>"Sr. Analyst II, Finance &amp; Controlling"</f>
        <v>Sr. Analyst II, Finance &amp; Controlling</v>
      </c>
      <c r="H1002" t="s">
        <v>12169</v>
      </c>
      <c r="I1002" t="s">
        <v>124</v>
      </c>
      <c r="J1002" t="s">
        <v>98</v>
      </c>
      <c r="K1002" s="1">
        <v>44099</v>
      </c>
      <c r="L1002" s="1">
        <v>45185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4299</v>
      </c>
      <c r="U1002" t="str">
        <f>""</f>
        <v/>
      </c>
      <c r="V1002" t="s">
        <v>4300</v>
      </c>
      <c r="W1002" t="str">
        <f>""</f>
        <v/>
      </c>
      <c r="X1002" t="s">
        <v>4301</v>
      </c>
      <c r="Y1002" t="s">
        <v>225</v>
      </c>
      <c r="Z1002" s="3">
        <v>43041</v>
      </c>
      <c r="AA1002" t="s">
        <v>101</v>
      </c>
      <c r="AC1002" s="4" t="str">
        <f>"+19376457131"</f>
        <v>+19376457131</v>
      </c>
      <c r="AE1002" t="str">
        <f>"325311"</f>
        <v>325311</v>
      </c>
      <c r="AF1002" t="s">
        <v>4302</v>
      </c>
      <c r="AG1002" t="s">
        <v>4303</v>
      </c>
      <c r="AI1002" t="s">
        <v>4304</v>
      </c>
      <c r="AJ1002" t="s">
        <v>8988</v>
      </c>
      <c r="AK1002" t="str">
        <f>""</f>
        <v/>
      </c>
      <c r="AL1002" t="s">
        <v>4301</v>
      </c>
      <c r="AM1002" t="s">
        <v>225</v>
      </c>
      <c r="AN1002" s="3">
        <v>43040</v>
      </c>
      <c r="AO1002" t="s">
        <v>101</v>
      </c>
      <c r="AQ1002" t="str">
        <f>"+19375785766"</f>
        <v>+19375785766</v>
      </c>
      <c r="AS1002" t="s">
        <v>4305</v>
      </c>
      <c r="AT1002" t="s">
        <v>107</v>
      </c>
      <c r="AU1002" t="str">
        <f>"Hawkins"</f>
        <v>Hawkins</v>
      </c>
      <c r="AV1002" t="str">
        <f>"Janora"</f>
        <v>Janora</v>
      </c>
      <c r="AW1002" t="str">
        <f>""</f>
        <v/>
      </c>
      <c r="AX1002" t="str">
        <f>"1355 Peachtree Street NE"</f>
        <v>1355 Peachtree Street NE</v>
      </c>
      <c r="AY1002" t="str">
        <f>"Suite 900"</f>
        <v>Suite 900</v>
      </c>
      <c r="AZ1002" t="str">
        <f>"Atlanta"</f>
        <v>Atlanta</v>
      </c>
      <c r="BA1002" t="str">
        <f>"GA"</f>
        <v>GA</v>
      </c>
      <c r="BB1002" s="3">
        <v>30309</v>
      </c>
      <c r="BC1002" t="str">
        <f t="shared" si="76"/>
        <v>UNITED STATES OF AMERICA</v>
      </c>
      <c r="BD1002" t="str">
        <f>""</f>
        <v/>
      </c>
      <c r="BE1002" t="str">
        <f>"+14048565495"</f>
        <v>+14048565495</v>
      </c>
      <c r="BF1002" t="str">
        <f>""</f>
        <v/>
      </c>
      <c r="BG1002" t="str">
        <f>"sjadavji@fragomen.com"</f>
        <v>sjadavji@fragomen.com</v>
      </c>
      <c r="BH1002" t="str">
        <f>"Fragomen, Del Rey, Bernsen &amp; Loewy, LLP"</f>
        <v>Fragomen, Del Rey, Bernsen &amp; Loewy, LLP</v>
      </c>
      <c r="BI1002" t="str">
        <f>"NY"</f>
        <v>NY</v>
      </c>
      <c r="BJ1002" t="str">
        <f>"New York Court of Appeals"</f>
        <v>New York Court of Appeals</v>
      </c>
      <c r="BK1002">
        <v>1</v>
      </c>
      <c r="BL1002" t="s">
        <v>102</v>
      </c>
      <c r="BM1002" t="str">
        <f>""</f>
        <v/>
      </c>
      <c r="BN1002" t="s">
        <v>10854</v>
      </c>
      <c r="BP1002" t="s">
        <v>4301</v>
      </c>
      <c r="BQ1002" t="s">
        <v>2990</v>
      </c>
      <c r="BR1002" t="s">
        <v>225</v>
      </c>
      <c r="BS1002" s="5">
        <v>43041</v>
      </c>
      <c r="BT1002" s="2">
        <v>112000</v>
      </c>
      <c r="BU1002" s="2">
        <v>151600</v>
      </c>
      <c r="BV1002" t="s">
        <v>105</v>
      </c>
      <c r="BW1002" s="2">
        <v>83075</v>
      </c>
      <c r="BX1002" t="s">
        <v>105</v>
      </c>
      <c r="BZ1002" t="s">
        <v>167</v>
      </c>
      <c r="CA1002" t="str">
        <f t="shared" si="75"/>
        <v>7/1/2020 - 6/30/2021</v>
      </c>
      <c r="CF1002">
        <v>2</v>
      </c>
      <c r="CG1002" t="s">
        <v>98</v>
      </c>
      <c r="CH1002" t="s">
        <v>206</v>
      </c>
      <c r="CI1002" t="s">
        <v>206</v>
      </c>
      <c r="CL1002" t="s">
        <v>108</v>
      </c>
      <c r="CM1002" t="s">
        <v>109</v>
      </c>
      <c r="CN1002" t="str">
        <f>""</f>
        <v/>
      </c>
      <c r="CO1002" t="str">
        <f>""</f>
        <v/>
      </c>
      <c r="CP1002" t="str">
        <f>""</f>
        <v/>
      </c>
      <c r="CQ1002" t="str">
        <f>""</f>
        <v/>
      </c>
    </row>
    <row r="1003" spans="1:96" x14ac:dyDescent="0.2">
      <c r="A1003" t="s">
        <v>10855</v>
      </c>
      <c r="B1003" t="s">
        <v>96</v>
      </c>
      <c r="C1003" s="1">
        <v>44098</v>
      </c>
      <c r="D1003" s="1">
        <v>44105</v>
      </c>
      <c r="F1003" t="s">
        <v>97</v>
      </c>
      <c r="G1003" t="str">
        <f>"Senior IAM Engineer"</f>
        <v>Senior IAM Engineer</v>
      </c>
      <c r="H1003" t="s">
        <v>12176</v>
      </c>
      <c r="I1003" t="s">
        <v>246</v>
      </c>
      <c r="J1003" t="s">
        <v>98</v>
      </c>
      <c r="K1003" s="1">
        <v>44277</v>
      </c>
      <c r="L1003" s="1">
        <v>45372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 t="s">
        <v>4372</v>
      </c>
      <c r="U1003" t="str">
        <f>""</f>
        <v/>
      </c>
      <c r="V1003" t="s">
        <v>4373</v>
      </c>
      <c r="W1003" t="str">
        <f>""</f>
        <v/>
      </c>
      <c r="X1003" t="s">
        <v>1632</v>
      </c>
      <c r="Y1003" t="s">
        <v>814</v>
      </c>
      <c r="Z1003" s="3">
        <v>97005</v>
      </c>
      <c r="AA1003" t="s">
        <v>101</v>
      </c>
      <c r="AC1003" s="4" t="str">
        <f>"+15036716453"</f>
        <v>+15036716453</v>
      </c>
      <c r="AE1003" t="str">
        <f>"31621"</f>
        <v>31621</v>
      </c>
      <c r="AF1003" t="s">
        <v>4374</v>
      </c>
      <c r="AG1003" t="s">
        <v>3745</v>
      </c>
      <c r="AI1003" t="s">
        <v>4375</v>
      </c>
      <c r="AJ1003" t="s">
        <v>4373</v>
      </c>
      <c r="AK1003" t="str">
        <f>""</f>
        <v/>
      </c>
      <c r="AL1003" t="s">
        <v>1632</v>
      </c>
      <c r="AM1003" t="s">
        <v>814</v>
      </c>
      <c r="AN1003" s="3">
        <v>97005</v>
      </c>
      <c r="AO1003" t="s">
        <v>101</v>
      </c>
      <c r="AQ1003" t="str">
        <f>"+15036716228"</f>
        <v>+15036716228</v>
      </c>
      <c r="AS1003" t="s">
        <v>4376</v>
      </c>
      <c r="AT1003" t="s">
        <v>107</v>
      </c>
      <c r="AU1003" t="str">
        <f>"Gupta"</f>
        <v>Gupta</v>
      </c>
      <c r="AV1003" t="str">
        <f>"Manish"</f>
        <v>Manish</v>
      </c>
      <c r="AW1003" t="str">
        <f>""</f>
        <v/>
      </c>
      <c r="AX1003" t="str">
        <f>"2400 N. Glenville Drive"</f>
        <v>2400 N. Glenville Drive</v>
      </c>
      <c r="AY1003" t="str">
        <f>"Building A"</f>
        <v>Building A</v>
      </c>
      <c r="AZ1003" t="str">
        <f>"Richardson"</f>
        <v>Richardson</v>
      </c>
      <c r="BA1003" t="str">
        <f>"TX"</f>
        <v>TX</v>
      </c>
      <c r="BB1003" s="3">
        <v>75082</v>
      </c>
      <c r="BC1003" t="str">
        <f t="shared" si="76"/>
        <v>UNITED STATES OF AMERICA</v>
      </c>
      <c r="BD1003" t="str">
        <f>""</f>
        <v/>
      </c>
      <c r="BE1003" t="str">
        <f>"+19728617079"</f>
        <v>+19728617079</v>
      </c>
      <c r="BF1003" t="str">
        <f>""</f>
        <v/>
      </c>
      <c r="BG1003" t="str">
        <f>"mangupta@balglobal.com"</f>
        <v>mangupta@balglobal.com</v>
      </c>
      <c r="BH1003" t="str">
        <f>"Berry Appleman &amp; Leiden LLP"</f>
        <v>Berry Appleman &amp; Leiden LLP</v>
      </c>
      <c r="BI1003" t="str">
        <f>"PA"</f>
        <v>PA</v>
      </c>
      <c r="BJ1003" t="str">
        <f>"Supreme Court "</f>
        <v xml:space="preserve">Supreme Court </v>
      </c>
      <c r="BK1003">
        <v>1</v>
      </c>
      <c r="BL1003" t="s">
        <v>102</v>
      </c>
      <c r="BM1003" t="str">
        <f>""</f>
        <v/>
      </c>
      <c r="BN1003" t="s">
        <v>10856</v>
      </c>
      <c r="BP1003" t="s">
        <v>812</v>
      </c>
      <c r="BQ1003" t="s">
        <v>813</v>
      </c>
      <c r="BR1003" t="s">
        <v>814</v>
      </c>
      <c r="BS1003" s="5">
        <v>97124</v>
      </c>
      <c r="BT1003" s="2">
        <v>128750</v>
      </c>
      <c r="BV1003" t="s">
        <v>105</v>
      </c>
      <c r="BW1003" s="2">
        <v>125424</v>
      </c>
      <c r="BX1003" t="s">
        <v>105</v>
      </c>
      <c r="BZ1003" t="s">
        <v>159</v>
      </c>
      <c r="CA1003" t="str">
        <f t="shared" si="75"/>
        <v>7/1/2020 - 6/30/2021</v>
      </c>
      <c r="CF1003">
        <v>3</v>
      </c>
      <c r="CG1003" t="s">
        <v>98</v>
      </c>
      <c r="CH1003" t="s">
        <v>206</v>
      </c>
      <c r="CI1003" t="s">
        <v>206</v>
      </c>
      <c r="CL1003" t="s">
        <v>108</v>
      </c>
      <c r="CM1003" t="s">
        <v>109</v>
      </c>
      <c r="CN1003" t="str">
        <f>"Pradel"</f>
        <v>Pradel</v>
      </c>
      <c r="CO1003" t="str">
        <f>"Adrienne"</f>
        <v>Adrienne</v>
      </c>
      <c r="CP1003" t="str">
        <f>""</f>
        <v/>
      </c>
      <c r="CQ1003" t="str">
        <f>"Berry Appleman &amp; Leiden LLP"</f>
        <v>Berry Appleman &amp; Leiden LLP</v>
      </c>
      <c r="CR1003" t="s">
        <v>4378</v>
      </c>
    </row>
    <row r="1004" spans="1:96" x14ac:dyDescent="0.2">
      <c r="A1004" t="s">
        <v>10858</v>
      </c>
      <c r="B1004" t="s">
        <v>96</v>
      </c>
      <c r="C1004" s="1">
        <v>44098</v>
      </c>
      <c r="D1004" s="1">
        <v>44105</v>
      </c>
      <c r="F1004" t="s">
        <v>97</v>
      </c>
      <c r="G1004" t="str">
        <f>"Technology Specialist"</f>
        <v>Technology Specialist</v>
      </c>
      <c r="H1004" t="s">
        <v>12169</v>
      </c>
      <c r="I1004" t="s">
        <v>124</v>
      </c>
      <c r="J1004" t="s">
        <v>98</v>
      </c>
      <c r="K1004" s="1">
        <v>44105</v>
      </c>
      <c r="L1004" s="1">
        <v>45199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8528</v>
      </c>
      <c r="U1004" t="str">
        <f>""</f>
        <v/>
      </c>
      <c r="V1004" t="s">
        <v>4125</v>
      </c>
      <c r="W1004" t="str">
        <f>"Ste. 301"</f>
        <v>Ste. 301</v>
      </c>
      <c r="X1004" t="s">
        <v>947</v>
      </c>
      <c r="Y1004" t="s">
        <v>100</v>
      </c>
      <c r="Z1004" s="3">
        <v>8540</v>
      </c>
      <c r="AA1004" t="s">
        <v>101</v>
      </c>
      <c r="AC1004" s="4" t="str">
        <f>"+17702906191"</f>
        <v>+17702906191</v>
      </c>
      <c r="AE1004" t="str">
        <f>"541511"</f>
        <v>541511</v>
      </c>
      <c r="AF1004" t="s">
        <v>4126</v>
      </c>
      <c r="AG1004" t="s">
        <v>4127</v>
      </c>
      <c r="AI1004" t="s">
        <v>8529</v>
      </c>
      <c r="AJ1004" t="s">
        <v>4125</v>
      </c>
      <c r="AK1004" t="str">
        <f>"Ste. 301"</f>
        <v>Ste. 301</v>
      </c>
      <c r="AL1004" t="s">
        <v>947</v>
      </c>
      <c r="AM1004" t="s">
        <v>100</v>
      </c>
      <c r="AN1004" s="3">
        <v>8540</v>
      </c>
      <c r="AO1004" t="s">
        <v>101</v>
      </c>
      <c r="AQ1004" t="str">
        <f>"+17702906191"</f>
        <v>+17702906191</v>
      </c>
      <c r="AS1004" t="s">
        <v>4128</v>
      </c>
      <c r="AT1004" t="s">
        <v>107</v>
      </c>
      <c r="AU1004" t="str">
        <f>"Nasr"</f>
        <v>Nasr</v>
      </c>
      <c r="AV1004" t="str">
        <f>"Catherine"</f>
        <v>Catherine</v>
      </c>
      <c r="AW1004" t="str">
        <f>""</f>
        <v/>
      </c>
      <c r="AX1004" t="str">
        <f>"5250 Corporate Drive"</f>
        <v>5250 Corporate Drive</v>
      </c>
      <c r="AY1004" t="str">
        <f>"Ste. 300"</f>
        <v>Ste. 300</v>
      </c>
      <c r="AZ1004" t="str">
        <f>"Troy"</f>
        <v>Troy</v>
      </c>
      <c r="BA1004" t="str">
        <f>"MI"</f>
        <v>MI</v>
      </c>
      <c r="BB1004" s="3">
        <v>48098</v>
      </c>
      <c r="BC1004" t="str">
        <f t="shared" si="76"/>
        <v>UNITED STATES OF AMERICA</v>
      </c>
      <c r="BD1004" t="str">
        <f>""</f>
        <v/>
      </c>
      <c r="BE1004" t="str">
        <f>"+12486434900"</f>
        <v>+12486434900</v>
      </c>
      <c r="BF1004" t="str">
        <f>""</f>
        <v/>
      </c>
      <c r="BG1004" t="str">
        <f>"Dena@employmentimmigration.com"</f>
        <v>Dena@employmentimmigration.com</v>
      </c>
      <c r="BH1004" t="str">
        <f>"Fakhoury Global Immigration, USA PC"</f>
        <v>Fakhoury Global Immigration, USA PC</v>
      </c>
      <c r="BI1004" t="str">
        <f>"MI"</f>
        <v>MI</v>
      </c>
      <c r="BJ1004" t="str">
        <f>"Supreme Court"</f>
        <v>Supreme Court</v>
      </c>
      <c r="BK1004">
        <v>1</v>
      </c>
      <c r="BL1004" t="s">
        <v>107</v>
      </c>
      <c r="BM1004" t="str">
        <f>"Coforge"</f>
        <v>Coforge</v>
      </c>
      <c r="BN1004" t="s">
        <v>10859</v>
      </c>
      <c r="BO1004" t="s">
        <v>6523</v>
      </c>
      <c r="BP1004" t="s">
        <v>213</v>
      </c>
      <c r="BQ1004" t="s">
        <v>481</v>
      </c>
      <c r="BR1004" t="s">
        <v>215</v>
      </c>
      <c r="BS1004" s="5">
        <v>30338</v>
      </c>
      <c r="BT1004" s="2">
        <v>85842</v>
      </c>
      <c r="BV1004" t="s">
        <v>105</v>
      </c>
      <c r="BW1004" s="2">
        <v>85842</v>
      </c>
      <c r="BX1004" t="s">
        <v>105</v>
      </c>
      <c r="BZ1004" t="s">
        <v>167</v>
      </c>
      <c r="CA1004" t="str">
        <f t="shared" si="75"/>
        <v>7/1/2020 - 6/30/2021</v>
      </c>
      <c r="CF1004">
        <v>2</v>
      </c>
      <c r="CG1004" t="s">
        <v>98</v>
      </c>
      <c r="CH1004" t="s">
        <v>206</v>
      </c>
      <c r="CI1004" t="s">
        <v>206</v>
      </c>
      <c r="CL1004" t="s">
        <v>108</v>
      </c>
      <c r="CM1004" t="s">
        <v>109</v>
      </c>
      <c r="CN1004" t="str">
        <f>"Nasr"</f>
        <v>Nasr</v>
      </c>
      <c r="CO1004" t="str">
        <f>"Catherine"</f>
        <v>Catherine</v>
      </c>
      <c r="CP1004" t="str">
        <f>""</f>
        <v/>
      </c>
      <c r="CQ1004" t="str">
        <f>"Fakhoury Global Immigration, USA PC"</f>
        <v>Fakhoury Global Immigration, USA PC</v>
      </c>
      <c r="CR1004" t="s">
        <v>3322</v>
      </c>
    </row>
    <row r="1005" spans="1:96" x14ac:dyDescent="0.2">
      <c r="A1005" t="s">
        <v>10867</v>
      </c>
      <c r="B1005" t="s">
        <v>96</v>
      </c>
      <c r="C1005" s="1">
        <v>44098</v>
      </c>
      <c r="D1005" s="1">
        <v>44105</v>
      </c>
      <c r="F1005" t="s">
        <v>97</v>
      </c>
      <c r="G1005" t="str">
        <f>"Senior Advisory Consultant"</f>
        <v>Senior Advisory Consultant</v>
      </c>
      <c r="H1005" t="s">
        <v>12181</v>
      </c>
      <c r="I1005" t="s">
        <v>110</v>
      </c>
      <c r="J1005" t="s">
        <v>98</v>
      </c>
      <c r="K1005" s="1">
        <v>44098</v>
      </c>
      <c r="L1005" s="1">
        <v>44773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 t="s">
        <v>1601</v>
      </c>
      <c r="U1005" t="str">
        <f>"IBM CORPORATION"</f>
        <v>IBM CORPORATION</v>
      </c>
      <c r="V1005" t="s">
        <v>1602</v>
      </c>
      <c r="W1005" t="str">
        <f>"BUILDING 002 "</f>
        <v xml:space="preserve">BUILDING 002 </v>
      </c>
      <c r="X1005" t="s">
        <v>302</v>
      </c>
      <c r="Y1005" t="s">
        <v>122</v>
      </c>
      <c r="Z1005" s="3" t="s">
        <v>12292</v>
      </c>
      <c r="AA1005" t="s">
        <v>101</v>
      </c>
      <c r="AB1005" t="s">
        <v>122</v>
      </c>
      <c r="AC1005" s="4" t="str">
        <f>"+19195430507"</f>
        <v>+19195430507</v>
      </c>
      <c r="AE1005" t="str">
        <f>"54151"</f>
        <v>54151</v>
      </c>
      <c r="AF1005" t="s">
        <v>3339</v>
      </c>
      <c r="AG1005" t="s">
        <v>1091</v>
      </c>
      <c r="AI1005" t="s">
        <v>3340</v>
      </c>
      <c r="AJ1005" t="s">
        <v>3341</v>
      </c>
      <c r="AK1005" t="str">
        <f>"Bldg. 002"</f>
        <v>Bldg. 002</v>
      </c>
      <c r="AL1005" t="s">
        <v>1113</v>
      </c>
      <c r="AM1005" t="s">
        <v>122</v>
      </c>
      <c r="AN1005" s="3">
        <v>27709</v>
      </c>
      <c r="AO1005" t="s">
        <v>101</v>
      </c>
      <c r="AQ1005" t="str">
        <f>"+19192540503"</f>
        <v>+19192540503</v>
      </c>
      <c r="AS1005" t="s">
        <v>3342</v>
      </c>
      <c r="AT1005" t="s">
        <v>102</v>
      </c>
      <c r="AU1005" t="str">
        <f>""</f>
        <v/>
      </c>
      <c r="AV1005" t="str">
        <f>""</f>
        <v/>
      </c>
      <c r="AW1005" t="str">
        <f>""</f>
        <v/>
      </c>
      <c r="AX1005" t="str">
        <f>""</f>
        <v/>
      </c>
      <c r="AY1005" t="str">
        <f>""</f>
        <v/>
      </c>
      <c r="AZ1005" t="str">
        <f>""</f>
        <v/>
      </c>
      <c r="BA1005" t="str">
        <f>""</f>
        <v/>
      </c>
      <c r="BC1005" t="str">
        <f>""</f>
        <v/>
      </c>
      <c r="BD1005" t="str">
        <f>""</f>
        <v/>
      </c>
      <c r="BE1005" t="str">
        <f>""</f>
        <v/>
      </c>
      <c r="BF1005" t="str">
        <f>""</f>
        <v/>
      </c>
      <c r="BG1005" t="str">
        <f>""</f>
        <v/>
      </c>
      <c r="BH1005" t="str">
        <f>""</f>
        <v/>
      </c>
      <c r="BI1005" t="str">
        <f>""</f>
        <v/>
      </c>
      <c r="BJ1005" t="str">
        <f>""</f>
        <v/>
      </c>
      <c r="BK1005">
        <v>1</v>
      </c>
      <c r="BL1005" t="s">
        <v>107</v>
      </c>
      <c r="BM1005" t="str">
        <f>"Deluxe Corporation"</f>
        <v>Deluxe Corporation</v>
      </c>
      <c r="BN1005" t="s">
        <v>7138</v>
      </c>
      <c r="BP1005" t="s">
        <v>3425</v>
      </c>
      <c r="BQ1005" t="s">
        <v>837</v>
      </c>
      <c r="BR1005" t="s">
        <v>186</v>
      </c>
      <c r="BS1005" s="5">
        <v>55126</v>
      </c>
      <c r="BT1005" s="2">
        <v>97594</v>
      </c>
      <c r="BU1005" s="2">
        <v>138096</v>
      </c>
      <c r="BV1005" t="s">
        <v>105</v>
      </c>
      <c r="BW1005" s="2">
        <v>97594</v>
      </c>
      <c r="BX1005" t="s">
        <v>105</v>
      </c>
      <c r="BZ1005" t="s">
        <v>123</v>
      </c>
      <c r="CA1005" t="str">
        <f t="shared" si="75"/>
        <v>7/1/2020 - 6/30/2021</v>
      </c>
      <c r="CF1005">
        <v>1</v>
      </c>
      <c r="CG1005" t="s">
        <v>98</v>
      </c>
      <c r="CH1005" t="s">
        <v>206</v>
      </c>
      <c r="CI1005" t="s">
        <v>206</v>
      </c>
      <c r="CL1005" t="s">
        <v>108</v>
      </c>
      <c r="CM1005" t="s">
        <v>109</v>
      </c>
      <c r="CN1005" t="str">
        <f>""</f>
        <v/>
      </c>
      <c r="CO1005" t="str">
        <f>""</f>
        <v/>
      </c>
      <c r="CP1005" t="str">
        <f>""</f>
        <v/>
      </c>
      <c r="CQ1005" t="str">
        <f>""</f>
        <v/>
      </c>
    </row>
    <row r="1006" spans="1:96" x14ac:dyDescent="0.2">
      <c r="A1006" t="s">
        <v>10869</v>
      </c>
      <c r="B1006" t="s">
        <v>96</v>
      </c>
      <c r="C1006" s="1">
        <v>44098</v>
      </c>
      <c r="D1006" s="1">
        <v>44105</v>
      </c>
      <c r="F1006" t="s">
        <v>97</v>
      </c>
      <c r="G1006" t="str">
        <f>"Senior Business Analyst - WEC"</f>
        <v>Senior Business Analyst - WEC</v>
      </c>
      <c r="H1006" t="s">
        <v>12182</v>
      </c>
      <c r="I1006" t="s">
        <v>168</v>
      </c>
      <c r="J1006" t="s">
        <v>98</v>
      </c>
      <c r="K1006" s="1">
        <v>44105</v>
      </c>
      <c r="L1006" s="1">
        <v>45200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 t="s">
        <v>10837</v>
      </c>
      <c r="U1006" t="str">
        <f>""</f>
        <v/>
      </c>
      <c r="V1006" t="s">
        <v>10838</v>
      </c>
      <c r="W1006" t="str">
        <f>"Suite 200"</f>
        <v>Suite 200</v>
      </c>
      <c r="X1006" t="s">
        <v>4352</v>
      </c>
      <c r="Y1006" t="s">
        <v>171</v>
      </c>
      <c r="Z1006" s="3">
        <v>2129</v>
      </c>
      <c r="AA1006" t="s">
        <v>101</v>
      </c>
      <c r="AC1006" s="4" t="str">
        <f>"+18882008414"</f>
        <v>+18882008414</v>
      </c>
      <c r="AE1006" t="str">
        <f>"3162"</f>
        <v>3162</v>
      </c>
      <c r="AF1006" t="s">
        <v>10839</v>
      </c>
      <c r="AG1006" t="s">
        <v>8636</v>
      </c>
      <c r="AI1006" t="s">
        <v>860</v>
      </c>
      <c r="AJ1006" t="s">
        <v>10838</v>
      </c>
      <c r="AK1006" t="str">
        <f>"Suite 200"</f>
        <v>Suite 200</v>
      </c>
      <c r="AL1006" t="s">
        <v>4352</v>
      </c>
      <c r="AM1006" t="s">
        <v>171</v>
      </c>
      <c r="AN1006" s="3">
        <v>2129</v>
      </c>
      <c r="AO1006" t="s">
        <v>101</v>
      </c>
      <c r="AQ1006" t="str">
        <f>"+18882008414"</f>
        <v>+18882008414</v>
      </c>
      <c r="AS1006" t="s">
        <v>10840</v>
      </c>
      <c r="AT1006" t="s">
        <v>107</v>
      </c>
      <c r="AU1006" t="str">
        <f>"Strasser"</f>
        <v>Strasser</v>
      </c>
      <c r="AV1006" t="str">
        <f>"Frederick"</f>
        <v>Frederick</v>
      </c>
      <c r="AW1006" t="str">
        <f>"Warren"</f>
        <v>Warren</v>
      </c>
      <c r="AX1006" t="str">
        <f>"409 Second Avenue"</f>
        <v>409 Second Avenue</v>
      </c>
      <c r="AY1006" t="str">
        <f>""</f>
        <v/>
      </c>
      <c r="AZ1006" t="str">
        <f>"Bradley Beach"</f>
        <v>Bradley Beach</v>
      </c>
      <c r="BA1006" t="str">
        <f>"NJ"</f>
        <v>NJ</v>
      </c>
      <c r="BB1006" s="3">
        <v>7720</v>
      </c>
      <c r="BC1006" t="str">
        <f>"UNITED STATES OF AMERICA"</f>
        <v>UNITED STATES OF AMERICA</v>
      </c>
      <c r="BD1006" t="str">
        <f>""</f>
        <v/>
      </c>
      <c r="BE1006" t="str">
        <f>"+17328075802"</f>
        <v>+17328075802</v>
      </c>
      <c r="BF1006" t="str">
        <f>""</f>
        <v/>
      </c>
      <c r="BG1006" t="str">
        <f>"fstrasser@fwsassociatesllc.com"</f>
        <v>fstrasser@fwsassociatesllc.com</v>
      </c>
      <c r="BH1006" t="str">
        <f>"FW Strasser Associates LLC"</f>
        <v>FW Strasser Associates LLC</v>
      </c>
      <c r="BI1006" t="str">
        <f>"NJ"</f>
        <v>NJ</v>
      </c>
      <c r="BJ1006" t="str">
        <f>"New Jersey Supreme Court"</f>
        <v>New Jersey Supreme Court</v>
      </c>
      <c r="BK1006">
        <v>1</v>
      </c>
      <c r="BL1006" t="s">
        <v>102</v>
      </c>
      <c r="BM1006" t="str">
        <f>""</f>
        <v/>
      </c>
      <c r="BN1006" t="s">
        <v>10838</v>
      </c>
      <c r="BO1006" t="s">
        <v>787</v>
      </c>
      <c r="BP1006" t="s">
        <v>4352</v>
      </c>
      <c r="BQ1006" t="s">
        <v>209</v>
      </c>
      <c r="BR1006" t="s">
        <v>171</v>
      </c>
      <c r="BS1006" s="5">
        <v>2129</v>
      </c>
      <c r="BT1006" s="2">
        <v>95262.7</v>
      </c>
      <c r="BV1006" t="s">
        <v>105</v>
      </c>
      <c r="BW1006" s="2">
        <v>91000</v>
      </c>
      <c r="BX1006" t="s">
        <v>105</v>
      </c>
      <c r="BZ1006" t="s">
        <v>123</v>
      </c>
      <c r="CA1006" t="str">
        <f t="shared" ref="CA1006:CA1034" si="77">"7/1/2020 - 6/30/2021"</f>
        <v>7/1/2020 - 6/30/2021</v>
      </c>
      <c r="CF1006">
        <v>2</v>
      </c>
      <c r="CG1006" t="s">
        <v>98</v>
      </c>
      <c r="CH1006" t="s">
        <v>206</v>
      </c>
      <c r="CI1006" t="s">
        <v>206</v>
      </c>
      <c r="CL1006" t="s">
        <v>108</v>
      </c>
      <c r="CM1006" t="s">
        <v>109</v>
      </c>
      <c r="CN1006" t="str">
        <f>""</f>
        <v/>
      </c>
      <c r="CO1006" t="str">
        <f>""</f>
        <v/>
      </c>
      <c r="CP1006" t="str">
        <f>""</f>
        <v/>
      </c>
      <c r="CQ1006" t="str">
        <f>""</f>
        <v/>
      </c>
    </row>
    <row r="1007" spans="1:96" x14ac:dyDescent="0.2">
      <c r="A1007" t="s">
        <v>10872</v>
      </c>
      <c r="B1007" t="s">
        <v>96</v>
      </c>
      <c r="C1007" s="1">
        <v>44098</v>
      </c>
      <c r="D1007" s="1">
        <v>44105</v>
      </c>
      <c r="F1007" t="s">
        <v>97</v>
      </c>
      <c r="G1007" t="str">
        <f>"Project Controls Engineer"</f>
        <v>Project Controls Engineer</v>
      </c>
      <c r="H1007" t="s">
        <v>12205</v>
      </c>
      <c r="I1007" t="s">
        <v>665</v>
      </c>
      <c r="J1007" t="s">
        <v>98</v>
      </c>
      <c r="K1007" s="1">
        <v>44098</v>
      </c>
      <c r="L1007" s="1">
        <v>45188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 t="s">
        <v>7469</v>
      </c>
      <c r="U1007" t="str">
        <f>""</f>
        <v/>
      </c>
      <c r="V1007" t="s">
        <v>7470</v>
      </c>
      <c r="W1007" t="str">
        <f>""</f>
        <v/>
      </c>
      <c r="X1007" t="s">
        <v>4228</v>
      </c>
      <c r="Y1007" t="s">
        <v>135</v>
      </c>
      <c r="Z1007" s="3">
        <v>23060</v>
      </c>
      <c r="AA1007" t="s">
        <v>101</v>
      </c>
      <c r="AC1007" s="4" t="str">
        <f>"+18045158514"</f>
        <v>+18045158514</v>
      </c>
      <c r="AE1007" t="str">
        <f>"541330"</f>
        <v>541330</v>
      </c>
      <c r="AF1007" t="s">
        <v>5911</v>
      </c>
      <c r="AG1007" t="s">
        <v>1245</v>
      </c>
      <c r="AH1007" t="s">
        <v>206</v>
      </c>
      <c r="AI1007" t="s">
        <v>7471</v>
      </c>
      <c r="AJ1007" t="s">
        <v>7470</v>
      </c>
      <c r="AK1007" t="str">
        <f>""</f>
        <v/>
      </c>
      <c r="AL1007" t="s">
        <v>4228</v>
      </c>
      <c r="AM1007" t="s">
        <v>135</v>
      </c>
      <c r="AN1007" s="3">
        <v>23060</v>
      </c>
      <c r="AO1007" t="s">
        <v>101</v>
      </c>
      <c r="AQ1007" t="str">
        <f>"+18045158514"</f>
        <v>+18045158514</v>
      </c>
      <c r="AS1007" t="s">
        <v>7472</v>
      </c>
      <c r="AT1007" t="s">
        <v>107</v>
      </c>
      <c r="AU1007" t="str">
        <f>"TAYLOR"</f>
        <v>TAYLOR</v>
      </c>
      <c r="AV1007" t="str">
        <f>"PAIGE 5286780"</f>
        <v>PAIGE 5286780</v>
      </c>
      <c r="AW1007" t="str">
        <f>"L"</f>
        <v>L</v>
      </c>
      <c r="AX1007" t="str">
        <f>"5080 SPECTRUM DRIVE"</f>
        <v>5080 SPECTRUM DRIVE</v>
      </c>
      <c r="AY1007" t="str">
        <f>"SUITE 850W"</f>
        <v>SUITE 850W</v>
      </c>
      <c r="AZ1007" t="str">
        <f>"ADDISON"</f>
        <v>ADDISON</v>
      </c>
      <c r="BA1007" t="str">
        <f>"TX"</f>
        <v>TX</v>
      </c>
      <c r="BB1007" s="3">
        <v>75001</v>
      </c>
      <c r="BC1007" t="str">
        <f>"UNITED STATES OF AMERICA"</f>
        <v>UNITED STATES OF AMERICA</v>
      </c>
      <c r="BD1007" t="str">
        <f>""</f>
        <v/>
      </c>
      <c r="BE1007" t="str">
        <f>"+14697910360"</f>
        <v>+14697910360</v>
      </c>
      <c r="BF1007" t="str">
        <f>""</f>
        <v/>
      </c>
      <c r="BG1007" t="str">
        <f>"PTAYLORNIV@FRAGOMEN.COM"</f>
        <v>PTAYLORNIV@FRAGOMEN.COM</v>
      </c>
      <c r="BH1007" t="str">
        <f>"FRAGOMEN, DEL REY, BERNSEN &amp; LOEWY, LLP"</f>
        <v>FRAGOMEN, DEL REY, BERNSEN &amp; LOEWY, LLP</v>
      </c>
      <c r="BI1007" t="str">
        <f>"TX"</f>
        <v>TX</v>
      </c>
      <c r="BJ1007" t="str">
        <f>"SUPREME COURT"</f>
        <v>SUPREME COURT</v>
      </c>
      <c r="BK1007">
        <v>1</v>
      </c>
      <c r="BL1007" t="s">
        <v>102</v>
      </c>
      <c r="BM1007" t="str">
        <f>""</f>
        <v/>
      </c>
      <c r="BN1007" t="s">
        <v>8516</v>
      </c>
      <c r="BP1007" t="s">
        <v>277</v>
      </c>
      <c r="BQ1007" t="s">
        <v>189</v>
      </c>
      <c r="BR1007" t="s">
        <v>190</v>
      </c>
      <c r="BS1007" s="5">
        <v>10004</v>
      </c>
      <c r="BT1007" s="2">
        <v>41.49</v>
      </c>
      <c r="BU1007" s="2">
        <v>56.19</v>
      </c>
      <c r="BV1007" t="s">
        <v>210</v>
      </c>
      <c r="BW1007" s="2">
        <v>41.49</v>
      </c>
      <c r="BX1007" t="s">
        <v>210</v>
      </c>
      <c r="BZ1007" t="s">
        <v>167</v>
      </c>
      <c r="CA1007" t="str">
        <f t="shared" si="77"/>
        <v>7/1/2020 - 6/30/2021</v>
      </c>
      <c r="CF1007">
        <v>3</v>
      </c>
      <c r="CG1007" t="s">
        <v>98</v>
      </c>
      <c r="CH1007" t="s">
        <v>206</v>
      </c>
      <c r="CI1007" t="s">
        <v>206</v>
      </c>
      <c r="CL1007" t="s">
        <v>108</v>
      </c>
      <c r="CM1007" t="s">
        <v>109</v>
      </c>
      <c r="CN1007" t="str">
        <f>"Jackson-Nealey"</f>
        <v>Jackson-Nealey</v>
      </c>
      <c r="CO1007" t="str">
        <f>"Gwen"</f>
        <v>Gwen</v>
      </c>
      <c r="CP1007" t="str">
        <f>"R"</f>
        <v>R</v>
      </c>
      <c r="CQ1007" t="str">
        <f>"Fragomen, Del Rey, Bernsen, &amp; Loewy, LLP"</f>
        <v>Fragomen, Del Rey, Bernsen, &amp; Loewy, LLP</v>
      </c>
      <c r="CR1007" t="s">
        <v>7473</v>
      </c>
    </row>
    <row r="1008" spans="1:96" x14ac:dyDescent="0.2">
      <c r="A1008" t="s">
        <v>10873</v>
      </c>
      <c r="B1008" t="s">
        <v>96</v>
      </c>
      <c r="C1008" s="1">
        <v>44098</v>
      </c>
      <c r="D1008" s="1">
        <v>44105</v>
      </c>
      <c r="F1008" t="s">
        <v>97</v>
      </c>
      <c r="G1008" t="str">
        <f>"Ad Reporting and Data Warehouse Lead"</f>
        <v>Ad Reporting and Data Warehouse Lead</v>
      </c>
      <c r="H1008" t="s">
        <v>12169</v>
      </c>
      <c r="I1008" t="s">
        <v>124</v>
      </c>
      <c r="J1008" t="s">
        <v>98</v>
      </c>
      <c r="K1008" s="1">
        <v>44098</v>
      </c>
      <c r="L1008" s="1">
        <v>45165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 t="s">
        <v>9276</v>
      </c>
      <c r="U1008" t="str">
        <f>""</f>
        <v/>
      </c>
      <c r="V1008" t="s">
        <v>8715</v>
      </c>
      <c r="W1008" t="str">
        <f>""</f>
        <v/>
      </c>
      <c r="X1008" t="s">
        <v>277</v>
      </c>
      <c r="Y1008" t="s">
        <v>190</v>
      </c>
      <c r="Z1008" s="3">
        <v>10018</v>
      </c>
      <c r="AA1008" t="s">
        <v>101</v>
      </c>
      <c r="AC1008" s="4" t="str">
        <f>"+12125567491"</f>
        <v>+12125567491</v>
      </c>
      <c r="AE1008" t="str">
        <f>"51111"</f>
        <v>51111</v>
      </c>
      <c r="AF1008" t="s">
        <v>9277</v>
      </c>
      <c r="AG1008" t="s">
        <v>927</v>
      </c>
      <c r="AI1008" t="s">
        <v>9278</v>
      </c>
      <c r="AJ1008" t="s">
        <v>8715</v>
      </c>
      <c r="AK1008" t="str">
        <f>""</f>
        <v/>
      </c>
      <c r="AL1008" t="s">
        <v>277</v>
      </c>
      <c r="AM1008" t="s">
        <v>190</v>
      </c>
      <c r="AN1008" s="3">
        <v>10018</v>
      </c>
      <c r="AO1008" t="s">
        <v>101</v>
      </c>
      <c r="AQ1008" t="str">
        <f>"+12125565157"</f>
        <v>+12125565157</v>
      </c>
      <c r="AS1008" t="s">
        <v>9279</v>
      </c>
      <c r="AT1008" t="s">
        <v>107</v>
      </c>
      <c r="AU1008" t="str">
        <f>"Loomba"</f>
        <v>Loomba</v>
      </c>
      <c r="AV1008" t="str">
        <f>"Erica"</f>
        <v>Erica</v>
      </c>
      <c r="AW1008" t="str">
        <f>""</f>
        <v/>
      </c>
      <c r="AX1008" t="str">
        <f>"Eleven Times Square"</f>
        <v>Eleven Times Square</v>
      </c>
      <c r="AY1008" t="str">
        <f>""</f>
        <v/>
      </c>
      <c r="AZ1008" t="str">
        <f>"New York"</f>
        <v>New York</v>
      </c>
      <c r="BA1008" t="str">
        <f>"NY"</f>
        <v>NY</v>
      </c>
      <c r="BB1008" s="3">
        <v>10036</v>
      </c>
      <c r="BC1008" t="str">
        <f>"UNITED STATES OF AMERICA"</f>
        <v>UNITED STATES OF AMERICA</v>
      </c>
      <c r="BD1008" t="str">
        <f>""</f>
        <v/>
      </c>
      <c r="BE1008" t="str">
        <f>"+12129693206"</f>
        <v>+12129693206</v>
      </c>
      <c r="BF1008" t="str">
        <f>""</f>
        <v/>
      </c>
      <c r="BG1008" t="str">
        <f>"eloomba@proskauer.com"</f>
        <v>eloomba@proskauer.com</v>
      </c>
      <c r="BH1008" t="str">
        <f>"Proskauer Rose LLP"</f>
        <v>Proskauer Rose LLP</v>
      </c>
      <c r="BI1008" t="str">
        <f>"NY"</f>
        <v>NY</v>
      </c>
      <c r="BJ1008" t="str">
        <f>"New York Court of Appeals"</f>
        <v>New York Court of Appeals</v>
      </c>
      <c r="BK1008">
        <v>1</v>
      </c>
      <c r="BL1008" t="s">
        <v>102</v>
      </c>
      <c r="BM1008" t="str">
        <f>""</f>
        <v/>
      </c>
      <c r="BN1008" t="s">
        <v>10874</v>
      </c>
      <c r="BP1008" t="s">
        <v>483</v>
      </c>
      <c r="BQ1008" t="s">
        <v>484</v>
      </c>
      <c r="BR1008" t="s">
        <v>114</v>
      </c>
      <c r="BS1008" s="5">
        <v>75063</v>
      </c>
      <c r="BT1008" s="2">
        <v>165558</v>
      </c>
      <c r="BV1008" t="s">
        <v>105</v>
      </c>
      <c r="BW1008" s="2">
        <v>127150</v>
      </c>
      <c r="BX1008" t="s">
        <v>105</v>
      </c>
      <c r="BZ1008" t="s">
        <v>159</v>
      </c>
      <c r="CA1008" t="str">
        <f t="shared" si="77"/>
        <v>7/1/2020 - 6/30/2021</v>
      </c>
      <c r="CF1008">
        <v>2</v>
      </c>
      <c r="CG1008" t="s">
        <v>98</v>
      </c>
      <c r="CH1008" t="s">
        <v>206</v>
      </c>
      <c r="CI1008" t="s">
        <v>206</v>
      </c>
      <c r="CL1008" t="s">
        <v>108</v>
      </c>
      <c r="CM1008" t="s">
        <v>109</v>
      </c>
      <c r="CN1008" t="str">
        <f>"Gayeski"</f>
        <v>Gayeski</v>
      </c>
      <c r="CO1008" t="str">
        <f>"Jocelyn"</f>
        <v>Jocelyn</v>
      </c>
      <c r="CP1008" t="str">
        <f>"M"</f>
        <v>M</v>
      </c>
      <c r="CQ1008" t="str">
        <f>"Proskauer Rose LLP"</f>
        <v>Proskauer Rose LLP</v>
      </c>
      <c r="CR1008" t="s">
        <v>3742</v>
      </c>
    </row>
    <row r="1009" spans="1:96" x14ac:dyDescent="0.2">
      <c r="A1009" t="s">
        <v>10883</v>
      </c>
      <c r="B1009" t="s">
        <v>96</v>
      </c>
      <c r="C1009" s="1">
        <v>44098</v>
      </c>
      <c r="D1009" s="1">
        <v>44105</v>
      </c>
      <c r="F1009" t="s">
        <v>97</v>
      </c>
      <c r="G1009" t="str">
        <f>"SAP Application Architect"</f>
        <v>SAP Application Architect</v>
      </c>
      <c r="H1009" t="s">
        <v>12181</v>
      </c>
      <c r="I1009" t="s">
        <v>110</v>
      </c>
      <c r="J1009" t="s">
        <v>98</v>
      </c>
      <c r="K1009" s="1">
        <v>44112</v>
      </c>
      <c r="L1009" s="1">
        <v>45206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 t="s">
        <v>1601</v>
      </c>
      <c r="U1009" t="str">
        <f>"IBM CORPORATION"</f>
        <v>IBM CORPORATION</v>
      </c>
      <c r="V1009" t="s">
        <v>1602</v>
      </c>
      <c r="W1009" t="str">
        <f>"BUILDING 002 "</f>
        <v xml:space="preserve">BUILDING 002 </v>
      </c>
      <c r="X1009" t="s">
        <v>302</v>
      </c>
      <c r="Y1009" t="s">
        <v>122</v>
      </c>
      <c r="Z1009" s="3" t="s">
        <v>12292</v>
      </c>
      <c r="AA1009" t="s">
        <v>101</v>
      </c>
      <c r="AB1009" t="s">
        <v>122</v>
      </c>
      <c r="AC1009" s="4" t="str">
        <f>"+19195430507"</f>
        <v>+19195430507</v>
      </c>
      <c r="AE1009" t="str">
        <f>"54151"</f>
        <v>54151</v>
      </c>
      <c r="AF1009" t="s">
        <v>3339</v>
      </c>
      <c r="AG1009" t="s">
        <v>1091</v>
      </c>
      <c r="AI1009" t="s">
        <v>3340</v>
      </c>
      <c r="AJ1009" t="s">
        <v>3341</v>
      </c>
      <c r="AK1009" t="str">
        <f>"Bldg. 002"</f>
        <v>Bldg. 002</v>
      </c>
      <c r="AL1009" t="s">
        <v>1113</v>
      </c>
      <c r="AM1009" t="s">
        <v>122</v>
      </c>
      <c r="AN1009" s="3">
        <v>27709</v>
      </c>
      <c r="AO1009" t="s">
        <v>101</v>
      </c>
      <c r="AQ1009" t="str">
        <f>"+19192540503"</f>
        <v>+19192540503</v>
      </c>
      <c r="AS1009" t="s">
        <v>3342</v>
      </c>
      <c r="AT1009" t="s">
        <v>102</v>
      </c>
      <c r="AU1009" t="str">
        <f>""</f>
        <v/>
      </c>
      <c r="AV1009" t="str">
        <f>""</f>
        <v/>
      </c>
      <c r="AW1009" t="str">
        <f>""</f>
        <v/>
      </c>
      <c r="AX1009" t="str">
        <f>""</f>
        <v/>
      </c>
      <c r="AY1009" t="str">
        <f>""</f>
        <v/>
      </c>
      <c r="AZ1009" t="str">
        <f>""</f>
        <v/>
      </c>
      <c r="BA1009" t="str">
        <f>""</f>
        <v/>
      </c>
      <c r="BC1009" t="str">
        <f>""</f>
        <v/>
      </c>
      <c r="BD1009" t="str">
        <f>""</f>
        <v/>
      </c>
      <c r="BE1009" t="str">
        <f>""</f>
        <v/>
      </c>
      <c r="BF1009" t="str">
        <f>""</f>
        <v/>
      </c>
      <c r="BG1009" t="str">
        <f>""</f>
        <v/>
      </c>
      <c r="BH1009" t="str">
        <f>""</f>
        <v/>
      </c>
      <c r="BI1009" t="str">
        <f>""</f>
        <v/>
      </c>
      <c r="BJ1009" t="str">
        <f>""</f>
        <v/>
      </c>
      <c r="BK1009">
        <v>1</v>
      </c>
      <c r="BL1009" t="s">
        <v>107</v>
      </c>
      <c r="BM1009" t="str">
        <f>"PepsiCo, Inc."</f>
        <v>PepsiCo, Inc.</v>
      </c>
      <c r="BN1009" t="s">
        <v>10884</v>
      </c>
      <c r="BP1009" t="s">
        <v>3446</v>
      </c>
      <c r="BQ1009" t="s">
        <v>2066</v>
      </c>
      <c r="BR1009" t="s">
        <v>190</v>
      </c>
      <c r="BS1009" s="5">
        <v>10604</v>
      </c>
      <c r="BT1009" s="2">
        <v>135866</v>
      </c>
      <c r="BU1009" s="2">
        <v>230200</v>
      </c>
      <c r="BV1009" t="s">
        <v>105</v>
      </c>
      <c r="BW1009" s="2">
        <v>135866</v>
      </c>
      <c r="BX1009" t="s">
        <v>105</v>
      </c>
      <c r="BZ1009" t="s">
        <v>159</v>
      </c>
      <c r="CA1009" t="str">
        <f t="shared" si="77"/>
        <v>7/1/2020 - 6/30/2021</v>
      </c>
      <c r="CF1009">
        <v>3</v>
      </c>
      <c r="CG1009" t="s">
        <v>98</v>
      </c>
      <c r="CH1009" t="s">
        <v>206</v>
      </c>
      <c r="CI1009" t="s">
        <v>206</v>
      </c>
      <c r="CL1009" t="s">
        <v>108</v>
      </c>
      <c r="CM1009" t="s">
        <v>109</v>
      </c>
      <c r="CN1009" t="str">
        <f>""</f>
        <v/>
      </c>
      <c r="CO1009" t="str">
        <f>""</f>
        <v/>
      </c>
      <c r="CP1009" t="str">
        <f>""</f>
        <v/>
      </c>
      <c r="CQ1009" t="str">
        <f>""</f>
        <v/>
      </c>
    </row>
    <row r="1010" spans="1:96" x14ac:dyDescent="0.2">
      <c r="A1010" t="s">
        <v>10888</v>
      </c>
      <c r="B1010" t="s">
        <v>96</v>
      </c>
      <c r="C1010" s="1">
        <v>44098</v>
      </c>
      <c r="D1010" s="1">
        <v>44105</v>
      </c>
      <c r="F1010" t="s">
        <v>97</v>
      </c>
      <c r="G1010" t="str">
        <f>"Assistant Project manager"</f>
        <v>Assistant Project manager</v>
      </c>
      <c r="H1010" t="s">
        <v>12205</v>
      </c>
      <c r="I1010" t="s">
        <v>665</v>
      </c>
      <c r="J1010" t="s">
        <v>98</v>
      </c>
      <c r="K1010" s="1">
        <v>44106</v>
      </c>
      <c r="L1010" s="1">
        <v>45200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 t="s">
        <v>7469</v>
      </c>
      <c r="U1010" t="str">
        <f>""</f>
        <v/>
      </c>
      <c r="V1010" t="s">
        <v>7470</v>
      </c>
      <c r="W1010" t="str">
        <f>""</f>
        <v/>
      </c>
      <c r="X1010" t="s">
        <v>4228</v>
      </c>
      <c r="Y1010" t="s">
        <v>135</v>
      </c>
      <c r="Z1010" s="3">
        <v>23060</v>
      </c>
      <c r="AA1010" t="s">
        <v>101</v>
      </c>
      <c r="AC1010" s="4" t="str">
        <f>"+18045158514"</f>
        <v>+18045158514</v>
      </c>
      <c r="AE1010" t="str">
        <f>"541330"</f>
        <v>541330</v>
      </c>
      <c r="AF1010" t="s">
        <v>5911</v>
      </c>
      <c r="AG1010" t="s">
        <v>1245</v>
      </c>
      <c r="AH1010" t="s">
        <v>206</v>
      </c>
      <c r="AI1010" t="s">
        <v>7471</v>
      </c>
      <c r="AJ1010" t="s">
        <v>7470</v>
      </c>
      <c r="AK1010" t="str">
        <f>""</f>
        <v/>
      </c>
      <c r="AL1010" t="s">
        <v>4228</v>
      </c>
      <c r="AM1010" t="s">
        <v>135</v>
      </c>
      <c r="AN1010" s="3">
        <v>23060</v>
      </c>
      <c r="AO1010" t="s">
        <v>101</v>
      </c>
      <c r="AQ1010" t="str">
        <f>"+18045158514"</f>
        <v>+18045158514</v>
      </c>
      <c r="AS1010" t="s">
        <v>7472</v>
      </c>
      <c r="AT1010" t="s">
        <v>107</v>
      </c>
      <c r="AU1010" t="str">
        <f>"TAYLOR"</f>
        <v>TAYLOR</v>
      </c>
      <c r="AV1010" t="str">
        <f>"PAIGE 5295820"</f>
        <v>PAIGE 5295820</v>
      </c>
      <c r="AW1010" t="str">
        <f>"L"</f>
        <v>L</v>
      </c>
      <c r="AX1010" t="str">
        <f>"5080 SPECTRUM DRIVE"</f>
        <v>5080 SPECTRUM DRIVE</v>
      </c>
      <c r="AY1010" t="str">
        <f>"SUITE 850W"</f>
        <v>SUITE 850W</v>
      </c>
      <c r="AZ1010" t="str">
        <f>"ADDISON"</f>
        <v>ADDISON</v>
      </c>
      <c r="BA1010" t="str">
        <f>"TX"</f>
        <v>TX</v>
      </c>
      <c r="BB1010" s="3">
        <v>75001</v>
      </c>
      <c r="BC1010" t="str">
        <f t="shared" ref="BC1010:BC1020" si="78">"UNITED STATES OF AMERICA"</f>
        <v>UNITED STATES OF AMERICA</v>
      </c>
      <c r="BD1010" t="str">
        <f>""</f>
        <v/>
      </c>
      <c r="BE1010" t="str">
        <f>"+14697910360"</f>
        <v>+14697910360</v>
      </c>
      <c r="BF1010" t="str">
        <f>""</f>
        <v/>
      </c>
      <c r="BG1010" t="str">
        <f>"PTAYLORNIV@FRAGOMEN.COM"</f>
        <v>PTAYLORNIV@FRAGOMEN.COM</v>
      </c>
      <c r="BH1010" t="str">
        <f>"FRAGOMEN, DEL REY, BERNSEN &amp; LOEWY, LLP"</f>
        <v>FRAGOMEN, DEL REY, BERNSEN &amp; LOEWY, LLP</v>
      </c>
      <c r="BI1010" t="str">
        <f>"TX"</f>
        <v>TX</v>
      </c>
      <c r="BJ1010" t="str">
        <f>"SUPREME COURT"</f>
        <v>SUPREME COURT</v>
      </c>
      <c r="BK1010">
        <v>1</v>
      </c>
      <c r="BL1010" t="s">
        <v>102</v>
      </c>
      <c r="BM1010" t="str">
        <f>""</f>
        <v/>
      </c>
      <c r="BN1010" t="s">
        <v>9732</v>
      </c>
      <c r="BP1010" t="s">
        <v>853</v>
      </c>
      <c r="BQ1010" t="s">
        <v>365</v>
      </c>
      <c r="BR1010" t="s">
        <v>141</v>
      </c>
      <c r="BS1010" s="5">
        <v>90071</v>
      </c>
      <c r="BT1010" s="2">
        <v>41.17</v>
      </c>
      <c r="BU1010" s="2">
        <v>60.64</v>
      </c>
      <c r="BV1010" t="s">
        <v>210</v>
      </c>
      <c r="BW1010" s="2">
        <v>41.17</v>
      </c>
      <c r="BX1010" t="s">
        <v>210</v>
      </c>
      <c r="BZ1010" t="s">
        <v>167</v>
      </c>
      <c r="CA1010" t="str">
        <f t="shared" si="77"/>
        <v>7/1/2020 - 6/30/2021</v>
      </c>
      <c r="CF1010">
        <v>3</v>
      </c>
      <c r="CG1010" t="s">
        <v>98</v>
      </c>
      <c r="CH1010" t="s">
        <v>206</v>
      </c>
      <c r="CI1010" t="s">
        <v>206</v>
      </c>
      <c r="CL1010" t="s">
        <v>108</v>
      </c>
      <c r="CM1010" t="s">
        <v>109</v>
      </c>
      <c r="CN1010" t="str">
        <f>"Jackson-Nealey"</f>
        <v>Jackson-Nealey</v>
      </c>
      <c r="CO1010" t="str">
        <f>"Gwen"</f>
        <v>Gwen</v>
      </c>
      <c r="CP1010" t="str">
        <f>"R"</f>
        <v>R</v>
      </c>
      <c r="CQ1010" t="str">
        <f>"Fragomen, Del Rey, Bernsen, &amp; Loewy, LLP"</f>
        <v>Fragomen, Del Rey, Bernsen, &amp; Loewy, LLP</v>
      </c>
      <c r="CR1010" t="s">
        <v>7473</v>
      </c>
    </row>
    <row r="1011" spans="1:96" x14ac:dyDescent="0.2">
      <c r="A1011" t="s">
        <v>10891</v>
      </c>
      <c r="B1011" t="s">
        <v>96</v>
      </c>
      <c r="C1011" s="1">
        <v>44098</v>
      </c>
      <c r="D1011" s="1">
        <v>44105</v>
      </c>
      <c r="F1011" t="s">
        <v>97</v>
      </c>
      <c r="G1011" t="str">
        <f>"IT Biz Talk Developer"</f>
        <v>IT Biz Talk Developer</v>
      </c>
      <c r="H1011" t="s">
        <v>12169</v>
      </c>
      <c r="I1011" t="s">
        <v>124</v>
      </c>
      <c r="J1011" t="s">
        <v>98</v>
      </c>
      <c r="K1011" s="1">
        <v>44280</v>
      </c>
      <c r="L1011" s="1">
        <v>45375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 t="s">
        <v>10892</v>
      </c>
      <c r="U1011" t="str">
        <f>""</f>
        <v/>
      </c>
      <c r="V1011" t="s">
        <v>10893</v>
      </c>
      <c r="W1011" t="str">
        <f>""</f>
        <v/>
      </c>
      <c r="X1011" t="s">
        <v>2714</v>
      </c>
      <c r="Y1011" t="s">
        <v>127</v>
      </c>
      <c r="Z1011" s="3">
        <v>17112</v>
      </c>
      <c r="AA1011" t="s">
        <v>101</v>
      </c>
      <c r="AC1011" s="4" t="str">
        <f>"+17172557841"</f>
        <v>+17172557841</v>
      </c>
      <c r="AE1011" t="str">
        <f>"42343"</f>
        <v>42343</v>
      </c>
      <c r="AF1011" t="s">
        <v>4226</v>
      </c>
      <c r="AG1011" t="s">
        <v>6164</v>
      </c>
      <c r="AI1011" t="s">
        <v>5183</v>
      </c>
      <c r="AJ1011" t="s">
        <v>10893</v>
      </c>
      <c r="AK1011" t="str">
        <f>""</f>
        <v/>
      </c>
      <c r="AL1011" t="s">
        <v>2714</v>
      </c>
      <c r="AM1011" t="s">
        <v>127</v>
      </c>
      <c r="AN1011" s="3">
        <v>17112</v>
      </c>
      <c r="AO1011" t="s">
        <v>101</v>
      </c>
      <c r="AQ1011" t="str">
        <f>"+17172557841"</f>
        <v>+17172557841</v>
      </c>
      <c r="AS1011" t="s">
        <v>10894</v>
      </c>
      <c r="AT1011" t="s">
        <v>107</v>
      </c>
      <c r="AU1011" t="str">
        <f>"Elliott"</f>
        <v>Elliott</v>
      </c>
      <c r="AV1011" t="str">
        <f>"Kendra"</f>
        <v>Kendra</v>
      </c>
      <c r="AW1011" t="str">
        <f>"S"</f>
        <v>S</v>
      </c>
      <c r="AX1011" t="str">
        <f>"2215 Millennium Way"</f>
        <v>2215 Millennium Way</v>
      </c>
      <c r="AY1011" t="str">
        <f>""</f>
        <v/>
      </c>
      <c r="AZ1011" t="str">
        <f>"Enola"</f>
        <v>Enola</v>
      </c>
      <c r="BA1011" t="str">
        <f>"PA"</f>
        <v>PA</v>
      </c>
      <c r="BB1011" s="3">
        <v>17025</v>
      </c>
      <c r="BC1011" t="str">
        <f t="shared" si="78"/>
        <v>UNITED STATES OF AMERICA</v>
      </c>
      <c r="BD1011" t="str">
        <f>""</f>
        <v/>
      </c>
      <c r="BE1011" t="str">
        <f>"+17175065207"</f>
        <v>+17175065207</v>
      </c>
      <c r="BF1011" t="str">
        <f>""</f>
        <v/>
      </c>
      <c r="BG1011" t="str">
        <f>"stacy.bowerman@immigrationsupport.com"</f>
        <v>stacy.bowerman@immigrationsupport.com</v>
      </c>
      <c r="BH1011" t="str">
        <f>"Law Offices of Kendra S. Elliott, Esq."</f>
        <v>Law Offices of Kendra S. Elliott, Esq.</v>
      </c>
      <c r="BI1011" t="str">
        <f>"PA"</f>
        <v>PA</v>
      </c>
      <c r="BJ1011" t="str">
        <f>"Supreme Court of Pennsylvania"</f>
        <v>Supreme Court of Pennsylvania</v>
      </c>
      <c r="BK1011">
        <v>1</v>
      </c>
      <c r="BL1011" t="s">
        <v>102</v>
      </c>
      <c r="BM1011" t="str">
        <f>""</f>
        <v/>
      </c>
      <c r="BN1011" t="s">
        <v>10895</v>
      </c>
      <c r="BP1011" t="s">
        <v>2714</v>
      </c>
      <c r="BQ1011" t="s">
        <v>2715</v>
      </c>
      <c r="BR1011" t="s">
        <v>127</v>
      </c>
      <c r="BS1011" s="5">
        <v>17112</v>
      </c>
      <c r="BT1011" s="2">
        <v>98654</v>
      </c>
      <c r="BU1011" s="2">
        <v>104901.68</v>
      </c>
      <c r="BV1011" t="s">
        <v>105</v>
      </c>
      <c r="BW1011" s="2">
        <v>98654</v>
      </c>
      <c r="BX1011" t="s">
        <v>105</v>
      </c>
      <c r="BZ1011" t="s">
        <v>159</v>
      </c>
      <c r="CA1011" t="str">
        <f t="shared" si="77"/>
        <v>7/1/2020 - 6/30/2021</v>
      </c>
      <c r="CF1011">
        <v>2</v>
      </c>
      <c r="CG1011" t="s">
        <v>98</v>
      </c>
      <c r="CH1011" t="s">
        <v>206</v>
      </c>
      <c r="CI1011" t="s">
        <v>206</v>
      </c>
      <c r="CL1011" t="s">
        <v>108</v>
      </c>
      <c r="CM1011" t="s">
        <v>109</v>
      </c>
      <c r="CN1011" t="str">
        <f>""</f>
        <v/>
      </c>
      <c r="CO1011" t="str">
        <f>""</f>
        <v/>
      </c>
      <c r="CP1011" t="str">
        <f>""</f>
        <v/>
      </c>
      <c r="CQ1011" t="str">
        <f>""</f>
        <v/>
      </c>
    </row>
    <row r="1012" spans="1:96" x14ac:dyDescent="0.2">
      <c r="A1012" t="s">
        <v>10897</v>
      </c>
      <c r="B1012" t="s">
        <v>96</v>
      </c>
      <c r="C1012" s="1">
        <v>44098</v>
      </c>
      <c r="D1012" s="1">
        <v>44105</v>
      </c>
      <c r="F1012" t="s">
        <v>97</v>
      </c>
      <c r="G1012" t="str">
        <f>"Product Manager"</f>
        <v>Product Manager</v>
      </c>
      <c r="H1012" t="s">
        <v>12168</v>
      </c>
      <c r="I1012" t="s">
        <v>367</v>
      </c>
      <c r="J1012" t="s">
        <v>98</v>
      </c>
      <c r="K1012" s="1">
        <v>44105</v>
      </c>
      <c r="L1012" s="1">
        <v>45199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8667</v>
      </c>
      <c r="U1012" t="str">
        <f>""</f>
        <v/>
      </c>
      <c r="V1012" t="s">
        <v>8668</v>
      </c>
      <c r="W1012" t="str">
        <f>""</f>
        <v/>
      </c>
      <c r="X1012" t="s">
        <v>140</v>
      </c>
      <c r="Y1012" t="s">
        <v>141</v>
      </c>
      <c r="Z1012" s="3">
        <v>94103</v>
      </c>
      <c r="AA1012" t="s">
        <v>101</v>
      </c>
      <c r="AC1012" s="4" t="str">
        <f>"+14157774868"</f>
        <v>+14157774868</v>
      </c>
      <c r="AE1012" t="str">
        <f>"541511"</f>
        <v>541511</v>
      </c>
      <c r="AF1012" t="s">
        <v>1725</v>
      </c>
      <c r="AG1012" t="s">
        <v>1726</v>
      </c>
      <c r="AI1012" t="s">
        <v>1111</v>
      </c>
      <c r="AJ1012" t="s">
        <v>1727</v>
      </c>
      <c r="AK1012" t="str">
        <f>""</f>
        <v/>
      </c>
      <c r="AL1012" t="s">
        <v>765</v>
      </c>
      <c r="AM1012" t="s">
        <v>114</v>
      </c>
      <c r="AN1012" s="3">
        <v>78730</v>
      </c>
      <c r="AO1012" t="s">
        <v>101</v>
      </c>
      <c r="AQ1012" t="str">
        <f>"+15128133261"</f>
        <v>+15128133261</v>
      </c>
      <c r="AS1012" t="s">
        <v>1728</v>
      </c>
      <c r="AT1012" t="s">
        <v>107</v>
      </c>
      <c r="AU1012" t="str">
        <f>"MCLAUGHLIN"</f>
        <v>MCLAUGHLIN</v>
      </c>
      <c r="AV1012" t="str">
        <f>"KYLE"</f>
        <v>KYLE</v>
      </c>
      <c r="AW1012" t="str">
        <f>"R"</f>
        <v>R</v>
      </c>
      <c r="AX1012" t="str">
        <f>"301 CONGRESS AVE. "</f>
        <v xml:space="preserve">301 CONGRESS AVE. </v>
      </c>
      <c r="AY1012" t="str">
        <f>"SUITE 1150"</f>
        <v>SUITE 1150</v>
      </c>
      <c r="AZ1012" t="str">
        <f>"AUSTIN"</f>
        <v>AUSTIN</v>
      </c>
      <c r="BA1012" t="str">
        <f>"TX"</f>
        <v>TX</v>
      </c>
      <c r="BB1012" s="3">
        <v>78701</v>
      </c>
      <c r="BC1012" t="str">
        <f t="shared" si="78"/>
        <v>UNITED STATES OF AMERICA</v>
      </c>
      <c r="BD1012" t="str">
        <f>""</f>
        <v/>
      </c>
      <c r="BE1012" t="str">
        <f>"+15123444700"</f>
        <v>+15123444700</v>
      </c>
      <c r="BF1012" t="str">
        <f>""</f>
        <v/>
      </c>
      <c r="BG1012" t="str">
        <f>"claudia.garza@ogletree.com"</f>
        <v>claudia.garza@ogletree.com</v>
      </c>
      <c r="BH1012" t="str">
        <f>"Ogletree, Deakins, Nash, Smoak &amp; Stewart, P.C."</f>
        <v>Ogletree, Deakins, Nash, Smoak &amp; Stewart, P.C.</v>
      </c>
      <c r="BI1012" t="str">
        <f>"TX"</f>
        <v>TX</v>
      </c>
      <c r="BJ1012" t="str">
        <f>"SUPREME COURT OF TEXAS"</f>
        <v>SUPREME COURT OF TEXAS</v>
      </c>
      <c r="BK1012">
        <v>1</v>
      </c>
      <c r="BL1012" t="s">
        <v>102</v>
      </c>
      <c r="BM1012" t="str">
        <f>""</f>
        <v/>
      </c>
      <c r="BN1012" t="s">
        <v>3640</v>
      </c>
      <c r="BP1012" t="s">
        <v>140</v>
      </c>
      <c r="BQ1012" t="s">
        <v>147</v>
      </c>
      <c r="BR1012" t="s">
        <v>141</v>
      </c>
      <c r="BS1012" s="5">
        <v>94103</v>
      </c>
      <c r="BT1012" s="2">
        <v>130000</v>
      </c>
      <c r="BV1012" t="s">
        <v>105</v>
      </c>
      <c r="BW1012" s="2">
        <v>95555</v>
      </c>
      <c r="BX1012" t="s">
        <v>105</v>
      </c>
      <c r="BZ1012" t="s">
        <v>167</v>
      </c>
      <c r="CA1012" t="str">
        <f t="shared" si="77"/>
        <v>7/1/2020 - 6/30/2021</v>
      </c>
      <c r="CF1012">
        <v>1</v>
      </c>
      <c r="CG1012" t="s">
        <v>98</v>
      </c>
      <c r="CH1012" t="s">
        <v>206</v>
      </c>
      <c r="CI1012" t="s">
        <v>206</v>
      </c>
      <c r="CL1012" t="s">
        <v>108</v>
      </c>
      <c r="CM1012" t="s">
        <v>109</v>
      </c>
      <c r="CN1012" t="str">
        <f>""</f>
        <v/>
      </c>
      <c r="CO1012" t="str">
        <f>""</f>
        <v/>
      </c>
      <c r="CP1012" t="str">
        <f>""</f>
        <v/>
      </c>
      <c r="CQ1012" t="str">
        <f>""</f>
        <v/>
      </c>
    </row>
    <row r="1013" spans="1:96" x14ac:dyDescent="0.2">
      <c r="A1013" t="s">
        <v>10898</v>
      </c>
      <c r="B1013" t="s">
        <v>96</v>
      </c>
      <c r="C1013" s="1">
        <v>44098</v>
      </c>
      <c r="D1013" s="1">
        <v>44105</v>
      </c>
      <c r="F1013" t="s">
        <v>97</v>
      </c>
      <c r="G1013" t="str">
        <f>"ASSOCIATE, SOFTWARE ENGINEERING"</f>
        <v>ASSOCIATE, SOFTWARE ENGINEERING</v>
      </c>
      <c r="H1013" t="s">
        <v>12169</v>
      </c>
      <c r="I1013" t="s">
        <v>124</v>
      </c>
      <c r="J1013" t="s">
        <v>98</v>
      </c>
      <c r="K1013" s="1">
        <v>44274</v>
      </c>
      <c r="L1013" s="1">
        <v>45369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 t="s">
        <v>1401</v>
      </c>
      <c r="U1013" t="str">
        <f>""</f>
        <v/>
      </c>
      <c r="V1013" t="s">
        <v>1402</v>
      </c>
      <c r="W1013" t="str">
        <f>"20TH FLOOR, IL 1-0043"</f>
        <v>20TH FLOOR, IL 1-0043</v>
      </c>
      <c r="X1013" t="s">
        <v>843</v>
      </c>
      <c r="Y1013" t="s">
        <v>345</v>
      </c>
      <c r="Z1013" s="3">
        <v>60603</v>
      </c>
      <c r="AA1013" t="s">
        <v>101</v>
      </c>
      <c r="AC1013" s="4" t="str">
        <f>"+13127322773"</f>
        <v>+13127322773</v>
      </c>
      <c r="AE1013" t="str">
        <f>"551112"</f>
        <v>551112</v>
      </c>
      <c r="AF1013" t="s">
        <v>2405</v>
      </c>
      <c r="AG1013" t="s">
        <v>3177</v>
      </c>
      <c r="AH1013" t="s">
        <v>1435</v>
      </c>
      <c r="AI1013" t="s">
        <v>1405</v>
      </c>
      <c r="AJ1013" t="s">
        <v>1402</v>
      </c>
      <c r="AK1013" t="str">
        <f>"20TH FLR., IL 1-0043"</f>
        <v>20TH FLR., IL 1-0043</v>
      </c>
      <c r="AL1013" t="s">
        <v>843</v>
      </c>
      <c r="AM1013" t="s">
        <v>345</v>
      </c>
      <c r="AN1013" s="3">
        <v>60603</v>
      </c>
      <c r="AO1013" t="s">
        <v>101</v>
      </c>
      <c r="AQ1013" t="str">
        <f>"+13127322773"</f>
        <v>+13127322773</v>
      </c>
      <c r="AS1013" t="s">
        <v>108</v>
      </c>
      <c r="AT1013" t="s">
        <v>107</v>
      </c>
      <c r="AU1013" t="str">
        <f>"GROBAN"</f>
        <v>GROBAN</v>
      </c>
      <c r="AV1013" t="str">
        <f>"MATTHEW"</f>
        <v>MATTHEW</v>
      </c>
      <c r="AW1013" t="str">
        <f>"S"</f>
        <v>S</v>
      </c>
      <c r="AX1013" t="str">
        <f>"8529 SIX FORKS ROAD"</f>
        <v>8529 SIX FORKS ROAD</v>
      </c>
      <c r="AY1013" t="str">
        <f>""</f>
        <v/>
      </c>
      <c r="AZ1013" t="str">
        <f>"RALEIGH"</f>
        <v>RALEIGH</v>
      </c>
      <c r="BA1013" t="str">
        <f>"NC"</f>
        <v>NC</v>
      </c>
      <c r="BB1013" s="3">
        <v>27615</v>
      </c>
      <c r="BC1013" t="str">
        <f t="shared" si="78"/>
        <v>UNITED STATES OF AMERICA</v>
      </c>
      <c r="BD1013" t="str">
        <f>""</f>
        <v/>
      </c>
      <c r="BE1013" t="str">
        <f>"+19197879700"</f>
        <v>+19197879700</v>
      </c>
      <c r="BF1013" t="str">
        <f>""</f>
        <v/>
      </c>
      <c r="BG1013" t="str">
        <f>"LILLY.STANLEY@OGLETREEDEAKINS.COM"</f>
        <v>LILLY.STANLEY@OGLETREEDEAKINS.COM</v>
      </c>
      <c r="BH1013" t="str">
        <f>"OGLETREE, DEAKINS, NASH, SMOAK AND STEWART, P.C."</f>
        <v>OGLETREE, DEAKINS, NASH, SMOAK AND STEWART, P.C.</v>
      </c>
      <c r="BI1013" t="str">
        <f>"PA"</f>
        <v>PA</v>
      </c>
      <c r="BJ1013" t="str">
        <f>"PENNSYLVANIA SUPREME COURT"</f>
        <v>PENNSYLVANIA SUPREME COURT</v>
      </c>
      <c r="BK1013">
        <v>1</v>
      </c>
      <c r="BL1013" t="s">
        <v>102</v>
      </c>
      <c r="BM1013" t="str">
        <f>""</f>
        <v/>
      </c>
      <c r="BN1013" t="s">
        <v>9391</v>
      </c>
      <c r="BP1013" t="s">
        <v>189</v>
      </c>
      <c r="BQ1013" t="s">
        <v>189</v>
      </c>
      <c r="BR1013" t="s">
        <v>190</v>
      </c>
      <c r="BS1013" s="5">
        <v>10017</v>
      </c>
      <c r="BT1013" s="2">
        <v>112000</v>
      </c>
      <c r="BV1013" t="s">
        <v>105</v>
      </c>
      <c r="BW1013" s="2">
        <v>100526</v>
      </c>
      <c r="BX1013" t="s">
        <v>105</v>
      </c>
      <c r="BZ1013" t="s">
        <v>167</v>
      </c>
      <c r="CA1013" t="str">
        <f t="shared" si="77"/>
        <v>7/1/2020 - 6/30/2021</v>
      </c>
      <c r="CF1013">
        <v>2</v>
      </c>
      <c r="CG1013" t="s">
        <v>98</v>
      </c>
      <c r="CH1013" t="s">
        <v>206</v>
      </c>
      <c r="CI1013" t="s">
        <v>206</v>
      </c>
      <c r="CL1013" t="s">
        <v>108</v>
      </c>
      <c r="CM1013" t="s">
        <v>109</v>
      </c>
      <c r="CN1013" t="str">
        <f>"GROBAN"</f>
        <v>GROBAN</v>
      </c>
      <c r="CO1013" t="str">
        <f>"MATTHEW"</f>
        <v>MATTHEW</v>
      </c>
      <c r="CP1013" t="str">
        <f>"S"</f>
        <v>S</v>
      </c>
      <c r="CQ1013" t="str">
        <f>"OGLETREE, DEAKINS, NASH, SMOAK &amp; STEWART, P.C."</f>
        <v>OGLETREE, DEAKINS, NASH, SMOAK &amp; STEWART, P.C.</v>
      </c>
      <c r="CR1013" t="s">
        <v>1730</v>
      </c>
    </row>
    <row r="1014" spans="1:96" x14ac:dyDescent="0.2">
      <c r="A1014" t="s">
        <v>10906</v>
      </c>
      <c r="B1014" t="s">
        <v>96</v>
      </c>
      <c r="C1014" s="1">
        <v>44098</v>
      </c>
      <c r="D1014" s="1">
        <v>44105</v>
      </c>
      <c r="F1014" t="s">
        <v>97</v>
      </c>
      <c r="G1014" t="str">
        <f>"Project Lead Application Software Engineers (Core Systems)"</f>
        <v>Project Lead Application Software Engineers (Core Systems)</v>
      </c>
      <c r="H1014" t="s">
        <v>12169</v>
      </c>
      <c r="I1014" t="s">
        <v>124</v>
      </c>
      <c r="J1014" t="s">
        <v>98</v>
      </c>
      <c r="K1014" s="1">
        <v>44102</v>
      </c>
      <c r="L1014" s="1">
        <v>45190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 t="s">
        <v>3313</v>
      </c>
      <c r="U1014" t="str">
        <f>""</f>
        <v/>
      </c>
      <c r="V1014" t="s">
        <v>3314</v>
      </c>
      <c r="W1014" t="str">
        <f>""</f>
        <v/>
      </c>
      <c r="X1014" t="s">
        <v>746</v>
      </c>
      <c r="Y1014" t="s">
        <v>374</v>
      </c>
      <c r="Z1014" s="3">
        <v>63105</v>
      </c>
      <c r="AA1014" t="s">
        <v>101</v>
      </c>
      <c r="AC1014" s="4" t="str">
        <f>"+13145056689"</f>
        <v>+13145056689</v>
      </c>
      <c r="AE1014" t="str">
        <f>"524114"</f>
        <v>524114</v>
      </c>
      <c r="AF1014" t="s">
        <v>1698</v>
      </c>
      <c r="AG1014" t="s">
        <v>1022</v>
      </c>
      <c r="AI1014" t="s">
        <v>3315</v>
      </c>
      <c r="AJ1014" t="s">
        <v>3316</v>
      </c>
      <c r="AK1014" t="str">
        <f>""</f>
        <v/>
      </c>
      <c r="AL1014" t="s">
        <v>746</v>
      </c>
      <c r="AM1014" t="s">
        <v>374</v>
      </c>
      <c r="AN1014" s="3">
        <v>63105</v>
      </c>
      <c r="AO1014" t="s">
        <v>101</v>
      </c>
      <c r="AQ1014" t="str">
        <f>"+13145056689"</f>
        <v>+13145056689</v>
      </c>
      <c r="AS1014" t="s">
        <v>3317</v>
      </c>
      <c r="AT1014" t="s">
        <v>107</v>
      </c>
      <c r="AU1014" t="str">
        <f>"Schultz"</f>
        <v>Schultz</v>
      </c>
      <c r="AV1014" t="str">
        <f>"Warren"</f>
        <v>Warren</v>
      </c>
      <c r="AW1014" t="str">
        <f>"Michael"</f>
        <v>Michael</v>
      </c>
      <c r="AX1014" t="str">
        <f>"333 W. Wacker Drive"</f>
        <v>333 W. Wacker Drive</v>
      </c>
      <c r="AY1014" t="str">
        <f>"15th Floor"</f>
        <v>15th Floor</v>
      </c>
      <c r="AZ1014" t="str">
        <f>"Chicago"</f>
        <v>Chicago</v>
      </c>
      <c r="BA1014" t="str">
        <f>"IL"</f>
        <v>IL</v>
      </c>
      <c r="BB1014" s="3">
        <v>60606</v>
      </c>
      <c r="BC1014" t="str">
        <f t="shared" si="78"/>
        <v>UNITED STATES OF AMERICA</v>
      </c>
      <c r="BD1014" t="str">
        <f>""</f>
        <v/>
      </c>
      <c r="BE1014" t="str">
        <f>"+13122636101"</f>
        <v>+13122636101</v>
      </c>
      <c r="BF1014" t="str">
        <f>""</f>
        <v/>
      </c>
      <c r="BG1014" t="str">
        <f>"lmillis@Fragomen.com"</f>
        <v>lmillis@Fragomen.com</v>
      </c>
      <c r="BH1014" t="str">
        <f>"Fragomen Del Rey Bernsen &amp; Loewy LLP"</f>
        <v>Fragomen Del Rey Bernsen &amp; Loewy LLP</v>
      </c>
      <c r="BI1014" t="str">
        <f>"PA"</f>
        <v>PA</v>
      </c>
      <c r="BJ1014" t="str">
        <f>"Supreme Court"</f>
        <v>Supreme Court</v>
      </c>
      <c r="BK1014">
        <v>1</v>
      </c>
      <c r="BL1014" t="s">
        <v>102</v>
      </c>
      <c r="BM1014" t="str">
        <f>""</f>
        <v/>
      </c>
      <c r="BN1014" t="s">
        <v>9879</v>
      </c>
      <c r="BP1014" t="s">
        <v>746</v>
      </c>
      <c r="BQ1014" t="s">
        <v>1964</v>
      </c>
      <c r="BR1014" t="s">
        <v>374</v>
      </c>
      <c r="BS1014" s="5">
        <v>63117</v>
      </c>
      <c r="BT1014" s="2">
        <v>139050</v>
      </c>
      <c r="BV1014" t="s">
        <v>105</v>
      </c>
      <c r="BW1014" s="2">
        <v>113901</v>
      </c>
      <c r="BX1014" t="s">
        <v>105</v>
      </c>
      <c r="BZ1014" t="s">
        <v>159</v>
      </c>
      <c r="CA1014" t="str">
        <f t="shared" si="77"/>
        <v>7/1/2020 - 6/30/2021</v>
      </c>
      <c r="CF1014">
        <v>2</v>
      </c>
      <c r="CG1014" t="s">
        <v>98</v>
      </c>
      <c r="CH1014" t="s">
        <v>206</v>
      </c>
      <c r="CI1014" t="s">
        <v>206</v>
      </c>
      <c r="CL1014" t="s">
        <v>108</v>
      </c>
      <c r="CM1014" t="s">
        <v>109</v>
      </c>
      <c r="CN1014" t="str">
        <f>"Roback"</f>
        <v>Roback</v>
      </c>
      <c r="CO1014" t="str">
        <f>"Angela"</f>
        <v>Angela</v>
      </c>
      <c r="CP1014" t="str">
        <f>"L"</f>
        <v>L</v>
      </c>
      <c r="CQ1014" t="str">
        <f>"Fragomen, Del Rey, Bernsen &amp; Loewy, LLP"</f>
        <v>Fragomen, Del Rey, Bernsen &amp; Loewy, LLP</v>
      </c>
      <c r="CR1014" t="s">
        <v>3318</v>
      </c>
    </row>
    <row r="1015" spans="1:96" x14ac:dyDescent="0.2">
      <c r="A1015" t="s">
        <v>10912</v>
      </c>
      <c r="B1015" t="s">
        <v>96</v>
      </c>
      <c r="C1015" s="1">
        <v>44098</v>
      </c>
      <c r="D1015" s="1">
        <v>44105</v>
      </c>
      <c r="F1015" t="s">
        <v>97</v>
      </c>
      <c r="G1015" t="str">
        <f>"SENIOR SOFTWARE TESTING ENGINEER"</f>
        <v>SENIOR SOFTWARE TESTING ENGINEER</v>
      </c>
      <c r="H1015" t="s">
        <v>12168</v>
      </c>
      <c r="I1015" t="s">
        <v>319</v>
      </c>
      <c r="J1015" t="s">
        <v>98</v>
      </c>
      <c r="K1015" s="1">
        <v>44104</v>
      </c>
      <c r="L1015" s="1">
        <v>45198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 t="s">
        <v>548</v>
      </c>
      <c r="U1015" t="str">
        <f>""</f>
        <v/>
      </c>
      <c r="V1015" t="s">
        <v>549</v>
      </c>
      <c r="W1015" t="str">
        <f>"Suite 202"</f>
        <v>Suite 202</v>
      </c>
      <c r="X1015" t="s">
        <v>550</v>
      </c>
      <c r="Y1015" t="s">
        <v>127</v>
      </c>
      <c r="Z1015" s="3">
        <v>18940</v>
      </c>
      <c r="AA1015" t="s">
        <v>101</v>
      </c>
      <c r="AC1015" s="4" t="str">
        <f>"+12677599000"</f>
        <v>+12677599000</v>
      </c>
      <c r="AE1015" t="str">
        <f>"541511"</f>
        <v>541511</v>
      </c>
      <c r="AF1015" t="s">
        <v>551</v>
      </c>
      <c r="AG1015" t="s">
        <v>552</v>
      </c>
      <c r="AI1015" t="s">
        <v>553</v>
      </c>
      <c r="AJ1015" t="s">
        <v>549</v>
      </c>
      <c r="AK1015" t="str">
        <f>"Suite 202"</f>
        <v>Suite 202</v>
      </c>
      <c r="AL1015" t="s">
        <v>550</v>
      </c>
      <c r="AM1015" t="s">
        <v>127</v>
      </c>
      <c r="AN1015" s="3">
        <v>18940</v>
      </c>
      <c r="AO1015" t="s">
        <v>101</v>
      </c>
      <c r="AQ1015" t="str">
        <f>"+12677599000"</f>
        <v>+12677599000</v>
      </c>
      <c r="AS1015" t="s">
        <v>554</v>
      </c>
      <c r="AT1015" t="s">
        <v>107</v>
      </c>
      <c r="AU1015" t="str">
        <f>"Pack"</f>
        <v>Pack</v>
      </c>
      <c r="AV1015" t="str">
        <f>"James"</f>
        <v>James</v>
      </c>
      <c r="AW1015" t="str">
        <f>"Young Ho"</f>
        <v>Young Ho</v>
      </c>
      <c r="AX1015" t="str">
        <f>"18401 Von Karman Avenue"</f>
        <v>18401 Von Karman Avenue</v>
      </c>
      <c r="AY1015" t="str">
        <f>"Suite 255"</f>
        <v>Suite 255</v>
      </c>
      <c r="AZ1015" t="str">
        <f>"Irvine"</f>
        <v>Irvine</v>
      </c>
      <c r="BA1015" t="str">
        <f>"CA"</f>
        <v>CA</v>
      </c>
      <c r="BB1015" s="3">
        <v>92612</v>
      </c>
      <c r="BC1015" t="str">
        <f t="shared" si="78"/>
        <v>UNITED STATES OF AMERICA</v>
      </c>
      <c r="BD1015" t="str">
        <f>"N/A"</f>
        <v>N/A</v>
      </c>
      <c r="BE1015" t="str">
        <f>"+19492610209"</f>
        <v>+19492610209</v>
      </c>
      <c r="BF1015" t="str">
        <f>""</f>
        <v/>
      </c>
      <c r="BG1015" t="str">
        <f>"EPAMNIV@fragomen.com"</f>
        <v>EPAMNIV@fragomen.com</v>
      </c>
      <c r="BH1015" t="str">
        <f>"Fragomen, Del Rey, Bernsen &amp; Loewy, LLP"</f>
        <v>Fragomen, Del Rey, Bernsen &amp; Loewy, LLP</v>
      </c>
      <c r="BI1015" t="str">
        <f>"CA"</f>
        <v>CA</v>
      </c>
      <c r="BJ1015" t="str">
        <f>"Supreme"</f>
        <v>Supreme</v>
      </c>
      <c r="BK1015">
        <v>1</v>
      </c>
      <c r="BL1015" t="s">
        <v>107</v>
      </c>
      <c r="BM1015" t="str">
        <f>"MASTERCARD"</f>
        <v>MASTERCARD</v>
      </c>
      <c r="BN1015" t="s">
        <v>372</v>
      </c>
      <c r="BP1015" t="s">
        <v>3030</v>
      </c>
      <c r="BQ1015" t="s">
        <v>373</v>
      </c>
      <c r="BR1015" t="s">
        <v>374</v>
      </c>
      <c r="BS1015" s="5">
        <v>63368</v>
      </c>
      <c r="BT1015" s="2">
        <v>93350</v>
      </c>
      <c r="BV1015" t="s">
        <v>105</v>
      </c>
      <c r="BW1015" s="2">
        <v>66602</v>
      </c>
      <c r="BX1015" t="s">
        <v>105</v>
      </c>
      <c r="BZ1015" t="s">
        <v>167</v>
      </c>
      <c r="CA1015" t="str">
        <f t="shared" si="77"/>
        <v>7/1/2020 - 6/30/2021</v>
      </c>
      <c r="CF1015">
        <v>2</v>
      </c>
      <c r="CG1015" t="s">
        <v>98</v>
      </c>
      <c r="CH1015" t="s">
        <v>206</v>
      </c>
      <c r="CI1015" t="s">
        <v>206</v>
      </c>
      <c r="CL1015" t="s">
        <v>108</v>
      </c>
      <c r="CM1015" t="s">
        <v>109</v>
      </c>
      <c r="CN1015" t="str">
        <f>"McCain"</f>
        <v>McCain</v>
      </c>
      <c r="CO1015" t="str">
        <f>"Gabriela"</f>
        <v>Gabriela</v>
      </c>
      <c r="CP1015" t="str">
        <f>""</f>
        <v/>
      </c>
      <c r="CQ1015" t="str">
        <f>"Fragomen, Del Rey, Bernsen &amp; Loewy LLP"</f>
        <v>Fragomen, Del Rey, Bernsen &amp; Loewy LLP</v>
      </c>
      <c r="CR1015" t="s">
        <v>557</v>
      </c>
    </row>
    <row r="1016" spans="1:96" x14ac:dyDescent="0.2">
      <c r="A1016" t="s">
        <v>10913</v>
      </c>
      <c r="B1016" t="s">
        <v>96</v>
      </c>
      <c r="C1016" s="1">
        <v>44098</v>
      </c>
      <c r="D1016" s="1">
        <v>44105</v>
      </c>
      <c r="F1016" t="s">
        <v>97</v>
      </c>
      <c r="G1016" t="str">
        <f>"Senior Data Management Analyst"</f>
        <v>Senior Data Management Analyst</v>
      </c>
      <c r="H1016" t="s">
        <v>12168</v>
      </c>
      <c r="I1016" t="s">
        <v>354</v>
      </c>
      <c r="J1016" t="s">
        <v>98</v>
      </c>
      <c r="K1016" s="1">
        <v>44123</v>
      </c>
      <c r="L1016" s="1">
        <v>45217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 t="s">
        <v>10914</v>
      </c>
      <c r="U1016" t="str">
        <f>""</f>
        <v/>
      </c>
      <c r="V1016" t="s">
        <v>5430</v>
      </c>
      <c r="W1016" t="str">
        <f>"Suite 105"</f>
        <v>Suite 105</v>
      </c>
      <c r="X1016" t="s">
        <v>765</v>
      </c>
      <c r="Y1016" t="s">
        <v>114</v>
      </c>
      <c r="Z1016" s="3">
        <v>78750</v>
      </c>
      <c r="AA1016" t="s">
        <v>101</v>
      </c>
      <c r="AC1016" s="4" t="str">
        <f>"+18176826055"</f>
        <v>+18176826055</v>
      </c>
      <c r="AE1016" t="str">
        <f>"522320"</f>
        <v>522320</v>
      </c>
      <c r="AF1016" t="s">
        <v>5422</v>
      </c>
      <c r="AG1016" t="s">
        <v>1662</v>
      </c>
      <c r="AI1016" t="s">
        <v>351</v>
      </c>
      <c r="AJ1016" t="s">
        <v>5430</v>
      </c>
      <c r="AK1016" t="str">
        <f>"Suite 105"</f>
        <v>Suite 105</v>
      </c>
      <c r="AL1016" t="s">
        <v>765</v>
      </c>
      <c r="AM1016" t="s">
        <v>114</v>
      </c>
      <c r="AN1016" s="3">
        <v>78750</v>
      </c>
      <c r="AO1016" t="s">
        <v>101</v>
      </c>
      <c r="AQ1016" t="str">
        <f>"+18176826055"</f>
        <v>+18176826055</v>
      </c>
      <c r="AS1016" t="s">
        <v>8562</v>
      </c>
      <c r="AT1016" t="s">
        <v>107</v>
      </c>
      <c r="AU1016" t="str">
        <f>"Bolhuis"</f>
        <v>Bolhuis</v>
      </c>
      <c r="AV1016" t="str">
        <f>"Amanda"</f>
        <v>Amanda</v>
      </c>
      <c r="AW1016" t="str">
        <f>"Sue"</f>
        <v>Sue</v>
      </c>
      <c r="AX1016" t="str">
        <f>"230 W. Monroe Street"</f>
        <v>230 W. Monroe Street</v>
      </c>
      <c r="AY1016" t="str">
        <f>"Suite 2800"</f>
        <v>Suite 2800</v>
      </c>
      <c r="AZ1016" t="str">
        <f>"Chicago"</f>
        <v>Chicago</v>
      </c>
      <c r="BA1016" t="str">
        <f>"IL"</f>
        <v>IL</v>
      </c>
      <c r="BB1016" s="3">
        <v>60606</v>
      </c>
      <c r="BC1016" t="str">
        <f t="shared" si="78"/>
        <v>UNITED STATES OF AMERICA</v>
      </c>
      <c r="BD1016" t="str">
        <f>""</f>
        <v/>
      </c>
      <c r="BE1016" t="str">
        <f>"+13127226300"</f>
        <v>+13127226300</v>
      </c>
      <c r="BF1016" t="str">
        <f>""</f>
        <v/>
      </c>
      <c r="BG1016" t="str">
        <f>"gov@giafirm.com"</f>
        <v>gov@giafirm.com</v>
      </c>
      <c r="BH1016" t="str">
        <f>"Global Immigration Associates, P.C."</f>
        <v>Global Immigration Associates, P.C.</v>
      </c>
      <c r="BI1016" t="str">
        <f>"IL"</f>
        <v>IL</v>
      </c>
      <c r="BJ1016" t="str">
        <f>"Supreme Court "</f>
        <v xml:space="preserve">Supreme Court </v>
      </c>
      <c r="BK1016">
        <v>1</v>
      </c>
      <c r="BL1016" t="s">
        <v>102</v>
      </c>
      <c r="BM1016" t="str">
        <f>""</f>
        <v/>
      </c>
      <c r="BN1016" t="s">
        <v>10915</v>
      </c>
      <c r="BO1016" t="s">
        <v>2053</v>
      </c>
      <c r="BP1016" t="s">
        <v>765</v>
      </c>
      <c r="BQ1016" t="s">
        <v>668</v>
      </c>
      <c r="BR1016" t="s">
        <v>114</v>
      </c>
      <c r="BS1016" s="5">
        <v>78750</v>
      </c>
      <c r="BT1016" s="2">
        <v>105000</v>
      </c>
      <c r="BV1016" t="s">
        <v>105</v>
      </c>
      <c r="BW1016" s="2">
        <v>102606</v>
      </c>
      <c r="BX1016" t="s">
        <v>105</v>
      </c>
      <c r="BZ1016" t="s">
        <v>159</v>
      </c>
      <c r="CA1016" t="str">
        <f t="shared" si="77"/>
        <v>7/1/2020 - 6/30/2021</v>
      </c>
      <c r="CF1016">
        <v>2</v>
      </c>
      <c r="CG1016" t="s">
        <v>98</v>
      </c>
      <c r="CH1016" t="s">
        <v>206</v>
      </c>
      <c r="CI1016" t="s">
        <v>206</v>
      </c>
      <c r="CL1016" t="s">
        <v>108</v>
      </c>
      <c r="CM1016" t="s">
        <v>109</v>
      </c>
      <c r="CN1016" t="str">
        <f>""</f>
        <v/>
      </c>
      <c r="CO1016" t="str">
        <f>""</f>
        <v/>
      </c>
      <c r="CP1016" t="str">
        <f>""</f>
        <v/>
      </c>
      <c r="CQ1016" t="str">
        <f>""</f>
        <v/>
      </c>
    </row>
    <row r="1017" spans="1:96" x14ac:dyDescent="0.2">
      <c r="A1017" t="s">
        <v>10916</v>
      </c>
      <c r="B1017" t="s">
        <v>96</v>
      </c>
      <c r="C1017" s="1">
        <v>44098</v>
      </c>
      <c r="D1017" s="1">
        <v>44105</v>
      </c>
      <c r="F1017" t="s">
        <v>97</v>
      </c>
      <c r="G1017" t="str">
        <f>"Business Unit Manager"</f>
        <v>Business Unit Manager</v>
      </c>
      <c r="H1017" t="s">
        <v>12171</v>
      </c>
      <c r="I1017" t="s">
        <v>2140</v>
      </c>
      <c r="J1017" t="s">
        <v>98</v>
      </c>
      <c r="K1017" s="1">
        <v>44102</v>
      </c>
      <c r="L1017" s="1">
        <v>45196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 t="s">
        <v>5045</v>
      </c>
      <c r="U1017" t="str">
        <f>""</f>
        <v/>
      </c>
      <c r="V1017" t="s">
        <v>5046</v>
      </c>
      <c r="W1017" t="str">
        <f>""</f>
        <v/>
      </c>
      <c r="X1017" t="s">
        <v>3680</v>
      </c>
      <c r="Y1017" t="s">
        <v>577</v>
      </c>
      <c r="Z1017" s="3">
        <v>33716</v>
      </c>
      <c r="AA1017" t="s">
        <v>101</v>
      </c>
      <c r="AC1017" s="4" t="str">
        <f>"+17278033103"</f>
        <v>+17278033103</v>
      </c>
      <c r="AE1017" t="str">
        <f>"334418"</f>
        <v>334418</v>
      </c>
      <c r="AF1017" t="s">
        <v>5047</v>
      </c>
      <c r="AG1017" t="s">
        <v>1182</v>
      </c>
      <c r="AH1017" t="s">
        <v>927</v>
      </c>
      <c r="AI1017" t="s">
        <v>3629</v>
      </c>
      <c r="AJ1017" t="s">
        <v>5046</v>
      </c>
      <c r="AK1017" t="str">
        <f>""</f>
        <v/>
      </c>
      <c r="AL1017" t="s">
        <v>3680</v>
      </c>
      <c r="AM1017" t="s">
        <v>577</v>
      </c>
      <c r="AN1017" s="3">
        <v>33716</v>
      </c>
      <c r="AO1017" t="s">
        <v>101</v>
      </c>
      <c r="AQ1017" t="str">
        <f>"+17278033103"</f>
        <v>+17278033103</v>
      </c>
      <c r="AS1017" t="s">
        <v>5048</v>
      </c>
      <c r="AT1017" t="s">
        <v>107</v>
      </c>
      <c r="AU1017" t="str">
        <f>"Hulme"</f>
        <v>Hulme</v>
      </c>
      <c r="AV1017" t="str">
        <f>"Randall"</f>
        <v>Randall</v>
      </c>
      <c r="AW1017" t="str">
        <f>"K"</f>
        <v>K</v>
      </c>
      <c r="AX1017" t="str">
        <f>"5080 Spectrum Drive"</f>
        <v>5080 Spectrum Drive</v>
      </c>
      <c r="AY1017" t="str">
        <f>"Suite 850W"</f>
        <v>Suite 850W</v>
      </c>
      <c r="AZ1017" t="str">
        <f>"Addison"</f>
        <v>Addison</v>
      </c>
      <c r="BA1017" t="str">
        <f>"TX"</f>
        <v>TX</v>
      </c>
      <c r="BB1017" s="3">
        <v>75001</v>
      </c>
      <c r="BC1017" t="str">
        <f t="shared" si="78"/>
        <v>UNITED STATES OF AMERICA</v>
      </c>
      <c r="BD1017" t="str">
        <f>""</f>
        <v/>
      </c>
      <c r="BE1017" t="str">
        <f>"+19722336646"</f>
        <v>+19722336646</v>
      </c>
      <c r="BF1017" t="str">
        <f>""</f>
        <v/>
      </c>
      <c r="BG1017" t="str">
        <f>"rhulme@fragomen.com"</f>
        <v>rhulme@fragomen.com</v>
      </c>
      <c r="BH1017" t="str">
        <f>"Fragomen, Del Rey, Bernsen &amp; Loewy, LLP"</f>
        <v>Fragomen, Del Rey, Bernsen &amp; Loewy, LLP</v>
      </c>
      <c r="BI1017" t="str">
        <f>"DC"</f>
        <v>DC</v>
      </c>
      <c r="BJ1017" t="str">
        <f>"Court of Appeals"</f>
        <v>Court of Appeals</v>
      </c>
      <c r="BK1017">
        <v>1</v>
      </c>
      <c r="BL1017" t="s">
        <v>102</v>
      </c>
      <c r="BM1017" t="str">
        <f>""</f>
        <v/>
      </c>
      <c r="BN1017" t="s">
        <v>10917</v>
      </c>
      <c r="BP1017" t="s">
        <v>1943</v>
      </c>
      <c r="BQ1017" t="s">
        <v>957</v>
      </c>
      <c r="BR1017" t="s">
        <v>370</v>
      </c>
      <c r="BS1017" s="5">
        <v>41042</v>
      </c>
      <c r="BT1017" s="2">
        <v>150000</v>
      </c>
      <c r="BV1017" t="s">
        <v>105</v>
      </c>
      <c r="BW1017" s="2">
        <v>97656</v>
      </c>
      <c r="BX1017" t="s">
        <v>105</v>
      </c>
      <c r="BZ1017" t="s">
        <v>191</v>
      </c>
      <c r="CA1017" t="str">
        <f t="shared" si="77"/>
        <v>7/1/2020 - 6/30/2021</v>
      </c>
      <c r="CF1017">
        <v>3</v>
      </c>
      <c r="CG1017" t="s">
        <v>98</v>
      </c>
      <c r="CH1017" t="s">
        <v>206</v>
      </c>
      <c r="CI1017" t="s">
        <v>206</v>
      </c>
      <c r="CL1017" t="s">
        <v>108</v>
      </c>
      <c r="CM1017" t="s">
        <v>109</v>
      </c>
      <c r="CN1017" t="str">
        <f>""</f>
        <v/>
      </c>
      <c r="CO1017" t="str">
        <f>""</f>
        <v/>
      </c>
      <c r="CP1017" t="str">
        <f>""</f>
        <v/>
      </c>
      <c r="CQ1017" t="str">
        <f>""</f>
        <v/>
      </c>
    </row>
    <row r="1018" spans="1:96" x14ac:dyDescent="0.2">
      <c r="A1018" t="s">
        <v>10922</v>
      </c>
      <c r="B1018" t="s">
        <v>96</v>
      </c>
      <c r="C1018" s="1">
        <v>44098</v>
      </c>
      <c r="D1018" s="1">
        <v>44105</v>
      </c>
      <c r="F1018" t="s">
        <v>97</v>
      </c>
      <c r="G1018" t="str">
        <f>"Manager, Business Operations"</f>
        <v>Manager, Business Operations</v>
      </c>
      <c r="H1018" t="s">
        <v>12182</v>
      </c>
      <c r="I1018" t="s">
        <v>168</v>
      </c>
      <c r="J1018" t="s">
        <v>98</v>
      </c>
      <c r="K1018" s="1">
        <v>44109</v>
      </c>
      <c r="L1018" s="1">
        <v>45203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2834</v>
      </c>
      <c r="U1018" t="str">
        <f>""</f>
        <v/>
      </c>
      <c r="V1018" t="s">
        <v>2120</v>
      </c>
      <c r="W1018" t="str">
        <f>""</f>
        <v/>
      </c>
      <c r="X1018" t="s">
        <v>671</v>
      </c>
      <c r="Y1018" t="s">
        <v>141</v>
      </c>
      <c r="Z1018" s="3">
        <v>94085</v>
      </c>
      <c r="AA1018" t="s">
        <v>101</v>
      </c>
      <c r="AC1018" s="4" t="str">
        <f>"+16506873600"</f>
        <v>+16506873600</v>
      </c>
      <c r="AE1018" t="str">
        <f>"518210"</f>
        <v>518210</v>
      </c>
      <c r="AF1018" t="s">
        <v>2117</v>
      </c>
      <c r="AG1018" t="s">
        <v>2118</v>
      </c>
      <c r="AI1018" t="s">
        <v>2119</v>
      </c>
      <c r="AJ1018" t="s">
        <v>2120</v>
      </c>
      <c r="AK1018" t="str">
        <f>""</f>
        <v/>
      </c>
      <c r="AL1018" t="s">
        <v>671</v>
      </c>
      <c r="AM1018" t="s">
        <v>141</v>
      </c>
      <c r="AN1018" s="3">
        <v>94085</v>
      </c>
      <c r="AO1018" t="s">
        <v>101</v>
      </c>
      <c r="AQ1018" t="str">
        <f>"+16506873600"</f>
        <v>+16506873600</v>
      </c>
      <c r="AS1018" t="s">
        <v>2121</v>
      </c>
      <c r="AT1018" t="s">
        <v>107</v>
      </c>
      <c r="AU1018" t="str">
        <f>"Kivuvani"</f>
        <v>Kivuvani</v>
      </c>
      <c r="AV1018" t="str">
        <f>"Susan"</f>
        <v>Susan</v>
      </c>
      <c r="AW1018" t="str">
        <f>"Kalekye"</f>
        <v>Kalekye</v>
      </c>
      <c r="AX1018" t="str">
        <f>"2400 N Glenville Drive"</f>
        <v>2400 N Glenville Drive</v>
      </c>
      <c r="AY1018" t="str">
        <f>"Building A, Suite 100"</f>
        <v>Building A, Suite 100</v>
      </c>
      <c r="AZ1018" t="str">
        <f>"Richardson"</f>
        <v>Richardson</v>
      </c>
      <c r="BA1018" t="str">
        <f>"TX"</f>
        <v>TX</v>
      </c>
      <c r="BB1018" s="3">
        <v>75082</v>
      </c>
      <c r="BC1018" t="str">
        <f t="shared" si="78"/>
        <v>UNITED STATES OF AMERICA</v>
      </c>
      <c r="BD1018" t="str">
        <f>""</f>
        <v/>
      </c>
      <c r="BE1018" t="str">
        <f>"+14695052799"</f>
        <v>+14695052799</v>
      </c>
      <c r="BF1018" t="str">
        <f>""</f>
        <v/>
      </c>
      <c r="BG1018" t="str">
        <f>"edelacruz@balglobal.com"</f>
        <v>edelacruz@balglobal.com</v>
      </c>
      <c r="BH1018" t="str">
        <f>"Berry Appleman &amp; Leiden LLP"</f>
        <v>Berry Appleman &amp; Leiden LLP</v>
      </c>
      <c r="BI1018" t="str">
        <f>"MO"</f>
        <v>MO</v>
      </c>
      <c r="BJ1018" t="str">
        <f>"Supreme Court of Missouri"</f>
        <v>Supreme Court of Missouri</v>
      </c>
      <c r="BK1018">
        <v>1</v>
      </c>
      <c r="BL1018" t="s">
        <v>102</v>
      </c>
      <c r="BM1018" t="str">
        <f>""</f>
        <v/>
      </c>
      <c r="BN1018" t="s">
        <v>10923</v>
      </c>
      <c r="BP1018" t="s">
        <v>229</v>
      </c>
      <c r="BQ1018" t="s">
        <v>230</v>
      </c>
      <c r="BR1018" t="s">
        <v>141</v>
      </c>
      <c r="BS1018" s="5">
        <v>94085</v>
      </c>
      <c r="BT1018" s="2">
        <v>138341</v>
      </c>
      <c r="BU1018" s="2">
        <v>214000</v>
      </c>
      <c r="BV1018" t="s">
        <v>105</v>
      </c>
      <c r="BW1018" s="2">
        <v>118955</v>
      </c>
      <c r="BX1018" t="s">
        <v>105</v>
      </c>
      <c r="BZ1018" t="s">
        <v>159</v>
      </c>
      <c r="CA1018" t="str">
        <f t="shared" si="77"/>
        <v>7/1/2020 - 6/30/2021</v>
      </c>
      <c r="CF1018">
        <v>2</v>
      </c>
      <c r="CG1018" t="s">
        <v>98</v>
      </c>
      <c r="CH1018" t="s">
        <v>206</v>
      </c>
      <c r="CI1018" t="s">
        <v>206</v>
      </c>
      <c r="CL1018" t="s">
        <v>108</v>
      </c>
      <c r="CM1018" t="s">
        <v>109</v>
      </c>
      <c r="CN1018" t="str">
        <f>""</f>
        <v/>
      </c>
      <c r="CO1018" t="str">
        <f>""</f>
        <v/>
      </c>
      <c r="CP1018" t="str">
        <f>""</f>
        <v/>
      </c>
      <c r="CQ1018" t="str">
        <f>""</f>
        <v/>
      </c>
    </row>
    <row r="1019" spans="1:96" x14ac:dyDescent="0.2">
      <c r="A1019" t="s">
        <v>10925</v>
      </c>
      <c r="B1019" t="s">
        <v>96</v>
      </c>
      <c r="C1019" s="1">
        <v>44098</v>
      </c>
      <c r="D1019" s="1">
        <v>44105</v>
      </c>
      <c r="F1019" t="s">
        <v>97</v>
      </c>
      <c r="G1019" t="str">
        <f>"Senior Application Developer"</f>
        <v>Senior Application Developer</v>
      </c>
      <c r="H1019" t="s">
        <v>12169</v>
      </c>
      <c r="I1019" t="s">
        <v>124</v>
      </c>
      <c r="J1019" t="s">
        <v>98</v>
      </c>
      <c r="K1019" s="1">
        <v>44130</v>
      </c>
      <c r="L1019" s="1">
        <v>45224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r="W1019" t="str">
        <f>""</f>
        <v/>
      </c>
      <c r="X1019" t="s">
        <v>5138</v>
      </c>
      <c r="Y1019" t="s">
        <v>127</v>
      </c>
      <c r="Z1019" s="3">
        <v>15317</v>
      </c>
      <c r="AA1019" t="s">
        <v>101</v>
      </c>
      <c r="AC1019" s="4" t="str">
        <f>"+17248204330"</f>
        <v>+17248204330</v>
      </c>
      <c r="AE1019" t="str">
        <f>"511210"</f>
        <v>511210</v>
      </c>
      <c r="AF1019" t="s">
        <v>10741</v>
      </c>
      <c r="AG1019" t="s">
        <v>152</v>
      </c>
      <c r="AH1019" t="s">
        <v>1435</v>
      </c>
      <c r="AI1019" t="s">
        <v>221</v>
      </c>
      <c r="AJ1019" t="s">
        <v>5377</v>
      </c>
      <c r="AK1019" t="str">
        <f>""</f>
        <v/>
      </c>
      <c r="AL1019" t="s">
        <v>5138</v>
      </c>
      <c r="AM1019" t="s">
        <v>127</v>
      </c>
      <c r="AN1019" s="3">
        <v>15317</v>
      </c>
      <c r="AO1019" t="s">
        <v>101</v>
      </c>
      <c r="AQ1019" t="str">
        <f>"+17248204330"</f>
        <v>+17248204330</v>
      </c>
      <c r="AS1019" t="s">
        <v>10742</v>
      </c>
      <c r="AT1019" t="s">
        <v>107</v>
      </c>
      <c r="AU1019" t="str">
        <f>"Forte"</f>
        <v>Forte</v>
      </c>
      <c r="AV1019" t="str">
        <f>"Alexa"</f>
        <v>Alexa</v>
      </c>
      <c r="AW1019" t="str">
        <f>""</f>
        <v/>
      </c>
      <c r="AX1019" t="str">
        <f>"625 Liberty Avenue"</f>
        <v>625 Liberty Avenue</v>
      </c>
      <c r="AY1019" t="str">
        <f>"5th Floor"</f>
        <v>5th Floor</v>
      </c>
      <c r="AZ1019" t="str">
        <f>"Pittsburgh"</f>
        <v>Pittsburgh</v>
      </c>
      <c r="BA1019" t="str">
        <f>"PA"</f>
        <v>PA</v>
      </c>
      <c r="BB1019" s="3">
        <v>15222</v>
      </c>
      <c r="BC1019" t="str">
        <f t="shared" si="78"/>
        <v>UNITED STATES OF AMERICA</v>
      </c>
      <c r="BD1019" t="str">
        <f>""</f>
        <v/>
      </c>
      <c r="BE1019" t="str">
        <f>"+14122974611"</f>
        <v>+14122974611</v>
      </c>
      <c r="BF1019" t="str">
        <f>""</f>
        <v/>
      </c>
      <c r="BG1019" t="str">
        <f>"brandy.oconnell@dentons.com"</f>
        <v>brandy.oconnell@dentons.com</v>
      </c>
      <c r="BH1019" t="str">
        <f>"Dentons Cohen &amp; Grigsby P.C."</f>
        <v>Dentons Cohen &amp; Grigsby P.C.</v>
      </c>
      <c r="BI1019" t="str">
        <f>"OR"</f>
        <v>OR</v>
      </c>
      <c r="BJ1019" t="str">
        <f>"Supreme Court"</f>
        <v>Supreme Court</v>
      </c>
      <c r="BK1019">
        <v>1</v>
      </c>
      <c r="BL1019" t="s">
        <v>102</v>
      </c>
      <c r="BM1019" t="str">
        <f>""</f>
        <v/>
      </c>
      <c r="BN1019" t="s">
        <v>10926</v>
      </c>
      <c r="BP1019" t="s">
        <v>5138</v>
      </c>
      <c r="BQ1019" t="s">
        <v>813</v>
      </c>
      <c r="BR1019" t="s">
        <v>127</v>
      </c>
      <c r="BS1019" s="5">
        <v>15317</v>
      </c>
      <c r="BT1019" s="2">
        <v>115000</v>
      </c>
      <c r="BU1019" s="2">
        <v>135000</v>
      </c>
      <c r="BV1019" t="s">
        <v>105</v>
      </c>
      <c r="BW1019" s="2">
        <v>110406</v>
      </c>
      <c r="BX1019" t="s">
        <v>105</v>
      </c>
      <c r="BZ1019" t="s">
        <v>159</v>
      </c>
      <c r="CA1019" t="str">
        <f t="shared" si="77"/>
        <v>7/1/2020 - 6/30/2021</v>
      </c>
      <c r="CF1019">
        <v>2</v>
      </c>
      <c r="CG1019" t="s">
        <v>98</v>
      </c>
      <c r="CH1019" t="s">
        <v>206</v>
      </c>
      <c r="CI1019" t="s">
        <v>206</v>
      </c>
      <c r="CL1019" t="s">
        <v>108</v>
      </c>
      <c r="CM1019" t="s">
        <v>109</v>
      </c>
      <c r="CN1019" t="str">
        <f>"O'Connell"</f>
        <v>O'Connell</v>
      </c>
      <c r="CO1019" t="str">
        <f>"Brandy"</f>
        <v>Brandy</v>
      </c>
      <c r="CP1019" t="str">
        <f>"E"</f>
        <v>E</v>
      </c>
      <c r="CQ1019" t="str">
        <f>"Dentons Cohen and Grigsby PC"</f>
        <v>Dentons Cohen and Grigsby PC</v>
      </c>
      <c r="CR1019" t="s">
        <v>862</v>
      </c>
    </row>
    <row r="1020" spans="1:96" x14ac:dyDescent="0.2">
      <c r="A1020" t="s">
        <v>10936</v>
      </c>
      <c r="B1020" t="s">
        <v>96</v>
      </c>
      <c r="C1020" s="1">
        <v>44098</v>
      </c>
      <c r="D1020" s="1">
        <v>44105</v>
      </c>
      <c r="F1020" t="s">
        <v>97</v>
      </c>
      <c r="G1020" t="str">
        <f>"Project Engineer"</f>
        <v>Project Engineer</v>
      </c>
      <c r="H1020" t="s">
        <v>12196</v>
      </c>
      <c r="I1020" t="s">
        <v>322</v>
      </c>
      <c r="J1020" t="s">
        <v>98</v>
      </c>
      <c r="K1020" s="1">
        <v>44237</v>
      </c>
      <c r="L1020" s="1">
        <v>45331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 t="s">
        <v>4848</v>
      </c>
      <c r="U1020" t="str">
        <f>""</f>
        <v/>
      </c>
      <c r="V1020" t="s">
        <v>4849</v>
      </c>
      <c r="W1020" t="str">
        <f>"MC: 482-C32-C66"</f>
        <v>MC: 482-C32-C66</v>
      </c>
      <c r="X1020" t="s">
        <v>528</v>
      </c>
      <c r="Y1020" t="s">
        <v>265</v>
      </c>
      <c r="Z1020" s="3" t="s">
        <v>12296</v>
      </c>
      <c r="AA1020" t="s">
        <v>101</v>
      </c>
      <c r="AC1020" s="4" t="str">
        <f>"+13135700122"</f>
        <v>+13135700122</v>
      </c>
      <c r="AE1020" t="str">
        <f>"3361"</f>
        <v>3361</v>
      </c>
      <c r="AF1020" t="s">
        <v>4850</v>
      </c>
      <c r="AG1020" t="s">
        <v>1182</v>
      </c>
      <c r="AI1020" t="s">
        <v>254</v>
      </c>
      <c r="AJ1020" t="s">
        <v>4851</v>
      </c>
      <c r="AK1020" t="str">
        <f>"MC: 482-C32-C66"</f>
        <v>MC: 482-C32-C66</v>
      </c>
      <c r="AL1020" t="s">
        <v>1682</v>
      </c>
      <c r="AM1020" t="s">
        <v>265</v>
      </c>
      <c r="AN1020" s="3" t="s">
        <v>12296</v>
      </c>
      <c r="AO1020" t="s">
        <v>101</v>
      </c>
      <c r="AQ1020" t="str">
        <f>"+13135700122"</f>
        <v>+13135700122</v>
      </c>
      <c r="AS1020" t="s">
        <v>4852</v>
      </c>
      <c r="AT1020" t="s">
        <v>107</v>
      </c>
      <c r="AU1020" t="str">
        <f>"Roby"</f>
        <v>Roby</v>
      </c>
      <c r="AV1020" t="str">
        <f>"Anthony"</f>
        <v>Anthony</v>
      </c>
      <c r="AW1020" t="str">
        <f>"Michael"</f>
        <v>Michael</v>
      </c>
      <c r="AX1020" t="str">
        <f>"566 Ann Street"</f>
        <v>566 Ann Street</v>
      </c>
      <c r="AY1020" t="str">
        <f>""</f>
        <v/>
      </c>
      <c r="AZ1020" t="str">
        <f>"Birmingham "</f>
        <v xml:space="preserve">Birmingham </v>
      </c>
      <c r="BA1020" t="str">
        <f>"MI"</f>
        <v>MI</v>
      </c>
      <c r="BB1020" s="3" t="s">
        <v>12307</v>
      </c>
      <c r="BC1020" t="str">
        <f t="shared" si="78"/>
        <v>UNITED STATES OF AMERICA</v>
      </c>
      <c r="BD1020" t="str">
        <f>""</f>
        <v/>
      </c>
      <c r="BE1020" t="str">
        <f>"+12485548500"</f>
        <v>+12485548500</v>
      </c>
      <c r="BF1020" t="str">
        <f>""</f>
        <v/>
      </c>
      <c r="BG1020" t="str">
        <f>"anthony.roby@robylaw.com"</f>
        <v>anthony.roby@robylaw.com</v>
      </c>
      <c r="BH1020" t="str">
        <f>"Roby Law Associates, PLLC"</f>
        <v>Roby Law Associates, PLLC</v>
      </c>
      <c r="BI1020" t="str">
        <f>"MI"</f>
        <v>MI</v>
      </c>
      <c r="BJ1020" t="str">
        <f>"U.S. Supreme Courts"</f>
        <v>U.S. Supreme Courts</v>
      </c>
      <c r="BK1020">
        <v>1</v>
      </c>
      <c r="BL1020" t="s">
        <v>102</v>
      </c>
      <c r="BM1020" t="str">
        <f>""</f>
        <v/>
      </c>
      <c r="BN1020" t="s">
        <v>5505</v>
      </c>
      <c r="BP1020" t="s">
        <v>1058</v>
      </c>
      <c r="BQ1020" t="s">
        <v>543</v>
      </c>
      <c r="BR1020" t="s">
        <v>265</v>
      </c>
      <c r="BS1020" s="5">
        <v>48093</v>
      </c>
      <c r="BT1020" s="2">
        <v>133327</v>
      </c>
      <c r="BV1020" t="s">
        <v>105</v>
      </c>
      <c r="BW1020" s="2">
        <v>111966</v>
      </c>
      <c r="BX1020" t="s">
        <v>105</v>
      </c>
      <c r="BZ1020" t="s">
        <v>159</v>
      </c>
      <c r="CA1020" t="str">
        <f t="shared" si="77"/>
        <v>7/1/2020 - 6/30/2021</v>
      </c>
      <c r="CF1020">
        <v>1</v>
      </c>
      <c r="CG1020" t="s">
        <v>98</v>
      </c>
      <c r="CH1020" t="s">
        <v>206</v>
      </c>
      <c r="CI1020" t="s">
        <v>206</v>
      </c>
      <c r="CL1020" t="s">
        <v>108</v>
      </c>
      <c r="CM1020" t="s">
        <v>109</v>
      </c>
      <c r="CN1020" t="str">
        <f>""</f>
        <v/>
      </c>
      <c r="CO1020" t="str">
        <f>""</f>
        <v/>
      </c>
      <c r="CP1020" t="str">
        <f>""</f>
        <v/>
      </c>
      <c r="CQ1020" t="str">
        <f>""</f>
        <v/>
      </c>
    </row>
    <row r="1021" spans="1:96" x14ac:dyDescent="0.2">
      <c r="A1021" t="s">
        <v>10942</v>
      </c>
      <c r="B1021" t="s">
        <v>96</v>
      </c>
      <c r="C1021" s="1">
        <v>44098</v>
      </c>
      <c r="D1021" s="1">
        <v>44105</v>
      </c>
      <c r="F1021" t="s">
        <v>97</v>
      </c>
      <c r="G1021" t="str">
        <f>"Staff Associate"</f>
        <v>Staff Associate</v>
      </c>
      <c r="H1021" t="s">
        <v>12170</v>
      </c>
      <c r="I1021" t="s">
        <v>685</v>
      </c>
      <c r="J1021" t="s">
        <v>98</v>
      </c>
      <c r="K1021" s="1">
        <v>44228</v>
      </c>
      <c r="L1021" s="1">
        <v>45322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487</v>
      </c>
      <c r="U1021" t="str">
        <f>""</f>
        <v/>
      </c>
      <c r="V1021" t="s">
        <v>488</v>
      </c>
      <c r="W1021" t="str">
        <f>"Box 57B"</f>
        <v>Box 57B</v>
      </c>
      <c r="X1021" t="s">
        <v>277</v>
      </c>
      <c r="Y1021" t="s">
        <v>190</v>
      </c>
      <c r="Z1021" s="3">
        <v>10032</v>
      </c>
      <c r="AA1021" t="s">
        <v>101</v>
      </c>
      <c r="AC1021" s="4" t="str">
        <f>"+12123058267"</f>
        <v>+12123058267</v>
      </c>
      <c r="AE1021" t="str">
        <f>"611310"</f>
        <v>611310</v>
      </c>
      <c r="AF1021" t="s">
        <v>489</v>
      </c>
      <c r="AG1021" t="s">
        <v>490</v>
      </c>
      <c r="AH1021" t="s">
        <v>491</v>
      </c>
      <c r="AI1021" t="s">
        <v>117</v>
      </c>
      <c r="AJ1021" t="s">
        <v>488</v>
      </c>
      <c r="AK1021" t="str">
        <f>"Box 57B"</f>
        <v>Box 57B</v>
      </c>
      <c r="AL1021" t="s">
        <v>277</v>
      </c>
      <c r="AM1021" t="s">
        <v>190</v>
      </c>
      <c r="AN1021" s="3">
        <v>10032</v>
      </c>
      <c r="AO1021" t="s">
        <v>101</v>
      </c>
      <c r="AQ1021" t="str">
        <f>"+12123058267"</f>
        <v>+12123058267</v>
      </c>
      <c r="AS1021" t="s">
        <v>492</v>
      </c>
      <c r="AT1021" t="s">
        <v>102</v>
      </c>
      <c r="AU1021" t="str">
        <f>""</f>
        <v/>
      </c>
      <c r="AV1021" t="str">
        <f>""</f>
        <v/>
      </c>
      <c r="AW1021" t="str">
        <f>""</f>
        <v/>
      </c>
      <c r="AX1021" t="str">
        <f>""</f>
        <v/>
      </c>
      <c r="AY1021" t="str">
        <f>""</f>
        <v/>
      </c>
      <c r="AZ1021" t="str">
        <f>""</f>
        <v/>
      </c>
      <c r="BA1021" t="str">
        <f>""</f>
        <v/>
      </c>
      <c r="BC1021" t="str">
        <f>""</f>
        <v/>
      </c>
      <c r="BD1021" t="str">
        <f>""</f>
        <v/>
      </c>
      <c r="BE1021" t="str">
        <f>""</f>
        <v/>
      </c>
      <c r="BF1021" t="str">
        <f>""</f>
        <v/>
      </c>
      <c r="BG1021" t="str">
        <f>""</f>
        <v/>
      </c>
      <c r="BH1021" t="str">
        <f>""</f>
        <v/>
      </c>
      <c r="BI1021" t="str">
        <f>""</f>
        <v/>
      </c>
      <c r="BJ1021" t="str">
        <f>""</f>
        <v/>
      </c>
      <c r="BK1021">
        <v>1</v>
      </c>
      <c r="BL1021" t="s">
        <v>102</v>
      </c>
      <c r="BM1021" t="str">
        <f>""</f>
        <v/>
      </c>
      <c r="BN1021" t="s">
        <v>8462</v>
      </c>
      <c r="BP1021" t="s">
        <v>277</v>
      </c>
      <c r="BQ1021" t="s">
        <v>189</v>
      </c>
      <c r="BR1021" t="s">
        <v>190</v>
      </c>
      <c r="BS1021" s="5">
        <v>10032</v>
      </c>
      <c r="BT1021" s="2">
        <v>75000</v>
      </c>
      <c r="BV1021" t="s">
        <v>105</v>
      </c>
      <c r="BW1021" s="2">
        <v>53186</v>
      </c>
      <c r="BX1021" t="s">
        <v>105</v>
      </c>
      <c r="BZ1021" t="s">
        <v>191</v>
      </c>
      <c r="CA1021" t="str">
        <f t="shared" si="77"/>
        <v>7/1/2020 - 6/30/2021</v>
      </c>
      <c r="CF1021">
        <v>1</v>
      </c>
      <c r="CG1021" t="s">
        <v>98</v>
      </c>
      <c r="CH1021" t="s">
        <v>206</v>
      </c>
      <c r="CI1021" t="s">
        <v>206</v>
      </c>
      <c r="CL1021" t="s">
        <v>108</v>
      </c>
      <c r="CM1021" t="s">
        <v>109</v>
      </c>
      <c r="CN1021" t="str">
        <f>""</f>
        <v/>
      </c>
      <c r="CO1021" t="str">
        <f>""</f>
        <v/>
      </c>
      <c r="CP1021" t="str">
        <f>""</f>
        <v/>
      </c>
      <c r="CQ1021" t="str">
        <f>""</f>
        <v/>
      </c>
    </row>
    <row r="1022" spans="1:96" x14ac:dyDescent="0.2">
      <c r="A1022" t="s">
        <v>10945</v>
      </c>
      <c r="B1022" t="s">
        <v>96</v>
      </c>
      <c r="C1022" s="1">
        <v>44098</v>
      </c>
      <c r="D1022" s="1">
        <v>44105</v>
      </c>
      <c r="F1022" t="s">
        <v>97</v>
      </c>
      <c r="G1022" t="str">
        <f>"Front-End Engineer"</f>
        <v>Front-End Engineer</v>
      </c>
      <c r="H1022" t="s">
        <v>12169</v>
      </c>
      <c r="I1022" t="s">
        <v>124</v>
      </c>
      <c r="J1022" t="s">
        <v>98</v>
      </c>
      <c r="K1022" s="1">
        <v>44110</v>
      </c>
      <c r="L1022" s="1">
        <v>45204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 t="s">
        <v>10946</v>
      </c>
      <c r="U1022" t="str">
        <f>""</f>
        <v/>
      </c>
      <c r="V1022" t="s">
        <v>10947</v>
      </c>
      <c r="W1022" t="str">
        <f>"Suite 270"</f>
        <v>Suite 270</v>
      </c>
      <c r="X1022" t="s">
        <v>1343</v>
      </c>
      <c r="Y1022" t="s">
        <v>141</v>
      </c>
      <c r="Z1022" s="3">
        <v>94583</v>
      </c>
      <c r="AA1022" t="s">
        <v>101</v>
      </c>
      <c r="AC1022" s="4" t="str">
        <f>"+19253961130"</f>
        <v>+19253961130</v>
      </c>
      <c r="AE1022" t="str">
        <f>"541511"</f>
        <v>541511</v>
      </c>
      <c r="AF1022" t="s">
        <v>10948</v>
      </c>
      <c r="AG1022" t="s">
        <v>1662</v>
      </c>
      <c r="AI1022" t="s">
        <v>1879</v>
      </c>
      <c r="AJ1022" t="s">
        <v>10947</v>
      </c>
      <c r="AK1022" t="str">
        <f>"Suite 270"</f>
        <v>Suite 270</v>
      </c>
      <c r="AL1022" t="s">
        <v>1343</v>
      </c>
      <c r="AM1022" t="s">
        <v>141</v>
      </c>
      <c r="AN1022" s="3">
        <v>94583</v>
      </c>
      <c r="AO1022" t="s">
        <v>101</v>
      </c>
      <c r="AQ1022" t="str">
        <f>"+19253961130"</f>
        <v>+19253961130</v>
      </c>
      <c r="AS1022" t="s">
        <v>10949</v>
      </c>
      <c r="AT1022" t="s">
        <v>107</v>
      </c>
      <c r="AU1022" t="str">
        <f>"Ayres"</f>
        <v>Ayres</v>
      </c>
      <c r="AV1022" t="str">
        <f>"Sarah"</f>
        <v>Sarah</v>
      </c>
      <c r="AW1022" t="str">
        <f>"Christine"</f>
        <v>Christine</v>
      </c>
      <c r="AX1022" t="str">
        <f>"2025 Gateway Place"</f>
        <v>2025 Gateway Place</v>
      </c>
      <c r="AY1022" t="str">
        <f>"Suite 220"</f>
        <v>Suite 220</v>
      </c>
      <c r="AZ1022" t="str">
        <f>"San Jose"</f>
        <v>San Jose</v>
      </c>
      <c r="BA1022" t="str">
        <f>"CA"</f>
        <v>CA</v>
      </c>
      <c r="BB1022" s="3">
        <v>95110</v>
      </c>
      <c r="BC1022" t="str">
        <f t="shared" ref="BC1022:BC1035" si="79">"UNITED STATES OF AMERICA"</f>
        <v>UNITED STATES OF AMERICA</v>
      </c>
      <c r="BD1022" t="str">
        <f>""</f>
        <v/>
      </c>
      <c r="BE1022" t="str">
        <f>"+16504995187"</f>
        <v>+16504995187</v>
      </c>
      <c r="BF1022" t="str">
        <f>""</f>
        <v/>
      </c>
      <c r="BG1022" t="str">
        <f>"ffamail@fleischut.com"</f>
        <v>ffamail@fleischut.com</v>
      </c>
      <c r="BH1022" t="str">
        <f>"Naya Law Group PC (dba Finnan, Fleischut &amp; Assoc.)"</f>
        <v>Naya Law Group PC (dba Finnan, Fleischut &amp; Assoc.)</v>
      </c>
      <c r="BI1022" t="str">
        <f>"CA"</f>
        <v>CA</v>
      </c>
      <c r="BJ1022" t="str">
        <f>"Supreme Court of California"</f>
        <v>Supreme Court of California</v>
      </c>
      <c r="BK1022">
        <v>1</v>
      </c>
      <c r="BL1022" t="s">
        <v>102</v>
      </c>
      <c r="BM1022" t="str">
        <f>""</f>
        <v/>
      </c>
      <c r="BN1022" t="s">
        <v>10947</v>
      </c>
      <c r="BO1022" t="s">
        <v>7527</v>
      </c>
      <c r="BP1022" t="s">
        <v>1343</v>
      </c>
      <c r="BQ1022" t="s">
        <v>1344</v>
      </c>
      <c r="BR1022" t="s">
        <v>141</v>
      </c>
      <c r="BS1022" s="5">
        <v>94583</v>
      </c>
      <c r="BT1022" s="2">
        <v>145246</v>
      </c>
      <c r="BV1022" t="s">
        <v>105</v>
      </c>
      <c r="BW1022" s="2">
        <v>145246</v>
      </c>
      <c r="BX1022" t="s">
        <v>105</v>
      </c>
      <c r="BZ1022" t="s">
        <v>123</v>
      </c>
      <c r="CA1022" t="str">
        <f t="shared" si="77"/>
        <v>7/1/2020 - 6/30/2021</v>
      </c>
      <c r="CF1022">
        <v>2</v>
      </c>
      <c r="CG1022" t="s">
        <v>98</v>
      </c>
      <c r="CH1022" t="s">
        <v>206</v>
      </c>
      <c r="CI1022" t="s">
        <v>206</v>
      </c>
      <c r="CL1022" t="s">
        <v>108</v>
      </c>
      <c r="CM1022" t="s">
        <v>109</v>
      </c>
      <c r="CN1022" t="str">
        <f>"Benner"</f>
        <v>Benner</v>
      </c>
      <c r="CO1022" t="str">
        <f>"Tara"</f>
        <v>Tara</v>
      </c>
      <c r="CP1022" t="str">
        <f>"L"</f>
        <v>L</v>
      </c>
      <c r="CQ1022" t="str">
        <f>"Naya Law Group PC (dba Finnan, Fleischut &amp; Associates)"</f>
        <v>Naya Law Group PC (dba Finnan, Fleischut &amp; Associates)</v>
      </c>
      <c r="CR1022" t="s">
        <v>4318</v>
      </c>
    </row>
    <row r="1023" spans="1:96" x14ac:dyDescent="0.2">
      <c r="A1023" t="s">
        <v>10952</v>
      </c>
      <c r="B1023" t="s">
        <v>96</v>
      </c>
      <c r="C1023" s="1">
        <v>44098</v>
      </c>
      <c r="D1023" s="1">
        <v>44105</v>
      </c>
      <c r="F1023" t="s">
        <v>97</v>
      </c>
      <c r="G1023" t="str">
        <f>"Senior Software Engineer"</f>
        <v>Senior Software Engineer</v>
      </c>
      <c r="H1023" t="s">
        <v>12169</v>
      </c>
      <c r="I1023" t="s">
        <v>124</v>
      </c>
      <c r="J1023" t="s">
        <v>98</v>
      </c>
      <c r="K1023" s="1">
        <v>44105</v>
      </c>
      <c r="L1023" s="1">
        <v>45200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 t="s">
        <v>9207</v>
      </c>
      <c r="U1023" t="str">
        <f>""</f>
        <v/>
      </c>
      <c r="V1023" t="s">
        <v>9208</v>
      </c>
      <c r="W1023" t="str">
        <f>""</f>
        <v/>
      </c>
      <c r="X1023" t="s">
        <v>3483</v>
      </c>
      <c r="Y1023" t="s">
        <v>141</v>
      </c>
      <c r="Z1023" s="3">
        <v>93108</v>
      </c>
      <c r="AA1023" t="s">
        <v>101</v>
      </c>
      <c r="AC1023" s="4" t="str">
        <f>"+18055666125"</f>
        <v>+18055666125</v>
      </c>
      <c r="AE1023" t="str">
        <f>"511210"</f>
        <v>511210</v>
      </c>
      <c r="AF1023" t="s">
        <v>858</v>
      </c>
      <c r="AG1023" t="s">
        <v>8544</v>
      </c>
      <c r="AI1023" t="s">
        <v>9209</v>
      </c>
      <c r="AJ1023" t="s">
        <v>9208</v>
      </c>
      <c r="AK1023" t="str">
        <f>""</f>
        <v/>
      </c>
      <c r="AL1023" t="s">
        <v>3483</v>
      </c>
      <c r="AM1023" t="s">
        <v>141</v>
      </c>
      <c r="AN1023" s="3">
        <v>93108</v>
      </c>
      <c r="AO1023" t="s">
        <v>101</v>
      </c>
      <c r="AQ1023" t="str">
        <f>"+18055666125"</f>
        <v>+18055666125</v>
      </c>
      <c r="AS1023" t="s">
        <v>9210</v>
      </c>
      <c r="AT1023" t="s">
        <v>107</v>
      </c>
      <c r="AU1023" t="str">
        <f>"Daly"</f>
        <v>Daly</v>
      </c>
      <c r="AV1023" t="str">
        <f>"James"</f>
        <v>James</v>
      </c>
      <c r="AW1023" t="str">
        <f>"Thomas"</f>
        <v>Thomas</v>
      </c>
      <c r="AX1023" t="str">
        <f>"27 West Anapamu Street"</f>
        <v>27 West Anapamu Street</v>
      </c>
      <c r="AY1023" t="str">
        <f>"Suite 354"</f>
        <v>Suite 354</v>
      </c>
      <c r="AZ1023" t="str">
        <f>"Santa Barbara"</f>
        <v>Santa Barbara</v>
      </c>
      <c r="BA1023" t="str">
        <f>"CA"</f>
        <v>CA</v>
      </c>
      <c r="BB1023" s="3">
        <v>93101</v>
      </c>
      <c r="BC1023" t="str">
        <f t="shared" si="79"/>
        <v>UNITED STATES OF AMERICA</v>
      </c>
      <c r="BD1023" t="str">
        <f>""</f>
        <v/>
      </c>
      <c r="BE1023" t="str">
        <f>"+18059654966"</f>
        <v>+18059654966</v>
      </c>
      <c r="BF1023" t="str">
        <f>""</f>
        <v/>
      </c>
      <c r="BG1023" t="str">
        <f>"dalylaw@silcom.com"</f>
        <v>dalylaw@silcom.com</v>
      </c>
      <c r="BH1023" t="str">
        <f>"Daly Law Office"</f>
        <v>Daly Law Office</v>
      </c>
      <c r="BI1023" t="str">
        <f>"CA"</f>
        <v>CA</v>
      </c>
      <c r="BJ1023" t="str">
        <f>"Supreme Court of California"</f>
        <v>Supreme Court of California</v>
      </c>
      <c r="BK1023">
        <v>1</v>
      </c>
      <c r="BL1023" t="s">
        <v>102</v>
      </c>
      <c r="BM1023" t="str">
        <f>""</f>
        <v/>
      </c>
      <c r="BN1023" t="s">
        <v>10953</v>
      </c>
      <c r="BO1023" t="s">
        <v>5793</v>
      </c>
      <c r="BP1023" t="s">
        <v>6455</v>
      </c>
      <c r="BQ1023" t="s">
        <v>3835</v>
      </c>
      <c r="BR1023" t="s">
        <v>265</v>
      </c>
      <c r="BS1023" s="5">
        <v>49546</v>
      </c>
      <c r="BT1023" s="2">
        <v>95712</v>
      </c>
      <c r="BU1023" s="2">
        <v>102412</v>
      </c>
      <c r="BV1023" t="s">
        <v>105</v>
      </c>
      <c r="BW1023" s="2">
        <v>92019</v>
      </c>
      <c r="BX1023" t="s">
        <v>105</v>
      </c>
      <c r="BZ1023" t="s">
        <v>159</v>
      </c>
      <c r="CA1023" t="str">
        <f t="shared" si="77"/>
        <v>7/1/2020 - 6/30/2021</v>
      </c>
      <c r="CF1023">
        <v>2</v>
      </c>
      <c r="CG1023" t="s">
        <v>98</v>
      </c>
      <c r="CH1023" t="s">
        <v>206</v>
      </c>
      <c r="CI1023" t="s">
        <v>206</v>
      </c>
      <c r="CL1023" t="s">
        <v>108</v>
      </c>
      <c r="CM1023" t="s">
        <v>109</v>
      </c>
      <c r="CN1023" t="str">
        <f>""</f>
        <v/>
      </c>
      <c r="CO1023" t="str">
        <f>""</f>
        <v/>
      </c>
      <c r="CP1023" t="str">
        <f>""</f>
        <v/>
      </c>
      <c r="CQ1023" t="str">
        <f>""</f>
        <v/>
      </c>
    </row>
    <row r="1024" spans="1:96" x14ac:dyDescent="0.2">
      <c r="A1024" t="s">
        <v>10962</v>
      </c>
      <c r="B1024" t="s">
        <v>96</v>
      </c>
      <c r="C1024" s="1">
        <v>44098</v>
      </c>
      <c r="D1024" s="1">
        <v>44105</v>
      </c>
      <c r="F1024" t="s">
        <v>97</v>
      </c>
      <c r="G1024" t="str">
        <f>"Software Engineer (Full Stack Web Technology)"</f>
        <v>Software Engineer (Full Stack Web Technology)</v>
      </c>
      <c r="H1024" t="s">
        <v>12176</v>
      </c>
      <c r="I1024" t="s">
        <v>246</v>
      </c>
      <c r="J1024" t="s">
        <v>98</v>
      </c>
      <c r="K1024" s="1">
        <v>44143</v>
      </c>
      <c r="L1024" s="1">
        <v>45237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 t="s">
        <v>4042</v>
      </c>
      <c r="U1024" t="str">
        <f>""</f>
        <v/>
      </c>
      <c r="V1024" t="s">
        <v>4043</v>
      </c>
      <c r="W1024" t="str">
        <f>"Suite 100"</f>
        <v>Suite 100</v>
      </c>
      <c r="X1024" t="s">
        <v>1133</v>
      </c>
      <c r="Y1024" t="s">
        <v>141</v>
      </c>
      <c r="Z1024" s="3">
        <v>94063</v>
      </c>
      <c r="AA1024" t="s">
        <v>101</v>
      </c>
      <c r="AC1024" s="4" t="str">
        <f>"+16506819704"</f>
        <v>+16506819704</v>
      </c>
      <c r="AE1024" t="str">
        <f>"511210"</f>
        <v>511210</v>
      </c>
      <c r="AF1024" t="s">
        <v>489</v>
      </c>
      <c r="AG1024" t="s">
        <v>1767</v>
      </c>
      <c r="AH1024" t="s">
        <v>108</v>
      </c>
      <c r="AI1024" t="s">
        <v>4044</v>
      </c>
      <c r="AJ1024" t="s">
        <v>4043</v>
      </c>
      <c r="AK1024" t="str">
        <f>"Suite 100"</f>
        <v>Suite 100</v>
      </c>
      <c r="AL1024" t="s">
        <v>1133</v>
      </c>
      <c r="AM1024" t="s">
        <v>141</v>
      </c>
      <c r="AN1024" s="3">
        <v>94063</v>
      </c>
      <c r="AO1024" t="s">
        <v>101</v>
      </c>
      <c r="AQ1024" t="str">
        <f>"+16506819704"</f>
        <v>+16506819704</v>
      </c>
      <c r="AS1024" t="s">
        <v>4045</v>
      </c>
      <c r="AT1024" t="s">
        <v>107</v>
      </c>
      <c r="AU1024" t="str">
        <f>"Yu"</f>
        <v>Yu</v>
      </c>
      <c r="AV1024" t="str">
        <f>"Lisa"</f>
        <v>Lisa</v>
      </c>
      <c r="AW1024" t="str">
        <f>""</f>
        <v/>
      </c>
      <c r="AX1024" t="str">
        <f>"3 Monroe Parkway"</f>
        <v>3 Monroe Parkway</v>
      </c>
      <c r="AY1024" t="str">
        <f>"Suite P-334"</f>
        <v>Suite P-334</v>
      </c>
      <c r="AZ1024" t="str">
        <f>"Lake Oswego"</f>
        <v>Lake Oswego</v>
      </c>
      <c r="BA1024" t="str">
        <f>"OR"</f>
        <v>OR</v>
      </c>
      <c r="BB1024" s="3">
        <v>97035</v>
      </c>
      <c r="BC1024" t="str">
        <f t="shared" si="79"/>
        <v>UNITED STATES OF AMERICA</v>
      </c>
      <c r="BD1024" t="str">
        <f>""</f>
        <v/>
      </c>
      <c r="BE1024" t="str">
        <f>"+15036971979"</f>
        <v>+15036971979</v>
      </c>
      <c r="BF1024" t="str">
        <f>""</f>
        <v/>
      </c>
      <c r="BG1024" t="str">
        <f>"LISA@LISAYUIMMIGRATION.COM"</f>
        <v>LISA@LISAYUIMMIGRATION.COM</v>
      </c>
      <c r="BH1024" t="str">
        <f>"Lisa Yu Immigration Law, LLC"</f>
        <v>Lisa Yu Immigration Law, LLC</v>
      </c>
      <c r="BI1024" t="str">
        <f>"CA"</f>
        <v>CA</v>
      </c>
      <c r="BJ1024" t="str">
        <f>"Supreme Court"</f>
        <v>Supreme Court</v>
      </c>
      <c r="BK1024">
        <v>1</v>
      </c>
      <c r="BL1024" t="s">
        <v>102</v>
      </c>
      <c r="BM1024" t="str">
        <f>""</f>
        <v/>
      </c>
      <c r="BN1024" t="s">
        <v>10963</v>
      </c>
      <c r="BP1024" t="s">
        <v>1133</v>
      </c>
      <c r="BQ1024" t="s">
        <v>994</v>
      </c>
      <c r="BR1024" t="s">
        <v>141</v>
      </c>
      <c r="BS1024" s="5">
        <v>94063</v>
      </c>
      <c r="BT1024" s="2">
        <v>145725</v>
      </c>
      <c r="BU1024" s="2">
        <v>165000</v>
      </c>
      <c r="BV1024" t="s">
        <v>105</v>
      </c>
      <c r="BW1024" s="2">
        <v>145246</v>
      </c>
      <c r="BX1024" t="s">
        <v>105</v>
      </c>
      <c r="BZ1024" t="s">
        <v>123</v>
      </c>
      <c r="CA1024" t="str">
        <f t="shared" si="77"/>
        <v>7/1/2020 - 6/30/2021</v>
      </c>
      <c r="CF1024">
        <v>2</v>
      </c>
      <c r="CG1024" t="s">
        <v>98</v>
      </c>
      <c r="CH1024" t="s">
        <v>206</v>
      </c>
      <c r="CI1024" t="s">
        <v>206</v>
      </c>
      <c r="CL1024" t="s">
        <v>108</v>
      </c>
      <c r="CM1024" t="s">
        <v>109</v>
      </c>
      <c r="CN1024" t="str">
        <f>"Yu"</f>
        <v>Yu</v>
      </c>
      <c r="CO1024" t="str">
        <f>"Lisa"</f>
        <v>Lisa</v>
      </c>
      <c r="CP1024" t="str">
        <f>""</f>
        <v/>
      </c>
      <c r="CQ1024" t="str">
        <f>"Lisa Yu Immigration Law, LLC"</f>
        <v>Lisa Yu Immigration Law, LLC</v>
      </c>
      <c r="CR1024" t="s">
        <v>10964</v>
      </c>
    </row>
    <row r="1025" spans="1:96" x14ac:dyDescent="0.2">
      <c r="A1025" t="s">
        <v>10969</v>
      </c>
      <c r="B1025" t="s">
        <v>96</v>
      </c>
      <c r="C1025" s="1">
        <v>44098</v>
      </c>
      <c r="D1025" s="1">
        <v>44105</v>
      </c>
      <c r="F1025" t="s">
        <v>97</v>
      </c>
      <c r="G1025" t="str">
        <f>"Sales Ops Business Partner Sr Specialist"</f>
        <v>Sales Ops Business Partner Sr Specialist</v>
      </c>
      <c r="H1025" t="s">
        <v>12227</v>
      </c>
      <c r="I1025" t="s">
        <v>766</v>
      </c>
      <c r="J1025" t="s">
        <v>98</v>
      </c>
      <c r="K1025" s="1">
        <v>44192</v>
      </c>
      <c r="L1025" s="1">
        <v>45287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 t="s">
        <v>2411</v>
      </c>
      <c r="U1025" t="str">
        <f>""</f>
        <v/>
      </c>
      <c r="V1025" t="s">
        <v>125</v>
      </c>
      <c r="W1025" t="str">
        <f>""</f>
        <v/>
      </c>
      <c r="X1025" t="s">
        <v>126</v>
      </c>
      <c r="Y1025" t="s">
        <v>127</v>
      </c>
      <c r="Z1025" s="3">
        <v>19073</v>
      </c>
      <c r="AA1025" t="s">
        <v>101</v>
      </c>
      <c r="AC1025" s="4" t="str">
        <f>"+16106613031"</f>
        <v>+16106613031</v>
      </c>
      <c r="AE1025" t="str">
        <f>"54151"</f>
        <v>54151</v>
      </c>
      <c r="AF1025" t="s">
        <v>128</v>
      </c>
      <c r="AG1025" t="s">
        <v>129</v>
      </c>
      <c r="AI1025" t="s">
        <v>130</v>
      </c>
      <c r="AJ1025" t="s">
        <v>125</v>
      </c>
      <c r="AK1025" t="str">
        <f>""</f>
        <v/>
      </c>
      <c r="AL1025" t="s">
        <v>126</v>
      </c>
      <c r="AM1025" t="s">
        <v>127</v>
      </c>
      <c r="AN1025" s="3">
        <v>19073</v>
      </c>
      <c r="AO1025" t="s">
        <v>101</v>
      </c>
      <c r="AQ1025" t="str">
        <f>"+16106612354"</f>
        <v>+16106612354</v>
      </c>
      <c r="AS1025" t="s">
        <v>131</v>
      </c>
      <c r="AT1025" t="s">
        <v>107</v>
      </c>
      <c r="AU1025" t="str">
        <f>"RALSTON"</f>
        <v>RALSTON</v>
      </c>
      <c r="AV1025" t="str">
        <f>"C. WILLIAM"</f>
        <v>C. WILLIAM</v>
      </c>
      <c r="AW1025" t="str">
        <f>""</f>
        <v/>
      </c>
      <c r="AX1025" t="str">
        <f>"90 MATAWAN ROAD"</f>
        <v>90 MATAWAN ROAD</v>
      </c>
      <c r="AY1025" t="str">
        <f>"4TH FLOOR"</f>
        <v>4TH FLOOR</v>
      </c>
      <c r="AZ1025" t="str">
        <f>"MATAWAN"</f>
        <v>MATAWAN</v>
      </c>
      <c r="BA1025" t="str">
        <f>"NJ"</f>
        <v>NJ</v>
      </c>
      <c r="BB1025" s="3">
        <v>7747</v>
      </c>
      <c r="BC1025" t="str">
        <f t="shared" si="79"/>
        <v>UNITED STATES OF AMERICA</v>
      </c>
      <c r="BD1025" t="str">
        <f>""</f>
        <v/>
      </c>
      <c r="BE1025" t="str">
        <f>"+17328625000"</f>
        <v>+17328625000</v>
      </c>
      <c r="BF1025" t="str">
        <f>""</f>
        <v/>
      </c>
      <c r="BG1025" t="str">
        <f>"JROJAS@FRAGOMEN.COM"</f>
        <v>JROJAS@FRAGOMEN.COM</v>
      </c>
      <c r="BH1025" t="str">
        <f>"FRAGOMEN, DEL REY, BERNSEN &amp; LOEWY, LLP"</f>
        <v>FRAGOMEN, DEL REY, BERNSEN &amp; LOEWY, LLP</v>
      </c>
      <c r="BI1025" t="str">
        <f>"NJ"</f>
        <v>NJ</v>
      </c>
      <c r="BJ1025" t="str">
        <f>"SUPREME COURT"</f>
        <v>SUPREME COURT</v>
      </c>
      <c r="BK1025">
        <v>1</v>
      </c>
      <c r="BL1025" t="s">
        <v>102</v>
      </c>
      <c r="BM1025" t="str">
        <f>""</f>
        <v/>
      </c>
      <c r="BN1025" t="s">
        <v>1276</v>
      </c>
      <c r="BP1025" t="s">
        <v>1277</v>
      </c>
      <c r="BQ1025" t="s">
        <v>1556</v>
      </c>
      <c r="BR1025" t="s">
        <v>127</v>
      </c>
      <c r="BS1025" s="5">
        <v>19073</v>
      </c>
      <c r="BT1025" s="2">
        <v>126991.92</v>
      </c>
      <c r="BV1025" t="s">
        <v>105</v>
      </c>
      <c r="BW1025" s="2">
        <v>106725</v>
      </c>
      <c r="BX1025" t="s">
        <v>105</v>
      </c>
      <c r="BZ1025" t="s">
        <v>123</v>
      </c>
      <c r="CA1025" t="str">
        <f t="shared" si="77"/>
        <v>7/1/2020 - 6/30/2021</v>
      </c>
      <c r="CF1025">
        <v>2</v>
      </c>
      <c r="CG1025" t="s">
        <v>98</v>
      </c>
      <c r="CH1025" t="s">
        <v>206</v>
      </c>
      <c r="CI1025" t="s">
        <v>206</v>
      </c>
      <c r="CL1025" t="s">
        <v>108</v>
      </c>
      <c r="CM1025" t="s">
        <v>109</v>
      </c>
      <c r="CN1025" t="str">
        <f>"RALSTON"</f>
        <v>RALSTON</v>
      </c>
      <c r="CO1025" t="str">
        <f>"C. WILLIAM"</f>
        <v>C. WILLIAM</v>
      </c>
      <c r="CP1025" t="str">
        <f>""</f>
        <v/>
      </c>
      <c r="CQ1025" t="str">
        <f>"FRAGOMEN, DEL REY, BERNSEN &amp; LOEWY, LLP"</f>
        <v>FRAGOMEN, DEL REY, BERNSEN &amp; LOEWY, LLP</v>
      </c>
      <c r="CR1025" t="s">
        <v>136</v>
      </c>
    </row>
    <row r="1026" spans="1:96" x14ac:dyDescent="0.2">
      <c r="A1026" t="s">
        <v>10970</v>
      </c>
      <c r="B1026" t="s">
        <v>96</v>
      </c>
      <c r="C1026" s="1">
        <v>44098</v>
      </c>
      <c r="D1026" s="1">
        <v>44105</v>
      </c>
      <c r="F1026" t="s">
        <v>97</v>
      </c>
      <c r="G1026" t="str">
        <f>"EXECUTIVE DIRECTOR"</f>
        <v>EXECUTIVE DIRECTOR</v>
      </c>
      <c r="H1026" t="s">
        <v>12285</v>
      </c>
      <c r="I1026" t="s">
        <v>10706</v>
      </c>
      <c r="J1026" t="s">
        <v>98</v>
      </c>
      <c r="K1026" s="1">
        <v>44109</v>
      </c>
      <c r="L1026" s="1">
        <v>45203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 t="s">
        <v>10971</v>
      </c>
      <c r="U1026" t="str">
        <f>""</f>
        <v/>
      </c>
      <c r="V1026" t="s">
        <v>10972</v>
      </c>
      <c r="W1026" t="str">
        <f>""</f>
        <v/>
      </c>
      <c r="X1026" t="s">
        <v>480</v>
      </c>
      <c r="Y1026" t="s">
        <v>215</v>
      </c>
      <c r="Z1026" s="3">
        <v>30310</v>
      </c>
      <c r="AA1026" t="s">
        <v>101</v>
      </c>
      <c r="AC1026" s="4" t="str">
        <f>"+17704759348"</f>
        <v>+17704759348</v>
      </c>
      <c r="AE1026" t="str">
        <f>"611610"</f>
        <v>611610</v>
      </c>
      <c r="AF1026" t="s">
        <v>10973</v>
      </c>
      <c r="AG1026" t="s">
        <v>10974</v>
      </c>
      <c r="AH1026" t="s">
        <v>771</v>
      </c>
      <c r="AI1026" t="s">
        <v>10975</v>
      </c>
      <c r="AJ1026" t="s">
        <v>10976</v>
      </c>
      <c r="AK1026" t="str">
        <f>""</f>
        <v/>
      </c>
      <c r="AL1026" t="s">
        <v>213</v>
      </c>
      <c r="AM1026" t="s">
        <v>215</v>
      </c>
      <c r="AN1026" s="3">
        <v>30310</v>
      </c>
      <c r="AO1026" t="s">
        <v>101</v>
      </c>
      <c r="AQ1026" t="str">
        <f>"+17704759348"</f>
        <v>+17704759348</v>
      </c>
      <c r="AS1026" t="s">
        <v>10977</v>
      </c>
      <c r="AT1026" t="s">
        <v>107</v>
      </c>
      <c r="AU1026" t="str">
        <f>"Pocalyko"</f>
        <v>Pocalyko</v>
      </c>
      <c r="AV1026" t="str">
        <f>"Stephen"</f>
        <v>Stephen</v>
      </c>
      <c r="AW1026" t="str">
        <f>"Philip"</f>
        <v>Philip</v>
      </c>
      <c r="AX1026" t="str">
        <f>"171 17th Street, N.W."</f>
        <v>171 17th Street, N.W.</v>
      </c>
      <c r="AY1026" t="str">
        <f>"Suite 2100"</f>
        <v>Suite 2100</v>
      </c>
      <c r="AZ1026" t="str">
        <f>"Atlanta"</f>
        <v>Atlanta</v>
      </c>
      <c r="BA1026" t="str">
        <f>"GA"</f>
        <v>GA</v>
      </c>
      <c r="BB1026" s="3">
        <v>30363</v>
      </c>
      <c r="BC1026" t="str">
        <f t="shared" si="79"/>
        <v>UNITED STATES OF AMERICA</v>
      </c>
      <c r="BD1026" t="str">
        <f>""</f>
        <v/>
      </c>
      <c r="BE1026" t="str">
        <f>"+14048738592"</f>
        <v>+14048738592</v>
      </c>
      <c r="BF1026" t="str">
        <f>""</f>
        <v/>
      </c>
      <c r="BG1026" t="str">
        <f>"stephen.pocalyko@agg.com"</f>
        <v>stephen.pocalyko@agg.com</v>
      </c>
      <c r="BH1026" t="str">
        <f>"Arnall Golden Gregory LLP"</f>
        <v>Arnall Golden Gregory LLP</v>
      </c>
      <c r="BI1026" t="str">
        <f>"GA"</f>
        <v>GA</v>
      </c>
      <c r="BJ1026" t="str">
        <f>"Georgia Supreme Court"</f>
        <v>Georgia Supreme Court</v>
      </c>
      <c r="BK1026">
        <v>1</v>
      </c>
      <c r="BL1026" t="s">
        <v>102</v>
      </c>
      <c r="BM1026" t="str">
        <f>""</f>
        <v/>
      </c>
      <c r="BN1026" t="s">
        <v>10978</v>
      </c>
      <c r="BP1026" t="s">
        <v>480</v>
      </c>
      <c r="BQ1026" t="s">
        <v>214</v>
      </c>
      <c r="BR1026" t="s">
        <v>215</v>
      </c>
      <c r="BS1026" s="5">
        <v>30310</v>
      </c>
      <c r="BT1026" s="2">
        <v>53082</v>
      </c>
      <c r="BU1026" s="2">
        <v>93082</v>
      </c>
      <c r="BV1026" t="s">
        <v>105</v>
      </c>
      <c r="BW1026" s="2">
        <v>53082</v>
      </c>
      <c r="BX1026" t="s">
        <v>105</v>
      </c>
      <c r="BZ1026" t="s">
        <v>159</v>
      </c>
      <c r="CA1026" t="str">
        <f t="shared" si="77"/>
        <v>7/1/2020 - 6/30/2021</v>
      </c>
      <c r="CF1026">
        <v>1</v>
      </c>
      <c r="CG1026" t="s">
        <v>98</v>
      </c>
      <c r="CH1026" t="s">
        <v>206</v>
      </c>
      <c r="CI1026" t="s">
        <v>206</v>
      </c>
      <c r="CL1026" t="s">
        <v>108</v>
      </c>
      <c r="CM1026" t="s">
        <v>109</v>
      </c>
      <c r="CN1026" t="str">
        <f>"Pocalyko"</f>
        <v>Pocalyko</v>
      </c>
      <c r="CO1026" t="str">
        <f>"Stephen"</f>
        <v>Stephen</v>
      </c>
      <c r="CP1026" t="str">
        <f>"P"</f>
        <v>P</v>
      </c>
      <c r="CQ1026" t="str">
        <f>"ARNALL GOLDEN GREGORY LLP"</f>
        <v>ARNALL GOLDEN GREGORY LLP</v>
      </c>
      <c r="CR1026" t="s">
        <v>10979</v>
      </c>
    </row>
    <row r="1027" spans="1:96" x14ac:dyDescent="0.2">
      <c r="A1027" t="s">
        <v>10986</v>
      </c>
      <c r="B1027" t="s">
        <v>96</v>
      </c>
      <c r="C1027" s="1">
        <v>44098</v>
      </c>
      <c r="D1027" s="1">
        <v>44105</v>
      </c>
      <c r="F1027" t="s">
        <v>97</v>
      </c>
      <c r="G1027" t="str">
        <f>"Full Stack Developer III"</f>
        <v>Full Stack Developer III</v>
      </c>
      <c r="H1027" t="s">
        <v>12169</v>
      </c>
      <c r="I1027" t="s">
        <v>124</v>
      </c>
      <c r="J1027" t="s">
        <v>98</v>
      </c>
      <c r="K1027" s="1">
        <v>44123</v>
      </c>
      <c r="L1027" s="1">
        <v>45217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10987</v>
      </c>
      <c r="U1027" t="str">
        <f>""</f>
        <v/>
      </c>
      <c r="V1027" t="s">
        <v>10988</v>
      </c>
      <c r="W1027" t="str">
        <f>"BLDG. A, SUITE 200"</f>
        <v>BLDG. A, SUITE 200</v>
      </c>
      <c r="X1027" t="s">
        <v>5145</v>
      </c>
      <c r="Y1027" t="s">
        <v>215</v>
      </c>
      <c r="Z1027" s="3">
        <v>30043</v>
      </c>
      <c r="AA1027" t="s">
        <v>101</v>
      </c>
      <c r="AC1027" s="4" t="str">
        <f>"+17705313725"</f>
        <v>+17705313725</v>
      </c>
      <c r="AE1027" t="str">
        <f>"541511"</f>
        <v>541511</v>
      </c>
      <c r="AF1027" t="s">
        <v>10989</v>
      </c>
      <c r="AG1027" t="s">
        <v>5616</v>
      </c>
      <c r="AI1027" t="s">
        <v>10990</v>
      </c>
      <c r="AJ1027" t="s">
        <v>10991</v>
      </c>
      <c r="AK1027" t="str">
        <f>"SUITE 200"</f>
        <v>SUITE 200</v>
      </c>
      <c r="AL1027" t="s">
        <v>5145</v>
      </c>
      <c r="AM1027" t="s">
        <v>215</v>
      </c>
      <c r="AN1027" s="3">
        <v>30043</v>
      </c>
      <c r="AO1027" t="s">
        <v>101</v>
      </c>
      <c r="AQ1027" t="str">
        <f>"+17705313725"</f>
        <v>+17705313725</v>
      </c>
      <c r="AS1027" t="s">
        <v>10992</v>
      </c>
      <c r="AT1027" t="s">
        <v>107</v>
      </c>
      <c r="AU1027" t="str">
        <f>"Locke"</f>
        <v>Locke</v>
      </c>
      <c r="AV1027" t="str">
        <f>"Loren"</f>
        <v>Loren</v>
      </c>
      <c r="AW1027" t="str">
        <f>"C"</f>
        <v>C</v>
      </c>
      <c r="AX1027" t="str">
        <f>"271 17th Street, NW"</f>
        <v>271 17th Street, NW</v>
      </c>
      <c r="AY1027" t="str">
        <f>"Suite 1900"</f>
        <v>Suite 1900</v>
      </c>
      <c r="AZ1027" t="str">
        <f>"Atlanta"</f>
        <v>Atlanta</v>
      </c>
      <c r="BA1027" t="str">
        <f>"GA"</f>
        <v>GA</v>
      </c>
      <c r="BB1027" s="3">
        <v>30363</v>
      </c>
      <c r="BC1027" t="str">
        <f t="shared" si="79"/>
        <v>UNITED STATES OF AMERICA</v>
      </c>
      <c r="BD1027" t="str">
        <f>""</f>
        <v/>
      </c>
      <c r="BE1027" t="str">
        <f>"+14048883982"</f>
        <v>+14048883982</v>
      </c>
      <c r="BF1027" t="str">
        <f>""</f>
        <v/>
      </c>
      <c r="BG1027" t="str">
        <f>"iga@fordharrison.com"</f>
        <v>iga@fordharrison.com</v>
      </c>
      <c r="BH1027" t="str">
        <f>"Ford &amp; Harrison LLP"</f>
        <v>Ford &amp; Harrison LLP</v>
      </c>
      <c r="BI1027" t="str">
        <f>"GA"</f>
        <v>GA</v>
      </c>
      <c r="BJ1027" t="str">
        <f>"Supreme"</f>
        <v>Supreme</v>
      </c>
      <c r="BK1027">
        <v>1</v>
      </c>
      <c r="BL1027" t="s">
        <v>102</v>
      </c>
      <c r="BM1027" t="str">
        <f>""</f>
        <v/>
      </c>
      <c r="BN1027" t="s">
        <v>10993</v>
      </c>
      <c r="BO1027" t="s">
        <v>6031</v>
      </c>
      <c r="BP1027" t="s">
        <v>2932</v>
      </c>
      <c r="BQ1027" t="s">
        <v>1696</v>
      </c>
      <c r="BR1027" t="s">
        <v>215</v>
      </c>
      <c r="BS1027" s="5">
        <v>30043</v>
      </c>
      <c r="BT1027" s="2">
        <v>121139</v>
      </c>
      <c r="BU1027" s="2">
        <v>130000</v>
      </c>
      <c r="BV1027" t="s">
        <v>105</v>
      </c>
      <c r="BW1027" s="2">
        <v>121139</v>
      </c>
      <c r="BX1027" t="s">
        <v>105</v>
      </c>
      <c r="BZ1027" t="s">
        <v>159</v>
      </c>
      <c r="CA1027" t="str">
        <f t="shared" si="77"/>
        <v>7/1/2020 - 6/30/2021</v>
      </c>
      <c r="CF1027">
        <v>2</v>
      </c>
      <c r="CG1027" t="s">
        <v>98</v>
      </c>
      <c r="CH1027" t="s">
        <v>206</v>
      </c>
      <c r="CI1027" t="s">
        <v>206</v>
      </c>
      <c r="CL1027" t="s">
        <v>108</v>
      </c>
      <c r="CM1027" t="s">
        <v>109</v>
      </c>
      <c r="CN1027" t="str">
        <f>"Shannon"</f>
        <v>Shannon</v>
      </c>
      <c r="CO1027" t="str">
        <f>"Morgan"</f>
        <v>Morgan</v>
      </c>
      <c r="CP1027" t="str">
        <f>"E."</f>
        <v>E.</v>
      </c>
      <c r="CQ1027" t="str">
        <f>"FordHarrison LLP"</f>
        <v>FordHarrison LLP</v>
      </c>
      <c r="CR1027" t="s">
        <v>10364</v>
      </c>
    </row>
    <row r="1028" spans="1:96" x14ac:dyDescent="0.2">
      <c r="A1028" t="s">
        <v>10996</v>
      </c>
      <c r="B1028" t="s">
        <v>96</v>
      </c>
      <c r="C1028" s="1">
        <v>44098</v>
      </c>
      <c r="D1028" s="1">
        <v>44105</v>
      </c>
      <c r="F1028" t="s">
        <v>97</v>
      </c>
      <c r="G1028" t="str">
        <f>"Software Engineer in Test"</f>
        <v>Software Engineer in Test</v>
      </c>
      <c r="H1028" t="s">
        <v>12169</v>
      </c>
      <c r="I1028" t="s">
        <v>124</v>
      </c>
      <c r="J1028" t="s">
        <v>98</v>
      </c>
      <c r="K1028" s="1">
        <v>44109</v>
      </c>
      <c r="L1028" s="1">
        <v>45203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 t="s">
        <v>1680</v>
      </c>
      <c r="U1028" t="str">
        <f>""</f>
        <v/>
      </c>
      <c r="V1028" t="s">
        <v>1681</v>
      </c>
      <c r="W1028" t="str">
        <f>""</f>
        <v/>
      </c>
      <c r="X1028" t="s">
        <v>1682</v>
      </c>
      <c r="Y1028" t="s">
        <v>265</v>
      </c>
      <c r="Z1028" s="3">
        <v>48226</v>
      </c>
      <c r="AA1028" t="s">
        <v>101</v>
      </c>
      <c r="AC1028" s="4" t="str">
        <f>"+13135455164"</f>
        <v>+13135455164</v>
      </c>
      <c r="AE1028" t="str">
        <f>"522292"</f>
        <v>522292</v>
      </c>
      <c r="AF1028" t="s">
        <v>1683</v>
      </c>
      <c r="AG1028" t="s">
        <v>1684</v>
      </c>
      <c r="AH1028" t="s">
        <v>1685</v>
      </c>
      <c r="AI1028" t="s">
        <v>1686</v>
      </c>
      <c r="AJ1028" t="s">
        <v>1681</v>
      </c>
      <c r="AK1028" t="str">
        <f>""</f>
        <v/>
      </c>
      <c r="AL1028" t="s">
        <v>1682</v>
      </c>
      <c r="AM1028" t="s">
        <v>265</v>
      </c>
      <c r="AN1028" s="3">
        <v>48226</v>
      </c>
      <c r="AO1028" t="s">
        <v>101</v>
      </c>
      <c r="AQ1028" t="str">
        <f>"+13135455164"</f>
        <v>+13135455164</v>
      </c>
      <c r="AS1028" t="s">
        <v>1687</v>
      </c>
      <c r="AT1028" t="s">
        <v>107</v>
      </c>
      <c r="AU1028" t="str">
        <f>"Allen"</f>
        <v>Allen</v>
      </c>
      <c r="AV1028" t="str">
        <f>"Christian"</f>
        <v>Christian</v>
      </c>
      <c r="AW1028" t="str">
        <f>"S."</f>
        <v>S.</v>
      </c>
      <c r="AX1028" t="str">
        <f>"2600 W. Big Beaver Rd., Ste. 300"</f>
        <v>2600 W. Big Beaver Rd., Ste. 300</v>
      </c>
      <c r="AY1028" t="str">
        <f>""</f>
        <v/>
      </c>
      <c r="AZ1028" t="str">
        <f>"Troy"</f>
        <v>Troy</v>
      </c>
      <c r="BA1028" t="str">
        <f>"MI"</f>
        <v>MI</v>
      </c>
      <c r="BB1028" s="3">
        <v>48084</v>
      </c>
      <c r="BC1028" t="str">
        <f t="shared" si="79"/>
        <v>UNITED STATES OF AMERICA</v>
      </c>
      <c r="BD1028" t="str">
        <f>""</f>
        <v/>
      </c>
      <c r="BE1028" t="str">
        <f>"+12484337299"</f>
        <v>+12484337299</v>
      </c>
      <c r="BF1028" t="str">
        <f>""</f>
        <v/>
      </c>
      <c r="BG1028" t="str">
        <f>"callen@dickinsonwright.com"</f>
        <v>callen@dickinsonwright.com</v>
      </c>
      <c r="BH1028" t="str">
        <f>"Dickinson Wright, PLLC"</f>
        <v>Dickinson Wright, PLLC</v>
      </c>
      <c r="BI1028" t="str">
        <f>"MI"</f>
        <v>MI</v>
      </c>
      <c r="BJ1028" t="str">
        <f>"Supreme Court"</f>
        <v>Supreme Court</v>
      </c>
      <c r="BK1028">
        <v>1</v>
      </c>
      <c r="BL1028" t="s">
        <v>102</v>
      </c>
      <c r="BM1028" t="str">
        <f>""</f>
        <v/>
      </c>
      <c r="BN1028" t="s">
        <v>6856</v>
      </c>
      <c r="BP1028" t="s">
        <v>1682</v>
      </c>
      <c r="BQ1028" t="s">
        <v>533</v>
      </c>
      <c r="BR1028" t="s">
        <v>265</v>
      </c>
      <c r="BS1028" s="5">
        <v>48226</v>
      </c>
      <c r="BT1028" s="2">
        <v>88000</v>
      </c>
      <c r="BU1028" s="2">
        <v>115500</v>
      </c>
      <c r="BV1028" t="s">
        <v>105</v>
      </c>
      <c r="BW1028" s="2">
        <v>79248</v>
      </c>
      <c r="BX1028" t="s">
        <v>105</v>
      </c>
      <c r="BZ1028" t="s">
        <v>167</v>
      </c>
      <c r="CA1028" t="str">
        <f t="shared" si="77"/>
        <v>7/1/2020 - 6/30/2021</v>
      </c>
      <c r="CF1028">
        <v>2</v>
      </c>
      <c r="CG1028" t="s">
        <v>98</v>
      </c>
      <c r="CH1028" t="s">
        <v>206</v>
      </c>
      <c r="CI1028" t="s">
        <v>206</v>
      </c>
      <c r="CL1028" t="s">
        <v>108</v>
      </c>
      <c r="CM1028" t="s">
        <v>109</v>
      </c>
      <c r="CN1028" t="str">
        <f>""</f>
        <v/>
      </c>
      <c r="CO1028" t="str">
        <f>""</f>
        <v/>
      </c>
      <c r="CP1028" t="str">
        <f>""</f>
        <v/>
      </c>
      <c r="CQ1028" t="str">
        <f>""</f>
        <v/>
      </c>
    </row>
    <row r="1029" spans="1:96" x14ac:dyDescent="0.2">
      <c r="A1029" t="s">
        <v>10997</v>
      </c>
      <c r="B1029" t="s">
        <v>96</v>
      </c>
      <c r="C1029" s="1">
        <v>44098</v>
      </c>
      <c r="D1029" s="1">
        <v>44105</v>
      </c>
      <c r="F1029" t="s">
        <v>97</v>
      </c>
      <c r="G1029" t="str">
        <f>"Design Release Engineer"</f>
        <v>Design Release Engineer</v>
      </c>
      <c r="H1029" t="s">
        <v>12196</v>
      </c>
      <c r="I1029" t="s">
        <v>322</v>
      </c>
      <c r="J1029" t="s">
        <v>98</v>
      </c>
      <c r="K1029" s="1">
        <v>44221</v>
      </c>
      <c r="L1029" s="1">
        <v>45315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 t="s">
        <v>4848</v>
      </c>
      <c r="U1029" t="str">
        <f>""</f>
        <v/>
      </c>
      <c r="V1029" t="s">
        <v>4849</v>
      </c>
      <c r="W1029" t="str">
        <f>"MC: 482-C32-C66"</f>
        <v>MC: 482-C32-C66</v>
      </c>
      <c r="X1029" t="s">
        <v>528</v>
      </c>
      <c r="Y1029" t="s">
        <v>265</v>
      </c>
      <c r="Z1029" s="3" t="s">
        <v>12296</v>
      </c>
      <c r="AA1029" t="s">
        <v>101</v>
      </c>
      <c r="AC1029" s="4" t="str">
        <f>"+13135700122"</f>
        <v>+13135700122</v>
      </c>
      <c r="AE1029" t="str">
        <f>"3361"</f>
        <v>3361</v>
      </c>
      <c r="AF1029" t="s">
        <v>4850</v>
      </c>
      <c r="AG1029" t="s">
        <v>1182</v>
      </c>
      <c r="AI1029" t="s">
        <v>254</v>
      </c>
      <c r="AJ1029" t="s">
        <v>4851</v>
      </c>
      <c r="AK1029" t="str">
        <f>"MC: 482-C32-C66"</f>
        <v>MC: 482-C32-C66</v>
      </c>
      <c r="AL1029" t="s">
        <v>1682</v>
      </c>
      <c r="AM1029" t="s">
        <v>265</v>
      </c>
      <c r="AN1029" s="3" t="s">
        <v>12296</v>
      </c>
      <c r="AO1029" t="s">
        <v>101</v>
      </c>
      <c r="AQ1029" t="str">
        <f>"+13135700122"</f>
        <v>+13135700122</v>
      </c>
      <c r="AS1029" t="s">
        <v>4852</v>
      </c>
      <c r="AT1029" t="s">
        <v>107</v>
      </c>
      <c r="AU1029" t="str">
        <f>"Roby"</f>
        <v>Roby</v>
      </c>
      <c r="AV1029" t="str">
        <f>"Anthony"</f>
        <v>Anthony</v>
      </c>
      <c r="AW1029" t="str">
        <f>"Michael"</f>
        <v>Michael</v>
      </c>
      <c r="AX1029" t="str">
        <f>"566 Ann Street"</f>
        <v>566 Ann Street</v>
      </c>
      <c r="AY1029" t="str">
        <f>""</f>
        <v/>
      </c>
      <c r="AZ1029" t="str">
        <f>"Birmingham "</f>
        <v xml:space="preserve">Birmingham </v>
      </c>
      <c r="BA1029" t="str">
        <f>"MI"</f>
        <v>MI</v>
      </c>
      <c r="BB1029" s="3" t="s">
        <v>12307</v>
      </c>
      <c r="BC1029" t="str">
        <f t="shared" si="79"/>
        <v>UNITED STATES OF AMERICA</v>
      </c>
      <c r="BD1029" t="str">
        <f>""</f>
        <v/>
      </c>
      <c r="BE1029" t="str">
        <f>"+12485548500"</f>
        <v>+12485548500</v>
      </c>
      <c r="BF1029" t="str">
        <f>""</f>
        <v/>
      </c>
      <c r="BG1029" t="str">
        <f>"anthony.roby@robylaw.com"</f>
        <v>anthony.roby@robylaw.com</v>
      </c>
      <c r="BH1029" t="str">
        <f>"Roby Law Associates, PLLC"</f>
        <v>Roby Law Associates, PLLC</v>
      </c>
      <c r="BI1029" t="str">
        <f>"MI"</f>
        <v>MI</v>
      </c>
      <c r="BJ1029" t="str">
        <f>"U.S. Supreme Courts"</f>
        <v>U.S. Supreme Courts</v>
      </c>
      <c r="BK1029">
        <v>1</v>
      </c>
      <c r="BL1029" t="s">
        <v>102</v>
      </c>
      <c r="BM1029" t="str">
        <f>""</f>
        <v/>
      </c>
      <c r="BN1029" t="s">
        <v>5505</v>
      </c>
      <c r="BP1029" t="s">
        <v>1058</v>
      </c>
      <c r="BQ1029" t="s">
        <v>543</v>
      </c>
      <c r="BR1029" t="s">
        <v>265</v>
      </c>
      <c r="BS1029" s="5">
        <v>48093</v>
      </c>
      <c r="BT1029" s="2">
        <v>98670.720000000001</v>
      </c>
      <c r="BV1029" t="s">
        <v>105</v>
      </c>
      <c r="BW1029" s="2">
        <v>82555</v>
      </c>
      <c r="BX1029" t="s">
        <v>105</v>
      </c>
      <c r="BZ1029" t="s">
        <v>167</v>
      </c>
      <c r="CA1029" t="str">
        <f t="shared" si="77"/>
        <v>7/1/2020 - 6/30/2021</v>
      </c>
      <c r="CF1029">
        <v>2</v>
      </c>
      <c r="CG1029" t="s">
        <v>98</v>
      </c>
      <c r="CH1029" t="s">
        <v>206</v>
      </c>
      <c r="CI1029" t="s">
        <v>206</v>
      </c>
      <c r="CL1029" t="s">
        <v>108</v>
      </c>
      <c r="CM1029" t="s">
        <v>109</v>
      </c>
      <c r="CN1029" t="str">
        <f>""</f>
        <v/>
      </c>
      <c r="CO1029" t="str">
        <f>""</f>
        <v/>
      </c>
      <c r="CP1029" t="str">
        <f>""</f>
        <v/>
      </c>
      <c r="CQ1029" t="str">
        <f>""</f>
        <v/>
      </c>
    </row>
    <row r="1030" spans="1:96" x14ac:dyDescent="0.2">
      <c r="A1030" t="s">
        <v>10998</v>
      </c>
      <c r="B1030" t="s">
        <v>96</v>
      </c>
      <c r="C1030" s="1">
        <v>44098</v>
      </c>
      <c r="D1030" s="1">
        <v>44105</v>
      </c>
      <c r="F1030" t="s">
        <v>97</v>
      </c>
      <c r="G1030" t="str">
        <f>"Analyst"</f>
        <v>Analyst</v>
      </c>
      <c r="H1030" t="s">
        <v>12220</v>
      </c>
      <c r="I1030" t="s">
        <v>832</v>
      </c>
      <c r="J1030" t="s">
        <v>98</v>
      </c>
      <c r="K1030" s="1">
        <v>44105</v>
      </c>
      <c r="L1030" s="1">
        <v>45199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2366</v>
      </c>
      <c r="U1030" t="str">
        <f>""</f>
        <v/>
      </c>
      <c r="V1030" t="s">
        <v>1205</v>
      </c>
      <c r="W1030" t="str">
        <f>""</f>
        <v/>
      </c>
      <c r="X1030" t="s">
        <v>1206</v>
      </c>
      <c r="Y1030" t="s">
        <v>100</v>
      </c>
      <c r="Z1030" s="3">
        <v>7302</v>
      </c>
      <c r="AA1030" t="s">
        <v>101</v>
      </c>
      <c r="AC1030" s="4" t="str">
        <f>"+12129021000"</f>
        <v>+12129021000</v>
      </c>
      <c r="AE1030" t="str">
        <f>"523110"</f>
        <v>523110</v>
      </c>
      <c r="AF1030" t="s">
        <v>1207</v>
      </c>
      <c r="AG1030" t="s">
        <v>1208</v>
      </c>
      <c r="AH1030" t="s">
        <v>2367</v>
      </c>
      <c r="AI1030" t="s">
        <v>1210</v>
      </c>
      <c r="AJ1030" t="s">
        <v>1205</v>
      </c>
      <c r="AK1030" t="str">
        <f>""</f>
        <v/>
      </c>
      <c r="AL1030" t="s">
        <v>1206</v>
      </c>
      <c r="AM1030" t="s">
        <v>100</v>
      </c>
      <c r="AN1030" s="3">
        <v>7302</v>
      </c>
      <c r="AO1030" t="s">
        <v>101</v>
      </c>
      <c r="AQ1030" t="str">
        <f>"+12129021000"</f>
        <v>+12129021000</v>
      </c>
      <c r="AS1030" t="s">
        <v>1211</v>
      </c>
      <c r="AT1030" t="s">
        <v>107</v>
      </c>
      <c r="AU1030" t="str">
        <f>"BURKIC"</f>
        <v>BURKIC</v>
      </c>
      <c r="AV1030" t="str">
        <f>"BELMA"</f>
        <v>BELMA</v>
      </c>
      <c r="AW1030" t="str">
        <f>""</f>
        <v/>
      </c>
      <c r="AX1030" t="str">
        <f>"1400 BROADWAY"</f>
        <v>1400 BROADWAY</v>
      </c>
      <c r="AY1030" t="str">
        <f>""</f>
        <v/>
      </c>
      <c r="AZ1030" t="str">
        <f>"NEW YORK"</f>
        <v>NEW YORK</v>
      </c>
      <c r="BA1030" t="str">
        <f>"NY"</f>
        <v>NY</v>
      </c>
      <c r="BB1030" s="3">
        <v>10018</v>
      </c>
      <c r="BC1030" t="str">
        <f t="shared" si="79"/>
        <v>UNITED STATES OF AMERICA</v>
      </c>
      <c r="BD1030" t="str">
        <f>""</f>
        <v/>
      </c>
      <c r="BE1030" t="str">
        <f>"+12126888555"</f>
        <v>+12126888555</v>
      </c>
      <c r="BF1030" t="str">
        <f>""</f>
        <v/>
      </c>
      <c r="BG1030" t="str">
        <f>"BELMA_BURKIC@FRAGOMEN.COM"</f>
        <v>BELMA_BURKIC@FRAGOMEN.COM</v>
      </c>
      <c r="BH1030" t="str">
        <f>"Fragomen, Del Rey, Bernsen &amp; Loewy, LLP"</f>
        <v>Fragomen, Del Rey, Bernsen &amp; Loewy, LLP</v>
      </c>
      <c r="BI1030" t="str">
        <f>"NY"</f>
        <v>NY</v>
      </c>
      <c r="BJ1030" t="str">
        <f>"COURT OF APPEALS"</f>
        <v>COURT OF APPEALS</v>
      </c>
      <c r="BK1030">
        <v>1</v>
      </c>
      <c r="BL1030" t="s">
        <v>102</v>
      </c>
      <c r="BM1030" t="str">
        <f>""</f>
        <v/>
      </c>
      <c r="BN1030" t="s">
        <v>8964</v>
      </c>
      <c r="BP1030" t="s">
        <v>2151</v>
      </c>
      <c r="BQ1030" t="s">
        <v>1095</v>
      </c>
      <c r="BR1030" t="s">
        <v>169</v>
      </c>
      <c r="BS1030" s="5">
        <v>84101</v>
      </c>
      <c r="BT1030" s="2">
        <v>50000</v>
      </c>
      <c r="BV1030" t="s">
        <v>105</v>
      </c>
      <c r="BW1030" s="2">
        <v>46571</v>
      </c>
      <c r="BX1030" t="s">
        <v>105</v>
      </c>
      <c r="BZ1030" t="s">
        <v>191</v>
      </c>
      <c r="CA1030" t="str">
        <f t="shared" si="77"/>
        <v>7/1/2020 - 6/30/2021</v>
      </c>
      <c r="CF1030">
        <v>1</v>
      </c>
      <c r="CG1030" t="s">
        <v>98</v>
      </c>
      <c r="CH1030" t="s">
        <v>206</v>
      </c>
      <c r="CI1030" t="s">
        <v>206</v>
      </c>
      <c r="CL1030" t="s">
        <v>108</v>
      </c>
      <c r="CM1030" t="s">
        <v>109</v>
      </c>
      <c r="CN1030" t="str">
        <f>"Hoxha"</f>
        <v>Hoxha</v>
      </c>
      <c r="CO1030" t="str">
        <f>"Mailinda"</f>
        <v>Mailinda</v>
      </c>
      <c r="CP1030" t="str">
        <f>""</f>
        <v/>
      </c>
      <c r="CQ1030" t="str">
        <f>"Fragomen, Del Rey, Bernsen &amp; Loewy, LLP"</f>
        <v>Fragomen, Del Rey, Bernsen &amp; Loewy, LLP</v>
      </c>
      <c r="CR1030" t="s">
        <v>10885</v>
      </c>
    </row>
    <row r="1031" spans="1:96" x14ac:dyDescent="0.2">
      <c r="A1031" t="s">
        <v>11010</v>
      </c>
      <c r="B1031" t="s">
        <v>96</v>
      </c>
      <c r="C1031" s="1">
        <v>44098</v>
      </c>
      <c r="D1031" s="1">
        <v>44105</v>
      </c>
      <c r="F1031" t="s">
        <v>97</v>
      </c>
      <c r="G1031" t="str">
        <f>"Software Quality Assurance Analyst"</f>
        <v>Software Quality Assurance Analyst</v>
      </c>
      <c r="H1031" t="s">
        <v>12168</v>
      </c>
      <c r="I1031" t="s">
        <v>319</v>
      </c>
      <c r="J1031" t="s">
        <v>98</v>
      </c>
      <c r="K1031" s="1">
        <v>44227</v>
      </c>
      <c r="L1031" s="1">
        <v>45321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1522</v>
      </c>
      <c r="U1031" t="str">
        <f>""</f>
        <v/>
      </c>
      <c r="V1031" t="s">
        <v>1281</v>
      </c>
      <c r="W1031" t="str">
        <f>""</f>
        <v/>
      </c>
      <c r="X1031" t="s">
        <v>538</v>
      </c>
      <c r="Y1031" t="s">
        <v>135</v>
      </c>
      <c r="Z1031" s="3">
        <v>22030</v>
      </c>
      <c r="AA1031" t="s">
        <v>101</v>
      </c>
      <c r="AC1031" s="4" t="str">
        <f>"+17032678000"</f>
        <v>+17032678000</v>
      </c>
      <c r="AE1031" t="str">
        <f>"541512"</f>
        <v>541512</v>
      </c>
      <c r="AF1031" t="s">
        <v>1282</v>
      </c>
      <c r="AG1031" t="s">
        <v>1283</v>
      </c>
      <c r="AI1031" t="s">
        <v>1284</v>
      </c>
      <c r="AJ1031" t="s">
        <v>1281</v>
      </c>
      <c r="AK1031" t="str">
        <f>""</f>
        <v/>
      </c>
      <c r="AL1031" t="s">
        <v>538</v>
      </c>
      <c r="AM1031" t="s">
        <v>135</v>
      </c>
      <c r="AN1031" s="3">
        <v>22030</v>
      </c>
      <c r="AO1031" t="s">
        <v>101</v>
      </c>
      <c r="AQ1031" t="str">
        <f>"+17324282390"</f>
        <v>+17324282390</v>
      </c>
      <c r="AS1031" t="s">
        <v>1285</v>
      </c>
      <c r="AT1031" t="s">
        <v>107</v>
      </c>
      <c r="AU1031" t="str">
        <f>"Smith"</f>
        <v>Smith</v>
      </c>
      <c r="AV1031" t="str">
        <f>"Michael"</f>
        <v>Michael</v>
      </c>
      <c r="AW1031" t="str">
        <f>""</f>
        <v/>
      </c>
      <c r="AX1031" t="str">
        <f>"1101 15th Street, NW"</f>
        <v>1101 15th Street, NW</v>
      </c>
      <c r="AY1031" t="str">
        <f>"Suite 700"</f>
        <v>Suite 700</v>
      </c>
      <c r="AZ1031" t="str">
        <f>"Washington"</f>
        <v>Washington</v>
      </c>
      <c r="BA1031" t="str">
        <f>"DC"</f>
        <v>DC</v>
      </c>
      <c r="BB1031" s="3">
        <v>20005</v>
      </c>
      <c r="BC1031" t="str">
        <f t="shared" si="79"/>
        <v>UNITED STATES OF AMERICA</v>
      </c>
      <c r="BD1031" t="str">
        <f>""</f>
        <v/>
      </c>
      <c r="BE1031" t="str">
        <f>"+12022235515"</f>
        <v>+12022235515</v>
      </c>
      <c r="BF1031" t="str">
        <f>""</f>
        <v/>
      </c>
      <c r="BG1031" t="str">
        <f>"LCATeamPham@Fragomen.com"</f>
        <v>LCATeamPham@Fragomen.com</v>
      </c>
      <c r="BH1031" t="str">
        <f>"Fragomen, Del Rey, Bernsen &amp; Loewy, LLP"</f>
        <v>Fragomen, Del Rey, Bernsen &amp; Loewy, LLP</v>
      </c>
      <c r="BI1031" t="str">
        <f>"DC"</f>
        <v>DC</v>
      </c>
      <c r="BJ1031" t="str">
        <f>"DISTRICT OF COLUMBIA COURT OF APPEALS"</f>
        <v>DISTRICT OF COLUMBIA COURT OF APPEALS</v>
      </c>
      <c r="BK1031">
        <v>1</v>
      </c>
      <c r="BL1031" t="s">
        <v>102</v>
      </c>
      <c r="BM1031" t="str">
        <f>""</f>
        <v/>
      </c>
      <c r="BN1031" t="s">
        <v>11011</v>
      </c>
      <c r="BO1031" t="s">
        <v>5842</v>
      </c>
      <c r="BP1031" t="s">
        <v>1965</v>
      </c>
      <c r="BQ1031" t="s">
        <v>3047</v>
      </c>
      <c r="BR1031" t="s">
        <v>135</v>
      </c>
      <c r="BS1031" s="5">
        <v>20147</v>
      </c>
      <c r="BT1031" s="2">
        <v>100000</v>
      </c>
      <c r="BV1031" t="s">
        <v>105</v>
      </c>
      <c r="BW1031" s="2">
        <v>97594</v>
      </c>
      <c r="BX1031" t="s">
        <v>105</v>
      </c>
      <c r="BZ1031" t="s">
        <v>167</v>
      </c>
      <c r="CA1031" t="str">
        <f t="shared" si="77"/>
        <v>7/1/2020 - 6/30/2021</v>
      </c>
      <c r="CF1031">
        <v>2</v>
      </c>
      <c r="CG1031" t="s">
        <v>98</v>
      </c>
      <c r="CH1031" t="s">
        <v>206</v>
      </c>
      <c r="CI1031" t="s">
        <v>206</v>
      </c>
      <c r="CL1031" t="s">
        <v>108</v>
      </c>
      <c r="CM1031" t="s">
        <v>109</v>
      </c>
      <c r="CN1031" t="str">
        <f>""</f>
        <v/>
      </c>
      <c r="CO1031" t="str">
        <f>""</f>
        <v/>
      </c>
      <c r="CP1031" t="str">
        <f>""</f>
        <v/>
      </c>
      <c r="CQ1031" t="str">
        <f>""</f>
        <v/>
      </c>
    </row>
    <row r="1032" spans="1:96" x14ac:dyDescent="0.2">
      <c r="A1032" t="s">
        <v>11012</v>
      </c>
      <c r="B1032" t="s">
        <v>96</v>
      </c>
      <c r="C1032" s="1">
        <v>44098</v>
      </c>
      <c r="D1032" s="1">
        <v>44105</v>
      </c>
      <c r="F1032" t="s">
        <v>97</v>
      </c>
      <c r="G1032" t="str">
        <f>"Senior SAP PP Systems Analyst/Developer"</f>
        <v>Senior SAP PP Systems Analyst/Developer</v>
      </c>
      <c r="H1032" t="s">
        <v>12169</v>
      </c>
      <c r="I1032" t="s">
        <v>124</v>
      </c>
      <c r="J1032" t="s">
        <v>98</v>
      </c>
      <c r="K1032" s="1">
        <v>44105</v>
      </c>
      <c r="L1032" s="1">
        <v>45199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 t="s">
        <v>11013</v>
      </c>
      <c r="U1032" t="str">
        <f>""</f>
        <v/>
      </c>
      <c r="V1032" t="s">
        <v>11014</v>
      </c>
      <c r="W1032" t="str">
        <f>""</f>
        <v/>
      </c>
      <c r="X1032" t="s">
        <v>10185</v>
      </c>
      <c r="Y1032" t="s">
        <v>225</v>
      </c>
      <c r="Z1032" s="3">
        <v>45840</v>
      </c>
      <c r="AA1032" t="s">
        <v>101</v>
      </c>
      <c r="AC1032" s="4" t="str">
        <f>"+14194296630"</f>
        <v>+14194296630</v>
      </c>
      <c r="AE1032" t="str">
        <f>"326211"</f>
        <v>326211</v>
      </c>
      <c r="AF1032" t="s">
        <v>11015</v>
      </c>
      <c r="AG1032" t="s">
        <v>5616</v>
      </c>
      <c r="AH1032" t="s">
        <v>1723</v>
      </c>
      <c r="AI1032" t="s">
        <v>11016</v>
      </c>
      <c r="AJ1032" t="s">
        <v>11017</v>
      </c>
      <c r="AK1032" t="str">
        <f>""</f>
        <v/>
      </c>
      <c r="AL1032" t="s">
        <v>11018</v>
      </c>
      <c r="AM1032" t="s">
        <v>225</v>
      </c>
      <c r="AN1032" s="3">
        <v>45840</v>
      </c>
      <c r="AO1032" t="s">
        <v>101</v>
      </c>
      <c r="AQ1032" t="str">
        <f>"+14194296525"</f>
        <v>+14194296525</v>
      </c>
      <c r="AS1032" t="s">
        <v>11019</v>
      </c>
      <c r="AT1032" t="s">
        <v>107</v>
      </c>
      <c r="AU1032" t="str">
        <f>"ZAROU"</f>
        <v>ZAROU</v>
      </c>
      <c r="AV1032" t="str">
        <f>"MECHELLE"</f>
        <v>MECHELLE</v>
      </c>
      <c r="AW1032" t="str">
        <f>""</f>
        <v/>
      </c>
      <c r="AX1032" t="str">
        <f>"1000 JACKSON STREET"</f>
        <v>1000 JACKSON STREET</v>
      </c>
      <c r="AY1032" t="str">
        <f>"NORTH COURTHOUSE SQUARE"</f>
        <v>NORTH COURTHOUSE SQUARE</v>
      </c>
      <c r="AZ1032" t="str">
        <f>"TOLEDO"</f>
        <v>TOLEDO</v>
      </c>
      <c r="BA1032" t="str">
        <f>"OH"</f>
        <v>OH</v>
      </c>
      <c r="BB1032" s="3">
        <v>43604</v>
      </c>
      <c r="BC1032" t="str">
        <f t="shared" si="79"/>
        <v>UNITED STATES OF AMERICA</v>
      </c>
      <c r="BD1032" t="str">
        <f>""</f>
        <v/>
      </c>
      <c r="BE1032" t="str">
        <f>"+14193211460"</f>
        <v>+14193211460</v>
      </c>
      <c r="BF1032" t="str">
        <f>""</f>
        <v/>
      </c>
      <c r="BG1032" t="str">
        <f>"mzarou@shumaker.com"</f>
        <v>mzarou@shumaker.com</v>
      </c>
      <c r="BH1032" t="str">
        <f>"Shumaker, Loop &amp; Kendrick, LLP"</f>
        <v>Shumaker, Loop &amp; Kendrick, LLP</v>
      </c>
      <c r="BI1032" t="str">
        <f>"OH"</f>
        <v>OH</v>
      </c>
      <c r="BJ1032" t="str">
        <f>"OHIO SUPREME COURT"</f>
        <v>OHIO SUPREME COURT</v>
      </c>
      <c r="BK1032">
        <v>1</v>
      </c>
      <c r="BL1032" t="s">
        <v>102</v>
      </c>
      <c r="BM1032" t="str">
        <f>""</f>
        <v/>
      </c>
      <c r="BN1032" t="s">
        <v>11014</v>
      </c>
      <c r="BP1032" t="s">
        <v>10185</v>
      </c>
      <c r="BQ1032" t="s">
        <v>4433</v>
      </c>
      <c r="BR1032" t="s">
        <v>225</v>
      </c>
      <c r="BS1032" s="5">
        <v>45840</v>
      </c>
      <c r="BT1032" s="2">
        <v>85675</v>
      </c>
      <c r="BU1032" s="2">
        <v>130000</v>
      </c>
      <c r="BV1032" t="s">
        <v>105</v>
      </c>
      <c r="BW1032" s="2">
        <v>85675</v>
      </c>
      <c r="BX1032" t="s">
        <v>105</v>
      </c>
      <c r="BZ1032" t="s">
        <v>123</v>
      </c>
      <c r="CA1032" t="str">
        <f t="shared" si="77"/>
        <v>7/1/2020 - 6/30/2021</v>
      </c>
      <c r="CF1032">
        <v>1</v>
      </c>
      <c r="CG1032" t="s">
        <v>98</v>
      </c>
      <c r="CH1032" t="s">
        <v>206</v>
      </c>
      <c r="CI1032" t="s">
        <v>206</v>
      </c>
      <c r="CL1032" t="s">
        <v>108</v>
      </c>
      <c r="CM1032" t="s">
        <v>109</v>
      </c>
      <c r="CN1032" t="str">
        <f>"Zarou"</f>
        <v>Zarou</v>
      </c>
      <c r="CO1032" t="str">
        <f>"Mechelle"</f>
        <v>Mechelle</v>
      </c>
      <c r="CP1032" t="str">
        <f>""</f>
        <v/>
      </c>
      <c r="CQ1032" t="str">
        <f>"Shumaker, Loop &amp; Kendrick, LLP"</f>
        <v>Shumaker, Loop &amp; Kendrick, LLP</v>
      </c>
      <c r="CR1032" t="s">
        <v>4235</v>
      </c>
    </row>
    <row r="1033" spans="1:96" x14ac:dyDescent="0.2">
      <c r="A1033" t="s">
        <v>11021</v>
      </c>
      <c r="B1033" t="s">
        <v>96</v>
      </c>
      <c r="C1033" s="1">
        <v>44098</v>
      </c>
      <c r="D1033" s="1">
        <v>44105</v>
      </c>
      <c r="F1033" t="s">
        <v>97</v>
      </c>
      <c r="G1033" t="str">
        <f>"Data Scientist"</f>
        <v>Data Scientist</v>
      </c>
      <c r="H1033" t="s">
        <v>12169</v>
      </c>
      <c r="I1033" t="s">
        <v>124</v>
      </c>
      <c r="J1033" t="s">
        <v>98</v>
      </c>
      <c r="K1033" s="1">
        <v>44105</v>
      </c>
      <c r="L1033" s="1">
        <v>45199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11022</v>
      </c>
      <c r="U1033" t="str">
        <f>""</f>
        <v/>
      </c>
      <c r="V1033" t="s">
        <v>11023</v>
      </c>
      <c r="W1033" t="str">
        <f>"Suite 300"</f>
        <v>Suite 300</v>
      </c>
      <c r="X1033" t="s">
        <v>261</v>
      </c>
      <c r="Y1033" t="s">
        <v>176</v>
      </c>
      <c r="Z1033" s="3">
        <v>98103</v>
      </c>
      <c r="AA1033" t="s">
        <v>101</v>
      </c>
      <c r="AC1033" s="4" t="str">
        <f>"+12063244594"</f>
        <v>+12063244594</v>
      </c>
      <c r="AE1033" t="str">
        <f>"541990"</f>
        <v>541990</v>
      </c>
      <c r="AF1033" t="s">
        <v>11024</v>
      </c>
      <c r="AG1033" t="s">
        <v>6542</v>
      </c>
      <c r="AI1033" t="s">
        <v>7734</v>
      </c>
      <c r="AJ1033" t="s">
        <v>11023</v>
      </c>
      <c r="AK1033" t="str">
        <f>"Suite 300"</f>
        <v>Suite 300</v>
      </c>
      <c r="AL1033" t="s">
        <v>261</v>
      </c>
      <c r="AM1033" t="s">
        <v>176</v>
      </c>
      <c r="AN1033" s="3">
        <v>98103</v>
      </c>
      <c r="AO1033" t="s">
        <v>101</v>
      </c>
      <c r="AQ1033" t="str">
        <f>"+12063244594"</f>
        <v>+12063244594</v>
      </c>
      <c r="AS1033" t="s">
        <v>11025</v>
      </c>
      <c r="AT1033" t="s">
        <v>107</v>
      </c>
      <c r="AU1033" t="str">
        <f>"Mehta"</f>
        <v>Mehta</v>
      </c>
      <c r="AV1033" t="str">
        <f>"Radhika"</f>
        <v>Radhika</v>
      </c>
      <c r="AW1033" t="str">
        <f>""</f>
        <v/>
      </c>
      <c r="AX1033" t="str">
        <f>"1201 Third Avenue"</f>
        <v>1201 Third Avenue</v>
      </c>
      <c r="AY1033" t="str">
        <f>"Suite 2750"</f>
        <v>Suite 2750</v>
      </c>
      <c r="AZ1033" t="str">
        <f>"Seattle"</f>
        <v>Seattle</v>
      </c>
      <c r="BA1033" t="str">
        <f>"WA"</f>
        <v>WA</v>
      </c>
      <c r="BB1033" s="3">
        <v>98101</v>
      </c>
      <c r="BC1033" t="str">
        <f t="shared" si="79"/>
        <v>UNITED STATES OF AMERICA</v>
      </c>
      <c r="BD1033" t="str">
        <f>""</f>
        <v/>
      </c>
      <c r="BE1033" t="str">
        <f>"+12066822308"</f>
        <v>+12066822308</v>
      </c>
      <c r="BF1033" t="str">
        <f>""</f>
        <v/>
      </c>
      <c r="BG1033" t="str">
        <f>"sea-immigration@fisherphillips.com"</f>
        <v>sea-immigration@fisherphillips.com</v>
      </c>
      <c r="BH1033" t="str">
        <f>"Fisher &amp; Phillips LLP"</f>
        <v>Fisher &amp; Phillips LLP</v>
      </c>
      <c r="BI1033" t="str">
        <f>"CA"</f>
        <v>CA</v>
      </c>
      <c r="BJ1033" t="str">
        <f>"Court of Appeals"</f>
        <v>Court of Appeals</v>
      </c>
      <c r="BK1033">
        <v>1</v>
      </c>
      <c r="BL1033" t="s">
        <v>107</v>
      </c>
      <c r="BM1033" t="str">
        <f>"Microsoft Redwest C, "</f>
        <v xml:space="preserve">Microsoft Redwest C, </v>
      </c>
      <c r="BN1033" t="s">
        <v>11026</v>
      </c>
      <c r="BP1033" t="s">
        <v>182</v>
      </c>
      <c r="BQ1033" t="s">
        <v>183</v>
      </c>
      <c r="BR1033" t="s">
        <v>176</v>
      </c>
      <c r="BS1033" s="5">
        <v>98005</v>
      </c>
      <c r="BT1033" s="2">
        <v>47.5</v>
      </c>
      <c r="BV1033" t="s">
        <v>210</v>
      </c>
      <c r="BW1033" s="2">
        <v>44.28</v>
      </c>
      <c r="BX1033" t="s">
        <v>210</v>
      </c>
      <c r="BZ1033" t="s">
        <v>191</v>
      </c>
      <c r="CA1033" t="str">
        <f t="shared" si="77"/>
        <v>7/1/2020 - 6/30/2021</v>
      </c>
      <c r="CF1033">
        <v>2</v>
      </c>
      <c r="CG1033" t="s">
        <v>98</v>
      </c>
      <c r="CH1033" t="s">
        <v>206</v>
      </c>
      <c r="CI1033" t="s">
        <v>206</v>
      </c>
      <c r="CL1033" t="s">
        <v>108</v>
      </c>
      <c r="CM1033" t="s">
        <v>109</v>
      </c>
      <c r="CN1033" t="str">
        <f>"Wong"</f>
        <v>Wong</v>
      </c>
      <c r="CO1033" t="str">
        <f>"Erica"</f>
        <v>Erica</v>
      </c>
      <c r="CP1033" t="str">
        <f>"N.A"</f>
        <v>N.A</v>
      </c>
      <c r="CQ1033" t="str">
        <f>"Fisher &amp; Phillips LLP"</f>
        <v>Fisher &amp; Phillips LLP</v>
      </c>
      <c r="CR1033" t="s">
        <v>5343</v>
      </c>
    </row>
    <row r="1034" spans="1:96" x14ac:dyDescent="0.2">
      <c r="A1034" t="s">
        <v>11027</v>
      </c>
      <c r="B1034" t="s">
        <v>96</v>
      </c>
      <c r="C1034" s="1">
        <v>44098</v>
      </c>
      <c r="D1034" s="1">
        <v>44105</v>
      </c>
      <c r="F1034" t="s">
        <v>97</v>
      </c>
      <c r="G1034" t="str">
        <f>"UX Reseacher 1615.44182"</f>
        <v>UX Reseacher 1615.44182</v>
      </c>
      <c r="H1034" t="s">
        <v>12191</v>
      </c>
      <c r="I1034" t="s">
        <v>649</v>
      </c>
      <c r="J1034" t="s">
        <v>98</v>
      </c>
      <c r="K1034" s="1">
        <v>44104</v>
      </c>
      <c r="L1034" s="1">
        <v>45198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 t="s">
        <v>289</v>
      </c>
      <c r="U1034" t="str">
        <f>""</f>
        <v/>
      </c>
      <c r="V1034" t="s">
        <v>290</v>
      </c>
      <c r="W1034" t="str">
        <f>"N/A"</f>
        <v>N/A</v>
      </c>
      <c r="X1034" t="s">
        <v>155</v>
      </c>
      <c r="Y1034" t="s">
        <v>141</v>
      </c>
      <c r="Z1034" s="3">
        <v>94043</v>
      </c>
      <c r="AA1034" t="s">
        <v>101</v>
      </c>
      <c r="AC1034" s="4" t="str">
        <f>"+16502534513"</f>
        <v>+16502534513</v>
      </c>
      <c r="AE1034" t="str">
        <f>"541512"</f>
        <v>541512</v>
      </c>
      <c r="AF1034" t="s">
        <v>291</v>
      </c>
      <c r="AG1034" t="s">
        <v>292</v>
      </c>
      <c r="AH1034" t="s">
        <v>108</v>
      </c>
      <c r="AI1034" t="s">
        <v>293</v>
      </c>
      <c r="AJ1034" t="s">
        <v>290</v>
      </c>
      <c r="AK1034" t="str">
        <f>"N/A"</f>
        <v>N/A</v>
      </c>
      <c r="AL1034" t="s">
        <v>155</v>
      </c>
      <c r="AM1034" t="s">
        <v>141</v>
      </c>
      <c r="AN1034" s="3">
        <v>94043</v>
      </c>
      <c r="AO1034" t="s">
        <v>101</v>
      </c>
      <c r="AQ1034" t="str">
        <f>"+16502534513"</f>
        <v>+16502534513</v>
      </c>
      <c r="AS1034" t="s">
        <v>294</v>
      </c>
      <c r="AT1034" t="s">
        <v>107</v>
      </c>
      <c r="AU1034" t="str">
        <f>"Hussain"</f>
        <v>Hussain</v>
      </c>
      <c r="AV1034" t="str">
        <f>"Saima"</f>
        <v>Saima</v>
      </c>
      <c r="AW1034" t="str">
        <f>"N/A"</f>
        <v>N/A</v>
      </c>
      <c r="AX1034" t="str">
        <f>"2400 N Glenville Dr, Building A"</f>
        <v>2400 N Glenville Dr, Building A</v>
      </c>
      <c r="AY1034" t="str">
        <f>"Suite 100"</f>
        <v>Suite 100</v>
      </c>
      <c r="AZ1034" t="str">
        <f>"Richardson "</f>
        <v xml:space="preserve">Richardson </v>
      </c>
      <c r="BA1034" t="str">
        <f>"TX"</f>
        <v>TX</v>
      </c>
      <c r="BB1034" s="3">
        <v>75082</v>
      </c>
      <c r="BC1034" t="str">
        <f t="shared" si="79"/>
        <v>UNITED STATES OF AMERICA</v>
      </c>
      <c r="BD1034" t="str">
        <f>""</f>
        <v/>
      </c>
      <c r="BE1034" t="str">
        <f>"+19727296272"</f>
        <v>+19727296272</v>
      </c>
      <c r="BF1034" t="str">
        <f>""</f>
        <v/>
      </c>
      <c r="BG1034" t="str">
        <f>"googledol@balglobal.com"</f>
        <v>googledol@balglobal.com</v>
      </c>
      <c r="BH1034" t="str">
        <f>"Berry Appleman &amp; Leiden LLP"</f>
        <v>Berry Appleman &amp; Leiden LLP</v>
      </c>
      <c r="BI1034" t="str">
        <f>"TX"</f>
        <v>TX</v>
      </c>
      <c r="BJ1034" t="str">
        <f>"Supreme Court of Texas"</f>
        <v>Supreme Court of Texas</v>
      </c>
      <c r="BK1034">
        <v>1</v>
      </c>
      <c r="BL1034" t="s">
        <v>102</v>
      </c>
      <c r="BM1034" t="str">
        <f>""</f>
        <v/>
      </c>
      <c r="BN1034" t="s">
        <v>2287</v>
      </c>
      <c r="BP1034" t="s">
        <v>261</v>
      </c>
      <c r="BQ1034" t="s">
        <v>183</v>
      </c>
      <c r="BR1034" t="s">
        <v>176</v>
      </c>
      <c r="BS1034" s="5">
        <v>98103</v>
      </c>
      <c r="BT1034" s="2">
        <v>133000</v>
      </c>
      <c r="BV1034" t="s">
        <v>105</v>
      </c>
      <c r="BW1034" s="2">
        <v>124384</v>
      </c>
      <c r="BX1034" t="s">
        <v>105</v>
      </c>
      <c r="BZ1034" t="s">
        <v>167</v>
      </c>
      <c r="CA1034" t="str">
        <f t="shared" si="77"/>
        <v>7/1/2020 - 6/30/2021</v>
      </c>
      <c r="CF1034">
        <v>2</v>
      </c>
      <c r="CG1034" t="s">
        <v>98</v>
      </c>
      <c r="CH1034" t="s">
        <v>206</v>
      </c>
      <c r="CI1034" t="s">
        <v>206</v>
      </c>
      <c r="CL1034" t="s">
        <v>108</v>
      </c>
      <c r="CM1034" t="s">
        <v>109</v>
      </c>
      <c r="CN1034" t="str">
        <f>"Allen "</f>
        <v xml:space="preserve">Allen </v>
      </c>
      <c r="CO1034" t="str">
        <f>"Deezana "</f>
        <v xml:space="preserve">Deezana </v>
      </c>
      <c r="CP1034" t="str">
        <f>"S"</f>
        <v>S</v>
      </c>
      <c r="CQ1034" t="str">
        <f>"Berry Appleman &amp; Leiden LLP"</f>
        <v>Berry Appleman &amp; Leiden LLP</v>
      </c>
      <c r="CR1034" t="s">
        <v>296</v>
      </c>
    </row>
    <row r="1035" spans="1:96" x14ac:dyDescent="0.2">
      <c r="A1035" t="s">
        <v>11028</v>
      </c>
      <c r="B1035" t="s">
        <v>96</v>
      </c>
      <c r="C1035" s="1">
        <v>44098</v>
      </c>
      <c r="D1035" s="1">
        <v>44105</v>
      </c>
      <c r="F1035" t="s">
        <v>97</v>
      </c>
      <c r="G1035" t="str">
        <f>"BI Developer"</f>
        <v>BI Developer</v>
      </c>
      <c r="H1035" t="s">
        <v>12168</v>
      </c>
      <c r="I1035" t="s">
        <v>249</v>
      </c>
      <c r="J1035" t="s">
        <v>98</v>
      </c>
      <c r="K1035" s="1">
        <v>44105</v>
      </c>
      <c r="L1035" s="1">
        <v>45199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9376</v>
      </c>
      <c r="U1035" t="str">
        <f>""</f>
        <v/>
      </c>
      <c r="V1035" t="s">
        <v>11029</v>
      </c>
      <c r="W1035" t="str">
        <f>""</f>
        <v/>
      </c>
      <c r="X1035" t="s">
        <v>2253</v>
      </c>
      <c r="Y1035" t="s">
        <v>594</v>
      </c>
      <c r="Z1035" s="3">
        <v>29306</v>
      </c>
      <c r="AA1035" t="s">
        <v>101</v>
      </c>
      <c r="AC1035" s="4" t="str">
        <f>"+18645155600"</f>
        <v>+18645155600</v>
      </c>
      <c r="AE1035" t="str">
        <f>"522310"</f>
        <v>522310</v>
      </c>
      <c r="AF1035" t="s">
        <v>1385</v>
      </c>
      <c r="AG1035" t="s">
        <v>9378</v>
      </c>
      <c r="AI1035" t="s">
        <v>9379</v>
      </c>
      <c r="AJ1035" t="s">
        <v>11029</v>
      </c>
      <c r="AK1035" t="str">
        <f>""</f>
        <v/>
      </c>
      <c r="AL1035" t="s">
        <v>2253</v>
      </c>
      <c r="AM1035" t="s">
        <v>594</v>
      </c>
      <c r="AN1035" s="3">
        <v>29306</v>
      </c>
      <c r="AO1035" t="s">
        <v>101</v>
      </c>
      <c r="AQ1035" t="str">
        <f>"+18642425227"</f>
        <v>+18642425227</v>
      </c>
      <c r="AS1035" t="s">
        <v>11030</v>
      </c>
      <c r="AT1035" t="s">
        <v>107</v>
      </c>
      <c r="AU1035" t="str">
        <f>"HERRMANN"</f>
        <v>HERRMANN</v>
      </c>
      <c r="AV1035" t="str">
        <f>"CHRISTIAN"</f>
        <v>CHRISTIAN</v>
      </c>
      <c r="AW1035" t="str">
        <f>""</f>
        <v/>
      </c>
      <c r="AX1035" t="str">
        <f>"300 NORTH MAIN STREET"</f>
        <v>300 NORTH MAIN STREET</v>
      </c>
      <c r="AY1035" t="str">
        <f>"SUITE 500"</f>
        <v>SUITE 500</v>
      </c>
      <c r="AZ1035" t="str">
        <f>"GREENVILLE"</f>
        <v>GREENVILLE</v>
      </c>
      <c r="BA1035" t="str">
        <f>"SC"</f>
        <v>SC</v>
      </c>
      <c r="BB1035" s="3">
        <v>29601</v>
      </c>
      <c r="BC1035" t="str">
        <f t="shared" si="79"/>
        <v>UNITED STATES OF AMERICA</v>
      </c>
      <c r="BD1035" t="str">
        <f>""</f>
        <v/>
      </c>
      <c r="BE1035" t="str">
        <f>"+18642408214"</f>
        <v>+18642408214</v>
      </c>
      <c r="BF1035" t="str">
        <f>""</f>
        <v/>
      </c>
      <c r="BG1035" t="str">
        <f>"CHRISTIAN.HERRMANN@OGLETREE.COM"</f>
        <v>CHRISTIAN.HERRMANN@OGLETREE.COM</v>
      </c>
      <c r="BH1035" t="str">
        <f>"Ogletree Deakins Nash Smoak &amp; Stewart, P.C."</f>
        <v>Ogletree Deakins Nash Smoak &amp; Stewart, P.C.</v>
      </c>
      <c r="BI1035" t="str">
        <f>"CA"</f>
        <v>CA</v>
      </c>
      <c r="BJ1035" t="str">
        <f>"CALIFORNIA SUPREME COURT"</f>
        <v>CALIFORNIA SUPREME COURT</v>
      </c>
      <c r="BK1035">
        <v>1</v>
      </c>
      <c r="BL1035" t="s">
        <v>102</v>
      </c>
      <c r="BM1035" t="str">
        <f>""</f>
        <v/>
      </c>
      <c r="BN1035" t="s">
        <v>9377</v>
      </c>
      <c r="BP1035" t="s">
        <v>2253</v>
      </c>
      <c r="BQ1035" t="s">
        <v>5845</v>
      </c>
      <c r="BR1035" t="s">
        <v>594</v>
      </c>
      <c r="BS1035" s="5">
        <v>29306</v>
      </c>
      <c r="BT1035" s="2">
        <v>70516</v>
      </c>
      <c r="BU1035" s="2">
        <v>72901.149999999994</v>
      </c>
      <c r="BV1035" t="s">
        <v>105</v>
      </c>
      <c r="BW1035" s="2">
        <v>70516</v>
      </c>
      <c r="BX1035" t="s">
        <v>105</v>
      </c>
      <c r="CA1035" t="str">
        <f>""</f>
        <v/>
      </c>
      <c r="CB1035" t="s">
        <v>244</v>
      </c>
      <c r="CC1035">
        <v>2020</v>
      </c>
      <c r="CD1035" t="s">
        <v>1823</v>
      </c>
      <c r="CE1035" t="s">
        <v>11031</v>
      </c>
      <c r="CF1035">
        <v>2</v>
      </c>
      <c r="CG1035" t="s">
        <v>98</v>
      </c>
      <c r="CH1035" t="s">
        <v>206</v>
      </c>
      <c r="CI1035" t="s">
        <v>206</v>
      </c>
      <c r="CL1035" t="s">
        <v>108</v>
      </c>
      <c r="CM1035" t="s">
        <v>109</v>
      </c>
      <c r="CN1035" t="str">
        <f>""</f>
        <v/>
      </c>
      <c r="CO1035" t="str">
        <f>""</f>
        <v/>
      </c>
      <c r="CP1035" t="str">
        <f>""</f>
        <v/>
      </c>
      <c r="CQ1035" t="str">
        <f>""</f>
        <v/>
      </c>
    </row>
    <row r="1036" spans="1:96" x14ac:dyDescent="0.2">
      <c r="A1036" t="s">
        <v>11032</v>
      </c>
      <c r="B1036" t="s">
        <v>96</v>
      </c>
      <c r="C1036" s="1">
        <v>44098</v>
      </c>
      <c r="D1036" s="1">
        <v>44105</v>
      </c>
      <c r="F1036" t="s">
        <v>97</v>
      </c>
      <c r="G1036" t="str">
        <f>"Legal Writer"</f>
        <v>Legal Writer</v>
      </c>
      <c r="H1036" t="s">
        <v>12269</v>
      </c>
      <c r="I1036" t="s">
        <v>3642</v>
      </c>
      <c r="J1036" t="s">
        <v>98</v>
      </c>
      <c r="K1036" s="1">
        <v>44105</v>
      </c>
      <c r="L1036" s="1">
        <v>45199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11033</v>
      </c>
      <c r="U1036" t="str">
        <f>""</f>
        <v/>
      </c>
      <c r="V1036" t="s">
        <v>11034</v>
      </c>
      <c r="W1036" t="str">
        <f>""</f>
        <v/>
      </c>
      <c r="X1036" t="s">
        <v>1924</v>
      </c>
      <c r="Y1036" t="s">
        <v>141</v>
      </c>
      <c r="Z1036" s="3">
        <v>90401</v>
      </c>
      <c r="AA1036" t="s">
        <v>101</v>
      </c>
      <c r="AC1036" s="4" t="str">
        <f>"+18008472529"</f>
        <v>+18008472529</v>
      </c>
      <c r="AE1036" t="str">
        <f>"541110"</f>
        <v>541110</v>
      </c>
      <c r="AF1036" t="s">
        <v>11035</v>
      </c>
      <c r="AG1036" t="s">
        <v>5151</v>
      </c>
      <c r="AH1036" t="s">
        <v>914</v>
      </c>
      <c r="AI1036" t="s">
        <v>790</v>
      </c>
      <c r="AJ1036" t="s">
        <v>11036</v>
      </c>
      <c r="AK1036" t="str">
        <f>"15th Floor"</f>
        <v>15th Floor</v>
      </c>
      <c r="AL1036" t="s">
        <v>295</v>
      </c>
      <c r="AM1036" t="s">
        <v>190</v>
      </c>
      <c r="AN1036" s="3">
        <v>10022</v>
      </c>
      <c r="AO1036" t="s">
        <v>101</v>
      </c>
      <c r="AQ1036" t="str">
        <f>"+12128995040"</f>
        <v>+12128995040</v>
      </c>
      <c r="AS1036" t="s">
        <v>11037</v>
      </c>
      <c r="AT1036" t="s">
        <v>102</v>
      </c>
      <c r="AU1036" t="str">
        <f>""</f>
        <v/>
      </c>
      <c r="AV1036" t="str">
        <f>""</f>
        <v/>
      </c>
      <c r="AW1036" t="str">
        <f>""</f>
        <v/>
      </c>
      <c r="AX1036" t="str">
        <f>""</f>
        <v/>
      </c>
      <c r="AY1036" t="str">
        <f>""</f>
        <v/>
      </c>
      <c r="AZ1036" t="str">
        <f>""</f>
        <v/>
      </c>
      <c r="BA1036" t="str">
        <f>""</f>
        <v/>
      </c>
      <c r="BC1036" t="str">
        <f>""</f>
        <v/>
      </c>
      <c r="BD1036" t="str">
        <f>""</f>
        <v/>
      </c>
      <c r="BE1036" t="str">
        <f>""</f>
        <v/>
      </c>
      <c r="BF1036" t="str">
        <f>""</f>
        <v/>
      </c>
      <c r="BG1036" t="str">
        <f>""</f>
        <v/>
      </c>
      <c r="BH1036" t="str">
        <f>""</f>
        <v/>
      </c>
      <c r="BI1036" t="str">
        <f>""</f>
        <v/>
      </c>
      <c r="BJ1036" t="str">
        <f>""</f>
        <v/>
      </c>
      <c r="BK1036">
        <v>1</v>
      </c>
      <c r="BL1036" t="s">
        <v>102</v>
      </c>
      <c r="BM1036" t="str">
        <f>""</f>
        <v/>
      </c>
      <c r="BN1036" t="s">
        <v>11036</v>
      </c>
      <c r="BO1036" t="s">
        <v>3312</v>
      </c>
      <c r="BP1036" t="s">
        <v>6575</v>
      </c>
      <c r="BQ1036" t="s">
        <v>189</v>
      </c>
      <c r="BR1036" t="s">
        <v>190</v>
      </c>
      <c r="BS1036" s="5">
        <v>10022</v>
      </c>
      <c r="BT1036" s="2">
        <v>52000</v>
      </c>
      <c r="BV1036" t="s">
        <v>105</v>
      </c>
      <c r="BW1036" s="2">
        <v>51584</v>
      </c>
      <c r="BX1036" t="s">
        <v>105</v>
      </c>
      <c r="BZ1036" t="s">
        <v>191</v>
      </c>
      <c r="CA1036" t="str">
        <f t="shared" ref="CA1036:CA1067" si="80">"7/1/2020 - 6/30/2021"</f>
        <v>7/1/2020 - 6/30/2021</v>
      </c>
      <c r="CF1036">
        <v>1</v>
      </c>
      <c r="CG1036" t="s">
        <v>98</v>
      </c>
      <c r="CH1036" t="s">
        <v>206</v>
      </c>
      <c r="CI1036" t="s">
        <v>206</v>
      </c>
      <c r="CL1036" t="s">
        <v>108</v>
      </c>
      <c r="CM1036" t="s">
        <v>109</v>
      </c>
      <c r="CN1036" t="str">
        <f>"Speake"</f>
        <v>Speake</v>
      </c>
      <c r="CO1036" t="str">
        <f>"Kristine"</f>
        <v>Kristine</v>
      </c>
      <c r="CP1036" t="str">
        <f>""</f>
        <v/>
      </c>
      <c r="CQ1036" t="str">
        <f>"Wolfsdorf Rosenthal LLP"</f>
        <v>Wolfsdorf Rosenthal LLP</v>
      </c>
      <c r="CR1036" t="s">
        <v>4221</v>
      </c>
    </row>
    <row r="1037" spans="1:96" x14ac:dyDescent="0.2">
      <c r="A1037" t="s">
        <v>11051</v>
      </c>
      <c r="B1037" t="s">
        <v>96</v>
      </c>
      <c r="C1037" s="1">
        <v>44098</v>
      </c>
      <c r="D1037" s="1">
        <v>44105</v>
      </c>
      <c r="F1037" t="s">
        <v>97</v>
      </c>
      <c r="G1037" t="str">
        <f>"Senior Platform Product Manager"</f>
        <v>Senior Platform Product Manager</v>
      </c>
      <c r="H1037" t="s">
        <v>12178</v>
      </c>
      <c r="I1037" t="s">
        <v>582</v>
      </c>
      <c r="J1037" t="s">
        <v>98</v>
      </c>
      <c r="K1037" s="1">
        <v>44102</v>
      </c>
      <c r="L1037" s="1">
        <v>45196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 t="s">
        <v>6151</v>
      </c>
      <c r="U1037" t="str">
        <f>""</f>
        <v/>
      </c>
      <c r="V1037" t="s">
        <v>6152</v>
      </c>
      <c r="W1037" t="str">
        <f>"Ste. 1550"</f>
        <v>Ste. 1550</v>
      </c>
      <c r="X1037" t="s">
        <v>146</v>
      </c>
      <c r="Y1037" t="s">
        <v>141</v>
      </c>
      <c r="Z1037" s="3">
        <v>94105</v>
      </c>
      <c r="AA1037" t="s">
        <v>101</v>
      </c>
      <c r="AC1037" s="4" t="str">
        <f>"+14154894940"</f>
        <v>+14154894940</v>
      </c>
      <c r="AE1037" t="str">
        <f>"541511"</f>
        <v>541511</v>
      </c>
      <c r="AF1037" t="s">
        <v>5785</v>
      </c>
      <c r="AG1037" t="s">
        <v>3739</v>
      </c>
      <c r="AI1037" t="s">
        <v>6153</v>
      </c>
      <c r="AJ1037" t="s">
        <v>6154</v>
      </c>
      <c r="AK1037" t="str">
        <f>""</f>
        <v/>
      </c>
      <c r="AL1037" t="s">
        <v>146</v>
      </c>
      <c r="AM1037" t="s">
        <v>141</v>
      </c>
      <c r="AN1037" s="3">
        <v>94105</v>
      </c>
      <c r="AO1037" t="s">
        <v>101</v>
      </c>
      <c r="AQ1037" t="str">
        <f>"+14157672899"</f>
        <v>+14157672899</v>
      </c>
      <c r="AS1037" t="s">
        <v>5132</v>
      </c>
      <c r="AT1037" t="s">
        <v>107</v>
      </c>
      <c r="AU1037" t="str">
        <f>"Tafapolsky"</f>
        <v>Tafapolsky</v>
      </c>
      <c r="AV1037" t="str">
        <f>"Alan"</f>
        <v>Alan</v>
      </c>
      <c r="AW1037" t="str">
        <f>""</f>
        <v/>
      </c>
      <c r="AX1037" t="str">
        <f>"90 New Montgomery Street"</f>
        <v>90 New Montgomery Street</v>
      </c>
      <c r="AY1037" t="str">
        <f>"8th Floor"</f>
        <v>8th Floor</v>
      </c>
      <c r="AZ1037" t="str">
        <f>"San Francisco"</f>
        <v>San Francisco</v>
      </c>
      <c r="BA1037" t="str">
        <f>"CA"</f>
        <v>CA</v>
      </c>
      <c r="BB1037" s="3">
        <v>94105</v>
      </c>
      <c r="BC1037" t="str">
        <f>"UNITED STATES OF AMERICA"</f>
        <v>UNITED STATES OF AMERICA</v>
      </c>
      <c r="BD1037" t="str">
        <f>""</f>
        <v/>
      </c>
      <c r="BE1037" t="str">
        <f>"+14159759800"</f>
        <v>+14159759800</v>
      </c>
      <c r="BF1037" t="str">
        <f>""</f>
        <v/>
      </c>
      <c r="BG1037" t="str">
        <f>"flag-SF1@tsmimmigration.com"</f>
        <v>flag-SF1@tsmimmigration.com</v>
      </c>
      <c r="BH1037" t="str">
        <f>"Tafapolsky Smith Mehlman LLP"</f>
        <v>Tafapolsky Smith Mehlman LLP</v>
      </c>
      <c r="BI1037" t="str">
        <f>"CA"</f>
        <v>CA</v>
      </c>
      <c r="BJ1037" t="str">
        <f>"Supreme Court"</f>
        <v>Supreme Court</v>
      </c>
      <c r="BK1037">
        <v>1</v>
      </c>
      <c r="BL1037" t="s">
        <v>102</v>
      </c>
      <c r="BM1037" t="str">
        <f>""</f>
        <v/>
      </c>
      <c r="BN1037" t="s">
        <v>1523</v>
      </c>
      <c r="BO1037" t="s">
        <v>6155</v>
      </c>
      <c r="BP1037" t="s">
        <v>140</v>
      </c>
      <c r="BQ1037" t="s">
        <v>147</v>
      </c>
      <c r="BR1037" t="s">
        <v>141</v>
      </c>
      <c r="BS1037" s="5">
        <v>94105</v>
      </c>
      <c r="BT1037" s="2">
        <v>175000</v>
      </c>
      <c r="BU1037" s="2">
        <v>187300</v>
      </c>
      <c r="BV1037" t="s">
        <v>105</v>
      </c>
      <c r="BW1037" s="2">
        <v>166754</v>
      </c>
      <c r="BX1037" t="s">
        <v>105</v>
      </c>
      <c r="BZ1037" t="s">
        <v>167</v>
      </c>
      <c r="CA1037" t="str">
        <f t="shared" si="80"/>
        <v>7/1/2020 - 6/30/2021</v>
      </c>
      <c r="CF1037">
        <v>1</v>
      </c>
      <c r="CG1037" t="s">
        <v>98</v>
      </c>
      <c r="CH1037" t="s">
        <v>206</v>
      </c>
      <c r="CI1037" t="s">
        <v>206</v>
      </c>
      <c r="CL1037" t="s">
        <v>108</v>
      </c>
      <c r="CM1037" t="s">
        <v>109</v>
      </c>
      <c r="CN1037" t="str">
        <f>"Dewey"</f>
        <v>Dewey</v>
      </c>
      <c r="CO1037" t="str">
        <f>"James"</f>
        <v>James</v>
      </c>
      <c r="CP1037" t="str">
        <f>""</f>
        <v/>
      </c>
      <c r="CQ1037" t="str">
        <f>"Tafapolsky Smith Mehlman LLP"</f>
        <v>Tafapolsky Smith Mehlman LLP</v>
      </c>
      <c r="CR1037" t="s">
        <v>1552</v>
      </c>
    </row>
    <row r="1038" spans="1:96" x14ac:dyDescent="0.2">
      <c r="A1038" t="s">
        <v>11058</v>
      </c>
      <c r="B1038" t="s">
        <v>96</v>
      </c>
      <c r="C1038" s="1">
        <v>44098</v>
      </c>
      <c r="D1038" s="1">
        <v>44105</v>
      </c>
      <c r="F1038" t="s">
        <v>97</v>
      </c>
      <c r="G1038" t="str">
        <f>"Lead UX Designer"</f>
        <v>Lead UX Designer</v>
      </c>
      <c r="H1038" t="s">
        <v>12168</v>
      </c>
      <c r="I1038" t="s">
        <v>367</v>
      </c>
      <c r="J1038" t="s">
        <v>98</v>
      </c>
      <c r="K1038" s="1">
        <v>44103</v>
      </c>
      <c r="L1038" s="1">
        <v>45197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 t="s">
        <v>11059</v>
      </c>
      <c r="U1038" t="str">
        <f>""</f>
        <v/>
      </c>
      <c r="V1038" t="s">
        <v>11060</v>
      </c>
      <c r="W1038" t="str">
        <f>"Suite 200"</f>
        <v>Suite 200</v>
      </c>
      <c r="X1038" t="s">
        <v>1008</v>
      </c>
      <c r="Y1038" t="s">
        <v>195</v>
      </c>
      <c r="Z1038" s="3">
        <v>21230</v>
      </c>
      <c r="AA1038" t="s">
        <v>101</v>
      </c>
      <c r="AC1038" s="4" t="str">
        <f>"+14109882444"</f>
        <v>+14109882444</v>
      </c>
      <c r="AE1038" t="str">
        <f>"54199"</f>
        <v>54199</v>
      </c>
      <c r="AF1038" t="s">
        <v>9780</v>
      </c>
      <c r="AG1038" t="s">
        <v>5152</v>
      </c>
      <c r="AI1038" t="s">
        <v>860</v>
      </c>
      <c r="AJ1038" t="s">
        <v>11060</v>
      </c>
      <c r="AK1038" t="str">
        <f>"Suite 200"</f>
        <v>Suite 200</v>
      </c>
      <c r="AL1038" t="s">
        <v>1008</v>
      </c>
      <c r="AM1038" t="s">
        <v>195</v>
      </c>
      <c r="AN1038" s="3">
        <v>21230</v>
      </c>
      <c r="AO1038" t="s">
        <v>101</v>
      </c>
      <c r="AQ1038" t="str">
        <f>"+14433066868"</f>
        <v>+14433066868</v>
      </c>
      <c r="AS1038" t="s">
        <v>11061</v>
      </c>
      <c r="AT1038" t="s">
        <v>107</v>
      </c>
      <c r="AU1038" t="str">
        <f>"Sachse"</f>
        <v>Sachse</v>
      </c>
      <c r="AV1038" t="str">
        <f>"Timothy"</f>
        <v>Timothy</v>
      </c>
      <c r="AW1038" t="str">
        <f>"J. "</f>
        <v xml:space="preserve">J. </v>
      </c>
      <c r="AX1038" t="str">
        <f>"10451 Mill Run Circle"</f>
        <v>10451 Mill Run Circle</v>
      </c>
      <c r="AY1038" t="str">
        <f>"Suite 100"</f>
        <v>Suite 100</v>
      </c>
      <c r="AZ1038" t="str">
        <f>"Owings Mills"</f>
        <v>Owings Mills</v>
      </c>
      <c r="BA1038" t="str">
        <f>"MD"</f>
        <v>MD</v>
      </c>
      <c r="BB1038" s="3">
        <v>21117</v>
      </c>
      <c r="BC1038" t="str">
        <f>"UNITED STATES OF AMERICA"</f>
        <v>UNITED STATES OF AMERICA</v>
      </c>
      <c r="BD1038" t="str">
        <f>""</f>
        <v/>
      </c>
      <c r="BE1038" t="str">
        <f>"+14103565440"</f>
        <v>+14103565440</v>
      </c>
      <c r="BF1038" t="str">
        <f>""</f>
        <v/>
      </c>
      <c r="BG1038" t="str">
        <f>"jenniferg@murthy.com"</f>
        <v>jenniferg@murthy.com</v>
      </c>
      <c r="BH1038" t="str">
        <f>"Murthy Law Firm"</f>
        <v>Murthy Law Firm</v>
      </c>
      <c r="BI1038" t="str">
        <f>"MD"</f>
        <v>MD</v>
      </c>
      <c r="BJ1038" t="str">
        <f>"Court of Appeals of Maryland"</f>
        <v>Court of Appeals of Maryland</v>
      </c>
      <c r="BK1038">
        <v>1</v>
      </c>
      <c r="BL1038" t="s">
        <v>102</v>
      </c>
      <c r="BM1038" t="str">
        <f>""</f>
        <v/>
      </c>
      <c r="BN1038" t="s">
        <v>11062</v>
      </c>
      <c r="BP1038" t="s">
        <v>1008</v>
      </c>
      <c r="BQ1038" t="s">
        <v>1011</v>
      </c>
      <c r="BR1038" t="s">
        <v>195</v>
      </c>
      <c r="BS1038" s="5">
        <v>21230</v>
      </c>
      <c r="BT1038" s="2">
        <v>110000</v>
      </c>
      <c r="BV1038" t="s">
        <v>105</v>
      </c>
      <c r="BW1038" s="2">
        <v>92498</v>
      </c>
      <c r="BX1038" t="s">
        <v>105</v>
      </c>
      <c r="BZ1038" t="s">
        <v>167</v>
      </c>
      <c r="CA1038" t="str">
        <f t="shared" si="80"/>
        <v>7/1/2020 - 6/30/2021</v>
      </c>
      <c r="CF1038">
        <v>2</v>
      </c>
      <c r="CG1038" t="s">
        <v>98</v>
      </c>
      <c r="CH1038" t="s">
        <v>206</v>
      </c>
      <c r="CI1038" t="s">
        <v>206</v>
      </c>
      <c r="CL1038" t="s">
        <v>108</v>
      </c>
      <c r="CM1038" t="s">
        <v>109</v>
      </c>
      <c r="CN1038" t="str">
        <f>"Gordon"</f>
        <v>Gordon</v>
      </c>
      <c r="CO1038" t="str">
        <f>"Jennifer"</f>
        <v>Jennifer</v>
      </c>
      <c r="CP1038" t="str">
        <f>"A"</f>
        <v>A</v>
      </c>
      <c r="CQ1038" t="str">
        <f>"Murthy Law Firm"</f>
        <v>Murthy Law Firm</v>
      </c>
      <c r="CR1038" t="s">
        <v>3451</v>
      </c>
    </row>
    <row r="1039" spans="1:96" x14ac:dyDescent="0.2">
      <c r="A1039" t="s">
        <v>11063</v>
      </c>
      <c r="B1039" t="s">
        <v>96</v>
      </c>
      <c r="C1039" s="1">
        <v>44098</v>
      </c>
      <c r="D1039" s="1">
        <v>44105</v>
      </c>
      <c r="F1039" t="s">
        <v>97</v>
      </c>
      <c r="G1039" t="str">
        <f>"SENIOR SOFTWARE ENGINEER"</f>
        <v>SENIOR SOFTWARE ENGINEER</v>
      </c>
      <c r="H1039" t="s">
        <v>12176</v>
      </c>
      <c r="I1039" t="s">
        <v>246</v>
      </c>
      <c r="J1039" t="s">
        <v>98</v>
      </c>
      <c r="K1039" s="1">
        <v>44130</v>
      </c>
      <c r="L1039" s="1">
        <v>45224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 t="s">
        <v>11064</v>
      </c>
      <c r="U1039" t="str">
        <f>""</f>
        <v/>
      </c>
      <c r="V1039" t="s">
        <v>11065</v>
      </c>
      <c r="W1039" t="str">
        <f>"SUITE 205"</f>
        <v>SUITE 205</v>
      </c>
      <c r="X1039" t="s">
        <v>1288</v>
      </c>
      <c r="Y1039" t="s">
        <v>141</v>
      </c>
      <c r="Z1039" s="3">
        <v>94301</v>
      </c>
      <c r="AA1039" t="s">
        <v>101</v>
      </c>
      <c r="AC1039" s="4" t="str">
        <f>"+16502248706"</f>
        <v>+16502248706</v>
      </c>
      <c r="AE1039" t="str">
        <f>"541511"</f>
        <v>541511</v>
      </c>
      <c r="AF1039" t="s">
        <v>976</v>
      </c>
      <c r="AG1039" t="s">
        <v>11066</v>
      </c>
      <c r="AI1039" t="s">
        <v>1789</v>
      </c>
      <c r="AJ1039" t="s">
        <v>11065</v>
      </c>
      <c r="AK1039" t="str">
        <f>"SUITE 205"</f>
        <v>SUITE 205</v>
      </c>
      <c r="AL1039" t="s">
        <v>1288</v>
      </c>
      <c r="AM1039" t="s">
        <v>141</v>
      </c>
      <c r="AN1039" s="3">
        <v>94301</v>
      </c>
      <c r="AO1039" t="s">
        <v>101</v>
      </c>
      <c r="AQ1039" t="str">
        <f>"+16502248706"</f>
        <v>+16502248706</v>
      </c>
      <c r="AS1039" t="s">
        <v>11067</v>
      </c>
      <c r="AT1039" t="s">
        <v>107</v>
      </c>
      <c r="AU1039" t="str">
        <f>"AKALIN"</f>
        <v>AKALIN</v>
      </c>
      <c r="AV1039" t="str">
        <f>"AYDA"</f>
        <v>AYDA</v>
      </c>
      <c r="AW1039" t="str">
        <f>""</f>
        <v/>
      </c>
      <c r="AX1039" t="str">
        <f>"8929 S SEPULVEDA BLVD"</f>
        <v>8929 S SEPULVEDA BLVD</v>
      </c>
      <c r="AY1039" t="str">
        <f>"SUITE 401"</f>
        <v>SUITE 401</v>
      </c>
      <c r="AZ1039" t="str">
        <f>"LOS ANGELES"</f>
        <v>LOS ANGELES</v>
      </c>
      <c r="BA1039" t="str">
        <f>"CA"</f>
        <v>CA</v>
      </c>
      <c r="BB1039" s="3">
        <v>90045</v>
      </c>
      <c r="BC1039" t="str">
        <f>"UNITED STATES OF AMERICA"</f>
        <v>UNITED STATES OF AMERICA</v>
      </c>
      <c r="BD1039" t="str">
        <f>""</f>
        <v/>
      </c>
      <c r="BE1039" t="str">
        <f>"+13109101544"</f>
        <v>+13109101544</v>
      </c>
      <c r="BF1039" t="str">
        <f>""</f>
        <v/>
      </c>
      <c r="BG1039" t="str">
        <f>"GOV@LANDUSLAW.COM"</f>
        <v>GOV@LANDUSLAW.COM</v>
      </c>
      <c r="BH1039" t="str">
        <f>"LANDUS LAW, INC."</f>
        <v>LANDUS LAW, INC.</v>
      </c>
      <c r="BI1039" t="str">
        <f>"CA"</f>
        <v>CA</v>
      </c>
      <c r="BJ1039" t="str">
        <f>"SUPREME COURT"</f>
        <v>SUPREME COURT</v>
      </c>
      <c r="BK1039">
        <v>1</v>
      </c>
      <c r="BL1039" t="s">
        <v>102</v>
      </c>
      <c r="BM1039" t="str">
        <f>""</f>
        <v/>
      </c>
      <c r="BN1039" t="s">
        <v>11065</v>
      </c>
      <c r="BO1039" t="s">
        <v>5334</v>
      </c>
      <c r="BP1039" t="s">
        <v>1288</v>
      </c>
      <c r="BQ1039" t="s">
        <v>230</v>
      </c>
      <c r="BR1039" t="s">
        <v>141</v>
      </c>
      <c r="BS1039" s="5">
        <v>94301</v>
      </c>
      <c r="BT1039" s="2">
        <v>170872</v>
      </c>
      <c r="BU1039" s="2">
        <v>175000</v>
      </c>
      <c r="BV1039" t="s">
        <v>105</v>
      </c>
      <c r="BW1039" s="2">
        <v>170872</v>
      </c>
      <c r="BX1039" t="s">
        <v>105</v>
      </c>
      <c r="BZ1039" t="s">
        <v>159</v>
      </c>
      <c r="CA1039" t="str">
        <f t="shared" si="80"/>
        <v>7/1/2020 - 6/30/2021</v>
      </c>
      <c r="CF1039">
        <v>2</v>
      </c>
      <c r="CG1039" t="s">
        <v>98</v>
      </c>
      <c r="CH1039" t="s">
        <v>206</v>
      </c>
      <c r="CI1039" t="s">
        <v>206</v>
      </c>
      <c r="CL1039" t="s">
        <v>108</v>
      </c>
      <c r="CM1039" t="s">
        <v>109</v>
      </c>
      <c r="CN1039" t="str">
        <f>""</f>
        <v/>
      </c>
      <c r="CO1039" t="str">
        <f>""</f>
        <v/>
      </c>
      <c r="CP1039" t="str">
        <f>""</f>
        <v/>
      </c>
      <c r="CQ1039" t="str">
        <f>""</f>
        <v/>
      </c>
    </row>
    <row r="1040" spans="1:96" x14ac:dyDescent="0.2">
      <c r="A1040" t="s">
        <v>11072</v>
      </c>
      <c r="B1040" t="s">
        <v>96</v>
      </c>
      <c r="C1040" s="1">
        <v>44098</v>
      </c>
      <c r="D1040" s="1">
        <v>44105</v>
      </c>
      <c r="F1040" t="s">
        <v>97</v>
      </c>
      <c r="G1040" t="str">
        <f>"Software Engineer"</f>
        <v>Software Engineer</v>
      </c>
      <c r="H1040" t="s">
        <v>12169</v>
      </c>
      <c r="I1040" t="s">
        <v>124</v>
      </c>
      <c r="J1040" t="s">
        <v>98</v>
      </c>
      <c r="K1040" s="1">
        <v>44274</v>
      </c>
      <c r="L1040" s="1">
        <v>45369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 t="s">
        <v>173</v>
      </c>
      <c r="U1040" t="str">
        <f>""</f>
        <v/>
      </c>
      <c r="V1040" t="s">
        <v>174</v>
      </c>
      <c r="W1040" t="str">
        <f>"N/A"</f>
        <v>N/A</v>
      </c>
      <c r="X1040" t="s">
        <v>175</v>
      </c>
      <c r="Y1040" t="s">
        <v>176</v>
      </c>
      <c r="Z1040" s="3">
        <v>98052</v>
      </c>
      <c r="AA1040" t="s">
        <v>101</v>
      </c>
      <c r="AC1040" s="4" t="str">
        <f>"+14258828080"</f>
        <v>+14258828080</v>
      </c>
      <c r="AE1040" t="str">
        <f>"51121"</f>
        <v>51121</v>
      </c>
      <c r="AF1040" t="s">
        <v>177</v>
      </c>
      <c r="AG1040" t="s">
        <v>178</v>
      </c>
      <c r="AI1040" t="s">
        <v>179</v>
      </c>
      <c r="AJ1040" t="s">
        <v>174</v>
      </c>
      <c r="AK1040" t="str">
        <f>""</f>
        <v/>
      </c>
      <c r="AL1040" t="s">
        <v>175</v>
      </c>
      <c r="AM1040" t="s">
        <v>176</v>
      </c>
      <c r="AN1040" s="3">
        <v>98052</v>
      </c>
      <c r="AO1040" t="s">
        <v>101</v>
      </c>
      <c r="AQ1040" t="str">
        <f>"+14258828080"</f>
        <v>+14258828080</v>
      </c>
      <c r="AS1040" t="s">
        <v>180</v>
      </c>
      <c r="AT1040" t="s">
        <v>102</v>
      </c>
      <c r="AU1040" t="str">
        <f>""</f>
        <v/>
      </c>
      <c r="AV1040" t="str">
        <f>""</f>
        <v/>
      </c>
      <c r="AW1040" t="str">
        <f>""</f>
        <v/>
      </c>
      <c r="AX1040" t="str">
        <f>""</f>
        <v/>
      </c>
      <c r="AY1040" t="str">
        <f>""</f>
        <v/>
      </c>
      <c r="AZ1040" t="str">
        <f>""</f>
        <v/>
      </c>
      <c r="BA1040" t="str">
        <f>""</f>
        <v/>
      </c>
      <c r="BC1040" t="str">
        <f>""</f>
        <v/>
      </c>
      <c r="BD1040" t="str">
        <f>""</f>
        <v/>
      </c>
      <c r="BE1040" t="str">
        <f>""</f>
        <v/>
      </c>
      <c r="BF1040" t="str">
        <f>""</f>
        <v/>
      </c>
      <c r="BG1040" t="str">
        <f>""</f>
        <v/>
      </c>
      <c r="BH1040" t="str">
        <f>""</f>
        <v/>
      </c>
      <c r="BI1040" t="str">
        <f>""</f>
        <v/>
      </c>
      <c r="BJ1040" t="str">
        <f>""</f>
        <v/>
      </c>
      <c r="BK1040">
        <v>1</v>
      </c>
      <c r="BL1040" t="s">
        <v>102</v>
      </c>
      <c r="BM1040" t="str">
        <f>""</f>
        <v/>
      </c>
      <c r="BN1040" t="s">
        <v>962</v>
      </c>
      <c r="BP1040" t="s">
        <v>175</v>
      </c>
      <c r="BQ1040" t="s">
        <v>183</v>
      </c>
      <c r="BR1040" t="s">
        <v>176</v>
      </c>
      <c r="BS1040" s="5">
        <v>98052</v>
      </c>
      <c r="BT1040" s="2">
        <v>125235</v>
      </c>
      <c r="BV1040" t="s">
        <v>105</v>
      </c>
      <c r="BW1040" s="2">
        <v>113110</v>
      </c>
      <c r="BX1040" t="s">
        <v>105</v>
      </c>
      <c r="BZ1040" t="s">
        <v>167</v>
      </c>
      <c r="CA1040" t="str">
        <f t="shared" si="80"/>
        <v>7/1/2020 - 6/30/2021</v>
      </c>
      <c r="CF1040">
        <v>1</v>
      </c>
      <c r="CG1040" t="s">
        <v>98</v>
      </c>
      <c r="CH1040" t="s">
        <v>206</v>
      </c>
      <c r="CI1040" t="s">
        <v>206</v>
      </c>
      <c r="CL1040" t="s">
        <v>108</v>
      </c>
      <c r="CM1040" t="s">
        <v>109</v>
      </c>
      <c r="CN1040" t="str">
        <f>"DSOUZA"</f>
        <v>DSOUZA</v>
      </c>
      <c r="CO1040" t="str">
        <f>"MACLIFF"</f>
        <v>MACLIFF</v>
      </c>
      <c r="CP1040" t="str">
        <f>"N/A"</f>
        <v>N/A</v>
      </c>
      <c r="CQ1040" t="str">
        <f>"INTEGREON MANAGED SOLUTIONS (INDIA) PVT LTD"</f>
        <v>INTEGREON MANAGED SOLUTIONS (INDIA) PVT LTD</v>
      </c>
      <c r="CR1040" t="s">
        <v>1842</v>
      </c>
    </row>
    <row r="1041" spans="1:96" x14ac:dyDescent="0.2">
      <c r="A1041" t="s">
        <v>11076</v>
      </c>
      <c r="B1041" t="s">
        <v>96</v>
      </c>
      <c r="C1041" s="1">
        <v>44098</v>
      </c>
      <c r="D1041" s="1">
        <v>44105</v>
      </c>
      <c r="F1041" t="s">
        <v>97</v>
      </c>
      <c r="G1041" t="str">
        <f>"Associate Research Scientist"</f>
        <v>Associate Research Scientist</v>
      </c>
      <c r="H1041" t="s">
        <v>12200</v>
      </c>
      <c r="I1041" t="s">
        <v>1587</v>
      </c>
      <c r="J1041" t="s">
        <v>98</v>
      </c>
      <c r="K1041" s="1">
        <v>44229</v>
      </c>
      <c r="L1041" s="1">
        <v>45323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 t="s">
        <v>1925</v>
      </c>
      <c r="U1041" t="str">
        <f>""</f>
        <v/>
      </c>
      <c r="V1041" t="s">
        <v>1926</v>
      </c>
      <c r="W1041" t="str">
        <f>""</f>
        <v/>
      </c>
      <c r="X1041" t="s">
        <v>1927</v>
      </c>
      <c r="Y1041" t="s">
        <v>258</v>
      </c>
      <c r="Z1041" s="3" t="s">
        <v>12291</v>
      </c>
      <c r="AA1041" t="s">
        <v>101</v>
      </c>
      <c r="AC1041" s="4" t="str">
        <f>"+14807277125"</f>
        <v>+14807277125</v>
      </c>
      <c r="AE1041" t="str">
        <f>"611310"</f>
        <v>611310</v>
      </c>
      <c r="AF1041" t="s">
        <v>1928</v>
      </c>
      <c r="AG1041" t="s">
        <v>1929</v>
      </c>
      <c r="AH1041" t="s">
        <v>782</v>
      </c>
      <c r="AI1041" t="s">
        <v>5176</v>
      </c>
      <c r="AJ1041" t="s">
        <v>1926</v>
      </c>
      <c r="AK1041" t="str">
        <f>""</f>
        <v/>
      </c>
      <c r="AL1041" t="s">
        <v>1927</v>
      </c>
      <c r="AM1041" t="s">
        <v>258</v>
      </c>
      <c r="AN1041" s="3">
        <v>85287</v>
      </c>
      <c r="AO1041" t="s">
        <v>101</v>
      </c>
      <c r="AQ1041" t="str">
        <f>"+14809653404"</f>
        <v>+14809653404</v>
      </c>
      <c r="AS1041" t="s">
        <v>1930</v>
      </c>
      <c r="AT1041" t="s">
        <v>102</v>
      </c>
      <c r="AU1041" t="str">
        <f>""</f>
        <v/>
      </c>
      <c r="AV1041" t="str">
        <f>""</f>
        <v/>
      </c>
      <c r="AW1041" t="str">
        <f>""</f>
        <v/>
      </c>
      <c r="AX1041" t="str">
        <f>""</f>
        <v/>
      </c>
      <c r="AY1041" t="str">
        <f>""</f>
        <v/>
      </c>
      <c r="AZ1041" t="str">
        <f>""</f>
        <v/>
      </c>
      <c r="BA1041" t="str">
        <f>""</f>
        <v/>
      </c>
      <c r="BC1041" t="str">
        <f>""</f>
        <v/>
      </c>
      <c r="BD1041" t="str">
        <f>""</f>
        <v/>
      </c>
      <c r="BE1041" t="str">
        <f>""</f>
        <v/>
      </c>
      <c r="BF1041" t="str">
        <f>""</f>
        <v/>
      </c>
      <c r="BG1041" t="str">
        <f>""</f>
        <v/>
      </c>
      <c r="BH1041" t="str">
        <f>""</f>
        <v/>
      </c>
      <c r="BI1041" t="str">
        <f>""</f>
        <v/>
      </c>
      <c r="BJ1041" t="str">
        <f>""</f>
        <v/>
      </c>
      <c r="BK1041">
        <v>1</v>
      </c>
      <c r="BL1041" t="s">
        <v>102</v>
      </c>
      <c r="BM1041" t="str">
        <f>""</f>
        <v/>
      </c>
      <c r="BN1041" t="s">
        <v>11077</v>
      </c>
      <c r="BO1041" t="s">
        <v>1925</v>
      </c>
      <c r="BP1041" t="s">
        <v>1927</v>
      </c>
      <c r="BQ1041" t="s">
        <v>257</v>
      </c>
      <c r="BR1041" t="s">
        <v>258</v>
      </c>
      <c r="BS1041" s="5">
        <v>85281</v>
      </c>
      <c r="BT1041" s="2">
        <v>80000</v>
      </c>
      <c r="BV1041" t="s">
        <v>105</v>
      </c>
      <c r="BW1041" s="2">
        <v>34507</v>
      </c>
      <c r="BX1041" t="s">
        <v>105</v>
      </c>
      <c r="BZ1041" t="s">
        <v>191</v>
      </c>
      <c r="CA1041" t="str">
        <f t="shared" si="80"/>
        <v>7/1/2020 - 6/30/2021</v>
      </c>
      <c r="CF1041">
        <v>1</v>
      </c>
      <c r="CG1041" t="s">
        <v>98</v>
      </c>
      <c r="CH1041" t="s">
        <v>206</v>
      </c>
      <c r="CI1041" t="s">
        <v>206</v>
      </c>
      <c r="CL1041" t="s">
        <v>108</v>
      </c>
      <c r="CM1041" t="s">
        <v>109</v>
      </c>
      <c r="CN1041" t="str">
        <f>"Leinwohl"</f>
        <v>Leinwohl</v>
      </c>
      <c r="CO1041" t="str">
        <f>"Lynn"</f>
        <v>Lynn</v>
      </c>
      <c r="CP1041" t="str">
        <f>"C"</f>
        <v>C</v>
      </c>
      <c r="CQ1041" t="str">
        <f>"Arizona State University, International Scholars"</f>
        <v>Arizona State University, International Scholars</v>
      </c>
      <c r="CR1041" t="s">
        <v>5177</v>
      </c>
    </row>
    <row r="1042" spans="1:96" x14ac:dyDescent="0.2">
      <c r="A1042" t="s">
        <v>11079</v>
      </c>
      <c r="B1042" t="s">
        <v>96</v>
      </c>
      <c r="C1042" s="1">
        <v>44098</v>
      </c>
      <c r="D1042" s="1">
        <v>44105</v>
      </c>
      <c r="F1042" t="s">
        <v>97</v>
      </c>
      <c r="G1042" t="str">
        <f>"Lead Solution Architect"</f>
        <v>Lead Solution Architect</v>
      </c>
      <c r="H1042" t="s">
        <v>12168</v>
      </c>
      <c r="I1042" t="s">
        <v>249</v>
      </c>
      <c r="J1042" t="s">
        <v>98</v>
      </c>
      <c r="K1042" s="1">
        <v>44155</v>
      </c>
      <c r="L1042" s="1">
        <v>45249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 t="s">
        <v>3869</v>
      </c>
      <c r="U1042" t="str">
        <f>""</f>
        <v/>
      </c>
      <c r="V1042" t="s">
        <v>3870</v>
      </c>
      <c r="W1042" t="str">
        <f>""</f>
        <v/>
      </c>
      <c r="X1042" t="s">
        <v>483</v>
      </c>
      <c r="Y1042" t="s">
        <v>114</v>
      </c>
      <c r="Z1042" s="3">
        <v>75039</v>
      </c>
      <c r="AA1042" t="s">
        <v>101</v>
      </c>
      <c r="AC1042" s="4" t="str">
        <f>"+17707627646"</f>
        <v>+17707627646</v>
      </c>
      <c r="AE1042" t="str">
        <f>"5419"</f>
        <v>5419</v>
      </c>
      <c r="AF1042" t="s">
        <v>4389</v>
      </c>
      <c r="AG1042" t="s">
        <v>4390</v>
      </c>
      <c r="AI1042" t="s">
        <v>3565</v>
      </c>
      <c r="AJ1042" t="s">
        <v>6028</v>
      </c>
      <c r="AK1042" t="str">
        <f>""</f>
        <v/>
      </c>
      <c r="AL1042" t="s">
        <v>847</v>
      </c>
      <c r="AM1042" t="s">
        <v>215</v>
      </c>
      <c r="AN1042" s="3">
        <v>30009</v>
      </c>
      <c r="AO1042" t="s">
        <v>101</v>
      </c>
      <c r="AQ1042" t="str">
        <f>"+17707627646"</f>
        <v>+17707627646</v>
      </c>
      <c r="AS1042" t="s">
        <v>382</v>
      </c>
      <c r="AT1042" t="s">
        <v>107</v>
      </c>
      <c r="AU1042" t="str">
        <f>"Manna"</f>
        <v>Manna</v>
      </c>
      <c r="AV1042" t="str">
        <f>"Miguel"</f>
        <v>Miguel</v>
      </c>
      <c r="AW1042" t="str">
        <f>"A"</f>
        <v>A</v>
      </c>
      <c r="AX1042" t="str">
        <f>"8529 Six Forks Rd. Forum IV"</f>
        <v>8529 Six Forks Rd. Forum IV</v>
      </c>
      <c r="AY1042" t="str">
        <f>"STE. 600"</f>
        <v>STE. 600</v>
      </c>
      <c r="AZ1042" t="str">
        <f>"Raleigh"</f>
        <v>Raleigh</v>
      </c>
      <c r="BA1042" t="str">
        <f>"NC"</f>
        <v>NC</v>
      </c>
      <c r="BB1042" s="3">
        <v>27615</v>
      </c>
      <c r="BC1042" t="str">
        <f t="shared" ref="BC1042:BC1047" si="81">"UNITED STATES OF AMERICA"</f>
        <v>UNITED STATES OF AMERICA</v>
      </c>
      <c r="BD1042" t="str">
        <f>""</f>
        <v/>
      </c>
      <c r="BE1042" t="str">
        <f>"+1919789700"</f>
        <v>+1919789700</v>
      </c>
      <c r="BF1042" t="str">
        <f>""</f>
        <v/>
      </c>
      <c r="BG1042" t="str">
        <f>"spencer.hill@ogletree.com"</f>
        <v>spencer.hill@ogletree.com</v>
      </c>
      <c r="BH1042" t="str">
        <f>"Ogletree Deakins"</f>
        <v>Ogletree Deakins</v>
      </c>
      <c r="BI1042" t="str">
        <f>"NC"</f>
        <v>NC</v>
      </c>
      <c r="BJ1042" t="str">
        <f>"NC SUPREME COURT"</f>
        <v>NC SUPREME COURT</v>
      </c>
      <c r="BK1042">
        <v>1</v>
      </c>
      <c r="BL1042" t="s">
        <v>102</v>
      </c>
      <c r="BM1042" t="str">
        <f>""</f>
        <v/>
      </c>
      <c r="BN1042" t="s">
        <v>10307</v>
      </c>
      <c r="BP1042" t="s">
        <v>483</v>
      </c>
      <c r="BQ1042" t="s">
        <v>484</v>
      </c>
      <c r="BR1042" t="s">
        <v>114</v>
      </c>
      <c r="BS1042" s="5">
        <v>75039</v>
      </c>
      <c r="BT1042" s="2">
        <v>147506.69</v>
      </c>
      <c r="BU1042" s="2">
        <v>165000</v>
      </c>
      <c r="BV1042" t="s">
        <v>105</v>
      </c>
      <c r="BW1042" s="2">
        <v>113027</v>
      </c>
      <c r="BX1042" t="s">
        <v>105</v>
      </c>
      <c r="BZ1042" t="s">
        <v>159</v>
      </c>
      <c r="CA1042" t="str">
        <f t="shared" si="80"/>
        <v>7/1/2020 - 6/30/2021</v>
      </c>
      <c r="CF1042">
        <v>1</v>
      </c>
      <c r="CG1042" t="s">
        <v>98</v>
      </c>
      <c r="CH1042" t="s">
        <v>206</v>
      </c>
      <c r="CI1042" t="s">
        <v>206</v>
      </c>
      <c r="CL1042" t="s">
        <v>108</v>
      </c>
      <c r="CM1042" t="s">
        <v>109</v>
      </c>
      <c r="CN1042" t="str">
        <f>"Manna"</f>
        <v>Manna</v>
      </c>
      <c r="CO1042" t="str">
        <f>"Miguel"</f>
        <v>Miguel</v>
      </c>
      <c r="CP1042" t="str">
        <f>"A"</f>
        <v>A</v>
      </c>
      <c r="CQ1042" t="str">
        <f>"Ogletree Deakins"</f>
        <v>Ogletree Deakins</v>
      </c>
      <c r="CR1042" t="s">
        <v>1899</v>
      </c>
    </row>
    <row r="1043" spans="1:96" x14ac:dyDescent="0.2">
      <c r="A1043" t="s">
        <v>11080</v>
      </c>
      <c r="B1043" t="s">
        <v>96</v>
      </c>
      <c r="C1043" s="1">
        <v>44098</v>
      </c>
      <c r="D1043" s="1">
        <v>44105</v>
      </c>
      <c r="F1043" t="s">
        <v>97</v>
      </c>
      <c r="G1043" t="str">
        <f>"Senior Data Warehouse Developer"</f>
        <v>Senior Data Warehouse Developer</v>
      </c>
      <c r="H1043" t="s">
        <v>12169</v>
      </c>
      <c r="I1043" t="s">
        <v>124</v>
      </c>
      <c r="J1043" t="s">
        <v>98</v>
      </c>
      <c r="K1043" s="1">
        <v>44166</v>
      </c>
      <c r="L1043" s="1">
        <v>45260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 t="s">
        <v>11081</v>
      </c>
      <c r="U1043" t="str">
        <f>""</f>
        <v/>
      </c>
      <c r="V1043" t="s">
        <v>11082</v>
      </c>
      <c r="W1043" t="str">
        <f>""</f>
        <v/>
      </c>
      <c r="X1043" t="s">
        <v>4228</v>
      </c>
      <c r="Y1043" t="s">
        <v>135</v>
      </c>
      <c r="Z1043" s="3">
        <v>23060</v>
      </c>
      <c r="AA1043" t="s">
        <v>101</v>
      </c>
      <c r="AC1043" s="4" t="str">
        <f>"+18047470136"</f>
        <v>+18047470136</v>
      </c>
      <c r="AE1043" t="str">
        <f>"524126"</f>
        <v>524126</v>
      </c>
      <c r="AF1043" t="s">
        <v>8125</v>
      </c>
      <c r="AG1043" t="s">
        <v>9541</v>
      </c>
      <c r="AH1043" t="s">
        <v>2354</v>
      </c>
      <c r="AI1043" t="s">
        <v>11083</v>
      </c>
      <c r="AJ1043" t="s">
        <v>11082</v>
      </c>
      <c r="AK1043" t="str">
        <f>""</f>
        <v/>
      </c>
      <c r="AL1043" t="s">
        <v>4228</v>
      </c>
      <c r="AM1043" t="s">
        <v>135</v>
      </c>
      <c r="AN1043" s="3">
        <v>23060</v>
      </c>
      <c r="AO1043" t="s">
        <v>101</v>
      </c>
      <c r="AQ1043" t="str">
        <f>"+18045257047"</f>
        <v>+18045257047</v>
      </c>
      <c r="AS1043" t="s">
        <v>11084</v>
      </c>
      <c r="AT1043" t="s">
        <v>107</v>
      </c>
      <c r="AU1043" t="str">
        <f>"West"</f>
        <v>West</v>
      </c>
      <c r="AV1043" t="str">
        <f>"Jennifer"</f>
        <v>Jennifer</v>
      </c>
      <c r="AW1043" t="str">
        <f>"L"</f>
        <v>L</v>
      </c>
      <c r="AX1043" t="str">
        <f>"1519 Summit Ave."</f>
        <v>1519 Summit Ave.</v>
      </c>
      <c r="AY1043" t="str">
        <f>"Suite 102"</f>
        <v>Suite 102</v>
      </c>
      <c r="AZ1043" t="str">
        <f>"Richmond"</f>
        <v>Richmond</v>
      </c>
      <c r="BA1043" t="str">
        <f>"VA"</f>
        <v>VA</v>
      </c>
      <c r="BB1043" s="3">
        <v>23230</v>
      </c>
      <c r="BC1043" t="str">
        <f t="shared" si="81"/>
        <v>UNITED STATES OF AMERICA</v>
      </c>
      <c r="BD1043" t="str">
        <f>""</f>
        <v/>
      </c>
      <c r="BE1043" t="str">
        <f>"+18044418604"</f>
        <v>+18044418604</v>
      </c>
      <c r="BF1043" t="str">
        <f>""</f>
        <v/>
      </c>
      <c r="BG1043" t="str">
        <f>"jwest@rothjackson.com"</f>
        <v>jwest@rothjackson.com</v>
      </c>
      <c r="BH1043" t="str">
        <f>"Roth Jackson Gibbons Condlin PLC"</f>
        <v>Roth Jackson Gibbons Condlin PLC</v>
      </c>
      <c r="BI1043" t="str">
        <f>"NC"</f>
        <v>NC</v>
      </c>
      <c r="BJ1043" t="str">
        <f>"Supreme Court"</f>
        <v>Supreme Court</v>
      </c>
      <c r="BK1043">
        <v>1</v>
      </c>
      <c r="BL1043" t="s">
        <v>102</v>
      </c>
      <c r="BM1043" t="str">
        <f>""</f>
        <v/>
      </c>
      <c r="BN1043" t="s">
        <v>11085</v>
      </c>
      <c r="BP1043" t="s">
        <v>4228</v>
      </c>
      <c r="BQ1043" t="s">
        <v>1319</v>
      </c>
      <c r="BR1043" t="s">
        <v>135</v>
      </c>
      <c r="BS1043" s="5">
        <v>23060</v>
      </c>
      <c r="BT1043" s="2">
        <v>107640</v>
      </c>
      <c r="BV1043" t="s">
        <v>105</v>
      </c>
      <c r="BW1043" s="2">
        <v>102107</v>
      </c>
      <c r="BX1043" t="s">
        <v>105</v>
      </c>
      <c r="BZ1043" t="s">
        <v>123</v>
      </c>
      <c r="CA1043" t="str">
        <f t="shared" si="80"/>
        <v>7/1/2020 - 6/30/2021</v>
      </c>
      <c r="CF1043">
        <v>2</v>
      </c>
      <c r="CG1043" t="s">
        <v>98</v>
      </c>
      <c r="CH1043" t="s">
        <v>206</v>
      </c>
      <c r="CI1043" t="s">
        <v>206</v>
      </c>
      <c r="CL1043" t="s">
        <v>108</v>
      </c>
      <c r="CM1043" t="s">
        <v>109</v>
      </c>
      <c r="CN1043" t="str">
        <f>""</f>
        <v/>
      </c>
      <c r="CO1043" t="str">
        <f>""</f>
        <v/>
      </c>
      <c r="CP1043" t="str">
        <f>""</f>
        <v/>
      </c>
      <c r="CQ1043" t="str">
        <f>""</f>
        <v/>
      </c>
    </row>
    <row r="1044" spans="1:96" x14ac:dyDescent="0.2">
      <c r="A1044" t="s">
        <v>11089</v>
      </c>
      <c r="B1044" t="s">
        <v>96</v>
      </c>
      <c r="C1044" s="1">
        <v>44098</v>
      </c>
      <c r="D1044" s="1">
        <v>44105</v>
      </c>
      <c r="F1044" t="s">
        <v>97</v>
      </c>
      <c r="G1044" t="str">
        <f>"Salesforce Architect/ Senior Developer"</f>
        <v>Salesforce Architect/ Senior Developer</v>
      </c>
      <c r="H1044" t="s">
        <v>12169</v>
      </c>
      <c r="I1044" t="s">
        <v>124</v>
      </c>
      <c r="J1044" t="s">
        <v>98</v>
      </c>
      <c r="K1044" s="1">
        <v>44111</v>
      </c>
      <c r="L1044" s="1">
        <v>45205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 t="s">
        <v>3345</v>
      </c>
      <c r="U1044" t="str">
        <f>""</f>
        <v/>
      </c>
      <c r="V1044" t="s">
        <v>3346</v>
      </c>
      <c r="W1044" t="str">
        <f>""</f>
        <v/>
      </c>
      <c r="X1044" t="s">
        <v>277</v>
      </c>
      <c r="Y1044" t="s">
        <v>190</v>
      </c>
      <c r="Z1044" s="3">
        <v>10105</v>
      </c>
      <c r="AA1044" t="s">
        <v>101</v>
      </c>
      <c r="AC1044" s="4" t="str">
        <f>"+12129691000"</f>
        <v>+12129691000</v>
      </c>
      <c r="AE1044" t="str">
        <f>"523920"</f>
        <v>523920</v>
      </c>
      <c r="AF1044" t="s">
        <v>5347</v>
      </c>
      <c r="AG1044" t="s">
        <v>3348</v>
      </c>
      <c r="AI1044" t="s">
        <v>3044</v>
      </c>
      <c r="AJ1044" t="s">
        <v>3349</v>
      </c>
      <c r="AK1044" t="str">
        <f>""</f>
        <v/>
      </c>
      <c r="AL1044" t="s">
        <v>1368</v>
      </c>
      <c r="AM1044" t="s">
        <v>545</v>
      </c>
      <c r="AN1044" s="3">
        <v>37219</v>
      </c>
      <c r="AO1044" t="s">
        <v>101</v>
      </c>
      <c r="AQ1044" t="str">
        <f>"+16292135803"</f>
        <v>+16292135803</v>
      </c>
      <c r="AS1044" t="s">
        <v>3350</v>
      </c>
      <c r="AT1044" t="s">
        <v>107</v>
      </c>
      <c r="AU1044" t="str">
        <f>"Soni"</f>
        <v>Soni</v>
      </c>
      <c r="AV1044" t="str">
        <f>"Rahul"</f>
        <v>Rahul</v>
      </c>
      <c r="AW1044" t="str">
        <f>""</f>
        <v/>
      </c>
      <c r="AX1044" t="str">
        <f>"1400 Broadway"</f>
        <v>1400 Broadway</v>
      </c>
      <c r="AY1044" t="str">
        <f>""</f>
        <v/>
      </c>
      <c r="AZ1044" t="str">
        <f>"New York"</f>
        <v>New York</v>
      </c>
      <c r="BA1044" t="str">
        <f>"NY"</f>
        <v>NY</v>
      </c>
      <c r="BB1044" s="3">
        <v>10018</v>
      </c>
      <c r="BC1044" t="str">
        <f t="shared" si="81"/>
        <v>UNITED STATES OF AMERICA</v>
      </c>
      <c r="BD1044" t="str">
        <f>""</f>
        <v/>
      </c>
      <c r="BE1044" t="str">
        <f>"+12126888555"</f>
        <v>+12126888555</v>
      </c>
      <c r="BF1044" t="str">
        <f>""</f>
        <v/>
      </c>
      <c r="BG1044" t="str">
        <f>"nhigdon@fragomen.com"</f>
        <v>nhigdon@fragomen.com</v>
      </c>
      <c r="BH1044" t="str">
        <f>"Fragomen, Del Rey, Bernsen &amp; Loewy, LLP"</f>
        <v>Fragomen, Del Rey, Bernsen &amp; Loewy, LLP</v>
      </c>
      <c r="BI1044" t="str">
        <f>"CA"</f>
        <v>CA</v>
      </c>
      <c r="BJ1044" t="str">
        <f>"Supreme Court"</f>
        <v>Supreme Court</v>
      </c>
      <c r="BK1044">
        <v>1</v>
      </c>
      <c r="BL1044" t="s">
        <v>102</v>
      </c>
      <c r="BM1044" t="str">
        <f>""</f>
        <v/>
      </c>
      <c r="BN1044" t="s">
        <v>11090</v>
      </c>
      <c r="BP1044" t="s">
        <v>932</v>
      </c>
      <c r="BQ1044" t="s">
        <v>933</v>
      </c>
      <c r="BR1044" t="s">
        <v>934</v>
      </c>
      <c r="BS1044" s="5">
        <v>68116</v>
      </c>
      <c r="BT1044" s="2">
        <v>107037</v>
      </c>
      <c r="BU1044" s="2">
        <v>150000</v>
      </c>
      <c r="BV1044" t="s">
        <v>105</v>
      </c>
      <c r="BW1044" s="2">
        <v>107037</v>
      </c>
      <c r="BX1044" t="s">
        <v>105</v>
      </c>
      <c r="BZ1044" t="s">
        <v>159</v>
      </c>
      <c r="CA1044" t="str">
        <f t="shared" si="80"/>
        <v>7/1/2020 - 6/30/2021</v>
      </c>
      <c r="CF1044">
        <v>1</v>
      </c>
      <c r="CG1044" t="s">
        <v>98</v>
      </c>
      <c r="CH1044" t="s">
        <v>206</v>
      </c>
      <c r="CI1044" t="s">
        <v>206</v>
      </c>
      <c r="CL1044" t="s">
        <v>108</v>
      </c>
      <c r="CM1044" t="s">
        <v>109</v>
      </c>
      <c r="CN1044" t="str">
        <f>"Higdon"</f>
        <v>Higdon</v>
      </c>
      <c r="CO1044" t="str">
        <f>"Nathaniel"</f>
        <v>Nathaniel</v>
      </c>
      <c r="CP1044" t="str">
        <f>""</f>
        <v/>
      </c>
      <c r="CQ1044" t="str">
        <f>"Fragomen, Del Rey, Bernsen &amp; Loewy, LLP"</f>
        <v>Fragomen, Del Rey, Bernsen &amp; Loewy, LLP</v>
      </c>
      <c r="CR1044" t="s">
        <v>5348</v>
      </c>
    </row>
    <row r="1045" spans="1:96" x14ac:dyDescent="0.2">
      <c r="A1045" t="s">
        <v>11093</v>
      </c>
      <c r="B1045" t="s">
        <v>96</v>
      </c>
      <c r="C1045" s="1">
        <v>44098</v>
      </c>
      <c r="D1045" s="1">
        <v>44105</v>
      </c>
      <c r="F1045" t="s">
        <v>97</v>
      </c>
      <c r="G1045" t="str">
        <f>"Research Fellow (UMass Transportation Center)"</f>
        <v>Research Fellow (UMass Transportation Center)</v>
      </c>
      <c r="H1045" t="s">
        <v>12253</v>
      </c>
      <c r="I1045" t="s">
        <v>3486</v>
      </c>
      <c r="J1045" t="s">
        <v>206</v>
      </c>
      <c r="K1045" s="1">
        <v>44099</v>
      </c>
      <c r="L1045" s="1">
        <v>44534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 t="s">
        <v>7908</v>
      </c>
      <c r="U1045" t="str">
        <f>""</f>
        <v/>
      </c>
      <c r="V1045" t="s">
        <v>7909</v>
      </c>
      <c r="W1045" t="str">
        <f>"330 Whitmore Admin Building"</f>
        <v>330 Whitmore Admin Building</v>
      </c>
      <c r="X1045" t="s">
        <v>2251</v>
      </c>
      <c r="Y1045" t="s">
        <v>171</v>
      </c>
      <c r="Z1045" s="3">
        <v>1003</v>
      </c>
      <c r="AA1045" t="s">
        <v>101</v>
      </c>
      <c r="AC1045" s="4" t="str">
        <f>"+17744557300"</f>
        <v>+17744557300</v>
      </c>
      <c r="AE1045" t="str">
        <f>"611310"</f>
        <v>611310</v>
      </c>
      <c r="AF1045" t="s">
        <v>8594</v>
      </c>
      <c r="AG1045" t="s">
        <v>4261</v>
      </c>
      <c r="AI1045" t="s">
        <v>8595</v>
      </c>
      <c r="AJ1045" t="s">
        <v>7909</v>
      </c>
      <c r="AK1045" t="str">
        <f>"330 Whitmore Admin Building"</f>
        <v>330 Whitmore Admin Building</v>
      </c>
      <c r="AL1045" t="s">
        <v>2251</v>
      </c>
      <c r="AM1045" t="s">
        <v>171</v>
      </c>
      <c r="AN1045" s="3">
        <v>1003</v>
      </c>
      <c r="AO1045" t="s">
        <v>101</v>
      </c>
      <c r="AQ1045" t="str">
        <f>"+14135456129"</f>
        <v>+14135456129</v>
      </c>
      <c r="AS1045" t="s">
        <v>8596</v>
      </c>
      <c r="AT1045" t="s">
        <v>107</v>
      </c>
      <c r="AU1045" t="str">
        <f>"Kludt"</f>
        <v>Kludt</v>
      </c>
      <c r="AV1045" t="str">
        <f>"Megan"</f>
        <v>Megan</v>
      </c>
      <c r="AW1045" t="str">
        <f>"E"</f>
        <v>E</v>
      </c>
      <c r="AX1045" t="str">
        <f>"79 Masonic Street"</f>
        <v>79 Masonic Street</v>
      </c>
      <c r="AY1045" t="str">
        <f>""</f>
        <v/>
      </c>
      <c r="AZ1045" t="str">
        <f>"Northampton"</f>
        <v>Northampton</v>
      </c>
      <c r="BA1045" t="str">
        <f>"MA"</f>
        <v>MA</v>
      </c>
      <c r="BB1045" s="3">
        <v>1060</v>
      </c>
      <c r="BC1045" t="str">
        <f t="shared" si="81"/>
        <v>UNITED STATES OF AMERICA</v>
      </c>
      <c r="BD1045" t="str">
        <f>""</f>
        <v/>
      </c>
      <c r="BE1045" t="str">
        <f>"+14135843232"</f>
        <v>+14135843232</v>
      </c>
      <c r="BF1045" t="str">
        <f>""</f>
        <v/>
      </c>
      <c r="BG1045" t="str">
        <f>"megan@cbkimmigration.com"</f>
        <v>megan@cbkimmigration.com</v>
      </c>
      <c r="BH1045" t="str">
        <f>"Curran, Berger &amp; Kludt"</f>
        <v>Curran, Berger &amp; Kludt</v>
      </c>
      <c r="BI1045" t="str">
        <f>"MA"</f>
        <v>MA</v>
      </c>
      <c r="BJ1045" t="str">
        <f>"Supreme Judicial Court"</f>
        <v>Supreme Judicial Court</v>
      </c>
      <c r="BK1045">
        <v>1</v>
      </c>
      <c r="BL1045" t="s">
        <v>102</v>
      </c>
      <c r="BM1045" t="str">
        <f>""</f>
        <v/>
      </c>
      <c r="BN1045" t="s">
        <v>11094</v>
      </c>
      <c r="BO1045" t="s">
        <v>11095</v>
      </c>
      <c r="BP1045" t="s">
        <v>2251</v>
      </c>
      <c r="BQ1045" t="s">
        <v>2252</v>
      </c>
      <c r="BR1045" t="s">
        <v>171</v>
      </c>
      <c r="BS1045" s="5">
        <v>1003</v>
      </c>
      <c r="BT1045" s="2">
        <v>30.99</v>
      </c>
      <c r="BV1045" t="s">
        <v>210</v>
      </c>
      <c r="BW1045" s="2">
        <v>30.99</v>
      </c>
      <c r="BX1045" t="s">
        <v>210</v>
      </c>
      <c r="BZ1045" t="s">
        <v>167</v>
      </c>
      <c r="CA1045" t="str">
        <f t="shared" si="80"/>
        <v>7/1/2020 - 6/30/2021</v>
      </c>
      <c r="CF1045">
        <v>1</v>
      </c>
      <c r="CG1045" t="s">
        <v>98</v>
      </c>
      <c r="CH1045" t="s">
        <v>206</v>
      </c>
      <c r="CI1045" t="s">
        <v>206</v>
      </c>
      <c r="CL1045" t="s">
        <v>108</v>
      </c>
      <c r="CM1045" t="s">
        <v>109</v>
      </c>
      <c r="CN1045" t="str">
        <f>""</f>
        <v/>
      </c>
      <c r="CO1045" t="str">
        <f>""</f>
        <v/>
      </c>
      <c r="CP1045" t="str">
        <f>""</f>
        <v/>
      </c>
      <c r="CQ1045" t="str">
        <f>""</f>
        <v/>
      </c>
    </row>
    <row r="1046" spans="1:96" x14ac:dyDescent="0.2">
      <c r="A1046" t="s">
        <v>11111</v>
      </c>
      <c r="B1046" t="s">
        <v>96</v>
      </c>
      <c r="C1046" s="1">
        <v>44098</v>
      </c>
      <c r="D1046" s="1">
        <v>44105</v>
      </c>
      <c r="F1046" t="s">
        <v>97</v>
      </c>
      <c r="G1046" t="str">
        <f>"ECOMMERCE SOLUTIONS ENGINEER"</f>
        <v>ECOMMERCE SOLUTIONS ENGINEER</v>
      </c>
      <c r="H1046" t="s">
        <v>12180</v>
      </c>
      <c r="I1046" t="s">
        <v>390</v>
      </c>
      <c r="J1046" t="s">
        <v>98</v>
      </c>
      <c r="K1046" s="1">
        <v>44105</v>
      </c>
      <c r="L1046" s="1">
        <v>45199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5174</v>
      </c>
      <c r="U1046" t="str">
        <f>""</f>
        <v/>
      </c>
      <c r="V1046" t="s">
        <v>2060</v>
      </c>
      <c r="W1046" t="str">
        <f>""</f>
        <v/>
      </c>
      <c r="X1046" t="s">
        <v>2061</v>
      </c>
      <c r="Y1046" t="s">
        <v>190</v>
      </c>
      <c r="Z1046" s="3">
        <v>10577</v>
      </c>
      <c r="AA1046" t="s">
        <v>101</v>
      </c>
      <c r="AC1046" s="4" t="str">
        <f>"+19142533388"</f>
        <v>+19142533388</v>
      </c>
      <c r="AE1046" t="str">
        <f>"312111"</f>
        <v>312111</v>
      </c>
      <c r="AF1046" t="s">
        <v>2062</v>
      </c>
      <c r="AG1046" t="s">
        <v>2063</v>
      </c>
      <c r="AH1046" t="s">
        <v>1520</v>
      </c>
      <c r="AI1046" t="s">
        <v>9090</v>
      </c>
      <c r="AJ1046" t="s">
        <v>2060</v>
      </c>
      <c r="AK1046" t="str">
        <f>""</f>
        <v/>
      </c>
      <c r="AL1046" t="s">
        <v>2061</v>
      </c>
      <c r="AM1046" t="s">
        <v>190</v>
      </c>
      <c r="AN1046" s="3">
        <v>10577</v>
      </c>
      <c r="AO1046" t="s">
        <v>101</v>
      </c>
      <c r="AQ1046" t="str">
        <f>"+19142533388"</f>
        <v>+19142533388</v>
      </c>
      <c r="AS1046" t="s">
        <v>2064</v>
      </c>
      <c r="AT1046" t="s">
        <v>107</v>
      </c>
      <c r="AU1046" t="str">
        <f>"SABATELLO"</f>
        <v>SABATELLO</v>
      </c>
      <c r="AV1046" t="str">
        <f>"LINDA"</f>
        <v>LINDA</v>
      </c>
      <c r="AW1046" t="str">
        <f>"MARIE"</f>
        <v>MARIE</v>
      </c>
      <c r="AX1046" t="str">
        <f>"1400 BROADWAY"</f>
        <v>1400 BROADWAY</v>
      </c>
      <c r="AY1046" t="str">
        <f>""</f>
        <v/>
      </c>
      <c r="AZ1046" t="str">
        <f>"NEW YORK"</f>
        <v>NEW YORK</v>
      </c>
      <c r="BA1046" t="str">
        <f>"NY"</f>
        <v>NY</v>
      </c>
      <c r="BB1046" s="3">
        <v>10018</v>
      </c>
      <c r="BC1046" t="str">
        <f t="shared" si="81"/>
        <v>UNITED STATES OF AMERICA</v>
      </c>
      <c r="BD1046" t="str">
        <f>""</f>
        <v/>
      </c>
      <c r="BE1046" t="str">
        <f>"+12126888555"</f>
        <v>+12126888555</v>
      </c>
      <c r="BF1046" t="str">
        <f>""</f>
        <v/>
      </c>
      <c r="BG1046" t="str">
        <f>"JDAHLSTROM@FRAGOMEN.COM"</f>
        <v>JDAHLSTROM@FRAGOMEN.COM</v>
      </c>
      <c r="BH1046" t="str">
        <f>"FRAGOMEN, DEL REY, BERNSEN &amp; LOEWY LLP"</f>
        <v>FRAGOMEN, DEL REY, BERNSEN &amp; LOEWY LLP</v>
      </c>
      <c r="BI1046" t="str">
        <f>"NY"</f>
        <v>NY</v>
      </c>
      <c r="BJ1046" t="str">
        <f>"COURT OF APPEALS"</f>
        <v>COURT OF APPEALS</v>
      </c>
      <c r="BK1046">
        <v>1</v>
      </c>
      <c r="BL1046" t="s">
        <v>102</v>
      </c>
      <c r="BM1046" t="str">
        <f>""</f>
        <v/>
      </c>
      <c r="BN1046" t="s">
        <v>11112</v>
      </c>
      <c r="BO1046" t="s">
        <v>10235</v>
      </c>
      <c r="BP1046" t="s">
        <v>189</v>
      </c>
      <c r="BQ1046" t="s">
        <v>189</v>
      </c>
      <c r="BR1046" t="s">
        <v>190</v>
      </c>
      <c r="BS1046" s="5">
        <v>10017</v>
      </c>
      <c r="BT1046" s="2">
        <v>90000</v>
      </c>
      <c r="BV1046" t="s">
        <v>105</v>
      </c>
      <c r="BW1046" s="2">
        <v>89898</v>
      </c>
      <c r="BX1046" t="s">
        <v>105</v>
      </c>
      <c r="BZ1046" t="s">
        <v>167</v>
      </c>
      <c r="CA1046" t="str">
        <f t="shared" si="80"/>
        <v>7/1/2020 - 6/30/2021</v>
      </c>
      <c r="CF1046">
        <v>1</v>
      </c>
      <c r="CG1046" t="s">
        <v>98</v>
      </c>
      <c r="CH1046" t="s">
        <v>206</v>
      </c>
      <c r="CI1046" t="s">
        <v>206</v>
      </c>
      <c r="CL1046" t="s">
        <v>108</v>
      </c>
      <c r="CM1046" t="s">
        <v>109</v>
      </c>
      <c r="CN1046" t="str">
        <f>""</f>
        <v/>
      </c>
      <c r="CO1046" t="str">
        <f>""</f>
        <v/>
      </c>
      <c r="CP1046" t="str">
        <f>""</f>
        <v/>
      </c>
      <c r="CQ1046" t="str">
        <f>""</f>
        <v/>
      </c>
    </row>
    <row r="1047" spans="1:96" x14ac:dyDescent="0.2">
      <c r="A1047" t="s">
        <v>11113</v>
      </c>
      <c r="B1047" t="s">
        <v>96</v>
      </c>
      <c r="C1047" s="1">
        <v>44098</v>
      </c>
      <c r="D1047" s="1">
        <v>44105</v>
      </c>
      <c r="F1047" t="s">
        <v>97</v>
      </c>
      <c r="G1047" t="str">
        <f>"Connected Vehicle Technical Product Lead"</f>
        <v>Connected Vehicle Technical Product Lead</v>
      </c>
      <c r="H1047" t="s">
        <v>12169</v>
      </c>
      <c r="I1047" t="s">
        <v>124</v>
      </c>
      <c r="J1047" t="s">
        <v>98</v>
      </c>
      <c r="K1047" s="1">
        <v>44116</v>
      </c>
      <c r="L1047" s="1">
        <v>45210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 t="s">
        <v>2372</v>
      </c>
      <c r="U1047" t="str">
        <f>""</f>
        <v/>
      </c>
      <c r="V1047" t="s">
        <v>2373</v>
      </c>
      <c r="W1047" t="str">
        <f>"OFFICE 229 E-4"</f>
        <v>OFFICE 229 E-4</v>
      </c>
      <c r="X1047" t="s">
        <v>2374</v>
      </c>
      <c r="Y1047" t="s">
        <v>265</v>
      </c>
      <c r="Z1047" s="3">
        <v>48126</v>
      </c>
      <c r="AA1047" t="s">
        <v>101</v>
      </c>
      <c r="AC1047" s="4" t="str">
        <f>"+13138450173"</f>
        <v>+13138450173</v>
      </c>
      <c r="AE1047" t="str">
        <f>"33611"</f>
        <v>33611</v>
      </c>
      <c r="AF1047" t="s">
        <v>2375</v>
      </c>
      <c r="AG1047" t="s">
        <v>2376</v>
      </c>
      <c r="AH1047" t="s">
        <v>2377</v>
      </c>
      <c r="AI1047" t="s">
        <v>2378</v>
      </c>
      <c r="AJ1047" t="s">
        <v>2373</v>
      </c>
      <c r="AK1047" t="str">
        <f>"OFFICE 229 E-4"</f>
        <v>OFFICE 229 E-4</v>
      </c>
      <c r="AL1047" t="s">
        <v>2374</v>
      </c>
      <c r="AM1047" t="s">
        <v>265</v>
      </c>
      <c r="AN1047" s="3">
        <v>48126</v>
      </c>
      <c r="AO1047" t="s">
        <v>101</v>
      </c>
      <c r="AQ1047" t="str">
        <f>"+13138450173"</f>
        <v>+13138450173</v>
      </c>
      <c r="AS1047" t="s">
        <v>2379</v>
      </c>
      <c r="AT1047" t="s">
        <v>107</v>
      </c>
      <c r="AU1047" t="str">
        <f>"Sherman"</f>
        <v>Sherman</v>
      </c>
      <c r="AV1047" t="str">
        <f>"Kyle"</f>
        <v>Kyle</v>
      </c>
      <c r="AW1047" t="str">
        <f>""</f>
        <v/>
      </c>
      <c r="AX1047" t="str">
        <f>"1355 Peachtree St NE"</f>
        <v>1355 Peachtree St NE</v>
      </c>
      <c r="AY1047" t="str">
        <f>"Suite 900"</f>
        <v>Suite 900</v>
      </c>
      <c r="AZ1047" t="str">
        <f>"Atlanta"</f>
        <v>Atlanta</v>
      </c>
      <c r="BA1047" t="str">
        <f>"GA"</f>
        <v>GA</v>
      </c>
      <c r="BB1047" s="3">
        <v>30309</v>
      </c>
      <c r="BC1047" t="str">
        <f t="shared" si="81"/>
        <v>UNITED STATES OF AMERICA</v>
      </c>
      <c r="BD1047" t="str">
        <f>""</f>
        <v/>
      </c>
      <c r="BE1047" t="str">
        <f>"+14048565532"</f>
        <v>+14048565532</v>
      </c>
      <c r="BF1047" t="str">
        <f>""</f>
        <v/>
      </c>
      <c r="BG1047" t="str">
        <f>"aahoward@fragomen.com"</f>
        <v>aahoward@fragomen.com</v>
      </c>
      <c r="BH1047" t="str">
        <f>"Fragomen, Del Rey, Bernsen &amp; Loewy, LLP"</f>
        <v>Fragomen, Del Rey, Bernsen &amp; Loewy, LLP</v>
      </c>
      <c r="BI1047" t="str">
        <f>"GA"</f>
        <v>GA</v>
      </c>
      <c r="BJ1047" t="str">
        <f>"Supreme Court"</f>
        <v>Supreme Court</v>
      </c>
      <c r="BK1047">
        <v>1</v>
      </c>
      <c r="BL1047" t="s">
        <v>102</v>
      </c>
      <c r="BM1047" t="str">
        <f>""</f>
        <v/>
      </c>
      <c r="BN1047" t="s">
        <v>11114</v>
      </c>
      <c r="BP1047" t="s">
        <v>1240</v>
      </c>
      <c r="BQ1047" t="s">
        <v>533</v>
      </c>
      <c r="BR1047" t="s">
        <v>265</v>
      </c>
      <c r="BS1047" s="5">
        <v>48126</v>
      </c>
      <c r="BT1047" s="2">
        <v>111093</v>
      </c>
      <c r="BU1047" s="2">
        <v>187200</v>
      </c>
      <c r="BV1047" t="s">
        <v>105</v>
      </c>
      <c r="BW1047" s="2">
        <v>111093</v>
      </c>
      <c r="BX1047" t="s">
        <v>105</v>
      </c>
      <c r="BZ1047" t="s">
        <v>159</v>
      </c>
      <c r="CA1047" t="str">
        <f t="shared" si="80"/>
        <v>7/1/2020 - 6/30/2021</v>
      </c>
      <c r="CF1047">
        <v>1</v>
      </c>
      <c r="CG1047" t="s">
        <v>98</v>
      </c>
      <c r="CH1047" t="s">
        <v>206</v>
      </c>
      <c r="CI1047" t="s">
        <v>206</v>
      </c>
      <c r="CL1047" t="s">
        <v>108</v>
      </c>
      <c r="CM1047" t="s">
        <v>109</v>
      </c>
      <c r="CN1047" t="str">
        <f>""</f>
        <v/>
      </c>
      <c r="CO1047" t="str">
        <f>""</f>
        <v/>
      </c>
      <c r="CP1047" t="str">
        <f>""</f>
        <v/>
      </c>
      <c r="CQ1047" t="str">
        <f>""</f>
        <v/>
      </c>
    </row>
    <row r="1048" spans="1:96" x14ac:dyDescent="0.2">
      <c r="A1048" t="s">
        <v>11115</v>
      </c>
      <c r="B1048" t="s">
        <v>96</v>
      </c>
      <c r="C1048" s="1">
        <v>44098</v>
      </c>
      <c r="D1048" s="1">
        <v>44105</v>
      </c>
      <c r="F1048" t="s">
        <v>97</v>
      </c>
      <c r="G1048" t="str">
        <f>"SOFTWARE DEVELOPER"</f>
        <v>SOFTWARE DEVELOPER</v>
      </c>
      <c r="H1048" t="s">
        <v>12169</v>
      </c>
      <c r="I1048" t="s">
        <v>124</v>
      </c>
      <c r="J1048" t="s">
        <v>98</v>
      </c>
      <c r="K1048" s="1">
        <v>44105</v>
      </c>
      <c r="L1048" s="1">
        <v>45199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4866</v>
      </c>
      <c r="U1048" t="str">
        <f>""</f>
        <v/>
      </c>
      <c r="V1048" t="s">
        <v>4867</v>
      </c>
      <c r="W1048" t="str">
        <f>""</f>
        <v/>
      </c>
      <c r="X1048" t="s">
        <v>480</v>
      </c>
      <c r="Y1048" t="s">
        <v>215</v>
      </c>
      <c r="Z1048" s="3">
        <v>30345</v>
      </c>
      <c r="AA1048" t="s">
        <v>101</v>
      </c>
      <c r="AC1048" s="4" t="str">
        <f>"+14703636918"</f>
        <v>+14703636918</v>
      </c>
      <c r="AE1048" t="str">
        <f>"541511"</f>
        <v>541511</v>
      </c>
      <c r="AF1048" t="s">
        <v>4868</v>
      </c>
      <c r="AG1048" t="s">
        <v>4459</v>
      </c>
      <c r="AI1048" t="s">
        <v>228</v>
      </c>
      <c r="AJ1048" t="s">
        <v>4869</v>
      </c>
      <c r="AK1048" t="str">
        <f>""</f>
        <v/>
      </c>
      <c r="AL1048" t="s">
        <v>480</v>
      </c>
      <c r="AM1048" t="s">
        <v>215</v>
      </c>
      <c r="AN1048" s="3">
        <v>30345</v>
      </c>
      <c r="AO1048" t="s">
        <v>101</v>
      </c>
      <c r="AQ1048" t="str">
        <f>"+14703636918"</f>
        <v>+14703636918</v>
      </c>
      <c r="AS1048" t="s">
        <v>4870</v>
      </c>
      <c r="AT1048" t="s">
        <v>102</v>
      </c>
      <c r="AU1048" t="str">
        <f>""</f>
        <v/>
      </c>
      <c r="AV1048" t="str">
        <f>""</f>
        <v/>
      </c>
      <c r="AW1048" t="str">
        <f>""</f>
        <v/>
      </c>
      <c r="AX1048" t="str">
        <f>""</f>
        <v/>
      </c>
      <c r="AY1048" t="str">
        <f>""</f>
        <v/>
      </c>
      <c r="AZ1048" t="str">
        <f>""</f>
        <v/>
      </c>
      <c r="BA1048" t="str">
        <f>""</f>
        <v/>
      </c>
      <c r="BC1048" t="str">
        <f>""</f>
        <v/>
      </c>
      <c r="BD1048" t="str">
        <f>""</f>
        <v/>
      </c>
      <c r="BE1048" t="str">
        <f>""</f>
        <v/>
      </c>
      <c r="BF1048" t="str">
        <f>""</f>
        <v/>
      </c>
      <c r="BG1048" t="str">
        <f>""</f>
        <v/>
      </c>
      <c r="BH1048" t="str">
        <f>""</f>
        <v/>
      </c>
      <c r="BI1048" t="str">
        <f>""</f>
        <v/>
      </c>
      <c r="BJ1048" t="str">
        <f>""</f>
        <v/>
      </c>
      <c r="BK1048">
        <v>1</v>
      </c>
      <c r="BL1048" t="s">
        <v>102</v>
      </c>
      <c r="BM1048" t="str">
        <f>""</f>
        <v/>
      </c>
      <c r="BN1048" t="s">
        <v>4866</v>
      </c>
      <c r="BO1048" t="s">
        <v>4867</v>
      </c>
      <c r="BP1048" t="s">
        <v>480</v>
      </c>
      <c r="BQ1048" t="s">
        <v>481</v>
      </c>
      <c r="BR1048" t="s">
        <v>215</v>
      </c>
      <c r="BS1048" s="5">
        <v>30345</v>
      </c>
      <c r="BT1048" s="2">
        <v>85842</v>
      </c>
      <c r="BU1048" s="2">
        <v>86000</v>
      </c>
      <c r="BV1048" t="s">
        <v>105</v>
      </c>
      <c r="BW1048" s="2">
        <v>85842</v>
      </c>
      <c r="BX1048" t="s">
        <v>105</v>
      </c>
      <c r="BZ1048" t="s">
        <v>167</v>
      </c>
      <c r="CA1048" t="str">
        <f t="shared" si="80"/>
        <v>7/1/2020 - 6/30/2021</v>
      </c>
      <c r="CF1048">
        <v>1</v>
      </c>
      <c r="CG1048" t="s">
        <v>98</v>
      </c>
      <c r="CH1048" t="s">
        <v>206</v>
      </c>
      <c r="CI1048" t="s">
        <v>206</v>
      </c>
      <c r="CL1048" t="s">
        <v>108</v>
      </c>
      <c r="CM1048" t="s">
        <v>109</v>
      </c>
      <c r="CN1048" t="str">
        <f>""</f>
        <v/>
      </c>
      <c r="CO1048" t="str">
        <f>""</f>
        <v/>
      </c>
      <c r="CP1048" t="str">
        <f>""</f>
        <v/>
      </c>
      <c r="CQ1048" t="str">
        <f>""</f>
        <v/>
      </c>
    </row>
    <row r="1049" spans="1:96" x14ac:dyDescent="0.2">
      <c r="A1049" t="s">
        <v>11120</v>
      </c>
      <c r="B1049" t="s">
        <v>96</v>
      </c>
      <c r="C1049" s="1">
        <v>44098</v>
      </c>
      <c r="D1049" s="1">
        <v>44105</v>
      </c>
      <c r="F1049" t="s">
        <v>97</v>
      </c>
      <c r="G1049" t="str">
        <f>"Field Engineer"</f>
        <v>Field Engineer</v>
      </c>
      <c r="H1049" t="s">
        <v>12179</v>
      </c>
      <c r="I1049" t="s">
        <v>1357</v>
      </c>
      <c r="J1049" t="s">
        <v>98</v>
      </c>
      <c r="K1049" s="1">
        <v>44112</v>
      </c>
      <c r="L1049" s="1">
        <v>45206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 t="s">
        <v>11121</v>
      </c>
      <c r="U1049" t="str">
        <f>""</f>
        <v/>
      </c>
      <c r="V1049" t="s">
        <v>11122</v>
      </c>
      <c r="W1049" t="str">
        <f>"Suite 220"</f>
        <v>Suite 220</v>
      </c>
      <c r="X1049" t="s">
        <v>297</v>
      </c>
      <c r="Y1049" t="s">
        <v>114</v>
      </c>
      <c r="Z1049" s="3">
        <v>75024</v>
      </c>
      <c r="AA1049" t="s">
        <v>101</v>
      </c>
      <c r="AC1049" s="4" t="str">
        <f>"+14692523080"</f>
        <v>+14692523080</v>
      </c>
      <c r="AE1049" t="str">
        <f>"541330"</f>
        <v>541330</v>
      </c>
      <c r="AF1049" t="s">
        <v>11123</v>
      </c>
      <c r="AG1049" t="s">
        <v>11124</v>
      </c>
      <c r="AH1049" t="s">
        <v>11125</v>
      </c>
      <c r="AI1049" t="s">
        <v>11126</v>
      </c>
      <c r="AJ1049" t="s">
        <v>11122</v>
      </c>
      <c r="AK1049" t="str">
        <f>"Suite 220"</f>
        <v>Suite 220</v>
      </c>
      <c r="AL1049" t="s">
        <v>297</v>
      </c>
      <c r="AM1049" t="s">
        <v>114</v>
      </c>
      <c r="AN1049" s="3">
        <v>75024</v>
      </c>
      <c r="AO1049" t="s">
        <v>101</v>
      </c>
      <c r="AQ1049" t="str">
        <f>"+14692523080"</f>
        <v>+14692523080</v>
      </c>
      <c r="AS1049" t="s">
        <v>11127</v>
      </c>
      <c r="AT1049" t="s">
        <v>107</v>
      </c>
      <c r="AU1049" t="str">
        <f>"Prescott"</f>
        <v>Prescott</v>
      </c>
      <c r="AV1049" t="str">
        <f>"Chris"</f>
        <v>Chris</v>
      </c>
      <c r="AW1049" t="str">
        <f>""</f>
        <v/>
      </c>
      <c r="AX1049" t="str">
        <f>"1125 EXECUTIVE CIRCLE"</f>
        <v>1125 EXECUTIVE CIRCLE</v>
      </c>
      <c r="AY1049" t="str">
        <f>"Suite 200"</f>
        <v>Suite 200</v>
      </c>
      <c r="AZ1049" t="str">
        <f>"IRVING"</f>
        <v>IRVING</v>
      </c>
      <c r="BA1049" t="str">
        <f>"TX"</f>
        <v>TX</v>
      </c>
      <c r="BB1049" s="3">
        <v>75038</v>
      </c>
      <c r="BC1049" t="str">
        <f t="shared" ref="BC1049:BC1063" si="82">"UNITED STATES OF AMERICA"</f>
        <v>UNITED STATES OF AMERICA</v>
      </c>
      <c r="BD1049" t="str">
        <f>"TX"</f>
        <v>TX</v>
      </c>
      <c r="BE1049" t="str">
        <f>"+19726506848"</f>
        <v>+19726506848</v>
      </c>
      <c r="BF1049" t="str">
        <f>""</f>
        <v/>
      </c>
      <c r="BG1049" t="str">
        <f>"cprescott@patellegal.com"</f>
        <v>cprescott@patellegal.com</v>
      </c>
      <c r="BH1049" t="str">
        <f>"PATEL LAW GROUP, PLLC"</f>
        <v>PATEL LAW GROUP, PLLC</v>
      </c>
      <c r="BI1049" t="str">
        <f>"WI"</f>
        <v>WI</v>
      </c>
      <c r="BJ1049" t="str">
        <f>"WISCONSIN SUPREME COURT "</f>
        <v xml:space="preserve">WISCONSIN SUPREME COURT </v>
      </c>
      <c r="BK1049">
        <v>1</v>
      </c>
      <c r="BL1049" t="s">
        <v>102</v>
      </c>
      <c r="BM1049" t="str">
        <f>""</f>
        <v/>
      </c>
      <c r="BN1049" t="s">
        <v>11122</v>
      </c>
      <c r="BO1049" t="s">
        <v>11098</v>
      </c>
      <c r="BP1049" t="s">
        <v>297</v>
      </c>
      <c r="BQ1049" t="s">
        <v>556</v>
      </c>
      <c r="BR1049" t="s">
        <v>114</v>
      </c>
      <c r="BS1049" s="5">
        <v>75024</v>
      </c>
      <c r="BT1049" s="2">
        <v>93000</v>
      </c>
      <c r="BV1049" t="s">
        <v>105</v>
      </c>
      <c r="BW1049" s="2">
        <v>91582</v>
      </c>
      <c r="BX1049" t="s">
        <v>105</v>
      </c>
      <c r="BZ1049" t="s">
        <v>167</v>
      </c>
      <c r="CA1049" t="str">
        <f t="shared" si="80"/>
        <v>7/1/2020 - 6/30/2021</v>
      </c>
      <c r="CF1049">
        <v>1</v>
      </c>
      <c r="CG1049" t="s">
        <v>98</v>
      </c>
      <c r="CH1049" t="s">
        <v>206</v>
      </c>
      <c r="CI1049" t="s">
        <v>206</v>
      </c>
      <c r="CL1049" t="s">
        <v>108</v>
      </c>
      <c r="CM1049" t="s">
        <v>109</v>
      </c>
      <c r="CN1049" t="str">
        <f>"PRESCOTT"</f>
        <v>PRESCOTT</v>
      </c>
      <c r="CO1049" t="str">
        <f>"CHRIS"</f>
        <v>CHRIS</v>
      </c>
      <c r="CP1049" t="str">
        <f>""</f>
        <v/>
      </c>
      <c r="CQ1049" t="str">
        <f>"PATEL LAW GROUP, PLLC"</f>
        <v>PATEL LAW GROUP, PLLC</v>
      </c>
      <c r="CR1049" t="s">
        <v>5676</v>
      </c>
    </row>
    <row r="1050" spans="1:96" x14ac:dyDescent="0.2">
      <c r="A1050" t="s">
        <v>11131</v>
      </c>
      <c r="B1050" t="s">
        <v>96</v>
      </c>
      <c r="C1050" s="1">
        <v>44098</v>
      </c>
      <c r="D1050" s="1">
        <v>44105</v>
      </c>
      <c r="F1050" t="s">
        <v>97</v>
      </c>
      <c r="G1050" t="str">
        <f>"SOFTWARE DEVELOPMENT ENGINEER III"</f>
        <v>SOFTWARE DEVELOPMENT ENGINEER III</v>
      </c>
      <c r="H1050" t="s">
        <v>12169</v>
      </c>
      <c r="I1050" t="s">
        <v>124</v>
      </c>
      <c r="J1050" t="s">
        <v>98</v>
      </c>
      <c r="K1050" s="1">
        <v>44275</v>
      </c>
      <c r="L1050" s="1">
        <v>45370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 t="s">
        <v>440</v>
      </c>
      <c r="U1050" t="str">
        <f>""</f>
        <v/>
      </c>
      <c r="V1050" t="s">
        <v>809</v>
      </c>
      <c r="W1050" t="str">
        <f>"SUITE 500"</f>
        <v>SUITE 500</v>
      </c>
      <c r="X1050" t="s">
        <v>433</v>
      </c>
      <c r="Y1050" t="s">
        <v>176</v>
      </c>
      <c r="Z1050" s="3">
        <v>98121</v>
      </c>
      <c r="AA1050" t="s">
        <v>101</v>
      </c>
      <c r="AC1050" s="4" t="str">
        <f>"+12062661000"</f>
        <v>+12062661000</v>
      </c>
      <c r="AE1050" t="str">
        <f>"454110"</f>
        <v>454110</v>
      </c>
      <c r="AF1050" t="s">
        <v>442</v>
      </c>
      <c r="AG1050" t="s">
        <v>443</v>
      </c>
      <c r="AH1050" t="s">
        <v>108</v>
      </c>
      <c r="AI1050" t="s">
        <v>434</v>
      </c>
      <c r="AJ1050" t="s">
        <v>809</v>
      </c>
      <c r="AK1050" t="str">
        <f>"SUITE 500"</f>
        <v>SUITE 500</v>
      </c>
      <c r="AL1050" t="s">
        <v>433</v>
      </c>
      <c r="AM1050" t="s">
        <v>176</v>
      </c>
      <c r="AN1050" s="3">
        <v>98121</v>
      </c>
      <c r="AO1050" t="s">
        <v>101</v>
      </c>
      <c r="AQ1050" t="str">
        <f>"+12062661000"</f>
        <v>+12062661000</v>
      </c>
      <c r="AS1050" t="s">
        <v>263</v>
      </c>
      <c r="AT1050" t="s">
        <v>107</v>
      </c>
      <c r="AU1050" t="str">
        <f>"MARANCI"</f>
        <v>MARANCI</v>
      </c>
      <c r="AV1050" t="str">
        <f>"DANIEL"</f>
        <v>DANIEL</v>
      </c>
      <c r="AW1050" t="str">
        <f>"N/A"</f>
        <v>N/A</v>
      </c>
      <c r="AX1050" t="str">
        <f>"100 HIGH STREET"</f>
        <v>100 HIGH STREET</v>
      </c>
      <c r="AY1050" t="str">
        <f>"3RD FLOOR C#5268561"</f>
        <v>3RD FLOOR C#5268561</v>
      </c>
      <c r="AZ1050" t="str">
        <f>"BOSTON"</f>
        <v>BOSTON</v>
      </c>
      <c r="BA1050" t="str">
        <f>"MA"</f>
        <v>MA</v>
      </c>
      <c r="BB1050" s="3">
        <v>2110</v>
      </c>
      <c r="BC1050" t="str">
        <f t="shared" si="82"/>
        <v>UNITED STATES OF AMERICA</v>
      </c>
      <c r="BD1050" t="str">
        <f>""</f>
        <v/>
      </c>
      <c r="BE1050" t="str">
        <f>"+16175740400"</f>
        <v>+16175740400</v>
      </c>
      <c r="BF1050" t="str">
        <f>""</f>
        <v/>
      </c>
      <c r="BG1050" t="str">
        <f>"AMAZONINDIA@FRAGOMEN.COM"</f>
        <v>AMAZONINDIA@FRAGOMEN.COM</v>
      </c>
      <c r="BH1050" t="str">
        <f>"FRAGOMEN, DEL REY, BERNSEN &amp; LOEWY, LLP"</f>
        <v>FRAGOMEN, DEL REY, BERNSEN &amp; LOEWY, LLP</v>
      </c>
      <c r="BI1050" t="str">
        <f>"MA"</f>
        <v>MA</v>
      </c>
      <c r="BJ1050" t="str">
        <f>"SUPREME JUDICIAL COURT"</f>
        <v>SUPREME JUDICIAL COURT</v>
      </c>
      <c r="BK1050">
        <v>1</v>
      </c>
      <c r="BL1050" t="s">
        <v>102</v>
      </c>
      <c r="BM1050" t="str">
        <f>""</f>
        <v/>
      </c>
      <c r="BN1050" t="s">
        <v>3605</v>
      </c>
      <c r="BP1050" t="s">
        <v>433</v>
      </c>
      <c r="BQ1050" t="s">
        <v>183</v>
      </c>
      <c r="BR1050" t="s">
        <v>176</v>
      </c>
      <c r="BS1050" s="5">
        <v>98109</v>
      </c>
      <c r="BT1050" s="2">
        <v>160000</v>
      </c>
      <c r="BV1050" t="s">
        <v>105</v>
      </c>
      <c r="BW1050" s="2">
        <v>134098</v>
      </c>
      <c r="BX1050" t="s">
        <v>105</v>
      </c>
      <c r="BZ1050" t="s">
        <v>123</v>
      </c>
      <c r="CA1050" t="str">
        <f t="shared" si="80"/>
        <v>7/1/2020 - 6/30/2021</v>
      </c>
      <c r="CF1050">
        <v>1</v>
      </c>
      <c r="CG1050" t="s">
        <v>98</v>
      </c>
      <c r="CH1050" t="s">
        <v>206</v>
      </c>
      <c r="CI1050" t="s">
        <v>206</v>
      </c>
      <c r="CL1050" t="s">
        <v>108</v>
      </c>
      <c r="CM1050" t="s">
        <v>109</v>
      </c>
      <c r="CN1050" t="str">
        <f>"SUNNY"</f>
        <v>SUNNY</v>
      </c>
      <c r="CO1050" t="str">
        <f>"JASMIN"</f>
        <v>JASMIN</v>
      </c>
      <c r="CP1050" t="str">
        <f>"N/A"</f>
        <v>N/A</v>
      </c>
      <c r="CQ1050" t="str">
        <f>"FRAGOMEN, DEL REY, BERNSEN &amp; LOEWY, LLP"</f>
        <v>FRAGOMEN, DEL REY, BERNSEN &amp; LOEWY, LLP</v>
      </c>
      <c r="CR1050" t="s">
        <v>650</v>
      </c>
    </row>
    <row r="1051" spans="1:96" x14ac:dyDescent="0.2">
      <c r="A1051" t="s">
        <v>11132</v>
      </c>
      <c r="B1051" t="s">
        <v>96</v>
      </c>
      <c r="C1051" s="1">
        <v>44098</v>
      </c>
      <c r="D1051" s="1">
        <v>44105</v>
      </c>
      <c r="F1051" t="s">
        <v>97</v>
      </c>
      <c r="G1051" t="str">
        <f>"AO/Senior Quality Assurance Analyst"</f>
        <v>AO/Senior Quality Assurance Analyst</v>
      </c>
      <c r="H1051" t="s">
        <v>12168</v>
      </c>
      <c r="I1051" t="s">
        <v>319</v>
      </c>
      <c r="J1051" t="s">
        <v>98</v>
      </c>
      <c r="K1051" s="1">
        <v>44205</v>
      </c>
      <c r="L1051" s="1">
        <v>45299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 t="s">
        <v>3345</v>
      </c>
      <c r="U1051" t="str">
        <f>""</f>
        <v/>
      </c>
      <c r="V1051" t="s">
        <v>3346</v>
      </c>
      <c r="W1051" t="str">
        <f>""</f>
        <v/>
      </c>
      <c r="X1051" t="s">
        <v>277</v>
      </c>
      <c r="Y1051" t="s">
        <v>190</v>
      </c>
      <c r="Z1051" s="3">
        <v>10105</v>
      </c>
      <c r="AA1051" t="s">
        <v>101</v>
      </c>
      <c r="AC1051" s="4" t="str">
        <f>"+12129691000"</f>
        <v>+12129691000</v>
      </c>
      <c r="AE1051" t="str">
        <f>"523920"</f>
        <v>523920</v>
      </c>
      <c r="AF1051" t="s">
        <v>5347</v>
      </c>
      <c r="AG1051" t="s">
        <v>3348</v>
      </c>
      <c r="AI1051" t="s">
        <v>3044</v>
      </c>
      <c r="AJ1051" t="s">
        <v>3349</v>
      </c>
      <c r="AK1051" t="str">
        <f>""</f>
        <v/>
      </c>
      <c r="AL1051" t="s">
        <v>1368</v>
      </c>
      <c r="AM1051" t="s">
        <v>545</v>
      </c>
      <c r="AN1051" s="3">
        <v>37219</v>
      </c>
      <c r="AO1051" t="s">
        <v>101</v>
      </c>
      <c r="AQ1051" t="str">
        <f>"+16292135803"</f>
        <v>+16292135803</v>
      </c>
      <c r="AS1051" t="s">
        <v>3350</v>
      </c>
      <c r="AT1051" t="s">
        <v>107</v>
      </c>
      <c r="AU1051" t="str">
        <f>"Soni"</f>
        <v>Soni</v>
      </c>
      <c r="AV1051" t="str">
        <f>"Rahul"</f>
        <v>Rahul</v>
      </c>
      <c r="AW1051" t="str">
        <f>""</f>
        <v/>
      </c>
      <c r="AX1051" t="str">
        <f>"1400 Broadway"</f>
        <v>1400 Broadway</v>
      </c>
      <c r="AY1051" t="str">
        <f>""</f>
        <v/>
      </c>
      <c r="AZ1051" t="str">
        <f>"New York"</f>
        <v>New York</v>
      </c>
      <c r="BA1051" t="str">
        <f>"NY"</f>
        <v>NY</v>
      </c>
      <c r="BB1051" s="3">
        <v>10018</v>
      </c>
      <c r="BC1051" t="str">
        <f t="shared" si="82"/>
        <v>UNITED STATES OF AMERICA</v>
      </c>
      <c r="BD1051" t="str">
        <f>""</f>
        <v/>
      </c>
      <c r="BE1051" t="str">
        <f>"+12126888555"</f>
        <v>+12126888555</v>
      </c>
      <c r="BF1051" t="str">
        <f>""</f>
        <v/>
      </c>
      <c r="BG1051" t="str">
        <f>"nhigdon@fragomen.com"</f>
        <v>nhigdon@fragomen.com</v>
      </c>
      <c r="BH1051" t="str">
        <f>"Fragomen, Del Rey, Bernsen &amp; Loewy, LLP"</f>
        <v>Fragomen, Del Rey, Bernsen &amp; Loewy, LLP</v>
      </c>
      <c r="BI1051" t="str">
        <f>"CA"</f>
        <v>CA</v>
      </c>
      <c r="BJ1051" t="str">
        <f>"Supreme Court"</f>
        <v>Supreme Court</v>
      </c>
      <c r="BK1051">
        <v>1</v>
      </c>
      <c r="BL1051" t="s">
        <v>102</v>
      </c>
      <c r="BM1051" t="str">
        <f>""</f>
        <v/>
      </c>
      <c r="BN1051" t="s">
        <v>11133</v>
      </c>
      <c r="BP1051" t="s">
        <v>1368</v>
      </c>
      <c r="BQ1051" t="s">
        <v>1664</v>
      </c>
      <c r="BR1051" t="s">
        <v>545</v>
      </c>
      <c r="BS1051" s="5">
        <v>37219</v>
      </c>
      <c r="BT1051" s="2">
        <v>86611</v>
      </c>
      <c r="BU1051" s="2">
        <v>95000</v>
      </c>
      <c r="BV1051" t="s">
        <v>105</v>
      </c>
      <c r="BW1051" s="2">
        <v>86611</v>
      </c>
      <c r="BX1051" t="s">
        <v>105</v>
      </c>
      <c r="BZ1051" t="s">
        <v>159</v>
      </c>
      <c r="CA1051" t="str">
        <f t="shared" si="80"/>
        <v>7/1/2020 - 6/30/2021</v>
      </c>
      <c r="CF1051">
        <v>1</v>
      </c>
      <c r="CG1051" t="s">
        <v>98</v>
      </c>
      <c r="CH1051" t="s">
        <v>206</v>
      </c>
      <c r="CI1051" t="s">
        <v>206</v>
      </c>
      <c r="CL1051" t="s">
        <v>108</v>
      </c>
      <c r="CM1051" t="s">
        <v>109</v>
      </c>
      <c r="CN1051" t="str">
        <f>"Higdon"</f>
        <v>Higdon</v>
      </c>
      <c r="CO1051" t="str">
        <f>"Nathaniel"</f>
        <v>Nathaniel</v>
      </c>
      <c r="CP1051" t="str">
        <f>""</f>
        <v/>
      </c>
      <c r="CQ1051" t="str">
        <f>"Fragomen, Del Rey, Bernsen &amp; Loewy, LLP"</f>
        <v>Fragomen, Del Rey, Bernsen &amp; Loewy, LLP</v>
      </c>
      <c r="CR1051" t="s">
        <v>5348</v>
      </c>
    </row>
    <row r="1052" spans="1:96" x14ac:dyDescent="0.2">
      <c r="A1052" t="s">
        <v>11134</v>
      </c>
      <c r="B1052" t="s">
        <v>96</v>
      </c>
      <c r="C1052" s="1">
        <v>44098</v>
      </c>
      <c r="D1052" s="1">
        <v>44105</v>
      </c>
      <c r="F1052" t="s">
        <v>97</v>
      </c>
      <c r="G1052" t="str">
        <f>"Senior Front End Developer"</f>
        <v>Senior Front End Developer</v>
      </c>
      <c r="H1052" t="s">
        <v>12272</v>
      </c>
      <c r="I1052" t="s">
        <v>1486</v>
      </c>
      <c r="J1052" t="s">
        <v>98</v>
      </c>
      <c r="K1052" s="1">
        <v>44117</v>
      </c>
      <c r="L1052" s="1">
        <v>45211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7859</v>
      </c>
      <c r="U1052" t="str">
        <f>"Republic"</f>
        <v>Republic</v>
      </c>
      <c r="V1052" t="s">
        <v>7860</v>
      </c>
      <c r="W1052" t="str">
        <f>"N/A"</f>
        <v>N/A</v>
      </c>
      <c r="X1052" t="s">
        <v>299</v>
      </c>
      <c r="Y1052" t="s">
        <v>258</v>
      </c>
      <c r="Z1052" s="3">
        <v>85054</v>
      </c>
      <c r="AA1052" t="s">
        <v>101</v>
      </c>
      <c r="AB1052" t="s">
        <v>108</v>
      </c>
      <c r="AC1052" s="4" t="str">
        <f>"+14806272700"</f>
        <v>+14806272700</v>
      </c>
      <c r="AE1052" t="str">
        <f>"562111"</f>
        <v>562111</v>
      </c>
      <c r="AF1052" t="s">
        <v>7861</v>
      </c>
      <c r="AG1052" t="s">
        <v>927</v>
      </c>
      <c r="AH1052" t="s">
        <v>108</v>
      </c>
      <c r="AI1052" t="s">
        <v>7862</v>
      </c>
      <c r="AJ1052" t="s">
        <v>7860</v>
      </c>
      <c r="AK1052" t="str">
        <f>""</f>
        <v/>
      </c>
      <c r="AL1052" t="s">
        <v>299</v>
      </c>
      <c r="AM1052" t="s">
        <v>258</v>
      </c>
      <c r="AN1052" s="3">
        <v>85054</v>
      </c>
      <c r="AO1052" t="s">
        <v>101</v>
      </c>
      <c r="AQ1052" t="str">
        <f>"+14806272767"</f>
        <v>+14806272767</v>
      </c>
      <c r="AS1052" t="s">
        <v>7863</v>
      </c>
      <c r="AT1052" t="s">
        <v>107</v>
      </c>
      <c r="AU1052" t="str">
        <f>"Mozes"</f>
        <v>Mozes</v>
      </c>
      <c r="AV1052" t="str">
        <f>"Gabriel"</f>
        <v>Gabriel</v>
      </c>
      <c r="AW1052" t="str">
        <f>"H."</f>
        <v>H.</v>
      </c>
      <c r="AX1052" t="str">
        <f>"1075 Peachtree St. NE"</f>
        <v>1075 Peachtree St. NE</v>
      </c>
      <c r="AY1052" t="str">
        <f>"Suite 2500"</f>
        <v>Suite 2500</v>
      </c>
      <c r="AZ1052" t="str">
        <f>"Atlanta"</f>
        <v>Atlanta</v>
      </c>
      <c r="BA1052" t="str">
        <f>"GA"</f>
        <v>GA</v>
      </c>
      <c r="BB1052" s="3">
        <v>30309</v>
      </c>
      <c r="BC1052" t="str">
        <f t="shared" si="82"/>
        <v>UNITED STATES OF AMERICA</v>
      </c>
      <c r="BD1052" t="str">
        <f>""</f>
        <v/>
      </c>
      <c r="BE1052" t="str">
        <f>"+4048856758"</f>
        <v>+4048856758</v>
      </c>
      <c r="BF1052" t="str">
        <f>""</f>
        <v/>
      </c>
      <c r="BG1052" t="str">
        <f>"rbeauge@seyfarth.com"</f>
        <v>rbeauge@seyfarth.com</v>
      </c>
      <c r="BH1052" t="str">
        <f>"Seyfarth Shaw LLP"</f>
        <v>Seyfarth Shaw LLP</v>
      </c>
      <c r="BI1052" t="str">
        <f>"MA"</f>
        <v>MA</v>
      </c>
      <c r="BJ1052" t="str">
        <f>"Supreme Judicial Court"</f>
        <v>Supreme Judicial Court</v>
      </c>
      <c r="BK1052">
        <v>1</v>
      </c>
      <c r="BL1052" t="s">
        <v>102</v>
      </c>
      <c r="BM1052" t="str">
        <f>""</f>
        <v/>
      </c>
      <c r="BN1052" t="s">
        <v>8612</v>
      </c>
      <c r="BO1052" t="s">
        <v>754</v>
      </c>
      <c r="BP1052" t="s">
        <v>1708</v>
      </c>
      <c r="BQ1052" t="s">
        <v>257</v>
      </c>
      <c r="BR1052" t="s">
        <v>258</v>
      </c>
      <c r="BS1052" s="5">
        <v>85260</v>
      </c>
      <c r="BT1052" s="2">
        <v>84011</v>
      </c>
      <c r="BU1052" s="2">
        <v>128000</v>
      </c>
      <c r="BV1052" t="s">
        <v>105</v>
      </c>
      <c r="BW1052" s="2">
        <v>84011</v>
      </c>
      <c r="BX1052" t="s">
        <v>105</v>
      </c>
      <c r="BZ1052" t="s">
        <v>159</v>
      </c>
      <c r="CA1052" t="str">
        <f t="shared" si="80"/>
        <v>7/1/2020 - 6/30/2021</v>
      </c>
      <c r="CF1052">
        <v>1</v>
      </c>
      <c r="CG1052" t="s">
        <v>98</v>
      </c>
      <c r="CH1052" t="s">
        <v>206</v>
      </c>
      <c r="CI1052" t="s">
        <v>206</v>
      </c>
      <c r="CL1052" t="s">
        <v>108</v>
      </c>
      <c r="CM1052" t="s">
        <v>109</v>
      </c>
      <c r="CN1052" t="str">
        <f>"Beauge"</f>
        <v>Beauge</v>
      </c>
      <c r="CO1052" t="str">
        <f>"Ruth"</f>
        <v>Ruth</v>
      </c>
      <c r="CP1052" t="str">
        <f>"N/A"</f>
        <v>N/A</v>
      </c>
      <c r="CQ1052" t="str">
        <f>"Seyfarth Shaw LLP"</f>
        <v>Seyfarth Shaw LLP</v>
      </c>
      <c r="CR1052" t="s">
        <v>2292</v>
      </c>
    </row>
    <row r="1053" spans="1:96" x14ac:dyDescent="0.2">
      <c r="A1053" t="s">
        <v>11137</v>
      </c>
      <c r="B1053" t="s">
        <v>96</v>
      </c>
      <c r="C1053" s="1">
        <v>44098</v>
      </c>
      <c r="D1053" s="1">
        <v>44105</v>
      </c>
      <c r="F1053" t="s">
        <v>97</v>
      </c>
      <c r="G1053" t="str">
        <f>"Manager, BI and Analytics"</f>
        <v>Manager, BI and Analytics</v>
      </c>
      <c r="H1053" t="s">
        <v>12168</v>
      </c>
      <c r="I1053" t="s">
        <v>249</v>
      </c>
      <c r="J1053" t="s">
        <v>98</v>
      </c>
      <c r="K1053" s="1">
        <v>44105</v>
      </c>
      <c r="L1053" s="1">
        <v>45199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 t="s">
        <v>3947</v>
      </c>
      <c r="U1053" t="str">
        <f>""</f>
        <v/>
      </c>
      <c r="V1053" t="s">
        <v>3948</v>
      </c>
      <c r="W1053" t="str">
        <f>"One AMC Way"</f>
        <v>One AMC Way</v>
      </c>
      <c r="X1053" t="s">
        <v>3949</v>
      </c>
      <c r="Y1053" t="s">
        <v>193</v>
      </c>
      <c r="Z1053" s="3">
        <v>66211</v>
      </c>
      <c r="AA1053" t="s">
        <v>101</v>
      </c>
      <c r="AC1053" s="4" t="str">
        <f>"+19132132243"</f>
        <v>+19132132243</v>
      </c>
      <c r="AE1053" t="str">
        <f>"512131"</f>
        <v>512131</v>
      </c>
      <c r="AF1053" t="s">
        <v>3950</v>
      </c>
      <c r="AG1053" t="s">
        <v>200</v>
      </c>
      <c r="AH1053" t="s">
        <v>3951</v>
      </c>
      <c r="AI1053" t="s">
        <v>3952</v>
      </c>
      <c r="AJ1053" t="s">
        <v>3953</v>
      </c>
      <c r="AK1053" t="str">
        <f>"One AMC Way"</f>
        <v>One AMC Way</v>
      </c>
      <c r="AL1053" t="s">
        <v>3949</v>
      </c>
      <c r="AM1053" t="s">
        <v>193</v>
      </c>
      <c r="AN1053" s="3">
        <v>66211</v>
      </c>
      <c r="AO1053" t="s">
        <v>101</v>
      </c>
      <c r="AQ1053" t="str">
        <f>"+19132132243"</f>
        <v>+19132132243</v>
      </c>
      <c r="AS1053" t="s">
        <v>3954</v>
      </c>
      <c r="AT1053" t="s">
        <v>107</v>
      </c>
      <c r="AU1053" t="str">
        <f>"Benet"</f>
        <v>Benet</v>
      </c>
      <c r="AV1053" t="str">
        <f>"William"</f>
        <v>William</v>
      </c>
      <c r="AW1053" t="str">
        <f>"N."</f>
        <v>N.</v>
      </c>
      <c r="AX1053" t="str">
        <f>"2000 S Colorado Blvd."</f>
        <v>2000 S Colorado Blvd.</v>
      </c>
      <c r="AY1053" t="str">
        <f>"Tower 3, Suite 900"</f>
        <v>Tower 3, Suite 900</v>
      </c>
      <c r="AZ1053" t="str">
        <f>"Denver"</f>
        <v>Denver</v>
      </c>
      <c r="BA1053" t="str">
        <f>"CO"</f>
        <v>CO</v>
      </c>
      <c r="BB1053" s="3">
        <v>80222</v>
      </c>
      <c r="BC1053" t="str">
        <f t="shared" si="82"/>
        <v>UNITED STATES OF AMERICA</v>
      </c>
      <c r="BD1053" t="str">
        <f>""</f>
        <v/>
      </c>
      <c r="BE1053" t="str">
        <f>"+13037646800"</f>
        <v>+13037646800</v>
      </c>
      <c r="BF1053" t="str">
        <f>""</f>
        <v/>
      </c>
      <c r="BG1053" t="str">
        <f>"william.benet@ogletree.com"</f>
        <v>william.benet@ogletree.com</v>
      </c>
      <c r="BH1053" t="str">
        <f>"Ogletree Deakins"</f>
        <v>Ogletree Deakins</v>
      </c>
      <c r="BI1053" t="str">
        <f>"MN"</f>
        <v>MN</v>
      </c>
      <c r="BJ1053" t="str">
        <f>"Minnesota Supreme Court"</f>
        <v>Minnesota Supreme Court</v>
      </c>
      <c r="BK1053">
        <v>1</v>
      </c>
      <c r="BL1053" t="s">
        <v>102</v>
      </c>
      <c r="BM1053" t="str">
        <f>""</f>
        <v/>
      </c>
      <c r="BN1053" t="s">
        <v>5260</v>
      </c>
      <c r="BP1053" t="s">
        <v>3949</v>
      </c>
      <c r="BQ1053" t="s">
        <v>1372</v>
      </c>
      <c r="BR1053" t="s">
        <v>193</v>
      </c>
      <c r="BS1053" s="5">
        <v>66211</v>
      </c>
      <c r="BT1053" s="2">
        <v>48.95</v>
      </c>
      <c r="BU1053" s="2">
        <v>58.97</v>
      </c>
      <c r="BV1053" t="s">
        <v>210</v>
      </c>
      <c r="BW1053" s="2">
        <v>48.95</v>
      </c>
      <c r="BX1053" t="s">
        <v>210</v>
      </c>
      <c r="BZ1053" t="s">
        <v>159</v>
      </c>
      <c r="CA1053" t="str">
        <f t="shared" si="80"/>
        <v>7/1/2020 - 6/30/2021</v>
      </c>
      <c r="CF1053">
        <v>1</v>
      </c>
      <c r="CG1053" t="s">
        <v>98</v>
      </c>
      <c r="CH1053" t="s">
        <v>206</v>
      </c>
      <c r="CI1053" t="s">
        <v>206</v>
      </c>
      <c r="CL1053" t="s">
        <v>108</v>
      </c>
      <c r="CM1053" t="s">
        <v>109</v>
      </c>
      <c r="CN1053" t="str">
        <f>"Windhausen"</f>
        <v>Windhausen</v>
      </c>
      <c r="CO1053" t="str">
        <f>"Michelle"</f>
        <v>Michelle</v>
      </c>
      <c r="CP1053" t="str">
        <f>"A"</f>
        <v>A</v>
      </c>
      <c r="CQ1053" t="str">
        <f>"Ogletree Deakins"</f>
        <v>Ogletree Deakins</v>
      </c>
      <c r="CR1053" t="s">
        <v>1785</v>
      </c>
    </row>
    <row r="1054" spans="1:96" x14ac:dyDescent="0.2">
      <c r="A1054" t="s">
        <v>11138</v>
      </c>
      <c r="B1054" t="s">
        <v>96</v>
      </c>
      <c r="C1054" s="1">
        <v>44098</v>
      </c>
      <c r="D1054" s="1">
        <v>44105</v>
      </c>
      <c r="F1054" t="s">
        <v>97</v>
      </c>
      <c r="G1054" t="str">
        <f>"IS SR INTEGRATION ANALYST B2B"</f>
        <v>IS SR INTEGRATION ANALYST B2B</v>
      </c>
      <c r="H1054" t="s">
        <v>12168</v>
      </c>
      <c r="I1054" t="s">
        <v>160</v>
      </c>
      <c r="J1054" t="s">
        <v>98</v>
      </c>
      <c r="K1054" s="1">
        <v>44099</v>
      </c>
      <c r="L1054" s="1">
        <v>45193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 t="s">
        <v>3520</v>
      </c>
      <c r="U1054" t="str">
        <f>""</f>
        <v/>
      </c>
      <c r="V1054" t="s">
        <v>3521</v>
      </c>
      <c r="W1054" t="str">
        <f>"Suite 100"</f>
        <v>Suite 100</v>
      </c>
      <c r="X1054" t="s">
        <v>2078</v>
      </c>
      <c r="Y1054" t="s">
        <v>141</v>
      </c>
      <c r="Z1054" s="3">
        <v>92612</v>
      </c>
      <c r="AA1054" t="s">
        <v>101</v>
      </c>
      <c r="AC1054" s="4" t="str">
        <f>"+17143821377"</f>
        <v>+17143821377</v>
      </c>
      <c r="AE1054" t="str">
        <f>"541511"</f>
        <v>541511</v>
      </c>
      <c r="AF1054" t="s">
        <v>3522</v>
      </c>
      <c r="AG1054" t="s">
        <v>3523</v>
      </c>
      <c r="AI1054" t="s">
        <v>2583</v>
      </c>
      <c r="AJ1054" t="s">
        <v>3524</v>
      </c>
      <c r="AK1054" t="str">
        <f>""</f>
        <v/>
      </c>
      <c r="AL1054" t="s">
        <v>2078</v>
      </c>
      <c r="AM1054" t="s">
        <v>141</v>
      </c>
      <c r="AN1054" s="3">
        <v>92612</v>
      </c>
      <c r="AO1054" t="s">
        <v>101</v>
      </c>
      <c r="AQ1054" t="str">
        <f>"+17143821378"</f>
        <v>+17143821378</v>
      </c>
      <c r="AS1054" t="s">
        <v>3525</v>
      </c>
      <c r="AT1054" t="s">
        <v>107</v>
      </c>
      <c r="AU1054" t="str">
        <f>"Yoo"</f>
        <v>Yoo</v>
      </c>
      <c r="AV1054" t="str">
        <f>"Ralph"</f>
        <v>Ralph</v>
      </c>
      <c r="AW1054" t="str">
        <f>""</f>
        <v/>
      </c>
      <c r="AX1054" t="str">
        <f>"18401 Von Karman Ave"</f>
        <v>18401 Von Karman Ave</v>
      </c>
      <c r="AY1054" t="str">
        <f>"Suite 255"</f>
        <v>Suite 255</v>
      </c>
      <c r="AZ1054" t="str">
        <f>"Irvine"</f>
        <v>Irvine</v>
      </c>
      <c r="BA1054" t="str">
        <f>"CA"</f>
        <v>CA</v>
      </c>
      <c r="BB1054" s="3">
        <v>92612</v>
      </c>
      <c r="BC1054" t="str">
        <f t="shared" si="82"/>
        <v>UNITED STATES OF AMERICA</v>
      </c>
      <c r="BD1054" t="str">
        <f>""</f>
        <v/>
      </c>
      <c r="BE1054" t="str">
        <f>"+19492610209"</f>
        <v>+19492610209</v>
      </c>
      <c r="BF1054" t="str">
        <f>""</f>
        <v/>
      </c>
      <c r="BG1054" t="str">
        <f>"RalphYoo@Fragomen.com"</f>
        <v>RalphYoo@Fragomen.com</v>
      </c>
      <c r="BH1054" t="str">
        <f>"Fragomen, Del Rey, Bernsen &amp; Loewy, LLP"</f>
        <v>Fragomen, Del Rey, Bernsen &amp; Loewy, LLP</v>
      </c>
      <c r="BI1054" t="str">
        <f>"CA"</f>
        <v>CA</v>
      </c>
      <c r="BJ1054" t="str">
        <f>"Supreme Court"</f>
        <v>Supreme Court</v>
      </c>
      <c r="BK1054">
        <v>1</v>
      </c>
      <c r="BL1054" t="s">
        <v>102</v>
      </c>
      <c r="BM1054" t="str">
        <f>""</f>
        <v/>
      </c>
      <c r="BN1054" t="s">
        <v>11139</v>
      </c>
      <c r="BO1054" t="s">
        <v>2933</v>
      </c>
      <c r="BP1054" t="s">
        <v>2078</v>
      </c>
      <c r="BQ1054" t="s">
        <v>377</v>
      </c>
      <c r="BR1054" t="s">
        <v>141</v>
      </c>
      <c r="BS1054" s="5">
        <v>92612</v>
      </c>
      <c r="BT1054" s="2">
        <v>104749</v>
      </c>
      <c r="BU1054" s="2">
        <v>126500</v>
      </c>
      <c r="BV1054" t="s">
        <v>105</v>
      </c>
      <c r="BW1054" s="2">
        <v>104749</v>
      </c>
      <c r="BX1054" t="s">
        <v>105</v>
      </c>
      <c r="BZ1054" t="s">
        <v>159</v>
      </c>
      <c r="CA1054" t="str">
        <f t="shared" si="80"/>
        <v>7/1/2020 - 6/30/2021</v>
      </c>
      <c r="CF1054">
        <v>2</v>
      </c>
      <c r="CG1054" t="s">
        <v>98</v>
      </c>
      <c r="CH1054" t="s">
        <v>206</v>
      </c>
      <c r="CI1054" t="s">
        <v>206</v>
      </c>
      <c r="CL1054" t="s">
        <v>108</v>
      </c>
      <c r="CM1054" t="s">
        <v>109</v>
      </c>
      <c r="CN1054" t="str">
        <f>"Flores"</f>
        <v>Flores</v>
      </c>
      <c r="CO1054" t="str">
        <f>"Ivan"</f>
        <v>Ivan</v>
      </c>
      <c r="CP1054" t="str">
        <f>""</f>
        <v/>
      </c>
      <c r="CQ1054" t="str">
        <f>"Fragomen"</f>
        <v>Fragomen</v>
      </c>
      <c r="CR1054" t="s">
        <v>1316</v>
      </c>
    </row>
    <row r="1055" spans="1:96" x14ac:dyDescent="0.2">
      <c r="A1055" t="s">
        <v>11141</v>
      </c>
      <c r="B1055" t="s">
        <v>96</v>
      </c>
      <c r="C1055" s="1">
        <v>44098</v>
      </c>
      <c r="D1055" s="1">
        <v>44105</v>
      </c>
      <c r="F1055" t="s">
        <v>97</v>
      </c>
      <c r="G1055" t="str">
        <f>"Senior Manager II, Software Engineering"</f>
        <v>Senior Manager II, Software Engineering</v>
      </c>
      <c r="H1055" t="s">
        <v>12169</v>
      </c>
      <c r="I1055" t="s">
        <v>124</v>
      </c>
      <c r="J1055" t="s">
        <v>98</v>
      </c>
      <c r="K1055" s="1">
        <v>44274</v>
      </c>
      <c r="L1055" s="1">
        <v>45369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 t="s">
        <v>1397</v>
      </c>
      <c r="U1055" t="str">
        <f>""</f>
        <v/>
      </c>
      <c r="V1055" t="s">
        <v>1856</v>
      </c>
      <c r="W1055" t="str">
        <f>""</f>
        <v/>
      </c>
      <c r="X1055" t="s">
        <v>1398</v>
      </c>
      <c r="Y1055" t="s">
        <v>641</v>
      </c>
      <c r="Z1055" s="3">
        <v>72716</v>
      </c>
      <c r="AA1055" t="s">
        <v>101</v>
      </c>
      <c r="AC1055" s="4" t="str">
        <f>"+16508375000"</f>
        <v>+16508375000</v>
      </c>
      <c r="AE1055" t="str">
        <f>"452210"</f>
        <v>452210</v>
      </c>
      <c r="AF1055" t="s">
        <v>1758</v>
      </c>
      <c r="AG1055" t="s">
        <v>1857</v>
      </c>
      <c r="AI1055" t="s">
        <v>1858</v>
      </c>
      <c r="AJ1055" t="s">
        <v>1859</v>
      </c>
      <c r="AK1055" t="str">
        <f>""</f>
        <v/>
      </c>
      <c r="AL1055" t="s">
        <v>1860</v>
      </c>
      <c r="AM1055" t="s">
        <v>141</v>
      </c>
      <c r="AN1055" s="3">
        <v>94066</v>
      </c>
      <c r="AO1055" t="s">
        <v>101</v>
      </c>
      <c r="AQ1055" t="str">
        <f>"+16508375000"</f>
        <v>+16508375000</v>
      </c>
      <c r="AS1055" t="s">
        <v>1861</v>
      </c>
      <c r="AT1055" t="s">
        <v>107</v>
      </c>
      <c r="AU1055" t="str">
        <f>"NIEVES"</f>
        <v>NIEVES</v>
      </c>
      <c r="AV1055" t="str">
        <f>"JENNY "</f>
        <v xml:space="preserve">JENNY </v>
      </c>
      <c r="AW1055" t="str">
        <f>""</f>
        <v/>
      </c>
      <c r="AX1055" t="str">
        <f>"1400 BROADWAY	"</f>
        <v xml:space="preserve">1400 BROADWAY	</v>
      </c>
      <c r="AY1055" t="str">
        <f>"FRAGOMEN, DEL REY, BERNSEN &amp; LOEWY LLP"</f>
        <v>FRAGOMEN, DEL REY, BERNSEN &amp; LOEWY LLP</v>
      </c>
      <c r="AZ1055" t="str">
        <f>"NEW YORK"</f>
        <v>NEW YORK</v>
      </c>
      <c r="BA1055" t="str">
        <f>"NY"</f>
        <v>NY</v>
      </c>
      <c r="BB1055" s="3">
        <v>10018</v>
      </c>
      <c r="BC1055" t="str">
        <f t="shared" si="82"/>
        <v>UNITED STATES OF AMERICA</v>
      </c>
      <c r="BD1055" t="str">
        <f>""</f>
        <v/>
      </c>
      <c r="BE1055" t="str">
        <f>"+12122302877"</f>
        <v>+12122302877</v>
      </c>
      <c r="BF1055" t="str">
        <f>""</f>
        <v/>
      </c>
      <c r="BG1055" t="str">
        <f>"JNIEVES@FRAGOMEN.COM"</f>
        <v>JNIEVES@FRAGOMEN.COM</v>
      </c>
      <c r="BH1055" t="str">
        <f>"FRAGOMEN, DEL REY, BERNSEN &amp; LOEWY LLP"</f>
        <v>FRAGOMEN, DEL REY, BERNSEN &amp; LOEWY LLP</v>
      </c>
      <c r="BI1055" t="str">
        <f>"NY"</f>
        <v>NY</v>
      </c>
      <c r="BJ1055" t="str">
        <f>"NYS APPELLATE DIVISION, SECOND DEPARTMENT"</f>
        <v>NYS APPELLATE DIVISION, SECOND DEPARTMENT</v>
      </c>
      <c r="BK1055">
        <v>1</v>
      </c>
      <c r="BL1055" t="s">
        <v>102</v>
      </c>
      <c r="BM1055" t="str">
        <f>""</f>
        <v/>
      </c>
      <c r="BN1055" t="s">
        <v>11142</v>
      </c>
      <c r="BP1055" t="s">
        <v>5079</v>
      </c>
      <c r="BQ1055" t="s">
        <v>5080</v>
      </c>
      <c r="BR1055" t="s">
        <v>141</v>
      </c>
      <c r="BS1055" s="5">
        <v>95391</v>
      </c>
      <c r="BT1055" s="2">
        <v>204332.21</v>
      </c>
      <c r="BV1055" t="s">
        <v>105</v>
      </c>
      <c r="BW1055" s="2">
        <v>133224</v>
      </c>
      <c r="BX1055" t="s">
        <v>105</v>
      </c>
      <c r="BZ1055" t="s">
        <v>159</v>
      </c>
      <c r="CA1055" t="str">
        <f t="shared" si="80"/>
        <v>7/1/2020 - 6/30/2021</v>
      </c>
      <c r="CF1055">
        <v>1</v>
      </c>
      <c r="CG1055" t="s">
        <v>98</v>
      </c>
      <c r="CH1055" t="s">
        <v>206</v>
      </c>
      <c r="CI1055" t="s">
        <v>206</v>
      </c>
      <c r="CL1055" t="s">
        <v>108</v>
      </c>
      <c r="CM1055" t="s">
        <v>109</v>
      </c>
      <c r="CN1055" t="str">
        <f>"Joyce"</f>
        <v>Joyce</v>
      </c>
      <c r="CO1055" t="str">
        <f>"Neil"</f>
        <v>Neil</v>
      </c>
      <c r="CP1055" t="str">
        <f>""</f>
        <v/>
      </c>
      <c r="CQ1055" t="str">
        <f>"Fragomen, Del Rey, Bernsen &amp; Loewy, LLP"</f>
        <v>Fragomen, Del Rey, Bernsen &amp; Loewy, LLP</v>
      </c>
      <c r="CR1055" t="s">
        <v>2827</v>
      </c>
    </row>
    <row r="1056" spans="1:96" x14ac:dyDescent="0.2">
      <c r="A1056" t="s">
        <v>11144</v>
      </c>
      <c r="B1056" t="s">
        <v>96</v>
      </c>
      <c r="C1056" s="1">
        <v>44098</v>
      </c>
      <c r="D1056" s="1">
        <v>44105</v>
      </c>
      <c r="F1056" t="s">
        <v>97</v>
      </c>
      <c r="G1056" t="str">
        <f>"Staff Software Engineer"</f>
        <v>Staff Software Engineer</v>
      </c>
      <c r="H1056" t="s">
        <v>12169</v>
      </c>
      <c r="I1056" t="s">
        <v>124</v>
      </c>
      <c r="J1056" t="s">
        <v>98</v>
      </c>
      <c r="K1056" s="1">
        <v>44106</v>
      </c>
      <c r="L1056" s="1">
        <v>45200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 t="s">
        <v>3684</v>
      </c>
      <c r="U1056" t="str">
        <f>""</f>
        <v/>
      </c>
      <c r="V1056" t="s">
        <v>3287</v>
      </c>
      <c r="W1056" t="str">
        <f>""</f>
        <v/>
      </c>
      <c r="X1056" t="s">
        <v>3288</v>
      </c>
      <c r="Y1056" t="s">
        <v>215</v>
      </c>
      <c r="Z1056" s="3">
        <v>30097</v>
      </c>
      <c r="AA1056" t="s">
        <v>101</v>
      </c>
      <c r="AC1056" s="4" t="str">
        <f>"+15135737766"</f>
        <v>+15135737766</v>
      </c>
      <c r="AE1056" t="str">
        <f>"45411"</f>
        <v>45411</v>
      </c>
      <c r="AF1056" t="s">
        <v>3289</v>
      </c>
      <c r="AG1056" t="s">
        <v>3290</v>
      </c>
      <c r="AH1056" t="s">
        <v>108</v>
      </c>
      <c r="AI1056" t="s">
        <v>221</v>
      </c>
      <c r="AJ1056" t="s">
        <v>3291</v>
      </c>
      <c r="AK1056" t="str">
        <f>""</f>
        <v/>
      </c>
      <c r="AL1056" t="s">
        <v>2599</v>
      </c>
      <c r="AM1056" t="s">
        <v>215</v>
      </c>
      <c r="AN1056" s="3">
        <v>30097</v>
      </c>
      <c r="AO1056" t="s">
        <v>101</v>
      </c>
      <c r="AQ1056" t="str">
        <f>"+15135737766"</f>
        <v>+15135737766</v>
      </c>
      <c r="AS1056" t="s">
        <v>3292</v>
      </c>
      <c r="AT1056" t="s">
        <v>107</v>
      </c>
      <c r="AU1056" t="str">
        <f>"CHAPMAN"</f>
        <v>CHAPMAN</v>
      </c>
      <c r="AV1056" t="str">
        <f>"TAYLOR"</f>
        <v>TAYLOR</v>
      </c>
      <c r="AW1056" t="str">
        <f>"P."</f>
        <v>P.</v>
      </c>
      <c r="AX1056" t="str">
        <f>"10100 Katy Freeway, Suite 600"</f>
        <v>10100 Katy Freeway, Suite 600</v>
      </c>
      <c r="AY1056" t="str">
        <f>""</f>
        <v/>
      </c>
      <c r="AZ1056" t="str">
        <f>"Houston"</f>
        <v>Houston</v>
      </c>
      <c r="BA1056" t="str">
        <f>"TX"</f>
        <v>TX</v>
      </c>
      <c r="BB1056" s="3">
        <v>77043</v>
      </c>
      <c r="BC1056" t="str">
        <f t="shared" si="82"/>
        <v>UNITED STATES OF AMERICA</v>
      </c>
      <c r="BD1056" t="str">
        <f>""</f>
        <v/>
      </c>
      <c r="BE1056" t="str">
        <f>"+14692909369"</f>
        <v>+14692909369</v>
      </c>
      <c r="BF1056" t="str">
        <f>""</f>
        <v/>
      </c>
      <c r="BG1056" t="str">
        <f>"NJANI@BALGLOBAL.COM"</f>
        <v>NJANI@BALGLOBAL.COM</v>
      </c>
      <c r="BH1056" t="str">
        <f>"Berry Appleman &amp; Leiden LLP"</f>
        <v>Berry Appleman &amp; Leiden LLP</v>
      </c>
      <c r="BI1056" t="str">
        <f>"TX"</f>
        <v>TX</v>
      </c>
      <c r="BJ1056" t="str">
        <f>"Supreme Court of Texas"</f>
        <v>Supreme Court of Texas</v>
      </c>
      <c r="BK1056">
        <v>1</v>
      </c>
      <c r="BL1056" t="s">
        <v>102</v>
      </c>
      <c r="BM1056" t="str">
        <f>""</f>
        <v/>
      </c>
      <c r="BN1056" t="s">
        <v>3287</v>
      </c>
      <c r="BP1056" t="s">
        <v>3288</v>
      </c>
      <c r="BQ1056" t="s">
        <v>214</v>
      </c>
      <c r="BR1056" t="s">
        <v>215</v>
      </c>
      <c r="BS1056" s="5">
        <v>30097</v>
      </c>
      <c r="BT1056" s="2">
        <v>158700</v>
      </c>
      <c r="BV1056" t="s">
        <v>105</v>
      </c>
      <c r="BW1056" s="2">
        <v>121139</v>
      </c>
      <c r="BX1056" t="s">
        <v>105</v>
      </c>
      <c r="BZ1056" t="s">
        <v>159</v>
      </c>
      <c r="CA1056" t="str">
        <f t="shared" si="80"/>
        <v>7/1/2020 - 6/30/2021</v>
      </c>
      <c r="CF1056">
        <v>1</v>
      </c>
      <c r="CG1056" t="s">
        <v>98</v>
      </c>
      <c r="CH1056" t="s">
        <v>206</v>
      </c>
      <c r="CI1056" t="s">
        <v>206</v>
      </c>
      <c r="CL1056" t="s">
        <v>108</v>
      </c>
      <c r="CM1056" t="s">
        <v>109</v>
      </c>
      <c r="CN1056" t="str">
        <f>""</f>
        <v/>
      </c>
      <c r="CO1056" t="str">
        <f>""</f>
        <v/>
      </c>
      <c r="CP1056" t="str">
        <f>""</f>
        <v/>
      </c>
      <c r="CQ1056" t="str">
        <f>""</f>
        <v/>
      </c>
    </row>
    <row r="1057" spans="1:96" x14ac:dyDescent="0.2">
      <c r="A1057" t="s">
        <v>11145</v>
      </c>
      <c r="B1057" t="s">
        <v>96</v>
      </c>
      <c r="C1057" s="1">
        <v>44098</v>
      </c>
      <c r="D1057" s="1">
        <v>44105</v>
      </c>
      <c r="F1057" t="s">
        <v>97</v>
      </c>
      <c r="G1057" t="str">
        <f>"D&amp;TS SENIOR DEVELOPER CONSULTANT"</f>
        <v>D&amp;TS SENIOR DEVELOPER CONSULTANT</v>
      </c>
      <c r="H1057" t="s">
        <v>12169</v>
      </c>
      <c r="I1057" t="s">
        <v>124</v>
      </c>
      <c r="J1057" t="s">
        <v>98</v>
      </c>
      <c r="K1057" s="1">
        <v>44243</v>
      </c>
      <c r="L1057" s="1">
        <v>45337</v>
      </c>
      <c r="M1057">
        <v>3</v>
      </c>
      <c r="N1057">
        <v>0</v>
      </c>
      <c r="O1057">
        <v>3</v>
      </c>
      <c r="P1057">
        <v>0</v>
      </c>
      <c r="Q1057">
        <v>0</v>
      </c>
      <c r="R1057">
        <v>0</v>
      </c>
      <c r="S1057">
        <v>0</v>
      </c>
      <c r="T1057" t="s">
        <v>6822</v>
      </c>
      <c r="U1057" t="str">
        <f>""</f>
        <v/>
      </c>
      <c r="V1057" t="s">
        <v>6823</v>
      </c>
      <c r="W1057" t="str">
        <f>""</f>
        <v/>
      </c>
      <c r="X1057" t="s">
        <v>998</v>
      </c>
      <c r="Y1057" t="s">
        <v>122</v>
      </c>
      <c r="Z1057" s="3">
        <v>28202</v>
      </c>
      <c r="AA1057" t="s">
        <v>101</v>
      </c>
      <c r="AC1057" s="4" t="str">
        <f>"+16153918416"</f>
        <v>+16153918416</v>
      </c>
      <c r="AE1057" t="str">
        <f>"522110"</f>
        <v>522110</v>
      </c>
      <c r="AF1057" t="s">
        <v>2080</v>
      </c>
      <c r="AG1057" t="s">
        <v>3160</v>
      </c>
      <c r="AH1057" t="s">
        <v>1576</v>
      </c>
      <c r="AI1057" t="s">
        <v>6824</v>
      </c>
      <c r="AJ1057" t="s">
        <v>6825</v>
      </c>
      <c r="AK1057" t="str">
        <f>""</f>
        <v/>
      </c>
      <c r="AL1057" t="s">
        <v>1369</v>
      </c>
      <c r="AM1057" t="s">
        <v>545</v>
      </c>
      <c r="AN1057" s="3">
        <v>37214</v>
      </c>
      <c r="AO1057" t="s">
        <v>101</v>
      </c>
      <c r="AQ1057" t="str">
        <f>"+16153918416"</f>
        <v>+16153918416</v>
      </c>
      <c r="AS1057" t="s">
        <v>6826</v>
      </c>
      <c r="AT1057" t="s">
        <v>107</v>
      </c>
      <c r="AU1057" t="str">
        <f>"BRADSHAW"</f>
        <v>BRADSHAW</v>
      </c>
      <c r="AV1057" t="str">
        <f>"PENNI"</f>
        <v>PENNI</v>
      </c>
      <c r="AW1057" t="str">
        <f>"PEARSON"</f>
        <v>PEARSON</v>
      </c>
      <c r="AX1057" t="str">
        <f>"100 N. CHERRY ST."</f>
        <v>100 N. CHERRY ST.</v>
      </c>
      <c r="AY1057" t="str">
        <f>"STE. 300"</f>
        <v>STE. 300</v>
      </c>
      <c r="AZ1057" t="str">
        <f>"WINSTON-SALEM"</f>
        <v>WINSTON-SALEM</v>
      </c>
      <c r="BA1057" t="str">
        <f>"NC"</f>
        <v>NC</v>
      </c>
      <c r="BB1057" s="3">
        <v>27101</v>
      </c>
      <c r="BC1057" t="str">
        <f t="shared" si="82"/>
        <v>UNITED STATES OF AMERICA</v>
      </c>
      <c r="BD1057" t="str">
        <f>""</f>
        <v/>
      </c>
      <c r="BE1057" t="str">
        <f>"+13367216842"</f>
        <v>+13367216842</v>
      </c>
      <c r="BF1057" t="str">
        <f>""</f>
        <v/>
      </c>
      <c r="BG1057" t="str">
        <f>"AKNOWLES@CONSTANGY.COM"</f>
        <v>AKNOWLES@CONSTANGY.COM</v>
      </c>
      <c r="BH1057" t="str">
        <f>"CONSTANGY, BROOKS, SMITH &amp; PROPHETE, LLP"</f>
        <v>CONSTANGY, BROOKS, SMITH &amp; PROPHETE, LLP</v>
      </c>
      <c r="BI1057" t="str">
        <f>"NC"</f>
        <v>NC</v>
      </c>
      <c r="BJ1057" t="str">
        <f>"SUPREME COURT"</f>
        <v>SUPREME COURT</v>
      </c>
      <c r="BK1057">
        <v>3</v>
      </c>
      <c r="BL1057" t="s">
        <v>102</v>
      </c>
      <c r="BM1057" t="str">
        <f>""</f>
        <v/>
      </c>
      <c r="BN1057" t="s">
        <v>11146</v>
      </c>
      <c r="BP1057" t="s">
        <v>4964</v>
      </c>
      <c r="BQ1057" t="s">
        <v>1095</v>
      </c>
      <c r="BR1057" t="s">
        <v>169</v>
      </c>
      <c r="BS1057" s="5">
        <v>84101</v>
      </c>
      <c r="BT1057" s="2">
        <v>130000</v>
      </c>
      <c r="BU1057" s="2">
        <v>150000</v>
      </c>
      <c r="BV1057" t="s">
        <v>105</v>
      </c>
      <c r="BW1057" s="2">
        <v>124426</v>
      </c>
      <c r="BX1057" t="s">
        <v>105</v>
      </c>
      <c r="BZ1057" t="s">
        <v>159</v>
      </c>
      <c r="CA1057" t="str">
        <f t="shared" si="80"/>
        <v>7/1/2020 - 6/30/2021</v>
      </c>
      <c r="CF1057">
        <v>1</v>
      </c>
      <c r="CG1057" t="s">
        <v>98</v>
      </c>
      <c r="CH1057" t="s">
        <v>206</v>
      </c>
      <c r="CI1057" t="s">
        <v>206</v>
      </c>
      <c r="CL1057" t="s">
        <v>108</v>
      </c>
      <c r="CM1057" t="s">
        <v>109</v>
      </c>
      <c r="CN1057" t="str">
        <f>"KNOWLES"</f>
        <v>KNOWLES</v>
      </c>
      <c r="CO1057" t="str">
        <f>"ALICIA"</f>
        <v>ALICIA</v>
      </c>
      <c r="CP1057" t="str">
        <f>"G"</f>
        <v>G</v>
      </c>
      <c r="CQ1057" t="str">
        <f>"CONSTANGY, BROOKS, SMITH &amp; PROPHETE, LLP"</f>
        <v>CONSTANGY, BROOKS, SMITH &amp; PROPHETE, LLP</v>
      </c>
      <c r="CR1057" t="s">
        <v>1610</v>
      </c>
    </row>
    <row r="1058" spans="1:96" x14ac:dyDescent="0.2">
      <c r="A1058" t="s">
        <v>11152</v>
      </c>
      <c r="B1058" t="s">
        <v>96</v>
      </c>
      <c r="C1058" s="1">
        <v>44098</v>
      </c>
      <c r="D1058" s="1">
        <v>44105</v>
      </c>
      <c r="F1058" t="s">
        <v>97</v>
      </c>
      <c r="G1058" t="str">
        <f>"BUSINESS ANALYST"</f>
        <v>BUSINESS ANALYST</v>
      </c>
      <c r="H1058" t="s">
        <v>12275</v>
      </c>
      <c r="I1058" t="s">
        <v>4330</v>
      </c>
      <c r="J1058" t="s">
        <v>98</v>
      </c>
      <c r="K1058" s="1">
        <v>44098</v>
      </c>
      <c r="L1058" s="1">
        <v>45192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 t="s">
        <v>10764</v>
      </c>
      <c r="U1058" t="str">
        <f>""</f>
        <v/>
      </c>
      <c r="V1058" t="s">
        <v>10765</v>
      </c>
      <c r="W1058" t="str">
        <f>""</f>
        <v/>
      </c>
      <c r="X1058" t="s">
        <v>6498</v>
      </c>
      <c r="Y1058" t="s">
        <v>100</v>
      </c>
      <c r="Z1058" s="3">
        <v>7630</v>
      </c>
      <c r="AA1058" t="s">
        <v>101</v>
      </c>
      <c r="AC1058" s="4" t="str">
        <f>"+12017350204"</f>
        <v>+12017350204</v>
      </c>
      <c r="AE1058" t="str">
        <f>"541512"</f>
        <v>541512</v>
      </c>
      <c r="AF1058" t="s">
        <v>10766</v>
      </c>
      <c r="AG1058" t="s">
        <v>10767</v>
      </c>
      <c r="AI1058" t="s">
        <v>228</v>
      </c>
      <c r="AJ1058" t="s">
        <v>10768</v>
      </c>
      <c r="AK1058" t="str">
        <f>""</f>
        <v/>
      </c>
      <c r="AL1058" t="s">
        <v>10769</v>
      </c>
      <c r="AM1058" t="s">
        <v>100</v>
      </c>
      <c r="AN1058" s="3">
        <v>7630</v>
      </c>
      <c r="AO1058" t="s">
        <v>101</v>
      </c>
      <c r="AQ1058" t="str">
        <f>"+12017350204"</f>
        <v>+12017350204</v>
      </c>
      <c r="AS1058" t="s">
        <v>10875</v>
      </c>
      <c r="AT1058" t="s">
        <v>107</v>
      </c>
      <c r="AU1058" t="str">
        <f>"Cheerath"</f>
        <v>Cheerath</v>
      </c>
      <c r="AV1058" t="str">
        <f>"Ram"</f>
        <v>Ram</v>
      </c>
      <c r="AW1058" t="str">
        <f>"M"</f>
        <v>M</v>
      </c>
      <c r="AX1058" t="str">
        <f>"3 Sunflower Drive"</f>
        <v>3 Sunflower Drive</v>
      </c>
      <c r="AY1058" t="str">
        <f>""</f>
        <v/>
      </c>
      <c r="AZ1058" t="str">
        <f>"Elizabethtown"</f>
        <v>Elizabethtown</v>
      </c>
      <c r="BA1058" t="str">
        <f>"PA"</f>
        <v>PA</v>
      </c>
      <c r="BB1058" s="3">
        <v>17022</v>
      </c>
      <c r="BC1058" t="str">
        <f t="shared" si="82"/>
        <v>UNITED STATES OF AMERICA</v>
      </c>
      <c r="BD1058" t="str">
        <f>"Pennsylvania"</f>
        <v>Pennsylvania</v>
      </c>
      <c r="BE1058" t="str">
        <f>"+16466009000"</f>
        <v>+16466009000</v>
      </c>
      <c r="BF1058" t="str">
        <f>"120"</f>
        <v>120</v>
      </c>
      <c r="BG1058" t="str">
        <f>"rammcheerath@yahoo.com"</f>
        <v>rammcheerath@yahoo.com</v>
      </c>
      <c r="BH1058" t="str">
        <f>"Law Offices of Ram M. Cheerath, Esquire, PC"</f>
        <v>Law Offices of Ram M. Cheerath, Esquire, PC</v>
      </c>
      <c r="BI1058" t="str">
        <f>"PA"</f>
        <v>PA</v>
      </c>
      <c r="BJ1058" t="str">
        <f>"Supreme Court of Pennsylvania"</f>
        <v>Supreme Court of Pennsylvania</v>
      </c>
      <c r="BK1058">
        <v>1</v>
      </c>
      <c r="BL1058" t="s">
        <v>107</v>
      </c>
      <c r="BM1058" t="str">
        <f>"Service to be provided remotely from employees residence"</f>
        <v>Service to be provided remotely from employees residence</v>
      </c>
      <c r="BN1058" t="s">
        <v>11153</v>
      </c>
      <c r="BP1058" t="s">
        <v>437</v>
      </c>
      <c r="BQ1058" t="s">
        <v>438</v>
      </c>
      <c r="BR1058" t="s">
        <v>171</v>
      </c>
      <c r="BS1058" s="5">
        <v>2062</v>
      </c>
      <c r="BT1058" s="2">
        <v>35.9</v>
      </c>
      <c r="BV1058" t="s">
        <v>210</v>
      </c>
      <c r="BW1058" s="2">
        <v>35.9</v>
      </c>
      <c r="BX1058" t="s">
        <v>210</v>
      </c>
      <c r="BZ1058" t="s">
        <v>167</v>
      </c>
      <c r="CA1058" t="str">
        <f t="shared" si="80"/>
        <v>7/1/2020 - 6/30/2021</v>
      </c>
      <c r="CF1058">
        <v>2</v>
      </c>
      <c r="CG1058" t="s">
        <v>98</v>
      </c>
      <c r="CH1058" t="s">
        <v>206</v>
      </c>
      <c r="CI1058" t="s">
        <v>206</v>
      </c>
      <c r="CL1058" t="s">
        <v>108</v>
      </c>
      <c r="CM1058" t="s">
        <v>109</v>
      </c>
      <c r="CN1058" t="str">
        <f>"CHEERATH"</f>
        <v>CHEERATH</v>
      </c>
      <c r="CO1058" t="str">
        <f>"RAM"</f>
        <v>RAM</v>
      </c>
      <c r="CP1058" t="str">
        <f>"M"</f>
        <v>M</v>
      </c>
      <c r="CQ1058" t="str">
        <f>"Law Offices of Ram M. Cheerath, Esquire, PC"</f>
        <v>Law Offices of Ram M. Cheerath, Esquire, PC</v>
      </c>
      <c r="CR1058" t="s">
        <v>7887</v>
      </c>
    </row>
    <row r="1059" spans="1:96" x14ac:dyDescent="0.2">
      <c r="A1059" t="s">
        <v>11154</v>
      </c>
      <c r="B1059" t="s">
        <v>96</v>
      </c>
      <c r="C1059" s="1">
        <v>44098</v>
      </c>
      <c r="D1059" s="1">
        <v>44105</v>
      </c>
      <c r="F1059" t="s">
        <v>97</v>
      </c>
      <c r="G1059" t="str">
        <f>"Senior Data Scientist"</f>
        <v>Senior Data Scientist</v>
      </c>
      <c r="H1059" t="s">
        <v>12180</v>
      </c>
      <c r="I1059" t="s">
        <v>390</v>
      </c>
      <c r="J1059" t="s">
        <v>98</v>
      </c>
      <c r="K1059" s="1">
        <v>44098</v>
      </c>
      <c r="L1059" s="1">
        <v>45192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405</v>
      </c>
      <c r="U1059" t="str">
        <f>""</f>
        <v/>
      </c>
      <c r="V1059" t="s">
        <v>406</v>
      </c>
      <c r="W1059" t="str">
        <f>"Ste . 800, South Tower  "</f>
        <v xml:space="preserve">Ste . 800, South Tower  </v>
      </c>
      <c r="X1059" t="s">
        <v>146</v>
      </c>
      <c r="Y1059" t="s">
        <v>141</v>
      </c>
      <c r="Z1059" s="3">
        <v>94107</v>
      </c>
      <c r="AA1059" t="s">
        <v>101</v>
      </c>
      <c r="AC1059" s="4" t="str">
        <f>"+16504021034"</f>
        <v>+16504021034</v>
      </c>
      <c r="AE1059" t="str">
        <f>"541511"</f>
        <v>541511</v>
      </c>
      <c r="AF1059" t="s">
        <v>407</v>
      </c>
      <c r="AG1059" t="s">
        <v>408</v>
      </c>
      <c r="AI1059" t="s">
        <v>409</v>
      </c>
      <c r="AJ1059" t="s">
        <v>406</v>
      </c>
      <c r="AK1059" t="str">
        <f>"Ste.  800, South Tower  "</f>
        <v xml:space="preserve">Ste.  800, South Tower  </v>
      </c>
      <c r="AL1059" t="s">
        <v>140</v>
      </c>
      <c r="AM1059" t="s">
        <v>141</v>
      </c>
      <c r="AN1059" s="3">
        <v>94107</v>
      </c>
      <c r="AO1059" t="s">
        <v>101</v>
      </c>
      <c r="AQ1059" t="str">
        <f>"+16504021034"</f>
        <v>+16504021034</v>
      </c>
      <c r="AS1059" t="s">
        <v>410</v>
      </c>
      <c r="AT1059" t="s">
        <v>107</v>
      </c>
      <c r="AU1059" t="str">
        <f>"Kim"</f>
        <v>Kim</v>
      </c>
      <c r="AV1059" t="str">
        <f>"Naomi "</f>
        <v xml:space="preserve">Naomi </v>
      </c>
      <c r="AW1059" t="str">
        <f>"Young"</f>
        <v>Young</v>
      </c>
      <c r="AX1059" t="str">
        <f>"2101 Wilson Blvd."</f>
        <v>2101 Wilson Blvd.</v>
      </c>
      <c r="AY1059" t="str">
        <f>"Suite 1100"</f>
        <v>Suite 1100</v>
      </c>
      <c r="AZ1059" t="str">
        <f>"Arlington"</f>
        <v>Arlington</v>
      </c>
      <c r="BA1059" t="str">
        <f>"VA"</f>
        <v>VA</v>
      </c>
      <c r="BB1059" s="3">
        <v>22201</v>
      </c>
      <c r="BC1059" t="str">
        <f t="shared" si="82"/>
        <v>UNITED STATES OF AMERICA</v>
      </c>
      <c r="BD1059" t="str">
        <f>""</f>
        <v/>
      </c>
      <c r="BE1059" t="str">
        <f>"+17036784000"</f>
        <v>+17036784000</v>
      </c>
      <c r="BF1059" t="str">
        <f>""</f>
        <v/>
      </c>
      <c r="BG1059" t="str">
        <f>"naomi@eiglaw.com"</f>
        <v>naomi@eiglaw.com</v>
      </c>
      <c r="BH1059" t="str">
        <f>"Erickson Immigration Group"</f>
        <v>Erickson Immigration Group</v>
      </c>
      <c r="BI1059" t="str">
        <f>"NY"</f>
        <v>NY</v>
      </c>
      <c r="BJ1059" t="str">
        <f>"New York Court of Appeals"</f>
        <v>New York Court of Appeals</v>
      </c>
      <c r="BK1059">
        <v>1</v>
      </c>
      <c r="BL1059" t="s">
        <v>102</v>
      </c>
      <c r="BM1059" t="str">
        <f>""</f>
        <v/>
      </c>
      <c r="BN1059" t="s">
        <v>10815</v>
      </c>
      <c r="BO1059" t="s">
        <v>6701</v>
      </c>
      <c r="BP1059" t="s">
        <v>140</v>
      </c>
      <c r="BQ1059" t="s">
        <v>147</v>
      </c>
      <c r="BR1059" t="s">
        <v>141</v>
      </c>
      <c r="BS1059" s="5">
        <v>94107</v>
      </c>
      <c r="BT1059" s="2">
        <v>190000</v>
      </c>
      <c r="BV1059" t="s">
        <v>105</v>
      </c>
      <c r="BW1059" s="2">
        <v>148949</v>
      </c>
      <c r="BX1059" t="s">
        <v>105</v>
      </c>
      <c r="BZ1059" t="s">
        <v>159</v>
      </c>
      <c r="CA1059" t="str">
        <f t="shared" si="80"/>
        <v>7/1/2020 - 6/30/2021</v>
      </c>
      <c r="CF1059">
        <v>3</v>
      </c>
      <c r="CG1059" t="s">
        <v>98</v>
      </c>
      <c r="CH1059" t="s">
        <v>206</v>
      </c>
      <c r="CI1059" t="s">
        <v>206</v>
      </c>
      <c r="CL1059" t="s">
        <v>108</v>
      </c>
      <c r="CM1059" t="s">
        <v>109</v>
      </c>
      <c r="CN1059" t="str">
        <f>"Aryal"</f>
        <v>Aryal</v>
      </c>
      <c r="CO1059" t="str">
        <f>"Manoj"</f>
        <v>Manoj</v>
      </c>
      <c r="CP1059" t="str">
        <f>""</f>
        <v/>
      </c>
      <c r="CQ1059" t="str">
        <f>"Erickson Immigration Group"</f>
        <v>Erickson Immigration Group</v>
      </c>
      <c r="CR1059" t="s">
        <v>2387</v>
      </c>
    </row>
    <row r="1060" spans="1:96" x14ac:dyDescent="0.2">
      <c r="A1060" t="s">
        <v>11159</v>
      </c>
      <c r="B1060" t="s">
        <v>96</v>
      </c>
      <c r="C1060" s="1">
        <v>44098</v>
      </c>
      <c r="D1060" s="1">
        <v>44105</v>
      </c>
      <c r="F1060" t="s">
        <v>97</v>
      </c>
      <c r="G1060" t="str">
        <f>"Senior Associate Data Engineering L2"</f>
        <v>Senior Associate Data Engineering L2</v>
      </c>
      <c r="H1060" t="s">
        <v>12169</v>
      </c>
      <c r="I1060" t="s">
        <v>124</v>
      </c>
      <c r="J1060" t="s">
        <v>98</v>
      </c>
      <c r="K1060" s="1">
        <v>44116</v>
      </c>
      <c r="L1060" s="1">
        <v>45210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 t="s">
        <v>3810</v>
      </c>
      <c r="U1060" t="str">
        <f>""</f>
        <v/>
      </c>
      <c r="V1060" t="s">
        <v>3811</v>
      </c>
      <c r="W1060" t="str">
        <f>""</f>
        <v/>
      </c>
      <c r="X1060" t="s">
        <v>951</v>
      </c>
      <c r="Y1060" t="s">
        <v>171</v>
      </c>
      <c r="Z1060" s="3">
        <v>2109</v>
      </c>
      <c r="AA1060" t="s">
        <v>101</v>
      </c>
      <c r="AC1060" s="4" t="str">
        <f>"+16179631447"</f>
        <v>+16179631447</v>
      </c>
      <c r="AE1060" t="str">
        <f>"54151"</f>
        <v>54151</v>
      </c>
      <c r="AF1060" t="s">
        <v>3812</v>
      </c>
      <c r="AG1060" t="s">
        <v>3813</v>
      </c>
      <c r="AI1060" t="s">
        <v>3814</v>
      </c>
      <c r="AJ1060" t="s">
        <v>3811</v>
      </c>
      <c r="AK1060" t="str">
        <f>""</f>
        <v/>
      </c>
      <c r="AL1060" t="s">
        <v>951</v>
      </c>
      <c r="AM1060" t="s">
        <v>171</v>
      </c>
      <c r="AN1060" s="3">
        <v>2109</v>
      </c>
      <c r="AO1060" t="s">
        <v>101</v>
      </c>
      <c r="AQ1060" t="str">
        <f>"+16179631447"</f>
        <v>+16179631447</v>
      </c>
      <c r="AS1060" t="s">
        <v>3815</v>
      </c>
      <c r="AT1060" t="s">
        <v>107</v>
      </c>
      <c r="AU1060" t="str">
        <f>"WELIWITIGODA"</f>
        <v>WELIWITIGODA</v>
      </c>
      <c r="AV1060" t="str">
        <f>"SANJEE"</f>
        <v>SANJEE</v>
      </c>
      <c r="AW1060" t="str">
        <f>""</f>
        <v/>
      </c>
      <c r="AX1060" t="str">
        <f>"8300 GREENSBORO DRIVE"</f>
        <v>8300 GREENSBORO DRIVE</v>
      </c>
      <c r="AY1060" t="str">
        <f>"SUITE 550"</f>
        <v>SUITE 550</v>
      </c>
      <c r="AZ1060" t="str">
        <f>"MCLEAN"</f>
        <v>MCLEAN</v>
      </c>
      <c r="BA1060" t="str">
        <f>"VA"</f>
        <v>VA</v>
      </c>
      <c r="BB1060" s="3">
        <v>22102</v>
      </c>
      <c r="BC1060" t="str">
        <f t="shared" si="82"/>
        <v>UNITED STATES OF AMERICA</v>
      </c>
      <c r="BD1060" t="str">
        <f>""</f>
        <v/>
      </c>
      <c r="BE1060" t="str">
        <f>"+14692909351"</f>
        <v>+14692909351</v>
      </c>
      <c r="BF1060" t="str">
        <f>""</f>
        <v/>
      </c>
      <c r="BG1060" t="str">
        <f>"sweliwitigoda@balglobal.com"</f>
        <v>sweliwitigoda@balglobal.com</v>
      </c>
      <c r="BH1060" t="str">
        <f>"Berry Appleman &amp; Leiden LLP"</f>
        <v>Berry Appleman &amp; Leiden LLP</v>
      </c>
      <c r="BI1060" t="str">
        <f>"MN"</f>
        <v>MN</v>
      </c>
      <c r="BJ1060" t="str">
        <f>"SUPREME COURT OF MINNESOTA"</f>
        <v>SUPREME COURT OF MINNESOTA</v>
      </c>
      <c r="BK1060">
        <v>1</v>
      </c>
      <c r="BL1060" t="s">
        <v>102</v>
      </c>
      <c r="BM1060" t="str">
        <f>""</f>
        <v/>
      </c>
      <c r="BN1060" t="s">
        <v>10043</v>
      </c>
      <c r="BO1060" t="s">
        <v>1615</v>
      </c>
      <c r="BP1060" t="s">
        <v>1005</v>
      </c>
      <c r="BQ1060" t="s">
        <v>2575</v>
      </c>
      <c r="BR1060" t="s">
        <v>135</v>
      </c>
      <c r="BS1060" s="5">
        <v>22201</v>
      </c>
      <c r="BT1060" s="2">
        <v>135000</v>
      </c>
      <c r="BV1060" t="s">
        <v>105</v>
      </c>
      <c r="BW1060" s="2">
        <v>118102</v>
      </c>
      <c r="BX1060" t="s">
        <v>105</v>
      </c>
      <c r="BZ1060" t="s">
        <v>123</v>
      </c>
      <c r="CA1060" t="str">
        <f t="shared" si="80"/>
        <v>7/1/2020 - 6/30/2021</v>
      </c>
      <c r="CF1060">
        <v>2</v>
      </c>
      <c r="CG1060" t="s">
        <v>98</v>
      </c>
      <c r="CH1060" t="s">
        <v>206</v>
      </c>
      <c r="CI1060" t="s">
        <v>206</v>
      </c>
      <c r="CL1060" t="s">
        <v>108</v>
      </c>
      <c r="CM1060" t="s">
        <v>109</v>
      </c>
      <c r="CN1060" t="str">
        <f>""</f>
        <v/>
      </c>
      <c r="CO1060" t="str">
        <f>""</f>
        <v/>
      </c>
      <c r="CP1060" t="str">
        <f>""</f>
        <v/>
      </c>
      <c r="CQ1060" t="str">
        <f>""</f>
        <v/>
      </c>
    </row>
    <row r="1061" spans="1:96" x14ac:dyDescent="0.2">
      <c r="A1061" t="s">
        <v>11160</v>
      </c>
      <c r="B1061" t="s">
        <v>96</v>
      </c>
      <c r="C1061" s="1">
        <v>44098</v>
      </c>
      <c r="D1061" s="1">
        <v>44105</v>
      </c>
      <c r="F1061" t="s">
        <v>97</v>
      </c>
      <c r="G1061" t="str">
        <f>"Systems Engineer"</f>
        <v>Systems Engineer</v>
      </c>
      <c r="H1061" t="s">
        <v>12225</v>
      </c>
      <c r="I1061" t="s">
        <v>628</v>
      </c>
      <c r="J1061" t="s">
        <v>98</v>
      </c>
      <c r="K1061" s="1">
        <v>44269</v>
      </c>
      <c r="L1061" s="1">
        <v>45364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 t="s">
        <v>6672</v>
      </c>
      <c r="U1061" t="str">
        <f>""</f>
        <v/>
      </c>
      <c r="V1061" t="s">
        <v>6673</v>
      </c>
      <c r="W1061" t="str">
        <f>""</f>
        <v/>
      </c>
      <c r="X1061" t="s">
        <v>6674</v>
      </c>
      <c r="Y1061" t="s">
        <v>545</v>
      </c>
      <c r="Z1061" s="3">
        <v>38103</v>
      </c>
      <c r="AA1061" t="s">
        <v>101</v>
      </c>
      <c r="AC1061" s="4" t="str">
        <f>"+19014958687"</f>
        <v>+19014958687</v>
      </c>
      <c r="AE1061" t="str">
        <f>"441310"</f>
        <v>441310</v>
      </c>
      <c r="AF1061" t="s">
        <v>6675</v>
      </c>
      <c r="AG1061" t="s">
        <v>6676</v>
      </c>
      <c r="AI1061" t="s">
        <v>1550</v>
      </c>
      <c r="AJ1061" t="s">
        <v>6673</v>
      </c>
      <c r="AK1061" t="str">
        <f>""</f>
        <v/>
      </c>
      <c r="AL1061" t="s">
        <v>3850</v>
      </c>
      <c r="AM1061" t="s">
        <v>545</v>
      </c>
      <c r="AN1061" s="3">
        <v>38103</v>
      </c>
      <c r="AO1061" t="s">
        <v>101</v>
      </c>
      <c r="AQ1061" t="str">
        <f>"+19014958687"</f>
        <v>+19014958687</v>
      </c>
      <c r="AS1061" t="s">
        <v>6677</v>
      </c>
      <c r="AT1061" t="s">
        <v>107</v>
      </c>
      <c r="AU1061" t="str">
        <f>"Susser"</f>
        <v>Susser</v>
      </c>
      <c r="AV1061" t="str">
        <f>"Lynn"</f>
        <v>Lynn</v>
      </c>
      <c r="AW1061" t="str">
        <f>""</f>
        <v/>
      </c>
      <c r="AX1061" t="str">
        <f>"1028 Oakhaven Road"</f>
        <v>1028 Oakhaven Road</v>
      </c>
      <c r="AY1061" t="str">
        <f>""</f>
        <v/>
      </c>
      <c r="AZ1061" t="str">
        <f>"Memphis"</f>
        <v>Memphis</v>
      </c>
      <c r="BA1061" t="str">
        <f>"TN"</f>
        <v>TN</v>
      </c>
      <c r="BB1061" s="3">
        <v>38119</v>
      </c>
      <c r="BC1061" t="str">
        <f t="shared" si="82"/>
        <v>UNITED STATES OF AMERICA</v>
      </c>
      <c r="BD1061" t="str">
        <f>""</f>
        <v/>
      </c>
      <c r="BE1061" t="str">
        <f>"+19016826455"</f>
        <v>+19016826455</v>
      </c>
      <c r="BF1061" t="str">
        <f>""</f>
        <v/>
      </c>
      <c r="BG1061" t="str">
        <f>"lsusser@visalaw.com"</f>
        <v>lsusser@visalaw.com</v>
      </c>
      <c r="BH1061" t="str">
        <f>"Siskind Susser PC"</f>
        <v>Siskind Susser PC</v>
      </c>
      <c r="BI1061" t="str">
        <f>"TN"</f>
        <v>TN</v>
      </c>
      <c r="BJ1061" t="str">
        <f>"Supreme Court"</f>
        <v>Supreme Court</v>
      </c>
      <c r="BK1061">
        <v>1</v>
      </c>
      <c r="BL1061" t="s">
        <v>102</v>
      </c>
      <c r="BM1061" t="str">
        <f>""</f>
        <v/>
      </c>
      <c r="BN1061" t="s">
        <v>6673</v>
      </c>
      <c r="BP1061" t="s">
        <v>3850</v>
      </c>
      <c r="BQ1061" t="s">
        <v>2573</v>
      </c>
      <c r="BR1061" t="s">
        <v>545</v>
      </c>
      <c r="BS1061" s="5">
        <v>38103</v>
      </c>
      <c r="BT1061" s="2">
        <v>115000</v>
      </c>
      <c r="BV1061" t="s">
        <v>105</v>
      </c>
      <c r="BW1061" s="2">
        <v>90459</v>
      </c>
      <c r="BX1061" t="s">
        <v>105</v>
      </c>
      <c r="BZ1061" t="s">
        <v>159</v>
      </c>
      <c r="CA1061" t="str">
        <f t="shared" si="80"/>
        <v>7/1/2020 - 6/30/2021</v>
      </c>
      <c r="CF1061">
        <v>1</v>
      </c>
      <c r="CG1061" t="s">
        <v>98</v>
      </c>
      <c r="CH1061" t="s">
        <v>206</v>
      </c>
      <c r="CI1061" t="s">
        <v>206</v>
      </c>
      <c r="CL1061" t="s">
        <v>108</v>
      </c>
      <c r="CM1061" t="s">
        <v>109</v>
      </c>
      <c r="CN1061" t="str">
        <f>"Meeks"</f>
        <v>Meeks</v>
      </c>
      <c r="CO1061" t="str">
        <f>"Shi"</f>
        <v>Shi</v>
      </c>
      <c r="CP1061" t="str">
        <f>""</f>
        <v/>
      </c>
      <c r="CQ1061" t="str">
        <f>"Siskind Susser PC"</f>
        <v>Siskind Susser PC</v>
      </c>
      <c r="CR1061" t="s">
        <v>6678</v>
      </c>
    </row>
    <row r="1062" spans="1:96" x14ac:dyDescent="0.2">
      <c r="A1062" t="s">
        <v>11161</v>
      </c>
      <c r="B1062" t="s">
        <v>96</v>
      </c>
      <c r="C1062" s="1">
        <v>44098</v>
      </c>
      <c r="D1062" s="1">
        <v>44105</v>
      </c>
      <c r="F1062" t="s">
        <v>97</v>
      </c>
      <c r="G1062" t="str">
        <f>"SOFTWARE ENGINEERING TEAM LEADER"</f>
        <v>SOFTWARE ENGINEERING TEAM LEADER</v>
      </c>
      <c r="H1062" t="s">
        <v>12169</v>
      </c>
      <c r="I1062" t="s">
        <v>124</v>
      </c>
      <c r="J1062" t="s">
        <v>98</v>
      </c>
      <c r="K1062" s="1">
        <v>44197</v>
      </c>
      <c r="L1062" s="1">
        <v>45291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 t="s">
        <v>548</v>
      </c>
      <c r="U1062" t="str">
        <f>""</f>
        <v/>
      </c>
      <c r="V1062" t="s">
        <v>549</v>
      </c>
      <c r="W1062" t="str">
        <f>"Suite 202"</f>
        <v>Suite 202</v>
      </c>
      <c r="X1062" t="s">
        <v>550</v>
      </c>
      <c r="Y1062" t="s">
        <v>127</v>
      </c>
      <c r="Z1062" s="3">
        <v>18940</v>
      </c>
      <c r="AA1062" t="s">
        <v>101</v>
      </c>
      <c r="AC1062" s="4" t="str">
        <f>"+12677599000"</f>
        <v>+12677599000</v>
      </c>
      <c r="AE1062" t="str">
        <f>"541511"</f>
        <v>541511</v>
      </c>
      <c r="AF1062" t="s">
        <v>551</v>
      </c>
      <c r="AG1062" t="s">
        <v>552</v>
      </c>
      <c r="AI1062" t="s">
        <v>553</v>
      </c>
      <c r="AJ1062" t="s">
        <v>549</v>
      </c>
      <c r="AK1062" t="str">
        <f>"Suite 202"</f>
        <v>Suite 202</v>
      </c>
      <c r="AL1062" t="s">
        <v>550</v>
      </c>
      <c r="AM1062" t="s">
        <v>127</v>
      </c>
      <c r="AN1062" s="3">
        <v>18940</v>
      </c>
      <c r="AO1062" t="s">
        <v>101</v>
      </c>
      <c r="AQ1062" t="str">
        <f>"+12677599000"</f>
        <v>+12677599000</v>
      </c>
      <c r="AS1062" t="s">
        <v>554</v>
      </c>
      <c r="AT1062" t="s">
        <v>107</v>
      </c>
      <c r="AU1062" t="str">
        <f>"Pack"</f>
        <v>Pack</v>
      </c>
      <c r="AV1062" t="str">
        <f>"James"</f>
        <v>James</v>
      </c>
      <c r="AW1062" t="str">
        <f>"Young Ho"</f>
        <v>Young Ho</v>
      </c>
      <c r="AX1062" t="str">
        <f>"18401 Von Karman Avenue"</f>
        <v>18401 Von Karman Avenue</v>
      </c>
      <c r="AY1062" t="str">
        <f>"Suite 255"</f>
        <v>Suite 255</v>
      </c>
      <c r="AZ1062" t="str">
        <f>"Irvine"</f>
        <v>Irvine</v>
      </c>
      <c r="BA1062" t="str">
        <f>"CA"</f>
        <v>CA</v>
      </c>
      <c r="BB1062" s="3">
        <v>92612</v>
      </c>
      <c r="BC1062" t="str">
        <f t="shared" si="82"/>
        <v>UNITED STATES OF AMERICA</v>
      </c>
      <c r="BD1062" t="str">
        <f>"N/A"</f>
        <v>N/A</v>
      </c>
      <c r="BE1062" t="str">
        <f>"+19492610209"</f>
        <v>+19492610209</v>
      </c>
      <c r="BF1062" t="str">
        <f>""</f>
        <v/>
      </c>
      <c r="BG1062" t="str">
        <f>"EPAMNIV@fragomen.com"</f>
        <v>EPAMNIV@fragomen.com</v>
      </c>
      <c r="BH1062" t="str">
        <f>"Fragomen, Del Rey, Bernsen &amp; Loewy, LLP"</f>
        <v>Fragomen, Del Rey, Bernsen &amp; Loewy, LLP</v>
      </c>
      <c r="BI1062" t="str">
        <f>"CA"</f>
        <v>CA</v>
      </c>
      <c r="BJ1062" t="str">
        <f>"Supreme"</f>
        <v>Supreme</v>
      </c>
      <c r="BK1062">
        <v>1</v>
      </c>
      <c r="BL1062" t="s">
        <v>107</v>
      </c>
      <c r="BM1062" t="str">
        <f>"HAVI Global Solutions, LLC"</f>
        <v>HAVI Global Solutions, LLC</v>
      </c>
      <c r="BN1062" t="s">
        <v>11162</v>
      </c>
      <c r="BP1062" t="s">
        <v>11163</v>
      </c>
      <c r="BQ1062" t="s">
        <v>1382</v>
      </c>
      <c r="BR1062" t="s">
        <v>345</v>
      </c>
      <c r="BS1062" s="5">
        <v>60515</v>
      </c>
      <c r="BT1062" s="2">
        <v>100000</v>
      </c>
      <c r="BV1062" t="s">
        <v>105</v>
      </c>
      <c r="BW1062" s="2">
        <v>87838</v>
      </c>
      <c r="BX1062" t="s">
        <v>105</v>
      </c>
      <c r="BZ1062" t="s">
        <v>167</v>
      </c>
      <c r="CA1062" t="str">
        <f t="shared" si="80"/>
        <v>7/1/2020 - 6/30/2021</v>
      </c>
      <c r="CF1062">
        <v>2</v>
      </c>
      <c r="CG1062" t="s">
        <v>98</v>
      </c>
      <c r="CH1062" t="s">
        <v>206</v>
      </c>
      <c r="CI1062" t="s">
        <v>206</v>
      </c>
      <c r="CL1062" t="s">
        <v>108</v>
      </c>
      <c r="CM1062" t="s">
        <v>109</v>
      </c>
      <c r="CN1062" t="str">
        <f>"McCain"</f>
        <v>McCain</v>
      </c>
      <c r="CO1062" t="str">
        <f>"Gabriela"</f>
        <v>Gabriela</v>
      </c>
      <c r="CP1062" t="str">
        <f>""</f>
        <v/>
      </c>
      <c r="CQ1062" t="str">
        <f>"Fragomen, Del Rey, Bernsen &amp; Loewy LLP"</f>
        <v>Fragomen, Del Rey, Bernsen &amp; Loewy LLP</v>
      </c>
      <c r="CR1062" t="s">
        <v>557</v>
      </c>
    </row>
    <row r="1063" spans="1:96" x14ac:dyDescent="0.2">
      <c r="A1063" t="s">
        <v>11164</v>
      </c>
      <c r="B1063" t="s">
        <v>96</v>
      </c>
      <c r="C1063" s="1">
        <v>44098</v>
      </c>
      <c r="D1063" s="1">
        <v>44105</v>
      </c>
      <c r="F1063" t="s">
        <v>97</v>
      </c>
      <c r="G1063" t="str">
        <f>"FEA Application Engineer, II"</f>
        <v>FEA Application Engineer, II</v>
      </c>
      <c r="H1063" t="s">
        <v>12196</v>
      </c>
      <c r="I1063" t="s">
        <v>322</v>
      </c>
      <c r="J1063" t="s">
        <v>98</v>
      </c>
      <c r="K1063" s="1">
        <v>44139</v>
      </c>
      <c r="L1063" s="1">
        <v>45233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 t="s">
        <v>11013</v>
      </c>
      <c r="U1063" t="str">
        <f>""</f>
        <v/>
      </c>
      <c r="V1063" t="s">
        <v>11014</v>
      </c>
      <c r="W1063" t="str">
        <f>""</f>
        <v/>
      </c>
      <c r="X1063" t="s">
        <v>10185</v>
      </c>
      <c r="Y1063" t="s">
        <v>225</v>
      </c>
      <c r="Z1063" s="3">
        <v>45840</v>
      </c>
      <c r="AA1063" t="s">
        <v>101</v>
      </c>
      <c r="AC1063" s="4" t="str">
        <f>"+14194296630"</f>
        <v>+14194296630</v>
      </c>
      <c r="AE1063" t="str">
        <f>"326211"</f>
        <v>326211</v>
      </c>
      <c r="AF1063" t="s">
        <v>11015</v>
      </c>
      <c r="AG1063" t="s">
        <v>5616</v>
      </c>
      <c r="AH1063" t="s">
        <v>1723</v>
      </c>
      <c r="AI1063" t="s">
        <v>11016</v>
      </c>
      <c r="AJ1063" t="s">
        <v>11017</v>
      </c>
      <c r="AK1063" t="str">
        <f>""</f>
        <v/>
      </c>
      <c r="AL1063" t="s">
        <v>11018</v>
      </c>
      <c r="AM1063" t="s">
        <v>225</v>
      </c>
      <c r="AN1063" s="3">
        <v>45840</v>
      </c>
      <c r="AO1063" t="s">
        <v>101</v>
      </c>
      <c r="AQ1063" t="str">
        <f>"+14194296525"</f>
        <v>+14194296525</v>
      </c>
      <c r="AS1063" t="s">
        <v>11019</v>
      </c>
      <c r="AT1063" t="s">
        <v>107</v>
      </c>
      <c r="AU1063" t="str">
        <f>"ZAROU"</f>
        <v>ZAROU</v>
      </c>
      <c r="AV1063" t="str">
        <f>"MECHELLE"</f>
        <v>MECHELLE</v>
      </c>
      <c r="AW1063" t="str">
        <f>""</f>
        <v/>
      </c>
      <c r="AX1063" t="str">
        <f>"1000 JACKSON STREET"</f>
        <v>1000 JACKSON STREET</v>
      </c>
      <c r="AY1063" t="str">
        <f>"NORTH COURTHOUSE SQUARE"</f>
        <v>NORTH COURTHOUSE SQUARE</v>
      </c>
      <c r="AZ1063" t="str">
        <f>"TOLEDO"</f>
        <v>TOLEDO</v>
      </c>
      <c r="BA1063" t="str">
        <f>"OH"</f>
        <v>OH</v>
      </c>
      <c r="BB1063" s="3">
        <v>43604</v>
      </c>
      <c r="BC1063" t="str">
        <f t="shared" si="82"/>
        <v>UNITED STATES OF AMERICA</v>
      </c>
      <c r="BD1063" t="str">
        <f>""</f>
        <v/>
      </c>
      <c r="BE1063" t="str">
        <f>"+14193211460"</f>
        <v>+14193211460</v>
      </c>
      <c r="BF1063" t="str">
        <f>""</f>
        <v/>
      </c>
      <c r="BG1063" t="str">
        <f>"mzarou@shumaker.com"</f>
        <v>mzarou@shumaker.com</v>
      </c>
      <c r="BH1063" t="str">
        <f>"Shumaker, Loop &amp; Kendrick, LLP"</f>
        <v>Shumaker, Loop &amp; Kendrick, LLP</v>
      </c>
      <c r="BI1063" t="str">
        <f>"OH"</f>
        <v>OH</v>
      </c>
      <c r="BJ1063" t="str">
        <f>"OHIO SUPREME COURT"</f>
        <v>OHIO SUPREME COURT</v>
      </c>
      <c r="BK1063">
        <v>1</v>
      </c>
      <c r="BL1063" t="s">
        <v>102</v>
      </c>
      <c r="BM1063" t="str">
        <f>""</f>
        <v/>
      </c>
      <c r="BN1063" t="s">
        <v>11014</v>
      </c>
      <c r="BP1063" t="s">
        <v>10185</v>
      </c>
      <c r="BQ1063" t="s">
        <v>4433</v>
      </c>
      <c r="BR1063" t="s">
        <v>225</v>
      </c>
      <c r="BS1063" s="5">
        <v>45840</v>
      </c>
      <c r="BT1063" s="2">
        <v>79518</v>
      </c>
      <c r="BU1063" s="2">
        <v>100000</v>
      </c>
      <c r="BV1063" t="s">
        <v>105</v>
      </c>
      <c r="BW1063" s="2">
        <v>79518</v>
      </c>
      <c r="BX1063" t="s">
        <v>105</v>
      </c>
      <c r="BZ1063" t="s">
        <v>159</v>
      </c>
      <c r="CA1063" t="str">
        <f t="shared" si="80"/>
        <v>7/1/2020 - 6/30/2021</v>
      </c>
      <c r="CF1063">
        <v>1</v>
      </c>
      <c r="CG1063" t="s">
        <v>98</v>
      </c>
      <c r="CH1063" t="s">
        <v>206</v>
      </c>
      <c r="CI1063" t="s">
        <v>206</v>
      </c>
      <c r="CL1063" t="s">
        <v>108</v>
      </c>
      <c r="CM1063" t="s">
        <v>109</v>
      </c>
      <c r="CN1063" t="str">
        <f>"Zarou"</f>
        <v>Zarou</v>
      </c>
      <c r="CO1063" t="str">
        <f>"Mechelle"</f>
        <v>Mechelle</v>
      </c>
      <c r="CP1063" t="str">
        <f>""</f>
        <v/>
      </c>
      <c r="CQ1063" t="str">
        <f>"Shumaker, Loop &amp; Kendrick, LLP"</f>
        <v>Shumaker, Loop &amp; Kendrick, LLP</v>
      </c>
      <c r="CR1063" t="s">
        <v>4235</v>
      </c>
    </row>
    <row r="1064" spans="1:96" x14ac:dyDescent="0.2">
      <c r="A1064" t="s">
        <v>11165</v>
      </c>
      <c r="B1064" t="s">
        <v>96</v>
      </c>
      <c r="C1064" s="1">
        <v>44098</v>
      </c>
      <c r="D1064" s="1">
        <v>44105</v>
      </c>
      <c r="F1064" t="s">
        <v>97</v>
      </c>
      <c r="G1064" t="str">
        <f>"Microsoft Dynamics Developer"</f>
        <v>Microsoft Dynamics Developer</v>
      </c>
      <c r="H1064" t="s">
        <v>12169</v>
      </c>
      <c r="I1064" t="s">
        <v>124</v>
      </c>
      <c r="J1064" t="s">
        <v>98</v>
      </c>
      <c r="K1064" s="1">
        <v>44104</v>
      </c>
      <c r="L1064" s="1">
        <v>44560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 t="s">
        <v>2390</v>
      </c>
      <c r="U1064" t="str">
        <f>""</f>
        <v/>
      </c>
      <c r="V1064" t="s">
        <v>11166</v>
      </c>
      <c r="W1064" t="str">
        <f>""</f>
        <v/>
      </c>
      <c r="X1064" t="s">
        <v>7105</v>
      </c>
      <c r="Y1064" t="s">
        <v>1776</v>
      </c>
      <c r="Z1064" s="3">
        <v>19958</v>
      </c>
      <c r="AA1064" t="s">
        <v>101</v>
      </c>
      <c r="AC1064" s="4" t="str">
        <f>"+13058331016"</f>
        <v>+13058331016</v>
      </c>
      <c r="AE1064" t="str">
        <f>"541511"</f>
        <v>541511</v>
      </c>
      <c r="AF1064" t="s">
        <v>8271</v>
      </c>
      <c r="AG1064" t="s">
        <v>4548</v>
      </c>
      <c r="AI1064" t="s">
        <v>298</v>
      </c>
      <c r="AJ1064" t="s">
        <v>11167</v>
      </c>
      <c r="AK1064" t="str">
        <f>""</f>
        <v/>
      </c>
      <c r="AL1064" t="s">
        <v>11168</v>
      </c>
      <c r="AM1064" t="s">
        <v>1776</v>
      </c>
      <c r="AN1064" s="3">
        <v>19958</v>
      </c>
      <c r="AO1064" t="s">
        <v>101</v>
      </c>
      <c r="AQ1064" t="str">
        <f>"+13058331016"</f>
        <v>+13058331016</v>
      </c>
      <c r="AS1064" t="s">
        <v>11169</v>
      </c>
      <c r="AT1064" t="s">
        <v>102</v>
      </c>
      <c r="AU1064" t="str">
        <f>""</f>
        <v/>
      </c>
      <c r="AV1064" t="str">
        <f>""</f>
        <v/>
      </c>
      <c r="AW1064" t="str">
        <f>""</f>
        <v/>
      </c>
      <c r="AX1064" t="str">
        <f>""</f>
        <v/>
      </c>
      <c r="AY1064" t="str">
        <f>""</f>
        <v/>
      </c>
      <c r="AZ1064" t="str">
        <f>""</f>
        <v/>
      </c>
      <c r="BA1064" t="str">
        <f>""</f>
        <v/>
      </c>
      <c r="BC1064" t="str">
        <f>""</f>
        <v/>
      </c>
      <c r="BD1064" t="str">
        <f>""</f>
        <v/>
      </c>
      <c r="BE1064" t="str">
        <f>""</f>
        <v/>
      </c>
      <c r="BF1064" t="str">
        <f>""</f>
        <v/>
      </c>
      <c r="BG1064" t="str">
        <f>""</f>
        <v/>
      </c>
      <c r="BH1064" t="str">
        <f>""</f>
        <v/>
      </c>
      <c r="BI1064" t="str">
        <f>""</f>
        <v/>
      </c>
      <c r="BJ1064" t="str">
        <f>""</f>
        <v/>
      </c>
      <c r="BK1064">
        <v>1</v>
      </c>
      <c r="BL1064" t="s">
        <v>107</v>
      </c>
      <c r="BM1064" t="str">
        <f>"Soka Gakkai International USA"</f>
        <v>Soka Gakkai International USA</v>
      </c>
      <c r="BN1064" t="s">
        <v>11170</v>
      </c>
      <c r="BP1064" t="s">
        <v>1931</v>
      </c>
      <c r="BQ1064" t="s">
        <v>365</v>
      </c>
      <c r="BR1064" t="s">
        <v>141</v>
      </c>
      <c r="BS1064" s="5">
        <v>90401</v>
      </c>
      <c r="BT1064" s="2">
        <v>100000</v>
      </c>
      <c r="BV1064" t="s">
        <v>105</v>
      </c>
      <c r="BW1064" s="2">
        <v>99632</v>
      </c>
      <c r="BX1064" t="s">
        <v>105</v>
      </c>
      <c r="BZ1064" t="s">
        <v>167</v>
      </c>
      <c r="CA1064" t="str">
        <f t="shared" si="80"/>
        <v>7/1/2020 - 6/30/2021</v>
      </c>
      <c r="CF1064">
        <v>1</v>
      </c>
      <c r="CG1064" t="s">
        <v>98</v>
      </c>
      <c r="CH1064" t="s">
        <v>206</v>
      </c>
      <c r="CI1064" t="s">
        <v>206</v>
      </c>
      <c r="CL1064" t="s">
        <v>108</v>
      </c>
      <c r="CM1064" t="s">
        <v>109</v>
      </c>
      <c r="CN1064" t="str">
        <f>""</f>
        <v/>
      </c>
      <c r="CO1064" t="str">
        <f>""</f>
        <v/>
      </c>
      <c r="CP1064" t="str">
        <f>""</f>
        <v/>
      </c>
      <c r="CQ1064" t="str">
        <f>""</f>
        <v/>
      </c>
    </row>
    <row r="1065" spans="1:96" x14ac:dyDescent="0.2">
      <c r="A1065" t="s">
        <v>11171</v>
      </c>
      <c r="B1065" t="s">
        <v>96</v>
      </c>
      <c r="C1065" s="1">
        <v>44098</v>
      </c>
      <c r="D1065" s="1">
        <v>44105</v>
      </c>
      <c r="F1065" t="s">
        <v>97</v>
      </c>
      <c r="G1065" t="str">
        <f>"EXPERT ARCHITECTURE CONSULTANT (20742.529)"</f>
        <v>EXPERT ARCHITECTURE CONSULTANT (20742.529)</v>
      </c>
      <c r="H1065" t="s">
        <v>12183</v>
      </c>
      <c r="I1065" t="s">
        <v>2335</v>
      </c>
      <c r="J1065" t="s">
        <v>98</v>
      </c>
      <c r="K1065" s="1">
        <v>44267</v>
      </c>
      <c r="L1065" s="1">
        <v>45362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 t="s">
        <v>4372</v>
      </c>
      <c r="U1065" t="str">
        <f>""</f>
        <v/>
      </c>
      <c r="V1065" t="s">
        <v>5302</v>
      </c>
      <c r="W1065" t="str">
        <f>""</f>
        <v/>
      </c>
      <c r="X1065" t="s">
        <v>1632</v>
      </c>
      <c r="Y1065" t="s">
        <v>814</v>
      </c>
      <c r="Z1065" s="3">
        <v>97005</v>
      </c>
      <c r="AA1065" t="s">
        <v>101</v>
      </c>
      <c r="AC1065" s="4" t="str">
        <f>"+15036716453"</f>
        <v>+15036716453</v>
      </c>
      <c r="AE1065" t="str">
        <f>"31621"</f>
        <v>31621</v>
      </c>
      <c r="AF1065" t="s">
        <v>4374</v>
      </c>
      <c r="AG1065" t="s">
        <v>3745</v>
      </c>
      <c r="AI1065" t="s">
        <v>4375</v>
      </c>
      <c r="AJ1065" t="s">
        <v>5303</v>
      </c>
      <c r="AK1065" t="str">
        <f>""</f>
        <v/>
      </c>
      <c r="AL1065" t="s">
        <v>1632</v>
      </c>
      <c r="AM1065" t="s">
        <v>814</v>
      </c>
      <c r="AN1065" s="3">
        <v>97005</v>
      </c>
      <c r="AO1065" t="s">
        <v>101</v>
      </c>
      <c r="AQ1065" t="str">
        <f>"+15036716228"</f>
        <v>+15036716228</v>
      </c>
      <c r="AS1065" t="s">
        <v>4376</v>
      </c>
      <c r="AT1065" t="s">
        <v>107</v>
      </c>
      <c r="AU1065" t="str">
        <f>"Gupta"</f>
        <v>Gupta</v>
      </c>
      <c r="AV1065" t="str">
        <f>"Manish"</f>
        <v>Manish</v>
      </c>
      <c r="AW1065" t="str">
        <f>""</f>
        <v/>
      </c>
      <c r="AX1065" t="str">
        <f>"2400 N Glenville Drive, Building A"</f>
        <v>2400 N Glenville Drive, Building A</v>
      </c>
      <c r="AY1065" t="str">
        <f>"Suite 100"</f>
        <v>Suite 100</v>
      </c>
      <c r="AZ1065" t="str">
        <f>"Richardson"</f>
        <v>Richardson</v>
      </c>
      <c r="BA1065" t="str">
        <f>"TX"</f>
        <v>TX</v>
      </c>
      <c r="BB1065" s="3">
        <v>75082</v>
      </c>
      <c r="BC1065" t="str">
        <f t="shared" ref="BC1065:BC1078" si="83">"UNITED STATES OF AMERICA"</f>
        <v>UNITED STATES OF AMERICA</v>
      </c>
      <c r="BD1065" t="str">
        <f>""</f>
        <v/>
      </c>
      <c r="BE1065" t="str">
        <f>"+14692909621"</f>
        <v>+14692909621</v>
      </c>
      <c r="BF1065" t="str">
        <f>""</f>
        <v/>
      </c>
      <c r="BG1065" t="str">
        <f>"mangupta@balglobal.com"</f>
        <v>mangupta@balglobal.com</v>
      </c>
      <c r="BH1065" t="str">
        <f>"Berry Appleman &amp; Leiden LLP"</f>
        <v>Berry Appleman &amp; Leiden LLP</v>
      </c>
      <c r="BI1065" t="str">
        <f>"PA"</f>
        <v>PA</v>
      </c>
      <c r="BJ1065" t="str">
        <f>"Supreme Court"</f>
        <v>Supreme Court</v>
      </c>
      <c r="BK1065">
        <v>1</v>
      </c>
      <c r="BL1065" t="s">
        <v>102</v>
      </c>
      <c r="BM1065" t="str">
        <f>""</f>
        <v/>
      </c>
      <c r="BN1065" t="s">
        <v>11172</v>
      </c>
      <c r="BP1065" t="s">
        <v>812</v>
      </c>
      <c r="BQ1065" t="s">
        <v>813</v>
      </c>
      <c r="BR1065" t="s">
        <v>814</v>
      </c>
      <c r="BS1065" s="5">
        <v>97124</v>
      </c>
      <c r="BT1065" s="2">
        <v>182875</v>
      </c>
      <c r="BV1065" t="s">
        <v>105</v>
      </c>
      <c r="BW1065" s="2">
        <v>135970</v>
      </c>
      <c r="BX1065" t="s">
        <v>105</v>
      </c>
      <c r="BZ1065" t="s">
        <v>159</v>
      </c>
      <c r="CA1065" t="str">
        <f t="shared" si="80"/>
        <v>7/1/2020 - 6/30/2021</v>
      </c>
      <c r="CF1065">
        <v>3</v>
      </c>
      <c r="CG1065" t="s">
        <v>98</v>
      </c>
      <c r="CH1065" t="s">
        <v>206</v>
      </c>
      <c r="CI1065" t="s">
        <v>206</v>
      </c>
      <c r="CL1065" t="s">
        <v>108</v>
      </c>
      <c r="CM1065" t="s">
        <v>109</v>
      </c>
      <c r="CN1065" t="str">
        <f>"Finch"</f>
        <v>Finch</v>
      </c>
      <c r="CO1065" t="str">
        <f>"Derek"</f>
        <v>Derek</v>
      </c>
      <c r="CP1065" t="str">
        <f>""</f>
        <v/>
      </c>
      <c r="CQ1065" t="str">
        <f>"Berry Appleman &amp; Leiden LLP"</f>
        <v>Berry Appleman &amp; Leiden LLP</v>
      </c>
      <c r="CR1065" t="s">
        <v>5304</v>
      </c>
    </row>
    <row r="1066" spans="1:96" x14ac:dyDescent="0.2">
      <c r="A1066" t="s">
        <v>11173</v>
      </c>
      <c r="B1066" t="s">
        <v>96</v>
      </c>
      <c r="C1066" s="1">
        <v>44098</v>
      </c>
      <c r="D1066" s="1">
        <v>44105</v>
      </c>
      <c r="F1066" t="s">
        <v>97</v>
      </c>
      <c r="G1066" t="str">
        <f>"Principal Software Engineer - Datapath (SASE)"</f>
        <v>Principal Software Engineer - Datapath (SASE)</v>
      </c>
      <c r="H1066" t="s">
        <v>12176</v>
      </c>
      <c r="I1066" t="s">
        <v>246</v>
      </c>
      <c r="J1066" t="s">
        <v>98</v>
      </c>
      <c r="K1066" s="1">
        <v>44105</v>
      </c>
      <c r="L1066" s="1">
        <v>45199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 t="s">
        <v>2263</v>
      </c>
      <c r="U1066" t="str">
        <f>""</f>
        <v/>
      </c>
      <c r="V1066" t="s">
        <v>2264</v>
      </c>
      <c r="W1066" t="str">
        <f>""</f>
        <v/>
      </c>
      <c r="X1066" t="s">
        <v>247</v>
      </c>
      <c r="Y1066" t="s">
        <v>141</v>
      </c>
      <c r="Z1066" s="3">
        <v>95054</v>
      </c>
      <c r="AA1066" t="s">
        <v>101</v>
      </c>
      <c r="AC1066" s="4" t="str">
        <f>"+14087534000"</f>
        <v>+14087534000</v>
      </c>
      <c r="AE1066" t="str">
        <f>"541511"</f>
        <v>541511</v>
      </c>
      <c r="AF1066" t="s">
        <v>2265</v>
      </c>
      <c r="AG1066" t="s">
        <v>2266</v>
      </c>
      <c r="AI1066" t="s">
        <v>2267</v>
      </c>
      <c r="AJ1066" t="s">
        <v>2264</v>
      </c>
      <c r="AK1066" t="str">
        <f>""</f>
        <v/>
      </c>
      <c r="AL1066" t="s">
        <v>247</v>
      </c>
      <c r="AM1066" t="s">
        <v>141</v>
      </c>
      <c r="AN1066" s="3">
        <v>95054</v>
      </c>
      <c r="AO1066" t="s">
        <v>101</v>
      </c>
      <c r="AQ1066" t="str">
        <f>"+14087534000"</f>
        <v>+14087534000</v>
      </c>
      <c r="AS1066" t="s">
        <v>2268</v>
      </c>
      <c r="AT1066" t="s">
        <v>107</v>
      </c>
      <c r="AU1066" t="str">
        <f>"Emralino"</f>
        <v>Emralino</v>
      </c>
      <c r="AV1066" t="str">
        <f>"Jestherlynn"</f>
        <v>Jestherlynn</v>
      </c>
      <c r="AW1066" t="str">
        <f>""</f>
        <v/>
      </c>
      <c r="AX1066" t="str">
        <f>"2121 Tasman Drive"</f>
        <v>2121 Tasman Drive</v>
      </c>
      <c r="AY1066" t="str">
        <f>""</f>
        <v/>
      </c>
      <c r="AZ1066" t="str">
        <f>"Santa Clara"</f>
        <v>Santa Clara</v>
      </c>
      <c r="BA1066" t="str">
        <f>"CA"</f>
        <v>CA</v>
      </c>
      <c r="BB1066" s="3">
        <v>95054</v>
      </c>
      <c r="BC1066" t="str">
        <f t="shared" si="83"/>
        <v>UNITED STATES OF AMERICA</v>
      </c>
      <c r="BD1066" t="str">
        <f>""</f>
        <v/>
      </c>
      <c r="BE1066" t="str">
        <f>"+14089190600"</f>
        <v>+14089190600</v>
      </c>
      <c r="BF1066" t="str">
        <f>""</f>
        <v/>
      </c>
      <c r="BG1066" t="str">
        <f>"jemralino@fragomen.com"</f>
        <v>jemralino@fragomen.com</v>
      </c>
      <c r="BH1066" t="str">
        <f>"Fragomen, Del Rey, Bernsen, &amp; Loewy, LLP"</f>
        <v>Fragomen, Del Rey, Bernsen, &amp; Loewy, LLP</v>
      </c>
      <c r="BI1066" t="str">
        <f>"NJ"</f>
        <v>NJ</v>
      </c>
      <c r="BJ1066" t="str">
        <f>"Supreme Court"</f>
        <v>Supreme Court</v>
      </c>
      <c r="BK1066">
        <v>1</v>
      </c>
      <c r="BL1066" t="s">
        <v>102</v>
      </c>
      <c r="BM1066" t="str">
        <f>""</f>
        <v/>
      </c>
      <c r="BN1066" t="s">
        <v>2264</v>
      </c>
      <c r="BP1066" t="s">
        <v>247</v>
      </c>
      <c r="BQ1066" t="s">
        <v>230</v>
      </c>
      <c r="BR1066" t="s">
        <v>141</v>
      </c>
      <c r="BS1066" s="5">
        <v>95054</v>
      </c>
      <c r="BT1066" s="2">
        <v>210000</v>
      </c>
      <c r="BV1066" t="s">
        <v>105</v>
      </c>
      <c r="BW1066" s="2">
        <v>170872</v>
      </c>
      <c r="BX1066" t="s">
        <v>105</v>
      </c>
      <c r="BZ1066" t="s">
        <v>159</v>
      </c>
      <c r="CA1066" t="str">
        <f t="shared" si="80"/>
        <v>7/1/2020 - 6/30/2021</v>
      </c>
      <c r="CF1066">
        <v>2</v>
      </c>
      <c r="CG1066" t="s">
        <v>98</v>
      </c>
      <c r="CH1066" t="s">
        <v>206</v>
      </c>
      <c r="CI1066" t="s">
        <v>206</v>
      </c>
      <c r="CL1066" t="s">
        <v>108</v>
      </c>
      <c r="CM1066" t="s">
        <v>109</v>
      </c>
      <c r="CN1066" t="str">
        <f>""</f>
        <v/>
      </c>
      <c r="CO1066" t="str">
        <f>""</f>
        <v/>
      </c>
      <c r="CP1066" t="str">
        <f>""</f>
        <v/>
      </c>
      <c r="CQ1066" t="str">
        <f>""</f>
        <v/>
      </c>
    </row>
    <row r="1067" spans="1:96" x14ac:dyDescent="0.2">
      <c r="A1067" t="s">
        <v>11175</v>
      </c>
      <c r="B1067" t="s">
        <v>96</v>
      </c>
      <c r="C1067" s="1">
        <v>44098</v>
      </c>
      <c r="D1067" s="1">
        <v>44105</v>
      </c>
      <c r="F1067" t="s">
        <v>97</v>
      </c>
      <c r="G1067" t="str">
        <f>"SOFTWARE DEVELOPMENT ENGINEER II"</f>
        <v>SOFTWARE DEVELOPMENT ENGINEER II</v>
      </c>
      <c r="H1067" t="s">
        <v>12169</v>
      </c>
      <c r="I1067" t="s">
        <v>124</v>
      </c>
      <c r="J1067" t="s">
        <v>98</v>
      </c>
      <c r="K1067" s="1">
        <v>44280</v>
      </c>
      <c r="L1067" s="1">
        <v>45375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 t="s">
        <v>440</v>
      </c>
      <c r="U1067" t="str">
        <f>""</f>
        <v/>
      </c>
      <c r="V1067" t="s">
        <v>809</v>
      </c>
      <c r="W1067" t="str">
        <f>"SUITE 500"</f>
        <v>SUITE 500</v>
      </c>
      <c r="X1067" t="s">
        <v>433</v>
      </c>
      <c r="Y1067" t="s">
        <v>176</v>
      </c>
      <c r="Z1067" s="3">
        <v>98121</v>
      </c>
      <c r="AA1067" t="s">
        <v>101</v>
      </c>
      <c r="AC1067" s="4" t="str">
        <f>"+12062661000"</f>
        <v>+12062661000</v>
      </c>
      <c r="AE1067" t="str">
        <f>"454110"</f>
        <v>454110</v>
      </c>
      <c r="AF1067" t="s">
        <v>442</v>
      </c>
      <c r="AG1067" t="s">
        <v>443</v>
      </c>
      <c r="AH1067" t="s">
        <v>108</v>
      </c>
      <c r="AI1067" t="s">
        <v>434</v>
      </c>
      <c r="AJ1067" t="s">
        <v>809</v>
      </c>
      <c r="AK1067" t="str">
        <f>"SUITE 500"</f>
        <v>SUITE 500</v>
      </c>
      <c r="AL1067" t="s">
        <v>433</v>
      </c>
      <c r="AM1067" t="s">
        <v>176</v>
      </c>
      <c r="AN1067" s="3">
        <v>98121</v>
      </c>
      <c r="AO1067" t="s">
        <v>101</v>
      </c>
      <c r="AQ1067" t="str">
        <f>"+12062661000"</f>
        <v>+12062661000</v>
      </c>
      <c r="AS1067" t="s">
        <v>263</v>
      </c>
      <c r="AT1067" t="s">
        <v>107</v>
      </c>
      <c r="AU1067" t="str">
        <f>"MARANCI"</f>
        <v>MARANCI</v>
      </c>
      <c r="AV1067" t="str">
        <f>"DANIEL"</f>
        <v>DANIEL</v>
      </c>
      <c r="AW1067" t="str">
        <f>"N/A"</f>
        <v>N/A</v>
      </c>
      <c r="AX1067" t="str">
        <f>"100 HIGH STREET"</f>
        <v>100 HIGH STREET</v>
      </c>
      <c r="AY1067" t="str">
        <f>"3RD FLOOR C#5307897"</f>
        <v>3RD FLOOR C#5307897</v>
      </c>
      <c r="AZ1067" t="str">
        <f>"BOSTON"</f>
        <v>BOSTON</v>
      </c>
      <c r="BA1067" t="str">
        <f>"MA"</f>
        <v>MA</v>
      </c>
      <c r="BB1067" s="3">
        <v>2110</v>
      </c>
      <c r="BC1067" t="str">
        <f t="shared" si="83"/>
        <v>UNITED STATES OF AMERICA</v>
      </c>
      <c r="BD1067" t="str">
        <f>""</f>
        <v/>
      </c>
      <c r="BE1067" t="str">
        <f>"+16175740400"</f>
        <v>+16175740400</v>
      </c>
      <c r="BF1067" t="str">
        <f>""</f>
        <v/>
      </c>
      <c r="BG1067" t="str">
        <f>"AMAZONINDIA@FRAGOMEN.COM"</f>
        <v>AMAZONINDIA@FRAGOMEN.COM</v>
      </c>
      <c r="BH1067" t="str">
        <f>"FRAGOMEN, DEL REY, BERNSEN &amp; LOEWY, LLP"</f>
        <v>FRAGOMEN, DEL REY, BERNSEN &amp; LOEWY, LLP</v>
      </c>
      <c r="BI1067" t="str">
        <f>"MA"</f>
        <v>MA</v>
      </c>
      <c r="BJ1067" t="str">
        <f>"SUPREME JUDICIAL COURT"</f>
        <v>SUPREME JUDICIAL COURT</v>
      </c>
      <c r="BK1067">
        <v>1</v>
      </c>
      <c r="BL1067" t="s">
        <v>102</v>
      </c>
      <c r="BM1067" t="str">
        <f>""</f>
        <v/>
      </c>
      <c r="BN1067" t="s">
        <v>4073</v>
      </c>
      <c r="BP1067" t="s">
        <v>433</v>
      </c>
      <c r="BQ1067" t="s">
        <v>183</v>
      </c>
      <c r="BR1067" t="s">
        <v>176</v>
      </c>
      <c r="BS1067" s="5">
        <v>98121</v>
      </c>
      <c r="BT1067" s="2">
        <v>140100</v>
      </c>
      <c r="BV1067" t="s">
        <v>105</v>
      </c>
      <c r="BW1067" s="2">
        <v>113110</v>
      </c>
      <c r="BX1067" t="s">
        <v>105</v>
      </c>
      <c r="BZ1067" t="s">
        <v>167</v>
      </c>
      <c r="CA1067" t="str">
        <f t="shared" si="80"/>
        <v>7/1/2020 - 6/30/2021</v>
      </c>
      <c r="CF1067">
        <v>1</v>
      </c>
      <c r="CG1067" t="s">
        <v>98</v>
      </c>
      <c r="CH1067" t="s">
        <v>206</v>
      </c>
      <c r="CI1067" t="s">
        <v>206</v>
      </c>
      <c r="CL1067" t="s">
        <v>108</v>
      </c>
      <c r="CM1067" t="s">
        <v>109</v>
      </c>
      <c r="CN1067" t="str">
        <f>"SUNNY"</f>
        <v>SUNNY</v>
      </c>
      <c r="CO1067" t="str">
        <f>"JASMIN"</f>
        <v>JASMIN</v>
      </c>
      <c r="CP1067" t="str">
        <f>"N/A"</f>
        <v>N/A</v>
      </c>
      <c r="CQ1067" t="str">
        <f>"FRAGOMEN, DEL REY, BERNSEN &amp; LOEWY, LLP"</f>
        <v>FRAGOMEN, DEL REY, BERNSEN &amp; LOEWY, LLP</v>
      </c>
      <c r="CR1067" t="s">
        <v>650</v>
      </c>
    </row>
    <row r="1068" spans="1:96" x14ac:dyDescent="0.2">
      <c r="A1068" t="s">
        <v>11178</v>
      </c>
      <c r="B1068" t="s">
        <v>96</v>
      </c>
      <c r="C1068" s="1">
        <v>44098</v>
      </c>
      <c r="D1068" s="1">
        <v>44105</v>
      </c>
      <c r="F1068" t="s">
        <v>97</v>
      </c>
      <c r="G1068" t="str">
        <f>"Software Engineer II"</f>
        <v>Software Engineer II</v>
      </c>
      <c r="H1068" t="s">
        <v>12169</v>
      </c>
      <c r="I1068" t="s">
        <v>124</v>
      </c>
      <c r="J1068" t="s">
        <v>98</v>
      </c>
      <c r="K1068" s="1">
        <v>44105</v>
      </c>
      <c r="L1068" s="1">
        <v>45199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 t="s">
        <v>11179</v>
      </c>
      <c r="U1068" t="str">
        <f>""</f>
        <v/>
      </c>
      <c r="V1068" t="s">
        <v>11180</v>
      </c>
      <c r="W1068" t="str">
        <f>"Suite 307"</f>
        <v>Suite 307</v>
      </c>
      <c r="X1068" t="s">
        <v>4430</v>
      </c>
      <c r="Y1068" t="s">
        <v>171</v>
      </c>
      <c r="Z1068" s="3">
        <v>1854</v>
      </c>
      <c r="AA1068" t="s">
        <v>101</v>
      </c>
      <c r="AC1068" s="4" t="str">
        <f>"+19788482820"</f>
        <v>+19788482820</v>
      </c>
      <c r="AE1068" t="str">
        <f>"51791"</f>
        <v>51791</v>
      </c>
      <c r="AF1068" t="s">
        <v>11181</v>
      </c>
      <c r="AG1068" t="s">
        <v>7268</v>
      </c>
      <c r="AI1068" t="s">
        <v>201</v>
      </c>
      <c r="AJ1068" t="s">
        <v>11179</v>
      </c>
      <c r="AK1068" t="str">
        <f>"650 Suffolk Street, Suite 307"</f>
        <v>650 Suffolk Street, Suite 307</v>
      </c>
      <c r="AL1068" t="s">
        <v>4430</v>
      </c>
      <c r="AM1068" t="s">
        <v>171</v>
      </c>
      <c r="AN1068" s="3">
        <v>1854</v>
      </c>
      <c r="AO1068" t="s">
        <v>101</v>
      </c>
      <c r="AQ1068" t="str">
        <f>"+19788482820"</f>
        <v>+19788482820</v>
      </c>
      <c r="AS1068" t="s">
        <v>11182</v>
      </c>
      <c r="AT1068" t="s">
        <v>107</v>
      </c>
      <c r="AU1068" t="str">
        <f>"Foster, Esq."</f>
        <v>Foster, Esq.</v>
      </c>
      <c r="AV1068" t="str">
        <f>"Shaun"</f>
        <v>Shaun</v>
      </c>
      <c r="AW1068" t="str">
        <f>"Michael"</f>
        <v>Michael</v>
      </c>
      <c r="AX1068" t="str">
        <f>"PampaninFoster, LLC"</f>
        <v>PampaninFoster, LLC</v>
      </c>
      <c r="AY1068" t="str">
        <f>"2343 Massachusetts Avenue"</f>
        <v>2343 Massachusetts Avenue</v>
      </c>
      <c r="AZ1068" t="str">
        <f>"Cambridge"</f>
        <v>Cambridge</v>
      </c>
      <c r="BA1068" t="str">
        <f>"MA"</f>
        <v>MA</v>
      </c>
      <c r="BB1068" s="3">
        <v>2140</v>
      </c>
      <c r="BC1068" t="str">
        <f t="shared" si="83"/>
        <v>UNITED STATES OF AMERICA</v>
      </c>
      <c r="BD1068" t="str">
        <f>""</f>
        <v/>
      </c>
      <c r="BE1068" t="str">
        <f>"+16174980900"</f>
        <v>+16174980900</v>
      </c>
      <c r="BF1068" t="str">
        <f>""</f>
        <v/>
      </c>
      <c r="BG1068" t="str">
        <f>"sfoster@pampaninlaw.com"</f>
        <v>sfoster@pampaninlaw.com</v>
      </c>
      <c r="BH1068" t="str">
        <f>"PampaninFoster, LLC"</f>
        <v>PampaninFoster, LLC</v>
      </c>
      <c r="BI1068" t="str">
        <f>"MA"</f>
        <v>MA</v>
      </c>
      <c r="BJ1068" t="str">
        <f>"Supreme Judicial Court of Massachusetts"</f>
        <v>Supreme Judicial Court of Massachusetts</v>
      </c>
      <c r="BK1068">
        <v>1</v>
      </c>
      <c r="BL1068" t="s">
        <v>102</v>
      </c>
      <c r="BM1068" t="str">
        <f>""</f>
        <v/>
      </c>
      <c r="BN1068" t="s">
        <v>11183</v>
      </c>
      <c r="BO1068" t="s">
        <v>7049</v>
      </c>
      <c r="BP1068" t="s">
        <v>247</v>
      </c>
      <c r="BQ1068" t="s">
        <v>230</v>
      </c>
      <c r="BR1068" t="s">
        <v>141</v>
      </c>
      <c r="BS1068" s="5">
        <v>95051</v>
      </c>
      <c r="BT1068" s="2">
        <v>76408.800000000003</v>
      </c>
      <c r="BV1068" t="s">
        <v>105</v>
      </c>
      <c r="BW1068" s="2">
        <v>71313</v>
      </c>
      <c r="BX1068" t="s">
        <v>105</v>
      </c>
      <c r="CA1068" t="str">
        <f>""</f>
        <v/>
      </c>
      <c r="CB1068" t="s">
        <v>244</v>
      </c>
      <c r="CC1068">
        <v>2020</v>
      </c>
      <c r="CD1068" t="s">
        <v>1616</v>
      </c>
      <c r="CE1068" t="s">
        <v>3416</v>
      </c>
      <c r="CF1068">
        <v>1</v>
      </c>
      <c r="CG1068" t="s">
        <v>98</v>
      </c>
      <c r="CH1068" t="s">
        <v>206</v>
      </c>
      <c r="CI1068" t="s">
        <v>206</v>
      </c>
      <c r="CL1068" t="s">
        <v>108</v>
      </c>
      <c r="CM1068" t="s">
        <v>109</v>
      </c>
      <c r="CN1068" t="str">
        <f>""</f>
        <v/>
      </c>
      <c r="CO1068" t="str">
        <f>""</f>
        <v/>
      </c>
      <c r="CP1068" t="str">
        <f>""</f>
        <v/>
      </c>
      <c r="CQ1068" t="str">
        <f>""</f>
        <v/>
      </c>
    </row>
    <row r="1069" spans="1:96" x14ac:dyDescent="0.2">
      <c r="A1069" t="s">
        <v>11184</v>
      </c>
      <c r="B1069" t="s">
        <v>96</v>
      </c>
      <c r="C1069" s="1">
        <v>44098</v>
      </c>
      <c r="D1069" s="1">
        <v>44105</v>
      </c>
      <c r="F1069" t="s">
        <v>97</v>
      </c>
      <c r="G1069" t="str">
        <f>"Senior Modeler "</f>
        <v xml:space="preserve">Senior Modeler </v>
      </c>
      <c r="H1069" t="s">
        <v>12180</v>
      </c>
      <c r="I1069" t="s">
        <v>390</v>
      </c>
      <c r="J1069" t="s">
        <v>98</v>
      </c>
      <c r="K1069" s="1">
        <v>44102</v>
      </c>
      <c r="L1069" s="1">
        <v>45197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 t="s">
        <v>3371</v>
      </c>
      <c r="U1069" t="str">
        <f>""</f>
        <v/>
      </c>
      <c r="V1069" t="s">
        <v>1088</v>
      </c>
      <c r="W1069" t="str">
        <f>""</f>
        <v/>
      </c>
      <c r="X1069" t="s">
        <v>1089</v>
      </c>
      <c r="Y1069" t="s">
        <v>345</v>
      </c>
      <c r="Z1069" s="3">
        <v>60015</v>
      </c>
      <c r="AA1069" t="s">
        <v>101</v>
      </c>
      <c r="AC1069" s="4" t="str">
        <f>"+12244053726"</f>
        <v>+12244053726</v>
      </c>
      <c r="AD1069">
        <v>0</v>
      </c>
      <c r="AE1069" t="str">
        <f>"522210"</f>
        <v>522210</v>
      </c>
      <c r="AF1069" t="s">
        <v>1090</v>
      </c>
      <c r="AG1069" t="s">
        <v>1091</v>
      </c>
      <c r="AI1069" t="s">
        <v>1092</v>
      </c>
      <c r="AJ1069" t="s">
        <v>1093</v>
      </c>
      <c r="AK1069" t="str">
        <f>""</f>
        <v/>
      </c>
      <c r="AL1069" t="s">
        <v>1089</v>
      </c>
      <c r="AM1069" t="s">
        <v>345</v>
      </c>
      <c r="AN1069" s="3">
        <v>60015</v>
      </c>
      <c r="AO1069" t="s">
        <v>101</v>
      </c>
      <c r="AQ1069" t="str">
        <f>"+12244052101"</f>
        <v>+12244052101</v>
      </c>
      <c r="AS1069" t="s">
        <v>1094</v>
      </c>
      <c r="AT1069" t="s">
        <v>107</v>
      </c>
      <c r="AU1069" t="str">
        <f>"Almonte"</f>
        <v>Almonte</v>
      </c>
      <c r="AV1069" t="str">
        <f>"Michael"</f>
        <v>Michael</v>
      </c>
      <c r="AW1069" t="str">
        <f>""</f>
        <v/>
      </c>
      <c r="AX1069" t="str">
        <f>"1400 Broadway"</f>
        <v>1400 Broadway</v>
      </c>
      <c r="AY1069" t="str">
        <f>""</f>
        <v/>
      </c>
      <c r="AZ1069" t="str">
        <f>"New York"</f>
        <v>New York</v>
      </c>
      <c r="BA1069" t="str">
        <f>"NY"</f>
        <v>NY</v>
      </c>
      <c r="BB1069" s="3">
        <v>10018</v>
      </c>
      <c r="BC1069" t="str">
        <f t="shared" si="83"/>
        <v>UNITED STATES OF AMERICA</v>
      </c>
      <c r="BD1069" t="str">
        <f>""</f>
        <v/>
      </c>
      <c r="BE1069" t="str">
        <f>"+12126888555"</f>
        <v>+12126888555</v>
      </c>
      <c r="BF1069" t="str">
        <f>""</f>
        <v/>
      </c>
      <c r="BG1069" t="str">
        <f>"MDominik@Fragomen.com"</f>
        <v>MDominik@Fragomen.com</v>
      </c>
      <c r="BH1069" t="str">
        <f>"Fragomen, Del Rey, Bernsen &amp; Loewy, LLP"</f>
        <v>Fragomen, Del Rey, Bernsen &amp; Loewy, LLP</v>
      </c>
      <c r="BI1069" t="str">
        <f>"NY"</f>
        <v>NY</v>
      </c>
      <c r="BJ1069" t="str">
        <f>"Supreme Court"</f>
        <v>Supreme Court</v>
      </c>
      <c r="BK1069">
        <v>1</v>
      </c>
      <c r="BL1069" t="s">
        <v>107</v>
      </c>
      <c r="BM1069" t="str">
        <f>"Discover Products, Inc."</f>
        <v>Discover Products, Inc.</v>
      </c>
      <c r="BN1069" t="s">
        <v>11185</v>
      </c>
      <c r="BO1069" t="s">
        <v>11186</v>
      </c>
      <c r="BP1069" t="s">
        <v>299</v>
      </c>
      <c r="BQ1069" t="s">
        <v>257</v>
      </c>
      <c r="BR1069" t="s">
        <v>258</v>
      </c>
      <c r="BS1069" s="5">
        <v>85054</v>
      </c>
      <c r="BT1069" s="2">
        <v>80000</v>
      </c>
      <c r="BU1069" s="2">
        <v>105000</v>
      </c>
      <c r="BV1069" t="s">
        <v>105</v>
      </c>
      <c r="BW1069" s="2">
        <v>74880</v>
      </c>
      <c r="BX1069" t="s">
        <v>105</v>
      </c>
      <c r="BZ1069" t="s">
        <v>167</v>
      </c>
      <c r="CA1069" t="str">
        <f>"7/1/2020 - 6/30/2021"</f>
        <v>7/1/2020 - 6/30/2021</v>
      </c>
      <c r="CF1069">
        <v>2</v>
      </c>
      <c r="CG1069" t="s">
        <v>98</v>
      </c>
      <c r="CH1069" t="s">
        <v>206</v>
      </c>
      <c r="CI1069" t="s">
        <v>206</v>
      </c>
      <c r="CL1069" t="s">
        <v>108</v>
      </c>
      <c r="CM1069" t="s">
        <v>109</v>
      </c>
      <c r="CN1069" t="str">
        <f>"Dominik"</f>
        <v>Dominik</v>
      </c>
      <c r="CO1069" t="str">
        <f>"Monika"</f>
        <v>Monika</v>
      </c>
      <c r="CP1069" t="str">
        <f>"I"</f>
        <v>I</v>
      </c>
      <c r="CQ1069" t="str">
        <f>"Fragomen, Del Rey, Bernsen &amp; Loewy, LLP"</f>
        <v>Fragomen, Del Rey, Bernsen &amp; Loewy, LLP</v>
      </c>
      <c r="CR1069" t="s">
        <v>5324</v>
      </c>
    </row>
    <row r="1070" spans="1:96" x14ac:dyDescent="0.2">
      <c r="A1070" t="s">
        <v>11193</v>
      </c>
      <c r="B1070" t="s">
        <v>96</v>
      </c>
      <c r="C1070" s="1">
        <v>44098</v>
      </c>
      <c r="D1070" s="1">
        <v>44105</v>
      </c>
      <c r="F1070" t="s">
        <v>97</v>
      </c>
      <c r="G1070" t="str">
        <f>"Business Systems Software Analyst, Production"</f>
        <v>Business Systems Software Analyst, Production</v>
      </c>
      <c r="H1070" t="s">
        <v>12181</v>
      </c>
      <c r="I1070" t="s">
        <v>110</v>
      </c>
      <c r="J1070" t="s">
        <v>98</v>
      </c>
      <c r="K1070" s="1">
        <v>44105</v>
      </c>
      <c r="L1070" s="1">
        <v>45199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 t="s">
        <v>9392</v>
      </c>
      <c r="U1070" t="str">
        <f>""</f>
        <v/>
      </c>
      <c r="V1070" t="s">
        <v>9850</v>
      </c>
      <c r="W1070" t="str">
        <f>"1st Floor"</f>
        <v>1st Floor</v>
      </c>
      <c r="X1070" t="s">
        <v>4865</v>
      </c>
      <c r="Y1070" t="s">
        <v>280</v>
      </c>
      <c r="Z1070" s="3">
        <v>6897</v>
      </c>
      <c r="AA1070" t="s">
        <v>101</v>
      </c>
      <c r="AC1070" s="4" t="str">
        <f>"+12035636600"</f>
        <v>+12035636600</v>
      </c>
      <c r="AE1070" t="str">
        <f>"5418"</f>
        <v>5418</v>
      </c>
      <c r="AF1070" t="s">
        <v>9394</v>
      </c>
      <c r="AG1070" t="s">
        <v>9395</v>
      </c>
      <c r="AI1070" t="s">
        <v>9396</v>
      </c>
      <c r="AJ1070" t="s">
        <v>9850</v>
      </c>
      <c r="AK1070" t="str">
        <f>"1st Floor"</f>
        <v>1st Floor</v>
      </c>
      <c r="AL1070" t="s">
        <v>4865</v>
      </c>
      <c r="AM1070" t="s">
        <v>280</v>
      </c>
      <c r="AN1070" s="3">
        <v>6897</v>
      </c>
      <c r="AO1070" t="s">
        <v>101</v>
      </c>
      <c r="AQ1070" t="str">
        <f>"+12035636234"</f>
        <v>+12035636234</v>
      </c>
      <c r="AS1070" t="s">
        <v>9397</v>
      </c>
      <c r="AT1070" t="s">
        <v>107</v>
      </c>
      <c r="AU1070" t="str">
        <f>"Rayer"</f>
        <v>Rayer</v>
      </c>
      <c r="AV1070" t="str">
        <f>"Frances"</f>
        <v>Frances</v>
      </c>
      <c r="AW1070" t="str">
        <f>"Patricia"</f>
        <v>Patricia</v>
      </c>
      <c r="AX1070" t="str">
        <f>"1650 Market Street, 1 Liberty Place"</f>
        <v>1650 Market Street, 1 Liberty Place</v>
      </c>
      <c r="AY1070" t="str">
        <f>"Suite 2800"</f>
        <v>Suite 2800</v>
      </c>
      <c r="AZ1070" t="str">
        <f>"Philadelphia"</f>
        <v>Philadelphia</v>
      </c>
      <c r="BA1070" t="str">
        <f>"PA"</f>
        <v>PA</v>
      </c>
      <c r="BB1070" s="3">
        <v>19103</v>
      </c>
      <c r="BC1070" t="str">
        <f t="shared" si="83"/>
        <v>UNITED STATES OF AMERICA</v>
      </c>
      <c r="BD1070" t="str">
        <f>""</f>
        <v/>
      </c>
      <c r="BE1070" t="str">
        <f>"+12156653704"</f>
        <v>+12156653704</v>
      </c>
      <c r="BF1070" t="str">
        <f>""</f>
        <v/>
      </c>
      <c r="BG1070" t="str">
        <f>"frayer@cozen.com"</f>
        <v>frayer@cozen.com</v>
      </c>
      <c r="BH1070" t="str">
        <f>"Cozen O'Connor"</f>
        <v>Cozen O'Connor</v>
      </c>
      <c r="BI1070" t="str">
        <f>"PA"</f>
        <v>PA</v>
      </c>
      <c r="BJ1070" t="str">
        <f>"Supreme Court of Pennsylvania"</f>
        <v>Supreme Court of Pennsylvania</v>
      </c>
      <c r="BK1070">
        <v>1</v>
      </c>
      <c r="BL1070" t="s">
        <v>102</v>
      </c>
      <c r="BM1070" t="str">
        <f>""</f>
        <v/>
      </c>
      <c r="BN1070" t="s">
        <v>9393</v>
      </c>
      <c r="BO1070" t="s">
        <v>4025</v>
      </c>
      <c r="BP1070" t="s">
        <v>4865</v>
      </c>
      <c r="BQ1070" t="s">
        <v>335</v>
      </c>
      <c r="BR1070" t="s">
        <v>280</v>
      </c>
      <c r="BS1070" s="5">
        <v>6897</v>
      </c>
      <c r="BT1070" s="2">
        <v>121909</v>
      </c>
      <c r="BV1070" t="s">
        <v>105</v>
      </c>
      <c r="BW1070" s="2">
        <v>111966</v>
      </c>
      <c r="BX1070" t="s">
        <v>105</v>
      </c>
      <c r="BZ1070" t="s">
        <v>123</v>
      </c>
      <c r="CA1070" t="str">
        <f>"7/1/2020 - 6/30/2021"</f>
        <v>7/1/2020 - 6/30/2021</v>
      </c>
      <c r="CF1070">
        <v>2</v>
      </c>
      <c r="CG1070" t="s">
        <v>98</v>
      </c>
      <c r="CH1070" t="s">
        <v>206</v>
      </c>
      <c r="CI1070" t="s">
        <v>206</v>
      </c>
      <c r="CL1070" t="s">
        <v>108</v>
      </c>
      <c r="CM1070" t="s">
        <v>109</v>
      </c>
      <c r="CN1070" t="str">
        <f>""</f>
        <v/>
      </c>
      <c r="CO1070" t="str">
        <f>""</f>
        <v/>
      </c>
      <c r="CP1070" t="str">
        <f>""</f>
        <v/>
      </c>
      <c r="CQ1070" t="str">
        <f>""</f>
        <v/>
      </c>
    </row>
    <row r="1071" spans="1:96" x14ac:dyDescent="0.2">
      <c r="A1071" t="s">
        <v>11194</v>
      </c>
      <c r="B1071" t="s">
        <v>96</v>
      </c>
      <c r="C1071" s="1">
        <v>44098</v>
      </c>
      <c r="D1071" s="1">
        <v>44105</v>
      </c>
      <c r="F1071" t="s">
        <v>97</v>
      </c>
      <c r="G1071" t="str">
        <f>"Business Processes Senior Consultant"</f>
        <v>Business Processes Senior Consultant</v>
      </c>
      <c r="H1071" t="s">
        <v>12181</v>
      </c>
      <c r="I1071" t="s">
        <v>110</v>
      </c>
      <c r="J1071" t="s">
        <v>98</v>
      </c>
      <c r="K1071" s="1">
        <v>44105</v>
      </c>
      <c r="L1071" s="1">
        <v>45200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5143</v>
      </c>
      <c r="U1071" t="str">
        <f>""</f>
        <v/>
      </c>
      <c r="V1071" t="s">
        <v>1276</v>
      </c>
      <c r="W1071" t="str">
        <f>""</f>
        <v/>
      </c>
      <c r="X1071" t="s">
        <v>1277</v>
      </c>
      <c r="Y1071" t="s">
        <v>127</v>
      </c>
      <c r="Z1071" s="3">
        <v>19073</v>
      </c>
      <c r="AA1071" t="s">
        <v>101</v>
      </c>
      <c r="AC1071" s="4" t="str">
        <f>"+16106612354"</f>
        <v>+16106612354</v>
      </c>
      <c r="AE1071" t="str">
        <f>"54151"</f>
        <v>54151</v>
      </c>
      <c r="AF1071" t="s">
        <v>128</v>
      </c>
      <c r="AG1071" t="s">
        <v>129</v>
      </c>
      <c r="AH1071" t="s">
        <v>108</v>
      </c>
      <c r="AI1071" t="s">
        <v>130</v>
      </c>
      <c r="AJ1071" t="s">
        <v>1276</v>
      </c>
      <c r="AK1071" t="str">
        <f>"N/A"</f>
        <v>N/A</v>
      </c>
      <c r="AL1071" t="s">
        <v>1277</v>
      </c>
      <c r="AM1071" t="s">
        <v>127</v>
      </c>
      <c r="AN1071" s="3">
        <v>19073</v>
      </c>
      <c r="AO1071" t="s">
        <v>101</v>
      </c>
      <c r="AQ1071" t="str">
        <f>"+16106612354"</f>
        <v>+16106612354</v>
      </c>
      <c r="AS1071" t="s">
        <v>131</v>
      </c>
      <c r="AT1071" t="s">
        <v>107</v>
      </c>
      <c r="AU1071" t="str">
        <f>"RALSTON"</f>
        <v>RALSTON</v>
      </c>
      <c r="AV1071" t="str">
        <f>"C. WILLIAM"</f>
        <v>C. WILLIAM</v>
      </c>
      <c r="AW1071" t="str">
        <f>"N/A"</f>
        <v>N/A</v>
      </c>
      <c r="AX1071" t="str">
        <f>"90 Matawan Road"</f>
        <v>90 Matawan Road</v>
      </c>
      <c r="AY1071" t="str">
        <f>"4th Floor"</f>
        <v>4th Floor</v>
      </c>
      <c r="AZ1071" t="str">
        <f>"Matawan"</f>
        <v>Matawan</v>
      </c>
      <c r="BA1071" t="str">
        <f>"NJ"</f>
        <v>NJ</v>
      </c>
      <c r="BB1071" s="3">
        <v>7747</v>
      </c>
      <c r="BC1071" t="str">
        <f t="shared" si="83"/>
        <v>UNITED STATES OF AMERICA</v>
      </c>
      <c r="BD1071" t="str">
        <f>""</f>
        <v/>
      </c>
      <c r="BE1071" t="str">
        <f>"+17328625000"</f>
        <v>+17328625000</v>
      </c>
      <c r="BF1071" t="str">
        <f>""</f>
        <v/>
      </c>
      <c r="BG1071" t="str">
        <f>"EANTOKAL@FRAGOMEN.COM"</f>
        <v>EANTOKAL@FRAGOMEN.COM</v>
      </c>
      <c r="BH1071" t="str">
        <f>"FRAGOMEN, DEL REY, BERNSEN &amp; LOEWY, LLP"</f>
        <v>FRAGOMEN, DEL REY, BERNSEN &amp; LOEWY, LLP</v>
      </c>
      <c r="BI1071" t="str">
        <f>"NJ"</f>
        <v>NJ</v>
      </c>
      <c r="BJ1071" t="str">
        <f>"SUPREME COURT"</f>
        <v>SUPREME COURT</v>
      </c>
      <c r="BK1071">
        <v>1</v>
      </c>
      <c r="BL1071" t="s">
        <v>102</v>
      </c>
      <c r="BM1071" t="str">
        <f>""</f>
        <v/>
      </c>
      <c r="BN1071" t="s">
        <v>5179</v>
      </c>
      <c r="BO1071" t="s">
        <v>248</v>
      </c>
      <c r="BP1071" t="s">
        <v>5180</v>
      </c>
      <c r="BQ1071" t="s">
        <v>377</v>
      </c>
      <c r="BR1071" t="s">
        <v>141</v>
      </c>
      <c r="BS1071" s="5">
        <v>92663</v>
      </c>
      <c r="BT1071" s="2">
        <v>145000.07999999999</v>
      </c>
      <c r="BV1071" t="s">
        <v>105</v>
      </c>
      <c r="BW1071" s="2">
        <v>105373</v>
      </c>
      <c r="BX1071" t="s">
        <v>105</v>
      </c>
      <c r="BZ1071" t="s">
        <v>123</v>
      </c>
      <c r="CA1071" t="str">
        <f>"7/1/2020 - 6/30/2021"</f>
        <v>7/1/2020 - 6/30/2021</v>
      </c>
      <c r="CF1071">
        <v>1</v>
      </c>
      <c r="CG1071" t="s">
        <v>98</v>
      </c>
      <c r="CH1071" t="s">
        <v>206</v>
      </c>
      <c r="CI1071" t="s">
        <v>206</v>
      </c>
      <c r="CL1071" t="s">
        <v>108</v>
      </c>
      <c r="CM1071" t="s">
        <v>109</v>
      </c>
      <c r="CN1071" t="str">
        <f>"RALSTON"</f>
        <v>RALSTON</v>
      </c>
      <c r="CO1071" t="str">
        <f>"C. WILLIAM"</f>
        <v>C. WILLIAM</v>
      </c>
      <c r="CP1071" t="str">
        <f>""</f>
        <v/>
      </c>
      <c r="CQ1071" t="str">
        <f>"FRAGOMEN, DEL REY, BERNSEN &amp; LOEWY, LLP"</f>
        <v>FRAGOMEN, DEL REY, BERNSEN &amp; LOEWY, LLP</v>
      </c>
      <c r="CR1071" t="s">
        <v>5449</v>
      </c>
    </row>
    <row r="1072" spans="1:96" x14ac:dyDescent="0.2">
      <c r="A1072" t="s">
        <v>11195</v>
      </c>
      <c r="B1072" t="s">
        <v>96</v>
      </c>
      <c r="C1072" s="1">
        <v>44098</v>
      </c>
      <c r="D1072" s="1">
        <v>44105</v>
      </c>
      <c r="F1072" t="s">
        <v>97</v>
      </c>
      <c r="G1072" t="str">
        <f>"Senior Management Reporting Analyst"</f>
        <v>Senior Management Reporting Analyst</v>
      </c>
      <c r="H1072" t="s">
        <v>12213</v>
      </c>
      <c r="I1072" t="s">
        <v>493</v>
      </c>
      <c r="J1072" t="s">
        <v>98</v>
      </c>
      <c r="K1072" s="1">
        <v>44105</v>
      </c>
      <c r="L1072" s="1">
        <v>45199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7885</v>
      </c>
      <c r="U1072" t="str">
        <f>""</f>
        <v/>
      </c>
      <c r="V1072" t="s">
        <v>1987</v>
      </c>
      <c r="W1072" t="str">
        <f>""</f>
        <v/>
      </c>
      <c r="X1072" t="s">
        <v>277</v>
      </c>
      <c r="Y1072" t="s">
        <v>190</v>
      </c>
      <c r="Z1072" s="3">
        <v>10038</v>
      </c>
      <c r="AA1072" t="s">
        <v>101</v>
      </c>
      <c r="AC1072" s="4" t="str">
        <f>"+12124589146"</f>
        <v>+12124589146</v>
      </c>
      <c r="AE1072" t="str">
        <f>"5241"</f>
        <v>5241</v>
      </c>
      <c r="AF1072" t="s">
        <v>1988</v>
      </c>
      <c r="AG1072" t="s">
        <v>1182</v>
      </c>
      <c r="AI1072" t="s">
        <v>1203</v>
      </c>
      <c r="AJ1072" t="s">
        <v>1987</v>
      </c>
      <c r="AK1072" t="str">
        <f>""</f>
        <v/>
      </c>
      <c r="AL1072" t="s">
        <v>277</v>
      </c>
      <c r="AM1072" t="s">
        <v>190</v>
      </c>
      <c r="AN1072" s="3">
        <v>10038</v>
      </c>
      <c r="AO1072" t="s">
        <v>101</v>
      </c>
      <c r="AQ1072" t="str">
        <f>"+12124589146"</f>
        <v>+12124589146</v>
      </c>
      <c r="AS1072" t="s">
        <v>1989</v>
      </c>
      <c r="AT1072" t="s">
        <v>107</v>
      </c>
      <c r="AU1072" t="str">
        <f>"Thistlethwaite III"</f>
        <v>Thistlethwaite III</v>
      </c>
      <c r="AV1072" t="str">
        <f>"Hugh"</f>
        <v>Hugh</v>
      </c>
      <c r="AW1072" t="str">
        <f>"W. "</f>
        <v xml:space="preserve">W. </v>
      </c>
      <c r="AX1072" t="str">
        <f>"1400 Broadway "</f>
        <v xml:space="preserve">1400 Broadway </v>
      </c>
      <c r="AY1072" t="str">
        <f>""</f>
        <v/>
      </c>
      <c r="AZ1072" t="str">
        <f>"New York"</f>
        <v>New York</v>
      </c>
      <c r="BA1072" t="str">
        <f>"NY"</f>
        <v>NY</v>
      </c>
      <c r="BB1072" s="3">
        <v>10018</v>
      </c>
      <c r="BC1072" t="str">
        <f t="shared" si="83"/>
        <v>UNITED STATES OF AMERICA</v>
      </c>
      <c r="BD1072" t="str">
        <f>""</f>
        <v/>
      </c>
      <c r="BE1072" t="str">
        <f>"+12126888555"</f>
        <v>+12126888555</v>
      </c>
      <c r="BF1072" t="str">
        <f>""</f>
        <v/>
      </c>
      <c r="BG1072" t="str">
        <f>"HThistlethwaite@Fragomen.com"</f>
        <v>HThistlethwaite@Fragomen.com</v>
      </c>
      <c r="BH1072" t="str">
        <f>"Fragomen, Del Rey, Bernsen &amp; Loewy, LLP"</f>
        <v>Fragomen, Del Rey, Bernsen &amp; Loewy, LLP</v>
      </c>
      <c r="BI1072" t="str">
        <f>"NY"</f>
        <v>NY</v>
      </c>
      <c r="BJ1072" t="str">
        <f>"New York Court of Appeals"</f>
        <v>New York Court of Appeals</v>
      </c>
      <c r="BK1072">
        <v>1</v>
      </c>
      <c r="BL1072" t="s">
        <v>102</v>
      </c>
      <c r="BM1072" t="str">
        <f>""</f>
        <v/>
      </c>
      <c r="BN1072" t="s">
        <v>11196</v>
      </c>
      <c r="BP1072" t="s">
        <v>1791</v>
      </c>
      <c r="BQ1072" t="s">
        <v>1792</v>
      </c>
      <c r="BR1072" t="s">
        <v>190</v>
      </c>
      <c r="BS1072" s="5">
        <v>11214</v>
      </c>
      <c r="BT1072" s="2">
        <v>98000</v>
      </c>
      <c r="BV1072" t="s">
        <v>105</v>
      </c>
      <c r="BW1072" s="2">
        <v>81275</v>
      </c>
      <c r="BX1072" t="s">
        <v>105</v>
      </c>
      <c r="CA1072" t="str">
        <f>""</f>
        <v/>
      </c>
      <c r="CB1072" t="s">
        <v>244</v>
      </c>
      <c r="CC1072">
        <v>2020</v>
      </c>
      <c r="CD1072" t="s">
        <v>475</v>
      </c>
      <c r="CE1072" t="s">
        <v>2477</v>
      </c>
      <c r="CF1072">
        <v>1</v>
      </c>
      <c r="CG1072" t="s">
        <v>98</v>
      </c>
      <c r="CH1072" t="s">
        <v>206</v>
      </c>
      <c r="CI1072" t="s">
        <v>206</v>
      </c>
      <c r="CL1072" t="s">
        <v>108</v>
      </c>
      <c r="CM1072" t="s">
        <v>109</v>
      </c>
      <c r="CN1072" t="str">
        <f>"Mami"</f>
        <v>Mami</v>
      </c>
      <c r="CO1072" t="str">
        <f>"Assala"</f>
        <v>Assala</v>
      </c>
      <c r="CP1072" t="str">
        <f>""</f>
        <v/>
      </c>
      <c r="CQ1072" t="str">
        <f>"Fragomen, Del Rey, Bernsen &amp; Loewy, LLP"</f>
        <v>Fragomen, Del Rey, Bernsen &amp; Loewy, LLP</v>
      </c>
      <c r="CR1072" t="s">
        <v>3432</v>
      </c>
    </row>
    <row r="1073" spans="1:96" x14ac:dyDescent="0.2">
      <c r="A1073" t="s">
        <v>11200</v>
      </c>
      <c r="B1073" t="s">
        <v>96</v>
      </c>
      <c r="C1073" s="1">
        <v>44098</v>
      </c>
      <c r="D1073" s="1">
        <v>44105</v>
      </c>
      <c r="F1073" t="s">
        <v>97</v>
      </c>
      <c r="G1073" t="str">
        <f>"Software Engineer"</f>
        <v>Software Engineer</v>
      </c>
      <c r="H1073" t="s">
        <v>12169</v>
      </c>
      <c r="I1073" t="s">
        <v>124</v>
      </c>
      <c r="J1073" t="s">
        <v>98</v>
      </c>
      <c r="K1073" s="1">
        <v>44166</v>
      </c>
      <c r="L1073" s="1">
        <v>45260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 t="s">
        <v>1618</v>
      </c>
      <c r="U1073" t="str">
        <f>""</f>
        <v/>
      </c>
      <c r="V1073" t="s">
        <v>1619</v>
      </c>
      <c r="W1073" t="str">
        <f>""</f>
        <v/>
      </c>
      <c r="X1073" t="s">
        <v>1620</v>
      </c>
      <c r="Y1073" t="s">
        <v>190</v>
      </c>
      <c r="Z1073" s="3">
        <v>11716</v>
      </c>
      <c r="AA1073" t="s">
        <v>101</v>
      </c>
      <c r="AC1073" s="4" t="str">
        <f>"+16312544249"</f>
        <v>+16312544249</v>
      </c>
      <c r="AE1073" t="str">
        <f>"3254"</f>
        <v>3254</v>
      </c>
      <c r="AF1073" t="s">
        <v>1621</v>
      </c>
      <c r="AG1073" t="s">
        <v>954</v>
      </c>
      <c r="AI1073" t="s">
        <v>1622</v>
      </c>
      <c r="AJ1073" t="s">
        <v>1619</v>
      </c>
      <c r="AK1073" t="str">
        <f>""</f>
        <v/>
      </c>
      <c r="AL1073" t="s">
        <v>1620</v>
      </c>
      <c r="AM1073" t="s">
        <v>190</v>
      </c>
      <c r="AN1073" s="3">
        <v>11716</v>
      </c>
      <c r="AO1073" t="s">
        <v>101</v>
      </c>
      <c r="AQ1073" t="str">
        <f>"+16312544249"</f>
        <v>+16312544249</v>
      </c>
      <c r="AS1073" t="s">
        <v>1623</v>
      </c>
      <c r="AT1073" t="s">
        <v>107</v>
      </c>
      <c r="AU1073" t="str">
        <f>"Apfel"</f>
        <v>Apfel</v>
      </c>
      <c r="AV1073" t="str">
        <f>"Christina"</f>
        <v>Christina</v>
      </c>
      <c r="AW1073" t="str">
        <f>"A."</f>
        <v>A.</v>
      </c>
      <c r="AX1073" t="str">
        <f>"1272 Main Street"</f>
        <v>1272 Main Street</v>
      </c>
      <c r="AY1073" t="str">
        <f>"Suite 3"</f>
        <v>Suite 3</v>
      </c>
      <c r="AZ1073" t="str">
        <f>"Hanson"</f>
        <v>Hanson</v>
      </c>
      <c r="BA1073" t="str">
        <f>"MA"</f>
        <v>MA</v>
      </c>
      <c r="BB1073" s="3">
        <v>2341</v>
      </c>
      <c r="BC1073" t="str">
        <f t="shared" si="83"/>
        <v>UNITED STATES OF AMERICA</v>
      </c>
      <c r="BD1073" t="str">
        <f>""</f>
        <v/>
      </c>
      <c r="BE1073" t="str">
        <f>"+17813335366"</f>
        <v>+17813335366</v>
      </c>
      <c r="BF1073" t="str">
        <f>""</f>
        <v/>
      </c>
      <c r="BG1073" t="str">
        <f>"christina@apfellaw.com"</f>
        <v>christina@apfellaw.com</v>
      </c>
      <c r="BH1073" t="str">
        <f>"Law Office of Christina A. Apfel"</f>
        <v>Law Office of Christina A. Apfel</v>
      </c>
      <c r="BI1073" t="str">
        <f>"CT"</f>
        <v>CT</v>
      </c>
      <c r="BJ1073" t="str">
        <f>"Superior Court"</f>
        <v>Superior Court</v>
      </c>
      <c r="BK1073">
        <v>1</v>
      </c>
      <c r="BL1073" t="s">
        <v>102</v>
      </c>
      <c r="BM1073" t="str">
        <f>""</f>
        <v/>
      </c>
      <c r="BN1073" t="s">
        <v>11201</v>
      </c>
      <c r="BP1073" t="s">
        <v>585</v>
      </c>
      <c r="BQ1073" t="s">
        <v>230</v>
      </c>
      <c r="BR1073" t="s">
        <v>141</v>
      </c>
      <c r="BS1073" s="5">
        <v>95134</v>
      </c>
      <c r="BT1073" s="2">
        <v>131148</v>
      </c>
      <c r="BV1073" t="s">
        <v>105</v>
      </c>
      <c r="BW1073" s="2">
        <v>120578</v>
      </c>
      <c r="BX1073" t="s">
        <v>105</v>
      </c>
      <c r="BZ1073" t="s">
        <v>167</v>
      </c>
      <c r="CA1073" t="str">
        <f t="shared" ref="CA1073:CA1081" si="84">"7/1/2020 - 6/30/2021"</f>
        <v>7/1/2020 - 6/30/2021</v>
      </c>
      <c r="CF1073">
        <v>1</v>
      </c>
      <c r="CG1073" t="s">
        <v>98</v>
      </c>
      <c r="CH1073" t="s">
        <v>206</v>
      </c>
      <c r="CI1073" t="s">
        <v>206</v>
      </c>
      <c r="CL1073" t="s">
        <v>108</v>
      </c>
      <c r="CM1073" t="s">
        <v>109</v>
      </c>
      <c r="CN1073" t="str">
        <f>"Apfel"</f>
        <v>Apfel</v>
      </c>
      <c r="CO1073" t="str">
        <f>"Christina"</f>
        <v>Christina</v>
      </c>
      <c r="CP1073" t="str">
        <f>"A."</f>
        <v>A.</v>
      </c>
      <c r="CQ1073" t="str">
        <f>"Law Office of Christina A. Apfel"</f>
        <v>Law Office of Christina A. Apfel</v>
      </c>
      <c r="CR1073" t="s">
        <v>1625</v>
      </c>
    </row>
    <row r="1074" spans="1:96" x14ac:dyDescent="0.2">
      <c r="A1074" t="s">
        <v>11202</v>
      </c>
      <c r="B1074" t="s">
        <v>96</v>
      </c>
      <c r="C1074" s="1">
        <v>44098</v>
      </c>
      <c r="D1074" s="1">
        <v>44105</v>
      </c>
      <c r="F1074" t="s">
        <v>97</v>
      </c>
      <c r="G1074" t="str">
        <f>"Software Quality Assurance Engineer"</f>
        <v>Software Quality Assurance Engineer</v>
      </c>
      <c r="H1074" t="s">
        <v>12168</v>
      </c>
      <c r="I1074" t="s">
        <v>319</v>
      </c>
      <c r="J1074" t="s">
        <v>98</v>
      </c>
      <c r="K1074" s="1">
        <v>44105</v>
      </c>
      <c r="L1074" s="1">
        <v>44834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11203</v>
      </c>
      <c r="U1074" t="str">
        <f>"dFence"</f>
        <v>dFence</v>
      </c>
      <c r="V1074" t="s">
        <v>7638</v>
      </c>
      <c r="W1074" t="str">
        <f>""</f>
        <v/>
      </c>
      <c r="X1074" t="s">
        <v>299</v>
      </c>
      <c r="Y1074" t="s">
        <v>258</v>
      </c>
      <c r="Z1074" s="3">
        <v>85044</v>
      </c>
      <c r="AA1074" t="s">
        <v>101</v>
      </c>
      <c r="AC1074" s="4" t="str">
        <f>"+14802738818"</f>
        <v>+14802738818</v>
      </c>
      <c r="AE1074" t="str">
        <f>"334290"</f>
        <v>334290</v>
      </c>
      <c r="AF1074" t="s">
        <v>4165</v>
      </c>
      <c r="AG1074" t="s">
        <v>11204</v>
      </c>
      <c r="AI1074" t="s">
        <v>646</v>
      </c>
      <c r="AJ1074" t="s">
        <v>7639</v>
      </c>
      <c r="AK1074" t="str">
        <f>"Suite 23-323"</f>
        <v>Suite 23-323</v>
      </c>
      <c r="AL1074" t="s">
        <v>299</v>
      </c>
      <c r="AM1074" t="s">
        <v>258</v>
      </c>
      <c r="AN1074" s="3">
        <v>85044</v>
      </c>
      <c r="AO1074" t="s">
        <v>101</v>
      </c>
      <c r="AQ1074" t="str">
        <f>"+14802738818"</f>
        <v>+14802738818</v>
      </c>
      <c r="AS1074" t="s">
        <v>7640</v>
      </c>
      <c r="AT1074" t="s">
        <v>107</v>
      </c>
      <c r="AU1074" t="str">
        <f>"Hoballah"</f>
        <v>Hoballah</v>
      </c>
      <c r="AV1074" t="str">
        <f>"Wafa"</f>
        <v>Wafa</v>
      </c>
      <c r="AW1074" t="str">
        <f>"Jawad"</f>
        <v>Jawad</v>
      </c>
      <c r="AX1074" t="str">
        <f>"1901 Avenue of the Stars"</f>
        <v>1901 Avenue of the Stars</v>
      </c>
      <c r="AY1074" t="str">
        <f>"Suite 200"</f>
        <v>Suite 200</v>
      </c>
      <c r="AZ1074" t="str">
        <f>"Los Angeles"</f>
        <v>Los Angeles</v>
      </c>
      <c r="BA1074" t="str">
        <f>"CA"</f>
        <v>CA</v>
      </c>
      <c r="BB1074" s="3">
        <v>90067</v>
      </c>
      <c r="BC1074" t="str">
        <f t="shared" si="83"/>
        <v>UNITED STATES OF AMERICA</v>
      </c>
      <c r="BD1074" t="str">
        <f>""</f>
        <v/>
      </c>
      <c r="BE1074" t="str">
        <f>"+13102776953"</f>
        <v>+13102776953</v>
      </c>
      <c r="BF1074" t="str">
        <f>""</f>
        <v/>
      </c>
      <c r="BG1074" t="str">
        <f>"wafa@wjhlawgroup.com"</f>
        <v>wafa@wjhlawgroup.com</v>
      </c>
      <c r="BH1074" t="str">
        <f>"WJH Law Group, APC"</f>
        <v>WJH Law Group, APC</v>
      </c>
      <c r="BI1074" t="str">
        <f>"NY"</f>
        <v>NY</v>
      </c>
      <c r="BJ1074" t="str">
        <f>"APPELLATE"</f>
        <v>APPELLATE</v>
      </c>
      <c r="BK1074">
        <v>1</v>
      </c>
      <c r="BL1074" t="s">
        <v>102</v>
      </c>
      <c r="BM1074" t="str">
        <f>""</f>
        <v/>
      </c>
      <c r="BN1074" t="s">
        <v>7641</v>
      </c>
      <c r="BO1074" t="s">
        <v>6634</v>
      </c>
      <c r="BP1074" t="s">
        <v>256</v>
      </c>
      <c r="BQ1074" t="s">
        <v>257</v>
      </c>
      <c r="BR1074" t="s">
        <v>258</v>
      </c>
      <c r="BS1074" s="5">
        <v>85226</v>
      </c>
      <c r="BT1074" s="2">
        <v>66768</v>
      </c>
      <c r="BV1074" t="s">
        <v>105</v>
      </c>
      <c r="BW1074" s="2">
        <v>66768</v>
      </c>
      <c r="BX1074" t="s">
        <v>105</v>
      </c>
      <c r="BZ1074" t="s">
        <v>167</v>
      </c>
      <c r="CA1074" t="str">
        <f t="shared" si="84"/>
        <v>7/1/2020 - 6/30/2021</v>
      </c>
      <c r="CF1074">
        <v>1</v>
      </c>
      <c r="CG1074" t="s">
        <v>98</v>
      </c>
      <c r="CH1074" t="s">
        <v>206</v>
      </c>
      <c r="CI1074" t="s">
        <v>206</v>
      </c>
      <c r="CL1074" t="s">
        <v>108</v>
      </c>
      <c r="CM1074" t="s">
        <v>109</v>
      </c>
      <c r="CN1074" t="str">
        <f>""</f>
        <v/>
      </c>
      <c r="CO1074" t="str">
        <f>""</f>
        <v/>
      </c>
      <c r="CP1074" t="str">
        <f>""</f>
        <v/>
      </c>
      <c r="CQ1074" t="str">
        <f>""</f>
        <v/>
      </c>
    </row>
    <row r="1075" spans="1:96" x14ac:dyDescent="0.2">
      <c r="A1075" t="s">
        <v>11205</v>
      </c>
      <c r="B1075" t="s">
        <v>96</v>
      </c>
      <c r="C1075" s="1">
        <v>44098</v>
      </c>
      <c r="D1075" s="1">
        <v>44105</v>
      </c>
      <c r="F1075" t="s">
        <v>97</v>
      </c>
      <c r="G1075" t="str">
        <f>"Senior Salesforce Architect"</f>
        <v>Senior Salesforce Architect</v>
      </c>
      <c r="H1075" t="s">
        <v>12169</v>
      </c>
      <c r="I1075" t="s">
        <v>124</v>
      </c>
      <c r="J1075" t="s">
        <v>98</v>
      </c>
      <c r="K1075" s="1">
        <v>44105</v>
      </c>
      <c r="L1075" s="1">
        <v>45199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 t="s">
        <v>2095</v>
      </c>
      <c r="U1075" t="str">
        <f>""</f>
        <v/>
      </c>
      <c r="V1075" t="s">
        <v>2096</v>
      </c>
      <c r="W1075" t="str">
        <f>"Suite 600"</f>
        <v>Suite 600</v>
      </c>
      <c r="X1075" t="s">
        <v>604</v>
      </c>
      <c r="Y1075" t="s">
        <v>122</v>
      </c>
      <c r="Z1075" s="3">
        <v>28202</v>
      </c>
      <c r="AA1075" t="s">
        <v>101</v>
      </c>
      <c r="AC1075" s="4" t="str">
        <f>"+17049983700"</f>
        <v>+17049983700</v>
      </c>
      <c r="AE1075" t="str">
        <f>"541330"</f>
        <v>541330</v>
      </c>
      <c r="AF1075" t="s">
        <v>4309</v>
      </c>
      <c r="AG1075" t="s">
        <v>2219</v>
      </c>
      <c r="AI1075" t="s">
        <v>4310</v>
      </c>
      <c r="AJ1075" t="s">
        <v>2100</v>
      </c>
      <c r="AK1075" t="str">
        <f>""</f>
        <v/>
      </c>
      <c r="AL1075" t="s">
        <v>2101</v>
      </c>
      <c r="AM1075" t="s">
        <v>100</v>
      </c>
      <c r="AN1075" s="3">
        <v>7950</v>
      </c>
      <c r="AO1075" t="s">
        <v>101</v>
      </c>
      <c r="AQ1075" t="str">
        <f>"+17049983700"</f>
        <v>+17049983700</v>
      </c>
      <c r="AS1075" t="s">
        <v>4311</v>
      </c>
      <c r="AT1075" t="s">
        <v>107</v>
      </c>
      <c r="AU1075" t="str">
        <f>"Nelson"</f>
        <v>Nelson</v>
      </c>
      <c r="AV1075" t="str">
        <f>"Timothy"</f>
        <v>Timothy</v>
      </c>
      <c r="AW1075" t="str">
        <f>""</f>
        <v/>
      </c>
      <c r="AX1075" t="str">
        <f>"90 Matawan Road"</f>
        <v>90 Matawan Road</v>
      </c>
      <c r="AY1075" t="str">
        <f>"4th Floor"</f>
        <v>4th Floor</v>
      </c>
      <c r="AZ1075" t="str">
        <f>"Matawan"</f>
        <v>Matawan</v>
      </c>
      <c r="BA1075" t="str">
        <f>"NJ"</f>
        <v>NJ</v>
      </c>
      <c r="BB1075" s="3">
        <v>7747</v>
      </c>
      <c r="BC1075" t="str">
        <f t="shared" si="83"/>
        <v>UNITED STATES OF AMERICA</v>
      </c>
      <c r="BD1075" t="str">
        <f>""</f>
        <v/>
      </c>
      <c r="BE1075" t="str">
        <f>"+17328625000"</f>
        <v>+17328625000</v>
      </c>
      <c r="BF1075" t="str">
        <f>""</f>
        <v/>
      </c>
      <c r="BG1075" t="str">
        <f>"jruela@fragomen.com"</f>
        <v>jruela@fragomen.com</v>
      </c>
      <c r="BH1075" t="str">
        <f>"Fragomen, Del Rey, Bernsen &amp; Loewy LLP"</f>
        <v>Fragomen, Del Rey, Bernsen &amp; Loewy LLP</v>
      </c>
      <c r="BI1075" t="str">
        <f>"NJ"</f>
        <v>NJ</v>
      </c>
      <c r="BJ1075" t="str">
        <f>"Supreme"</f>
        <v>Supreme</v>
      </c>
      <c r="BK1075">
        <v>1</v>
      </c>
      <c r="BL1075" t="s">
        <v>102</v>
      </c>
      <c r="BM1075" t="str">
        <f>""</f>
        <v/>
      </c>
      <c r="BN1075" t="s">
        <v>11206</v>
      </c>
      <c r="BP1075" t="s">
        <v>604</v>
      </c>
      <c r="BQ1075" t="s">
        <v>121</v>
      </c>
      <c r="BR1075" t="s">
        <v>122</v>
      </c>
      <c r="BS1075" s="5">
        <v>28202</v>
      </c>
      <c r="BT1075" s="2">
        <v>125000</v>
      </c>
      <c r="BV1075" t="s">
        <v>105</v>
      </c>
      <c r="BW1075" s="2">
        <v>122616</v>
      </c>
      <c r="BX1075" t="s">
        <v>105</v>
      </c>
      <c r="BZ1075" t="s">
        <v>159</v>
      </c>
      <c r="CA1075" t="str">
        <f t="shared" si="84"/>
        <v>7/1/2020 - 6/30/2021</v>
      </c>
      <c r="CF1075">
        <v>2</v>
      </c>
      <c r="CG1075" t="s">
        <v>98</v>
      </c>
      <c r="CH1075" t="s">
        <v>206</v>
      </c>
      <c r="CI1075" t="s">
        <v>206</v>
      </c>
      <c r="CL1075" t="s">
        <v>108</v>
      </c>
      <c r="CM1075" t="s">
        <v>109</v>
      </c>
      <c r="CN1075" t="str">
        <f>"Ruela"</f>
        <v>Ruela</v>
      </c>
      <c r="CO1075" t="str">
        <f>"Jenna"</f>
        <v>Jenna</v>
      </c>
      <c r="CP1075" t="str">
        <f>"M."</f>
        <v>M.</v>
      </c>
      <c r="CQ1075" t="str">
        <f>"Fragomen, Del Rey, Bernsen &amp; Loewy LLP"</f>
        <v>Fragomen, Del Rey, Bernsen &amp; Loewy LLP</v>
      </c>
      <c r="CR1075" t="s">
        <v>2103</v>
      </c>
    </row>
    <row r="1076" spans="1:96" x14ac:dyDescent="0.2">
      <c r="A1076" t="s">
        <v>11207</v>
      </c>
      <c r="B1076" t="s">
        <v>96</v>
      </c>
      <c r="C1076" s="1">
        <v>44098</v>
      </c>
      <c r="D1076" s="1">
        <v>44105</v>
      </c>
      <c r="F1076" t="s">
        <v>97</v>
      </c>
      <c r="G1076" t="str">
        <f>"PRODUCT MANAGER III - TECHNICAL"</f>
        <v>PRODUCT MANAGER III - TECHNICAL</v>
      </c>
      <c r="H1076" t="s">
        <v>12189</v>
      </c>
      <c r="I1076" t="s">
        <v>730</v>
      </c>
      <c r="J1076" t="s">
        <v>98</v>
      </c>
      <c r="K1076" s="1">
        <v>44109</v>
      </c>
      <c r="L1076" s="1">
        <v>45203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440</v>
      </c>
      <c r="U1076" t="str">
        <f>""</f>
        <v/>
      </c>
      <c r="V1076" t="s">
        <v>809</v>
      </c>
      <c r="W1076" t="str">
        <f>"SUITE 500"</f>
        <v>SUITE 500</v>
      </c>
      <c r="X1076" t="s">
        <v>433</v>
      </c>
      <c r="Y1076" t="s">
        <v>176</v>
      </c>
      <c r="Z1076" s="3">
        <v>98121</v>
      </c>
      <c r="AA1076" t="s">
        <v>101</v>
      </c>
      <c r="AC1076" s="4" t="str">
        <f>"+12062661000"</f>
        <v>+12062661000</v>
      </c>
      <c r="AE1076" t="str">
        <f>"454110"</f>
        <v>454110</v>
      </c>
      <c r="AF1076" t="s">
        <v>442</v>
      </c>
      <c r="AG1076" t="s">
        <v>443</v>
      </c>
      <c r="AH1076" t="s">
        <v>108</v>
      </c>
      <c r="AI1076" t="s">
        <v>434</v>
      </c>
      <c r="AJ1076" t="s">
        <v>809</v>
      </c>
      <c r="AK1076" t="str">
        <f>"SUITE 500"</f>
        <v>SUITE 500</v>
      </c>
      <c r="AL1076" t="s">
        <v>433</v>
      </c>
      <c r="AM1076" t="s">
        <v>176</v>
      </c>
      <c r="AN1076" s="3">
        <v>98121</v>
      </c>
      <c r="AO1076" t="s">
        <v>101</v>
      </c>
      <c r="AQ1076" t="str">
        <f>"+12062661000"</f>
        <v>+12062661000</v>
      </c>
      <c r="AS1076" t="s">
        <v>263</v>
      </c>
      <c r="AT1076" t="s">
        <v>107</v>
      </c>
      <c r="AU1076" t="str">
        <f>"MARANCI"</f>
        <v>MARANCI</v>
      </c>
      <c r="AV1076" t="str">
        <f>"DANIEL"</f>
        <v>DANIEL</v>
      </c>
      <c r="AW1076" t="str">
        <f>"N/A"</f>
        <v>N/A</v>
      </c>
      <c r="AX1076" t="str">
        <f>"100 HIGH STREET"</f>
        <v>100 HIGH STREET</v>
      </c>
      <c r="AY1076" t="str">
        <f>"3RD FLOOR C#5315061"</f>
        <v>3RD FLOOR C#5315061</v>
      </c>
      <c r="AZ1076" t="str">
        <f>"BOSTON"</f>
        <v>BOSTON</v>
      </c>
      <c r="BA1076" t="str">
        <f>"MA"</f>
        <v>MA</v>
      </c>
      <c r="BB1076" s="3">
        <v>2110</v>
      </c>
      <c r="BC1076" t="str">
        <f t="shared" si="83"/>
        <v>UNITED STATES OF AMERICA</v>
      </c>
      <c r="BD1076" t="str">
        <f>""</f>
        <v/>
      </c>
      <c r="BE1076" t="str">
        <f>"+16175740400"</f>
        <v>+16175740400</v>
      </c>
      <c r="BF1076" t="str">
        <f>""</f>
        <v/>
      </c>
      <c r="BG1076" t="str">
        <f>"AMAZONINDIA@FRAGOMEN.COM"</f>
        <v>AMAZONINDIA@FRAGOMEN.COM</v>
      </c>
      <c r="BH1076" t="str">
        <f>"FRAGOMEN, DEL REY, BERNSEN &amp; LOEWY, LLP"</f>
        <v>FRAGOMEN, DEL REY, BERNSEN &amp; LOEWY, LLP</v>
      </c>
      <c r="BI1076" t="str">
        <f>"MA"</f>
        <v>MA</v>
      </c>
      <c r="BJ1076" t="str">
        <f>"SUPREME JUDICIAL COURT"</f>
        <v>SUPREME JUDICIAL COURT</v>
      </c>
      <c r="BK1076">
        <v>1</v>
      </c>
      <c r="BL1076" t="s">
        <v>102</v>
      </c>
      <c r="BM1076" t="str">
        <f>""</f>
        <v/>
      </c>
      <c r="BN1076" t="s">
        <v>7122</v>
      </c>
      <c r="BP1076" t="s">
        <v>1288</v>
      </c>
      <c r="BQ1076" t="s">
        <v>230</v>
      </c>
      <c r="BR1076" t="s">
        <v>141</v>
      </c>
      <c r="BS1076" s="5">
        <v>94301</v>
      </c>
      <c r="BT1076" s="2">
        <v>168000</v>
      </c>
      <c r="BV1076" t="s">
        <v>105</v>
      </c>
      <c r="BW1076" s="2">
        <v>161262</v>
      </c>
      <c r="BX1076" t="s">
        <v>105</v>
      </c>
      <c r="BZ1076" t="s">
        <v>167</v>
      </c>
      <c r="CA1076" t="str">
        <f t="shared" si="84"/>
        <v>7/1/2020 - 6/30/2021</v>
      </c>
      <c r="CF1076">
        <v>1</v>
      </c>
      <c r="CG1076" t="s">
        <v>98</v>
      </c>
      <c r="CH1076" t="s">
        <v>206</v>
      </c>
      <c r="CI1076" t="s">
        <v>206</v>
      </c>
      <c r="CL1076" t="s">
        <v>108</v>
      </c>
      <c r="CM1076" t="s">
        <v>109</v>
      </c>
      <c r="CN1076" t="str">
        <f>"SUNNY"</f>
        <v>SUNNY</v>
      </c>
      <c r="CO1076" t="str">
        <f>"JASMIN"</f>
        <v>JASMIN</v>
      </c>
      <c r="CP1076" t="str">
        <f>"N/A"</f>
        <v>N/A</v>
      </c>
      <c r="CQ1076" t="str">
        <f>"FRAGOMEN, DEL REY, BERNSEN &amp; LOEWY, LLP"</f>
        <v>FRAGOMEN, DEL REY, BERNSEN &amp; LOEWY, LLP</v>
      </c>
      <c r="CR1076" t="s">
        <v>650</v>
      </c>
    </row>
    <row r="1077" spans="1:96" x14ac:dyDescent="0.2">
      <c r="A1077" t="s">
        <v>11217</v>
      </c>
      <c r="B1077" t="s">
        <v>96</v>
      </c>
      <c r="C1077" s="1">
        <v>44098</v>
      </c>
      <c r="D1077" s="1">
        <v>44105</v>
      </c>
      <c r="F1077" t="s">
        <v>97</v>
      </c>
      <c r="G1077" t="str">
        <f>"MTS 2, Business Systems Analyst"</f>
        <v>MTS 2, Business Systems Analyst</v>
      </c>
      <c r="H1077" t="s">
        <v>12178</v>
      </c>
      <c r="I1077" t="s">
        <v>582</v>
      </c>
      <c r="J1077" t="s">
        <v>98</v>
      </c>
      <c r="K1077" s="1">
        <v>44261</v>
      </c>
      <c r="L1077" s="1">
        <v>45356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 t="s">
        <v>583</v>
      </c>
      <c r="U1077" t="str">
        <f>""</f>
        <v/>
      </c>
      <c r="V1077" t="s">
        <v>584</v>
      </c>
      <c r="W1077" t="str">
        <f>"N/A"</f>
        <v>N/A</v>
      </c>
      <c r="X1077" t="s">
        <v>585</v>
      </c>
      <c r="Y1077" t="s">
        <v>141</v>
      </c>
      <c r="Z1077" s="3">
        <v>95131</v>
      </c>
      <c r="AA1077" t="s">
        <v>101</v>
      </c>
      <c r="AB1077" t="s">
        <v>108</v>
      </c>
      <c r="AC1077" s="4" t="str">
        <f>"+14089672992"</f>
        <v>+14089672992</v>
      </c>
      <c r="AD1077">
        <v>0</v>
      </c>
      <c r="AE1077" t="str">
        <f>"522320"</f>
        <v>522320</v>
      </c>
      <c r="AF1077" t="s">
        <v>586</v>
      </c>
      <c r="AG1077" t="s">
        <v>587</v>
      </c>
      <c r="AH1077" t="s">
        <v>108</v>
      </c>
      <c r="AI1077" t="s">
        <v>460</v>
      </c>
      <c r="AJ1077" t="s">
        <v>584</v>
      </c>
      <c r="AK1077" t="str">
        <f>"N/A"</f>
        <v>N/A</v>
      </c>
      <c r="AL1077" t="s">
        <v>585</v>
      </c>
      <c r="AM1077" t="s">
        <v>141</v>
      </c>
      <c r="AN1077" s="3">
        <v>95131</v>
      </c>
      <c r="AO1077" t="s">
        <v>101</v>
      </c>
      <c r="AQ1077" t="str">
        <f>"+14089672992"</f>
        <v>+14089672992</v>
      </c>
      <c r="AR1077">
        <v>0</v>
      </c>
      <c r="AS1077" t="s">
        <v>588</v>
      </c>
      <c r="AT1077" t="s">
        <v>107</v>
      </c>
      <c r="AU1077" t="str">
        <f>"Jung"</f>
        <v>Jung</v>
      </c>
      <c r="AV1077" t="str">
        <f>"David"</f>
        <v>David</v>
      </c>
      <c r="AW1077" t="str">
        <f>""</f>
        <v/>
      </c>
      <c r="AX1077" t="str">
        <f>"2101 Wilson Blvd."</f>
        <v>2101 Wilson Blvd.</v>
      </c>
      <c r="AY1077" t="str">
        <f>"Suite 1100"</f>
        <v>Suite 1100</v>
      </c>
      <c r="AZ1077" t="str">
        <f>"Arlington"</f>
        <v>Arlington</v>
      </c>
      <c r="BA1077" t="str">
        <f>"VA"</f>
        <v>VA</v>
      </c>
      <c r="BB1077" s="3">
        <v>22201</v>
      </c>
      <c r="BC1077" t="str">
        <f t="shared" si="83"/>
        <v>UNITED STATES OF AMERICA</v>
      </c>
      <c r="BD1077" t="str">
        <f>""</f>
        <v/>
      </c>
      <c r="BE1077" t="str">
        <f>"+17036784000"</f>
        <v>+17036784000</v>
      </c>
      <c r="BF1077" t="str">
        <f>""</f>
        <v/>
      </c>
      <c r="BG1077" t="str">
        <f>"david@eiglaw.com"</f>
        <v>david@eiglaw.com</v>
      </c>
      <c r="BH1077" t="str">
        <f>"Erickson Immigration Group"</f>
        <v>Erickson Immigration Group</v>
      </c>
      <c r="BI1077" t="str">
        <f>"TN"</f>
        <v>TN</v>
      </c>
      <c r="BJ1077" t="str">
        <f>"Supreme Court"</f>
        <v>Supreme Court</v>
      </c>
      <c r="BK1077">
        <v>1</v>
      </c>
      <c r="BL1077" t="s">
        <v>102</v>
      </c>
      <c r="BM1077" t="str">
        <f>""</f>
        <v/>
      </c>
      <c r="BN1077" t="s">
        <v>584</v>
      </c>
      <c r="BP1077" t="s">
        <v>651</v>
      </c>
      <c r="BQ1077" t="s">
        <v>230</v>
      </c>
      <c r="BR1077" t="s">
        <v>141</v>
      </c>
      <c r="BS1077" s="5">
        <v>95131</v>
      </c>
      <c r="BT1077" s="2">
        <v>176678.91</v>
      </c>
      <c r="BV1077" t="s">
        <v>105</v>
      </c>
      <c r="BW1077" s="2">
        <v>141045</v>
      </c>
      <c r="BX1077" t="s">
        <v>105</v>
      </c>
      <c r="BZ1077" t="s">
        <v>191</v>
      </c>
      <c r="CA1077" t="str">
        <f t="shared" si="84"/>
        <v>7/1/2020 - 6/30/2021</v>
      </c>
      <c r="CF1077">
        <v>2</v>
      </c>
      <c r="CG1077" t="s">
        <v>98</v>
      </c>
      <c r="CH1077" t="s">
        <v>206</v>
      </c>
      <c r="CI1077" t="s">
        <v>206</v>
      </c>
      <c r="CL1077" t="s">
        <v>108</v>
      </c>
      <c r="CM1077" t="s">
        <v>109</v>
      </c>
      <c r="CN1077" t="str">
        <f>"KOUWENAAR"</f>
        <v>KOUWENAAR</v>
      </c>
      <c r="CO1077" t="str">
        <f>"DAVITA"</f>
        <v>DAVITA</v>
      </c>
      <c r="CP1077" t="str">
        <f>"W"</f>
        <v>W</v>
      </c>
      <c r="CQ1077" t="str">
        <f>"ERICKSON IMMIGRATION GROUP"</f>
        <v>ERICKSON IMMIGRATION GROUP</v>
      </c>
      <c r="CR1077" t="s">
        <v>2858</v>
      </c>
    </row>
    <row r="1078" spans="1:96" x14ac:dyDescent="0.2">
      <c r="A1078" t="s">
        <v>11218</v>
      </c>
      <c r="B1078" t="s">
        <v>96</v>
      </c>
      <c r="C1078" s="1">
        <v>44098</v>
      </c>
      <c r="D1078" s="1">
        <v>44105</v>
      </c>
      <c r="F1078" t="s">
        <v>97</v>
      </c>
      <c r="G1078" t="str">
        <f>"Sr. Software Engineer"</f>
        <v>Sr. Software Engineer</v>
      </c>
      <c r="H1078" t="s">
        <v>12169</v>
      </c>
      <c r="I1078" t="s">
        <v>124</v>
      </c>
      <c r="J1078" t="s">
        <v>98</v>
      </c>
      <c r="K1078" s="1">
        <v>44177</v>
      </c>
      <c r="L1078" s="1">
        <v>45271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 t="s">
        <v>4757</v>
      </c>
      <c r="U1078" t="str">
        <f>""</f>
        <v/>
      </c>
      <c r="V1078" t="s">
        <v>4758</v>
      </c>
      <c r="W1078" t="str">
        <f>""</f>
        <v/>
      </c>
      <c r="X1078" t="s">
        <v>223</v>
      </c>
      <c r="Y1078" t="s">
        <v>141</v>
      </c>
      <c r="Z1078" s="3">
        <v>94568</v>
      </c>
      <c r="AA1078" t="s">
        <v>101</v>
      </c>
      <c r="AC1078" s="4" t="str">
        <f>"+15103525000"</f>
        <v>+15103525000</v>
      </c>
      <c r="AE1078" t="str">
        <f>"56133"</f>
        <v>56133</v>
      </c>
      <c r="AF1078" t="s">
        <v>4759</v>
      </c>
      <c r="AG1078" t="s">
        <v>4760</v>
      </c>
      <c r="AI1078" t="s">
        <v>340</v>
      </c>
      <c r="AJ1078" t="s">
        <v>4758</v>
      </c>
      <c r="AK1078" t="str">
        <f>""</f>
        <v/>
      </c>
      <c r="AL1078" t="s">
        <v>223</v>
      </c>
      <c r="AM1078" t="s">
        <v>141</v>
      </c>
      <c r="AN1078" s="3">
        <v>94568</v>
      </c>
      <c r="AO1078" t="s">
        <v>101</v>
      </c>
      <c r="AQ1078" t="str">
        <f>"+15103525000"</f>
        <v>+15103525000</v>
      </c>
      <c r="AS1078" t="s">
        <v>4761</v>
      </c>
      <c r="AT1078" t="s">
        <v>107</v>
      </c>
      <c r="AU1078" t="str">
        <f>"Wu"</f>
        <v>Wu</v>
      </c>
      <c r="AV1078" t="str">
        <f>"Katie"</f>
        <v>Katie</v>
      </c>
      <c r="AW1078" t="str">
        <f>"W."</f>
        <v>W.</v>
      </c>
      <c r="AX1078" t="str">
        <f>"30300 Agoura Road"</f>
        <v>30300 Agoura Road</v>
      </c>
      <c r="AY1078" t="str">
        <f>"Ste. B100"</f>
        <v>Ste. B100</v>
      </c>
      <c r="AZ1078" t="str">
        <f>"Agoura Hills"</f>
        <v>Agoura Hills</v>
      </c>
      <c r="BA1078" t="str">
        <f>"CA"</f>
        <v>CA</v>
      </c>
      <c r="BB1078" s="3">
        <v>91301</v>
      </c>
      <c r="BC1078" t="str">
        <f t="shared" si="83"/>
        <v>UNITED STATES OF AMERICA</v>
      </c>
      <c r="BD1078" t="str">
        <f>""</f>
        <v/>
      </c>
      <c r="BE1078" t="str">
        <f>"+18189146482"</f>
        <v>+18189146482</v>
      </c>
      <c r="BF1078" t="str">
        <f>""</f>
        <v/>
      </c>
      <c r="BG1078" t="str">
        <f>"Admin@gotcherlaw.com"</f>
        <v>Admin@gotcherlaw.com</v>
      </c>
      <c r="BH1078" t="str">
        <f>"Global Immigration Partners, Inc"</f>
        <v>Global Immigration Partners, Inc</v>
      </c>
      <c r="BI1078" t="str">
        <f>"CA"</f>
        <v>CA</v>
      </c>
      <c r="BJ1078" t="str">
        <f>"Supreme Court"</f>
        <v>Supreme Court</v>
      </c>
      <c r="BK1078">
        <v>1</v>
      </c>
      <c r="BL1078" t="s">
        <v>102</v>
      </c>
      <c r="BM1078" t="str">
        <f>""</f>
        <v/>
      </c>
      <c r="BN1078" t="s">
        <v>4762</v>
      </c>
      <c r="BO1078" t="s">
        <v>4223</v>
      </c>
      <c r="BP1078" t="s">
        <v>765</v>
      </c>
      <c r="BQ1078" t="s">
        <v>721</v>
      </c>
      <c r="BR1078" t="s">
        <v>114</v>
      </c>
      <c r="BS1078" s="5">
        <v>78727</v>
      </c>
      <c r="BT1078" s="2">
        <v>108040</v>
      </c>
      <c r="BU1078" s="2">
        <v>130000</v>
      </c>
      <c r="BV1078" t="s">
        <v>105</v>
      </c>
      <c r="BW1078" s="2">
        <v>106080</v>
      </c>
      <c r="BX1078" t="s">
        <v>105</v>
      </c>
      <c r="BZ1078" t="s">
        <v>123</v>
      </c>
      <c r="CA1078" t="str">
        <f t="shared" si="84"/>
        <v>7/1/2020 - 6/30/2021</v>
      </c>
      <c r="CF1078">
        <v>1</v>
      </c>
      <c r="CG1078" t="s">
        <v>98</v>
      </c>
      <c r="CH1078" t="s">
        <v>206</v>
      </c>
      <c r="CI1078" t="s">
        <v>206</v>
      </c>
      <c r="CL1078" t="s">
        <v>108</v>
      </c>
      <c r="CM1078" t="s">
        <v>109</v>
      </c>
      <c r="CN1078" t="str">
        <f>"Wu"</f>
        <v>Wu</v>
      </c>
      <c r="CO1078" t="str">
        <f>"Katie"</f>
        <v>Katie</v>
      </c>
      <c r="CP1078" t="str">
        <f>"W."</f>
        <v>W.</v>
      </c>
      <c r="CQ1078" t="str">
        <f>"Global Immigration Partners, Inc"</f>
        <v>Global Immigration Partners, Inc</v>
      </c>
      <c r="CR1078" t="s">
        <v>1275</v>
      </c>
    </row>
    <row r="1079" spans="1:96" x14ac:dyDescent="0.2">
      <c r="A1079" t="s">
        <v>11219</v>
      </c>
      <c r="B1079" t="s">
        <v>96</v>
      </c>
      <c r="C1079" s="1">
        <v>44098</v>
      </c>
      <c r="D1079" s="1">
        <v>44105</v>
      </c>
      <c r="F1079" t="s">
        <v>97</v>
      </c>
      <c r="G1079" t="str">
        <f>"Technical Module Lead"</f>
        <v>Technical Module Lead</v>
      </c>
      <c r="H1079" t="s">
        <v>12239</v>
      </c>
      <c r="I1079" t="s">
        <v>378</v>
      </c>
      <c r="J1079" t="s">
        <v>98</v>
      </c>
      <c r="K1079" s="1">
        <v>44136</v>
      </c>
      <c r="L1079" s="1">
        <v>44995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 t="s">
        <v>300</v>
      </c>
      <c r="U1079" t="str">
        <f>""</f>
        <v/>
      </c>
      <c r="V1079" t="s">
        <v>301</v>
      </c>
      <c r="W1079" t="str">
        <f>"BUILDING 002 "</f>
        <v xml:space="preserve">BUILDING 002 </v>
      </c>
      <c r="X1079" t="s">
        <v>302</v>
      </c>
      <c r="Y1079" t="s">
        <v>122</v>
      </c>
      <c r="Z1079" s="3" t="s">
        <v>12292</v>
      </c>
      <c r="AA1079" t="s">
        <v>101</v>
      </c>
      <c r="AB1079" t="s">
        <v>122</v>
      </c>
      <c r="AC1079" s="4" t="str">
        <f>"+19195430507"</f>
        <v>+19195430507</v>
      </c>
      <c r="AE1079" t="str">
        <f>"54151"</f>
        <v>54151</v>
      </c>
      <c r="AF1079" t="s">
        <v>303</v>
      </c>
      <c r="AG1079" t="s">
        <v>304</v>
      </c>
      <c r="AI1079" t="s">
        <v>305</v>
      </c>
      <c r="AJ1079" t="s">
        <v>301</v>
      </c>
      <c r="AK1079" t="str">
        <f>""</f>
        <v/>
      </c>
      <c r="AL1079" t="s">
        <v>302</v>
      </c>
      <c r="AM1079" t="s">
        <v>122</v>
      </c>
      <c r="AN1079" s="3">
        <v>27709</v>
      </c>
      <c r="AO1079" t="s">
        <v>101</v>
      </c>
      <c r="AQ1079" t="str">
        <f>"+19192541817"</f>
        <v>+19192541817</v>
      </c>
      <c r="AS1079" t="s">
        <v>306</v>
      </c>
      <c r="AT1079" t="s">
        <v>102</v>
      </c>
      <c r="AU1079" t="str">
        <f>""</f>
        <v/>
      </c>
      <c r="AV1079" t="str">
        <f>""</f>
        <v/>
      </c>
      <c r="AW1079" t="str">
        <f>""</f>
        <v/>
      </c>
      <c r="AX1079" t="str">
        <f>""</f>
        <v/>
      </c>
      <c r="AY1079" t="str">
        <f>""</f>
        <v/>
      </c>
      <c r="AZ1079" t="str">
        <f>""</f>
        <v/>
      </c>
      <c r="BA1079" t="str">
        <f>""</f>
        <v/>
      </c>
      <c r="BC1079" t="str">
        <f>""</f>
        <v/>
      </c>
      <c r="BD1079" t="str">
        <f>""</f>
        <v/>
      </c>
      <c r="BE1079" t="str">
        <f>""</f>
        <v/>
      </c>
      <c r="BF1079" t="str">
        <f>""</f>
        <v/>
      </c>
      <c r="BG1079" t="str">
        <f>""</f>
        <v/>
      </c>
      <c r="BH1079" t="str">
        <f>""</f>
        <v/>
      </c>
      <c r="BI1079" t="str">
        <f>""</f>
        <v/>
      </c>
      <c r="BJ1079" t="str">
        <f>""</f>
        <v/>
      </c>
      <c r="BK1079">
        <v>1</v>
      </c>
      <c r="BL1079" t="s">
        <v>107</v>
      </c>
      <c r="BM1079" t="str">
        <f>"Truist Financial Corporation"</f>
        <v>Truist Financial Corporation</v>
      </c>
      <c r="BN1079" t="s">
        <v>5481</v>
      </c>
      <c r="BP1079" t="s">
        <v>213</v>
      </c>
      <c r="BQ1079" t="s">
        <v>214</v>
      </c>
      <c r="BR1079" t="s">
        <v>215</v>
      </c>
      <c r="BS1079" s="5">
        <v>30303</v>
      </c>
      <c r="BT1079" s="2">
        <v>76981</v>
      </c>
      <c r="BU1079" s="2">
        <v>87962</v>
      </c>
      <c r="BV1079" t="s">
        <v>105</v>
      </c>
      <c r="BW1079" s="2">
        <v>70699</v>
      </c>
      <c r="BX1079" t="s">
        <v>105</v>
      </c>
      <c r="BZ1079" t="s">
        <v>167</v>
      </c>
      <c r="CA1079" t="str">
        <f t="shared" si="84"/>
        <v>7/1/2020 - 6/30/2021</v>
      </c>
      <c r="CF1079">
        <v>1</v>
      </c>
      <c r="CG1079" t="s">
        <v>98</v>
      </c>
      <c r="CH1079" t="s">
        <v>206</v>
      </c>
      <c r="CI1079" t="s">
        <v>206</v>
      </c>
      <c r="CL1079" t="s">
        <v>108</v>
      </c>
      <c r="CM1079" t="s">
        <v>109</v>
      </c>
      <c r="CN1079" t="str">
        <f>""</f>
        <v/>
      </c>
      <c r="CO1079" t="str">
        <f>""</f>
        <v/>
      </c>
      <c r="CP1079" t="str">
        <f>""</f>
        <v/>
      </c>
      <c r="CQ1079" t="str">
        <f>""</f>
        <v/>
      </c>
    </row>
    <row r="1080" spans="1:96" x14ac:dyDescent="0.2">
      <c r="A1080" t="s">
        <v>11223</v>
      </c>
      <c r="B1080" t="s">
        <v>96</v>
      </c>
      <c r="C1080" s="1">
        <v>44098</v>
      </c>
      <c r="D1080" s="1">
        <v>44105</v>
      </c>
      <c r="F1080" t="s">
        <v>97</v>
      </c>
      <c r="G1080" t="str">
        <f>"DevOps Engineer"</f>
        <v>DevOps Engineer</v>
      </c>
      <c r="H1080" t="s">
        <v>12169</v>
      </c>
      <c r="I1080" t="s">
        <v>124</v>
      </c>
      <c r="J1080" t="s">
        <v>98</v>
      </c>
      <c r="K1080" s="1">
        <v>44110</v>
      </c>
      <c r="L1080" s="1">
        <v>45204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 t="s">
        <v>5178</v>
      </c>
      <c r="U1080" t="str">
        <f>""</f>
        <v/>
      </c>
      <c r="V1080" t="s">
        <v>1276</v>
      </c>
      <c r="W1080" t="str">
        <f>""</f>
        <v/>
      </c>
      <c r="X1080" t="s">
        <v>1277</v>
      </c>
      <c r="Y1080" t="s">
        <v>127</v>
      </c>
      <c r="Z1080" s="3">
        <v>19073</v>
      </c>
      <c r="AA1080" t="s">
        <v>101</v>
      </c>
      <c r="AC1080" s="4" t="str">
        <f>"+16106618413"</f>
        <v>+16106618413</v>
      </c>
      <c r="AE1080" t="str">
        <f>"54151"</f>
        <v>54151</v>
      </c>
      <c r="AF1080" t="s">
        <v>128</v>
      </c>
      <c r="AG1080" t="s">
        <v>129</v>
      </c>
      <c r="AI1080" t="s">
        <v>130</v>
      </c>
      <c r="AJ1080" t="s">
        <v>125</v>
      </c>
      <c r="AK1080" t="str">
        <f>""</f>
        <v/>
      </c>
      <c r="AL1080" t="s">
        <v>126</v>
      </c>
      <c r="AM1080" t="s">
        <v>127</v>
      </c>
      <c r="AN1080" s="3">
        <v>19073</v>
      </c>
      <c r="AO1080" t="s">
        <v>101</v>
      </c>
      <c r="AQ1080" t="str">
        <f>"+16106612354"</f>
        <v>+16106612354</v>
      </c>
      <c r="AS1080" t="s">
        <v>131</v>
      </c>
      <c r="AT1080" t="s">
        <v>107</v>
      </c>
      <c r="AU1080" t="str">
        <f>"Shah"</f>
        <v>Shah</v>
      </c>
      <c r="AV1080" t="str">
        <f>"Rahul"</f>
        <v>Rahul</v>
      </c>
      <c r="AW1080" t="str">
        <f>"M."</f>
        <v>M.</v>
      </c>
      <c r="AX1080" t="str">
        <f>"90 Matawan Road"</f>
        <v>90 Matawan Road</v>
      </c>
      <c r="AY1080" t="str">
        <f>"4th Floor"</f>
        <v>4th Floor</v>
      </c>
      <c r="AZ1080" t="str">
        <f>"Matawan"</f>
        <v>Matawan</v>
      </c>
      <c r="BA1080" t="str">
        <f>"NJ"</f>
        <v>NJ</v>
      </c>
      <c r="BB1080" s="3">
        <v>7747</v>
      </c>
      <c r="BC1080" t="str">
        <f>"UNITED STATES OF AMERICA"</f>
        <v>UNITED STATES OF AMERICA</v>
      </c>
      <c r="BD1080" t="str">
        <f>""</f>
        <v/>
      </c>
      <c r="BE1080" t="str">
        <f>"+17328625000"</f>
        <v>+17328625000</v>
      </c>
      <c r="BF1080" t="str">
        <f>""</f>
        <v/>
      </c>
      <c r="BG1080" t="str">
        <f>"mgromek@fragomen.com"</f>
        <v>mgromek@fragomen.com</v>
      </c>
      <c r="BH1080" t="str">
        <f>"Fragomen, Del Rey, Bernsen &amp; Loewy, LLP"</f>
        <v>Fragomen, Del Rey, Bernsen &amp; Loewy, LLP</v>
      </c>
      <c r="BI1080" t="str">
        <f>"DC"</f>
        <v>DC</v>
      </c>
      <c r="BJ1080" t="str">
        <f>"Court of Appeals"</f>
        <v>Court of Appeals</v>
      </c>
      <c r="BK1080">
        <v>1</v>
      </c>
      <c r="BL1080" t="s">
        <v>102</v>
      </c>
      <c r="BM1080" t="str">
        <f>""</f>
        <v/>
      </c>
      <c r="BN1080" t="s">
        <v>10363</v>
      </c>
      <c r="BP1080" t="s">
        <v>568</v>
      </c>
      <c r="BQ1080" t="s">
        <v>230</v>
      </c>
      <c r="BR1080" t="s">
        <v>141</v>
      </c>
      <c r="BS1080" s="5">
        <v>94304</v>
      </c>
      <c r="BT1080" s="2">
        <v>129813</v>
      </c>
      <c r="BV1080" t="s">
        <v>105</v>
      </c>
      <c r="BW1080" s="2">
        <v>120578</v>
      </c>
      <c r="BX1080" t="s">
        <v>105</v>
      </c>
      <c r="BZ1080" t="s">
        <v>167</v>
      </c>
      <c r="CA1080" t="str">
        <f t="shared" si="84"/>
        <v>7/1/2020 - 6/30/2021</v>
      </c>
      <c r="CF1080">
        <v>2</v>
      </c>
      <c r="CG1080" t="s">
        <v>98</v>
      </c>
      <c r="CH1080" t="s">
        <v>206</v>
      </c>
      <c r="CI1080" t="s">
        <v>206</v>
      </c>
      <c r="CL1080" t="s">
        <v>108</v>
      </c>
      <c r="CM1080" t="s">
        <v>109</v>
      </c>
      <c r="CN1080" t="str">
        <f>"Shah"</f>
        <v>Shah</v>
      </c>
      <c r="CO1080" t="str">
        <f>"Rahul"</f>
        <v>Rahul</v>
      </c>
      <c r="CP1080" t="str">
        <f>"M"</f>
        <v>M</v>
      </c>
      <c r="CQ1080" t="str">
        <f>"Fragomen, Del Rey, Bernsen &amp; Loewy, LLP"</f>
        <v>Fragomen, Del Rey, Bernsen &amp; Loewy, LLP</v>
      </c>
      <c r="CR1080" t="s">
        <v>3688</v>
      </c>
    </row>
    <row r="1081" spans="1:96" x14ac:dyDescent="0.2">
      <c r="A1081" t="s">
        <v>11224</v>
      </c>
      <c r="B1081" t="s">
        <v>96</v>
      </c>
      <c r="C1081" s="1">
        <v>44098</v>
      </c>
      <c r="D1081" s="1">
        <v>44105</v>
      </c>
      <c r="F1081" t="s">
        <v>97</v>
      </c>
      <c r="G1081" t="str">
        <f>"Quantitative Research Associate/ Programmer "</f>
        <v xml:space="preserve">Quantitative Research Associate/ Programmer </v>
      </c>
      <c r="H1081" t="s">
        <v>12213</v>
      </c>
      <c r="I1081" t="s">
        <v>493</v>
      </c>
      <c r="J1081" t="s">
        <v>98</v>
      </c>
      <c r="K1081" s="1">
        <v>44106</v>
      </c>
      <c r="L1081" s="1">
        <v>45200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3345</v>
      </c>
      <c r="U1081" t="str">
        <f>""</f>
        <v/>
      </c>
      <c r="V1081" t="s">
        <v>3346</v>
      </c>
      <c r="W1081" t="str">
        <f>""</f>
        <v/>
      </c>
      <c r="X1081" t="s">
        <v>277</v>
      </c>
      <c r="Y1081" t="s">
        <v>190</v>
      </c>
      <c r="Z1081" s="3">
        <v>10105</v>
      </c>
      <c r="AA1081" t="s">
        <v>101</v>
      </c>
      <c r="AC1081" s="4" t="str">
        <f>"+12129691000"</f>
        <v>+12129691000</v>
      </c>
      <c r="AE1081" t="str">
        <f>"523920"</f>
        <v>523920</v>
      </c>
      <c r="AF1081" t="s">
        <v>3347</v>
      </c>
      <c r="AG1081" t="s">
        <v>3348</v>
      </c>
      <c r="AI1081" t="s">
        <v>3044</v>
      </c>
      <c r="AJ1081" t="s">
        <v>3349</v>
      </c>
      <c r="AK1081" t="str">
        <f>""</f>
        <v/>
      </c>
      <c r="AL1081" t="s">
        <v>1368</v>
      </c>
      <c r="AM1081" t="s">
        <v>545</v>
      </c>
      <c r="AN1081" s="3">
        <v>37219</v>
      </c>
      <c r="AO1081" t="s">
        <v>101</v>
      </c>
      <c r="AQ1081" t="str">
        <f>"+16292135803"</f>
        <v>+16292135803</v>
      </c>
      <c r="AS1081" t="s">
        <v>3350</v>
      </c>
      <c r="AT1081" t="s">
        <v>107</v>
      </c>
      <c r="AU1081" t="str">
        <f>"Soni"</f>
        <v>Soni</v>
      </c>
      <c r="AV1081" t="str">
        <f>"Rahul"</f>
        <v>Rahul</v>
      </c>
      <c r="AW1081" t="str">
        <f>""</f>
        <v/>
      </c>
      <c r="AX1081" t="str">
        <f>"1400 Broadway"</f>
        <v>1400 Broadway</v>
      </c>
      <c r="AY1081" t="str">
        <f>""</f>
        <v/>
      </c>
      <c r="AZ1081" t="str">
        <f>"New York"</f>
        <v>New York</v>
      </c>
      <c r="BA1081" t="str">
        <f>"NY"</f>
        <v>NY</v>
      </c>
      <c r="BB1081" s="3">
        <v>10018</v>
      </c>
      <c r="BC1081" t="str">
        <f>"UNITED STATES OF AMERICA"</f>
        <v>UNITED STATES OF AMERICA</v>
      </c>
      <c r="BD1081" t="str">
        <f>""</f>
        <v/>
      </c>
      <c r="BE1081" t="str">
        <f>"+12126888555"</f>
        <v>+12126888555</v>
      </c>
      <c r="BF1081" t="str">
        <f>""</f>
        <v/>
      </c>
      <c r="BG1081" t="str">
        <f>"NHigdon@Fragomen.com"</f>
        <v>NHigdon@Fragomen.com</v>
      </c>
      <c r="BH1081" t="str">
        <f>"Fragomen, Del Rey, Bernsen &amp; Loewy, LLP"</f>
        <v>Fragomen, Del Rey, Bernsen &amp; Loewy, LLP</v>
      </c>
      <c r="BI1081" t="str">
        <f>"CA"</f>
        <v>CA</v>
      </c>
      <c r="BJ1081" t="str">
        <f>"Supreme Court"</f>
        <v>Supreme Court</v>
      </c>
      <c r="BK1081">
        <v>1</v>
      </c>
      <c r="BL1081" t="s">
        <v>102</v>
      </c>
      <c r="BM1081" t="str">
        <f>""</f>
        <v/>
      </c>
      <c r="BN1081" t="s">
        <v>3346</v>
      </c>
      <c r="BP1081" t="s">
        <v>277</v>
      </c>
      <c r="BQ1081" t="s">
        <v>189</v>
      </c>
      <c r="BR1081" t="s">
        <v>190</v>
      </c>
      <c r="BS1081" s="5">
        <v>10105</v>
      </c>
      <c r="BT1081" s="2">
        <v>131685</v>
      </c>
      <c r="BU1081" s="2">
        <v>135000</v>
      </c>
      <c r="BV1081" t="s">
        <v>105</v>
      </c>
      <c r="BW1081" s="2">
        <v>131685</v>
      </c>
      <c r="BX1081" t="s">
        <v>105</v>
      </c>
      <c r="BZ1081" t="s">
        <v>123</v>
      </c>
      <c r="CA1081" t="str">
        <f t="shared" si="84"/>
        <v>7/1/2020 - 6/30/2021</v>
      </c>
      <c r="CF1081">
        <v>1</v>
      </c>
      <c r="CG1081" t="s">
        <v>98</v>
      </c>
      <c r="CH1081" t="s">
        <v>206</v>
      </c>
      <c r="CI1081" t="s">
        <v>206</v>
      </c>
      <c r="CL1081" t="s">
        <v>108</v>
      </c>
      <c r="CM1081" t="s">
        <v>109</v>
      </c>
      <c r="CN1081" t="str">
        <f>"Higdon"</f>
        <v>Higdon</v>
      </c>
      <c r="CO1081" t="str">
        <f>"Nathaniel"</f>
        <v>Nathaniel</v>
      </c>
      <c r="CP1081" t="str">
        <f>""</f>
        <v/>
      </c>
      <c r="CQ1081" t="str">
        <f>"Fragomen, Del Rey, Bernsen &amp; Loewy, LLP"</f>
        <v>Fragomen, Del Rey, Bernsen &amp; Loewy, LLP</v>
      </c>
      <c r="CR1081" t="s">
        <v>5348</v>
      </c>
    </row>
    <row r="1082" spans="1:96" x14ac:dyDescent="0.2">
      <c r="A1082" t="s">
        <v>11228</v>
      </c>
      <c r="B1082" t="s">
        <v>96</v>
      </c>
      <c r="C1082" s="1">
        <v>44098</v>
      </c>
      <c r="D1082" s="1">
        <v>44105</v>
      </c>
      <c r="F1082" t="s">
        <v>97</v>
      </c>
      <c r="G1082" t="str">
        <f>"Cloud Support Associate"</f>
        <v>Cloud Support Associate</v>
      </c>
      <c r="H1082" t="s">
        <v>12225</v>
      </c>
      <c r="I1082" t="s">
        <v>628</v>
      </c>
      <c r="J1082" t="s">
        <v>98</v>
      </c>
      <c r="K1082" s="1">
        <v>44104</v>
      </c>
      <c r="L1082" s="1">
        <v>45198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2682</v>
      </c>
      <c r="U1082" t="str">
        <f>""</f>
        <v/>
      </c>
      <c r="V1082" t="s">
        <v>1959</v>
      </c>
      <c r="W1082" t="str">
        <f>""</f>
        <v/>
      </c>
      <c r="X1082" t="s">
        <v>261</v>
      </c>
      <c r="Y1082" t="s">
        <v>176</v>
      </c>
      <c r="Z1082" s="3">
        <v>98109</v>
      </c>
      <c r="AA1082" t="s">
        <v>101</v>
      </c>
      <c r="AC1082" s="4" t="str">
        <f>"+12062661000"</f>
        <v>+12062661000</v>
      </c>
      <c r="AE1082" t="str">
        <f>"518210"</f>
        <v>518210</v>
      </c>
      <c r="AF1082" t="s">
        <v>2661</v>
      </c>
      <c r="AG1082" t="s">
        <v>2662</v>
      </c>
      <c r="AH1082" t="s">
        <v>108</v>
      </c>
      <c r="AI1082" t="s">
        <v>1553</v>
      </c>
      <c r="AJ1082" t="s">
        <v>1959</v>
      </c>
      <c r="AK1082" t="str">
        <f>""</f>
        <v/>
      </c>
      <c r="AL1082" t="s">
        <v>261</v>
      </c>
      <c r="AM1082" t="s">
        <v>176</v>
      </c>
      <c r="AN1082" s="3">
        <v>98109</v>
      </c>
      <c r="AO1082" t="s">
        <v>101</v>
      </c>
      <c r="AQ1082" t="str">
        <f>"+12062661000"</f>
        <v>+12062661000</v>
      </c>
      <c r="AS1082" t="s">
        <v>2663</v>
      </c>
      <c r="AT1082" t="s">
        <v>102</v>
      </c>
      <c r="AU1082" t="str">
        <f>""</f>
        <v/>
      </c>
      <c r="AV1082" t="str">
        <f>""</f>
        <v/>
      </c>
      <c r="AW1082" t="str">
        <f>""</f>
        <v/>
      </c>
      <c r="AX1082" t="str">
        <f>""</f>
        <v/>
      </c>
      <c r="AY1082" t="str">
        <f>""</f>
        <v/>
      </c>
      <c r="AZ1082" t="str">
        <f>""</f>
        <v/>
      </c>
      <c r="BA1082" t="str">
        <f>""</f>
        <v/>
      </c>
      <c r="BC1082" t="str">
        <f>""</f>
        <v/>
      </c>
      <c r="BD1082" t="str">
        <f>""</f>
        <v/>
      </c>
      <c r="BE1082" t="str">
        <f>""</f>
        <v/>
      </c>
      <c r="BF1082" t="str">
        <f>""</f>
        <v/>
      </c>
      <c r="BG1082" t="str">
        <f>""</f>
        <v/>
      </c>
      <c r="BH1082" t="str">
        <f>""</f>
        <v/>
      </c>
      <c r="BI1082" t="str">
        <f>""</f>
        <v/>
      </c>
      <c r="BJ1082" t="str">
        <f>""</f>
        <v/>
      </c>
      <c r="BK1082">
        <v>1</v>
      </c>
      <c r="BL1082" t="s">
        <v>102</v>
      </c>
      <c r="BM1082" t="str">
        <f>""</f>
        <v/>
      </c>
      <c r="BN1082" t="s">
        <v>2683</v>
      </c>
      <c r="BP1082" t="s">
        <v>595</v>
      </c>
      <c r="BQ1082" t="s">
        <v>484</v>
      </c>
      <c r="BR1082" t="s">
        <v>114</v>
      </c>
      <c r="BS1082" s="5">
        <v>75240</v>
      </c>
      <c r="BT1082" s="2">
        <v>63500</v>
      </c>
      <c r="BV1082" t="s">
        <v>105</v>
      </c>
      <c r="BW1082" s="2">
        <v>61082</v>
      </c>
      <c r="BX1082" t="s">
        <v>105</v>
      </c>
      <c r="CA1082" t="str">
        <f>""</f>
        <v/>
      </c>
      <c r="CB1082" t="s">
        <v>244</v>
      </c>
      <c r="CC1082">
        <v>2020</v>
      </c>
      <c r="CD1082" t="s">
        <v>355</v>
      </c>
      <c r="CE1082" t="s">
        <v>1229</v>
      </c>
      <c r="CF1082">
        <v>2</v>
      </c>
      <c r="CG1082" t="s">
        <v>98</v>
      </c>
      <c r="CH1082" t="s">
        <v>206</v>
      </c>
      <c r="CI1082" t="s">
        <v>206</v>
      </c>
      <c r="CL1082" t="s">
        <v>108</v>
      </c>
      <c r="CM1082" t="s">
        <v>109</v>
      </c>
      <c r="CN1082" t="str">
        <f>"Zai"</f>
        <v>Zai</v>
      </c>
      <c r="CO1082" t="str">
        <f>"Christopher"</f>
        <v>Christopher</v>
      </c>
      <c r="CP1082" t="str">
        <f>"N/A"</f>
        <v>N/A</v>
      </c>
      <c r="CQ1082" t="str">
        <f>"de Lint LLP"</f>
        <v>de Lint LLP</v>
      </c>
      <c r="CR1082" t="s">
        <v>2664</v>
      </c>
    </row>
    <row r="1083" spans="1:96" x14ac:dyDescent="0.2">
      <c r="A1083" t="s">
        <v>11232</v>
      </c>
      <c r="B1083" t="s">
        <v>96</v>
      </c>
      <c r="C1083" s="1">
        <v>44098</v>
      </c>
      <c r="D1083" s="1">
        <v>44105</v>
      </c>
      <c r="F1083" t="s">
        <v>97</v>
      </c>
      <c r="G1083" t="str">
        <f>"Network Engineer "</f>
        <v xml:space="preserve">Network Engineer </v>
      </c>
      <c r="H1083" t="s">
        <v>12183</v>
      </c>
      <c r="I1083" t="s">
        <v>2335</v>
      </c>
      <c r="J1083" t="s">
        <v>98</v>
      </c>
      <c r="K1083" s="1">
        <v>44271</v>
      </c>
      <c r="L1083" s="1">
        <v>45366</v>
      </c>
      <c r="M1083">
        <v>30</v>
      </c>
      <c r="N1083">
        <v>5</v>
      </c>
      <c r="O1083">
        <v>5</v>
      </c>
      <c r="P1083">
        <v>5</v>
      </c>
      <c r="Q1083">
        <v>5</v>
      </c>
      <c r="R1083">
        <v>5</v>
      </c>
      <c r="S1083">
        <v>5</v>
      </c>
      <c r="T1083" t="s">
        <v>7067</v>
      </c>
      <c r="U1083" t="str">
        <f>""</f>
        <v/>
      </c>
      <c r="V1083" t="s">
        <v>7068</v>
      </c>
      <c r="W1083" t="str">
        <f>""</f>
        <v/>
      </c>
      <c r="X1083" t="s">
        <v>155</v>
      </c>
      <c r="Y1083" t="s">
        <v>141</v>
      </c>
      <c r="Z1083" s="3">
        <v>94043</v>
      </c>
      <c r="AA1083" t="s">
        <v>101</v>
      </c>
      <c r="AC1083" s="4" t="str">
        <f>"+16505845000"</f>
        <v>+16505845000</v>
      </c>
      <c r="AE1083" t="str">
        <f>"541512"</f>
        <v>541512</v>
      </c>
      <c r="AF1083" t="s">
        <v>1548</v>
      </c>
      <c r="AG1083" t="s">
        <v>1549</v>
      </c>
      <c r="AH1083" t="s">
        <v>1080</v>
      </c>
      <c r="AI1083" t="s">
        <v>221</v>
      </c>
      <c r="AJ1083" t="s">
        <v>7068</v>
      </c>
      <c r="AK1083" t="str">
        <f>""</f>
        <v/>
      </c>
      <c r="AL1083" t="s">
        <v>155</v>
      </c>
      <c r="AM1083" t="s">
        <v>141</v>
      </c>
      <c r="AN1083" s="3">
        <v>94043</v>
      </c>
      <c r="AO1083" t="s">
        <v>101</v>
      </c>
      <c r="AQ1083" t="str">
        <f>"+16505847480"</f>
        <v>+16505847480</v>
      </c>
      <c r="AS1083" t="s">
        <v>7069</v>
      </c>
      <c r="AT1083" t="s">
        <v>107</v>
      </c>
      <c r="AU1083" t="str">
        <f>"Castro"</f>
        <v>Castro</v>
      </c>
      <c r="AV1083" t="str">
        <f>"J. Gabriel"</f>
        <v>J. Gabriel</v>
      </c>
      <c r="AW1083" t="str">
        <f>""</f>
        <v/>
      </c>
      <c r="AX1083" t="str">
        <f>"555 W. Fifth Street"</f>
        <v>555 W. Fifth Street</v>
      </c>
      <c r="AY1083" t="str">
        <f>"Suite 4510"</f>
        <v>Suite 4510</v>
      </c>
      <c r="AZ1083" t="str">
        <f>"Los Angeles"</f>
        <v>Los Angeles</v>
      </c>
      <c r="BA1083" t="str">
        <f>"CA"</f>
        <v>CA</v>
      </c>
      <c r="BB1083" s="3">
        <v>90013</v>
      </c>
      <c r="BC1083" t="str">
        <f>"UNITED STATES OF AMERICA"</f>
        <v>UNITED STATES OF AMERICA</v>
      </c>
      <c r="BD1083" t="str">
        <f>""</f>
        <v/>
      </c>
      <c r="BE1083" t="str">
        <f>"+12136247500"</f>
        <v>+12136247500</v>
      </c>
      <c r="BF1083" t="str">
        <f>""</f>
        <v/>
      </c>
      <c r="BG1083" t="str">
        <f>"FLAG-LA@tsmimmigration.com"</f>
        <v>FLAG-LA@tsmimmigration.com</v>
      </c>
      <c r="BH1083" t="str">
        <f>"Tafapolsky Smith Mehlman LLP"</f>
        <v>Tafapolsky Smith Mehlman LLP</v>
      </c>
      <c r="BI1083" t="str">
        <f>"CA"</f>
        <v>CA</v>
      </c>
      <c r="BJ1083" t="str">
        <f>"Supreme Court"</f>
        <v>Supreme Court</v>
      </c>
      <c r="BK1083">
        <v>30</v>
      </c>
      <c r="BL1083" t="s">
        <v>102</v>
      </c>
      <c r="BM1083" t="str">
        <f>""</f>
        <v/>
      </c>
      <c r="BN1083" t="s">
        <v>11233</v>
      </c>
      <c r="BP1083" t="s">
        <v>2836</v>
      </c>
      <c r="BQ1083" t="s">
        <v>230</v>
      </c>
      <c r="BR1083" t="s">
        <v>141</v>
      </c>
      <c r="BS1083" s="5">
        <v>94043</v>
      </c>
      <c r="BT1083" s="2">
        <v>108150</v>
      </c>
      <c r="BU1083" s="2">
        <v>183150</v>
      </c>
      <c r="BV1083" t="s">
        <v>105</v>
      </c>
      <c r="BW1083" s="2">
        <v>108150</v>
      </c>
      <c r="BX1083" t="s">
        <v>105</v>
      </c>
      <c r="CA1083" t="str">
        <f>""</f>
        <v/>
      </c>
      <c r="CB1083" t="s">
        <v>244</v>
      </c>
      <c r="CC1083">
        <v>2020</v>
      </c>
      <c r="CD1083" t="s">
        <v>995</v>
      </c>
      <c r="CE1083" t="s">
        <v>11234</v>
      </c>
      <c r="CF1083">
        <v>1</v>
      </c>
      <c r="CG1083" t="s">
        <v>98</v>
      </c>
      <c r="CH1083" t="s">
        <v>206</v>
      </c>
      <c r="CI1083" t="s">
        <v>206</v>
      </c>
      <c r="CL1083" t="s">
        <v>108</v>
      </c>
      <c r="CM1083" t="s">
        <v>109</v>
      </c>
      <c r="CN1083" t="str">
        <f>"Zanetti"</f>
        <v>Zanetti</v>
      </c>
      <c r="CO1083" t="str">
        <f>"Lauren "</f>
        <v xml:space="preserve">Lauren </v>
      </c>
      <c r="CP1083" t="str">
        <f>"B"</f>
        <v>B</v>
      </c>
      <c r="CQ1083" t="str">
        <f>"Tafapolsky Smith Mehlman LLP"</f>
        <v>Tafapolsky Smith Mehlman LLP</v>
      </c>
      <c r="CR1083" t="s">
        <v>7070</v>
      </c>
    </row>
    <row r="1084" spans="1:96" x14ac:dyDescent="0.2">
      <c r="A1084" t="s">
        <v>11237</v>
      </c>
      <c r="B1084" t="s">
        <v>96</v>
      </c>
      <c r="C1084" s="1">
        <v>44098</v>
      </c>
      <c r="D1084" s="1">
        <v>44105</v>
      </c>
      <c r="F1084" t="s">
        <v>97</v>
      </c>
      <c r="G1084" t="str">
        <f>"Senior Software Developer"</f>
        <v>Senior Software Developer</v>
      </c>
      <c r="H1084" t="s">
        <v>12169</v>
      </c>
      <c r="I1084" t="s">
        <v>124</v>
      </c>
      <c r="J1084" t="s">
        <v>98</v>
      </c>
      <c r="K1084" s="1">
        <v>44105</v>
      </c>
      <c r="L1084" s="1">
        <v>45199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 t="s">
        <v>1189</v>
      </c>
      <c r="U1084" t="str">
        <f>""</f>
        <v/>
      </c>
      <c r="V1084" t="s">
        <v>1190</v>
      </c>
      <c r="W1084" t="str">
        <f>"THIRD FLOOR"</f>
        <v>THIRD FLOOR</v>
      </c>
      <c r="X1084" t="s">
        <v>1191</v>
      </c>
      <c r="Y1084" t="s">
        <v>171</v>
      </c>
      <c r="Z1084" s="3">
        <v>1801</v>
      </c>
      <c r="AA1084" t="s">
        <v>101</v>
      </c>
      <c r="AC1084" s="4" t="str">
        <f>"+17819391720"</f>
        <v>+17819391720</v>
      </c>
      <c r="AE1084" t="str">
        <f>"541511"</f>
        <v>541511</v>
      </c>
      <c r="AF1084" t="s">
        <v>1192</v>
      </c>
      <c r="AG1084" t="s">
        <v>1193</v>
      </c>
      <c r="AH1084" t="s">
        <v>1080</v>
      </c>
      <c r="AI1084" t="s">
        <v>1194</v>
      </c>
      <c r="AJ1084" t="s">
        <v>1195</v>
      </c>
      <c r="AK1084" t="str">
        <f>"Third Floor"</f>
        <v>Third Floor</v>
      </c>
      <c r="AL1084" t="s">
        <v>1196</v>
      </c>
      <c r="AM1084" t="s">
        <v>171</v>
      </c>
      <c r="AN1084" s="3">
        <v>1801</v>
      </c>
      <c r="AO1084" t="s">
        <v>101</v>
      </c>
      <c r="AQ1084" t="str">
        <f>"+17819391720"</f>
        <v>+17819391720</v>
      </c>
      <c r="AS1084" t="s">
        <v>1197</v>
      </c>
      <c r="AT1084" t="s">
        <v>107</v>
      </c>
      <c r="AU1084" t="str">
        <f>"Tadmor"</f>
        <v>Tadmor</v>
      </c>
      <c r="AV1084" t="str">
        <f>"Yoav"</f>
        <v>Yoav</v>
      </c>
      <c r="AW1084" t="str">
        <f>""</f>
        <v/>
      </c>
      <c r="AX1084" t="str">
        <f>"340 Main Street "</f>
        <v xml:space="preserve">340 Main Street </v>
      </c>
      <c r="AY1084" t="str">
        <f>"Suite 610"</f>
        <v>Suite 610</v>
      </c>
      <c r="AZ1084" t="str">
        <f>"Worcester "</f>
        <v xml:space="preserve">Worcester </v>
      </c>
      <c r="BA1084" t="str">
        <f>"MA"</f>
        <v>MA</v>
      </c>
      <c r="BB1084" s="3">
        <v>1608</v>
      </c>
      <c r="BC1084" t="str">
        <f>"UNITED STATES OF AMERICA"</f>
        <v>UNITED STATES OF AMERICA</v>
      </c>
      <c r="BD1084" t="str">
        <f>""</f>
        <v/>
      </c>
      <c r="BE1084" t="str">
        <f>"+15087919400"</f>
        <v>+15087919400</v>
      </c>
      <c r="BF1084" t="str">
        <f>""</f>
        <v/>
      </c>
      <c r="BG1084" t="str">
        <f>"yoav@tadmorlaw.com"</f>
        <v>yoav@tadmorlaw.com</v>
      </c>
      <c r="BH1084" t="str">
        <f>"Tadmor &amp; Tadmor LLP"</f>
        <v>Tadmor &amp; Tadmor LLP</v>
      </c>
      <c r="BI1084" t="str">
        <f>"MA"</f>
        <v>MA</v>
      </c>
      <c r="BJ1084" t="str">
        <f>"Supreme Judicial Court"</f>
        <v>Supreme Judicial Court</v>
      </c>
      <c r="BK1084">
        <v>1</v>
      </c>
      <c r="BL1084" t="s">
        <v>107</v>
      </c>
      <c r="BM1084" t="str">
        <f>"Bank of America "</f>
        <v xml:space="preserve">Bank of America </v>
      </c>
      <c r="BN1084" t="s">
        <v>11238</v>
      </c>
      <c r="BO1084" t="s">
        <v>11239</v>
      </c>
      <c r="BP1084" t="s">
        <v>391</v>
      </c>
      <c r="BQ1084" t="s">
        <v>395</v>
      </c>
      <c r="BR1084" t="s">
        <v>114</v>
      </c>
      <c r="BS1084" s="5">
        <v>77005</v>
      </c>
      <c r="BT1084" s="2">
        <v>120000</v>
      </c>
      <c r="BV1084" t="s">
        <v>105</v>
      </c>
      <c r="BW1084" s="2">
        <v>90022</v>
      </c>
      <c r="BX1084" t="s">
        <v>105</v>
      </c>
      <c r="BZ1084" t="s">
        <v>167</v>
      </c>
      <c r="CA1084" t="str">
        <f t="shared" ref="CA1084:CA1090" si="85">"7/1/2020 - 6/30/2021"</f>
        <v>7/1/2020 - 6/30/2021</v>
      </c>
      <c r="CF1084">
        <v>2</v>
      </c>
      <c r="CG1084" t="s">
        <v>98</v>
      </c>
      <c r="CH1084" t="s">
        <v>206</v>
      </c>
      <c r="CI1084" t="s">
        <v>206</v>
      </c>
      <c r="CL1084" t="s">
        <v>108</v>
      </c>
      <c r="CM1084" t="s">
        <v>109</v>
      </c>
      <c r="CN1084" t="str">
        <f>""</f>
        <v/>
      </c>
      <c r="CO1084" t="str">
        <f>""</f>
        <v/>
      </c>
      <c r="CP1084" t="str">
        <f>""</f>
        <v/>
      </c>
      <c r="CQ1084" t="str">
        <f>""</f>
        <v/>
      </c>
    </row>
    <row r="1085" spans="1:96" x14ac:dyDescent="0.2">
      <c r="A1085" t="s">
        <v>11242</v>
      </c>
      <c r="B1085" t="s">
        <v>96</v>
      </c>
      <c r="C1085" s="1">
        <v>44098</v>
      </c>
      <c r="D1085" s="1">
        <v>44105</v>
      </c>
      <c r="F1085" t="s">
        <v>97</v>
      </c>
      <c r="G1085" t="str">
        <f>"Validation Team Leader/Manager"</f>
        <v>Validation Team Leader/Manager</v>
      </c>
      <c r="H1085" t="s">
        <v>12217</v>
      </c>
      <c r="I1085" t="s">
        <v>778</v>
      </c>
      <c r="J1085" t="s">
        <v>98</v>
      </c>
      <c r="K1085" s="1">
        <v>44112</v>
      </c>
      <c r="L1085" s="1">
        <v>45207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11243</v>
      </c>
      <c r="U1085" t="str">
        <f>""</f>
        <v/>
      </c>
      <c r="V1085" t="s">
        <v>11244</v>
      </c>
      <c r="W1085" t="str">
        <f>""</f>
        <v/>
      </c>
      <c r="X1085" t="s">
        <v>4047</v>
      </c>
      <c r="Y1085" t="s">
        <v>141</v>
      </c>
      <c r="Z1085" s="3">
        <v>91767</v>
      </c>
      <c r="AA1085" t="s">
        <v>101</v>
      </c>
      <c r="AC1085" s="4" t="str">
        <f>"+19095937875"</f>
        <v>+19095937875</v>
      </c>
      <c r="AE1085" t="str">
        <f>"32541"</f>
        <v>32541</v>
      </c>
      <c r="AF1085" t="s">
        <v>11245</v>
      </c>
      <c r="AG1085" t="s">
        <v>9792</v>
      </c>
      <c r="AI1085" t="s">
        <v>1203</v>
      </c>
      <c r="AJ1085" t="s">
        <v>11244</v>
      </c>
      <c r="AK1085" t="str">
        <f>""</f>
        <v/>
      </c>
      <c r="AL1085" t="s">
        <v>11246</v>
      </c>
      <c r="AM1085" t="s">
        <v>141</v>
      </c>
      <c r="AN1085" s="3">
        <v>91767</v>
      </c>
      <c r="AO1085" t="s">
        <v>101</v>
      </c>
      <c r="AQ1085" t="str">
        <f>"+9095937875"</f>
        <v>+9095937875</v>
      </c>
      <c r="AS1085" t="s">
        <v>11247</v>
      </c>
      <c r="AT1085" t="s">
        <v>107</v>
      </c>
      <c r="AU1085" t="str">
        <f>"CHU"</f>
        <v>CHU</v>
      </c>
      <c r="AV1085" t="str">
        <f>"Peter"</f>
        <v>Peter</v>
      </c>
      <c r="AW1085" t="str">
        <f>"D"</f>
        <v>D</v>
      </c>
      <c r="AX1085" t="str">
        <f>"4615 Convoy Street"</f>
        <v>4615 Convoy Street</v>
      </c>
      <c r="AY1085" t="str">
        <f>""</f>
        <v/>
      </c>
      <c r="AZ1085" t="str">
        <f>"San Diego"</f>
        <v>San Diego</v>
      </c>
      <c r="BA1085" t="str">
        <f>"CA"</f>
        <v>CA</v>
      </c>
      <c r="BB1085" s="3">
        <v>92111</v>
      </c>
      <c r="BC1085" t="str">
        <f>"UNITED STATES OF AMERICA"</f>
        <v>UNITED STATES OF AMERICA</v>
      </c>
      <c r="BD1085" t="str">
        <f>""</f>
        <v/>
      </c>
      <c r="BE1085" t="str">
        <f>"+18582688823"</f>
        <v>+18582688823</v>
      </c>
      <c r="BF1085" t="str">
        <f>""</f>
        <v/>
      </c>
      <c r="BG1085" t="str">
        <f>"hai@peterchu.com"</f>
        <v>hai@peterchu.com</v>
      </c>
      <c r="BH1085" t="str">
        <f>"Law Office of Peter D. Chu"</f>
        <v>Law Office of Peter D. Chu</v>
      </c>
      <c r="BI1085" t="str">
        <f>"CA"</f>
        <v>CA</v>
      </c>
      <c r="BJ1085" t="str">
        <f>"CA Supreme Court"</f>
        <v>CA Supreme Court</v>
      </c>
      <c r="BK1085">
        <v>1</v>
      </c>
      <c r="BL1085" t="s">
        <v>102</v>
      </c>
      <c r="BM1085" t="str">
        <f>""</f>
        <v/>
      </c>
      <c r="BN1085" t="s">
        <v>11244</v>
      </c>
      <c r="BP1085" t="s">
        <v>4047</v>
      </c>
      <c r="BQ1085" t="s">
        <v>365</v>
      </c>
      <c r="BR1085" t="s">
        <v>141</v>
      </c>
      <c r="BS1085" s="5">
        <v>91767</v>
      </c>
      <c r="BT1085" s="2">
        <v>109533</v>
      </c>
      <c r="BU1085" s="2">
        <v>125000</v>
      </c>
      <c r="BV1085" t="s">
        <v>105</v>
      </c>
      <c r="BW1085" s="2">
        <v>109533</v>
      </c>
      <c r="BX1085" t="s">
        <v>105</v>
      </c>
      <c r="BZ1085" t="s">
        <v>123</v>
      </c>
      <c r="CA1085" t="str">
        <f t="shared" si="85"/>
        <v>7/1/2020 - 6/30/2021</v>
      </c>
      <c r="CF1085">
        <v>1</v>
      </c>
      <c r="CG1085" t="s">
        <v>98</v>
      </c>
      <c r="CH1085" t="s">
        <v>206</v>
      </c>
      <c r="CI1085" t="s">
        <v>206</v>
      </c>
      <c r="CL1085" t="s">
        <v>108</v>
      </c>
      <c r="CM1085" t="s">
        <v>109</v>
      </c>
      <c r="CN1085" t="str">
        <f>" Chu"</f>
        <v xml:space="preserve"> Chu</v>
      </c>
      <c r="CO1085" t="str">
        <f>"Peter"</f>
        <v>Peter</v>
      </c>
      <c r="CP1085" t="str">
        <f>"D"</f>
        <v>D</v>
      </c>
      <c r="CQ1085" t="str">
        <f>"Law Office of Peter D. Chu"</f>
        <v>Law Office of Peter D. Chu</v>
      </c>
      <c r="CR1085" t="s">
        <v>5770</v>
      </c>
    </row>
    <row r="1086" spans="1:96" x14ac:dyDescent="0.2">
      <c r="A1086" t="s">
        <v>11260</v>
      </c>
      <c r="B1086" t="s">
        <v>96</v>
      </c>
      <c r="C1086" s="1">
        <v>44098</v>
      </c>
      <c r="D1086" s="1">
        <v>44105</v>
      </c>
      <c r="F1086" t="s">
        <v>97</v>
      </c>
      <c r="G1086" t="str">
        <f>"Data Engineer II"</f>
        <v>Data Engineer II</v>
      </c>
      <c r="H1086" t="s">
        <v>12168</v>
      </c>
      <c r="I1086" t="s">
        <v>1844</v>
      </c>
      <c r="J1086" t="s">
        <v>98</v>
      </c>
      <c r="K1086" s="1">
        <v>44109</v>
      </c>
      <c r="L1086" s="1">
        <v>45203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 t="s">
        <v>8310</v>
      </c>
      <c r="U1086" t="str">
        <f>""</f>
        <v/>
      </c>
      <c r="V1086" t="s">
        <v>8311</v>
      </c>
      <c r="W1086" t="str">
        <f>""</f>
        <v/>
      </c>
      <c r="X1086" t="s">
        <v>4779</v>
      </c>
      <c r="Y1086" t="s">
        <v>371</v>
      </c>
      <c r="Z1086" s="3">
        <v>74701</v>
      </c>
      <c r="AA1086" t="s">
        <v>101</v>
      </c>
      <c r="AC1086" s="4" t="str">
        <f>"+15809169140"</f>
        <v>+15809169140</v>
      </c>
      <c r="AE1086" t="str">
        <f>"92115"</f>
        <v>92115</v>
      </c>
      <c r="AF1086" t="s">
        <v>8312</v>
      </c>
      <c r="AG1086" t="s">
        <v>1910</v>
      </c>
      <c r="AI1086" t="s">
        <v>3747</v>
      </c>
      <c r="AJ1086" t="s">
        <v>8314</v>
      </c>
      <c r="AK1086" t="str">
        <f>""</f>
        <v/>
      </c>
      <c r="AL1086" t="s">
        <v>4779</v>
      </c>
      <c r="AM1086" t="s">
        <v>371</v>
      </c>
      <c r="AN1086" s="3">
        <v>74701</v>
      </c>
      <c r="AO1086" t="s">
        <v>101</v>
      </c>
      <c r="AQ1086" t="str">
        <f>"+15809169140"</f>
        <v>+15809169140</v>
      </c>
      <c r="AS1086" t="s">
        <v>8313</v>
      </c>
      <c r="AT1086" t="s">
        <v>107</v>
      </c>
      <c r="AU1086" t="str">
        <f>"Cohen"</f>
        <v>Cohen</v>
      </c>
      <c r="AV1086" t="str">
        <f>"Adam"</f>
        <v>Adam</v>
      </c>
      <c r="AW1086" t="str">
        <f>"Scott"</f>
        <v>Scott</v>
      </c>
      <c r="AX1086" t="str">
        <f>"1028 Oakhaven Rd"</f>
        <v>1028 Oakhaven Rd</v>
      </c>
      <c r="AY1086" t="str">
        <f>""</f>
        <v/>
      </c>
      <c r="AZ1086" t="str">
        <f>"Memphis"</f>
        <v>Memphis</v>
      </c>
      <c r="BA1086" t="str">
        <f>"TN"</f>
        <v>TN</v>
      </c>
      <c r="BB1086" s="3">
        <v>38119</v>
      </c>
      <c r="BC1086" t="str">
        <f>"UNITED STATES OF AMERICA"</f>
        <v>UNITED STATES OF AMERICA</v>
      </c>
      <c r="BD1086" t="str">
        <f>""</f>
        <v/>
      </c>
      <c r="BE1086" t="str">
        <f>"+19016826455"</f>
        <v>+19016826455</v>
      </c>
      <c r="BF1086" t="str">
        <f>""</f>
        <v/>
      </c>
      <c r="BG1086" t="str">
        <f>"acohen@visalaw.com"</f>
        <v>acohen@visalaw.com</v>
      </c>
      <c r="BH1086" t="str">
        <f>"Siskind Susser PC"</f>
        <v>Siskind Susser PC</v>
      </c>
      <c r="BI1086" t="str">
        <f>"FL"</f>
        <v>FL</v>
      </c>
      <c r="BJ1086" t="str">
        <f>"Supreme Court"</f>
        <v>Supreme Court</v>
      </c>
      <c r="BK1086">
        <v>1</v>
      </c>
      <c r="BL1086" t="s">
        <v>102</v>
      </c>
      <c r="BM1086" t="str">
        <f>""</f>
        <v/>
      </c>
      <c r="BN1086" t="s">
        <v>8314</v>
      </c>
      <c r="BP1086" t="s">
        <v>4779</v>
      </c>
      <c r="BQ1086" t="s">
        <v>3701</v>
      </c>
      <c r="BR1086" t="s">
        <v>371</v>
      </c>
      <c r="BS1086" s="5">
        <v>74701</v>
      </c>
      <c r="BT1086" s="2">
        <v>90000</v>
      </c>
      <c r="BV1086" t="s">
        <v>105</v>
      </c>
      <c r="BW1086" s="2">
        <v>63066</v>
      </c>
      <c r="BX1086" t="s">
        <v>105</v>
      </c>
      <c r="BZ1086" t="s">
        <v>123</v>
      </c>
      <c r="CA1086" t="str">
        <f t="shared" si="85"/>
        <v>7/1/2020 - 6/30/2021</v>
      </c>
      <c r="CF1086">
        <v>1</v>
      </c>
      <c r="CG1086" t="s">
        <v>98</v>
      </c>
      <c r="CH1086" t="s">
        <v>206</v>
      </c>
      <c r="CI1086" t="s">
        <v>206</v>
      </c>
      <c r="CL1086" t="s">
        <v>108</v>
      </c>
      <c r="CM1086" t="s">
        <v>109</v>
      </c>
      <c r="CN1086" t="str">
        <f>"Schaffler"</f>
        <v>Schaffler</v>
      </c>
      <c r="CO1086" t="str">
        <f>"Macrae"</f>
        <v>Macrae</v>
      </c>
      <c r="CP1086" t="str">
        <f>""</f>
        <v/>
      </c>
      <c r="CQ1086" t="str">
        <f>"Siskind Susser PC"</f>
        <v>Siskind Susser PC</v>
      </c>
      <c r="CR1086" t="s">
        <v>3655</v>
      </c>
    </row>
    <row r="1087" spans="1:96" x14ac:dyDescent="0.2">
      <c r="A1087" t="s">
        <v>11262</v>
      </c>
      <c r="B1087" t="s">
        <v>96</v>
      </c>
      <c r="C1087" s="1">
        <v>44098</v>
      </c>
      <c r="D1087" s="1">
        <v>44105</v>
      </c>
      <c r="F1087" t="s">
        <v>97</v>
      </c>
      <c r="G1087" t="str">
        <f>"Lead Cyber Security Engineer"</f>
        <v>Lead Cyber Security Engineer</v>
      </c>
      <c r="H1087" t="s">
        <v>12176</v>
      </c>
      <c r="I1087" t="s">
        <v>246</v>
      </c>
      <c r="J1087" t="s">
        <v>98</v>
      </c>
      <c r="K1087" s="1">
        <v>44102</v>
      </c>
      <c r="L1087" s="1">
        <v>45196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 t="s">
        <v>11263</v>
      </c>
      <c r="U1087" t="str">
        <f>""</f>
        <v/>
      </c>
      <c r="V1087" t="s">
        <v>11264</v>
      </c>
      <c r="W1087" t="str">
        <f>"SUITE 350"</f>
        <v>SUITE 350</v>
      </c>
      <c r="X1087" t="s">
        <v>1497</v>
      </c>
      <c r="Y1087" t="s">
        <v>265</v>
      </c>
      <c r="Z1087" s="3">
        <v>48335</v>
      </c>
      <c r="AA1087" t="s">
        <v>101</v>
      </c>
      <c r="AC1087" s="4" t="str">
        <f>"+12488001143"</f>
        <v>+12488001143</v>
      </c>
      <c r="AE1087" t="str">
        <f>"541511"</f>
        <v>541511</v>
      </c>
      <c r="AF1087" t="s">
        <v>5016</v>
      </c>
      <c r="AG1087" t="s">
        <v>5017</v>
      </c>
      <c r="AI1087" t="s">
        <v>978</v>
      </c>
      <c r="AJ1087" t="s">
        <v>5015</v>
      </c>
      <c r="AK1087" t="str">
        <f>"STE 350"</f>
        <v>STE 350</v>
      </c>
      <c r="AL1087" t="s">
        <v>1497</v>
      </c>
      <c r="AM1087" t="s">
        <v>265</v>
      </c>
      <c r="AN1087" s="3">
        <v>48335</v>
      </c>
      <c r="AO1087" t="s">
        <v>101</v>
      </c>
      <c r="AQ1087" t="str">
        <f>"+12488001143"</f>
        <v>+12488001143</v>
      </c>
      <c r="AS1087" t="s">
        <v>5018</v>
      </c>
      <c r="AT1087" t="s">
        <v>107</v>
      </c>
      <c r="AU1087" t="str">
        <f>"Prescott"</f>
        <v>Prescott</v>
      </c>
      <c r="AV1087" t="str">
        <f>"Chris"</f>
        <v>Chris</v>
      </c>
      <c r="AW1087" t="str">
        <f>""</f>
        <v/>
      </c>
      <c r="AX1087" t="str">
        <f>"1125 EXECUTIVE CIRCLE"</f>
        <v>1125 EXECUTIVE CIRCLE</v>
      </c>
      <c r="AY1087" t="str">
        <f>"Suite 200"</f>
        <v>Suite 200</v>
      </c>
      <c r="AZ1087" t="str">
        <f>"IRVING"</f>
        <v>IRVING</v>
      </c>
      <c r="BA1087" t="str">
        <f>"TX"</f>
        <v>TX</v>
      </c>
      <c r="BB1087" s="3">
        <v>75038</v>
      </c>
      <c r="BC1087" t="str">
        <f>"UNITED STATES OF AMERICA"</f>
        <v>UNITED STATES OF AMERICA</v>
      </c>
      <c r="BD1087" t="str">
        <f>"TX"</f>
        <v>TX</v>
      </c>
      <c r="BE1087" t="str">
        <f>"+19726506848"</f>
        <v>+19726506848</v>
      </c>
      <c r="BF1087" t="str">
        <f>""</f>
        <v/>
      </c>
      <c r="BG1087" t="str">
        <f>"cprescott@patellegal.com"</f>
        <v>cprescott@patellegal.com</v>
      </c>
      <c r="BH1087" t="str">
        <f>"PATEL LAW GROUP, PLLC"</f>
        <v>PATEL LAW GROUP, PLLC</v>
      </c>
      <c r="BI1087" t="str">
        <f>"WI"</f>
        <v>WI</v>
      </c>
      <c r="BJ1087" t="str">
        <f>"WISCONSIN SUPREME COURT "</f>
        <v xml:space="preserve">WISCONSIN SUPREME COURT </v>
      </c>
      <c r="BK1087">
        <v>1</v>
      </c>
      <c r="BL1087" t="s">
        <v>107</v>
      </c>
      <c r="BM1087" t="str">
        <f>" Luminar Technologies Inc"</f>
        <v xml:space="preserve"> Luminar Technologies Inc</v>
      </c>
      <c r="BN1087" t="s">
        <v>11265</v>
      </c>
      <c r="BP1087" t="s">
        <v>1521</v>
      </c>
      <c r="BQ1087" t="s">
        <v>377</v>
      </c>
      <c r="BR1087" t="s">
        <v>577</v>
      </c>
      <c r="BS1087" s="5">
        <v>32826</v>
      </c>
      <c r="BT1087" s="2">
        <v>83512</v>
      </c>
      <c r="BV1087" t="s">
        <v>105</v>
      </c>
      <c r="BW1087" s="2">
        <v>83512</v>
      </c>
      <c r="BX1087" t="s">
        <v>105</v>
      </c>
      <c r="BZ1087" t="s">
        <v>167</v>
      </c>
      <c r="CA1087" t="str">
        <f t="shared" si="85"/>
        <v>7/1/2020 - 6/30/2021</v>
      </c>
      <c r="CF1087">
        <v>2</v>
      </c>
      <c r="CG1087" t="s">
        <v>98</v>
      </c>
      <c r="CH1087" t="s">
        <v>206</v>
      </c>
      <c r="CI1087" t="s">
        <v>206</v>
      </c>
      <c r="CL1087" t="s">
        <v>108</v>
      </c>
      <c r="CM1087" t="s">
        <v>109</v>
      </c>
      <c r="CN1087" t="str">
        <f>"Prescott"</f>
        <v>Prescott</v>
      </c>
      <c r="CO1087" t="str">
        <f>"Chris"</f>
        <v>Chris</v>
      </c>
      <c r="CP1087" t="str">
        <f>""</f>
        <v/>
      </c>
      <c r="CQ1087" t="str">
        <f>"PATEL LAW GROUP, PLLC"</f>
        <v>PATEL LAW GROUP, PLLC</v>
      </c>
      <c r="CR1087" t="s">
        <v>5676</v>
      </c>
    </row>
    <row r="1088" spans="1:96" x14ac:dyDescent="0.2">
      <c r="A1088" t="s">
        <v>11270</v>
      </c>
      <c r="B1088" t="s">
        <v>96</v>
      </c>
      <c r="C1088" s="1">
        <v>44098</v>
      </c>
      <c r="D1088" s="1">
        <v>44105</v>
      </c>
      <c r="F1088" t="s">
        <v>97</v>
      </c>
      <c r="G1088" t="str">
        <f>"SOFTWARE DEVELOPER"</f>
        <v>SOFTWARE DEVELOPER</v>
      </c>
      <c r="H1088" t="s">
        <v>12169</v>
      </c>
      <c r="I1088" t="s">
        <v>124</v>
      </c>
      <c r="J1088" t="s">
        <v>98</v>
      </c>
      <c r="K1088" s="1">
        <v>44105</v>
      </c>
      <c r="L1088" s="1">
        <v>45199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8913</v>
      </c>
      <c r="U1088" t="str">
        <f>""</f>
        <v/>
      </c>
      <c r="V1088" t="s">
        <v>8914</v>
      </c>
      <c r="W1088" t="str">
        <f>""</f>
        <v/>
      </c>
      <c r="X1088" t="s">
        <v>6602</v>
      </c>
      <c r="Y1088" t="s">
        <v>100</v>
      </c>
      <c r="Z1088" s="3">
        <v>8840</v>
      </c>
      <c r="AA1088" t="s">
        <v>101</v>
      </c>
      <c r="AC1088" s="4" t="str">
        <f>"+18009206290"</f>
        <v>+18009206290</v>
      </c>
      <c r="AE1088" t="str">
        <f>"541511"</f>
        <v>541511</v>
      </c>
      <c r="AF1088" t="s">
        <v>1517</v>
      </c>
      <c r="AG1088" t="s">
        <v>8915</v>
      </c>
      <c r="AI1088" t="s">
        <v>228</v>
      </c>
      <c r="AJ1088" t="s">
        <v>8914</v>
      </c>
      <c r="AK1088" t="str">
        <f>""</f>
        <v/>
      </c>
      <c r="AL1088" t="s">
        <v>6602</v>
      </c>
      <c r="AM1088" t="s">
        <v>100</v>
      </c>
      <c r="AN1088" s="3">
        <v>8840</v>
      </c>
      <c r="AO1088" t="s">
        <v>101</v>
      </c>
      <c r="AQ1088" t="str">
        <f>"+18009206290"</f>
        <v>+18009206290</v>
      </c>
      <c r="AS1088" t="s">
        <v>8916</v>
      </c>
      <c r="AT1088" t="s">
        <v>102</v>
      </c>
      <c r="AU1088" t="str">
        <f>""</f>
        <v/>
      </c>
      <c r="AV1088" t="str">
        <f>""</f>
        <v/>
      </c>
      <c r="AW1088" t="str">
        <f>""</f>
        <v/>
      </c>
      <c r="AX1088" t="str">
        <f>""</f>
        <v/>
      </c>
      <c r="AY1088" t="str">
        <f>""</f>
        <v/>
      </c>
      <c r="AZ1088" t="str">
        <f>""</f>
        <v/>
      </c>
      <c r="BA1088" t="str">
        <f>""</f>
        <v/>
      </c>
      <c r="BC1088" t="str">
        <f>""</f>
        <v/>
      </c>
      <c r="BD1088" t="str">
        <f>""</f>
        <v/>
      </c>
      <c r="BE1088" t="str">
        <f>""</f>
        <v/>
      </c>
      <c r="BF1088" t="str">
        <f>""</f>
        <v/>
      </c>
      <c r="BG1088" t="str">
        <f>""</f>
        <v/>
      </c>
      <c r="BH1088" t="str">
        <f>""</f>
        <v/>
      </c>
      <c r="BI1088" t="str">
        <f>""</f>
        <v/>
      </c>
      <c r="BJ1088" t="str">
        <f>""</f>
        <v/>
      </c>
      <c r="BK1088">
        <v>1</v>
      </c>
      <c r="BL1088" t="s">
        <v>102</v>
      </c>
      <c r="BM1088" t="str">
        <f>""</f>
        <v/>
      </c>
      <c r="BN1088" t="s">
        <v>11271</v>
      </c>
      <c r="BP1088" t="s">
        <v>6602</v>
      </c>
      <c r="BQ1088" t="s">
        <v>104</v>
      </c>
      <c r="BR1088" t="s">
        <v>100</v>
      </c>
      <c r="BS1088" s="5">
        <v>8840</v>
      </c>
      <c r="BT1088" s="2">
        <v>48.33</v>
      </c>
      <c r="BV1088" t="s">
        <v>210</v>
      </c>
      <c r="BW1088" s="2">
        <v>48.33</v>
      </c>
      <c r="BX1088" t="s">
        <v>210</v>
      </c>
      <c r="BZ1088" t="s">
        <v>167</v>
      </c>
      <c r="CA1088" t="str">
        <f t="shared" si="85"/>
        <v>7/1/2020 - 6/30/2021</v>
      </c>
      <c r="CF1088">
        <v>2</v>
      </c>
      <c r="CG1088" t="s">
        <v>98</v>
      </c>
      <c r="CH1088" t="s">
        <v>206</v>
      </c>
      <c r="CI1088" t="s">
        <v>206</v>
      </c>
      <c r="CL1088" t="s">
        <v>108</v>
      </c>
      <c r="CM1088" t="s">
        <v>109</v>
      </c>
      <c r="CN1088" t="str">
        <f>""</f>
        <v/>
      </c>
      <c r="CO1088" t="str">
        <f>""</f>
        <v/>
      </c>
      <c r="CP1088" t="str">
        <f>""</f>
        <v/>
      </c>
      <c r="CQ1088" t="str">
        <f>""</f>
        <v/>
      </c>
    </row>
    <row r="1089" spans="1:96" x14ac:dyDescent="0.2">
      <c r="A1089" t="s">
        <v>11272</v>
      </c>
      <c r="B1089" t="s">
        <v>96</v>
      </c>
      <c r="C1089" s="1">
        <v>44098</v>
      </c>
      <c r="D1089" s="1">
        <v>44105</v>
      </c>
      <c r="F1089" t="s">
        <v>97</v>
      </c>
      <c r="G1089" t="str">
        <f>"Knit Designer"</f>
        <v>Knit Designer</v>
      </c>
      <c r="H1089" t="s">
        <v>12257</v>
      </c>
      <c r="I1089" t="s">
        <v>1786</v>
      </c>
      <c r="J1089" t="s">
        <v>98</v>
      </c>
      <c r="K1089" s="1">
        <v>44105</v>
      </c>
      <c r="L1089" s="1">
        <v>45199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11273</v>
      </c>
      <c r="U1089" t="str">
        <f>""</f>
        <v/>
      </c>
      <c r="V1089" t="s">
        <v>11274</v>
      </c>
      <c r="W1089" t="str">
        <f>"Suite 300"</f>
        <v>Suite 300</v>
      </c>
      <c r="X1089" t="s">
        <v>811</v>
      </c>
      <c r="Y1089" t="s">
        <v>594</v>
      </c>
      <c r="Z1089" s="3">
        <v>29607</v>
      </c>
      <c r="AA1089" t="s">
        <v>101</v>
      </c>
      <c r="AC1089" s="4" t="str">
        <f>"+18644593232"</f>
        <v>+18644593232</v>
      </c>
      <c r="AE1089" t="str">
        <f>"336360"</f>
        <v>336360</v>
      </c>
      <c r="AF1089" t="s">
        <v>11275</v>
      </c>
      <c r="AG1089" t="s">
        <v>1578</v>
      </c>
      <c r="AI1089" t="s">
        <v>8429</v>
      </c>
      <c r="AJ1089" t="s">
        <v>11274</v>
      </c>
      <c r="AK1089" t="str">
        <f>"Suite 300"</f>
        <v>Suite 300</v>
      </c>
      <c r="AL1089" t="s">
        <v>811</v>
      </c>
      <c r="AM1089" t="s">
        <v>594</v>
      </c>
      <c r="AN1089" s="3">
        <v>29607</v>
      </c>
      <c r="AO1089" t="s">
        <v>101</v>
      </c>
      <c r="AQ1089" t="str">
        <f>"+18646301043"</f>
        <v>+18646301043</v>
      </c>
      <c r="AS1089" t="s">
        <v>108</v>
      </c>
      <c r="AT1089" t="s">
        <v>107</v>
      </c>
      <c r="AU1089" t="str">
        <f>"HERRMANN"</f>
        <v>HERRMANN</v>
      </c>
      <c r="AV1089" t="str">
        <f>"CHRISTIAN"</f>
        <v>CHRISTIAN</v>
      </c>
      <c r="AW1089" t="str">
        <f>""</f>
        <v/>
      </c>
      <c r="AX1089" t="str">
        <f>"300 NORTH MAIN STREET"</f>
        <v>300 NORTH MAIN STREET</v>
      </c>
      <c r="AY1089" t="str">
        <f>"SUITE 500"</f>
        <v>SUITE 500</v>
      </c>
      <c r="AZ1089" t="str">
        <f>"GREENVILLE"</f>
        <v>GREENVILLE</v>
      </c>
      <c r="BA1089" t="str">
        <f>"SC"</f>
        <v>SC</v>
      </c>
      <c r="BB1089" s="3">
        <v>29601</v>
      </c>
      <c r="BC1089" t="str">
        <f t="shared" ref="BC1089:BC1100" si="86">"UNITED STATES OF AMERICA"</f>
        <v>UNITED STATES OF AMERICA</v>
      </c>
      <c r="BD1089" t="str">
        <f>""</f>
        <v/>
      </c>
      <c r="BE1089" t="str">
        <f>"+18642408214"</f>
        <v>+18642408214</v>
      </c>
      <c r="BF1089" t="str">
        <f>""</f>
        <v/>
      </c>
      <c r="BG1089" t="str">
        <f>"CHRISTIAN.HERRMANN@OGLETREE.COM"</f>
        <v>CHRISTIAN.HERRMANN@OGLETREE.COM</v>
      </c>
      <c r="BH1089" t="str">
        <f>"Ogletree Deakins Nash Smoak &amp; Stewart, P.C."</f>
        <v>Ogletree Deakins Nash Smoak &amp; Stewart, P.C.</v>
      </c>
      <c r="BI1089" t="str">
        <f>"CA"</f>
        <v>CA</v>
      </c>
      <c r="BJ1089" t="str">
        <f>"CALIFORNIA SUPREME COURT"</f>
        <v>CALIFORNIA SUPREME COURT</v>
      </c>
      <c r="BK1089">
        <v>1</v>
      </c>
      <c r="BL1089" t="s">
        <v>102</v>
      </c>
      <c r="BM1089" t="str">
        <f>""</f>
        <v/>
      </c>
      <c r="BN1089" t="s">
        <v>11276</v>
      </c>
      <c r="BO1089" t="s">
        <v>754</v>
      </c>
      <c r="BP1089" t="s">
        <v>811</v>
      </c>
      <c r="BQ1089" t="s">
        <v>5895</v>
      </c>
      <c r="BR1089" t="s">
        <v>594</v>
      </c>
      <c r="BS1089" s="5">
        <v>29607</v>
      </c>
      <c r="BT1089" s="2">
        <v>58386</v>
      </c>
      <c r="BU1089" s="2">
        <v>59500</v>
      </c>
      <c r="BV1089" t="s">
        <v>105</v>
      </c>
      <c r="BW1089" s="2">
        <v>58386</v>
      </c>
      <c r="BX1089" t="s">
        <v>105</v>
      </c>
      <c r="BZ1089" t="s">
        <v>167</v>
      </c>
      <c r="CA1089" t="str">
        <f t="shared" si="85"/>
        <v>7/1/2020 - 6/30/2021</v>
      </c>
      <c r="CF1089">
        <v>1</v>
      </c>
      <c r="CG1089" t="s">
        <v>98</v>
      </c>
      <c r="CH1089" t="s">
        <v>206</v>
      </c>
      <c r="CI1089" t="s">
        <v>206</v>
      </c>
      <c r="CL1089" t="s">
        <v>108</v>
      </c>
      <c r="CM1089" t="s">
        <v>109</v>
      </c>
      <c r="CN1089" t="str">
        <f>""</f>
        <v/>
      </c>
      <c r="CO1089" t="str">
        <f>""</f>
        <v/>
      </c>
      <c r="CP1089" t="str">
        <f>""</f>
        <v/>
      </c>
      <c r="CQ1089" t="str">
        <f>""</f>
        <v/>
      </c>
    </row>
    <row r="1090" spans="1:96" x14ac:dyDescent="0.2">
      <c r="A1090" t="s">
        <v>11277</v>
      </c>
      <c r="B1090" t="s">
        <v>96</v>
      </c>
      <c r="C1090" s="1">
        <v>44098</v>
      </c>
      <c r="D1090" s="1">
        <v>44105</v>
      </c>
      <c r="F1090" t="s">
        <v>97</v>
      </c>
      <c r="G1090" t="str">
        <f>"ENGINEERING MANAGER"</f>
        <v>ENGINEERING MANAGER</v>
      </c>
      <c r="H1090" t="s">
        <v>12178</v>
      </c>
      <c r="I1090" t="s">
        <v>582</v>
      </c>
      <c r="J1090" t="s">
        <v>98</v>
      </c>
      <c r="K1090" s="1">
        <v>44102</v>
      </c>
      <c r="L1090" s="1">
        <v>45196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 t="s">
        <v>3582</v>
      </c>
      <c r="U1090" t="str">
        <f>""</f>
        <v/>
      </c>
      <c r="V1090" t="s">
        <v>3583</v>
      </c>
      <c r="W1090" t="str">
        <f>"4 Copley Place"</f>
        <v>4 Copley Place</v>
      </c>
      <c r="X1090" t="s">
        <v>207</v>
      </c>
      <c r="Y1090" t="s">
        <v>171</v>
      </c>
      <c r="Z1090" s="3">
        <v>2116</v>
      </c>
      <c r="AA1090" t="s">
        <v>101</v>
      </c>
      <c r="AC1090" s="4" t="str">
        <f>"+18573153115"</f>
        <v>+18573153115</v>
      </c>
      <c r="AE1090" t="str">
        <f>"454110"</f>
        <v>454110</v>
      </c>
      <c r="AF1090" t="s">
        <v>3584</v>
      </c>
      <c r="AG1090" t="s">
        <v>567</v>
      </c>
      <c r="AI1090" t="s">
        <v>937</v>
      </c>
      <c r="AJ1090" t="s">
        <v>3585</v>
      </c>
      <c r="AK1090" t="str">
        <f>"4 COPLEY PLACE"</f>
        <v>4 COPLEY PLACE</v>
      </c>
      <c r="AL1090" t="s">
        <v>951</v>
      </c>
      <c r="AM1090" t="s">
        <v>171</v>
      </c>
      <c r="AN1090" s="3">
        <v>2116</v>
      </c>
      <c r="AO1090" t="s">
        <v>101</v>
      </c>
      <c r="AQ1090" t="str">
        <f>"+18573153115"</f>
        <v>+18573153115</v>
      </c>
      <c r="AS1090" t="s">
        <v>3586</v>
      </c>
      <c r="AT1090" t="s">
        <v>107</v>
      </c>
      <c r="AU1090" t="str">
        <f>"Wilson"</f>
        <v>Wilson</v>
      </c>
      <c r="AV1090" t="str">
        <f>"Mariah"</f>
        <v>Mariah</v>
      </c>
      <c r="AW1090" t="str">
        <f>"G"</f>
        <v>G</v>
      </c>
      <c r="AX1090" t="str">
        <f>"100 High Street"</f>
        <v>100 High Street</v>
      </c>
      <c r="AY1090" t="str">
        <f>"3rd Floor"</f>
        <v>3rd Floor</v>
      </c>
      <c r="AZ1090" t="str">
        <f>"Boston"</f>
        <v>Boston</v>
      </c>
      <c r="BA1090" t="str">
        <f>"MA"</f>
        <v>MA</v>
      </c>
      <c r="BB1090" s="3">
        <v>2110</v>
      </c>
      <c r="BC1090" t="str">
        <f t="shared" si="86"/>
        <v>UNITED STATES OF AMERICA</v>
      </c>
      <c r="BD1090" t="str">
        <f>""</f>
        <v/>
      </c>
      <c r="BE1090" t="str">
        <f>"+16175740400"</f>
        <v>+16175740400</v>
      </c>
      <c r="BF1090" t="str">
        <f>""</f>
        <v/>
      </c>
      <c r="BG1090" t="str">
        <f>"wayfair@fragomen.com"</f>
        <v>wayfair@fragomen.com</v>
      </c>
      <c r="BH1090" t="str">
        <f>"Fragomen, Del Rey, Bernsen, &amp; Loewy, LLP"</f>
        <v>Fragomen, Del Rey, Bernsen, &amp; Loewy, LLP</v>
      </c>
      <c r="BI1090" t="str">
        <f>"MA"</f>
        <v>MA</v>
      </c>
      <c r="BJ1090" t="str">
        <f>"Supreme Judicial Court"</f>
        <v>Supreme Judicial Court</v>
      </c>
      <c r="BK1090">
        <v>1</v>
      </c>
      <c r="BL1090" t="s">
        <v>102</v>
      </c>
      <c r="BM1090" t="str">
        <f>""</f>
        <v/>
      </c>
      <c r="BN1090" t="s">
        <v>3583</v>
      </c>
      <c r="BO1090" t="s">
        <v>3587</v>
      </c>
      <c r="BP1090" t="s">
        <v>951</v>
      </c>
      <c r="BQ1090" t="s">
        <v>209</v>
      </c>
      <c r="BR1090" t="s">
        <v>171</v>
      </c>
      <c r="BS1090" s="5">
        <v>2116</v>
      </c>
      <c r="BT1090" s="2">
        <v>146450</v>
      </c>
      <c r="BV1090" t="s">
        <v>105</v>
      </c>
      <c r="BW1090" s="2">
        <v>132995</v>
      </c>
      <c r="BX1090" t="s">
        <v>105</v>
      </c>
      <c r="BZ1090" t="s">
        <v>167</v>
      </c>
      <c r="CA1090" t="str">
        <f t="shared" si="85"/>
        <v>7/1/2020 - 6/30/2021</v>
      </c>
      <c r="CF1090">
        <v>3</v>
      </c>
      <c r="CG1090" t="s">
        <v>98</v>
      </c>
      <c r="CH1090" t="s">
        <v>206</v>
      </c>
      <c r="CI1090" t="s">
        <v>206</v>
      </c>
      <c r="CL1090" t="s">
        <v>108</v>
      </c>
      <c r="CM1090" t="s">
        <v>109</v>
      </c>
      <c r="CN1090" t="str">
        <f>"MENON"</f>
        <v>MENON</v>
      </c>
      <c r="CO1090" t="str">
        <f>"ANAND"</f>
        <v>ANAND</v>
      </c>
      <c r="CP1090" t="str">
        <f>""</f>
        <v/>
      </c>
      <c r="CQ1090" t="str">
        <f>"FRAGOMEN, DEL REY, BERNSEN, &amp; LOEWY, LLP"</f>
        <v>FRAGOMEN, DEL REY, BERNSEN, &amp; LOEWY, LLP</v>
      </c>
      <c r="CR1090" t="s">
        <v>4633</v>
      </c>
    </row>
    <row r="1091" spans="1:96" x14ac:dyDescent="0.2">
      <c r="A1091" t="s">
        <v>11278</v>
      </c>
      <c r="B1091" t="s">
        <v>96</v>
      </c>
      <c r="C1091" s="1">
        <v>44098</v>
      </c>
      <c r="D1091" s="1">
        <v>44105</v>
      </c>
      <c r="F1091" t="s">
        <v>97</v>
      </c>
      <c r="G1091" t="str">
        <f>"Principal Product Management "</f>
        <v xml:space="preserve">Principal Product Management </v>
      </c>
      <c r="H1091" t="s">
        <v>12210</v>
      </c>
      <c r="I1091" t="s">
        <v>1841</v>
      </c>
      <c r="J1091" t="s">
        <v>98</v>
      </c>
      <c r="K1091" s="1">
        <v>44123</v>
      </c>
      <c r="L1091" s="1">
        <v>45217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 t="s">
        <v>431</v>
      </c>
      <c r="U1091" t="str">
        <f>""</f>
        <v/>
      </c>
      <c r="V1091" t="s">
        <v>432</v>
      </c>
      <c r="W1091" t="str">
        <f>""</f>
        <v/>
      </c>
      <c r="X1091" t="s">
        <v>433</v>
      </c>
      <c r="Y1091" t="s">
        <v>176</v>
      </c>
      <c r="Z1091" s="3">
        <v>98121</v>
      </c>
      <c r="AA1091" t="s">
        <v>101</v>
      </c>
      <c r="AC1091" s="4" t="str">
        <f>"+12062661000"</f>
        <v>+12062661000</v>
      </c>
      <c r="AE1091" t="str">
        <f>"45411"</f>
        <v>45411</v>
      </c>
      <c r="AF1091" t="s">
        <v>4134</v>
      </c>
      <c r="AG1091" t="s">
        <v>4135</v>
      </c>
      <c r="AH1091" t="s">
        <v>108</v>
      </c>
      <c r="AI1091" t="s">
        <v>262</v>
      </c>
      <c r="AJ1091" t="s">
        <v>432</v>
      </c>
      <c r="AK1091" t="str">
        <f>""</f>
        <v/>
      </c>
      <c r="AL1091" t="s">
        <v>261</v>
      </c>
      <c r="AM1091" t="s">
        <v>176</v>
      </c>
      <c r="AN1091" s="3">
        <v>98121</v>
      </c>
      <c r="AO1091" t="s">
        <v>101</v>
      </c>
      <c r="AQ1091" t="str">
        <f>"+12062661000"</f>
        <v>+12062661000</v>
      </c>
      <c r="AS1091" t="s">
        <v>263</v>
      </c>
      <c r="AT1091" t="s">
        <v>107</v>
      </c>
      <c r="AU1091" t="str">
        <f>"Montes Peifer"</f>
        <v>Montes Peifer</v>
      </c>
      <c r="AV1091" t="str">
        <f>"Aida"</f>
        <v>Aida</v>
      </c>
      <c r="AW1091" t="str">
        <f>"N/A"</f>
        <v>N/A</v>
      </c>
      <c r="AX1091" t="str">
        <f>"2400 N. Glenville Drive"</f>
        <v>2400 N. Glenville Drive</v>
      </c>
      <c r="AY1091" t="str">
        <f>"Building A, Suite 100"</f>
        <v>Building A, Suite 100</v>
      </c>
      <c r="AZ1091" t="str">
        <f>"Richardson"</f>
        <v>Richardson</v>
      </c>
      <c r="BA1091" t="str">
        <f>"TX"</f>
        <v>TX</v>
      </c>
      <c r="BB1091" s="3">
        <v>75082</v>
      </c>
      <c r="BC1091" t="str">
        <f t="shared" si="86"/>
        <v>UNITED STATES OF AMERICA</v>
      </c>
      <c r="BD1091" t="str">
        <f>""</f>
        <v/>
      </c>
      <c r="BE1091" t="str">
        <f>"+14695052922"</f>
        <v>+14695052922</v>
      </c>
      <c r="BF1091" t="str">
        <f>""</f>
        <v/>
      </c>
      <c r="BG1091" t="str">
        <f>"bthomas@balglobal.com"</f>
        <v>bthomas@balglobal.com</v>
      </c>
      <c r="BH1091" t="str">
        <f>"Berry Appleman and Leiden LLP"</f>
        <v>Berry Appleman and Leiden LLP</v>
      </c>
      <c r="BI1091" t="str">
        <f>"OH"</f>
        <v>OH</v>
      </c>
      <c r="BJ1091" t="str">
        <f>"Supreme Court"</f>
        <v>Supreme Court</v>
      </c>
      <c r="BK1091">
        <v>1</v>
      </c>
      <c r="BL1091" t="s">
        <v>102</v>
      </c>
      <c r="BM1091" t="str">
        <f>""</f>
        <v/>
      </c>
      <c r="BN1091" t="s">
        <v>4784</v>
      </c>
      <c r="BP1091" t="s">
        <v>261</v>
      </c>
      <c r="BQ1091" t="s">
        <v>183</v>
      </c>
      <c r="BR1091" t="s">
        <v>176</v>
      </c>
      <c r="BS1091" s="5">
        <v>98109</v>
      </c>
      <c r="BT1091" s="2">
        <v>160000</v>
      </c>
      <c r="BV1091" t="s">
        <v>105</v>
      </c>
      <c r="BW1091" s="2">
        <v>149949</v>
      </c>
      <c r="BX1091" t="s">
        <v>105</v>
      </c>
      <c r="CA1091" t="str">
        <f>""</f>
        <v/>
      </c>
      <c r="CB1091" t="s">
        <v>244</v>
      </c>
      <c r="CC1091">
        <v>2020</v>
      </c>
      <c r="CD1091" t="s">
        <v>355</v>
      </c>
      <c r="CE1091" t="s">
        <v>355</v>
      </c>
      <c r="CF1091">
        <v>2</v>
      </c>
      <c r="CG1091" t="s">
        <v>98</v>
      </c>
      <c r="CH1091" t="s">
        <v>206</v>
      </c>
      <c r="CI1091" t="s">
        <v>206</v>
      </c>
      <c r="CL1091" t="s">
        <v>108</v>
      </c>
      <c r="CM1091" t="s">
        <v>109</v>
      </c>
      <c r="CN1091" t="str">
        <f>""</f>
        <v/>
      </c>
      <c r="CO1091" t="str">
        <f>""</f>
        <v/>
      </c>
      <c r="CP1091" t="str">
        <f>""</f>
        <v/>
      </c>
      <c r="CQ1091" t="str">
        <f>""</f>
        <v/>
      </c>
    </row>
    <row r="1092" spans="1:96" x14ac:dyDescent="0.2">
      <c r="A1092" t="s">
        <v>11281</v>
      </c>
      <c r="B1092" t="s">
        <v>96</v>
      </c>
      <c r="C1092" s="1">
        <v>44098</v>
      </c>
      <c r="D1092" s="1">
        <v>44105</v>
      </c>
      <c r="F1092" t="s">
        <v>97</v>
      </c>
      <c r="G1092" t="str">
        <f>"SOFTWARE DEVELOPMENT ENGINEER II"</f>
        <v>SOFTWARE DEVELOPMENT ENGINEER II</v>
      </c>
      <c r="H1092" t="s">
        <v>12169</v>
      </c>
      <c r="I1092" t="s">
        <v>124</v>
      </c>
      <c r="J1092" t="s">
        <v>98</v>
      </c>
      <c r="K1092" s="1">
        <v>44278</v>
      </c>
      <c r="L1092" s="1">
        <v>45373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 t="s">
        <v>440</v>
      </c>
      <c r="U1092" t="str">
        <f>""</f>
        <v/>
      </c>
      <c r="V1092" t="s">
        <v>809</v>
      </c>
      <c r="W1092" t="str">
        <f>"SUITE 500"</f>
        <v>SUITE 500</v>
      </c>
      <c r="X1092" t="s">
        <v>433</v>
      </c>
      <c r="Y1092" t="s">
        <v>176</v>
      </c>
      <c r="Z1092" s="3">
        <v>98121</v>
      </c>
      <c r="AA1092" t="s">
        <v>101</v>
      </c>
      <c r="AC1092" s="4" t="str">
        <f>"+12062661000"</f>
        <v>+12062661000</v>
      </c>
      <c r="AE1092" t="str">
        <f>"454110"</f>
        <v>454110</v>
      </c>
      <c r="AF1092" t="s">
        <v>442</v>
      </c>
      <c r="AG1092" t="s">
        <v>443</v>
      </c>
      <c r="AH1092" t="s">
        <v>108</v>
      </c>
      <c r="AI1092" t="s">
        <v>434</v>
      </c>
      <c r="AJ1092" t="s">
        <v>809</v>
      </c>
      <c r="AK1092" t="str">
        <f>"SUITE 500"</f>
        <v>SUITE 500</v>
      </c>
      <c r="AL1092" t="s">
        <v>433</v>
      </c>
      <c r="AM1092" t="s">
        <v>176</v>
      </c>
      <c r="AN1092" s="3">
        <v>98121</v>
      </c>
      <c r="AO1092" t="s">
        <v>101</v>
      </c>
      <c r="AQ1092" t="str">
        <f>"+12062661000"</f>
        <v>+12062661000</v>
      </c>
      <c r="AS1092" t="s">
        <v>263</v>
      </c>
      <c r="AT1092" t="s">
        <v>107</v>
      </c>
      <c r="AU1092" t="str">
        <f>"MARANCI"</f>
        <v>MARANCI</v>
      </c>
      <c r="AV1092" t="str">
        <f>"DANIEL"</f>
        <v>DANIEL</v>
      </c>
      <c r="AW1092" t="str">
        <f>"N/A"</f>
        <v>N/A</v>
      </c>
      <c r="AX1092" t="str">
        <f>"100 HIGH STREET"</f>
        <v>100 HIGH STREET</v>
      </c>
      <c r="AY1092" t="str">
        <f>"3RD FLOOR C#5284044"</f>
        <v>3RD FLOOR C#5284044</v>
      </c>
      <c r="AZ1092" t="str">
        <f>"BOSTON"</f>
        <v>BOSTON</v>
      </c>
      <c r="BA1092" t="str">
        <f>"MA"</f>
        <v>MA</v>
      </c>
      <c r="BB1092" s="3">
        <v>2110</v>
      </c>
      <c r="BC1092" t="str">
        <f t="shared" si="86"/>
        <v>UNITED STATES OF AMERICA</v>
      </c>
      <c r="BD1092" t="str">
        <f>""</f>
        <v/>
      </c>
      <c r="BE1092" t="str">
        <f>"+16175740400"</f>
        <v>+16175740400</v>
      </c>
      <c r="BF1092" t="str">
        <f>""</f>
        <v/>
      </c>
      <c r="BG1092" t="str">
        <f>"AMAZONINDIA@FRAGOMEN.COM"</f>
        <v>AMAZONINDIA@FRAGOMEN.COM</v>
      </c>
      <c r="BH1092" t="str">
        <f>"FRAGOMEN, DEL REY, BERNSEN &amp; LOEWY, LLP"</f>
        <v>FRAGOMEN, DEL REY, BERNSEN &amp; LOEWY, LLP</v>
      </c>
      <c r="BI1092" t="str">
        <f>"MA"</f>
        <v>MA</v>
      </c>
      <c r="BJ1092" t="str">
        <f>"SUPREME JUDICIAL COURT"</f>
        <v>SUPREME JUDICIAL COURT</v>
      </c>
      <c r="BK1092">
        <v>1</v>
      </c>
      <c r="BL1092" t="s">
        <v>102</v>
      </c>
      <c r="BM1092" t="str">
        <f>""</f>
        <v/>
      </c>
      <c r="BN1092" t="s">
        <v>432</v>
      </c>
      <c r="BP1092" t="s">
        <v>433</v>
      </c>
      <c r="BQ1092" t="s">
        <v>183</v>
      </c>
      <c r="BR1092" t="s">
        <v>176</v>
      </c>
      <c r="BS1092" s="5">
        <v>98121</v>
      </c>
      <c r="BT1092" s="2">
        <v>140100</v>
      </c>
      <c r="BV1092" t="s">
        <v>105</v>
      </c>
      <c r="BW1092" s="2">
        <v>113110</v>
      </c>
      <c r="BX1092" t="s">
        <v>105</v>
      </c>
      <c r="BZ1092" t="s">
        <v>167</v>
      </c>
      <c r="CA1092" t="str">
        <f t="shared" ref="CA1092:CA1120" si="87">"7/1/2020 - 6/30/2021"</f>
        <v>7/1/2020 - 6/30/2021</v>
      </c>
      <c r="CF1092">
        <v>1</v>
      </c>
      <c r="CG1092" t="s">
        <v>98</v>
      </c>
      <c r="CH1092" t="s">
        <v>206</v>
      </c>
      <c r="CI1092" t="s">
        <v>206</v>
      </c>
      <c r="CL1092" t="s">
        <v>108</v>
      </c>
      <c r="CM1092" t="s">
        <v>109</v>
      </c>
      <c r="CN1092" t="str">
        <f>"SUNNY"</f>
        <v>SUNNY</v>
      </c>
      <c r="CO1092" t="str">
        <f>"JASMIN"</f>
        <v>JASMIN</v>
      </c>
      <c r="CP1092" t="str">
        <f>"N/A"</f>
        <v>N/A</v>
      </c>
      <c r="CQ1092" t="str">
        <f>"FRAGOMEN, DEL REY, BERNSEN &amp; LOEWY, LLP"</f>
        <v>FRAGOMEN, DEL REY, BERNSEN &amp; LOEWY, LLP</v>
      </c>
      <c r="CR1092" t="s">
        <v>650</v>
      </c>
    </row>
    <row r="1093" spans="1:96" x14ac:dyDescent="0.2">
      <c r="A1093" t="s">
        <v>11284</v>
      </c>
      <c r="B1093" t="s">
        <v>96</v>
      </c>
      <c r="C1093" s="1">
        <v>44098</v>
      </c>
      <c r="D1093" s="1">
        <v>44105</v>
      </c>
      <c r="F1093" t="s">
        <v>97</v>
      </c>
      <c r="G1093" t="str">
        <f>"Lead Credit Risk Analyst"</f>
        <v>Lead Credit Risk Analyst</v>
      </c>
      <c r="H1093" t="s">
        <v>12213</v>
      </c>
      <c r="I1093" t="s">
        <v>493</v>
      </c>
      <c r="J1093" t="s">
        <v>98</v>
      </c>
      <c r="K1093" s="1">
        <v>44102</v>
      </c>
      <c r="L1093" s="1">
        <v>45196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 t="s">
        <v>9376</v>
      </c>
      <c r="U1093" t="str">
        <f>""</f>
        <v/>
      </c>
      <c r="V1093" t="s">
        <v>11029</v>
      </c>
      <c r="W1093" t="str">
        <f>""</f>
        <v/>
      </c>
      <c r="X1093" t="s">
        <v>2253</v>
      </c>
      <c r="Y1093" t="s">
        <v>594</v>
      </c>
      <c r="Z1093" s="3">
        <v>29306</v>
      </c>
      <c r="AA1093" t="s">
        <v>101</v>
      </c>
      <c r="AC1093" s="4" t="str">
        <f>"+18645155600"</f>
        <v>+18645155600</v>
      </c>
      <c r="AE1093" t="str">
        <f>"522310"</f>
        <v>522310</v>
      </c>
      <c r="AF1093" t="s">
        <v>1385</v>
      </c>
      <c r="AG1093" t="s">
        <v>9378</v>
      </c>
      <c r="AI1093" t="s">
        <v>9379</v>
      </c>
      <c r="AJ1093" t="s">
        <v>11029</v>
      </c>
      <c r="AK1093" t="str">
        <f>""</f>
        <v/>
      </c>
      <c r="AL1093" t="s">
        <v>2253</v>
      </c>
      <c r="AM1093" t="s">
        <v>594</v>
      </c>
      <c r="AN1093" s="3">
        <v>29306</v>
      </c>
      <c r="AO1093" t="s">
        <v>101</v>
      </c>
      <c r="AQ1093" t="str">
        <f>"+18642425227"</f>
        <v>+18642425227</v>
      </c>
      <c r="AS1093" t="s">
        <v>108</v>
      </c>
      <c r="AT1093" t="s">
        <v>107</v>
      </c>
      <c r="AU1093" t="str">
        <f>"HERRMANN"</f>
        <v>HERRMANN</v>
      </c>
      <c r="AV1093" t="str">
        <f>"CHRISTIAN"</f>
        <v>CHRISTIAN</v>
      </c>
      <c r="AW1093" t="str">
        <f>""</f>
        <v/>
      </c>
      <c r="AX1093" t="str">
        <f>"300 NORTH MAIN STREET"</f>
        <v>300 NORTH MAIN STREET</v>
      </c>
      <c r="AY1093" t="str">
        <f>"SUITE 500"</f>
        <v>SUITE 500</v>
      </c>
      <c r="AZ1093" t="str">
        <f>"GREENVILLE"</f>
        <v>GREENVILLE</v>
      </c>
      <c r="BA1093" t="str">
        <f>"SC"</f>
        <v>SC</v>
      </c>
      <c r="BB1093" s="3">
        <v>29601</v>
      </c>
      <c r="BC1093" t="str">
        <f t="shared" si="86"/>
        <v>UNITED STATES OF AMERICA</v>
      </c>
      <c r="BD1093" t="str">
        <f>""</f>
        <v/>
      </c>
      <c r="BE1093" t="str">
        <f>"+18642408214"</f>
        <v>+18642408214</v>
      </c>
      <c r="BF1093" t="str">
        <f>""</f>
        <v/>
      </c>
      <c r="BG1093" t="str">
        <f>"CHRISTIAN.HERRMANN@OGLETREE.COM"</f>
        <v>CHRISTIAN.HERRMANN@OGLETREE.COM</v>
      </c>
      <c r="BH1093" t="str">
        <f>"Ogletree Deakins Nash Smoak &amp; Stewart, P.C."</f>
        <v>Ogletree Deakins Nash Smoak &amp; Stewart, P.C.</v>
      </c>
      <c r="BI1093" t="str">
        <f>"CA"</f>
        <v>CA</v>
      </c>
      <c r="BJ1093" t="str">
        <f>"CALIFORNIA SUPREME COURT"</f>
        <v>CALIFORNIA SUPREME COURT</v>
      </c>
      <c r="BK1093">
        <v>1</v>
      </c>
      <c r="BL1093" t="s">
        <v>102</v>
      </c>
      <c r="BM1093" t="str">
        <f>""</f>
        <v/>
      </c>
      <c r="BN1093" t="s">
        <v>9377</v>
      </c>
      <c r="BP1093" t="s">
        <v>2253</v>
      </c>
      <c r="BQ1093" t="s">
        <v>5845</v>
      </c>
      <c r="BR1093" t="s">
        <v>594</v>
      </c>
      <c r="BS1093" s="5">
        <v>29306</v>
      </c>
      <c r="BT1093" s="2">
        <v>101088</v>
      </c>
      <c r="BU1093" s="2">
        <v>106000</v>
      </c>
      <c r="BV1093" t="s">
        <v>105</v>
      </c>
      <c r="BW1093" s="2">
        <v>91978</v>
      </c>
      <c r="BX1093" t="s">
        <v>105</v>
      </c>
      <c r="BZ1093" t="s">
        <v>159</v>
      </c>
      <c r="CA1093" t="str">
        <f t="shared" si="87"/>
        <v>7/1/2020 - 6/30/2021</v>
      </c>
      <c r="CF1093">
        <v>2</v>
      </c>
      <c r="CG1093" t="s">
        <v>98</v>
      </c>
      <c r="CH1093" t="s">
        <v>206</v>
      </c>
      <c r="CI1093" t="s">
        <v>206</v>
      </c>
      <c r="CL1093" t="s">
        <v>108</v>
      </c>
      <c r="CM1093" t="s">
        <v>109</v>
      </c>
      <c r="CN1093" t="str">
        <f>""</f>
        <v/>
      </c>
      <c r="CO1093" t="str">
        <f>""</f>
        <v/>
      </c>
      <c r="CP1093" t="str">
        <f>""</f>
        <v/>
      </c>
      <c r="CQ1093" t="str">
        <f>""</f>
        <v/>
      </c>
    </row>
    <row r="1094" spans="1:96" x14ac:dyDescent="0.2">
      <c r="A1094" t="s">
        <v>11295</v>
      </c>
      <c r="B1094" t="s">
        <v>96</v>
      </c>
      <c r="C1094" s="1">
        <v>44098</v>
      </c>
      <c r="D1094" s="1">
        <v>44105</v>
      </c>
      <c r="F1094" t="s">
        <v>97</v>
      </c>
      <c r="G1094" t="str">
        <f>"Senior Statistical Programmer"</f>
        <v>Senior Statistical Programmer</v>
      </c>
      <c r="H1094" t="s">
        <v>12180</v>
      </c>
      <c r="I1094" t="s">
        <v>390</v>
      </c>
      <c r="J1094" t="s">
        <v>98</v>
      </c>
      <c r="K1094" s="1">
        <v>44142</v>
      </c>
      <c r="L1094" s="1">
        <v>45236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 t="s">
        <v>7232</v>
      </c>
      <c r="U1094" t="str">
        <f>""</f>
        <v/>
      </c>
      <c r="V1094" t="s">
        <v>7233</v>
      </c>
      <c r="W1094" t="str">
        <f>""</f>
        <v/>
      </c>
      <c r="X1094" t="s">
        <v>3588</v>
      </c>
      <c r="Y1094" t="s">
        <v>171</v>
      </c>
      <c r="Z1094" s="3">
        <v>2466</v>
      </c>
      <c r="AA1094" t="s">
        <v>101</v>
      </c>
      <c r="AC1094" s="4" t="str">
        <f>"+19874356467"</f>
        <v>+19874356467</v>
      </c>
      <c r="AE1094" t="str">
        <f>"541714"</f>
        <v>541714</v>
      </c>
      <c r="AF1094" t="s">
        <v>4225</v>
      </c>
      <c r="AG1094" t="s">
        <v>881</v>
      </c>
      <c r="AI1094" t="s">
        <v>7234</v>
      </c>
      <c r="AJ1094" t="s">
        <v>8270</v>
      </c>
      <c r="AK1094" t="str">
        <f>""</f>
        <v/>
      </c>
      <c r="AL1094" t="s">
        <v>7235</v>
      </c>
      <c r="AM1094" t="s">
        <v>171</v>
      </c>
      <c r="AN1094" s="3">
        <v>1821</v>
      </c>
      <c r="AO1094" t="s">
        <v>101</v>
      </c>
      <c r="AQ1094" t="str">
        <f>"+19784958070"</f>
        <v>+19784958070</v>
      </c>
      <c r="AS1094" t="s">
        <v>7236</v>
      </c>
      <c r="AT1094" t="s">
        <v>107</v>
      </c>
      <c r="AU1094" t="str">
        <f>" LEDBETTER"</f>
        <v xml:space="preserve"> LEDBETTER</v>
      </c>
      <c r="AV1094" t="str">
        <f>"ERIC"</f>
        <v>ERIC</v>
      </c>
      <c r="AW1094" t="str">
        <f>""</f>
        <v/>
      </c>
      <c r="AX1094" t="str">
        <f>"300 N LASALLE STREET"</f>
        <v>300 N LASALLE STREET</v>
      </c>
      <c r="AY1094" t="str">
        <f>"STE. 4000"</f>
        <v>STE. 4000</v>
      </c>
      <c r="AZ1094" t="str">
        <f>"CHICAGO"</f>
        <v>CHICAGO</v>
      </c>
      <c r="BA1094" t="str">
        <f>"IL"</f>
        <v>IL</v>
      </c>
      <c r="BB1094" s="3">
        <v>60654</v>
      </c>
      <c r="BC1094" t="str">
        <f t="shared" si="86"/>
        <v>UNITED STATES OF AMERICA</v>
      </c>
      <c r="BD1094" t="str">
        <f>""</f>
        <v/>
      </c>
      <c r="BE1094" t="str">
        <f>"+13127155018"</f>
        <v>+13127155018</v>
      </c>
      <c r="BF1094" t="str">
        <f>""</f>
        <v/>
      </c>
      <c r="BG1094" t="str">
        <f>"Candace.Savino@QUARLES.COM"</f>
        <v>Candace.Savino@QUARLES.COM</v>
      </c>
      <c r="BH1094" t="str">
        <f>" QUARLES &amp; BRADY LLP"</f>
        <v xml:space="preserve"> QUARLES &amp; BRADY LLP</v>
      </c>
      <c r="BI1094" t="str">
        <f>"IL"</f>
        <v>IL</v>
      </c>
      <c r="BJ1094" t="str">
        <f>"SUPREME COURT OF IL"</f>
        <v>SUPREME COURT OF IL</v>
      </c>
      <c r="BK1094">
        <v>1</v>
      </c>
      <c r="BL1094" t="s">
        <v>102</v>
      </c>
      <c r="BM1094" t="str">
        <f>""</f>
        <v/>
      </c>
      <c r="BN1094" t="s">
        <v>11296</v>
      </c>
      <c r="BP1094" t="s">
        <v>7508</v>
      </c>
      <c r="BQ1094" t="s">
        <v>7235</v>
      </c>
      <c r="BR1094" t="s">
        <v>171</v>
      </c>
      <c r="BS1094" s="5">
        <v>1821</v>
      </c>
      <c r="BT1094" s="2">
        <v>110000</v>
      </c>
      <c r="BV1094" t="s">
        <v>105</v>
      </c>
      <c r="BW1094" s="2">
        <v>100942</v>
      </c>
      <c r="BX1094" t="s">
        <v>105</v>
      </c>
      <c r="BZ1094" t="s">
        <v>167</v>
      </c>
      <c r="CA1094" t="str">
        <f t="shared" si="87"/>
        <v>7/1/2020 - 6/30/2021</v>
      </c>
      <c r="CF1094">
        <v>2</v>
      </c>
      <c r="CG1094" t="s">
        <v>98</v>
      </c>
      <c r="CH1094" t="s">
        <v>206</v>
      </c>
      <c r="CI1094" t="s">
        <v>206</v>
      </c>
      <c r="CL1094" t="s">
        <v>108</v>
      </c>
      <c r="CM1094" t="s">
        <v>109</v>
      </c>
      <c r="CN1094" t="str">
        <f>"Savino"</f>
        <v>Savino</v>
      </c>
      <c r="CO1094" t="str">
        <f>"Candace"</f>
        <v>Candace</v>
      </c>
      <c r="CP1094" t="str">
        <f>""</f>
        <v/>
      </c>
      <c r="CQ1094" t="str">
        <f>"Quarles &amp; Brady LLP"</f>
        <v>Quarles &amp; Brady LLP</v>
      </c>
      <c r="CR1094" t="s">
        <v>7237</v>
      </c>
    </row>
    <row r="1095" spans="1:96" x14ac:dyDescent="0.2">
      <c r="A1095" t="s">
        <v>11300</v>
      </c>
      <c r="B1095" t="s">
        <v>96</v>
      </c>
      <c r="C1095" s="1">
        <v>44098</v>
      </c>
      <c r="D1095" s="1">
        <v>44105</v>
      </c>
      <c r="F1095" t="s">
        <v>97</v>
      </c>
      <c r="G1095" t="str">
        <f>"Technology Specialist"</f>
        <v>Technology Specialist</v>
      </c>
      <c r="H1095" t="s">
        <v>12169</v>
      </c>
      <c r="I1095" t="s">
        <v>124</v>
      </c>
      <c r="J1095" t="s">
        <v>98</v>
      </c>
      <c r="K1095" s="1">
        <v>44105</v>
      </c>
      <c r="L1095" s="1">
        <v>45199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8528</v>
      </c>
      <c r="U1095" t="str">
        <f>""</f>
        <v/>
      </c>
      <c r="V1095" t="s">
        <v>4125</v>
      </c>
      <c r="W1095" t="str">
        <f>"Ste. 301"</f>
        <v>Ste. 301</v>
      </c>
      <c r="X1095" t="s">
        <v>947</v>
      </c>
      <c r="Y1095" t="s">
        <v>100</v>
      </c>
      <c r="Z1095" s="3">
        <v>8540</v>
      </c>
      <c r="AA1095" t="s">
        <v>101</v>
      </c>
      <c r="AC1095" s="4" t="str">
        <f>"+17702906191"</f>
        <v>+17702906191</v>
      </c>
      <c r="AE1095" t="str">
        <f>"541511"</f>
        <v>541511</v>
      </c>
      <c r="AF1095" t="s">
        <v>4126</v>
      </c>
      <c r="AG1095" t="s">
        <v>4127</v>
      </c>
      <c r="AI1095" t="s">
        <v>8529</v>
      </c>
      <c r="AJ1095" t="s">
        <v>4125</v>
      </c>
      <c r="AK1095" t="str">
        <f>"Ste. 301"</f>
        <v>Ste. 301</v>
      </c>
      <c r="AL1095" t="s">
        <v>947</v>
      </c>
      <c r="AM1095" t="s">
        <v>100</v>
      </c>
      <c r="AN1095" s="3">
        <v>8540</v>
      </c>
      <c r="AO1095" t="s">
        <v>101</v>
      </c>
      <c r="AQ1095" t="str">
        <f>"+17702906191"</f>
        <v>+17702906191</v>
      </c>
      <c r="AS1095" t="s">
        <v>4128</v>
      </c>
      <c r="AT1095" t="s">
        <v>107</v>
      </c>
      <c r="AU1095" t="str">
        <f>"Nasr"</f>
        <v>Nasr</v>
      </c>
      <c r="AV1095" t="str">
        <f>"Catherine"</f>
        <v>Catherine</v>
      </c>
      <c r="AW1095" t="str">
        <f>""</f>
        <v/>
      </c>
      <c r="AX1095" t="str">
        <f>"5250 Corporate Drive"</f>
        <v>5250 Corporate Drive</v>
      </c>
      <c r="AY1095" t="str">
        <f>"Ste. 300"</f>
        <v>Ste. 300</v>
      </c>
      <c r="AZ1095" t="str">
        <f>"Troy"</f>
        <v>Troy</v>
      </c>
      <c r="BA1095" t="str">
        <f>"MI"</f>
        <v>MI</v>
      </c>
      <c r="BB1095" s="3">
        <v>48098</v>
      </c>
      <c r="BC1095" t="str">
        <f t="shared" si="86"/>
        <v>UNITED STATES OF AMERICA</v>
      </c>
      <c r="BD1095" t="str">
        <f>""</f>
        <v/>
      </c>
      <c r="BE1095" t="str">
        <f>"+12486434900"</f>
        <v>+12486434900</v>
      </c>
      <c r="BF1095" t="str">
        <f>""</f>
        <v/>
      </c>
      <c r="BG1095" t="str">
        <f>"Dena@employmentimmigration.com"</f>
        <v>Dena@employmentimmigration.com</v>
      </c>
      <c r="BH1095" t="str">
        <f>"Fakhoury Global Immigration, USA PC"</f>
        <v>Fakhoury Global Immigration, USA PC</v>
      </c>
      <c r="BI1095" t="str">
        <f>"MI"</f>
        <v>MI</v>
      </c>
      <c r="BJ1095" t="str">
        <f>"Supreme Court"</f>
        <v>Supreme Court</v>
      </c>
      <c r="BK1095">
        <v>1</v>
      </c>
      <c r="BL1095" t="s">
        <v>107</v>
      </c>
      <c r="BM1095" t="str">
        <f>"Coforge,"</f>
        <v>Coforge,</v>
      </c>
      <c r="BN1095" t="s">
        <v>10859</v>
      </c>
      <c r="BO1095" t="s">
        <v>6523</v>
      </c>
      <c r="BP1095" t="s">
        <v>213</v>
      </c>
      <c r="BQ1095" t="s">
        <v>481</v>
      </c>
      <c r="BR1095" t="s">
        <v>215</v>
      </c>
      <c r="BS1095" s="5">
        <v>30338</v>
      </c>
      <c r="BT1095" s="2">
        <v>85842</v>
      </c>
      <c r="BV1095" t="s">
        <v>105</v>
      </c>
      <c r="BW1095" s="2">
        <v>85842</v>
      </c>
      <c r="BX1095" t="s">
        <v>105</v>
      </c>
      <c r="BZ1095" t="s">
        <v>167</v>
      </c>
      <c r="CA1095" t="str">
        <f t="shared" si="87"/>
        <v>7/1/2020 - 6/30/2021</v>
      </c>
      <c r="CF1095">
        <v>2</v>
      </c>
      <c r="CG1095" t="s">
        <v>98</v>
      </c>
      <c r="CH1095" t="s">
        <v>206</v>
      </c>
      <c r="CI1095" t="s">
        <v>206</v>
      </c>
      <c r="CL1095" t="s">
        <v>108</v>
      </c>
      <c r="CM1095" t="s">
        <v>109</v>
      </c>
      <c r="CN1095" t="str">
        <f>"Nasr"</f>
        <v>Nasr</v>
      </c>
      <c r="CO1095" t="str">
        <f>"Catherine"</f>
        <v>Catherine</v>
      </c>
      <c r="CP1095" t="str">
        <f>""</f>
        <v/>
      </c>
      <c r="CQ1095" t="str">
        <f>"Fakhoury Global Immigration, USA PC"</f>
        <v>Fakhoury Global Immigration, USA PC</v>
      </c>
      <c r="CR1095" t="s">
        <v>3322</v>
      </c>
    </row>
    <row r="1096" spans="1:96" x14ac:dyDescent="0.2">
      <c r="A1096" t="s">
        <v>11303</v>
      </c>
      <c r="B1096" t="s">
        <v>96</v>
      </c>
      <c r="C1096" s="1">
        <v>44098</v>
      </c>
      <c r="D1096" s="1">
        <v>44105</v>
      </c>
      <c r="F1096" t="s">
        <v>97</v>
      </c>
      <c r="G1096" t="str">
        <f>"Senior Software Test Engineer"</f>
        <v>Senior Software Test Engineer</v>
      </c>
      <c r="H1096" t="s">
        <v>12169</v>
      </c>
      <c r="I1096" t="s">
        <v>124</v>
      </c>
      <c r="J1096" t="s">
        <v>98</v>
      </c>
      <c r="K1096" s="1">
        <v>44130</v>
      </c>
      <c r="L1096" s="1">
        <v>45224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 t="s">
        <v>4403</v>
      </c>
      <c r="U1096" t="str">
        <f>""</f>
        <v/>
      </c>
      <c r="V1096" t="s">
        <v>4404</v>
      </c>
      <c r="W1096" t="str">
        <f>""</f>
        <v/>
      </c>
      <c r="X1096" t="s">
        <v>157</v>
      </c>
      <c r="Y1096" t="s">
        <v>141</v>
      </c>
      <c r="Z1096" s="3">
        <v>92121</v>
      </c>
      <c r="AA1096" t="s">
        <v>101</v>
      </c>
      <c r="AC1096" s="4" t="str">
        <f>"+18588759520"</f>
        <v>+18588759520</v>
      </c>
      <c r="AE1096" t="str">
        <f>"334510"</f>
        <v>334510</v>
      </c>
      <c r="AF1096" t="s">
        <v>4405</v>
      </c>
      <c r="AG1096" t="s">
        <v>4406</v>
      </c>
      <c r="AH1096" t="s">
        <v>1459</v>
      </c>
      <c r="AI1096" t="s">
        <v>4407</v>
      </c>
      <c r="AJ1096" t="s">
        <v>4404</v>
      </c>
      <c r="AK1096" t="str">
        <f>""</f>
        <v/>
      </c>
      <c r="AL1096" t="s">
        <v>157</v>
      </c>
      <c r="AM1096" t="s">
        <v>141</v>
      </c>
      <c r="AN1096" s="3">
        <v>92121</v>
      </c>
      <c r="AO1096" t="s">
        <v>101</v>
      </c>
      <c r="AQ1096" t="str">
        <f>"+18588759761"</f>
        <v>+18588759761</v>
      </c>
      <c r="AS1096" t="s">
        <v>4408</v>
      </c>
      <c r="AT1096" t="s">
        <v>107</v>
      </c>
      <c r="AU1096" t="str">
        <f>"Mullane"</f>
        <v>Mullane</v>
      </c>
      <c r="AV1096" t="str">
        <f>"Amanda"</f>
        <v>Amanda</v>
      </c>
      <c r="AW1096" t="str">
        <f>"Meghan"</f>
        <v>Meghan</v>
      </c>
      <c r="AX1096" t="str">
        <f>"9920 Pacific Heights Blvd."</f>
        <v>9920 Pacific Heights Blvd.</v>
      </c>
      <c r="AY1096" t="str">
        <f>"Suite 300"</f>
        <v>Suite 300</v>
      </c>
      <c r="AZ1096" t="str">
        <f>"San Diego"</f>
        <v>San Diego</v>
      </c>
      <c r="BA1096" t="str">
        <f>"CA"</f>
        <v>CA</v>
      </c>
      <c r="BB1096" s="3">
        <v>92121</v>
      </c>
      <c r="BC1096" t="str">
        <f t="shared" si="86"/>
        <v>UNITED STATES OF AMERICA</v>
      </c>
      <c r="BD1096" t="str">
        <f>""</f>
        <v/>
      </c>
      <c r="BE1096" t="str">
        <f>"+18586420420"</f>
        <v>+18586420420</v>
      </c>
      <c r="BF1096" t="str">
        <f>""</f>
        <v/>
      </c>
      <c r="BG1096" t="str">
        <f>"amanda@larrabee.com"</f>
        <v>amanda@larrabee.com</v>
      </c>
      <c r="BH1096" t="str">
        <f>"Larrabee Albi Coker LLP"</f>
        <v>Larrabee Albi Coker LLP</v>
      </c>
      <c r="BI1096" t="str">
        <f>"CA"</f>
        <v>CA</v>
      </c>
      <c r="BJ1096" t="str">
        <f>"Supreme Court"</f>
        <v>Supreme Court</v>
      </c>
      <c r="BK1096">
        <v>1</v>
      </c>
      <c r="BL1096" t="s">
        <v>102</v>
      </c>
      <c r="BM1096" t="str">
        <f>""</f>
        <v/>
      </c>
      <c r="BN1096" t="s">
        <v>4409</v>
      </c>
      <c r="BP1096" t="s">
        <v>157</v>
      </c>
      <c r="BQ1096" t="s">
        <v>158</v>
      </c>
      <c r="BR1096" t="s">
        <v>141</v>
      </c>
      <c r="BS1096" s="5">
        <v>92121</v>
      </c>
      <c r="BT1096" s="2">
        <v>117021</v>
      </c>
      <c r="BU1096" s="2">
        <v>120021</v>
      </c>
      <c r="BV1096" t="s">
        <v>105</v>
      </c>
      <c r="BW1096" s="2">
        <v>117021</v>
      </c>
      <c r="BX1096" t="s">
        <v>105</v>
      </c>
      <c r="BZ1096" t="s">
        <v>123</v>
      </c>
      <c r="CA1096" t="str">
        <f t="shared" si="87"/>
        <v>7/1/2020 - 6/30/2021</v>
      </c>
      <c r="CF1096">
        <v>1</v>
      </c>
      <c r="CG1096" t="s">
        <v>98</v>
      </c>
      <c r="CH1096" t="s">
        <v>206</v>
      </c>
      <c r="CI1096" t="s">
        <v>206</v>
      </c>
      <c r="CL1096" t="s">
        <v>108</v>
      </c>
      <c r="CM1096" t="s">
        <v>109</v>
      </c>
      <c r="CN1096" t="str">
        <f>"Gamboa"</f>
        <v>Gamboa</v>
      </c>
      <c r="CO1096" t="str">
        <f>"Nadia"</f>
        <v>Nadia</v>
      </c>
      <c r="CP1096" t="str">
        <f>"R"</f>
        <v>R</v>
      </c>
      <c r="CQ1096" t="str">
        <f>"Larrabee Albi Coker LLP"</f>
        <v>Larrabee Albi Coker LLP</v>
      </c>
      <c r="CR1096" t="s">
        <v>5000</v>
      </c>
    </row>
    <row r="1097" spans="1:96" x14ac:dyDescent="0.2">
      <c r="A1097" t="s">
        <v>11304</v>
      </c>
      <c r="B1097" t="s">
        <v>96</v>
      </c>
      <c r="C1097" s="1">
        <v>44098</v>
      </c>
      <c r="D1097" s="1">
        <v>44105</v>
      </c>
      <c r="F1097" t="s">
        <v>97</v>
      </c>
      <c r="G1097" t="str">
        <f>"Virtual Propulsion Integration Manager"</f>
        <v>Virtual Propulsion Integration Manager</v>
      </c>
      <c r="H1097" t="s">
        <v>12196</v>
      </c>
      <c r="I1097" t="s">
        <v>322</v>
      </c>
      <c r="J1097" t="s">
        <v>98</v>
      </c>
      <c r="K1097" s="1">
        <v>44252</v>
      </c>
      <c r="L1097" s="1">
        <v>45346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 t="s">
        <v>4848</v>
      </c>
      <c r="U1097" t="str">
        <f>""</f>
        <v/>
      </c>
      <c r="V1097" t="s">
        <v>4849</v>
      </c>
      <c r="W1097" t="str">
        <f>"MC: 482-C32-C66"</f>
        <v>MC: 482-C32-C66</v>
      </c>
      <c r="X1097" t="s">
        <v>528</v>
      </c>
      <c r="Y1097" t="s">
        <v>265</v>
      </c>
      <c r="Z1097" s="3" t="s">
        <v>12296</v>
      </c>
      <c r="AA1097" t="s">
        <v>101</v>
      </c>
      <c r="AC1097" s="4" t="str">
        <f>"+13135700122"</f>
        <v>+13135700122</v>
      </c>
      <c r="AE1097" t="str">
        <f>"3361"</f>
        <v>3361</v>
      </c>
      <c r="AF1097" t="s">
        <v>4850</v>
      </c>
      <c r="AG1097" t="s">
        <v>1182</v>
      </c>
      <c r="AI1097" t="s">
        <v>254</v>
      </c>
      <c r="AJ1097" t="s">
        <v>4851</v>
      </c>
      <c r="AK1097" t="str">
        <f>"MC: 482-C32-C66"</f>
        <v>MC: 482-C32-C66</v>
      </c>
      <c r="AL1097" t="s">
        <v>1682</v>
      </c>
      <c r="AM1097" t="s">
        <v>265</v>
      </c>
      <c r="AN1097" s="3" t="s">
        <v>12296</v>
      </c>
      <c r="AO1097" t="s">
        <v>101</v>
      </c>
      <c r="AQ1097" t="str">
        <f>"+13135700122"</f>
        <v>+13135700122</v>
      </c>
      <c r="AS1097" t="s">
        <v>4852</v>
      </c>
      <c r="AT1097" t="s">
        <v>107</v>
      </c>
      <c r="AU1097" t="str">
        <f>"Roby"</f>
        <v>Roby</v>
      </c>
      <c r="AV1097" t="str">
        <f>"Anthony"</f>
        <v>Anthony</v>
      </c>
      <c r="AW1097" t="str">
        <f>"Michael"</f>
        <v>Michael</v>
      </c>
      <c r="AX1097" t="str">
        <f>"566 Ann Street"</f>
        <v>566 Ann Street</v>
      </c>
      <c r="AY1097" t="str">
        <f>""</f>
        <v/>
      </c>
      <c r="AZ1097" t="str">
        <f>"Birmingham "</f>
        <v xml:space="preserve">Birmingham </v>
      </c>
      <c r="BA1097" t="str">
        <f>"MI"</f>
        <v>MI</v>
      </c>
      <c r="BB1097" s="3" t="s">
        <v>12307</v>
      </c>
      <c r="BC1097" t="str">
        <f t="shared" si="86"/>
        <v>UNITED STATES OF AMERICA</v>
      </c>
      <c r="BD1097" t="str">
        <f>""</f>
        <v/>
      </c>
      <c r="BE1097" t="str">
        <f>"+12485548500"</f>
        <v>+12485548500</v>
      </c>
      <c r="BF1097" t="str">
        <f>""</f>
        <v/>
      </c>
      <c r="BG1097" t="str">
        <f>"anthony.roby@robylaw.com"</f>
        <v>anthony.roby@robylaw.com</v>
      </c>
      <c r="BH1097" t="str">
        <f>"Roby Law Associates, PLLC"</f>
        <v>Roby Law Associates, PLLC</v>
      </c>
      <c r="BI1097" t="str">
        <f>"MI"</f>
        <v>MI</v>
      </c>
      <c r="BJ1097" t="str">
        <f>"U.S. Supreme Courts"</f>
        <v>U.S. Supreme Courts</v>
      </c>
      <c r="BK1097">
        <v>1</v>
      </c>
      <c r="BL1097" t="s">
        <v>102</v>
      </c>
      <c r="BM1097" t="str">
        <f>""</f>
        <v/>
      </c>
      <c r="BN1097" t="s">
        <v>5167</v>
      </c>
      <c r="BP1097" t="s">
        <v>1058</v>
      </c>
      <c r="BQ1097" t="s">
        <v>543</v>
      </c>
      <c r="BR1097" t="s">
        <v>265</v>
      </c>
      <c r="BS1097" s="5">
        <v>48093</v>
      </c>
      <c r="BT1097" s="2">
        <v>129868.2</v>
      </c>
      <c r="BV1097" t="s">
        <v>105</v>
      </c>
      <c r="BW1097" s="2">
        <v>111966</v>
      </c>
      <c r="BX1097" t="s">
        <v>105</v>
      </c>
      <c r="BZ1097" t="s">
        <v>159</v>
      </c>
      <c r="CA1097" t="str">
        <f t="shared" si="87"/>
        <v>7/1/2020 - 6/30/2021</v>
      </c>
      <c r="CF1097">
        <v>2</v>
      </c>
      <c r="CG1097" t="s">
        <v>98</v>
      </c>
      <c r="CH1097" t="s">
        <v>206</v>
      </c>
      <c r="CI1097" t="s">
        <v>206</v>
      </c>
      <c r="CL1097" t="s">
        <v>108</v>
      </c>
      <c r="CM1097" t="s">
        <v>109</v>
      </c>
      <c r="CN1097" t="str">
        <f>""</f>
        <v/>
      </c>
      <c r="CO1097" t="str">
        <f>""</f>
        <v/>
      </c>
      <c r="CP1097" t="str">
        <f>""</f>
        <v/>
      </c>
      <c r="CQ1097" t="str">
        <f>""</f>
        <v/>
      </c>
    </row>
    <row r="1098" spans="1:96" x14ac:dyDescent="0.2">
      <c r="A1098" t="s">
        <v>11306</v>
      </c>
      <c r="B1098" t="s">
        <v>96</v>
      </c>
      <c r="C1098" s="1">
        <v>44098</v>
      </c>
      <c r="D1098" s="1">
        <v>44105</v>
      </c>
      <c r="F1098" t="s">
        <v>97</v>
      </c>
      <c r="G1098" t="str">
        <f>"Senior Cloud Services Engineer"</f>
        <v>Senior Cloud Services Engineer</v>
      </c>
      <c r="H1098" t="s">
        <v>12168</v>
      </c>
      <c r="I1098" t="s">
        <v>160</v>
      </c>
      <c r="J1098" t="s">
        <v>98</v>
      </c>
      <c r="K1098" s="1">
        <v>44111</v>
      </c>
      <c r="L1098" s="1">
        <v>45205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 t="s">
        <v>4239</v>
      </c>
      <c r="U1098" t="str">
        <f>""</f>
        <v/>
      </c>
      <c r="V1098" t="s">
        <v>6364</v>
      </c>
      <c r="W1098" t="str">
        <f>""</f>
        <v/>
      </c>
      <c r="X1098" t="s">
        <v>368</v>
      </c>
      <c r="Y1098" t="s">
        <v>370</v>
      </c>
      <c r="Z1098" s="3">
        <v>40202</v>
      </c>
      <c r="AA1098" t="s">
        <v>101</v>
      </c>
      <c r="AC1098" s="4" t="str">
        <f>"+15025808908"</f>
        <v>+15025808908</v>
      </c>
      <c r="AE1098" t="str">
        <f>"524114"</f>
        <v>524114</v>
      </c>
      <c r="AF1098" t="s">
        <v>4240</v>
      </c>
      <c r="AG1098" t="s">
        <v>278</v>
      </c>
      <c r="AI1098" t="s">
        <v>4241</v>
      </c>
      <c r="AJ1098" t="s">
        <v>5480</v>
      </c>
      <c r="AK1098" t="str">
        <f>""</f>
        <v/>
      </c>
      <c r="AL1098" t="s">
        <v>368</v>
      </c>
      <c r="AM1098" t="s">
        <v>370</v>
      </c>
      <c r="AN1098" s="3">
        <v>40202</v>
      </c>
      <c r="AO1098" t="s">
        <v>101</v>
      </c>
      <c r="AQ1098" t="str">
        <f>"+15025808908"</f>
        <v>+15025808908</v>
      </c>
      <c r="AS1098" t="s">
        <v>4242</v>
      </c>
      <c r="AT1098" t="s">
        <v>107</v>
      </c>
      <c r="AU1098" t="str">
        <f>"Davis"</f>
        <v>Davis</v>
      </c>
      <c r="AV1098" t="str">
        <f>"Amber"</f>
        <v>Amber</v>
      </c>
      <c r="AW1098" t="str">
        <f>"Grace"</f>
        <v>Grace</v>
      </c>
      <c r="AX1098" t="str">
        <f>"230 W Monroe St"</f>
        <v>230 W Monroe St</v>
      </c>
      <c r="AY1098" t="str">
        <f>"Suite 2800"</f>
        <v>Suite 2800</v>
      </c>
      <c r="AZ1098" t="str">
        <f>"Chicago"</f>
        <v>Chicago</v>
      </c>
      <c r="BA1098" t="str">
        <f>"IL"</f>
        <v>IL</v>
      </c>
      <c r="BB1098" s="3">
        <v>60606</v>
      </c>
      <c r="BC1098" t="str">
        <f t="shared" si="86"/>
        <v>UNITED STATES OF AMERICA</v>
      </c>
      <c r="BD1098" t="str">
        <f>""</f>
        <v/>
      </c>
      <c r="BE1098" t="str">
        <f>"+13127226300"</f>
        <v>+13127226300</v>
      </c>
      <c r="BF1098" t="str">
        <f>""</f>
        <v/>
      </c>
      <c r="BG1098" t="str">
        <f>"gov@giafirm.com"</f>
        <v>gov@giafirm.com</v>
      </c>
      <c r="BH1098" t="str">
        <f>"Global Immigration Associates, P.C."</f>
        <v>Global Immigration Associates, P.C.</v>
      </c>
      <c r="BI1098" t="str">
        <f>"MA"</f>
        <v>MA</v>
      </c>
      <c r="BJ1098" t="str">
        <f>"Supreme Judicial Court"</f>
        <v>Supreme Judicial Court</v>
      </c>
      <c r="BK1098">
        <v>1</v>
      </c>
      <c r="BL1098" t="s">
        <v>102</v>
      </c>
      <c r="BM1098" t="str">
        <f>""</f>
        <v/>
      </c>
      <c r="BN1098" t="s">
        <v>4243</v>
      </c>
      <c r="BP1098" t="s">
        <v>368</v>
      </c>
      <c r="BQ1098" t="s">
        <v>369</v>
      </c>
      <c r="BR1098" t="s">
        <v>370</v>
      </c>
      <c r="BS1098" s="5">
        <v>40202</v>
      </c>
      <c r="BT1098" s="2">
        <v>125000</v>
      </c>
      <c r="BV1098" t="s">
        <v>105</v>
      </c>
      <c r="BW1098" s="2">
        <v>89274</v>
      </c>
      <c r="BX1098" t="s">
        <v>105</v>
      </c>
      <c r="BZ1098" t="s">
        <v>159</v>
      </c>
      <c r="CA1098" t="str">
        <f t="shared" si="87"/>
        <v>7/1/2020 - 6/30/2021</v>
      </c>
      <c r="CF1098">
        <v>2</v>
      </c>
      <c r="CG1098" t="s">
        <v>98</v>
      </c>
      <c r="CH1098" t="s">
        <v>206</v>
      </c>
      <c r="CI1098" t="s">
        <v>206</v>
      </c>
      <c r="CL1098" t="s">
        <v>108</v>
      </c>
      <c r="CM1098" t="s">
        <v>109</v>
      </c>
      <c r="CN1098" t="str">
        <f>""</f>
        <v/>
      </c>
      <c r="CO1098" t="str">
        <f>""</f>
        <v/>
      </c>
      <c r="CP1098" t="str">
        <f>""</f>
        <v/>
      </c>
      <c r="CQ1098" t="str">
        <f>""</f>
        <v/>
      </c>
    </row>
    <row r="1099" spans="1:96" x14ac:dyDescent="0.2">
      <c r="A1099" t="s">
        <v>11320</v>
      </c>
      <c r="B1099" t="s">
        <v>96</v>
      </c>
      <c r="C1099" s="1">
        <v>44098</v>
      </c>
      <c r="D1099" s="1">
        <v>44105</v>
      </c>
      <c r="F1099" t="s">
        <v>97</v>
      </c>
      <c r="G1099" t="str">
        <f>"Staff Engineer, DevOps"</f>
        <v>Staff Engineer, DevOps</v>
      </c>
      <c r="H1099" t="s">
        <v>12169</v>
      </c>
      <c r="I1099" t="s">
        <v>124</v>
      </c>
      <c r="J1099" t="s">
        <v>98</v>
      </c>
      <c r="K1099" s="1">
        <v>44273</v>
      </c>
      <c r="L1099" s="1">
        <v>45368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 t="s">
        <v>4236</v>
      </c>
      <c r="U1099" t="str">
        <f>""</f>
        <v/>
      </c>
      <c r="V1099" t="s">
        <v>4237</v>
      </c>
      <c r="W1099" t="str">
        <f>"Suite 500"</f>
        <v>Suite 500</v>
      </c>
      <c r="X1099" t="s">
        <v>631</v>
      </c>
      <c r="Y1099" t="s">
        <v>141</v>
      </c>
      <c r="Z1099" s="3">
        <v>94588</v>
      </c>
      <c r="AA1099" t="s">
        <v>101</v>
      </c>
      <c r="AC1099" s="4" t="str">
        <f>"+19252273533"</f>
        <v>+19252273533</v>
      </c>
      <c r="AE1099" t="str">
        <f>"541511"</f>
        <v>541511</v>
      </c>
      <c r="AF1099" t="s">
        <v>3854</v>
      </c>
      <c r="AG1099" t="s">
        <v>1572</v>
      </c>
      <c r="AH1099" t="s">
        <v>2048</v>
      </c>
      <c r="AI1099" t="s">
        <v>8118</v>
      </c>
      <c r="AJ1099" t="s">
        <v>4238</v>
      </c>
      <c r="AK1099" t="str">
        <f>"Suite 500"</f>
        <v>Suite 500</v>
      </c>
      <c r="AL1099" t="s">
        <v>631</v>
      </c>
      <c r="AM1099" t="s">
        <v>141</v>
      </c>
      <c r="AN1099" s="3">
        <v>94588</v>
      </c>
      <c r="AO1099" t="s">
        <v>101</v>
      </c>
      <c r="AQ1099" t="str">
        <f>"+19252273533"</f>
        <v>+19252273533</v>
      </c>
      <c r="AS1099" t="s">
        <v>4819</v>
      </c>
      <c r="AT1099" t="s">
        <v>107</v>
      </c>
      <c r="AU1099" t="str">
        <f>"Nichols"</f>
        <v>Nichols</v>
      </c>
      <c r="AV1099" t="str">
        <f>"Susannah"</f>
        <v>Susannah</v>
      </c>
      <c r="AW1099" t="str">
        <f>"Ellyn"</f>
        <v>Ellyn</v>
      </c>
      <c r="AX1099" t="str">
        <f>"230 W Monroe Street"</f>
        <v>230 W Monroe Street</v>
      </c>
      <c r="AY1099" t="str">
        <f>"Suite 2800"</f>
        <v>Suite 2800</v>
      </c>
      <c r="AZ1099" t="str">
        <f>"Chicago"</f>
        <v>Chicago</v>
      </c>
      <c r="BA1099" t="str">
        <f>"IL"</f>
        <v>IL</v>
      </c>
      <c r="BB1099" s="3">
        <v>60606</v>
      </c>
      <c r="BC1099" t="str">
        <f t="shared" si="86"/>
        <v>UNITED STATES OF AMERICA</v>
      </c>
      <c r="BD1099" t="str">
        <f>""</f>
        <v/>
      </c>
      <c r="BE1099" t="str">
        <f>"+13127226300"</f>
        <v>+13127226300</v>
      </c>
      <c r="BF1099" t="str">
        <f>""</f>
        <v/>
      </c>
      <c r="BG1099" t="str">
        <f>"gov@giafirm.com"</f>
        <v>gov@giafirm.com</v>
      </c>
      <c r="BH1099" t="str">
        <f>"Global Immigration Associates, P.C."</f>
        <v>Global Immigration Associates, P.C.</v>
      </c>
      <c r="BI1099" t="str">
        <f>"VA"</f>
        <v>VA</v>
      </c>
      <c r="BJ1099" t="str">
        <f>"Supreme Court of Virginia"</f>
        <v>Supreme Court of Virginia</v>
      </c>
      <c r="BK1099">
        <v>1</v>
      </c>
      <c r="BL1099" t="s">
        <v>102</v>
      </c>
      <c r="BM1099" t="str">
        <f>""</f>
        <v/>
      </c>
      <c r="BN1099" t="s">
        <v>4237</v>
      </c>
      <c r="BO1099" t="s">
        <v>1336</v>
      </c>
      <c r="BP1099" t="s">
        <v>631</v>
      </c>
      <c r="BQ1099" t="s">
        <v>419</v>
      </c>
      <c r="BR1099" t="s">
        <v>141</v>
      </c>
      <c r="BS1099" s="5">
        <v>94588</v>
      </c>
      <c r="BT1099" s="2">
        <v>167410.89000000001</v>
      </c>
      <c r="BV1099" t="s">
        <v>105</v>
      </c>
      <c r="BW1099" s="2">
        <v>145246</v>
      </c>
      <c r="BX1099" t="s">
        <v>105</v>
      </c>
      <c r="BZ1099" t="s">
        <v>123</v>
      </c>
      <c r="CA1099" t="str">
        <f t="shared" si="87"/>
        <v>7/1/2020 - 6/30/2021</v>
      </c>
      <c r="CF1099">
        <v>2</v>
      </c>
      <c r="CG1099" t="s">
        <v>98</v>
      </c>
      <c r="CH1099" t="s">
        <v>206</v>
      </c>
      <c r="CI1099" t="s">
        <v>206</v>
      </c>
      <c r="CL1099" t="s">
        <v>108</v>
      </c>
      <c r="CM1099" t="s">
        <v>109</v>
      </c>
      <c r="CN1099" t="str">
        <f>""</f>
        <v/>
      </c>
      <c r="CO1099" t="str">
        <f>""</f>
        <v/>
      </c>
      <c r="CP1099" t="str">
        <f>""</f>
        <v/>
      </c>
      <c r="CQ1099" t="str">
        <f>""</f>
        <v/>
      </c>
    </row>
    <row r="1100" spans="1:96" x14ac:dyDescent="0.2">
      <c r="A1100" t="s">
        <v>11322</v>
      </c>
      <c r="B1100" t="s">
        <v>96</v>
      </c>
      <c r="C1100" s="1">
        <v>44098</v>
      </c>
      <c r="D1100" s="1">
        <v>44105</v>
      </c>
      <c r="F1100" t="s">
        <v>97</v>
      </c>
      <c r="G1100" t="str">
        <f>"SOFTWARE ENGINEER II"</f>
        <v>SOFTWARE ENGINEER II</v>
      </c>
      <c r="H1100" t="s">
        <v>12169</v>
      </c>
      <c r="I1100" t="s">
        <v>124</v>
      </c>
      <c r="J1100" t="s">
        <v>98</v>
      </c>
      <c r="K1100" s="1">
        <v>44281</v>
      </c>
      <c r="L1100" s="1">
        <v>45376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 t="s">
        <v>3582</v>
      </c>
      <c r="U1100" t="str">
        <f>""</f>
        <v/>
      </c>
      <c r="V1100" t="s">
        <v>3583</v>
      </c>
      <c r="W1100" t="str">
        <f>"4 Copley Place"</f>
        <v>4 Copley Place</v>
      </c>
      <c r="X1100" t="s">
        <v>207</v>
      </c>
      <c r="Y1100" t="s">
        <v>171</v>
      </c>
      <c r="Z1100" s="3">
        <v>2116</v>
      </c>
      <c r="AA1100" t="s">
        <v>101</v>
      </c>
      <c r="AC1100" s="4" t="str">
        <f>"+18573153115"</f>
        <v>+18573153115</v>
      </c>
      <c r="AE1100" t="str">
        <f>"454110"</f>
        <v>454110</v>
      </c>
      <c r="AF1100" t="s">
        <v>3584</v>
      </c>
      <c r="AG1100" t="s">
        <v>567</v>
      </c>
      <c r="AI1100" t="s">
        <v>937</v>
      </c>
      <c r="AJ1100" t="s">
        <v>3585</v>
      </c>
      <c r="AK1100" t="str">
        <f>"4 COPLEY PLACE"</f>
        <v>4 COPLEY PLACE</v>
      </c>
      <c r="AL1100" t="s">
        <v>951</v>
      </c>
      <c r="AM1100" t="s">
        <v>171</v>
      </c>
      <c r="AN1100" s="3">
        <v>2116</v>
      </c>
      <c r="AO1100" t="s">
        <v>101</v>
      </c>
      <c r="AQ1100" t="str">
        <f>"+18573153115"</f>
        <v>+18573153115</v>
      </c>
      <c r="AS1100" t="s">
        <v>3586</v>
      </c>
      <c r="AT1100" t="s">
        <v>107</v>
      </c>
      <c r="AU1100" t="str">
        <f>"Wilson"</f>
        <v>Wilson</v>
      </c>
      <c r="AV1100" t="str">
        <f>"Mariah"</f>
        <v>Mariah</v>
      </c>
      <c r="AW1100" t="str">
        <f>"G"</f>
        <v>G</v>
      </c>
      <c r="AX1100" t="str">
        <f>"100 High Street"</f>
        <v>100 High Street</v>
      </c>
      <c r="AY1100" t="str">
        <f>"3rd Floor"</f>
        <v>3rd Floor</v>
      </c>
      <c r="AZ1100" t="str">
        <f>"Boston"</f>
        <v>Boston</v>
      </c>
      <c r="BA1100" t="str">
        <f>"MA"</f>
        <v>MA</v>
      </c>
      <c r="BB1100" s="3">
        <v>2110</v>
      </c>
      <c r="BC1100" t="str">
        <f t="shared" si="86"/>
        <v>UNITED STATES OF AMERICA</v>
      </c>
      <c r="BD1100" t="str">
        <f>""</f>
        <v/>
      </c>
      <c r="BE1100" t="str">
        <f>"+16175740400"</f>
        <v>+16175740400</v>
      </c>
      <c r="BF1100" t="str">
        <f>""</f>
        <v/>
      </c>
      <c r="BG1100" t="str">
        <f>"wayfair@fragomen.com"</f>
        <v>wayfair@fragomen.com</v>
      </c>
      <c r="BH1100" t="str">
        <f>"Fragomen, Del Rey, Bernsen, &amp; Loewy, LLP"</f>
        <v>Fragomen, Del Rey, Bernsen, &amp; Loewy, LLP</v>
      </c>
      <c r="BI1100" t="str">
        <f>"MA"</f>
        <v>MA</v>
      </c>
      <c r="BJ1100" t="str">
        <f>"Supreme Judicial Court"</f>
        <v>Supreme Judicial Court</v>
      </c>
      <c r="BK1100">
        <v>1</v>
      </c>
      <c r="BL1100" t="s">
        <v>102</v>
      </c>
      <c r="BM1100" t="str">
        <f>""</f>
        <v/>
      </c>
      <c r="BN1100" t="s">
        <v>3585</v>
      </c>
      <c r="BO1100" t="s">
        <v>4632</v>
      </c>
      <c r="BP1100" t="s">
        <v>951</v>
      </c>
      <c r="BQ1100" t="s">
        <v>209</v>
      </c>
      <c r="BR1100" t="s">
        <v>171</v>
      </c>
      <c r="BS1100" s="5">
        <v>2116</v>
      </c>
      <c r="BT1100" s="2">
        <v>125000</v>
      </c>
      <c r="BV1100" t="s">
        <v>105</v>
      </c>
      <c r="BW1100" s="2">
        <v>115939</v>
      </c>
      <c r="BX1100" t="s">
        <v>105</v>
      </c>
      <c r="BZ1100" t="s">
        <v>123</v>
      </c>
      <c r="CA1100" t="str">
        <f t="shared" si="87"/>
        <v>7/1/2020 - 6/30/2021</v>
      </c>
      <c r="CF1100">
        <v>3</v>
      </c>
      <c r="CG1100" t="s">
        <v>98</v>
      </c>
      <c r="CH1100" t="s">
        <v>206</v>
      </c>
      <c r="CI1100" t="s">
        <v>206</v>
      </c>
      <c r="CL1100" t="s">
        <v>108</v>
      </c>
      <c r="CM1100" t="s">
        <v>109</v>
      </c>
      <c r="CN1100" t="str">
        <f>"MENON"</f>
        <v>MENON</v>
      </c>
      <c r="CO1100" t="str">
        <f>"ANAND"</f>
        <v>ANAND</v>
      </c>
      <c r="CP1100" t="str">
        <f>""</f>
        <v/>
      </c>
      <c r="CQ1100" t="str">
        <f>"FRAGOMEN, DEL REY, BERNSEN, &amp; LOEWY, LLP"</f>
        <v>FRAGOMEN, DEL REY, BERNSEN, &amp; LOEWY, LLP</v>
      </c>
      <c r="CR1100" t="s">
        <v>4633</v>
      </c>
    </row>
    <row r="1101" spans="1:96" x14ac:dyDescent="0.2">
      <c r="A1101" t="s">
        <v>11323</v>
      </c>
      <c r="B1101" t="s">
        <v>96</v>
      </c>
      <c r="C1101" s="1">
        <v>44098</v>
      </c>
      <c r="D1101" s="1">
        <v>44105</v>
      </c>
      <c r="F1101" t="s">
        <v>97</v>
      </c>
      <c r="G1101" t="str">
        <f>"Technical Lead"</f>
        <v>Technical Lead</v>
      </c>
      <c r="H1101" t="s">
        <v>12181</v>
      </c>
      <c r="I1101" t="s">
        <v>110</v>
      </c>
      <c r="J1101" t="s">
        <v>98</v>
      </c>
      <c r="K1101" s="1">
        <v>44116</v>
      </c>
      <c r="L1101" s="1">
        <v>44175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 t="s">
        <v>300</v>
      </c>
      <c r="U1101" t="str">
        <f>""</f>
        <v/>
      </c>
      <c r="V1101" t="s">
        <v>301</v>
      </c>
      <c r="W1101" t="str">
        <f>"BUILDING 002 "</f>
        <v xml:space="preserve">BUILDING 002 </v>
      </c>
      <c r="X1101" t="s">
        <v>302</v>
      </c>
      <c r="Y1101" t="s">
        <v>122</v>
      </c>
      <c r="Z1101" s="3" t="s">
        <v>12292</v>
      </c>
      <c r="AA1101" t="s">
        <v>101</v>
      </c>
      <c r="AB1101" t="s">
        <v>122</v>
      </c>
      <c r="AC1101" s="4" t="str">
        <f>"+19195430507"</f>
        <v>+19195430507</v>
      </c>
      <c r="AE1101" t="str">
        <f>"54151"</f>
        <v>54151</v>
      </c>
      <c r="AF1101" t="s">
        <v>2080</v>
      </c>
      <c r="AG1101" t="s">
        <v>2081</v>
      </c>
      <c r="AI1101" t="s">
        <v>305</v>
      </c>
      <c r="AJ1101" t="s">
        <v>301</v>
      </c>
      <c r="AK1101" t="str">
        <f>""</f>
        <v/>
      </c>
      <c r="AL1101" t="s">
        <v>302</v>
      </c>
      <c r="AM1101" t="s">
        <v>122</v>
      </c>
      <c r="AN1101" s="3">
        <v>27709</v>
      </c>
      <c r="AO1101" t="s">
        <v>101</v>
      </c>
      <c r="AQ1101" t="str">
        <f>"+19195435386"</f>
        <v>+19195435386</v>
      </c>
      <c r="AS1101" t="s">
        <v>2082</v>
      </c>
      <c r="AT1101" t="s">
        <v>102</v>
      </c>
      <c r="AU1101" t="str">
        <f>""</f>
        <v/>
      </c>
      <c r="AV1101" t="str">
        <f>""</f>
        <v/>
      </c>
      <c r="AW1101" t="str">
        <f>""</f>
        <v/>
      </c>
      <c r="AX1101" t="str">
        <f>""</f>
        <v/>
      </c>
      <c r="AY1101" t="str">
        <f>""</f>
        <v/>
      </c>
      <c r="AZ1101" t="str">
        <f>""</f>
        <v/>
      </c>
      <c r="BA1101" t="str">
        <f>""</f>
        <v/>
      </c>
      <c r="BC1101" t="str">
        <f>""</f>
        <v/>
      </c>
      <c r="BD1101" t="str">
        <f>""</f>
        <v/>
      </c>
      <c r="BE1101" t="str">
        <f>""</f>
        <v/>
      </c>
      <c r="BF1101" t="str">
        <f>""</f>
        <v/>
      </c>
      <c r="BG1101" t="str">
        <f>""</f>
        <v/>
      </c>
      <c r="BH1101" t="str">
        <f>""</f>
        <v/>
      </c>
      <c r="BI1101" t="str">
        <f>""</f>
        <v/>
      </c>
      <c r="BJ1101" t="str">
        <f>""</f>
        <v/>
      </c>
      <c r="BK1101">
        <v>1</v>
      </c>
      <c r="BL1101" t="s">
        <v>107</v>
      </c>
      <c r="BM1101" t="str">
        <f>"MetLife, Inc."</f>
        <v>MetLife, Inc.</v>
      </c>
      <c r="BN1101" t="s">
        <v>7628</v>
      </c>
      <c r="BP1101" t="s">
        <v>1775</v>
      </c>
      <c r="BQ1101" t="s">
        <v>1777</v>
      </c>
      <c r="BR1101" t="s">
        <v>1776</v>
      </c>
      <c r="BS1101" s="5">
        <v>19801</v>
      </c>
      <c r="BT1101" s="2">
        <v>104749</v>
      </c>
      <c r="BV1101" t="s">
        <v>105</v>
      </c>
      <c r="BW1101" s="2">
        <v>104749</v>
      </c>
      <c r="BX1101" t="s">
        <v>105</v>
      </c>
      <c r="BZ1101" t="s">
        <v>123</v>
      </c>
      <c r="CA1101" t="str">
        <f t="shared" si="87"/>
        <v>7/1/2020 - 6/30/2021</v>
      </c>
      <c r="CF1101">
        <v>1</v>
      </c>
      <c r="CG1101" t="s">
        <v>98</v>
      </c>
      <c r="CH1101" t="s">
        <v>206</v>
      </c>
      <c r="CI1101" t="s">
        <v>206</v>
      </c>
      <c r="CL1101" t="s">
        <v>108</v>
      </c>
      <c r="CM1101" t="s">
        <v>109</v>
      </c>
      <c r="CN1101" t="str">
        <f>""</f>
        <v/>
      </c>
      <c r="CO1101" t="str">
        <f>""</f>
        <v/>
      </c>
      <c r="CP1101" t="str">
        <f>""</f>
        <v/>
      </c>
      <c r="CQ1101" t="str">
        <f>""</f>
        <v/>
      </c>
    </row>
    <row r="1102" spans="1:96" x14ac:dyDescent="0.2">
      <c r="A1102" t="s">
        <v>11326</v>
      </c>
      <c r="B1102" t="s">
        <v>96</v>
      </c>
      <c r="C1102" s="1">
        <v>44098</v>
      </c>
      <c r="D1102" s="1">
        <v>44105</v>
      </c>
      <c r="F1102" t="s">
        <v>97</v>
      </c>
      <c r="G1102" t="str">
        <f>"Software Engineer 1615.52985"</f>
        <v>Software Engineer 1615.52985</v>
      </c>
      <c r="H1102" t="s">
        <v>12169</v>
      </c>
      <c r="I1102" t="s">
        <v>124</v>
      </c>
      <c r="J1102" t="s">
        <v>98</v>
      </c>
      <c r="K1102" s="1">
        <v>44104</v>
      </c>
      <c r="L1102" s="1">
        <v>45198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 t="s">
        <v>289</v>
      </c>
      <c r="U1102" t="str">
        <f>""</f>
        <v/>
      </c>
      <c r="V1102" t="s">
        <v>290</v>
      </c>
      <c r="W1102" t="str">
        <f>"N/A"</f>
        <v>N/A</v>
      </c>
      <c r="X1102" t="s">
        <v>155</v>
      </c>
      <c r="Y1102" t="s">
        <v>141</v>
      </c>
      <c r="Z1102" s="3">
        <v>94043</v>
      </c>
      <c r="AA1102" t="s">
        <v>101</v>
      </c>
      <c r="AC1102" s="4" t="str">
        <f>"+16502534513"</f>
        <v>+16502534513</v>
      </c>
      <c r="AE1102" t="str">
        <f>"541512"</f>
        <v>541512</v>
      </c>
      <c r="AF1102" t="s">
        <v>291</v>
      </c>
      <c r="AG1102" t="s">
        <v>292</v>
      </c>
      <c r="AH1102" t="s">
        <v>108</v>
      </c>
      <c r="AI1102" t="s">
        <v>293</v>
      </c>
      <c r="AJ1102" t="s">
        <v>290</v>
      </c>
      <c r="AK1102" t="str">
        <f>"N/A"</f>
        <v>N/A</v>
      </c>
      <c r="AL1102" t="s">
        <v>155</v>
      </c>
      <c r="AM1102" t="s">
        <v>141</v>
      </c>
      <c r="AN1102" s="3">
        <v>94043</v>
      </c>
      <c r="AO1102" t="s">
        <v>101</v>
      </c>
      <c r="AQ1102" t="str">
        <f>"+16502534513"</f>
        <v>+16502534513</v>
      </c>
      <c r="AS1102" t="s">
        <v>294</v>
      </c>
      <c r="AT1102" t="s">
        <v>107</v>
      </c>
      <c r="AU1102" t="str">
        <f>"Hussain"</f>
        <v>Hussain</v>
      </c>
      <c r="AV1102" t="str">
        <f>"Saima"</f>
        <v>Saima</v>
      </c>
      <c r="AW1102" t="str">
        <f>"N/A"</f>
        <v>N/A</v>
      </c>
      <c r="AX1102" t="str">
        <f>"2400 N Glenville Dr, Building A"</f>
        <v>2400 N Glenville Dr, Building A</v>
      </c>
      <c r="AY1102" t="str">
        <f>"Suite 100"</f>
        <v>Suite 100</v>
      </c>
      <c r="AZ1102" t="str">
        <f>"Richardson "</f>
        <v xml:space="preserve">Richardson </v>
      </c>
      <c r="BA1102" t="str">
        <f>"TX"</f>
        <v>TX</v>
      </c>
      <c r="BB1102" s="3">
        <v>75082</v>
      </c>
      <c r="BC1102" t="str">
        <f t="shared" ref="BC1102:BC1116" si="88">"UNITED STATES OF AMERICA"</f>
        <v>UNITED STATES OF AMERICA</v>
      </c>
      <c r="BD1102" t="str">
        <f>""</f>
        <v/>
      </c>
      <c r="BE1102" t="str">
        <f>"+19727296272"</f>
        <v>+19727296272</v>
      </c>
      <c r="BF1102" t="str">
        <f>""</f>
        <v/>
      </c>
      <c r="BG1102" t="str">
        <f>"googledol@balglobal.com"</f>
        <v>googledol@balglobal.com</v>
      </c>
      <c r="BH1102" t="str">
        <f>"Berry Appleman &amp; Leiden LLP"</f>
        <v>Berry Appleman &amp; Leiden LLP</v>
      </c>
      <c r="BI1102" t="str">
        <f>"TX"</f>
        <v>TX</v>
      </c>
      <c r="BJ1102" t="str">
        <f>"Supreme Court of Texas"</f>
        <v>Supreme Court of Texas</v>
      </c>
      <c r="BK1102">
        <v>1</v>
      </c>
      <c r="BL1102" t="s">
        <v>102</v>
      </c>
      <c r="BM1102" t="str">
        <f>""</f>
        <v/>
      </c>
      <c r="BN1102" t="s">
        <v>5626</v>
      </c>
      <c r="BP1102" t="s">
        <v>146</v>
      </c>
      <c r="BQ1102" t="s">
        <v>147</v>
      </c>
      <c r="BR1102" t="s">
        <v>141</v>
      </c>
      <c r="BS1102" s="5">
        <v>94105</v>
      </c>
      <c r="BT1102" s="2">
        <v>160000</v>
      </c>
      <c r="BV1102" t="s">
        <v>105</v>
      </c>
      <c r="BW1102" s="2">
        <v>120931</v>
      </c>
      <c r="BX1102" t="s">
        <v>105</v>
      </c>
      <c r="BZ1102" t="s">
        <v>167</v>
      </c>
      <c r="CA1102" t="str">
        <f t="shared" si="87"/>
        <v>7/1/2020 - 6/30/2021</v>
      </c>
      <c r="CF1102">
        <v>3</v>
      </c>
      <c r="CG1102" t="s">
        <v>98</v>
      </c>
      <c r="CH1102" t="s">
        <v>206</v>
      </c>
      <c r="CI1102" t="s">
        <v>206</v>
      </c>
      <c r="CL1102" t="s">
        <v>108</v>
      </c>
      <c r="CM1102" t="s">
        <v>109</v>
      </c>
      <c r="CN1102" t="str">
        <f>"Allen "</f>
        <v xml:space="preserve">Allen </v>
      </c>
      <c r="CO1102" t="str">
        <f>"Deezana "</f>
        <v xml:space="preserve">Deezana </v>
      </c>
      <c r="CP1102" t="str">
        <f>"S"</f>
        <v>S</v>
      </c>
      <c r="CQ1102" t="str">
        <f>"Berry Appleman &amp; Leiden LLP "</f>
        <v xml:space="preserve">Berry Appleman &amp; Leiden LLP </v>
      </c>
      <c r="CR1102" t="s">
        <v>296</v>
      </c>
    </row>
    <row r="1103" spans="1:96" x14ac:dyDescent="0.2">
      <c r="A1103" t="s">
        <v>11327</v>
      </c>
      <c r="B1103" t="s">
        <v>96</v>
      </c>
      <c r="C1103" s="1">
        <v>44098</v>
      </c>
      <c r="D1103" s="1">
        <v>44105</v>
      </c>
      <c r="F1103" t="s">
        <v>97</v>
      </c>
      <c r="G1103" t="str">
        <f>"Sr. Software Engineer (IOS Mobile Applications)"</f>
        <v>Sr. Software Engineer (IOS Mobile Applications)</v>
      </c>
      <c r="H1103" t="s">
        <v>12169</v>
      </c>
      <c r="I1103" t="s">
        <v>124</v>
      </c>
      <c r="J1103" t="s">
        <v>98</v>
      </c>
      <c r="K1103" s="1">
        <v>44116</v>
      </c>
      <c r="L1103" s="1">
        <v>45210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 t="s">
        <v>11328</v>
      </c>
      <c r="U1103" t="str">
        <f>""</f>
        <v/>
      </c>
      <c r="V1103" t="s">
        <v>11329</v>
      </c>
      <c r="W1103" t="str">
        <f>""</f>
        <v/>
      </c>
      <c r="X1103" t="s">
        <v>436</v>
      </c>
      <c r="Y1103" t="s">
        <v>171</v>
      </c>
      <c r="Z1103" s="3">
        <v>2142</v>
      </c>
      <c r="AA1103" t="s">
        <v>101</v>
      </c>
      <c r="AC1103" s="4" t="str">
        <f>"+16172946576"</f>
        <v>+16172946576</v>
      </c>
      <c r="AE1103" t="str">
        <f>"518210"</f>
        <v>518210</v>
      </c>
      <c r="AF1103" t="s">
        <v>11330</v>
      </c>
      <c r="AG1103" t="s">
        <v>1283</v>
      </c>
      <c r="AI1103" t="s">
        <v>2389</v>
      </c>
      <c r="AJ1103" t="s">
        <v>11328</v>
      </c>
      <c r="AK1103" t="str">
        <f>"101 Main Street, 14th Floor"</f>
        <v>101 Main Street, 14th Floor</v>
      </c>
      <c r="AL1103" t="s">
        <v>436</v>
      </c>
      <c r="AM1103" t="s">
        <v>171</v>
      </c>
      <c r="AN1103" s="3">
        <v>2142</v>
      </c>
      <c r="AO1103" t="s">
        <v>101</v>
      </c>
      <c r="AQ1103" t="str">
        <f>"+16172946576"</f>
        <v>+16172946576</v>
      </c>
      <c r="AS1103" t="s">
        <v>11331</v>
      </c>
      <c r="AT1103" t="s">
        <v>107</v>
      </c>
      <c r="AU1103" t="str">
        <f>"Novi"</f>
        <v>Novi</v>
      </c>
      <c r="AV1103" t="str">
        <f>"Maryna"</f>
        <v>Maryna</v>
      </c>
      <c r="AW1103" t="str">
        <f>"D"</f>
        <v>D</v>
      </c>
      <c r="AX1103" t="str">
        <f>"Tocci &amp; Lee, LLC"</f>
        <v>Tocci &amp; Lee, LLC</v>
      </c>
      <c r="AY1103" t="str">
        <f>"1600 Falmouth Road, Suite 30"</f>
        <v>1600 Falmouth Road, Suite 30</v>
      </c>
      <c r="AZ1103" t="str">
        <f>"Centerville"</f>
        <v>Centerville</v>
      </c>
      <c r="BA1103" t="str">
        <f>"MA"</f>
        <v>MA</v>
      </c>
      <c r="BB1103" s="3">
        <v>2632</v>
      </c>
      <c r="BC1103" t="str">
        <f t="shared" si="88"/>
        <v>UNITED STATES OF AMERICA</v>
      </c>
      <c r="BD1103" t="str">
        <f>""</f>
        <v/>
      </c>
      <c r="BE1103" t="str">
        <f>"+15087901181"</f>
        <v>+15087901181</v>
      </c>
      <c r="BF1103" t="str">
        <f>""</f>
        <v/>
      </c>
      <c r="BG1103" t="str">
        <f>"info@toccilee.com"</f>
        <v>info@toccilee.com</v>
      </c>
      <c r="BH1103" t="str">
        <f>"Tocci &amp; Lee, LLC"</f>
        <v>Tocci &amp; Lee, LLC</v>
      </c>
      <c r="BI1103" t="str">
        <f>"MA"</f>
        <v>MA</v>
      </c>
      <c r="BJ1103" t="str">
        <f>"Massachusetts Supreme Judicial Court"</f>
        <v>Massachusetts Supreme Judicial Court</v>
      </c>
      <c r="BK1103">
        <v>1</v>
      </c>
      <c r="BL1103" t="s">
        <v>102</v>
      </c>
      <c r="BM1103" t="str">
        <f>""</f>
        <v/>
      </c>
      <c r="BN1103" t="s">
        <v>11328</v>
      </c>
      <c r="BO1103" t="s">
        <v>11332</v>
      </c>
      <c r="BP1103" t="s">
        <v>436</v>
      </c>
      <c r="BQ1103" t="s">
        <v>1250</v>
      </c>
      <c r="BR1103" t="s">
        <v>171</v>
      </c>
      <c r="BS1103" s="5">
        <v>2142</v>
      </c>
      <c r="BT1103" s="2">
        <v>125000</v>
      </c>
      <c r="BU1103" s="2">
        <v>145000</v>
      </c>
      <c r="BV1103" t="s">
        <v>105</v>
      </c>
      <c r="BW1103" s="2">
        <v>115939</v>
      </c>
      <c r="BX1103" t="s">
        <v>105</v>
      </c>
      <c r="BZ1103" t="s">
        <v>123</v>
      </c>
      <c r="CA1103" t="str">
        <f t="shared" si="87"/>
        <v>7/1/2020 - 6/30/2021</v>
      </c>
      <c r="CF1103">
        <v>2</v>
      </c>
      <c r="CG1103" t="s">
        <v>98</v>
      </c>
      <c r="CH1103" t="s">
        <v>206</v>
      </c>
      <c r="CI1103" t="s">
        <v>206</v>
      </c>
      <c r="CL1103" t="s">
        <v>108</v>
      </c>
      <c r="CM1103" t="s">
        <v>109</v>
      </c>
      <c r="CN1103" t="str">
        <f>""</f>
        <v/>
      </c>
      <c r="CO1103" t="str">
        <f>""</f>
        <v/>
      </c>
      <c r="CP1103" t="str">
        <f>""</f>
        <v/>
      </c>
      <c r="CQ1103" t="str">
        <f>""</f>
        <v/>
      </c>
    </row>
    <row r="1104" spans="1:96" x14ac:dyDescent="0.2">
      <c r="A1104" t="s">
        <v>11333</v>
      </c>
      <c r="B1104" t="s">
        <v>96</v>
      </c>
      <c r="C1104" s="1">
        <v>44098</v>
      </c>
      <c r="D1104" s="1">
        <v>44105</v>
      </c>
      <c r="F1104" t="s">
        <v>97</v>
      </c>
      <c r="G1104" t="str">
        <f>"Software Engineer"</f>
        <v>Software Engineer</v>
      </c>
      <c r="H1104" t="s">
        <v>12169</v>
      </c>
      <c r="I1104" t="s">
        <v>124</v>
      </c>
      <c r="J1104" t="s">
        <v>98</v>
      </c>
      <c r="K1104" s="1">
        <v>44167</v>
      </c>
      <c r="L1104" s="1">
        <v>45261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 t="s">
        <v>1809</v>
      </c>
      <c r="U1104" t="str">
        <f>""</f>
        <v/>
      </c>
      <c r="V1104" t="s">
        <v>1810</v>
      </c>
      <c r="W1104" t="str">
        <f>"47th FLOOR"</f>
        <v>47th FLOOR</v>
      </c>
      <c r="X1104" t="s">
        <v>365</v>
      </c>
      <c r="Y1104" t="s">
        <v>141</v>
      </c>
      <c r="Z1104" s="3">
        <v>90017</v>
      </c>
      <c r="AA1104" t="s">
        <v>101</v>
      </c>
      <c r="AC1104" s="4" t="str">
        <f>"+16468976291"</f>
        <v>+16468976291</v>
      </c>
      <c r="AE1104" t="str">
        <f>"237210"</f>
        <v>237210</v>
      </c>
      <c r="AF1104" t="s">
        <v>1811</v>
      </c>
      <c r="AG1104" t="s">
        <v>1812</v>
      </c>
      <c r="AI1104" t="s">
        <v>1813</v>
      </c>
      <c r="AJ1104" t="s">
        <v>1810</v>
      </c>
      <c r="AK1104" t="str">
        <f>"47th FLOOR"</f>
        <v>47th FLOOR</v>
      </c>
      <c r="AL1104" t="s">
        <v>365</v>
      </c>
      <c r="AM1104" t="s">
        <v>141</v>
      </c>
      <c r="AN1104" s="3">
        <v>90017</v>
      </c>
      <c r="AO1104" t="s">
        <v>101</v>
      </c>
      <c r="AQ1104" t="str">
        <f>"+16468976291"</f>
        <v>+16468976291</v>
      </c>
      <c r="AS1104" t="s">
        <v>1814</v>
      </c>
      <c r="AT1104" t="s">
        <v>107</v>
      </c>
      <c r="AU1104" t="str">
        <f>"BISWAS"</f>
        <v>BISWAS</v>
      </c>
      <c r="AV1104" t="str">
        <f>"ROHIT"</f>
        <v>ROHIT</v>
      </c>
      <c r="AW1104" t="str">
        <f>""</f>
        <v/>
      </c>
      <c r="AX1104" t="str">
        <f>"1177 AVENUE OF THE AMERICAS"</f>
        <v>1177 AVENUE OF THE AMERICAS</v>
      </c>
      <c r="AY1104" t="str">
        <f>"23rd FLOOR"</f>
        <v>23rd FLOOR</v>
      </c>
      <c r="AZ1104" t="str">
        <f>"NEW YORK"</f>
        <v>NEW YORK</v>
      </c>
      <c r="BA1104" t="str">
        <f>"NY"</f>
        <v>NY</v>
      </c>
      <c r="BB1104" s="3">
        <v>10036</v>
      </c>
      <c r="BC1104" t="str">
        <f t="shared" si="88"/>
        <v>UNITED STATES OF AMERICA</v>
      </c>
      <c r="BD1104" t="str">
        <f>""</f>
        <v/>
      </c>
      <c r="BE1104" t="str">
        <f>"+12127159526"</f>
        <v>+12127159526</v>
      </c>
      <c r="BF1104" t="str">
        <f>""</f>
        <v/>
      </c>
      <c r="BG1104" t="str">
        <f>"rbiswas@kramerlevin.com"</f>
        <v>rbiswas@kramerlevin.com</v>
      </c>
      <c r="BH1104" t="str">
        <f>"KRAMER LEVIN NAFTALIS AND FRANKEL LLP"</f>
        <v>KRAMER LEVIN NAFTALIS AND FRANKEL LLP</v>
      </c>
      <c r="BI1104" t="str">
        <f>"NY"</f>
        <v>NY</v>
      </c>
      <c r="BJ1104" t="str">
        <f>"SUPREME COURT"</f>
        <v>SUPREME COURT</v>
      </c>
      <c r="BK1104">
        <v>1</v>
      </c>
      <c r="BL1104" t="s">
        <v>102</v>
      </c>
      <c r="BM1104" t="str">
        <f>""</f>
        <v/>
      </c>
      <c r="BN1104" t="s">
        <v>11334</v>
      </c>
      <c r="BP1104" t="s">
        <v>150</v>
      </c>
      <c r="BQ1104" t="s">
        <v>230</v>
      </c>
      <c r="BR1104" t="s">
        <v>141</v>
      </c>
      <c r="BS1104" s="5">
        <v>94043</v>
      </c>
      <c r="BT1104" s="2">
        <v>172000</v>
      </c>
      <c r="BU1104" s="2">
        <v>192000</v>
      </c>
      <c r="BV1104" t="s">
        <v>105</v>
      </c>
      <c r="BW1104" s="2">
        <v>170872</v>
      </c>
      <c r="BX1104" t="s">
        <v>105</v>
      </c>
      <c r="BZ1104" t="s">
        <v>159</v>
      </c>
      <c r="CA1104" t="str">
        <f t="shared" si="87"/>
        <v>7/1/2020 - 6/30/2021</v>
      </c>
      <c r="CF1104">
        <v>2</v>
      </c>
      <c r="CG1104" t="s">
        <v>98</v>
      </c>
      <c r="CH1104" t="s">
        <v>206</v>
      </c>
      <c r="CI1104" t="s">
        <v>206</v>
      </c>
      <c r="CL1104" t="s">
        <v>108</v>
      </c>
      <c r="CM1104" t="s">
        <v>109</v>
      </c>
      <c r="CN1104" t="str">
        <f>""</f>
        <v/>
      </c>
      <c r="CO1104" t="str">
        <f>""</f>
        <v/>
      </c>
      <c r="CP1104" t="str">
        <f>""</f>
        <v/>
      </c>
      <c r="CQ1104" t="str">
        <f>""</f>
        <v/>
      </c>
    </row>
    <row r="1105" spans="1:96" x14ac:dyDescent="0.2">
      <c r="A1105" t="s">
        <v>11339</v>
      </c>
      <c r="B1105" t="s">
        <v>96</v>
      </c>
      <c r="C1105" s="1">
        <v>44098</v>
      </c>
      <c r="D1105" s="1">
        <v>44105</v>
      </c>
      <c r="F1105" t="s">
        <v>97</v>
      </c>
      <c r="G1105" t="str">
        <f>"SR. ANALYST, PEOPLE ANALYTICS"</f>
        <v>SR. ANALYST, PEOPLE ANALYTICS</v>
      </c>
      <c r="H1105" t="s">
        <v>12182</v>
      </c>
      <c r="I1105" t="s">
        <v>168</v>
      </c>
      <c r="J1105" t="s">
        <v>98</v>
      </c>
      <c r="K1105" s="1">
        <v>44105</v>
      </c>
      <c r="L1105" s="1">
        <v>45199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2773</v>
      </c>
      <c r="U1105" t="str">
        <f>"AMERICAN AIRLINES, INC."</f>
        <v>AMERICAN AIRLINES, INC.</v>
      </c>
      <c r="V1105" t="s">
        <v>2774</v>
      </c>
      <c r="W1105" t="str">
        <f>"MD 8B503"</f>
        <v>MD 8B503</v>
      </c>
      <c r="X1105" t="s">
        <v>2775</v>
      </c>
      <c r="Y1105" t="s">
        <v>114</v>
      </c>
      <c r="Z1105" s="3">
        <v>76155</v>
      </c>
      <c r="AA1105" t="s">
        <v>101</v>
      </c>
      <c r="AB1105" t="s">
        <v>2776</v>
      </c>
      <c r="AC1105" s="4" t="str">
        <f>"+16822780639"</f>
        <v>+16822780639</v>
      </c>
      <c r="AE1105" t="str">
        <f>"481111"</f>
        <v>481111</v>
      </c>
      <c r="AF1105" t="s">
        <v>2777</v>
      </c>
      <c r="AG1105" t="s">
        <v>2778</v>
      </c>
      <c r="AH1105" t="s">
        <v>269</v>
      </c>
      <c r="AI1105" t="s">
        <v>2779</v>
      </c>
      <c r="AJ1105" t="s">
        <v>2774</v>
      </c>
      <c r="AK1105" t="str">
        <f>"MD 8B503"</f>
        <v>MD 8B503</v>
      </c>
      <c r="AL1105" t="s">
        <v>1001</v>
      </c>
      <c r="AM1105" t="s">
        <v>114</v>
      </c>
      <c r="AN1105" s="3">
        <v>76155</v>
      </c>
      <c r="AO1105" t="s">
        <v>101</v>
      </c>
      <c r="AQ1105" t="str">
        <f>"+16822780639"</f>
        <v>+16822780639</v>
      </c>
      <c r="AS1105" t="s">
        <v>2780</v>
      </c>
      <c r="AT1105" t="s">
        <v>107</v>
      </c>
      <c r="AU1105" t="str">
        <f>"Mueller"</f>
        <v>Mueller</v>
      </c>
      <c r="AV1105" t="str">
        <f>"Bernhard"</f>
        <v>Bernhard</v>
      </c>
      <c r="AW1105" t="str">
        <f>"Walter"</f>
        <v>Walter</v>
      </c>
      <c r="AX1105" t="str">
        <f>"2142 Boyce Street"</f>
        <v>2142 Boyce Street</v>
      </c>
      <c r="AY1105" t="str">
        <f>"Ste. 401"</f>
        <v>Ste. 401</v>
      </c>
      <c r="AZ1105" t="str">
        <f>"Columbia"</f>
        <v>Columbia</v>
      </c>
      <c r="BA1105" t="str">
        <f>"SC"</f>
        <v>SC</v>
      </c>
      <c r="BB1105" s="3">
        <v>29201</v>
      </c>
      <c r="BC1105" t="str">
        <f t="shared" si="88"/>
        <v>UNITED STATES OF AMERICA</v>
      </c>
      <c r="BD1105" t="str">
        <f>"SOUTH CAROLINA"</f>
        <v>SOUTH CAROLINA</v>
      </c>
      <c r="BE1105" t="str">
        <f>"+18032521300"</f>
        <v>+18032521300</v>
      </c>
      <c r="BF1105" t="str">
        <f>""</f>
        <v/>
      </c>
      <c r="BG1105" t="str">
        <f>"bernhard.mueller@ogletree.com"</f>
        <v>bernhard.mueller@ogletree.com</v>
      </c>
      <c r="BH1105" t="str">
        <f>"Ogletree, Deakins, Nash, Smoak &amp; Stewart, P.C."</f>
        <v>Ogletree, Deakins, Nash, Smoak &amp; Stewart, P.C.</v>
      </c>
      <c r="BI1105" t="str">
        <f>"SC"</f>
        <v>SC</v>
      </c>
      <c r="BJ1105" t="str">
        <f>"SC"</f>
        <v>SC</v>
      </c>
      <c r="BK1105">
        <v>1</v>
      </c>
      <c r="BL1105" t="s">
        <v>102</v>
      </c>
      <c r="BM1105" t="str">
        <f>""</f>
        <v/>
      </c>
      <c r="BN1105" t="s">
        <v>5231</v>
      </c>
      <c r="BP1105" t="s">
        <v>2775</v>
      </c>
      <c r="BQ1105" t="s">
        <v>792</v>
      </c>
      <c r="BR1105" t="s">
        <v>114</v>
      </c>
      <c r="BS1105" s="5">
        <v>76155</v>
      </c>
      <c r="BT1105" s="2">
        <v>70096</v>
      </c>
      <c r="BU1105" s="2">
        <v>108233</v>
      </c>
      <c r="BV1105" t="s">
        <v>105</v>
      </c>
      <c r="BW1105" s="2">
        <v>70096</v>
      </c>
      <c r="BX1105" t="s">
        <v>105</v>
      </c>
      <c r="BZ1105" t="s">
        <v>167</v>
      </c>
      <c r="CA1105" t="str">
        <f t="shared" si="87"/>
        <v>7/1/2020 - 6/30/2021</v>
      </c>
      <c r="CF1105">
        <v>1</v>
      </c>
      <c r="CG1105" t="s">
        <v>98</v>
      </c>
      <c r="CH1105" t="s">
        <v>206</v>
      </c>
      <c r="CI1105" t="s">
        <v>206</v>
      </c>
      <c r="CL1105" t="s">
        <v>108</v>
      </c>
      <c r="CM1105" t="s">
        <v>109</v>
      </c>
      <c r="CN1105" t="str">
        <f>""</f>
        <v/>
      </c>
      <c r="CO1105" t="str">
        <f>""</f>
        <v/>
      </c>
      <c r="CP1105" t="str">
        <f>""</f>
        <v/>
      </c>
      <c r="CQ1105" t="str">
        <f>""</f>
        <v/>
      </c>
    </row>
    <row r="1106" spans="1:96" x14ac:dyDescent="0.2">
      <c r="A1106" t="s">
        <v>11340</v>
      </c>
      <c r="B1106" t="s">
        <v>96</v>
      </c>
      <c r="C1106" s="1">
        <v>44098</v>
      </c>
      <c r="D1106" s="1">
        <v>44105</v>
      </c>
      <c r="F1106" t="s">
        <v>97</v>
      </c>
      <c r="G1106" t="str">
        <f>"SOFTWARE DEVELOPMENT ENGINEER I"</f>
        <v>SOFTWARE DEVELOPMENT ENGINEER I</v>
      </c>
      <c r="H1106" t="s">
        <v>12169</v>
      </c>
      <c r="I1106" t="s">
        <v>124</v>
      </c>
      <c r="J1106" t="s">
        <v>98</v>
      </c>
      <c r="K1106" s="1">
        <v>44105</v>
      </c>
      <c r="L1106" s="1">
        <v>45199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440</v>
      </c>
      <c r="U1106" t="str">
        <f>""</f>
        <v/>
      </c>
      <c r="V1106" t="s">
        <v>809</v>
      </c>
      <c r="W1106" t="str">
        <f>"SUITE 500"</f>
        <v>SUITE 500</v>
      </c>
      <c r="X1106" t="s">
        <v>433</v>
      </c>
      <c r="Y1106" t="s">
        <v>176</v>
      </c>
      <c r="Z1106" s="3">
        <v>98121</v>
      </c>
      <c r="AA1106" t="s">
        <v>101</v>
      </c>
      <c r="AC1106" s="4" t="str">
        <f>"+12062661000"</f>
        <v>+12062661000</v>
      </c>
      <c r="AE1106" t="str">
        <f>"454110"</f>
        <v>454110</v>
      </c>
      <c r="AF1106" t="s">
        <v>3174</v>
      </c>
      <c r="AG1106" t="s">
        <v>3175</v>
      </c>
      <c r="AH1106" t="s">
        <v>108</v>
      </c>
      <c r="AI1106" t="s">
        <v>434</v>
      </c>
      <c r="AJ1106" t="s">
        <v>809</v>
      </c>
      <c r="AK1106" t="str">
        <f>"SUITE 500"</f>
        <v>SUITE 500</v>
      </c>
      <c r="AL1106" t="s">
        <v>433</v>
      </c>
      <c r="AM1106" t="s">
        <v>176</v>
      </c>
      <c r="AN1106" s="3">
        <v>98121</v>
      </c>
      <c r="AO1106" t="s">
        <v>101</v>
      </c>
      <c r="AQ1106" t="str">
        <f>"+12062661000"</f>
        <v>+12062661000</v>
      </c>
      <c r="AS1106" t="s">
        <v>263</v>
      </c>
      <c r="AT1106" t="s">
        <v>107</v>
      </c>
      <c r="AU1106" t="str">
        <f>"CAREY"</f>
        <v>CAREY</v>
      </c>
      <c r="AV1106" t="str">
        <f>"MOLLY"</f>
        <v>MOLLY</v>
      </c>
      <c r="AW1106" t="str">
        <f>"N/A"</f>
        <v>N/A</v>
      </c>
      <c r="AX1106" t="str">
        <f>"100 HIGH STREET"</f>
        <v>100 HIGH STREET</v>
      </c>
      <c r="AY1106" t="str">
        <f>"3RD FLOOR C#5272328"</f>
        <v>3RD FLOOR C#5272328</v>
      </c>
      <c r="AZ1106" t="str">
        <f>"BOSTON"</f>
        <v>BOSTON</v>
      </c>
      <c r="BA1106" t="str">
        <f>"MA"</f>
        <v>MA</v>
      </c>
      <c r="BB1106" s="3">
        <v>2110</v>
      </c>
      <c r="BC1106" t="str">
        <f t="shared" si="88"/>
        <v>UNITED STATES OF AMERICA</v>
      </c>
      <c r="BD1106" t="str">
        <f>""</f>
        <v/>
      </c>
      <c r="BE1106" t="str">
        <f>"+16175740400"</f>
        <v>+16175740400</v>
      </c>
      <c r="BF1106" t="str">
        <f>""</f>
        <v/>
      </c>
      <c r="BG1106" t="str">
        <f>"AMAZONH1BCAP@FRAGOMEN.COM"</f>
        <v>AMAZONH1BCAP@FRAGOMEN.COM</v>
      </c>
      <c r="BH1106" t="str">
        <f>"FRAGOMEN, DEL REY, BERNSEN &amp; LOEWY, LLP"</f>
        <v>FRAGOMEN, DEL REY, BERNSEN &amp; LOEWY, LLP</v>
      </c>
      <c r="BI1106" t="str">
        <f>"MA"</f>
        <v>MA</v>
      </c>
      <c r="BJ1106" t="str">
        <f>"SUPREME JUDICIAL COURT"</f>
        <v>SUPREME JUDICIAL COURT</v>
      </c>
      <c r="BK1106">
        <v>1</v>
      </c>
      <c r="BL1106" t="s">
        <v>102</v>
      </c>
      <c r="BM1106" t="str">
        <f>""</f>
        <v/>
      </c>
      <c r="BN1106" t="s">
        <v>2686</v>
      </c>
      <c r="BP1106" t="s">
        <v>2687</v>
      </c>
      <c r="BQ1106" t="s">
        <v>257</v>
      </c>
      <c r="BR1106" t="s">
        <v>258</v>
      </c>
      <c r="BS1106" s="5">
        <v>85281</v>
      </c>
      <c r="BT1106" s="2">
        <v>126100</v>
      </c>
      <c r="BV1106" t="s">
        <v>105</v>
      </c>
      <c r="BW1106" s="2">
        <v>66144</v>
      </c>
      <c r="BX1106" t="s">
        <v>105</v>
      </c>
      <c r="BZ1106" t="s">
        <v>191</v>
      </c>
      <c r="CA1106" t="str">
        <f t="shared" si="87"/>
        <v>7/1/2020 - 6/30/2021</v>
      </c>
      <c r="CF1106">
        <v>2</v>
      </c>
      <c r="CG1106" t="s">
        <v>98</v>
      </c>
      <c r="CH1106" t="s">
        <v>206</v>
      </c>
      <c r="CI1106" t="s">
        <v>206</v>
      </c>
      <c r="CL1106" t="s">
        <v>108</v>
      </c>
      <c r="CM1106" t="s">
        <v>109</v>
      </c>
      <c r="CN1106" t="str">
        <f>"RAMACHANDRAN"</f>
        <v>RAMACHANDRAN</v>
      </c>
      <c r="CO1106" t="str">
        <f>"ANU"</f>
        <v>ANU</v>
      </c>
      <c r="CP1106" t="str">
        <f>"N/A"</f>
        <v>N/A</v>
      </c>
      <c r="CQ1106" t="str">
        <f>"FRAGOMEN, DEL REY, BERNSEN &amp; LOEWY, LLP"</f>
        <v>FRAGOMEN, DEL REY, BERNSEN &amp; LOEWY, LLP</v>
      </c>
      <c r="CR1106" t="s">
        <v>3176</v>
      </c>
    </row>
    <row r="1107" spans="1:96" x14ac:dyDescent="0.2">
      <c r="A1107" t="s">
        <v>11341</v>
      </c>
      <c r="B1107" t="s">
        <v>96</v>
      </c>
      <c r="C1107" s="1">
        <v>44098</v>
      </c>
      <c r="D1107" s="1">
        <v>44105</v>
      </c>
      <c r="F1107" t="s">
        <v>97</v>
      </c>
      <c r="G1107" t="str">
        <f>"Director, Service Delivery Management"</f>
        <v>Director, Service Delivery Management</v>
      </c>
      <c r="H1107" t="s">
        <v>12178</v>
      </c>
      <c r="I1107" t="s">
        <v>582</v>
      </c>
      <c r="J1107" t="s">
        <v>98</v>
      </c>
      <c r="K1107" s="1">
        <v>44105</v>
      </c>
      <c r="L1107" s="1">
        <v>45199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10257</v>
      </c>
      <c r="U1107" t="str">
        <f>""</f>
        <v/>
      </c>
      <c r="V1107" t="s">
        <v>2094</v>
      </c>
      <c r="W1107" t="str">
        <f>""</f>
        <v/>
      </c>
      <c r="X1107" t="s">
        <v>277</v>
      </c>
      <c r="Y1107" t="s">
        <v>190</v>
      </c>
      <c r="Z1107" s="3">
        <v>10041</v>
      </c>
      <c r="AA1107" t="s">
        <v>101</v>
      </c>
      <c r="AC1107" s="4" t="str">
        <f>"+12124383096"</f>
        <v>+12124383096</v>
      </c>
      <c r="AE1107" t="str">
        <f>"523930"</f>
        <v>523930</v>
      </c>
      <c r="AF1107" t="s">
        <v>11342</v>
      </c>
      <c r="AG1107" t="s">
        <v>2965</v>
      </c>
      <c r="AI1107" t="s">
        <v>8104</v>
      </c>
      <c r="AJ1107" t="s">
        <v>2094</v>
      </c>
      <c r="AK1107" t="str">
        <f>""</f>
        <v/>
      </c>
      <c r="AL1107" t="s">
        <v>277</v>
      </c>
      <c r="AM1107" t="s">
        <v>190</v>
      </c>
      <c r="AN1107" s="3">
        <v>10041</v>
      </c>
      <c r="AO1107" t="s">
        <v>101</v>
      </c>
      <c r="AQ1107" t="str">
        <f>"+12124384132"</f>
        <v>+12124384132</v>
      </c>
      <c r="AS1107" t="s">
        <v>8105</v>
      </c>
      <c r="AT1107" t="s">
        <v>107</v>
      </c>
      <c r="AU1107" t="str">
        <f>"Melnick   "</f>
        <v xml:space="preserve">Melnick   </v>
      </c>
      <c r="AV1107" t="str">
        <f>"Sarah "</f>
        <v xml:space="preserve">Sarah </v>
      </c>
      <c r="AW1107" t="str">
        <f>""</f>
        <v/>
      </c>
      <c r="AX1107" t="str">
        <f>"1400 Broadway"</f>
        <v>1400 Broadway</v>
      </c>
      <c r="AY1107" t="str">
        <f>""</f>
        <v/>
      </c>
      <c r="AZ1107" t="str">
        <f>"New York"</f>
        <v>New York</v>
      </c>
      <c r="BA1107" t="str">
        <f>"NY"</f>
        <v>NY</v>
      </c>
      <c r="BB1107" s="3">
        <v>10018</v>
      </c>
      <c r="BC1107" t="str">
        <f t="shared" si="88"/>
        <v>UNITED STATES OF AMERICA</v>
      </c>
      <c r="BD1107" t="str">
        <f>""</f>
        <v/>
      </c>
      <c r="BE1107" t="str">
        <f>"+12126888555"</f>
        <v>+12126888555</v>
      </c>
      <c r="BF1107" t="str">
        <f>""</f>
        <v/>
      </c>
      <c r="BG1107" t="str">
        <f>"s&amp;pimmigration@fragomen.com"</f>
        <v>s&amp;pimmigration@fragomen.com</v>
      </c>
      <c r="BH1107" t="str">
        <f>"Fragomen Del Rey Bernsen and Loewy LLP"</f>
        <v>Fragomen Del Rey Bernsen and Loewy LLP</v>
      </c>
      <c r="BI1107" t="str">
        <f>"NY"</f>
        <v>NY</v>
      </c>
      <c r="BJ1107" t="str">
        <f>"New York Court of Appeals"</f>
        <v>New York Court of Appeals</v>
      </c>
      <c r="BK1107">
        <v>1</v>
      </c>
      <c r="BL1107" t="s">
        <v>102</v>
      </c>
      <c r="BM1107" t="str">
        <f>""</f>
        <v/>
      </c>
      <c r="BN1107" t="s">
        <v>11343</v>
      </c>
      <c r="BP1107" t="s">
        <v>336</v>
      </c>
      <c r="BQ1107" t="s">
        <v>341</v>
      </c>
      <c r="BR1107" t="s">
        <v>135</v>
      </c>
      <c r="BS1107" s="5">
        <v>22902</v>
      </c>
      <c r="BT1107" s="2">
        <v>150000</v>
      </c>
      <c r="BV1107" t="s">
        <v>105</v>
      </c>
      <c r="BW1107" s="2">
        <v>136885</v>
      </c>
      <c r="BX1107" t="s">
        <v>105</v>
      </c>
      <c r="BZ1107" t="s">
        <v>123</v>
      </c>
      <c r="CA1107" t="str">
        <f t="shared" si="87"/>
        <v>7/1/2020 - 6/30/2021</v>
      </c>
      <c r="CF1107">
        <v>2</v>
      </c>
      <c r="CG1107" t="s">
        <v>98</v>
      </c>
      <c r="CH1107" t="s">
        <v>206</v>
      </c>
      <c r="CI1107" t="s">
        <v>206</v>
      </c>
      <c r="CL1107" t="s">
        <v>108</v>
      </c>
      <c r="CM1107" t="s">
        <v>109</v>
      </c>
      <c r="CN1107" t="str">
        <f>""</f>
        <v/>
      </c>
      <c r="CO1107" t="str">
        <f>""</f>
        <v/>
      </c>
      <c r="CP1107" t="str">
        <f>""</f>
        <v/>
      </c>
      <c r="CQ1107" t="str">
        <f>""</f>
        <v/>
      </c>
    </row>
    <row r="1108" spans="1:96" x14ac:dyDescent="0.2">
      <c r="A1108" t="s">
        <v>11344</v>
      </c>
      <c r="B1108" t="s">
        <v>96</v>
      </c>
      <c r="C1108" s="1">
        <v>44098</v>
      </c>
      <c r="D1108" s="1">
        <v>44105</v>
      </c>
      <c r="F1108" t="s">
        <v>97</v>
      </c>
      <c r="G1108" t="str">
        <f>"Accountant"</f>
        <v>Accountant</v>
      </c>
      <c r="H1108" t="s">
        <v>12192</v>
      </c>
      <c r="I1108" t="s">
        <v>855</v>
      </c>
      <c r="J1108" t="s">
        <v>98</v>
      </c>
      <c r="K1108" s="1">
        <v>44109</v>
      </c>
      <c r="L1108" s="1">
        <v>45203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 t="s">
        <v>11345</v>
      </c>
      <c r="U1108" t="str">
        <f>"UMI, LLC"</f>
        <v>UMI, LLC</v>
      </c>
      <c r="V1108" t="s">
        <v>11346</v>
      </c>
      <c r="W1108" t="str">
        <f>""</f>
        <v/>
      </c>
      <c r="X1108" t="s">
        <v>297</v>
      </c>
      <c r="Y1108" t="s">
        <v>114</v>
      </c>
      <c r="Z1108" s="3">
        <v>75093</v>
      </c>
      <c r="AA1108" t="s">
        <v>101</v>
      </c>
      <c r="AC1108" s="4" t="str">
        <f>"+12148260011"</f>
        <v>+12148260011</v>
      </c>
      <c r="AE1108" t="str">
        <f>"54189"</f>
        <v>54189</v>
      </c>
      <c r="AF1108" t="s">
        <v>11347</v>
      </c>
      <c r="AG1108" t="s">
        <v>1125</v>
      </c>
      <c r="AH1108" t="s">
        <v>11348</v>
      </c>
      <c r="AI1108" t="s">
        <v>4553</v>
      </c>
      <c r="AJ1108" t="s">
        <v>11349</v>
      </c>
      <c r="AK1108" t="str">
        <f>""</f>
        <v/>
      </c>
      <c r="AL1108" t="s">
        <v>297</v>
      </c>
      <c r="AM1108" t="s">
        <v>114</v>
      </c>
      <c r="AN1108" s="3">
        <v>75093</v>
      </c>
      <c r="AO1108" t="s">
        <v>101</v>
      </c>
      <c r="AQ1108" t="str">
        <f>"+13615410316"</f>
        <v>+13615410316</v>
      </c>
      <c r="AS1108" t="s">
        <v>11350</v>
      </c>
      <c r="AT1108" t="s">
        <v>107</v>
      </c>
      <c r="AU1108" t="str">
        <f>"Chang"</f>
        <v>Chang</v>
      </c>
      <c r="AV1108" t="str">
        <f>"Yu-Ju"</f>
        <v>Yu-Ju</v>
      </c>
      <c r="AW1108" t="str">
        <f>""</f>
        <v/>
      </c>
      <c r="AX1108" t="str">
        <f>"12700 Hillcrest Road, Suite 271"</f>
        <v>12700 Hillcrest Road, Suite 271</v>
      </c>
      <c r="AY1108" t="str">
        <f>""</f>
        <v/>
      </c>
      <c r="AZ1108" t="str">
        <f>"Dallas"</f>
        <v>Dallas</v>
      </c>
      <c r="BA1108" t="str">
        <f>"TX"</f>
        <v>TX</v>
      </c>
      <c r="BB1108" s="3">
        <v>75230</v>
      </c>
      <c r="BC1108" t="str">
        <f t="shared" si="88"/>
        <v>UNITED STATES OF AMERICA</v>
      </c>
      <c r="BD1108" t="str">
        <f>""</f>
        <v/>
      </c>
      <c r="BE1108" t="str">
        <f>"+19726611188"</f>
        <v>+19726611188</v>
      </c>
      <c r="BF1108" t="str">
        <f>""</f>
        <v/>
      </c>
      <c r="BG1108" t="str">
        <f>"yc@vcandchang.com"</f>
        <v>yc@vcandchang.com</v>
      </c>
      <c r="BH1108" t="str">
        <f>"Yu-Ju Chang, Attorney at Law"</f>
        <v>Yu-Ju Chang, Attorney at Law</v>
      </c>
      <c r="BI1108" t="str">
        <f>"NY"</f>
        <v>NY</v>
      </c>
      <c r="BJ1108" t="str">
        <f>"THE NEW YORK STATE COURT OF APPEALS"</f>
        <v>THE NEW YORK STATE COURT OF APPEALS</v>
      </c>
      <c r="BK1108">
        <v>1</v>
      </c>
      <c r="BL1108" t="s">
        <v>102</v>
      </c>
      <c r="BM1108" t="str">
        <f>""</f>
        <v/>
      </c>
      <c r="BN1108" t="s">
        <v>11346</v>
      </c>
      <c r="BP1108" t="s">
        <v>297</v>
      </c>
      <c r="BQ1108" t="s">
        <v>556</v>
      </c>
      <c r="BR1108" t="s">
        <v>114</v>
      </c>
      <c r="BS1108" s="5">
        <v>75093</v>
      </c>
      <c r="BT1108" s="2">
        <v>62000</v>
      </c>
      <c r="BV1108" t="s">
        <v>105</v>
      </c>
      <c r="BW1108" s="2">
        <v>53747</v>
      </c>
      <c r="BX1108" t="s">
        <v>105</v>
      </c>
      <c r="BZ1108" t="s">
        <v>191</v>
      </c>
      <c r="CA1108" t="str">
        <f t="shared" si="87"/>
        <v>7/1/2020 - 6/30/2021</v>
      </c>
      <c r="CF1108">
        <v>1</v>
      </c>
      <c r="CG1108" t="s">
        <v>98</v>
      </c>
      <c r="CH1108" t="s">
        <v>206</v>
      </c>
      <c r="CI1108" t="s">
        <v>206</v>
      </c>
      <c r="CL1108" t="s">
        <v>108</v>
      </c>
      <c r="CM1108" t="s">
        <v>109</v>
      </c>
      <c r="CN1108" t="str">
        <f>""</f>
        <v/>
      </c>
      <c r="CO1108" t="str">
        <f>""</f>
        <v/>
      </c>
      <c r="CP1108" t="str">
        <f>""</f>
        <v/>
      </c>
      <c r="CQ1108" t="str">
        <f>""</f>
        <v/>
      </c>
    </row>
    <row r="1109" spans="1:96" x14ac:dyDescent="0.2">
      <c r="A1109" t="s">
        <v>11351</v>
      </c>
      <c r="B1109" t="s">
        <v>96</v>
      </c>
      <c r="C1109" s="1">
        <v>44098</v>
      </c>
      <c r="D1109" s="1">
        <v>44105</v>
      </c>
      <c r="F1109" t="s">
        <v>97</v>
      </c>
      <c r="G1109" t="str">
        <f>"Technical Sales and Field Engineer"</f>
        <v>Technical Sales and Field Engineer</v>
      </c>
      <c r="H1109" t="s">
        <v>12227</v>
      </c>
      <c r="I1109" t="s">
        <v>766</v>
      </c>
      <c r="J1109" t="s">
        <v>98</v>
      </c>
      <c r="K1109" s="1">
        <v>44105</v>
      </c>
      <c r="L1109" s="1">
        <v>45199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10543</v>
      </c>
      <c r="U1109" t="str">
        <f>""</f>
        <v/>
      </c>
      <c r="V1109" t="s">
        <v>10544</v>
      </c>
      <c r="W1109" t="str">
        <f>""</f>
        <v/>
      </c>
      <c r="X1109" t="s">
        <v>1066</v>
      </c>
      <c r="Y1109" t="s">
        <v>122</v>
      </c>
      <c r="Z1109" s="3">
        <v>27616</v>
      </c>
      <c r="AA1109" t="s">
        <v>101</v>
      </c>
      <c r="AC1109" s="4" t="str">
        <f>"+19198822410"</f>
        <v>+19198822410</v>
      </c>
      <c r="AE1109" t="str">
        <f>"332322"</f>
        <v>332322</v>
      </c>
      <c r="AF1109" t="s">
        <v>10545</v>
      </c>
      <c r="AG1109" t="s">
        <v>2306</v>
      </c>
      <c r="AI1109" t="s">
        <v>10546</v>
      </c>
      <c r="AJ1109" t="s">
        <v>10547</v>
      </c>
      <c r="AK1109" t="str">
        <f>""</f>
        <v/>
      </c>
      <c r="AL1109" t="s">
        <v>1066</v>
      </c>
      <c r="AM1109" t="s">
        <v>122</v>
      </c>
      <c r="AN1109" s="3">
        <v>27616</v>
      </c>
      <c r="AO1109" t="s">
        <v>101</v>
      </c>
      <c r="AQ1109" t="str">
        <f>"+19198822410"</f>
        <v>+19198822410</v>
      </c>
      <c r="AS1109" t="s">
        <v>108</v>
      </c>
      <c r="AT1109" t="s">
        <v>107</v>
      </c>
      <c r="AU1109" t="str">
        <f>"Brownlow"</f>
        <v>Brownlow</v>
      </c>
      <c r="AV1109" t="str">
        <f>"Whitney"</f>
        <v>Whitney</v>
      </c>
      <c r="AW1109" t="str">
        <f>"L."</f>
        <v>L.</v>
      </c>
      <c r="AX1109" t="str">
        <f>"8529 Six Forks Road"</f>
        <v>8529 Six Forks Road</v>
      </c>
      <c r="AY1109" t="str">
        <f>"Forum IV, Suite 600"</f>
        <v>Forum IV, Suite 600</v>
      </c>
      <c r="AZ1109" t="str">
        <f>"Raleigh"</f>
        <v>Raleigh</v>
      </c>
      <c r="BA1109" t="str">
        <f>"NC"</f>
        <v>NC</v>
      </c>
      <c r="BB1109" s="3">
        <v>27615</v>
      </c>
      <c r="BC1109" t="str">
        <f t="shared" si="88"/>
        <v>UNITED STATES OF AMERICA</v>
      </c>
      <c r="BD1109" t="str">
        <f>""</f>
        <v/>
      </c>
      <c r="BE1109" t="str">
        <f>"+19197879700"</f>
        <v>+19197879700</v>
      </c>
      <c r="BF1109" t="str">
        <f>""</f>
        <v/>
      </c>
      <c r="BG1109" t="str">
        <f>"nicole.appelman@ogletree.com"</f>
        <v>nicole.appelman@ogletree.com</v>
      </c>
      <c r="BH1109" t="str">
        <f>"Ogletree, Deakins, Nash, Smoak &amp; Stewart, P.C."</f>
        <v>Ogletree, Deakins, Nash, Smoak &amp; Stewart, P.C.</v>
      </c>
      <c r="BI1109" t="str">
        <f>"OH"</f>
        <v>OH</v>
      </c>
      <c r="BJ1109" t="str">
        <f>"Supreme Court"</f>
        <v>Supreme Court</v>
      </c>
      <c r="BK1109">
        <v>1</v>
      </c>
      <c r="BL1109" t="s">
        <v>102</v>
      </c>
      <c r="BM1109" t="str">
        <f>""</f>
        <v/>
      </c>
      <c r="BN1109" t="s">
        <v>11352</v>
      </c>
      <c r="BO1109" t="s">
        <v>2209</v>
      </c>
      <c r="BP1109" t="s">
        <v>4831</v>
      </c>
      <c r="BQ1109" t="s">
        <v>719</v>
      </c>
      <c r="BR1109" t="s">
        <v>265</v>
      </c>
      <c r="BS1109" s="5">
        <v>48067</v>
      </c>
      <c r="BT1109" s="2">
        <v>76939</v>
      </c>
      <c r="BU1109" s="2">
        <v>85000</v>
      </c>
      <c r="BV1109" t="s">
        <v>105</v>
      </c>
      <c r="BW1109" s="2">
        <v>76939</v>
      </c>
      <c r="BX1109" t="s">
        <v>105</v>
      </c>
      <c r="BZ1109" t="s">
        <v>167</v>
      </c>
      <c r="CA1109" t="str">
        <f t="shared" si="87"/>
        <v>7/1/2020 - 6/30/2021</v>
      </c>
      <c r="CF1109">
        <v>2</v>
      </c>
      <c r="CG1109" t="s">
        <v>98</v>
      </c>
      <c r="CH1109" t="s">
        <v>206</v>
      </c>
      <c r="CI1109" t="s">
        <v>206</v>
      </c>
      <c r="CL1109" t="s">
        <v>108</v>
      </c>
      <c r="CM1109" t="s">
        <v>109</v>
      </c>
      <c r="CN1109" t="str">
        <f>"Brownlow"</f>
        <v>Brownlow</v>
      </c>
      <c r="CO1109" t="str">
        <f>"Whitney"</f>
        <v>Whitney</v>
      </c>
      <c r="CP1109" t="str">
        <f>"L"</f>
        <v>L</v>
      </c>
      <c r="CQ1109" t="str">
        <f>"Ogletree, Deakins, Nash, Smoak &amp; Stewart, P.C."</f>
        <v>Ogletree, Deakins, Nash, Smoak &amp; Stewart, P.C.</v>
      </c>
      <c r="CR1109" t="s">
        <v>2277</v>
      </c>
    </row>
    <row r="1110" spans="1:96" x14ac:dyDescent="0.2">
      <c r="A1110" t="s">
        <v>11357</v>
      </c>
      <c r="B1110" t="s">
        <v>96</v>
      </c>
      <c r="C1110" s="1">
        <v>44098</v>
      </c>
      <c r="D1110" s="1">
        <v>44105</v>
      </c>
      <c r="F1110" t="s">
        <v>97</v>
      </c>
      <c r="G1110" t="str">
        <f>"Electronic Design Engineer III "</f>
        <v xml:space="preserve">Electronic Design Engineer III </v>
      </c>
      <c r="H1110" t="s">
        <v>12186</v>
      </c>
      <c r="I1110" t="s">
        <v>232</v>
      </c>
      <c r="J1110" t="s">
        <v>98</v>
      </c>
      <c r="K1110" s="1">
        <v>44123</v>
      </c>
      <c r="L1110" s="1">
        <v>45217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 t="s">
        <v>11358</v>
      </c>
      <c r="U1110" t="str">
        <f>""</f>
        <v/>
      </c>
      <c r="V1110" t="s">
        <v>11359</v>
      </c>
      <c r="W1110" t="str">
        <f>""</f>
        <v/>
      </c>
      <c r="X1110" t="s">
        <v>302</v>
      </c>
      <c r="Y1110" t="s">
        <v>122</v>
      </c>
      <c r="Z1110" s="3">
        <v>27703</v>
      </c>
      <c r="AA1110" t="s">
        <v>101</v>
      </c>
      <c r="AC1110" s="4" t="str">
        <f>"+19194075285"</f>
        <v>+19194075285</v>
      </c>
      <c r="AE1110" t="str">
        <f>"33441"</f>
        <v>33441</v>
      </c>
      <c r="AF1110" t="s">
        <v>11360</v>
      </c>
      <c r="AG1110" t="s">
        <v>11361</v>
      </c>
      <c r="AI1110" t="s">
        <v>11362</v>
      </c>
      <c r="AJ1110" t="s">
        <v>11359</v>
      </c>
      <c r="AK1110" t="str">
        <f>""</f>
        <v/>
      </c>
      <c r="AL1110" t="s">
        <v>302</v>
      </c>
      <c r="AM1110" t="s">
        <v>122</v>
      </c>
      <c r="AN1110" s="3">
        <v>27703</v>
      </c>
      <c r="AO1110" t="s">
        <v>101</v>
      </c>
      <c r="AQ1110" t="str">
        <f>"+19194075285"</f>
        <v>+19194075285</v>
      </c>
      <c r="AS1110" t="s">
        <v>11363</v>
      </c>
      <c r="AT1110" t="s">
        <v>107</v>
      </c>
      <c r="AU1110" t="str">
        <f>"CARPENTIER"</f>
        <v>CARPENTIER</v>
      </c>
      <c r="AV1110" t="str">
        <f>"JOAN-ELISSE"</f>
        <v>JOAN-ELISSE</v>
      </c>
      <c r="AW1110" t="str">
        <f>""</f>
        <v/>
      </c>
      <c r="AX1110" t="str">
        <f>"340 MADISON AVENUE"</f>
        <v>340 MADISON AVENUE</v>
      </c>
      <c r="AY1110" t="str">
        <f>"17TH FLOOR"</f>
        <v>17TH FLOOR</v>
      </c>
      <c r="AZ1110" t="str">
        <f>"NEW YORK"</f>
        <v>NEW YORK</v>
      </c>
      <c r="BA1110" t="str">
        <f>"NY"</f>
        <v>NY</v>
      </c>
      <c r="BB1110" s="3">
        <v>10173</v>
      </c>
      <c r="BC1110" t="str">
        <f t="shared" si="88"/>
        <v>UNITED STATES OF AMERICA</v>
      </c>
      <c r="BD1110" t="str">
        <f>""</f>
        <v/>
      </c>
      <c r="BE1110" t="str">
        <f>"+12125475544"</f>
        <v>+12125475544</v>
      </c>
      <c r="BF1110" t="str">
        <f>""</f>
        <v/>
      </c>
      <c r="BG1110" t="str">
        <f>"MLAL@MWE.COM"</f>
        <v>MLAL@MWE.COM</v>
      </c>
      <c r="BH1110" t="str">
        <f>"MCDERMOTT WILL &amp; EMERY LLP"</f>
        <v>MCDERMOTT WILL &amp; EMERY LLP</v>
      </c>
      <c r="BI1110" t="str">
        <f>"NY"</f>
        <v>NY</v>
      </c>
      <c r="BJ1110" t="str">
        <f>"NEW YORK COURT OF APPEALS"</f>
        <v>NEW YORK COURT OF APPEALS</v>
      </c>
      <c r="BK1110">
        <v>1</v>
      </c>
      <c r="BL1110" t="s">
        <v>102</v>
      </c>
      <c r="BM1110" t="str">
        <f>""</f>
        <v/>
      </c>
      <c r="BN1110" t="s">
        <v>11364</v>
      </c>
      <c r="BP1110" t="s">
        <v>1113</v>
      </c>
      <c r="BQ1110" t="s">
        <v>302</v>
      </c>
      <c r="BR1110" t="s">
        <v>122</v>
      </c>
      <c r="BS1110" s="5">
        <v>27703</v>
      </c>
      <c r="BT1110" s="2">
        <v>124000</v>
      </c>
      <c r="BV1110" t="s">
        <v>105</v>
      </c>
      <c r="BW1110" s="2">
        <v>112965</v>
      </c>
      <c r="BX1110" t="s">
        <v>105</v>
      </c>
      <c r="BZ1110" t="s">
        <v>123</v>
      </c>
      <c r="CA1110" t="str">
        <f t="shared" si="87"/>
        <v>7/1/2020 - 6/30/2021</v>
      </c>
      <c r="CF1110">
        <v>1</v>
      </c>
      <c r="CG1110" t="s">
        <v>98</v>
      </c>
      <c r="CH1110" t="s">
        <v>206</v>
      </c>
      <c r="CI1110" t="s">
        <v>206</v>
      </c>
      <c r="CL1110" t="s">
        <v>108</v>
      </c>
      <c r="CM1110" t="s">
        <v>353</v>
      </c>
      <c r="CN1110" t="str">
        <f>"Lal"</f>
        <v>Lal</v>
      </c>
      <c r="CO1110" t="str">
        <f>"Malati"</f>
        <v>Malati</v>
      </c>
      <c r="CP1110" t="str">
        <f>""</f>
        <v/>
      </c>
      <c r="CQ1110" t="str">
        <f>"McDermott Will &amp; Emery LLP"</f>
        <v>McDermott Will &amp; Emery LLP</v>
      </c>
      <c r="CR1110" t="s">
        <v>9367</v>
      </c>
    </row>
    <row r="1111" spans="1:96" x14ac:dyDescent="0.2">
      <c r="A1111" t="s">
        <v>11367</v>
      </c>
      <c r="B1111" t="s">
        <v>96</v>
      </c>
      <c r="C1111" s="1">
        <v>44098</v>
      </c>
      <c r="D1111" s="1">
        <v>44105</v>
      </c>
      <c r="F1111" t="s">
        <v>97</v>
      </c>
      <c r="G1111" t="str">
        <f>"ADVANCED SOFTWARE DEVELOPER"</f>
        <v>ADVANCED SOFTWARE DEVELOPER</v>
      </c>
      <c r="H1111" t="s">
        <v>12169</v>
      </c>
      <c r="I1111" t="s">
        <v>124</v>
      </c>
      <c r="J1111" t="s">
        <v>98</v>
      </c>
      <c r="K1111" s="1">
        <v>44099</v>
      </c>
      <c r="L1111" s="1">
        <v>45193</v>
      </c>
      <c r="M1111">
        <v>10</v>
      </c>
      <c r="N1111">
        <v>2</v>
      </c>
      <c r="O1111">
        <v>2</v>
      </c>
      <c r="P1111">
        <v>2</v>
      </c>
      <c r="Q1111">
        <v>0</v>
      </c>
      <c r="R1111">
        <v>2</v>
      </c>
      <c r="S1111">
        <v>2</v>
      </c>
      <c r="T1111" t="s">
        <v>2068</v>
      </c>
      <c r="U1111" t="str">
        <f>""</f>
        <v/>
      </c>
      <c r="V1111" t="s">
        <v>2069</v>
      </c>
      <c r="W1111" t="str">
        <f>""</f>
        <v/>
      </c>
      <c r="X1111" t="s">
        <v>1025</v>
      </c>
      <c r="Y1111" t="s">
        <v>577</v>
      </c>
      <c r="Z1111" s="3">
        <v>33605</v>
      </c>
      <c r="AA1111" t="s">
        <v>101</v>
      </c>
      <c r="AC1111" s="4" t="str">
        <f>"+18135525000"</f>
        <v>+18135525000</v>
      </c>
      <c r="AE1111" t="str">
        <f>"5416"</f>
        <v>5416</v>
      </c>
      <c r="AF1111" t="s">
        <v>2070</v>
      </c>
      <c r="AG1111" t="s">
        <v>2071</v>
      </c>
      <c r="AI1111" t="s">
        <v>497</v>
      </c>
      <c r="AJ1111" t="s">
        <v>2072</v>
      </c>
      <c r="AK1111" t="str">
        <f>""</f>
        <v/>
      </c>
      <c r="AL1111" t="s">
        <v>1025</v>
      </c>
      <c r="AM1111" t="s">
        <v>577</v>
      </c>
      <c r="AN1111" s="3">
        <v>33605</v>
      </c>
      <c r="AO1111" t="s">
        <v>101</v>
      </c>
      <c r="AQ1111" t="str">
        <f>"+18135525000"</f>
        <v>+18135525000</v>
      </c>
      <c r="AS1111" t="s">
        <v>2073</v>
      </c>
      <c r="AT1111" t="s">
        <v>107</v>
      </c>
      <c r="AU1111" t="str">
        <f>"WHITE "</f>
        <v xml:space="preserve">WHITE </v>
      </c>
      <c r="AV1111" t="str">
        <f>"ROBERT"</f>
        <v>ROBERT</v>
      </c>
      <c r="AW1111" t="str">
        <f>"SAMUEL"</f>
        <v>SAMUEL</v>
      </c>
      <c r="AX1111" t="str">
        <f>"200 N MARTINGALE ROAD"</f>
        <v>200 N MARTINGALE ROAD</v>
      </c>
      <c r="AY1111" t="str">
        <f>"SUITE 800"</f>
        <v>SUITE 800</v>
      </c>
      <c r="AZ1111" t="str">
        <f>"SCHAUMBURG"</f>
        <v>SCHAUMBURG</v>
      </c>
      <c r="BA1111" t="str">
        <f>"IL"</f>
        <v>IL</v>
      </c>
      <c r="BB1111" s="3">
        <v>60173</v>
      </c>
      <c r="BC1111" t="str">
        <f t="shared" si="88"/>
        <v>UNITED STATES OF AMERICA</v>
      </c>
      <c r="BD1111" t="str">
        <f>""</f>
        <v/>
      </c>
      <c r="BE1111" t="str">
        <f>"+18477348811"</f>
        <v>+18477348811</v>
      </c>
      <c r="BF1111" t="str">
        <f>""</f>
        <v/>
      </c>
      <c r="BG1111" t="str">
        <f>"RWHITE@MASUDAFUNAI.COM"</f>
        <v>RWHITE@MASUDAFUNAI.COM</v>
      </c>
      <c r="BH1111" t="str">
        <f>"Masuda Funai Eifert &amp; Mitchell, Ltd."</f>
        <v>Masuda Funai Eifert &amp; Mitchell, Ltd.</v>
      </c>
      <c r="BI1111" t="str">
        <f>"IL"</f>
        <v>IL</v>
      </c>
      <c r="BJ1111" t="str">
        <f>"SUPREME COURT"</f>
        <v>SUPREME COURT</v>
      </c>
      <c r="BK1111">
        <v>10</v>
      </c>
      <c r="BL1111" t="s">
        <v>107</v>
      </c>
      <c r="BM1111" t="str">
        <f>"WEST BEND MUTUAL INSURANCE COMPANY"</f>
        <v>WEST BEND MUTUAL INSURANCE COMPANY</v>
      </c>
      <c r="BN1111" t="s">
        <v>11368</v>
      </c>
      <c r="BP1111" t="s">
        <v>11369</v>
      </c>
      <c r="BQ1111" t="s">
        <v>813</v>
      </c>
      <c r="BR1111" t="s">
        <v>330</v>
      </c>
      <c r="BS1111" s="5">
        <v>53095</v>
      </c>
      <c r="BT1111" s="2">
        <v>46.96</v>
      </c>
      <c r="BU1111" s="2">
        <v>90</v>
      </c>
      <c r="BV1111" t="s">
        <v>210</v>
      </c>
      <c r="BW1111" s="2">
        <v>46.96</v>
      </c>
      <c r="BX1111" t="s">
        <v>210</v>
      </c>
      <c r="BZ1111" t="s">
        <v>123</v>
      </c>
      <c r="CA1111" t="str">
        <f t="shared" si="87"/>
        <v>7/1/2020 - 6/30/2021</v>
      </c>
      <c r="CF1111">
        <v>2</v>
      </c>
      <c r="CG1111" t="s">
        <v>98</v>
      </c>
      <c r="CH1111" t="s">
        <v>206</v>
      </c>
      <c r="CI1111" t="s">
        <v>206</v>
      </c>
      <c r="CL1111" t="s">
        <v>108</v>
      </c>
      <c r="CM1111" t="s">
        <v>109</v>
      </c>
      <c r="CN1111" t="str">
        <f>""</f>
        <v/>
      </c>
      <c r="CO1111" t="str">
        <f>""</f>
        <v/>
      </c>
      <c r="CP1111" t="str">
        <f>""</f>
        <v/>
      </c>
      <c r="CQ1111" t="str">
        <f>""</f>
        <v/>
      </c>
    </row>
    <row r="1112" spans="1:96" x14ac:dyDescent="0.2">
      <c r="A1112" t="s">
        <v>11372</v>
      </c>
      <c r="B1112" t="s">
        <v>96</v>
      </c>
      <c r="C1112" s="1">
        <v>44098</v>
      </c>
      <c r="D1112" s="1">
        <v>44105</v>
      </c>
      <c r="F1112" t="s">
        <v>97</v>
      </c>
      <c r="G1112" t="str">
        <f>"Senior Manager II, Software Engineering"</f>
        <v>Senior Manager II, Software Engineering</v>
      </c>
      <c r="H1112" t="s">
        <v>12169</v>
      </c>
      <c r="I1112" t="s">
        <v>124</v>
      </c>
      <c r="J1112" t="s">
        <v>98</v>
      </c>
      <c r="K1112" s="1">
        <v>44274</v>
      </c>
      <c r="L1112" s="1">
        <v>45369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 t="s">
        <v>1397</v>
      </c>
      <c r="U1112" t="str">
        <f>""</f>
        <v/>
      </c>
      <c r="V1112" t="s">
        <v>1856</v>
      </c>
      <c r="W1112" t="str">
        <f>""</f>
        <v/>
      </c>
      <c r="X1112" t="s">
        <v>1398</v>
      </c>
      <c r="Y1112" t="s">
        <v>641</v>
      </c>
      <c r="Z1112" s="3">
        <v>72716</v>
      </c>
      <c r="AA1112" t="s">
        <v>101</v>
      </c>
      <c r="AC1112" s="4" t="str">
        <f>"+16508375000"</f>
        <v>+16508375000</v>
      </c>
      <c r="AE1112" t="str">
        <f>"452210"</f>
        <v>452210</v>
      </c>
      <c r="AF1112" t="s">
        <v>1758</v>
      </c>
      <c r="AG1112" t="s">
        <v>1857</v>
      </c>
      <c r="AI1112" t="s">
        <v>1858</v>
      </c>
      <c r="AJ1112" t="s">
        <v>1859</v>
      </c>
      <c r="AK1112" t="str">
        <f>""</f>
        <v/>
      </c>
      <c r="AL1112" t="s">
        <v>1860</v>
      </c>
      <c r="AM1112" t="s">
        <v>141</v>
      </c>
      <c r="AN1112" s="3">
        <v>94066</v>
      </c>
      <c r="AO1112" t="s">
        <v>101</v>
      </c>
      <c r="AQ1112" t="str">
        <f>"+16508375000"</f>
        <v>+16508375000</v>
      </c>
      <c r="AS1112" t="s">
        <v>1861</v>
      </c>
      <c r="AT1112" t="s">
        <v>107</v>
      </c>
      <c r="AU1112" t="str">
        <f>"NIEVES"</f>
        <v>NIEVES</v>
      </c>
      <c r="AV1112" t="str">
        <f>"JENNY "</f>
        <v xml:space="preserve">JENNY </v>
      </c>
      <c r="AW1112" t="str">
        <f>""</f>
        <v/>
      </c>
      <c r="AX1112" t="str">
        <f>"1400 BROADWAY	"</f>
        <v xml:space="preserve">1400 BROADWAY	</v>
      </c>
      <c r="AY1112" t="str">
        <f>"FRAGOMEN, DEL REY, BERNSEN &amp; LOEWY LLP"</f>
        <v>FRAGOMEN, DEL REY, BERNSEN &amp; LOEWY LLP</v>
      </c>
      <c r="AZ1112" t="str">
        <f>"NEW YORK"</f>
        <v>NEW YORK</v>
      </c>
      <c r="BA1112" t="str">
        <f>"NY"</f>
        <v>NY</v>
      </c>
      <c r="BB1112" s="3">
        <v>10018</v>
      </c>
      <c r="BC1112" t="str">
        <f t="shared" si="88"/>
        <v>UNITED STATES OF AMERICA</v>
      </c>
      <c r="BD1112" t="str">
        <f>""</f>
        <v/>
      </c>
      <c r="BE1112" t="str">
        <f>"+12122302877"</f>
        <v>+12122302877</v>
      </c>
      <c r="BF1112" t="str">
        <f>""</f>
        <v/>
      </c>
      <c r="BG1112" t="str">
        <f>"JNIEVES@FRAGOMEN.COM"</f>
        <v>JNIEVES@FRAGOMEN.COM</v>
      </c>
      <c r="BH1112" t="str">
        <f>"FRAGOMEN, DEL REY, BERNSEN &amp; LOEWY LLP"</f>
        <v>FRAGOMEN, DEL REY, BERNSEN &amp; LOEWY LLP</v>
      </c>
      <c r="BI1112" t="str">
        <f>"NY"</f>
        <v>NY</v>
      </c>
      <c r="BJ1112" t="str">
        <f>"NYS APPELLATE DIVISION, SECOND DEPARTMENT"</f>
        <v>NYS APPELLATE DIVISION, SECOND DEPARTMENT</v>
      </c>
      <c r="BK1112">
        <v>1</v>
      </c>
      <c r="BL1112" t="s">
        <v>102</v>
      </c>
      <c r="BM1112" t="str">
        <f>""</f>
        <v/>
      </c>
      <c r="BN1112" t="s">
        <v>9137</v>
      </c>
      <c r="BP1112" t="s">
        <v>229</v>
      </c>
      <c r="BQ1112" t="s">
        <v>230</v>
      </c>
      <c r="BR1112" t="s">
        <v>141</v>
      </c>
      <c r="BS1112" s="5">
        <v>94086</v>
      </c>
      <c r="BT1112" s="2">
        <v>204332.21</v>
      </c>
      <c r="BV1112" t="s">
        <v>105</v>
      </c>
      <c r="BW1112" s="2">
        <v>170872</v>
      </c>
      <c r="BX1112" t="s">
        <v>105</v>
      </c>
      <c r="BZ1112" t="s">
        <v>159</v>
      </c>
      <c r="CA1112" t="str">
        <f t="shared" si="87"/>
        <v>7/1/2020 - 6/30/2021</v>
      </c>
      <c r="CF1112">
        <v>1</v>
      </c>
      <c r="CG1112" t="s">
        <v>98</v>
      </c>
      <c r="CH1112" t="s">
        <v>206</v>
      </c>
      <c r="CI1112" t="s">
        <v>206</v>
      </c>
      <c r="CL1112" t="s">
        <v>108</v>
      </c>
      <c r="CM1112" t="s">
        <v>109</v>
      </c>
      <c r="CN1112" t="str">
        <f>"Joyce"</f>
        <v>Joyce</v>
      </c>
      <c r="CO1112" t="str">
        <f>"Neil"</f>
        <v>Neil</v>
      </c>
      <c r="CP1112" t="str">
        <f>""</f>
        <v/>
      </c>
      <c r="CQ1112" t="str">
        <f>"Fragomen, Del Rey, Bernsen &amp; Loewy, LLP"</f>
        <v>Fragomen, Del Rey, Bernsen &amp; Loewy, LLP</v>
      </c>
      <c r="CR1112" t="s">
        <v>2827</v>
      </c>
    </row>
    <row r="1113" spans="1:96" x14ac:dyDescent="0.2">
      <c r="A1113" t="s">
        <v>11377</v>
      </c>
      <c r="B1113" t="s">
        <v>96</v>
      </c>
      <c r="C1113" s="1">
        <v>44098</v>
      </c>
      <c r="D1113" s="1">
        <v>44105</v>
      </c>
      <c r="F1113" t="s">
        <v>97</v>
      </c>
      <c r="G1113" t="str">
        <f>"BUSINESS ANALYST I"</f>
        <v>BUSINESS ANALYST I</v>
      </c>
      <c r="H1113" t="s">
        <v>12168</v>
      </c>
      <c r="I1113" t="s">
        <v>249</v>
      </c>
      <c r="J1113" t="s">
        <v>98</v>
      </c>
      <c r="K1113" s="1">
        <v>44109</v>
      </c>
      <c r="L1113" s="1">
        <v>45203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 t="s">
        <v>440</v>
      </c>
      <c r="U1113" t="str">
        <f>""</f>
        <v/>
      </c>
      <c r="V1113" t="s">
        <v>809</v>
      </c>
      <c r="W1113" t="str">
        <f>"SUITE 500"</f>
        <v>SUITE 500</v>
      </c>
      <c r="X1113" t="s">
        <v>433</v>
      </c>
      <c r="Y1113" t="s">
        <v>176</v>
      </c>
      <c r="Z1113" s="3">
        <v>98121</v>
      </c>
      <c r="AA1113" t="s">
        <v>101</v>
      </c>
      <c r="AC1113" s="4" t="str">
        <f>"+12062661000"</f>
        <v>+12062661000</v>
      </c>
      <c r="AE1113" t="str">
        <f>"454110"</f>
        <v>454110</v>
      </c>
      <c r="AF1113" t="s">
        <v>442</v>
      </c>
      <c r="AG1113" t="s">
        <v>443</v>
      </c>
      <c r="AH1113" t="s">
        <v>108</v>
      </c>
      <c r="AI1113" t="s">
        <v>434</v>
      </c>
      <c r="AJ1113" t="s">
        <v>809</v>
      </c>
      <c r="AK1113" t="str">
        <f>"SUITE 500"</f>
        <v>SUITE 500</v>
      </c>
      <c r="AL1113" t="s">
        <v>433</v>
      </c>
      <c r="AM1113" t="s">
        <v>176</v>
      </c>
      <c r="AN1113" s="3">
        <v>98121</v>
      </c>
      <c r="AO1113" t="s">
        <v>101</v>
      </c>
      <c r="AQ1113" t="str">
        <f>"+12062661000"</f>
        <v>+12062661000</v>
      </c>
      <c r="AS1113" t="s">
        <v>263</v>
      </c>
      <c r="AT1113" t="s">
        <v>107</v>
      </c>
      <c r="AU1113" t="str">
        <f>"MARANCI"</f>
        <v>MARANCI</v>
      </c>
      <c r="AV1113" t="str">
        <f>"DANIEL"</f>
        <v>DANIEL</v>
      </c>
      <c r="AW1113" t="str">
        <f>"N/A"</f>
        <v>N/A</v>
      </c>
      <c r="AX1113" t="str">
        <f>"100 HIGH STREET"</f>
        <v>100 HIGH STREET</v>
      </c>
      <c r="AY1113" t="str">
        <f>"3RD FLOOR C#5312809"</f>
        <v>3RD FLOOR C#5312809</v>
      </c>
      <c r="AZ1113" t="str">
        <f>"BOSTON"</f>
        <v>BOSTON</v>
      </c>
      <c r="BA1113" t="str">
        <f>"MA"</f>
        <v>MA</v>
      </c>
      <c r="BB1113" s="3">
        <v>2110</v>
      </c>
      <c r="BC1113" t="str">
        <f t="shared" si="88"/>
        <v>UNITED STATES OF AMERICA</v>
      </c>
      <c r="BD1113" t="str">
        <f>""</f>
        <v/>
      </c>
      <c r="BE1113" t="str">
        <f>"+16175740400"</f>
        <v>+16175740400</v>
      </c>
      <c r="BF1113" t="str">
        <f>""</f>
        <v/>
      </c>
      <c r="BG1113" t="str">
        <f>"AMAZONINDIA@FRAGOMEN.COM"</f>
        <v>AMAZONINDIA@FRAGOMEN.COM</v>
      </c>
      <c r="BH1113" t="str">
        <f>"FRAGOMEN, DEL REY, BERNSEN &amp; LOEWY, LLP"</f>
        <v>FRAGOMEN, DEL REY, BERNSEN &amp; LOEWY, LLP</v>
      </c>
      <c r="BI1113" t="str">
        <f>"MA"</f>
        <v>MA</v>
      </c>
      <c r="BJ1113" t="str">
        <f>"SUPREME JUDICIAL COURT"</f>
        <v>SUPREME JUDICIAL COURT</v>
      </c>
      <c r="BK1113">
        <v>1</v>
      </c>
      <c r="BL1113" t="s">
        <v>102</v>
      </c>
      <c r="BM1113" t="str">
        <f>""</f>
        <v/>
      </c>
      <c r="BN1113" t="s">
        <v>4256</v>
      </c>
      <c r="BP1113" t="s">
        <v>433</v>
      </c>
      <c r="BQ1113" t="s">
        <v>183</v>
      </c>
      <c r="BR1113" t="s">
        <v>176</v>
      </c>
      <c r="BS1113" s="5">
        <v>98109</v>
      </c>
      <c r="BT1113" s="2">
        <v>71000</v>
      </c>
      <c r="BV1113" t="s">
        <v>105</v>
      </c>
      <c r="BW1113" s="2">
        <v>58261</v>
      </c>
      <c r="BX1113" t="s">
        <v>105</v>
      </c>
      <c r="BZ1113" t="s">
        <v>191</v>
      </c>
      <c r="CA1113" t="str">
        <f t="shared" si="87"/>
        <v>7/1/2020 - 6/30/2021</v>
      </c>
      <c r="CF1113">
        <v>2</v>
      </c>
      <c r="CG1113" t="s">
        <v>98</v>
      </c>
      <c r="CH1113" t="s">
        <v>206</v>
      </c>
      <c r="CI1113" t="s">
        <v>206</v>
      </c>
      <c r="CL1113" t="s">
        <v>108</v>
      </c>
      <c r="CM1113" t="s">
        <v>109</v>
      </c>
      <c r="CN1113" t="str">
        <f>"SUNNY"</f>
        <v>SUNNY</v>
      </c>
      <c r="CO1113" t="str">
        <f>"JASMIN"</f>
        <v>JASMIN</v>
      </c>
      <c r="CP1113" t="str">
        <f>"N/A"</f>
        <v>N/A</v>
      </c>
      <c r="CQ1113" t="str">
        <f>"FRAGOMEN, DEL REY, BERNSEN &amp; LOEWY, LLP"</f>
        <v>FRAGOMEN, DEL REY, BERNSEN &amp; LOEWY, LLP</v>
      </c>
      <c r="CR1113" t="s">
        <v>650</v>
      </c>
    </row>
    <row r="1114" spans="1:96" x14ac:dyDescent="0.2">
      <c r="A1114" t="s">
        <v>11378</v>
      </c>
      <c r="B1114" t="s">
        <v>96</v>
      </c>
      <c r="C1114" s="1">
        <v>44098</v>
      </c>
      <c r="D1114" s="1">
        <v>44105</v>
      </c>
      <c r="F1114" t="s">
        <v>97</v>
      </c>
      <c r="G1114" t="str">
        <f>"Software Developer"</f>
        <v>Software Developer</v>
      </c>
      <c r="H1114" t="s">
        <v>12176</v>
      </c>
      <c r="I1114" t="s">
        <v>246</v>
      </c>
      <c r="J1114" t="s">
        <v>98</v>
      </c>
      <c r="K1114" s="1">
        <v>44273</v>
      </c>
      <c r="L1114" s="1">
        <v>45368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 t="s">
        <v>10494</v>
      </c>
      <c r="U1114" t="str">
        <f>""</f>
        <v/>
      </c>
      <c r="V1114" t="s">
        <v>10495</v>
      </c>
      <c r="W1114" t="str">
        <f>"N/A"</f>
        <v>N/A</v>
      </c>
      <c r="X1114" t="s">
        <v>2262</v>
      </c>
      <c r="Y1114" t="s">
        <v>265</v>
      </c>
      <c r="Z1114" s="3">
        <v>48854</v>
      </c>
      <c r="AA1114" t="s">
        <v>101</v>
      </c>
      <c r="AC1114" s="4" t="str">
        <f>"+18005453278"</f>
        <v>+18005453278</v>
      </c>
      <c r="AE1114" t="str">
        <f>"326140"</f>
        <v>326140</v>
      </c>
      <c r="AF1114" t="s">
        <v>10496</v>
      </c>
      <c r="AG1114" t="s">
        <v>4833</v>
      </c>
      <c r="AH1114" t="s">
        <v>108</v>
      </c>
      <c r="AI1114" t="s">
        <v>10497</v>
      </c>
      <c r="AJ1114" t="s">
        <v>10495</v>
      </c>
      <c r="AK1114" t="str">
        <f>"N/A"</f>
        <v>N/A</v>
      </c>
      <c r="AL1114" t="s">
        <v>2262</v>
      </c>
      <c r="AM1114" t="s">
        <v>265</v>
      </c>
      <c r="AN1114" s="3">
        <v>48854</v>
      </c>
      <c r="AO1114" t="s">
        <v>101</v>
      </c>
      <c r="AQ1114" t="str">
        <f>"+15172442697"</f>
        <v>+15172442697</v>
      </c>
      <c r="AS1114" t="s">
        <v>10498</v>
      </c>
      <c r="AT1114" t="s">
        <v>107</v>
      </c>
      <c r="AU1114" t="str">
        <f>"Konrad"</f>
        <v>Konrad</v>
      </c>
      <c r="AV1114" t="str">
        <f>"Helen"</f>
        <v>Helen</v>
      </c>
      <c r="AW1114" t="str">
        <f>"L."</f>
        <v>L.</v>
      </c>
      <c r="AX1114" t="str">
        <f>"1111 E. Main Street"</f>
        <v>1111 E. Main Street</v>
      </c>
      <c r="AY1114" t="str">
        <f>"Suite 2100"</f>
        <v>Suite 2100</v>
      </c>
      <c r="AZ1114" t="str">
        <f>"Richmond"</f>
        <v>Richmond</v>
      </c>
      <c r="BA1114" t="str">
        <f>"VA"</f>
        <v>VA</v>
      </c>
      <c r="BB1114" s="3">
        <v>23219</v>
      </c>
      <c r="BC1114" t="str">
        <f t="shared" si="88"/>
        <v>UNITED STATES OF AMERICA</v>
      </c>
      <c r="BD1114" t="str">
        <f>""</f>
        <v/>
      </c>
      <c r="BE1114" t="str">
        <f>"+18047753825"</f>
        <v>+18047753825</v>
      </c>
      <c r="BF1114" t="str">
        <f>""</f>
        <v/>
      </c>
      <c r="BG1114" t="str">
        <f>"hkonrad@lawmh.com"</f>
        <v>hkonrad@lawmh.com</v>
      </c>
      <c r="BH1114" t="str">
        <f>"McCandlish Holton, PC"</f>
        <v>McCandlish Holton, PC</v>
      </c>
      <c r="BI1114" t="str">
        <f>"VA"</f>
        <v>VA</v>
      </c>
      <c r="BJ1114" t="str">
        <f>"Supreme Court"</f>
        <v>Supreme Court</v>
      </c>
      <c r="BK1114">
        <v>1</v>
      </c>
      <c r="BL1114" t="s">
        <v>102</v>
      </c>
      <c r="BM1114" t="str">
        <f>""</f>
        <v/>
      </c>
      <c r="BN1114" t="s">
        <v>10499</v>
      </c>
      <c r="BP1114" t="s">
        <v>2262</v>
      </c>
      <c r="BQ1114" t="s">
        <v>4399</v>
      </c>
      <c r="BR1114" t="s">
        <v>265</v>
      </c>
      <c r="BS1114" s="5">
        <v>48854</v>
      </c>
      <c r="BT1114" s="2">
        <v>70817</v>
      </c>
      <c r="BU1114" s="2">
        <v>106226</v>
      </c>
      <c r="BV1114" t="s">
        <v>105</v>
      </c>
      <c r="BW1114" s="2">
        <v>66456</v>
      </c>
      <c r="BX1114" t="s">
        <v>105</v>
      </c>
      <c r="BZ1114" t="s">
        <v>167</v>
      </c>
      <c r="CA1114" t="str">
        <f t="shared" si="87"/>
        <v>7/1/2020 - 6/30/2021</v>
      </c>
      <c r="CF1114">
        <v>2</v>
      </c>
      <c r="CG1114" t="s">
        <v>98</v>
      </c>
      <c r="CH1114" t="s">
        <v>206</v>
      </c>
      <c r="CI1114" t="s">
        <v>206</v>
      </c>
      <c r="CL1114" t="s">
        <v>108</v>
      </c>
      <c r="CM1114" t="s">
        <v>109</v>
      </c>
      <c r="CN1114" t="str">
        <f>"Barger"</f>
        <v>Barger</v>
      </c>
      <c r="CO1114" t="str">
        <f>"Meghan"</f>
        <v>Meghan</v>
      </c>
      <c r="CP1114" t="str">
        <f>"S"</f>
        <v>S</v>
      </c>
      <c r="CQ1114" t="str">
        <f>"McCandlish Holton, PC"</f>
        <v>McCandlish Holton, PC</v>
      </c>
      <c r="CR1114" t="s">
        <v>3727</v>
      </c>
    </row>
    <row r="1115" spans="1:96" x14ac:dyDescent="0.2">
      <c r="A1115" t="s">
        <v>11379</v>
      </c>
      <c r="B1115" t="s">
        <v>96</v>
      </c>
      <c r="C1115" s="1">
        <v>44098</v>
      </c>
      <c r="D1115" s="1">
        <v>44105</v>
      </c>
      <c r="F1115" t="s">
        <v>97</v>
      </c>
      <c r="G1115" t="str">
        <f>"Engineering Supervisor"</f>
        <v>Engineering Supervisor</v>
      </c>
      <c r="H1115" t="s">
        <v>12179</v>
      </c>
      <c r="I1115" t="s">
        <v>1357</v>
      </c>
      <c r="J1115" t="s">
        <v>98</v>
      </c>
      <c r="K1115" s="1">
        <v>44105</v>
      </c>
      <c r="L1115" s="1">
        <v>45199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 t="s">
        <v>4473</v>
      </c>
      <c r="U1115" t="str">
        <f>""</f>
        <v/>
      </c>
      <c r="V1115" t="s">
        <v>6350</v>
      </c>
      <c r="W1115" t="str">
        <f>"N/A"</f>
        <v>N/A</v>
      </c>
      <c r="X1115" t="s">
        <v>1498</v>
      </c>
      <c r="Y1115" t="s">
        <v>265</v>
      </c>
      <c r="Z1115" s="3">
        <v>48331</v>
      </c>
      <c r="AA1115" t="s">
        <v>101</v>
      </c>
      <c r="AC1115" s="4" t="str">
        <f>"+12486994012"</f>
        <v>+12486994012</v>
      </c>
      <c r="AE1115" t="str">
        <f>"336111"</f>
        <v>336111</v>
      </c>
      <c r="AF1115" t="s">
        <v>4472</v>
      </c>
      <c r="AG1115" t="s">
        <v>2279</v>
      </c>
      <c r="AH1115" t="s">
        <v>108</v>
      </c>
      <c r="AI1115" t="s">
        <v>3747</v>
      </c>
      <c r="AJ1115" t="s">
        <v>6350</v>
      </c>
      <c r="AK1115" t="str">
        <f>"N/A"</f>
        <v>N/A</v>
      </c>
      <c r="AL1115" t="s">
        <v>1498</v>
      </c>
      <c r="AM1115" t="s">
        <v>265</v>
      </c>
      <c r="AN1115" s="3">
        <v>48331</v>
      </c>
      <c r="AO1115" t="s">
        <v>101</v>
      </c>
      <c r="AQ1115" t="str">
        <f>"+12486994012"</f>
        <v>+12486994012</v>
      </c>
      <c r="AS1115" t="s">
        <v>6351</v>
      </c>
      <c r="AT1115" t="s">
        <v>107</v>
      </c>
      <c r="AU1115" t="str">
        <f>"Terebelo"</f>
        <v>Terebelo</v>
      </c>
      <c r="AV1115" t="str">
        <f>"Michal"</f>
        <v>Michal</v>
      </c>
      <c r="AW1115" t="str">
        <f>"Duer"</f>
        <v>Duer</v>
      </c>
      <c r="AX1115" t="str">
        <f>"5250 Corporate Drive"</f>
        <v>5250 Corporate Drive</v>
      </c>
      <c r="AY1115" t="str">
        <f>"Ste. 300"</f>
        <v>Ste. 300</v>
      </c>
      <c r="AZ1115" t="str">
        <f>"Troy"</f>
        <v>Troy</v>
      </c>
      <c r="BA1115" t="str">
        <f>"MI"</f>
        <v>MI</v>
      </c>
      <c r="BB1115" s="3">
        <v>48098</v>
      </c>
      <c r="BC1115" t="str">
        <f t="shared" si="88"/>
        <v>UNITED STATES OF AMERICA</v>
      </c>
      <c r="BD1115" t="str">
        <f>""</f>
        <v/>
      </c>
      <c r="BE1115" t="str">
        <f>"+12486434900"</f>
        <v>+12486434900</v>
      </c>
      <c r="BF1115" t="str">
        <f>""</f>
        <v/>
      </c>
      <c r="BG1115" t="str">
        <f>"Shilpas@employmentimmigration.com"</f>
        <v>Shilpas@employmentimmigration.com</v>
      </c>
      <c r="BH1115" t="str">
        <f>"Fakhoury Global Immigration, USA PC"</f>
        <v>Fakhoury Global Immigration, USA PC</v>
      </c>
      <c r="BI1115" t="str">
        <f>"MI"</f>
        <v>MI</v>
      </c>
      <c r="BJ1115" t="str">
        <f>"Supreme Court"</f>
        <v>Supreme Court</v>
      </c>
      <c r="BK1115">
        <v>1</v>
      </c>
      <c r="BL1115" t="s">
        <v>102</v>
      </c>
      <c r="BM1115" t="str">
        <f>""</f>
        <v/>
      </c>
      <c r="BN1115" t="s">
        <v>4473</v>
      </c>
      <c r="BO1115" t="s">
        <v>4471</v>
      </c>
      <c r="BP1115" t="s">
        <v>1498</v>
      </c>
      <c r="BQ1115" t="s">
        <v>719</v>
      </c>
      <c r="BR1115" t="s">
        <v>265</v>
      </c>
      <c r="BS1115" s="5">
        <v>48331</v>
      </c>
      <c r="BT1115" s="2">
        <v>115538</v>
      </c>
      <c r="BV1115" t="s">
        <v>105</v>
      </c>
      <c r="BW1115" s="2">
        <v>95742</v>
      </c>
      <c r="BX1115" t="s">
        <v>105</v>
      </c>
      <c r="BZ1115" t="s">
        <v>123</v>
      </c>
      <c r="CA1115" t="str">
        <f t="shared" si="87"/>
        <v>7/1/2020 - 6/30/2021</v>
      </c>
      <c r="CF1115">
        <v>1</v>
      </c>
      <c r="CG1115" t="s">
        <v>98</v>
      </c>
      <c r="CH1115" t="s">
        <v>206</v>
      </c>
      <c r="CI1115" t="s">
        <v>206</v>
      </c>
      <c r="CL1115" t="s">
        <v>108</v>
      </c>
      <c r="CM1115" t="s">
        <v>109</v>
      </c>
      <c r="CN1115" t="str">
        <f>"Terebelo"</f>
        <v>Terebelo</v>
      </c>
      <c r="CO1115" t="str">
        <f>"Michal"</f>
        <v>Michal</v>
      </c>
      <c r="CP1115" t="str">
        <f>"D."</f>
        <v>D.</v>
      </c>
      <c r="CQ1115" t="str">
        <f>"Fakhoury Global Immigration, USA PC"</f>
        <v>Fakhoury Global Immigration, USA PC</v>
      </c>
      <c r="CR1115" t="s">
        <v>5084</v>
      </c>
    </row>
    <row r="1116" spans="1:96" x14ac:dyDescent="0.2">
      <c r="A1116" t="s">
        <v>11388</v>
      </c>
      <c r="B1116" t="s">
        <v>96</v>
      </c>
      <c r="C1116" s="1">
        <v>44098</v>
      </c>
      <c r="D1116" s="1">
        <v>44105</v>
      </c>
      <c r="F1116" t="s">
        <v>97</v>
      </c>
      <c r="G1116" t="str">
        <f>"LEAD ANALYTICS CONSULTANT"</f>
        <v>LEAD ANALYTICS CONSULTANT</v>
      </c>
      <c r="H1116" t="s">
        <v>12180</v>
      </c>
      <c r="I1116" t="s">
        <v>390</v>
      </c>
      <c r="J1116" t="s">
        <v>98</v>
      </c>
      <c r="K1116" s="1">
        <v>44109</v>
      </c>
      <c r="L1116" s="1">
        <v>45203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5515</v>
      </c>
      <c r="U1116" t="str">
        <f>""</f>
        <v/>
      </c>
      <c r="V1116" t="s">
        <v>5516</v>
      </c>
      <c r="W1116" t="str">
        <f>""</f>
        <v/>
      </c>
      <c r="X1116" t="s">
        <v>5517</v>
      </c>
      <c r="Y1116" t="s">
        <v>857</v>
      </c>
      <c r="Z1116" s="3">
        <v>2865</v>
      </c>
      <c r="AA1116" t="s">
        <v>101</v>
      </c>
      <c r="AC1116" s="4" t="str">
        <f>"+14017701621"</f>
        <v>+14017701621</v>
      </c>
      <c r="AE1116" t="str">
        <f>"524114"</f>
        <v>524114</v>
      </c>
      <c r="AF1116" t="s">
        <v>5518</v>
      </c>
      <c r="AG1116" t="s">
        <v>5519</v>
      </c>
      <c r="AH1116" t="s">
        <v>5520</v>
      </c>
      <c r="AI1116" t="s">
        <v>5521</v>
      </c>
      <c r="AJ1116" t="s">
        <v>5522</v>
      </c>
      <c r="AK1116" t="str">
        <f>"695 GEORGE WASHINGTON HWY, MAIL CODE HR695"</f>
        <v>695 GEORGE WASHINGTON HWY, MAIL CODE HR695</v>
      </c>
      <c r="AL1116" t="s">
        <v>5517</v>
      </c>
      <c r="AM1116" t="s">
        <v>857</v>
      </c>
      <c r="AN1116" s="3">
        <v>2865</v>
      </c>
      <c r="AO1116" t="s">
        <v>101</v>
      </c>
      <c r="AQ1116" t="str">
        <f>"+14017701621"</f>
        <v>+14017701621</v>
      </c>
      <c r="AS1116" t="s">
        <v>5523</v>
      </c>
      <c r="AT1116" t="s">
        <v>107</v>
      </c>
      <c r="AU1116" t="str">
        <f>"WEINTRAUB"</f>
        <v>WEINTRAUB</v>
      </c>
      <c r="AV1116" t="str">
        <f>"FREDDI"</f>
        <v>FREDDI</v>
      </c>
      <c r="AW1116" t="str">
        <f>"M."</f>
        <v>M.</v>
      </c>
      <c r="AX1116" t="str">
        <f>"1400 BROADWAY"</f>
        <v>1400 BROADWAY</v>
      </c>
      <c r="AY1116" t="str">
        <f>"9TH FL"</f>
        <v>9TH FL</v>
      </c>
      <c r="AZ1116" t="str">
        <f>"NEW YORK"</f>
        <v>NEW YORK</v>
      </c>
      <c r="BA1116" t="str">
        <f>"NY"</f>
        <v>NY</v>
      </c>
      <c r="BB1116" s="3">
        <v>10018</v>
      </c>
      <c r="BC1116" t="str">
        <f t="shared" si="88"/>
        <v>UNITED STATES OF AMERICA</v>
      </c>
      <c r="BD1116" t="str">
        <f>""</f>
        <v/>
      </c>
      <c r="BE1116" t="str">
        <f>"+12126888555"</f>
        <v>+12126888555</v>
      </c>
      <c r="BF1116" t="str">
        <f>""</f>
        <v/>
      </c>
      <c r="BG1116" t="str">
        <f>"MARK.GARCERAN@FRAGOMEN.COM"</f>
        <v>MARK.GARCERAN@FRAGOMEN.COM</v>
      </c>
      <c r="BH1116" t="str">
        <f>"FRAGOMEN, DEL REY, BERNSEN &amp; LOEWY, LLP"</f>
        <v>FRAGOMEN, DEL REY, BERNSEN &amp; LOEWY, LLP</v>
      </c>
      <c r="BI1116" t="str">
        <f>"NY"</f>
        <v>NY</v>
      </c>
      <c r="BJ1116" t="str">
        <f>"NEW YORK STATE COURT OF APPEALS"</f>
        <v>NEW YORK STATE COURT OF APPEALS</v>
      </c>
      <c r="BK1116">
        <v>1</v>
      </c>
      <c r="BL1116" t="s">
        <v>102</v>
      </c>
      <c r="BM1116" t="str">
        <f>""</f>
        <v/>
      </c>
      <c r="BN1116" t="s">
        <v>5515</v>
      </c>
      <c r="BO1116" t="s">
        <v>11389</v>
      </c>
      <c r="BP1116" t="s">
        <v>189</v>
      </c>
      <c r="BQ1116" t="s">
        <v>189</v>
      </c>
      <c r="BR1116" t="s">
        <v>190</v>
      </c>
      <c r="BS1116" s="5">
        <v>10013</v>
      </c>
      <c r="BT1116" s="2">
        <v>175000</v>
      </c>
      <c r="BV1116" t="s">
        <v>105</v>
      </c>
      <c r="BW1116" s="2">
        <v>124405</v>
      </c>
      <c r="BX1116" t="s">
        <v>105</v>
      </c>
      <c r="BZ1116" t="s">
        <v>159</v>
      </c>
      <c r="CA1116" t="str">
        <f t="shared" si="87"/>
        <v>7/1/2020 - 6/30/2021</v>
      </c>
      <c r="CF1116">
        <v>2</v>
      </c>
      <c r="CG1116" t="s">
        <v>98</v>
      </c>
      <c r="CH1116" t="s">
        <v>206</v>
      </c>
      <c r="CI1116" t="s">
        <v>206</v>
      </c>
      <c r="CL1116" t="s">
        <v>108</v>
      </c>
      <c r="CM1116" t="s">
        <v>109</v>
      </c>
      <c r="CN1116" t="str">
        <f>"GARCERAN"</f>
        <v>GARCERAN</v>
      </c>
      <c r="CO1116" t="str">
        <f>"MARK"</f>
        <v>MARK</v>
      </c>
      <c r="CP1116" t="str">
        <f>""</f>
        <v/>
      </c>
      <c r="CQ1116" t="str">
        <f>"FRAGOMEN, DEL REY, BERNSEN &amp; LOEWY, LLP"</f>
        <v>FRAGOMEN, DEL REY, BERNSEN &amp; LOEWY, LLP</v>
      </c>
      <c r="CR1116" t="s">
        <v>5526</v>
      </c>
    </row>
    <row r="1117" spans="1:96" x14ac:dyDescent="0.2">
      <c r="A1117" t="s">
        <v>11399</v>
      </c>
      <c r="B1117" t="s">
        <v>96</v>
      </c>
      <c r="C1117" s="1">
        <v>44098</v>
      </c>
      <c r="D1117" s="1">
        <v>44105</v>
      </c>
      <c r="F1117" t="s">
        <v>97</v>
      </c>
      <c r="G1117" t="str">
        <f>"Consultant"</f>
        <v>Consultant</v>
      </c>
      <c r="H1117" t="s">
        <v>12214</v>
      </c>
      <c r="I1117" t="s">
        <v>276</v>
      </c>
      <c r="J1117" t="s">
        <v>98</v>
      </c>
      <c r="K1117" s="1">
        <v>44105</v>
      </c>
      <c r="L1117" s="1">
        <v>45199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838</v>
      </c>
      <c r="U1117" t="str">
        <f>""</f>
        <v/>
      </c>
      <c r="V1117" t="s">
        <v>839</v>
      </c>
      <c r="W1117" t="str">
        <f>""</f>
        <v/>
      </c>
      <c r="X1117" t="s">
        <v>833</v>
      </c>
      <c r="Y1117" t="s">
        <v>345</v>
      </c>
      <c r="Z1117" s="3">
        <v>60601</v>
      </c>
      <c r="AA1117" t="s">
        <v>101</v>
      </c>
      <c r="AC1117" s="4" t="str">
        <f>"+13126930161"</f>
        <v>+13126930161</v>
      </c>
      <c r="AE1117" t="str">
        <f>"5416"</f>
        <v>5416</v>
      </c>
      <c r="AF1117" t="s">
        <v>840</v>
      </c>
      <c r="AG1117" t="s">
        <v>841</v>
      </c>
      <c r="AI1117" t="s">
        <v>417</v>
      </c>
      <c r="AJ1117" t="s">
        <v>842</v>
      </c>
      <c r="AK1117" t="str">
        <f>""</f>
        <v/>
      </c>
      <c r="AL1117" t="s">
        <v>843</v>
      </c>
      <c r="AM1117" t="s">
        <v>345</v>
      </c>
      <c r="AN1117" s="3">
        <v>60601</v>
      </c>
      <c r="AO1117" t="s">
        <v>101</v>
      </c>
      <c r="AQ1117" t="str">
        <f>"+13126932825"</f>
        <v>+13126932825</v>
      </c>
      <c r="AS1117" t="s">
        <v>844</v>
      </c>
      <c r="AT1117" t="s">
        <v>102</v>
      </c>
      <c r="AU1117" t="str">
        <f>""</f>
        <v/>
      </c>
      <c r="AV1117" t="str">
        <f>""</f>
        <v/>
      </c>
      <c r="AW1117" t="str">
        <f>""</f>
        <v/>
      </c>
      <c r="AX1117" t="str">
        <f>""</f>
        <v/>
      </c>
      <c r="AY1117" t="str">
        <f>""</f>
        <v/>
      </c>
      <c r="AZ1117" t="str">
        <f>""</f>
        <v/>
      </c>
      <c r="BA1117" t="str">
        <f>""</f>
        <v/>
      </c>
      <c r="BC1117" t="str">
        <f>""</f>
        <v/>
      </c>
      <c r="BD1117" t="str">
        <f>""</f>
        <v/>
      </c>
      <c r="BE1117" t="str">
        <f>""</f>
        <v/>
      </c>
      <c r="BF1117" t="str">
        <f>""</f>
        <v/>
      </c>
      <c r="BG1117" t="str">
        <f>""</f>
        <v/>
      </c>
      <c r="BH1117" t="str">
        <f>""</f>
        <v/>
      </c>
      <c r="BI1117" t="str">
        <f>""</f>
        <v/>
      </c>
      <c r="BJ1117" t="str">
        <f>""</f>
        <v/>
      </c>
      <c r="BK1117">
        <v>1</v>
      </c>
      <c r="BL1117" t="s">
        <v>102</v>
      </c>
      <c r="BM1117" t="str">
        <f>""</f>
        <v/>
      </c>
      <c r="BN1117" t="s">
        <v>11400</v>
      </c>
      <c r="BP1117" t="s">
        <v>1152</v>
      </c>
      <c r="BQ1117" t="s">
        <v>640</v>
      </c>
      <c r="BR1117" t="s">
        <v>641</v>
      </c>
      <c r="BS1117" s="5">
        <v>72712</v>
      </c>
      <c r="BT1117" s="2">
        <v>90000</v>
      </c>
      <c r="BU1117" s="2">
        <v>120000</v>
      </c>
      <c r="BV1117" t="s">
        <v>105</v>
      </c>
      <c r="BW1117" s="2">
        <v>78166</v>
      </c>
      <c r="BX1117" t="s">
        <v>105</v>
      </c>
      <c r="BZ1117" t="s">
        <v>167</v>
      </c>
      <c r="CA1117" t="str">
        <f t="shared" si="87"/>
        <v>7/1/2020 - 6/30/2021</v>
      </c>
      <c r="CF1117">
        <v>1</v>
      </c>
      <c r="CG1117" t="s">
        <v>98</v>
      </c>
      <c r="CH1117" t="s">
        <v>206</v>
      </c>
      <c r="CI1117" t="s">
        <v>206</v>
      </c>
      <c r="CL1117" t="s">
        <v>108</v>
      </c>
      <c r="CM1117" t="s">
        <v>109</v>
      </c>
      <c r="CN1117" t="str">
        <f>""</f>
        <v/>
      </c>
      <c r="CO1117" t="str">
        <f>""</f>
        <v/>
      </c>
      <c r="CP1117" t="str">
        <f>""</f>
        <v/>
      </c>
      <c r="CQ1117" t="str">
        <f>""</f>
        <v/>
      </c>
    </row>
    <row r="1118" spans="1:96" x14ac:dyDescent="0.2">
      <c r="A1118" t="s">
        <v>11404</v>
      </c>
      <c r="B1118" t="s">
        <v>96</v>
      </c>
      <c r="C1118" s="1">
        <v>44098</v>
      </c>
      <c r="D1118" s="1">
        <v>44105</v>
      </c>
      <c r="F1118" t="s">
        <v>97</v>
      </c>
      <c r="G1118" t="str">
        <f>"Senior Data Analyst"</f>
        <v>Senior Data Analyst</v>
      </c>
      <c r="H1118" t="s">
        <v>12169</v>
      </c>
      <c r="I1118" t="s">
        <v>124</v>
      </c>
      <c r="J1118" t="s">
        <v>98</v>
      </c>
      <c r="K1118" s="1">
        <v>44270</v>
      </c>
      <c r="L1118" s="1">
        <v>45365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 t="s">
        <v>11405</v>
      </c>
      <c r="U1118" t="str">
        <f>""</f>
        <v/>
      </c>
      <c r="V1118" t="s">
        <v>11406</v>
      </c>
      <c r="W1118" t="str">
        <f>"Suite 800"</f>
        <v>Suite 800</v>
      </c>
      <c r="X1118" t="s">
        <v>483</v>
      </c>
      <c r="Y1118" t="s">
        <v>114</v>
      </c>
      <c r="Z1118" s="3">
        <v>75039</v>
      </c>
      <c r="AA1118" t="s">
        <v>101</v>
      </c>
      <c r="AC1118" s="4" t="str">
        <f>"+12146295933"</f>
        <v>+12146295933</v>
      </c>
      <c r="AE1118" t="str">
        <f>"621511"</f>
        <v>621511</v>
      </c>
      <c r="AF1118" t="s">
        <v>11407</v>
      </c>
      <c r="AG1118" t="s">
        <v>3095</v>
      </c>
      <c r="AI1118" t="s">
        <v>11408</v>
      </c>
      <c r="AJ1118" t="s">
        <v>11406</v>
      </c>
      <c r="AK1118" t="str">
        <f>"Suite 800"</f>
        <v>Suite 800</v>
      </c>
      <c r="AL1118" t="s">
        <v>483</v>
      </c>
      <c r="AM1118" t="s">
        <v>114</v>
      </c>
      <c r="AN1118" s="3">
        <v>75039</v>
      </c>
      <c r="AO1118" t="s">
        <v>101</v>
      </c>
      <c r="AQ1118" t="str">
        <f>"+12142945549"</f>
        <v>+12142945549</v>
      </c>
      <c r="AS1118" t="s">
        <v>11409</v>
      </c>
      <c r="AT1118" t="s">
        <v>107</v>
      </c>
      <c r="AU1118" t="str">
        <f>"Ansbach"</f>
        <v>Ansbach</v>
      </c>
      <c r="AV1118" t="str">
        <f>"Cindy"</f>
        <v>Cindy</v>
      </c>
      <c r="AW1118" t="str">
        <f>"Kang"</f>
        <v>Kang</v>
      </c>
      <c r="AX1118" t="str">
        <f>"12655 North Central Expressway"</f>
        <v>12655 North Central Expressway</v>
      </c>
      <c r="AY1118" t="str">
        <f>"Suite 275"</f>
        <v>Suite 275</v>
      </c>
      <c r="AZ1118" t="str">
        <f>"Dallas"</f>
        <v>Dallas</v>
      </c>
      <c r="BA1118" t="str">
        <f>"TX"</f>
        <v>TX</v>
      </c>
      <c r="BB1118" s="3">
        <v>75243</v>
      </c>
      <c r="BC1118" t="str">
        <f>"UNITED STATES OF AMERICA"</f>
        <v>UNITED STATES OF AMERICA</v>
      </c>
      <c r="BD1118" t="str">
        <f>""</f>
        <v/>
      </c>
      <c r="BE1118" t="str">
        <f>"+19725216650"</f>
        <v>+19725216650</v>
      </c>
      <c r="BF1118" t="str">
        <f>""</f>
        <v/>
      </c>
      <c r="BG1118" t="str">
        <f>"cindy@agfirm.net"</f>
        <v>cindy@agfirm.net</v>
      </c>
      <c r="BH1118" t="str">
        <f>"JMA Firm, PLLC"</f>
        <v>JMA Firm, PLLC</v>
      </c>
      <c r="BI1118" t="str">
        <f>"TX"</f>
        <v>TX</v>
      </c>
      <c r="BJ1118" t="str">
        <f>"Supreme Court"</f>
        <v>Supreme Court</v>
      </c>
      <c r="BK1118">
        <v>1</v>
      </c>
      <c r="BL1118" t="s">
        <v>102</v>
      </c>
      <c r="BM1118" t="str">
        <f>""</f>
        <v/>
      </c>
      <c r="BN1118" t="s">
        <v>11410</v>
      </c>
      <c r="BO1118" t="s">
        <v>163</v>
      </c>
      <c r="BP1118" t="s">
        <v>483</v>
      </c>
      <c r="BQ1118" t="s">
        <v>484</v>
      </c>
      <c r="BR1118" t="s">
        <v>114</v>
      </c>
      <c r="BS1118" s="5">
        <v>75039</v>
      </c>
      <c r="BT1118" s="2">
        <v>101520.64</v>
      </c>
      <c r="BV1118" t="s">
        <v>105</v>
      </c>
      <c r="BW1118" s="2">
        <v>93558</v>
      </c>
      <c r="BX1118" t="s">
        <v>105</v>
      </c>
      <c r="BZ1118" t="s">
        <v>167</v>
      </c>
      <c r="CA1118" t="str">
        <f t="shared" si="87"/>
        <v>7/1/2020 - 6/30/2021</v>
      </c>
      <c r="CF1118">
        <v>2</v>
      </c>
      <c r="CG1118" t="s">
        <v>98</v>
      </c>
      <c r="CH1118" t="s">
        <v>206</v>
      </c>
      <c r="CI1118" t="s">
        <v>206</v>
      </c>
      <c r="CL1118" t="s">
        <v>108</v>
      </c>
      <c r="CM1118" t="s">
        <v>109</v>
      </c>
      <c r="CN1118" t="str">
        <f>""</f>
        <v/>
      </c>
      <c r="CO1118" t="str">
        <f>""</f>
        <v/>
      </c>
      <c r="CP1118" t="str">
        <f>""</f>
        <v/>
      </c>
      <c r="CQ1118" t="str">
        <f>""</f>
        <v/>
      </c>
    </row>
    <row r="1119" spans="1:96" x14ac:dyDescent="0.2">
      <c r="A1119" t="s">
        <v>11411</v>
      </c>
      <c r="B1119" t="s">
        <v>96</v>
      </c>
      <c r="C1119" s="1">
        <v>44098</v>
      </c>
      <c r="D1119" s="1">
        <v>44105</v>
      </c>
      <c r="F1119" t="s">
        <v>97</v>
      </c>
      <c r="G1119" t="str">
        <f>"DESIGN ENGINEER - HYDRAULIC VALVES"</f>
        <v>DESIGN ENGINEER - HYDRAULIC VALVES</v>
      </c>
      <c r="H1119" t="s">
        <v>12196</v>
      </c>
      <c r="I1119" t="s">
        <v>322</v>
      </c>
      <c r="J1119" t="s">
        <v>98</v>
      </c>
      <c r="K1119" s="1">
        <v>44105</v>
      </c>
      <c r="L1119" s="1">
        <v>45200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10509</v>
      </c>
      <c r="U1119" t="str">
        <f>""</f>
        <v/>
      </c>
      <c r="V1119" t="s">
        <v>4599</v>
      </c>
      <c r="W1119" t="str">
        <f>""</f>
        <v/>
      </c>
      <c r="X1119" t="s">
        <v>1497</v>
      </c>
      <c r="Y1119" t="s">
        <v>345</v>
      </c>
      <c r="Z1119" s="3">
        <v>48331</v>
      </c>
      <c r="AA1119" t="s">
        <v>101</v>
      </c>
      <c r="AC1119" s="4" t="str">
        <f>"+12488762012"</f>
        <v>+12488762012</v>
      </c>
      <c r="AE1119" t="str">
        <f>"333995"</f>
        <v>333995</v>
      </c>
      <c r="AF1119" t="s">
        <v>4600</v>
      </c>
      <c r="AG1119" t="s">
        <v>4601</v>
      </c>
      <c r="AI1119" t="s">
        <v>10510</v>
      </c>
      <c r="AJ1119" t="s">
        <v>4599</v>
      </c>
      <c r="AK1119" t="str">
        <f>""</f>
        <v/>
      </c>
      <c r="AL1119" t="s">
        <v>1497</v>
      </c>
      <c r="AM1119" t="s">
        <v>265</v>
      </c>
      <c r="AN1119" s="3">
        <v>48331</v>
      </c>
      <c r="AO1119" t="s">
        <v>101</v>
      </c>
      <c r="AQ1119" t="str">
        <f>"+12488762012"</f>
        <v>+12488762012</v>
      </c>
      <c r="AS1119" t="s">
        <v>4603</v>
      </c>
      <c r="AT1119" t="s">
        <v>107</v>
      </c>
      <c r="AU1119" t="str">
        <f>"JACOBSON"</f>
        <v>JACOBSON</v>
      </c>
      <c r="AV1119" t="str">
        <f>"P. MICHELLE"</f>
        <v>P. MICHELLE</v>
      </c>
      <c r="AW1119" t="str">
        <f>""</f>
        <v/>
      </c>
      <c r="AX1119" t="str">
        <f>"333 WEST WACKER DRIVE"</f>
        <v>333 WEST WACKER DRIVE</v>
      </c>
      <c r="AY1119" t="str">
        <f>"15TH FLOOR"</f>
        <v>15TH FLOOR</v>
      </c>
      <c r="AZ1119" t="str">
        <f>"CHICAGO"</f>
        <v>CHICAGO</v>
      </c>
      <c r="BA1119" t="str">
        <f>"IL"</f>
        <v>IL</v>
      </c>
      <c r="BB1119" s="3">
        <v>60606</v>
      </c>
      <c r="BC1119" t="str">
        <f>"UNITED STATES OF AMERICA"</f>
        <v>UNITED STATES OF AMERICA</v>
      </c>
      <c r="BD1119" t="str">
        <f>""</f>
        <v/>
      </c>
      <c r="BE1119" t="str">
        <f>"+13122636101"</f>
        <v>+13122636101</v>
      </c>
      <c r="BF1119" t="str">
        <f>""</f>
        <v/>
      </c>
      <c r="BG1119" t="str">
        <f>"FRAGOMEN.BOSCHACCOUNT@FRAGOMEN.COM"</f>
        <v>FRAGOMEN.BOSCHACCOUNT@FRAGOMEN.COM</v>
      </c>
      <c r="BH1119" t="str">
        <f>"FRAGOMEN, DEL REY, BERNSEN &amp; LOEWY, LLP"</f>
        <v>FRAGOMEN, DEL REY, BERNSEN &amp; LOEWY, LLP</v>
      </c>
      <c r="BI1119" t="str">
        <f>"IL"</f>
        <v>IL</v>
      </c>
      <c r="BJ1119" t="str">
        <f>"ILLINOIS SUPREME COURT"</f>
        <v>ILLINOIS SUPREME COURT</v>
      </c>
      <c r="BK1119">
        <v>1</v>
      </c>
      <c r="BL1119" t="s">
        <v>102</v>
      </c>
      <c r="BM1119" t="str">
        <f>""</f>
        <v/>
      </c>
      <c r="BN1119" t="s">
        <v>10511</v>
      </c>
      <c r="BP1119" t="s">
        <v>10512</v>
      </c>
      <c r="BQ1119" t="s">
        <v>5788</v>
      </c>
      <c r="BR1119" t="s">
        <v>594</v>
      </c>
      <c r="BS1119" s="5">
        <v>29644</v>
      </c>
      <c r="BT1119" s="2">
        <v>76586</v>
      </c>
      <c r="BV1119" t="s">
        <v>105</v>
      </c>
      <c r="BW1119" s="2">
        <v>76586</v>
      </c>
      <c r="BX1119" t="s">
        <v>105</v>
      </c>
      <c r="BZ1119" t="s">
        <v>167</v>
      </c>
      <c r="CA1119" t="str">
        <f t="shared" si="87"/>
        <v>7/1/2020 - 6/30/2021</v>
      </c>
      <c r="CF1119">
        <v>2</v>
      </c>
      <c r="CG1119" t="s">
        <v>98</v>
      </c>
      <c r="CH1119" t="s">
        <v>206</v>
      </c>
      <c r="CI1119" t="s">
        <v>206</v>
      </c>
      <c r="CL1119" t="s">
        <v>108</v>
      </c>
      <c r="CM1119" t="s">
        <v>109</v>
      </c>
      <c r="CN1119" t="str">
        <f>""</f>
        <v/>
      </c>
      <c r="CO1119" t="str">
        <f>""</f>
        <v/>
      </c>
      <c r="CP1119" t="str">
        <f>""</f>
        <v/>
      </c>
      <c r="CQ1119" t="str">
        <f>""</f>
        <v/>
      </c>
    </row>
    <row r="1120" spans="1:96" x14ac:dyDescent="0.2">
      <c r="A1120" t="s">
        <v>11412</v>
      </c>
      <c r="B1120" t="s">
        <v>96</v>
      </c>
      <c r="C1120" s="1">
        <v>44098</v>
      </c>
      <c r="D1120" s="1">
        <v>44105</v>
      </c>
      <c r="F1120" t="s">
        <v>97</v>
      </c>
      <c r="G1120" t="str">
        <f>"Sr. Software Engineer "</f>
        <v xml:space="preserve">Sr. Software Engineer </v>
      </c>
      <c r="H1120" t="s">
        <v>12169</v>
      </c>
      <c r="I1120" t="s">
        <v>124</v>
      </c>
      <c r="J1120" t="s">
        <v>98</v>
      </c>
      <c r="K1120" s="1">
        <v>44109</v>
      </c>
      <c r="L1120" s="1">
        <v>45203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 t="s">
        <v>9589</v>
      </c>
      <c r="U1120" t="str">
        <f>"Redfin"</f>
        <v>Redfin</v>
      </c>
      <c r="V1120" t="s">
        <v>9590</v>
      </c>
      <c r="W1120" t="str">
        <f>""</f>
        <v/>
      </c>
      <c r="X1120" t="s">
        <v>435</v>
      </c>
      <c r="Y1120" t="s">
        <v>176</v>
      </c>
      <c r="Z1120" s="3">
        <v>98101</v>
      </c>
      <c r="AA1120" t="s">
        <v>101</v>
      </c>
      <c r="AC1120" s="4" t="str">
        <f>"+12068761082"</f>
        <v>+12068761082</v>
      </c>
      <c r="AE1120" t="str">
        <f>"5191"</f>
        <v>5191</v>
      </c>
      <c r="AF1120" t="s">
        <v>2800</v>
      </c>
      <c r="AG1120" t="s">
        <v>2930</v>
      </c>
      <c r="AI1120" t="s">
        <v>763</v>
      </c>
      <c r="AJ1120" t="s">
        <v>11413</v>
      </c>
      <c r="AK1120" t="str">
        <f>""</f>
        <v/>
      </c>
      <c r="AL1120" t="s">
        <v>261</v>
      </c>
      <c r="AM1120" t="s">
        <v>176</v>
      </c>
      <c r="AN1120" s="3">
        <v>98101</v>
      </c>
      <c r="AO1120" t="s">
        <v>101</v>
      </c>
      <c r="AQ1120" t="str">
        <f>"+12064357277"</f>
        <v>+12064357277</v>
      </c>
      <c r="AS1120" t="s">
        <v>9591</v>
      </c>
      <c r="AT1120" t="s">
        <v>107</v>
      </c>
      <c r="AU1120" t="str">
        <f>"Ang-Pinlac"</f>
        <v>Ang-Pinlac</v>
      </c>
      <c r="AV1120" t="str">
        <f>"Natalie Joy"</f>
        <v>Natalie Joy</v>
      </c>
      <c r="AW1120" t="str">
        <f>""</f>
        <v/>
      </c>
      <c r="AX1120" t="str">
        <f>"465 California Street"</f>
        <v>465 California Street</v>
      </c>
      <c r="AY1120" t="str">
        <f>"Suite 700"</f>
        <v>Suite 700</v>
      </c>
      <c r="AZ1120" t="str">
        <f>"San Francisco"</f>
        <v>San Francisco</v>
      </c>
      <c r="BA1120" t="str">
        <f>"CA"</f>
        <v>CA</v>
      </c>
      <c r="BB1120" s="3">
        <v>94104</v>
      </c>
      <c r="BC1120" t="str">
        <f>"UNITED STATES OF AMERICA"</f>
        <v>UNITED STATES OF AMERICA</v>
      </c>
      <c r="BD1120" t="str">
        <f>"California"</f>
        <v>California</v>
      </c>
      <c r="BE1120" t="str">
        <f>"+14157717500"</f>
        <v>+14157717500</v>
      </c>
      <c r="BF1120" t="str">
        <f>"0"</f>
        <v>0</v>
      </c>
      <c r="BG1120" t="str">
        <f>"redfin@pearllawgroup.com"</f>
        <v>redfin@pearllawgroup.com</v>
      </c>
      <c r="BH1120" t="str">
        <f>"Pearl Law Group"</f>
        <v>Pearl Law Group</v>
      </c>
      <c r="BI1120" t="str">
        <f>"NY"</f>
        <v>NY</v>
      </c>
      <c r="BJ1120" t="str">
        <f>"New York Court of Appeals"</f>
        <v>New York Court of Appeals</v>
      </c>
      <c r="BK1120">
        <v>1</v>
      </c>
      <c r="BL1120" t="s">
        <v>102</v>
      </c>
      <c r="BM1120" t="str">
        <f>""</f>
        <v/>
      </c>
      <c r="BN1120" t="s">
        <v>11414</v>
      </c>
      <c r="BO1120" t="s">
        <v>7645</v>
      </c>
      <c r="BP1120" t="s">
        <v>555</v>
      </c>
      <c r="BQ1120" t="s">
        <v>556</v>
      </c>
      <c r="BR1120" t="s">
        <v>114</v>
      </c>
      <c r="BS1120" s="5">
        <v>75034</v>
      </c>
      <c r="BT1120" s="2">
        <v>123000</v>
      </c>
      <c r="BV1120" t="s">
        <v>105</v>
      </c>
      <c r="BW1120" s="2">
        <v>110344</v>
      </c>
      <c r="BX1120" t="s">
        <v>105</v>
      </c>
      <c r="BZ1120" t="s">
        <v>123</v>
      </c>
      <c r="CA1120" t="str">
        <f t="shared" si="87"/>
        <v>7/1/2020 - 6/30/2021</v>
      </c>
      <c r="CF1120">
        <v>1</v>
      </c>
      <c r="CG1120" t="s">
        <v>98</v>
      </c>
      <c r="CH1120" t="s">
        <v>206</v>
      </c>
      <c r="CI1120" t="s">
        <v>206</v>
      </c>
      <c r="CL1120" t="s">
        <v>108</v>
      </c>
      <c r="CM1120" t="s">
        <v>109</v>
      </c>
      <c r="CN1120" t="str">
        <f>""</f>
        <v/>
      </c>
      <c r="CO1120" t="str">
        <f>""</f>
        <v/>
      </c>
      <c r="CP1120" t="str">
        <f>""</f>
        <v/>
      </c>
      <c r="CQ1120" t="str">
        <f>""</f>
        <v/>
      </c>
    </row>
    <row r="1121" spans="1:96" x14ac:dyDescent="0.2">
      <c r="A1121" t="s">
        <v>11415</v>
      </c>
      <c r="B1121" t="s">
        <v>96</v>
      </c>
      <c r="C1121" s="1">
        <v>44098</v>
      </c>
      <c r="D1121" s="1">
        <v>44105</v>
      </c>
      <c r="F1121" t="s">
        <v>97</v>
      </c>
      <c r="G1121" t="str">
        <f>"Associate Research Scientist"</f>
        <v>Associate Research Scientist</v>
      </c>
      <c r="H1121" t="s">
        <v>12170</v>
      </c>
      <c r="I1121" t="s">
        <v>685</v>
      </c>
      <c r="J1121" t="s">
        <v>98</v>
      </c>
      <c r="K1121" s="1">
        <v>44132</v>
      </c>
      <c r="L1121" s="1">
        <v>45226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487</v>
      </c>
      <c r="U1121" t="str">
        <f>""</f>
        <v/>
      </c>
      <c r="V1121" t="s">
        <v>488</v>
      </c>
      <c r="W1121" t="str">
        <f>"Box 57B"</f>
        <v>Box 57B</v>
      </c>
      <c r="X1121" t="s">
        <v>277</v>
      </c>
      <c r="Y1121" t="s">
        <v>190</v>
      </c>
      <c r="Z1121" s="3">
        <v>10032</v>
      </c>
      <c r="AA1121" t="s">
        <v>101</v>
      </c>
      <c r="AC1121" s="4" t="str">
        <f>"+12123058267"</f>
        <v>+12123058267</v>
      </c>
      <c r="AE1121" t="str">
        <f>"611310"</f>
        <v>611310</v>
      </c>
      <c r="AF1121" t="s">
        <v>489</v>
      </c>
      <c r="AG1121" t="s">
        <v>490</v>
      </c>
      <c r="AH1121" t="s">
        <v>491</v>
      </c>
      <c r="AI1121" t="s">
        <v>117</v>
      </c>
      <c r="AJ1121" t="s">
        <v>488</v>
      </c>
      <c r="AK1121" t="str">
        <f>"Box 57B"</f>
        <v>Box 57B</v>
      </c>
      <c r="AL1121" t="s">
        <v>277</v>
      </c>
      <c r="AM1121" t="s">
        <v>190</v>
      </c>
      <c r="AN1121" s="3">
        <v>10032</v>
      </c>
      <c r="AO1121" t="s">
        <v>101</v>
      </c>
      <c r="AQ1121" t="str">
        <f>"+12123058267"</f>
        <v>+12123058267</v>
      </c>
      <c r="AS1121" t="s">
        <v>492</v>
      </c>
      <c r="AT1121" t="s">
        <v>102</v>
      </c>
      <c r="AU1121" t="str">
        <f>""</f>
        <v/>
      </c>
      <c r="AV1121" t="str">
        <f>""</f>
        <v/>
      </c>
      <c r="AW1121" t="str">
        <f>""</f>
        <v/>
      </c>
      <c r="AX1121" t="str">
        <f>""</f>
        <v/>
      </c>
      <c r="AY1121" t="str">
        <f>""</f>
        <v/>
      </c>
      <c r="AZ1121" t="str">
        <f>""</f>
        <v/>
      </c>
      <c r="BA1121" t="str">
        <f>""</f>
        <v/>
      </c>
      <c r="BC1121" t="str">
        <f>""</f>
        <v/>
      </c>
      <c r="BD1121" t="str">
        <f>""</f>
        <v/>
      </c>
      <c r="BE1121" t="str">
        <f>""</f>
        <v/>
      </c>
      <c r="BF1121" t="str">
        <f>""</f>
        <v/>
      </c>
      <c r="BG1121" t="str">
        <f>""</f>
        <v/>
      </c>
      <c r="BH1121" t="str">
        <f>""</f>
        <v/>
      </c>
      <c r="BI1121" t="str">
        <f>""</f>
        <v/>
      </c>
      <c r="BJ1121" t="str">
        <f>""</f>
        <v/>
      </c>
      <c r="BK1121">
        <v>1</v>
      </c>
      <c r="BL1121" t="s">
        <v>102</v>
      </c>
      <c r="BM1121" t="str">
        <f>""</f>
        <v/>
      </c>
      <c r="BN1121" t="s">
        <v>10352</v>
      </c>
      <c r="BP1121" t="s">
        <v>277</v>
      </c>
      <c r="BQ1121" t="s">
        <v>189</v>
      </c>
      <c r="BR1121" t="s">
        <v>190</v>
      </c>
      <c r="BS1121" s="5">
        <v>10032</v>
      </c>
      <c r="BT1121" s="2">
        <v>66100</v>
      </c>
      <c r="BV1121" t="s">
        <v>105</v>
      </c>
      <c r="BW1121" s="2">
        <v>66100</v>
      </c>
      <c r="BX1121" t="s">
        <v>105</v>
      </c>
      <c r="CA1121" t="str">
        <f>""</f>
        <v/>
      </c>
      <c r="CB1121" t="s">
        <v>106</v>
      </c>
      <c r="CC1121">
        <v>2020</v>
      </c>
      <c r="CF1121">
        <v>1</v>
      </c>
      <c r="CG1121" t="s">
        <v>98</v>
      </c>
      <c r="CH1121" t="s">
        <v>206</v>
      </c>
      <c r="CI1121" t="s">
        <v>206</v>
      </c>
      <c r="CL1121" t="s">
        <v>108</v>
      </c>
      <c r="CM1121" t="s">
        <v>109</v>
      </c>
      <c r="CN1121" t="str">
        <f>""</f>
        <v/>
      </c>
      <c r="CO1121" t="str">
        <f>""</f>
        <v/>
      </c>
      <c r="CP1121" t="str">
        <f>""</f>
        <v/>
      </c>
      <c r="CQ1121" t="str">
        <f>""</f>
        <v/>
      </c>
    </row>
    <row r="1122" spans="1:96" x14ac:dyDescent="0.2">
      <c r="A1122" t="s">
        <v>11420</v>
      </c>
      <c r="B1122" t="s">
        <v>96</v>
      </c>
      <c r="C1122" s="1">
        <v>44098</v>
      </c>
      <c r="D1122" s="1">
        <v>44105</v>
      </c>
      <c r="F1122" t="s">
        <v>97</v>
      </c>
      <c r="G1122" t="str">
        <f>"Sr. Mechanical Engineer"</f>
        <v>Sr. Mechanical Engineer</v>
      </c>
      <c r="H1122" t="s">
        <v>12196</v>
      </c>
      <c r="I1122" t="s">
        <v>322</v>
      </c>
      <c r="J1122" t="s">
        <v>98</v>
      </c>
      <c r="K1122" s="1">
        <v>44098</v>
      </c>
      <c r="L1122" s="1">
        <v>45192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 t="s">
        <v>11421</v>
      </c>
      <c r="U1122" t="str">
        <f>""</f>
        <v/>
      </c>
      <c r="V1122" t="s">
        <v>11422</v>
      </c>
      <c r="W1122" t="str">
        <f>""</f>
        <v/>
      </c>
      <c r="X1122" t="s">
        <v>2078</v>
      </c>
      <c r="Y1122" t="s">
        <v>141</v>
      </c>
      <c r="Z1122" s="3">
        <v>92606</v>
      </c>
      <c r="AA1122" t="s">
        <v>101</v>
      </c>
      <c r="AC1122" s="4" t="str">
        <f>"+19492531915"</f>
        <v>+19492531915</v>
      </c>
      <c r="AE1122" t="str">
        <f>"334413"</f>
        <v>334413</v>
      </c>
      <c r="AF1122" t="s">
        <v>11423</v>
      </c>
      <c r="AG1122" t="s">
        <v>281</v>
      </c>
      <c r="AI1122" t="s">
        <v>1879</v>
      </c>
      <c r="AJ1122" t="s">
        <v>11422</v>
      </c>
      <c r="AK1122" t="str">
        <f>""</f>
        <v/>
      </c>
      <c r="AL1122" t="s">
        <v>2078</v>
      </c>
      <c r="AM1122" t="s">
        <v>141</v>
      </c>
      <c r="AN1122" s="3">
        <v>92606</v>
      </c>
      <c r="AO1122" t="s">
        <v>101</v>
      </c>
      <c r="AQ1122" t="str">
        <f>"+19492531864"</f>
        <v>+19492531864</v>
      </c>
      <c r="AS1122" t="s">
        <v>11424</v>
      </c>
      <c r="AT1122" t="s">
        <v>107</v>
      </c>
      <c r="AU1122" t="str">
        <f>"Smith"</f>
        <v>Smith</v>
      </c>
      <c r="AV1122" t="str">
        <f>"J. Anthony"</f>
        <v>J. Anthony</v>
      </c>
      <c r="AW1122" t="str">
        <f>""</f>
        <v/>
      </c>
      <c r="AX1122" t="str">
        <f>"555 W. Fifth Street"</f>
        <v>555 W. Fifth Street</v>
      </c>
      <c r="AY1122" t="str">
        <f>"Suite 4510"</f>
        <v>Suite 4510</v>
      </c>
      <c r="AZ1122" t="str">
        <f>"Los Angeles"</f>
        <v>Los Angeles</v>
      </c>
      <c r="BA1122" t="str">
        <f>"CA"</f>
        <v>CA</v>
      </c>
      <c r="BB1122" s="3">
        <v>90013</v>
      </c>
      <c r="BC1122" t="str">
        <f t="shared" ref="BC1122:BC1140" si="89">"UNITED STATES OF AMERICA"</f>
        <v>UNITED STATES OF AMERICA</v>
      </c>
      <c r="BD1122" t="str">
        <f>""</f>
        <v/>
      </c>
      <c r="BE1122" t="str">
        <f>"+12136247500"</f>
        <v>+12136247500</v>
      </c>
      <c r="BF1122" t="str">
        <f>""</f>
        <v/>
      </c>
      <c r="BG1122" t="str">
        <f>"FLAG-LA@tsmimmigration.com"</f>
        <v>FLAG-LA@tsmimmigration.com</v>
      </c>
      <c r="BH1122" t="str">
        <f>"Tafapolsky Smith Mehlman LLP"</f>
        <v>Tafapolsky Smith Mehlman LLP</v>
      </c>
      <c r="BI1122" t="str">
        <f>"CA"</f>
        <v>CA</v>
      </c>
      <c r="BJ1122" t="str">
        <f>"Supreme Court"</f>
        <v>Supreme Court</v>
      </c>
      <c r="BK1122">
        <v>1</v>
      </c>
      <c r="BL1122" t="s">
        <v>102</v>
      </c>
      <c r="BM1122" t="str">
        <f>""</f>
        <v/>
      </c>
      <c r="BN1122" t="s">
        <v>11422</v>
      </c>
      <c r="BP1122" t="s">
        <v>2078</v>
      </c>
      <c r="BQ1122" t="s">
        <v>377</v>
      </c>
      <c r="BR1122" t="s">
        <v>141</v>
      </c>
      <c r="BS1122" s="5">
        <v>92606</v>
      </c>
      <c r="BT1122" s="2">
        <v>124072</v>
      </c>
      <c r="BU1122" s="2">
        <v>144072</v>
      </c>
      <c r="BV1122" t="s">
        <v>105</v>
      </c>
      <c r="BW1122" s="2">
        <v>124072</v>
      </c>
      <c r="BX1122" t="s">
        <v>105</v>
      </c>
      <c r="BZ1122" t="s">
        <v>159</v>
      </c>
      <c r="CA1122" t="str">
        <f t="shared" ref="CA1122:CA1153" si="90">"7/1/2020 - 6/30/2021"</f>
        <v>7/1/2020 - 6/30/2021</v>
      </c>
      <c r="CF1122">
        <v>1</v>
      </c>
      <c r="CG1122" t="s">
        <v>98</v>
      </c>
      <c r="CH1122" t="s">
        <v>206</v>
      </c>
      <c r="CI1122" t="s">
        <v>206</v>
      </c>
      <c r="CL1122" t="s">
        <v>108</v>
      </c>
      <c r="CM1122" t="s">
        <v>109</v>
      </c>
      <c r="CN1122" t="str">
        <f>"Ocampo"</f>
        <v>Ocampo</v>
      </c>
      <c r="CO1122" t="str">
        <f>"John Vincent"</f>
        <v>John Vincent</v>
      </c>
      <c r="CP1122" t="str">
        <f>"P"</f>
        <v>P</v>
      </c>
      <c r="CQ1122" t="str">
        <f>"Tafapolsky Smith Mehlman LLP "</f>
        <v xml:space="preserve">Tafapolsky Smith Mehlman LLP </v>
      </c>
      <c r="CR1122" t="s">
        <v>11425</v>
      </c>
    </row>
    <row r="1123" spans="1:96" x14ac:dyDescent="0.2">
      <c r="A1123" t="s">
        <v>11426</v>
      </c>
      <c r="B1123" t="s">
        <v>96</v>
      </c>
      <c r="C1123" s="1">
        <v>44098</v>
      </c>
      <c r="D1123" s="1">
        <v>44105</v>
      </c>
      <c r="F1123" t="s">
        <v>97</v>
      </c>
      <c r="G1123" t="str">
        <f>"Senior Software Developer"</f>
        <v>Senior Software Developer</v>
      </c>
      <c r="H1123" t="s">
        <v>12169</v>
      </c>
      <c r="I1123" t="s">
        <v>124</v>
      </c>
      <c r="J1123" t="s">
        <v>98</v>
      </c>
      <c r="K1123" s="1">
        <v>44153</v>
      </c>
      <c r="L1123" s="1">
        <v>45247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 t="s">
        <v>1189</v>
      </c>
      <c r="U1123" t="str">
        <f>""</f>
        <v/>
      </c>
      <c r="V1123" t="s">
        <v>1190</v>
      </c>
      <c r="W1123" t="str">
        <f>"THIRD FLOOR"</f>
        <v>THIRD FLOOR</v>
      </c>
      <c r="X1123" t="s">
        <v>1191</v>
      </c>
      <c r="Y1123" t="s">
        <v>171</v>
      </c>
      <c r="Z1123" s="3">
        <v>1801</v>
      </c>
      <c r="AA1123" t="s">
        <v>101</v>
      </c>
      <c r="AC1123" s="4" t="str">
        <f>"+17819391720"</f>
        <v>+17819391720</v>
      </c>
      <c r="AE1123" t="str">
        <f>"541511"</f>
        <v>541511</v>
      </c>
      <c r="AF1123" t="s">
        <v>1192</v>
      </c>
      <c r="AG1123" t="s">
        <v>1193</v>
      </c>
      <c r="AH1123" t="s">
        <v>1080</v>
      </c>
      <c r="AI1123" t="s">
        <v>1194</v>
      </c>
      <c r="AJ1123" t="s">
        <v>1195</v>
      </c>
      <c r="AK1123" t="str">
        <f>"Third Floor"</f>
        <v>Third Floor</v>
      </c>
      <c r="AL1123" t="s">
        <v>1196</v>
      </c>
      <c r="AM1123" t="s">
        <v>171</v>
      </c>
      <c r="AN1123" s="3">
        <v>1801</v>
      </c>
      <c r="AO1123" t="s">
        <v>101</v>
      </c>
      <c r="AQ1123" t="str">
        <f>"+17819391720"</f>
        <v>+17819391720</v>
      </c>
      <c r="AS1123" t="s">
        <v>1197</v>
      </c>
      <c r="AT1123" t="s">
        <v>107</v>
      </c>
      <c r="AU1123" t="str">
        <f>"Tadmor"</f>
        <v>Tadmor</v>
      </c>
      <c r="AV1123" t="str">
        <f>"Yoav"</f>
        <v>Yoav</v>
      </c>
      <c r="AW1123" t="str">
        <f>""</f>
        <v/>
      </c>
      <c r="AX1123" t="str">
        <f>"340 Main Street "</f>
        <v xml:space="preserve">340 Main Street </v>
      </c>
      <c r="AY1123" t="str">
        <f>"Suite 610"</f>
        <v>Suite 610</v>
      </c>
      <c r="AZ1123" t="str">
        <f>"Worcester "</f>
        <v xml:space="preserve">Worcester </v>
      </c>
      <c r="BA1123" t="str">
        <f>"MA"</f>
        <v>MA</v>
      </c>
      <c r="BB1123" s="3">
        <v>1608</v>
      </c>
      <c r="BC1123" t="str">
        <f t="shared" si="89"/>
        <v>UNITED STATES OF AMERICA</v>
      </c>
      <c r="BD1123" t="str">
        <f>""</f>
        <v/>
      </c>
      <c r="BE1123" t="str">
        <f>"+15087919400"</f>
        <v>+15087919400</v>
      </c>
      <c r="BF1123" t="str">
        <f>""</f>
        <v/>
      </c>
      <c r="BG1123" t="str">
        <f>"yoav@tadmorlaw.com"</f>
        <v>yoav@tadmorlaw.com</v>
      </c>
      <c r="BH1123" t="str">
        <f>"Tadmor &amp; Tadmor LLP"</f>
        <v>Tadmor &amp; Tadmor LLP</v>
      </c>
      <c r="BI1123" t="str">
        <f>"MA"</f>
        <v>MA</v>
      </c>
      <c r="BJ1123" t="str">
        <f>"Supreme Judicial Court"</f>
        <v>Supreme Judicial Court</v>
      </c>
      <c r="BK1123">
        <v>1</v>
      </c>
      <c r="BL1123" t="s">
        <v>107</v>
      </c>
      <c r="BM1123" t="str">
        <f>"Vanguard "</f>
        <v xml:space="preserve">Vanguard </v>
      </c>
      <c r="BN1123" t="s">
        <v>11427</v>
      </c>
      <c r="BP1123" t="s">
        <v>11428</v>
      </c>
      <c r="BQ1123" t="s">
        <v>1238</v>
      </c>
      <c r="BR1123" t="s">
        <v>127</v>
      </c>
      <c r="BS1123" s="5">
        <v>19460</v>
      </c>
      <c r="BT1123" s="2">
        <v>100000</v>
      </c>
      <c r="BV1123" t="s">
        <v>105</v>
      </c>
      <c r="BW1123" s="2">
        <v>89773</v>
      </c>
      <c r="BX1123" t="s">
        <v>105</v>
      </c>
      <c r="BZ1123" t="s">
        <v>167</v>
      </c>
      <c r="CA1123" t="str">
        <f t="shared" si="90"/>
        <v>7/1/2020 - 6/30/2021</v>
      </c>
      <c r="CF1123">
        <v>2</v>
      </c>
      <c r="CG1123" t="s">
        <v>98</v>
      </c>
      <c r="CH1123" t="s">
        <v>206</v>
      </c>
      <c r="CI1123" t="s">
        <v>206</v>
      </c>
      <c r="CL1123" t="s">
        <v>108</v>
      </c>
      <c r="CM1123" t="s">
        <v>109</v>
      </c>
      <c r="CN1123" t="str">
        <f>""</f>
        <v/>
      </c>
      <c r="CO1123" t="str">
        <f>""</f>
        <v/>
      </c>
      <c r="CP1123" t="str">
        <f>""</f>
        <v/>
      </c>
      <c r="CQ1123" t="str">
        <f>""</f>
        <v/>
      </c>
    </row>
    <row r="1124" spans="1:96" x14ac:dyDescent="0.2">
      <c r="A1124" t="s">
        <v>11435</v>
      </c>
      <c r="B1124" t="s">
        <v>96</v>
      </c>
      <c r="C1124" s="1">
        <v>44098</v>
      </c>
      <c r="D1124" s="1">
        <v>44105</v>
      </c>
      <c r="F1124" t="s">
        <v>97</v>
      </c>
      <c r="G1124" t="str">
        <f>"Quality Specialist-Senior"</f>
        <v>Quality Specialist-Senior</v>
      </c>
      <c r="H1124" t="s">
        <v>12182</v>
      </c>
      <c r="I1124" t="s">
        <v>168</v>
      </c>
      <c r="J1124" t="s">
        <v>98</v>
      </c>
      <c r="K1124" s="1">
        <v>44098</v>
      </c>
      <c r="L1124" s="1">
        <v>45189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 t="s">
        <v>11436</v>
      </c>
      <c r="U1124" t="str">
        <f>"SSM Health Saint Louis University Hospital"</f>
        <v>SSM Health Saint Louis University Hospital</v>
      </c>
      <c r="V1124" t="s">
        <v>11437</v>
      </c>
      <c r="W1124" t="str">
        <f>""</f>
        <v/>
      </c>
      <c r="X1124" t="s">
        <v>746</v>
      </c>
      <c r="Y1124" t="s">
        <v>374</v>
      </c>
      <c r="Z1124" s="3">
        <v>63104</v>
      </c>
      <c r="AA1124" t="s">
        <v>101</v>
      </c>
      <c r="AC1124" s="4" t="str">
        <f>"+13149947943"</f>
        <v>+13149947943</v>
      </c>
      <c r="AE1124" t="str">
        <f>"622110"</f>
        <v>622110</v>
      </c>
      <c r="AF1124" t="s">
        <v>1065</v>
      </c>
      <c r="AG1124" t="s">
        <v>2381</v>
      </c>
      <c r="AI1124" t="s">
        <v>1593</v>
      </c>
      <c r="AJ1124" t="s">
        <v>11437</v>
      </c>
      <c r="AK1124" t="str">
        <f>""</f>
        <v/>
      </c>
      <c r="AL1124" t="s">
        <v>746</v>
      </c>
      <c r="AM1124" t="s">
        <v>374</v>
      </c>
      <c r="AN1124" s="3">
        <v>63104</v>
      </c>
      <c r="AO1124" t="s">
        <v>101</v>
      </c>
      <c r="AQ1124" t="str">
        <f>"+13149947943"</f>
        <v>+13149947943</v>
      </c>
      <c r="AS1124" t="s">
        <v>11438</v>
      </c>
      <c r="AT1124" t="s">
        <v>107</v>
      </c>
      <c r="AU1124" t="str">
        <f>"Fillenwarth"</f>
        <v>Fillenwarth</v>
      </c>
      <c r="AV1124" t="str">
        <f>"Charlotte"</f>
        <v>Charlotte</v>
      </c>
      <c r="AW1124" t="str">
        <f>"Marie"</f>
        <v>Marie</v>
      </c>
      <c r="AX1124" t="str">
        <f>"500 North Meridian Street"</f>
        <v>500 North Meridian Street</v>
      </c>
      <c r="AY1124" t="str">
        <f>"Suite 400"</f>
        <v>Suite 400</v>
      </c>
      <c r="AZ1124" t="str">
        <f>"Indianapolis"</f>
        <v>Indianapolis</v>
      </c>
      <c r="BA1124" t="str">
        <f>"IN"</f>
        <v>IN</v>
      </c>
      <c r="BB1124" s="3">
        <v>46204</v>
      </c>
      <c r="BC1124" t="str">
        <f t="shared" si="89"/>
        <v>UNITED STATES OF AMERICA</v>
      </c>
      <c r="BD1124" t="str">
        <f>""</f>
        <v/>
      </c>
      <c r="BE1124" t="str">
        <f>"+13179771476"</f>
        <v>+13179771476</v>
      </c>
      <c r="BF1124" t="str">
        <f>""</f>
        <v/>
      </c>
      <c r="BG1124" t="str">
        <f>"cfillenwarth@hallrender.com"</f>
        <v>cfillenwarth@hallrender.com</v>
      </c>
      <c r="BH1124" t="str">
        <f>"Hall, Render, Killian, Heath &amp; Lyman, P.C."</f>
        <v>Hall, Render, Killian, Heath &amp; Lyman, P.C.</v>
      </c>
      <c r="BI1124" t="str">
        <f>"IN"</f>
        <v>IN</v>
      </c>
      <c r="BJ1124" t="str">
        <f>"Supreme Court"</f>
        <v>Supreme Court</v>
      </c>
      <c r="BK1124">
        <v>1</v>
      </c>
      <c r="BL1124" t="s">
        <v>102</v>
      </c>
      <c r="BM1124" t="str">
        <f>""</f>
        <v/>
      </c>
      <c r="BN1124" t="s">
        <v>11437</v>
      </c>
      <c r="BP1124" t="s">
        <v>746</v>
      </c>
      <c r="BQ1124" t="s">
        <v>1964</v>
      </c>
      <c r="BR1124" t="s">
        <v>374</v>
      </c>
      <c r="BS1124" s="5">
        <v>63104</v>
      </c>
      <c r="BT1124" s="2">
        <v>88462</v>
      </c>
      <c r="BV1124" t="s">
        <v>105</v>
      </c>
      <c r="BW1124" s="2">
        <v>83491</v>
      </c>
      <c r="BX1124" t="s">
        <v>105</v>
      </c>
      <c r="BZ1124" t="s">
        <v>123</v>
      </c>
      <c r="CA1124" t="str">
        <f t="shared" si="90"/>
        <v>7/1/2020 - 6/30/2021</v>
      </c>
      <c r="CF1124">
        <v>1</v>
      </c>
      <c r="CG1124" t="s">
        <v>98</v>
      </c>
      <c r="CH1124" t="s">
        <v>206</v>
      </c>
      <c r="CI1124" t="s">
        <v>206</v>
      </c>
      <c r="CL1124" t="s">
        <v>108</v>
      </c>
      <c r="CM1124" t="s">
        <v>109</v>
      </c>
      <c r="CN1124" t="str">
        <f>""</f>
        <v/>
      </c>
      <c r="CO1124" t="str">
        <f>""</f>
        <v/>
      </c>
      <c r="CP1124" t="str">
        <f>""</f>
        <v/>
      </c>
      <c r="CQ1124" t="str">
        <f>""</f>
        <v/>
      </c>
    </row>
    <row r="1125" spans="1:96" x14ac:dyDescent="0.2">
      <c r="A1125" t="s">
        <v>11439</v>
      </c>
      <c r="B1125" t="s">
        <v>96</v>
      </c>
      <c r="C1125" s="1">
        <v>44098</v>
      </c>
      <c r="D1125" s="1">
        <v>44105</v>
      </c>
      <c r="F1125" t="s">
        <v>97</v>
      </c>
      <c r="G1125" t="str">
        <f>"DATA SCIENTIST"</f>
        <v>DATA SCIENTIST</v>
      </c>
      <c r="H1125" t="s">
        <v>12180</v>
      </c>
      <c r="I1125" t="s">
        <v>390</v>
      </c>
      <c r="J1125" t="s">
        <v>98</v>
      </c>
      <c r="K1125" s="1">
        <v>44105</v>
      </c>
      <c r="L1125" s="1">
        <v>45199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11440</v>
      </c>
      <c r="U1125" t="str">
        <f>""</f>
        <v/>
      </c>
      <c r="V1125" t="s">
        <v>3843</v>
      </c>
      <c r="W1125" t="str">
        <f>""</f>
        <v/>
      </c>
      <c r="X1125" t="s">
        <v>746</v>
      </c>
      <c r="Y1125" t="s">
        <v>374</v>
      </c>
      <c r="Z1125" s="3">
        <v>63121</v>
      </c>
      <c r="AA1125" t="s">
        <v>101</v>
      </c>
      <c r="AC1125" s="4" t="str">
        <f>"+13146845120"</f>
        <v>+13146845120</v>
      </c>
      <c r="AE1125" t="str">
        <f>"541611"</f>
        <v>541611</v>
      </c>
      <c r="AF1125" t="s">
        <v>5657</v>
      </c>
      <c r="AG1125" t="s">
        <v>5658</v>
      </c>
      <c r="AI1125" t="s">
        <v>5659</v>
      </c>
      <c r="AJ1125" t="s">
        <v>5656</v>
      </c>
      <c r="AK1125" t="str">
        <f>""</f>
        <v/>
      </c>
      <c r="AL1125" t="s">
        <v>3518</v>
      </c>
      <c r="AM1125" t="s">
        <v>374</v>
      </c>
      <c r="AN1125" s="3">
        <v>63121</v>
      </c>
      <c r="AO1125" t="s">
        <v>101</v>
      </c>
      <c r="AQ1125" t="str">
        <f>"+13146845120"</f>
        <v>+13146845120</v>
      </c>
      <c r="AS1125" t="s">
        <v>5660</v>
      </c>
      <c r="AT1125" t="s">
        <v>107</v>
      </c>
      <c r="AU1125" t="str">
        <f>"HO"</f>
        <v>HO</v>
      </c>
      <c r="AV1125" t="str">
        <f>"AMY"</f>
        <v>AMY</v>
      </c>
      <c r="AW1125" t="str">
        <f>"N/A"</f>
        <v>N/A</v>
      </c>
      <c r="AX1125" t="str">
        <f>"444 SOUTH FLOWER STREET"</f>
        <v>444 SOUTH FLOWER STREET</v>
      </c>
      <c r="AY1125" t="str">
        <f>"SUITE 500"</f>
        <v>SUITE 500</v>
      </c>
      <c r="AZ1125" t="str">
        <f>"LOS ANGELES"</f>
        <v>LOS ANGELES</v>
      </c>
      <c r="BA1125" t="str">
        <f>"CA"</f>
        <v>CA</v>
      </c>
      <c r="BB1125" s="3">
        <v>90071</v>
      </c>
      <c r="BC1125" t="str">
        <f t="shared" si="89"/>
        <v>UNITED STATES OF AMERICA</v>
      </c>
      <c r="BD1125" t="str">
        <f>""</f>
        <v/>
      </c>
      <c r="BE1125" t="str">
        <f>"+13108203322"</f>
        <v>+13108203322</v>
      </c>
      <c r="BF1125" t="str">
        <f>""</f>
        <v/>
      </c>
      <c r="BG1125" t="str">
        <f>"SCHANG@FRAGOMEN.COM"</f>
        <v>SCHANG@FRAGOMEN.COM</v>
      </c>
      <c r="BH1125" t="str">
        <f>"Fragomen, Del Rey, Bernsen &amp; Loewy, LLP"</f>
        <v>Fragomen, Del Rey, Bernsen &amp; Loewy, LLP</v>
      </c>
      <c r="BI1125" t="str">
        <f>"CA"</f>
        <v>CA</v>
      </c>
      <c r="BJ1125" t="str">
        <f>"CALIFORNIA SUPREME COURT"</f>
        <v>CALIFORNIA SUPREME COURT</v>
      </c>
      <c r="BK1125">
        <v>1</v>
      </c>
      <c r="BL1125" t="s">
        <v>102</v>
      </c>
      <c r="BM1125" t="str">
        <f>""</f>
        <v/>
      </c>
      <c r="BN1125" t="s">
        <v>11441</v>
      </c>
      <c r="BP1125" t="s">
        <v>3518</v>
      </c>
      <c r="BQ1125" t="s">
        <v>1964</v>
      </c>
      <c r="BR1125" t="s">
        <v>374</v>
      </c>
      <c r="BS1125" s="5">
        <v>63121</v>
      </c>
      <c r="BT1125" s="2">
        <v>80000</v>
      </c>
      <c r="BU1125" s="2">
        <v>90000</v>
      </c>
      <c r="BV1125" t="s">
        <v>105</v>
      </c>
      <c r="BW1125" s="2">
        <v>60528</v>
      </c>
      <c r="BX1125" t="s">
        <v>105</v>
      </c>
      <c r="BZ1125" t="s">
        <v>191</v>
      </c>
      <c r="CA1125" t="str">
        <f t="shared" si="90"/>
        <v>7/1/2020 - 6/30/2021</v>
      </c>
      <c r="CF1125">
        <v>2</v>
      </c>
      <c r="CG1125" t="s">
        <v>98</v>
      </c>
      <c r="CH1125" t="s">
        <v>206</v>
      </c>
      <c r="CI1125" t="s">
        <v>206</v>
      </c>
      <c r="CL1125" t="s">
        <v>108</v>
      </c>
      <c r="CM1125" t="s">
        <v>109</v>
      </c>
      <c r="CN1125" t="str">
        <f>"CHANG"</f>
        <v>CHANG</v>
      </c>
      <c r="CO1125" t="str">
        <f>"SALLY"</f>
        <v>SALLY</v>
      </c>
      <c r="CP1125" t="str">
        <f>""</f>
        <v/>
      </c>
      <c r="CQ1125" t="str">
        <f>"FRAGOMEN, DEL REY, BERNSEN &amp; LOEWY, LLP"</f>
        <v>FRAGOMEN, DEL REY, BERNSEN &amp; LOEWY, LLP</v>
      </c>
      <c r="CR1125" t="s">
        <v>5257</v>
      </c>
    </row>
    <row r="1126" spans="1:96" x14ac:dyDescent="0.2">
      <c r="A1126" t="s">
        <v>11451</v>
      </c>
      <c r="B1126" t="s">
        <v>96</v>
      </c>
      <c r="C1126" s="1">
        <v>44098</v>
      </c>
      <c r="D1126" s="1">
        <v>44105</v>
      </c>
      <c r="F1126" t="s">
        <v>97</v>
      </c>
      <c r="G1126" t="str">
        <f>"CLOUD SUPPORT ASSOCIATE"</f>
        <v>CLOUD SUPPORT ASSOCIATE</v>
      </c>
      <c r="H1126" t="s">
        <v>12225</v>
      </c>
      <c r="I1126" t="s">
        <v>628</v>
      </c>
      <c r="J1126" t="s">
        <v>98</v>
      </c>
      <c r="K1126" s="1">
        <v>44105</v>
      </c>
      <c r="L1126" s="1">
        <v>45199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1129</v>
      </c>
      <c r="U1126" t="str">
        <f>""</f>
        <v/>
      </c>
      <c r="V1126" t="s">
        <v>809</v>
      </c>
      <c r="W1126" t="str">
        <f>"SUITE 500"</f>
        <v>SUITE 500</v>
      </c>
      <c r="X1126" t="s">
        <v>433</v>
      </c>
      <c r="Y1126" t="s">
        <v>176</v>
      </c>
      <c r="Z1126" s="3">
        <v>98121</v>
      </c>
      <c r="AA1126" t="s">
        <v>101</v>
      </c>
      <c r="AC1126" s="4" t="str">
        <f>"+12062661000"</f>
        <v>+12062661000</v>
      </c>
      <c r="AE1126" t="str">
        <f>"454110"</f>
        <v>454110</v>
      </c>
      <c r="AF1126" t="s">
        <v>3174</v>
      </c>
      <c r="AG1126" t="s">
        <v>3175</v>
      </c>
      <c r="AH1126" t="s">
        <v>108</v>
      </c>
      <c r="AI1126" t="s">
        <v>434</v>
      </c>
      <c r="AJ1126" t="s">
        <v>809</v>
      </c>
      <c r="AK1126" t="str">
        <f>"SUITE 500"</f>
        <v>SUITE 500</v>
      </c>
      <c r="AL1126" t="s">
        <v>433</v>
      </c>
      <c r="AM1126" t="s">
        <v>176</v>
      </c>
      <c r="AN1126" s="3">
        <v>98121</v>
      </c>
      <c r="AO1126" t="s">
        <v>101</v>
      </c>
      <c r="AQ1126" t="str">
        <f>"+12062661000"</f>
        <v>+12062661000</v>
      </c>
      <c r="AS1126" t="s">
        <v>263</v>
      </c>
      <c r="AT1126" t="s">
        <v>107</v>
      </c>
      <c r="AU1126" t="str">
        <f>"CAREY"</f>
        <v>CAREY</v>
      </c>
      <c r="AV1126" t="str">
        <f>"MOLLY"</f>
        <v>MOLLY</v>
      </c>
      <c r="AW1126" t="str">
        <f>"N/A"</f>
        <v>N/A</v>
      </c>
      <c r="AX1126" t="str">
        <f>"100 HIGH STREET"</f>
        <v>100 HIGH STREET</v>
      </c>
      <c r="AY1126" t="str">
        <f>"3RD FLOOR C#5272782"</f>
        <v>3RD FLOOR C#5272782</v>
      </c>
      <c r="AZ1126" t="str">
        <f>"BOSTON"</f>
        <v>BOSTON</v>
      </c>
      <c r="BA1126" t="str">
        <f>"MA"</f>
        <v>MA</v>
      </c>
      <c r="BB1126" s="3">
        <v>2110</v>
      </c>
      <c r="BC1126" t="str">
        <f t="shared" si="89"/>
        <v>UNITED STATES OF AMERICA</v>
      </c>
      <c r="BD1126" t="str">
        <f>""</f>
        <v/>
      </c>
      <c r="BE1126" t="str">
        <f>"+16175740400"</f>
        <v>+16175740400</v>
      </c>
      <c r="BF1126" t="str">
        <f>""</f>
        <v/>
      </c>
      <c r="BG1126" t="str">
        <f>"AMAZONH1BCAP@FRAGOMEN.COM"</f>
        <v>AMAZONH1BCAP@FRAGOMEN.COM</v>
      </c>
      <c r="BH1126" t="str">
        <f>"FRAGOMEN, DEL REY, BERNSEN &amp; LOEWY, LLP"</f>
        <v>FRAGOMEN, DEL REY, BERNSEN &amp; LOEWY, LLP</v>
      </c>
      <c r="BI1126" t="str">
        <f>"MA"</f>
        <v>MA</v>
      </c>
      <c r="BJ1126" t="str">
        <f>"SUPREME JUDICIAL COURT"</f>
        <v>SUPREME JUDICIAL COURT</v>
      </c>
      <c r="BK1126">
        <v>1</v>
      </c>
      <c r="BL1126" t="s">
        <v>102</v>
      </c>
      <c r="BM1126" t="str">
        <f>""</f>
        <v/>
      </c>
      <c r="BN1126" t="s">
        <v>3418</v>
      </c>
      <c r="BP1126" t="s">
        <v>1507</v>
      </c>
      <c r="BQ1126" t="s">
        <v>454</v>
      </c>
      <c r="BR1126" t="s">
        <v>135</v>
      </c>
      <c r="BS1126" s="5">
        <v>20171</v>
      </c>
      <c r="BT1126" s="2">
        <v>71100</v>
      </c>
      <c r="BV1126" t="s">
        <v>105</v>
      </c>
      <c r="BW1126" s="2">
        <v>65811</v>
      </c>
      <c r="BX1126" t="s">
        <v>105</v>
      </c>
      <c r="BZ1126" t="s">
        <v>191</v>
      </c>
      <c r="CA1126" t="str">
        <f t="shared" si="90"/>
        <v>7/1/2020 - 6/30/2021</v>
      </c>
      <c r="CF1126">
        <v>2</v>
      </c>
      <c r="CG1126" t="s">
        <v>98</v>
      </c>
      <c r="CH1126" t="s">
        <v>206</v>
      </c>
      <c r="CI1126" t="s">
        <v>206</v>
      </c>
      <c r="CL1126" t="s">
        <v>108</v>
      </c>
      <c r="CM1126" t="s">
        <v>109</v>
      </c>
      <c r="CN1126" t="str">
        <f>"RAMACHANDRAN"</f>
        <v>RAMACHANDRAN</v>
      </c>
      <c r="CO1126" t="str">
        <f>"ANU"</f>
        <v>ANU</v>
      </c>
      <c r="CP1126" t="str">
        <f>"N/A"</f>
        <v>N/A</v>
      </c>
      <c r="CQ1126" t="str">
        <f>"FRAGOMEN, DEL REY, BERNSEN &amp; LOEWY, LLP"</f>
        <v>FRAGOMEN, DEL REY, BERNSEN &amp; LOEWY, LLP</v>
      </c>
      <c r="CR1126" t="s">
        <v>3176</v>
      </c>
    </row>
    <row r="1127" spans="1:96" x14ac:dyDescent="0.2">
      <c r="A1127" t="s">
        <v>11454</v>
      </c>
      <c r="B1127" t="s">
        <v>96</v>
      </c>
      <c r="C1127" s="1">
        <v>44098</v>
      </c>
      <c r="D1127" s="1">
        <v>44105</v>
      </c>
      <c r="F1127" t="s">
        <v>97</v>
      </c>
      <c r="G1127" t="str">
        <f>"Associate Project Manager"</f>
        <v>Associate Project Manager</v>
      </c>
      <c r="H1127" t="s">
        <v>12168</v>
      </c>
      <c r="I1127" t="s">
        <v>367</v>
      </c>
      <c r="J1127" t="s">
        <v>98</v>
      </c>
      <c r="K1127" s="1">
        <v>44105</v>
      </c>
      <c r="L1127" s="1">
        <v>45199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 t="s">
        <v>10680</v>
      </c>
      <c r="U1127" t="str">
        <f>""</f>
        <v/>
      </c>
      <c r="V1127" t="s">
        <v>10681</v>
      </c>
      <c r="W1127" t="str">
        <f>"Ste. 1501"</f>
        <v>Ste. 1501</v>
      </c>
      <c r="X1127" t="s">
        <v>394</v>
      </c>
      <c r="Y1127" t="s">
        <v>114</v>
      </c>
      <c r="Z1127" s="3">
        <v>77046</v>
      </c>
      <c r="AA1127" t="s">
        <v>101</v>
      </c>
      <c r="AC1127" s="4" t="str">
        <f>"+17132751804"</f>
        <v>+17132751804</v>
      </c>
      <c r="AE1127" t="str">
        <f>"54151"</f>
        <v>54151</v>
      </c>
      <c r="AF1127" t="s">
        <v>10682</v>
      </c>
      <c r="AG1127" t="s">
        <v>7765</v>
      </c>
      <c r="AH1127" t="s">
        <v>1126</v>
      </c>
      <c r="AI1127" t="s">
        <v>3747</v>
      </c>
      <c r="AJ1127" t="s">
        <v>10681</v>
      </c>
      <c r="AK1127" t="str">
        <f>"Ste. 1501"</f>
        <v>Ste. 1501</v>
      </c>
      <c r="AL1127" t="s">
        <v>394</v>
      </c>
      <c r="AM1127" t="s">
        <v>114</v>
      </c>
      <c r="AN1127" s="3">
        <v>77046</v>
      </c>
      <c r="AO1127" t="s">
        <v>101</v>
      </c>
      <c r="AQ1127" t="str">
        <f>"+17132751804"</f>
        <v>+17132751804</v>
      </c>
      <c r="AS1127" t="s">
        <v>10683</v>
      </c>
      <c r="AT1127" t="s">
        <v>107</v>
      </c>
      <c r="AU1127" t="str">
        <f>"Raft"</f>
        <v>Raft</v>
      </c>
      <c r="AV1127" t="str">
        <f>"David"</f>
        <v>David</v>
      </c>
      <c r="AW1127" t="str">
        <f>"Brian"</f>
        <v>Brian</v>
      </c>
      <c r="AX1127" t="str">
        <f>"30300 Agoura Road"</f>
        <v>30300 Agoura Road</v>
      </c>
      <c r="AY1127" t="str">
        <f>"Ste. B100"</f>
        <v>Ste. B100</v>
      </c>
      <c r="AZ1127" t="str">
        <f>"Agoura Hills"</f>
        <v>Agoura Hills</v>
      </c>
      <c r="BA1127" t="str">
        <f>"CA"</f>
        <v>CA</v>
      </c>
      <c r="BB1127" s="3">
        <v>91301</v>
      </c>
      <c r="BC1127" t="str">
        <f t="shared" si="89"/>
        <v>UNITED STATES OF AMERICA</v>
      </c>
      <c r="BD1127" t="str">
        <f>""</f>
        <v/>
      </c>
      <c r="BE1127" t="str">
        <f>"+18189146482"</f>
        <v>+18189146482</v>
      </c>
      <c r="BF1127" t="str">
        <f>""</f>
        <v/>
      </c>
      <c r="BG1127" t="str">
        <f>"Admin@gotcherlaw.com"</f>
        <v>Admin@gotcherlaw.com</v>
      </c>
      <c r="BH1127" t="str">
        <f>"Global Immigration Partners, Inc"</f>
        <v>Global Immigration Partners, Inc</v>
      </c>
      <c r="BI1127" t="str">
        <f>"CA"</f>
        <v>CA</v>
      </c>
      <c r="BJ1127" t="str">
        <f>"Supreme Court of the State of CA"</f>
        <v>Supreme Court of the State of CA</v>
      </c>
      <c r="BK1127">
        <v>1</v>
      </c>
      <c r="BL1127" t="s">
        <v>102</v>
      </c>
      <c r="BM1127" t="str">
        <f>""</f>
        <v/>
      </c>
      <c r="BN1127" t="s">
        <v>10681</v>
      </c>
      <c r="BO1127" t="s">
        <v>10684</v>
      </c>
      <c r="BP1127" t="s">
        <v>394</v>
      </c>
      <c r="BQ1127" t="s">
        <v>395</v>
      </c>
      <c r="BR1127" t="s">
        <v>114</v>
      </c>
      <c r="BS1127" s="5">
        <v>77046</v>
      </c>
      <c r="BT1127" s="2">
        <v>75000</v>
      </c>
      <c r="BV1127" t="s">
        <v>105</v>
      </c>
      <c r="BW1127" s="2">
        <v>67163</v>
      </c>
      <c r="BX1127" t="s">
        <v>105</v>
      </c>
      <c r="BZ1127" t="s">
        <v>167</v>
      </c>
      <c r="CA1127" t="str">
        <f t="shared" si="90"/>
        <v>7/1/2020 - 6/30/2021</v>
      </c>
      <c r="CF1127">
        <v>2</v>
      </c>
      <c r="CG1127" t="s">
        <v>98</v>
      </c>
      <c r="CH1127" t="s">
        <v>206</v>
      </c>
      <c r="CI1127" t="s">
        <v>206</v>
      </c>
      <c r="CL1127" t="s">
        <v>108</v>
      </c>
      <c r="CM1127" t="s">
        <v>109</v>
      </c>
      <c r="CN1127" t="str">
        <f>"Raft"</f>
        <v>Raft</v>
      </c>
      <c r="CO1127" t="str">
        <f>"David"</f>
        <v>David</v>
      </c>
      <c r="CP1127" t="str">
        <f>"B"</f>
        <v>B</v>
      </c>
      <c r="CQ1127" t="str">
        <f>"Global Immigration Partners, Inc"</f>
        <v>Global Immigration Partners, Inc</v>
      </c>
      <c r="CR1127" t="s">
        <v>1275</v>
      </c>
    </row>
    <row r="1128" spans="1:96" x14ac:dyDescent="0.2">
      <c r="A1128" t="s">
        <v>11458</v>
      </c>
      <c r="B1128" t="s">
        <v>96</v>
      </c>
      <c r="C1128" s="1">
        <v>44098</v>
      </c>
      <c r="D1128" s="1">
        <v>44105</v>
      </c>
      <c r="F1128" t="s">
        <v>97</v>
      </c>
      <c r="G1128" t="str">
        <f>"Business Intelligence Advisor"</f>
        <v>Business Intelligence Advisor</v>
      </c>
      <c r="H1128" t="s">
        <v>12168</v>
      </c>
      <c r="I1128" t="s">
        <v>249</v>
      </c>
      <c r="J1128" t="s">
        <v>98</v>
      </c>
      <c r="K1128" s="1">
        <v>44105</v>
      </c>
      <c r="L1128" s="1">
        <v>45199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 t="s">
        <v>6295</v>
      </c>
      <c r="U1128" t="str">
        <f>""</f>
        <v/>
      </c>
      <c r="V1128" t="s">
        <v>1361</v>
      </c>
      <c r="W1128" t="str">
        <f>""</f>
        <v/>
      </c>
      <c r="X1128" t="s">
        <v>207</v>
      </c>
      <c r="Y1128" t="s">
        <v>171</v>
      </c>
      <c r="Z1128" s="3">
        <v>2129</v>
      </c>
      <c r="AA1128" t="s">
        <v>101</v>
      </c>
      <c r="AC1128" s="4" t="str">
        <f>"+16175171483"</f>
        <v>+16175171483</v>
      </c>
      <c r="AE1128" t="str">
        <f>"541511"</f>
        <v>541511</v>
      </c>
      <c r="AF1128" t="s">
        <v>1362</v>
      </c>
      <c r="AG1128" t="s">
        <v>1363</v>
      </c>
      <c r="AI1128" t="s">
        <v>2188</v>
      </c>
      <c r="AJ1128" t="s">
        <v>1361</v>
      </c>
      <c r="AK1128" t="str">
        <f>""</f>
        <v/>
      </c>
      <c r="AL1128" t="s">
        <v>207</v>
      </c>
      <c r="AM1128" t="s">
        <v>171</v>
      </c>
      <c r="AN1128" s="3">
        <v>2129</v>
      </c>
      <c r="AO1128" t="s">
        <v>101</v>
      </c>
      <c r="AQ1128" t="str">
        <f>"+16175171483"</f>
        <v>+16175171483</v>
      </c>
      <c r="AS1128" t="s">
        <v>2189</v>
      </c>
      <c r="AT1128" t="s">
        <v>107</v>
      </c>
      <c r="AU1128" t="str">
        <f>"DeBrine, III"</f>
        <v>DeBrine, III</v>
      </c>
      <c r="AV1128" t="str">
        <f>"Earl"</f>
        <v>Earl</v>
      </c>
      <c r="AW1128" t="str">
        <f>"E"</f>
        <v>E</v>
      </c>
      <c r="AX1128" t="str">
        <f>"8529 Six Forks Road"</f>
        <v>8529 Six Forks Road</v>
      </c>
      <c r="AY1128" t="str">
        <f>"Forum IV, Suite 600"</f>
        <v>Forum IV, Suite 600</v>
      </c>
      <c r="AZ1128" t="str">
        <f>"Raleigh"</f>
        <v>Raleigh</v>
      </c>
      <c r="BA1128" t="str">
        <f>"NC"</f>
        <v>NC</v>
      </c>
      <c r="BB1128" s="3">
        <v>27615</v>
      </c>
      <c r="BC1128" t="str">
        <f t="shared" si="89"/>
        <v>UNITED STATES OF AMERICA</v>
      </c>
      <c r="BD1128" t="str">
        <f>""</f>
        <v/>
      </c>
      <c r="BE1128" t="str">
        <f>"+19197893192"</f>
        <v>+19197893192</v>
      </c>
      <c r="BF1128" t="str">
        <f>""</f>
        <v/>
      </c>
      <c r="BG1128" t="str">
        <f>"kimberly.mathison@ogletreedeakins.com"</f>
        <v>kimberly.mathison@ogletreedeakins.com</v>
      </c>
      <c r="BH1128" t="str">
        <f>"Ogletree, Deakins, Nash, Smoak &amp; Stewart, P.C."</f>
        <v>Ogletree, Deakins, Nash, Smoak &amp; Stewart, P.C.</v>
      </c>
      <c r="BI1128" t="str">
        <f>"DC"</f>
        <v>DC</v>
      </c>
      <c r="BJ1128" t="str">
        <f>"DC COURT OF APPEALS"</f>
        <v>DC COURT OF APPEALS</v>
      </c>
      <c r="BK1128">
        <v>1</v>
      </c>
      <c r="BL1128" t="s">
        <v>107</v>
      </c>
      <c r="BM1128" t="str">
        <f>"Citigroup"</f>
        <v>Citigroup</v>
      </c>
      <c r="BN1128" t="s">
        <v>4319</v>
      </c>
      <c r="BP1128" t="s">
        <v>483</v>
      </c>
      <c r="BQ1128" t="s">
        <v>484</v>
      </c>
      <c r="BR1128" t="s">
        <v>114</v>
      </c>
      <c r="BS1128" s="5">
        <v>75039</v>
      </c>
      <c r="BT1128" s="2">
        <v>113027</v>
      </c>
      <c r="BU1128" s="2">
        <v>143027</v>
      </c>
      <c r="BV1128" t="s">
        <v>105</v>
      </c>
      <c r="BW1128" s="2">
        <v>113027</v>
      </c>
      <c r="BX1128" t="s">
        <v>105</v>
      </c>
      <c r="BZ1128" t="s">
        <v>159</v>
      </c>
      <c r="CA1128" t="str">
        <f t="shared" si="90"/>
        <v>7/1/2020 - 6/30/2021</v>
      </c>
      <c r="CF1128">
        <v>2</v>
      </c>
      <c r="CG1128" t="s">
        <v>98</v>
      </c>
      <c r="CH1128" t="s">
        <v>206</v>
      </c>
      <c r="CI1128" t="s">
        <v>206</v>
      </c>
      <c r="CL1128" t="s">
        <v>108</v>
      </c>
      <c r="CM1128" t="s">
        <v>109</v>
      </c>
      <c r="CN1128" t="str">
        <f>"DeBrine III"</f>
        <v>DeBrine III</v>
      </c>
      <c r="CO1128" t="str">
        <f>"Earl"</f>
        <v>Earl</v>
      </c>
      <c r="CP1128" t="str">
        <f>"E"</f>
        <v>E</v>
      </c>
      <c r="CQ1128" t="str">
        <f>"Ogletree, Deakins, Nash, Smoak &amp; Stewart, P.C."</f>
        <v>Ogletree, Deakins, Nash, Smoak &amp; Stewart, P.C.</v>
      </c>
      <c r="CR1128" t="s">
        <v>2190</v>
      </c>
    </row>
    <row r="1129" spans="1:96" x14ac:dyDescent="0.2">
      <c r="A1129" t="s">
        <v>11459</v>
      </c>
      <c r="B1129" t="s">
        <v>96</v>
      </c>
      <c r="C1129" s="1">
        <v>44098</v>
      </c>
      <c r="D1129" s="1">
        <v>44105</v>
      </c>
      <c r="F1129" t="s">
        <v>97</v>
      </c>
      <c r="G1129" t="str">
        <f>"APPLICATION SOFTWARE DELIVERY ADVISOR"</f>
        <v>APPLICATION SOFTWARE DELIVERY ADVISOR</v>
      </c>
      <c r="H1129" t="s">
        <v>12169</v>
      </c>
      <c r="I1129" t="s">
        <v>124</v>
      </c>
      <c r="J1129" t="s">
        <v>98</v>
      </c>
      <c r="K1129" s="1">
        <v>44275</v>
      </c>
      <c r="L1129" s="1">
        <v>45370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 t="s">
        <v>5515</v>
      </c>
      <c r="U1129" t="str">
        <f>""</f>
        <v/>
      </c>
      <c r="V1129" t="s">
        <v>5516</v>
      </c>
      <c r="W1129" t="str">
        <f>""</f>
        <v/>
      </c>
      <c r="X1129" t="s">
        <v>5517</v>
      </c>
      <c r="Y1129" t="s">
        <v>857</v>
      </c>
      <c r="Z1129" s="3">
        <v>2865</v>
      </c>
      <c r="AA1129" t="s">
        <v>101</v>
      </c>
      <c r="AC1129" s="4" t="str">
        <f>"+14017701621"</f>
        <v>+14017701621</v>
      </c>
      <c r="AE1129" t="str">
        <f>"524114"</f>
        <v>524114</v>
      </c>
      <c r="AF1129" t="s">
        <v>5518</v>
      </c>
      <c r="AG1129" t="s">
        <v>5519</v>
      </c>
      <c r="AH1129" t="s">
        <v>5520</v>
      </c>
      <c r="AI1129" t="s">
        <v>5521</v>
      </c>
      <c r="AJ1129" t="s">
        <v>5522</v>
      </c>
      <c r="AK1129" t="str">
        <f>"695 GEORGE WASHINGTON HWY, MAIL CODE HR695"</f>
        <v>695 GEORGE WASHINGTON HWY, MAIL CODE HR695</v>
      </c>
      <c r="AL1129" t="s">
        <v>5517</v>
      </c>
      <c r="AM1129" t="s">
        <v>857</v>
      </c>
      <c r="AN1129" s="3">
        <v>2865</v>
      </c>
      <c r="AO1129" t="s">
        <v>101</v>
      </c>
      <c r="AQ1129" t="str">
        <f>"+14017701621"</f>
        <v>+14017701621</v>
      </c>
      <c r="AS1129" t="s">
        <v>5523</v>
      </c>
      <c r="AT1129" t="s">
        <v>107</v>
      </c>
      <c r="AU1129" t="str">
        <f>"WEINTRAUB"</f>
        <v>WEINTRAUB</v>
      </c>
      <c r="AV1129" t="str">
        <f>"FREDDI"</f>
        <v>FREDDI</v>
      </c>
      <c r="AW1129" t="str">
        <f>"M."</f>
        <v>M.</v>
      </c>
      <c r="AX1129" t="str">
        <f>"1400 BROADWAY"</f>
        <v>1400 BROADWAY</v>
      </c>
      <c r="AY1129" t="str">
        <f>"9TH FL"</f>
        <v>9TH FL</v>
      </c>
      <c r="AZ1129" t="str">
        <f>"NEW YORK"</f>
        <v>NEW YORK</v>
      </c>
      <c r="BA1129" t="str">
        <f>"NY"</f>
        <v>NY</v>
      </c>
      <c r="BB1129" s="3">
        <v>10018</v>
      </c>
      <c r="BC1129" t="str">
        <f t="shared" si="89"/>
        <v>UNITED STATES OF AMERICA</v>
      </c>
      <c r="BD1129" t="str">
        <f>""</f>
        <v/>
      </c>
      <c r="BE1129" t="str">
        <f>"+12126888555"</f>
        <v>+12126888555</v>
      </c>
      <c r="BF1129" t="str">
        <f>""</f>
        <v/>
      </c>
      <c r="BG1129" t="str">
        <f>"MARK.GARCERAN@FRAGOMEN.COM"</f>
        <v>MARK.GARCERAN@FRAGOMEN.COM</v>
      </c>
      <c r="BH1129" t="str">
        <f>"FRAGOMEN, DEL REY, BERNSEN &amp; LOEWY, LLP"</f>
        <v>FRAGOMEN, DEL REY, BERNSEN &amp; LOEWY, LLP</v>
      </c>
      <c r="BI1129" t="str">
        <f>"NY"</f>
        <v>NY</v>
      </c>
      <c r="BJ1129" t="str">
        <f>"NEW YORK STATE COURT OF APPEALS"</f>
        <v>NEW YORK STATE COURT OF APPEALS</v>
      </c>
      <c r="BK1129">
        <v>1</v>
      </c>
      <c r="BL1129" t="s">
        <v>102</v>
      </c>
      <c r="BM1129" t="str">
        <f>""</f>
        <v/>
      </c>
      <c r="BN1129" t="s">
        <v>5515</v>
      </c>
      <c r="BO1129" t="s">
        <v>7559</v>
      </c>
      <c r="BP1129" t="s">
        <v>6366</v>
      </c>
      <c r="BQ1129" t="s">
        <v>529</v>
      </c>
      <c r="BR1129" t="s">
        <v>127</v>
      </c>
      <c r="BS1129" s="5">
        <v>19422</v>
      </c>
      <c r="BT1129" s="2">
        <v>118031</v>
      </c>
      <c r="BV1129" t="s">
        <v>105</v>
      </c>
      <c r="BW1129" s="2">
        <v>105851</v>
      </c>
      <c r="BX1129" t="s">
        <v>105</v>
      </c>
      <c r="BZ1129" t="s">
        <v>123</v>
      </c>
      <c r="CA1129" t="str">
        <f t="shared" si="90"/>
        <v>7/1/2020 - 6/30/2021</v>
      </c>
      <c r="CF1129">
        <v>1</v>
      </c>
      <c r="CG1129" t="s">
        <v>98</v>
      </c>
      <c r="CH1129" t="s">
        <v>206</v>
      </c>
      <c r="CI1129" t="s">
        <v>206</v>
      </c>
      <c r="CL1129" t="s">
        <v>108</v>
      </c>
      <c r="CM1129" t="s">
        <v>109</v>
      </c>
      <c r="CN1129" t="str">
        <f>"GARCERAN"</f>
        <v>GARCERAN</v>
      </c>
      <c r="CO1129" t="str">
        <f>"MARK"</f>
        <v>MARK</v>
      </c>
      <c r="CP1129" t="str">
        <f>""</f>
        <v/>
      </c>
      <c r="CQ1129" t="str">
        <f>"FRAGOMEN, DEL REY, BERNSEN &amp; LOEWY, LLP"</f>
        <v>FRAGOMEN, DEL REY, BERNSEN &amp; LOEWY, LLP</v>
      </c>
      <c r="CR1129" t="s">
        <v>5526</v>
      </c>
    </row>
    <row r="1130" spans="1:96" x14ac:dyDescent="0.2">
      <c r="A1130" t="s">
        <v>11462</v>
      </c>
      <c r="B1130" t="s">
        <v>96</v>
      </c>
      <c r="C1130" s="1">
        <v>44098</v>
      </c>
      <c r="D1130" s="1">
        <v>44105</v>
      </c>
      <c r="F1130" t="s">
        <v>97</v>
      </c>
      <c r="G1130" t="str">
        <f>"Strategy and Architecture Consultant"</f>
        <v>Strategy and Architecture Consultant</v>
      </c>
      <c r="H1130" t="s">
        <v>12181</v>
      </c>
      <c r="I1130" t="s">
        <v>110</v>
      </c>
      <c r="J1130" t="s">
        <v>98</v>
      </c>
      <c r="K1130" s="1">
        <v>44110</v>
      </c>
      <c r="L1130" s="1">
        <v>45204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 t="s">
        <v>3852</v>
      </c>
      <c r="U1130" t="str">
        <f>""</f>
        <v/>
      </c>
      <c r="V1130" t="s">
        <v>3853</v>
      </c>
      <c r="W1130" t="str">
        <f>"1560 Sherman Avenue, 8th Floor"</f>
        <v>1560 Sherman Avenue, 8th Floor</v>
      </c>
      <c r="X1130" t="s">
        <v>1294</v>
      </c>
      <c r="Y1130" t="s">
        <v>345</v>
      </c>
      <c r="Z1130" s="3">
        <v>60201</v>
      </c>
      <c r="AA1130" t="s">
        <v>101</v>
      </c>
      <c r="AC1130" s="4" t="str">
        <f>"+18474923748"</f>
        <v>+18474923748</v>
      </c>
      <c r="AE1130" t="str">
        <f>"5416"</f>
        <v>5416</v>
      </c>
      <c r="AF1130" t="s">
        <v>3854</v>
      </c>
      <c r="AG1130" t="s">
        <v>1022</v>
      </c>
      <c r="AI1130" t="s">
        <v>3855</v>
      </c>
      <c r="AJ1130" t="s">
        <v>3853</v>
      </c>
      <c r="AK1130" t="str">
        <f>"1560 Sherman Avenue, 8th Floor"</f>
        <v>1560 Sherman Avenue, 8th Floor</v>
      </c>
      <c r="AL1130" t="s">
        <v>1294</v>
      </c>
      <c r="AM1130" t="s">
        <v>345</v>
      </c>
      <c r="AN1130" s="3">
        <v>60201</v>
      </c>
      <c r="AO1130" t="s">
        <v>101</v>
      </c>
      <c r="AQ1130" t="str">
        <f>"+18474923748"</f>
        <v>+18474923748</v>
      </c>
      <c r="AS1130" t="s">
        <v>3856</v>
      </c>
      <c r="AT1130" t="s">
        <v>107</v>
      </c>
      <c r="AU1130" t="str">
        <f>"Campbell"</f>
        <v>Campbell</v>
      </c>
      <c r="AV1130" t="str">
        <f>"Jacob"</f>
        <v>Jacob</v>
      </c>
      <c r="AW1130" t="str">
        <f>"N/A"</f>
        <v>N/A</v>
      </c>
      <c r="AX1130" t="str">
        <f>"1075 Peachtree St. NE"</f>
        <v>1075 Peachtree St. NE</v>
      </c>
      <c r="AY1130" t="str">
        <f>"Suite 2500"</f>
        <v>Suite 2500</v>
      </c>
      <c r="AZ1130" t="str">
        <f>"Atlanta"</f>
        <v>Atlanta</v>
      </c>
      <c r="BA1130" t="str">
        <f>"GA"</f>
        <v>GA</v>
      </c>
      <c r="BB1130" s="3" t="s">
        <v>12304</v>
      </c>
      <c r="BC1130" t="str">
        <f t="shared" si="89"/>
        <v>UNITED STATES OF AMERICA</v>
      </c>
      <c r="BD1130" t="str">
        <f>"N/A"</f>
        <v>N/A</v>
      </c>
      <c r="BE1130" t="str">
        <f>"+14048856747"</f>
        <v>+14048856747</v>
      </c>
      <c r="BF1130" t="str">
        <f>""</f>
        <v/>
      </c>
      <c r="BG1130" t="str">
        <f>"landerson@seyfarth.com"</f>
        <v>landerson@seyfarth.com</v>
      </c>
      <c r="BH1130" t="str">
        <f>"Seyfarth Shaw LLP"</f>
        <v>Seyfarth Shaw LLP</v>
      </c>
      <c r="BI1130" t="str">
        <f>"GA"</f>
        <v>GA</v>
      </c>
      <c r="BJ1130" t="str">
        <f>"Supreme Court"</f>
        <v>Supreme Court</v>
      </c>
      <c r="BK1130">
        <v>1</v>
      </c>
      <c r="BL1130" t="s">
        <v>102</v>
      </c>
      <c r="BM1130" t="str">
        <f>""</f>
        <v/>
      </c>
      <c r="BN1130" t="s">
        <v>11463</v>
      </c>
      <c r="BP1130" t="s">
        <v>1775</v>
      </c>
      <c r="BQ1130" t="s">
        <v>1777</v>
      </c>
      <c r="BR1130" t="s">
        <v>1776</v>
      </c>
      <c r="BS1130" s="5">
        <v>19803</v>
      </c>
      <c r="BT1130" s="2">
        <v>153500</v>
      </c>
      <c r="BV1130" t="s">
        <v>105</v>
      </c>
      <c r="BW1130" s="2">
        <v>104749</v>
      </c>
      <c r="BX1130" t="s">
        <v>105</v>
      </c>
      <c r="BZ1130" t="s">
        <v>123</v>
      </c>
      <c r="CA1130" t="str">
        <f t="shared" si="90"/>
        <v>7/1/2020 - 6/30/2021</v>
      </c>
      <c r="CF1130">
        <v>1</v>
      </c>
      <c r="CG1130" t="s">
        <v>98</v>
      </c>
      <c r="CH1130" t="s">
        <v>206</v>
      </c>
      <c r="CI1130" t="s">
        <v>206</v>
      </c>
      <c r="CL1130" t="s">
        <v>108</v>
      </c>
      <c r="CM1130" t="s">
        <v>109</v>
      </c>
      <c r="CN1130" t="str">
        <f>"Anderson"</f>
        <v>Anderson</v>
      </c>
      <c r="CO1130" t="str">
        <f>"Lianne"</f>
        <v>Lianne</v>
      </c>
      <c r="CP1130" t="str">
        <f>""</f>
        <v/>
      </c>
      <c r="CQ1130" t="str">
        <f>"Seyfarth Shaw LLP"</f>
        <v>Seyfarth Shaw LLP</v>
      </c>
      <c r="CR1130" t="s">
        <v>3857</v>
      </c>
    </row>
    <row r="1131" spans="1:96" x14ac:dyDescent="0.2">
      <c r="A1131" t="s">
        <v>11464</v>
      </c>
      <c r="B1131" t="s">
        <v>96</v>
      </c>
      <c r="C1131" s="1">
        <v>44098</v>
      </c>
      <c r="D1131" s="1">
        <v>44105</v>
      </c>
      <c r="F1131" t="s">
        <v>97</v>
      </c>
      <c r="G1131" t="str">
        <f>"Semiconductor Process Engineer"</f>
        <v>Semiconductor Process Engineer</v>
      </c>
      <c r="H1131" t="s">
        <v>12179</v>
      </c>
      <c r="I1131" t="s">
        <v>1357</v>
      </c>
      <c r="J1131" t="s">
        <v>98</v>
      </c>
      <c r="K1131" s="1">
        <v>44105</v>
      </c>
      <c r="L1131" s="1">
        <v>45199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11465</v>
      </c>
      <c r="U1131" t="str">
        <f>""</f>
        <v/>
      </c>
      <c r="V1131" t="s">
        <v>11466</v>
      </c>
      <c r="W1131" t="str">
        <f>"Suite 200"</f>
        <v>Suite 200</v>
      </c>
      <c r="X1131" t="s">
        <v>381</v>
      </c>
      <c r="Y1131" t="s">
        <v>195</v>
      </c>
      <c r="Z1131" s="3">
        <v>20850</v>
      </c>
      <c r="AA1131" t="s">
        <v>101</v>
      </c>
      <c r="AC1131" s="4" t="str">
        <f>"+13013378314"</f>
        <v>+13013378314</v>
      </c>
      <c r="AE1131" t="str">
        <f>"334413"</f>
        <v>334413</v>
      </c>
      <c r="AF1131" t="s">
        <v>11467</v>
      </c>
      <c r="AG1131" t="s">
        <v>11108</v>
      </c>
      <c r="AI1131" t="s">
        <v>646</v>
      </c>
      <c r="AJ1131" t="s">
        <v>11466</v>
      </c>
      <c r="AK1131" t="str">
        <f>"Suite 200"</f>
        <v>Suite 200</v>
      </c>
      <c r="AL1131" t="s">
        <v>381</v>
      </c>
      <c r="AM1131" t="s">
        <v>195</v>
      </c>
      <c r="AN1131" s="3">
        <v>20850</v>
      </c>
      <c r="AO1131" t="s">
        <v>101</v>
      </c>
      <c r="AQ1131" t="str">
        <f>"+13012576756"</f>
        <v>+13012576756</v>
      </c>
      <c r="AS1131" t="s">
        <v>11468</v>
      </c>
      <c r="AT1131" t="s">
        <v>107</v>
      </c>
      <c r="AU1131" t="str">
        <f>"Andrews"</f>
        <v>Andrews</v>
      </c>
      <c r="AV1131" t="str">
        <f>"Kevin"</f>
        <v>Kevin</v>
      </c>
      <c r="AW1131" t="str">
        <f>"J. "</f>
        <v xml:space="preserve">J. </v>
      </c>
      <c r="AX1131" t="str">
        <f>"10451 Mill Run Circle"</f>
        <v>10451 Mill Run Circle</v>
      </c>
      <c r="AY1131" t="str">
        <f>"Suite 100"</f>
        <v>Suite 100</v>
      </c>
      <c r="AZ1131" t="str">
        <f>"Owings Mills"</f>
        <v>Owings Mills</v>
      </c>
      <c r="BA1131" t="str">
        <f>"MD"</f>
        <v>MD</v>
      </c>
      <c r="BB1131" s="3">
        <v>21117</v>
      </c>
      <c r="BC1131" t="str">
        <f t="shared" si="89"/>
        <v>UNITED STATES OF AMERICA</v>
      </c>
      <c r="BD1131" t="str">
        <f>""</f>
        <v/>
      </c>
      <c r="BE1131" t="str">
        <f>"+14103565440"</f>
        <v>+14103565440</v>
      </c>
      <c r="BF1131" t="str">
        <f>""</f>
        <v/>
      </c>
      <c r="BG1131" t="str">
        <f>"robertag@murthy.com"</f>
        <v>robertag@murthy.com</v>
      </c>
      <c r="BH1131" t="str">
        <f>"Murthy Law Firm"</f>
        <v>Murthy Law Firm</v>
      </c>
      <c r="BI1131" t="str">
        <f>"MD"</f>
        <v>MD</v>
      </c>
      <c r="BJ1131" t="str">
        <f>"Court of Appeals of Maryland"</f>
        <v>Court of Appeals of Maryland</v>
      </c>
      <c r="BK1131">
        <v>1</v>
      </c>
      <c r="BL1131" t="s">
        <v>102</v>
      </c>
      <c r="BM1131" t="str">
        <f>""</f>
        <v/>
      </c>
      <c r="BN1131" t="s">
        <v>11466</v>
      </c>
      <c r="BP1131" t="s">
        <v>381</v>
      </c>
      <c r="BQ1131" t="s">
        <v>529</v>
      </c>
      <c r="BR1131" t="s">
        <v>195</v>
      </c>
      <c r="BS1131" s="5">
        <v>20850</v>
      </c>
      <c r="BT1131" s="2">
        <v>80600</v>
      </c>
      <c r="BV1131" t="s">
        <v>105</v>
      </c>
      <c r="BW1131" s="2">
        <v>80600</v>
      </c>
      <c r="BX1131" t="s">
        <v>105</v>
      </c>
      <c r="BZ1131" t="s">
        <v>191</v>
      </c>
      <c r="CA1131" t="str">
        <f t="shared" si="90"/>
        <v>7/1/2020 - 6/30/2021</v>
      </c>
      <c r="CF1131">
        <v>1</v>
      </c>
      <c r="CG1131" t="s">
        <v>98</v>
      </c>
      <c r="CH1131" t="s">
        <v>206</v>
      </c>
      <c r="CI1131" t="s">
        <v>206</v>
      </c>
      <c r="CL1131" t="s">
        <v>108</v>
      </c>
      <c r="CM1131" t="s">
        <v>109</v>
      </c>
      <c r="CN1131" t="str">
        <f>"Guariglia"</f>
        <v>Guariglia</v>
      </c>
      <c r="CO1131" t="str">
        <f>"Roberta"</f>
        <v>Roberta</v>
      </c>
      <c r="CP1131" t="str">
        <f>""</f>
        <v/>
      </c>
      <c r="CQ1131" t="str">
        <f>"Murthy Law Firm"</f>
        <v>Murthy Law Firm</v>
      </c>
      <c r="CR1131" t="s">
        <v>2385</v>
      </c>
    </row>
    <row r="1132" spans="1:96" x14ac:dyDescent="0.2">
      <c r="A1132" t="s">
        <v>11470</v>
      </c>
      <c r="B1132" t="s">
        <v>96</v>
      </c>
      <c r="C1132" s="1">
        <v>44098</v>
      </c>
      <c r="D1132" s="1">
        <v>44105</v>
      </c>
      <c r="F1132" t="s">
        <v>97</v>
      </c>
      <c r="G1132" t="str">
        <f>"Senior Solution Specialist"</f>
        <v>Senior Solution Specialist</v>
      </c>
      <c r="H1132" t="s">
        <v>12181</v>
      </c>
      <c r="I1132" t="s">
        <v>110</v>
      </c>
      <c r="J1132" t="s">
        <v>98</v>
      </c>
      <c r="K1132" s="1">
        <v>44110</v>
      </c>
      <c r="L1132" s="1">
        <v>45204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 t="s">
        <v>5143</v>
      </c>
      <c r="U1132" t="str">
        <f>""</f>
        <v/>
      </c>
      <c r="V1132" t="s">
        <v>1276</v>
      </c>
      <c r="W1132" t="str">
        <f>""</f>
        <v/>
      </c>
      <c r="X1132" t="s">
        <v>1277</v>
      </c>
      <c r="Y1132" t="s">
        <v>127</v>
      </c>
      <c r="Z1132" s="3">
        <v>19073</v>
      </c>
      <c r="AA1132" t="s">
        <v>101</v>
      </c>
      <c r="AC1132" s="4" t="str">
        <f>"+16106618413"</f>
        <v>+16106618413</v>
      </c>
      <c r="AE1132" t="str">
        <f>"54151"</f>
        <v>54151</v>
      </c>
      <c r="AF1132" t="s">
        <v>128</v>
      </c>
      <c r="AG1132" t="s">
        <v>129</v>
      </c>
      <c r="AI1132" t="s">
        <v>130</v>
      </c>
      <c r="AJ1132" t="s">
        <v>125</v>
      </c>
      <c r="AK1132" t="str">
        <f>""</f>
        <v/>
      </c>
      <c r="AL1132" t="s">
        <v>126</v>
      </c>
      <c r="AM1132" t="s">
        <v>127</v>
      </c>
      <c r="AN1132" s="3">
        <v>19073</v>
      </c>
      <c r="AO1132" t="s">
        <v>101</v>
      </c>
      <c r="AQ1132" t="str">
        <f>"+16106612354"</f>
        <v>+16106612354</v>
      </c>
      <c r="AS1132" t="s">
        <v>131</v>
      </c>
      <c r="AT1132" t="s">
        <v>107</v>
      </c>
      <c r="AU1132" t="str">
        <f>"Ralston"</f>
        <v>Ralston</v>
      </c>
      <c r="AV1132" t="str">
        <f>"C. William"</f>
        <v>C. William</v>
      </c>
      <c r="AW1132" t="str">
        <f>""</f>
        <v/>
      </c>
      <c r="AX1132" t="str">
        <f>"90 Matawan Road"</f>
        <v>90 Matawan Road</v>
      </c>
      <c r="AY1132" t="str">
        <f>"4th Floor"</f>
        <v>4th Floor</v>
      </c>
      <c r="AZ1132" t="str">
        <f>"Matawan"</f>
        <v>Matawan</v>
      </c>
      <c r="BA1132" t="str">
        <f>"NJ"</f>
        <v>NJ</v>
      </c>
      <c r="BB1132" s="3">
        <v>7747</v>
      </c>
      <c r="BC1132" t="str">
        <f t="shared" si="89"/>
        <v>UNITED STATES OF AMERICA</v>
      </c>
      <c r="BD1132" t="str">
        <f>""</f>
        <v/>
      </c>
      <c r="BE1132" t="str">
        <f>"+17328625000"</f>
        <v>+17328625000</v>
      </c>
      <c r="BF1132" t="str">
        <f>""</f>
        <v/>
      </c>
      <c r="BG1132" t="str">
        <f>"MGROMEK@FRAGMEN.COM"</f>
        <v>MGROMEK@FRAGMEN.COM</v>
      </c>
      <c r="BH1132" t="str">
        <f>"Fragomen, Del Rey, Bernsen &amp; Loewy, LLP"</f>
        <v>Fragomen, Del Rey, Bernsen &amp; Loewy, LLP</v>
      </c>
      <c r="BI1132" t="str">
        <f>"NJ"</f>
        <v>NJ</v>
      </c>
      <c r="BJ1132" t="str">
        <f>"Supreme Court"</f>
        <v>Supreme Court</v>
      </c>
      <c r="BK1132">
        <v>1</v>
      </c>
      <c r="BL1132" t="s">
        <v>102</v>
      </c>
      <c r="BM1132" t="str">
        <f>""</f>
        <v/>
      </c>
      <c r="BN1132" t="s">
        <v>8289</v>
      </c>
      <c r="BO1132" t="s">
        <v>2771</v>
      </c>
      <c r="BP1132" t="s">
        <v>4365</v>
      </c>
      <c r="BQ1132" t="s">
        <v>1382</v>
      </c>
      <c r="BR1132" t="s">
        <v>345</v>
      </c>
      <c r="BS1132" s="5">
        <v>60515</v>
      </c>
      <c r="BT1132" s="2">
        <v>162600</v>
      </c>
      <c r="BV1132" t="s">
        <v>105</v>
      </c>
      <c r="BW1132" s="2">
        <v>90709</v>
      </c>
      <c r="BX1132" t="s">
        <v>105</v>
      </c>
      <c r="BZ1132" t="s">
        <v>123</v>
      </c>
      <c r="CA1132" t="str">
        <f t="shared" si="90"/>
        <v>7/1/2020 - 6/30/2021</v>
      </c>
      <c r="CF1132">
        <v>2</v>
      </c>
      <c r="CG1132" t="s">
        <v>98</v>
      </c>
      <c r="CH1132" t="s">
        <v>206</v>
      </c>
      <c r="CI1132" t="s">
        <v>206</v>
      </c>
      <c r="CL1132" t="s">
        <v>108</v>
      </c>
      <c r="CM1132" t="s">
        <v>109</v>
      </c>
      <c r="CN1132" t="str">
        <f>"Ralston"</f>
        <v>Ralston</v>
      </c>
      <c r="CO1132" t="str">
        <f>"C. William"</f>
        <v>C. William</v>
      </c>
      <c r="CP1132" t="str">
        <f>""</f>
        <v/>
      </c>
      <c r="CQ1132" t="str">
        <f>"Fragomen, Del Rey, Bernsen &amp; Loewy, LLP"</f>
        <v>Fragomen, Del Rey, Bernsen &amp; Loewy, LLP</v>
      </c>
      <c r="CR1132" t="s">
        <v>3688</v>
      </c>
    </row>
    <row r="1133" spans="1:96" x14ac:dyDescent="0.2">
      <c r="A1133" t="s">
        <v>11475</v>
      </c>
      <c r="B1133" t="s">
        <v>96</v>
      </c>
      <c r="C1133" s="1">
        <v>44098</v>
      </c>
      <c r="D1133" s="1">
        <v>44105</v>
      </c>
      <c r="F1133" t="s">
        <v>97</v>
      </c>
      <c r="G1133" t="str">
        <f>"Engineering and Technical Product Manager"</f>
        <v>Engineering and Technical Product Manager</v>
      </c>
      <c r="H1133" t="s">
        <v>12196</v>
      </c>
      <c r="I1133" t="s">
        <v>322</v>
      </c>
      <c r="J1133" t="s">
        <v>98</v>
      </c>
      <c r="K1133" s="1">
        <v>44109</v>
      </c>
      <c r="L1133" s="1">
        <v>45203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 t="s">
        <v>10477</v>
      </c>
      <c r="U1133" t="str">
        <f>""</f>
        <v/>
      </c>
      <c r="V1133" t="s">
        <v>10478</v>
      </c>
      <c r="W1133" t="str">
        <f>"Ste. A"</f>
        <v>Ste. A</v>
      </c>
      <c r="X1133" t="s">
        <v>7780</v>
      </c>
      <c r="Y1133" t="s">
        <v>141</v>
      </c>
      <c r="Z1133" s="3">
        <v>94551</v>
      </c>
      <c r="AA1133" t="s">
        <v>101</v>
      </c>
      <c r="AC1133" s="4" t="str">
        <f>"+18332474797"</f>
        <v>+18332474797</v>
      </c>
      <c r="AE1133" t="str">
        <f>"333111"</f>
        <v>333111</v>
      </c>
      <c r="AF1133" t="s">
        <v>10479</v>
      </c>
      <c r="AG1133" t="s">
        <v>834</v>
      </c>
      <c r="AI1133" t="s">
        <v>508</v>
      </c>
      <c r="AJ1133" t="s">
        <v>10478</v>
      </c>
      <c r="AK1133" t="str">
        <f>"Ste. A"</f>
        <v>Ste. A</v>
      </c>
      <c r="AL1133" t="s">
        <v>7780</v>
      </c>
      <c r="AM1133" t="s">
        <v>141</v>
      </c>
      <c r="AN1133" s="3">
        <v>94551</v>
      </c>
      <c r="AO1133" t="s">
        <v>101</v>
      </c>
      <c r="AQ1133" t="str">
        <f>"+18332474797"</f>
        <v>+18332474797</v>
      </c>
      <c r="AS1133" t="s">
        <v>10480</v>
      </c>
      <c r="AT1133" t="s">
        <v>107</v>
      </c>
      <c r="AU1133" t="str">
        <f>"Wu"</f>
        <v>Wu</v>
      </c>
      <c r="AV1133" t="str">
        <f>"Katie"</f>
        <v>Katie</v>
      </c>
      <c r="AW1133" t="str">
        <f>"W."</f>
        <v>W.</v>
      </c>
      <c r="AX1133" t="str">
        <f>"30300 Agoura Road"</f>
        <v>30300 Agoura Road</v>
      </c>
      <c r="AY1133" t="str">
        <f>"Ste. B100"</f>
        <v>Ste. B100</v>
      </c>
      <c r="AZ1133" t="str">
        <f>"Agoura Hills"</f>
        <v>Agoura Hills</v>
      </c>
      <c r="BA1133" t="str">
        <f>"CA"</f>
        <v>CA</v>
      </c>
      <c r="BB1133" s="3">
        <v>91301</v>
      </c>
      <c r="BC1133" t="str">
        <f t="shared" si="89"/>
        <v>UNITED STATES OF AMERICA</v>
      </c>
      <c r="BD1133" t="str">
        <f>""</f>
        <v/>
      </c>
      <c r="BE1133" t="str">
        <f>"+18189146482"</f>
        <v>+18189146482</v>
      </c>
      <c r="BF1133" t="str">
        <f>""</f>
        <v/>
      </c>
      <c r="BG1133" t="str">
        <f>"Admin@gotcherlaw.com"</f>
        <v>Admin@gotcherlaw.com</v>
      </c>
      <c r="BH1133" t="str">
        <f>"Global Immigration Partners, Inc"</f>
        <v>Global Immigration Partners, Inc</v>
      </c>
      <c r="BI1133" t="str">
        <f>"CA"</f>
        <v>CA</v>
      </c>
      <c r="BJ1133" t="str">
        <f>"Supreme Court"</f>
        <v>Supreme Court</v>
      </c>
      <c r="BK1133">
        <v>1</v>
      </c>
      <c r="BL1133" t="s">
        <v>102</v>
      </c>
      <c r="BM1133" t="str">
        <f>""</f>
        <v/>
      </c>
      <c r="BN1133" t="s">
        <v>10478</v>
      </c>
      <c r="BO1133" t="s">
        <v>7152</v>
      </c>
      <c r="BP1133" t="s">
        <v>11476</v>
      </c>
      <c r="BQ1133" t="s">
        <v>419</v>
      </c>
      <c r="BR1133" t="s">
        <v>141</v>
      </c>
      <c r="BS1133" s="5">
        <v>94551</v>
      </c>
      <c r="BT1133" s="2">
        <v>130000</v>
      </c>
      <c r="BV1133" t="s">
        <v>105</v>
      </c>
      <c r="BW1133" s="2">
        <v>123261</v>
      </c>
      <c r="BX1133" t="s">
        <v>105</v>
      </c>
      <c r="BZ1133" t="s">
        <v>123</v>
      </c>
      <c r="CA1133" t="str">
        <f t="shared" si="90"/>
        <v>7/1/2020 - 6/30/2021</v>
      </c>
      <c r="CF1133">
        <v>1</v>
      </c>
      <c r="CG1133" t="s">
        <v>98</v>
      </c>
      <c r="CH1133" t="s">
        <v>206</v>
      </c>
      <c r="CI1133" t="s">
        <v>206</v>
      </c>
      <c r="CL1133" t="s">
        <v>108</v>
      </c>
      <c r="CM1133" t="s">
        <v>109</v>
      </c>
      <c r="CN1133" t="str">
        <f>"Wu"</f>
        <v>Wu</v>
      </c>
      <c r="CO1133" t="str">
        <f>"Katie"</f>
        <v>Katie</v>
      </c>
      <c r="CP1133" t="str">
        <f>"W."</f>
        <v>W.</v>
      </c>
      <c r="CQ1133" t="str">
        <f>"Global Immigration Partners, Inc"</f>
        <v>Global Immigration Partners, Inc</v>
      </c>
      <c r="CR1133" t="s">
        <v>1275</v>
      </c>
    </row>
    <row r="1134" spans="1:96" x14ac:dyDescent="0.2">
      <c r="A1134" t="s">
        <v>11477</v>
      </c>
      <c r="B1134" t="s">
        <v>96</v>
      </c>
      <c r="C1134" s="1">
        <v>44098</v>
      </c>
      <c r="D1134" s="1">
        <v>44105</v>
      </c>
      <c r="F1134" t="s">
        <v>97</v>
      </c>
      <c r="G1134" t="str">
        <f>"Associate, Research Analyst"</f>
        <v>Associate, Research Analyst</v>
      </c>
      <c r="H1134" t="s">
        <v>12220</v>
      </c>
      <c r="I1134" t="s">
        <v>963</v>
      </c>
      <c r="J1134" t="s">
        <v>98</v>
      </c>
      <c r="K1134" s="1">
        <v>44169</v>
      </c>
      <c r="L1134" s="1">
        <v>45263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 t="s">
        <v>8789</v>
      </c>
      <c r="U1134" t="str">
        <f>""</f>
        <v/>
      </c>
      <c r="V1134" t="s">
        <v>5546</v>
      </c>
      <c r="W1134" t="str">
        <f>""</f>
        <v/>
      </c>
      <c r="X1134" t="s">
        <v>277</v>
      </c>
      <c r="Y1134" t="s">
        <v>190</v>
      </c>
      <c r="Z1134" s="3">
        <v>10019</v>
      </c>
      <c r="AA1134" t="s">
        <v>101</v>
      </c>
      <c r="AC1134" s="4" t="str">
        <f>"+12126679793"</f>
        <v>+12126679793</v>
      </c>
      <c r="AE1134" t="str">
        <f>"523110"</f>
        <v>523110</v>
      </c>
      <c r="AF1134" t="s">
        <v>5547</v>
      </c>
      <c r="AG1134" t="s">
        <v>3665</v>
      </c>
      <c r="AI1134" t="s">
        <v>5548</v>
      </c>
      <c r="AJ1134" t="s">
        <v>5546</v>
      </c>
      <c r="AK1134" t="str">
        <f>""</f>
        <v/>
      </c>
      <c r="AL1134" t="s">
        <v>277</v>
      </c>
      <c r="AM1134" t="s">
        <v>190</v>
      </c>
      <c r="AN1134" s="3">
        <v>10019</v>
      </c>
      <c r="AO1134" t="s">
        <v>101</v>
      </c>
      <c r="AQ1134" t="str">
        <f>"+12126679793"</f>
        <v>+12126679793</v>
      </c>
      <c r="AS1134" t="s">
        <v>5549</v>
      </c>
      <c r="AT1134" t="s">
        <v>107</v>
      </c>
      <c r="AU1134" t="str">
        <f>"Dunn"</f>
        <v>Dunn</v>
      </c>
      <c r="AV1134" t="str">
        <f>"Matthew"</f>
        <v>Matthew</v>
      </c>
      <c r="AW1134" t="str">
        <f>"S."</f>
        <v>S.</v>
      </c>
      <c r="AX1134" t="str">
        <f>"1177 Avenue of the Americas"</f>
        <v>1177 Avenue of the Americas</v>
      </c>
      <c r="AY1134" t="str">
        <f>""</f>
        <v/>
      </c>
      <c r="AZ1134" t="str">
        <f>"New York"</f>
        <v>New York</v>
      </c>
      <c r="BA1134" t="str">
        <f>"NY"</f>
        <v>NY</v>
      </c>
      <c r="BB1134" s="3">
        <v>10036</v>
      </c>
      <c r="BC1134" t="str">
        <f t="shared" si="89"/>
        <v>UNITED STATES OF AMERICA</v>
      </c>
      <c r="BD1134" t="str">
        <f>""</f>
        <v/>
      </c>
      <c r="BE1134" t="str">
        <f>"+12127159408"</f>
        <v>+12127159408</v>
      </c>
      <c r="BF1134" t="str">
        <f>""</f>
        <v/>
      </c>
      <c r="BG1134" t="str">
        <f>"bmichaels@kramerlevin.com"</f>
        <v>bmichaels@kramerlevin.com</v>
      </c>
      <c r="BH1134" t="str">
        <f>"Kramer Levin Naftalis &amp; Frankel LLP"</f>
        <v>Kramer Levin Naftalis &amp; Frankel LLP</v>
      </c>
      <c r="BI1134" t="str">
        <f>"NY"</f>
        <v>NY</v>
      </c>
      <c r="BJ1134" t="str">
        <f>"Court of Appeals"</f>
        <v>Court of Appeals</v>
      </c>
      <c r="BK1134">
        <v>1</v>
      </c>
      <c r="BL1134" t="s">
        <v>102</v>
      </c>
      <c r="BM1134" t="str">
        <f>""</f>
        <v/>
      </c>
      <c r="BN1134" t="s">
        <v>5546</v>
      </c>
      <c r="BP1134" t="s">
        <v>277</v>
      </c>
      <c r="BQ1134" t="s">
        <v>189</v>
      </c>
      <c r="BR1134" t="s">
        <v>190</v>
      </c>
      <c r="BS1134" s="5">
        <v>10019</v>
      </c>
      <c r="BT1134" s="2">
        <v>135000</v>
      </c>
      <c r="BU1134" s="2">
        <v>155000</v>
      </c>
      <c r="BV1134" t="s">
        <v>105</v>
      </c>
      <c r="BW1134" s="2">
        <v>131685</v>
      </c>
      <c r="BX1134" t="s">
        <v>105</v>
      </c>
      <c r="BZ1134" t="s">
        <v>123</v>
      </c>
      <c r="CA1134" t="str">
        <f t="shared" si="90"/>
        <v>7/1/2020 - 6/30/2021</v>
      </c>
      <c r="CF1134">
        <v>2</v>
      </c>
      <c r="CG1134" t="s">
        <v>98</v>
      </c>
      <c r="CH1134" t="s">
        <v>206</v>
      </c>
      <c r="CI1134" t="s">
        <v>206</v>
      </c>
      <c r="CL1134" t="s">
        <v>108</v>
      </c>
      <c r="CM1134" t="s">
        <v>109</v>
      </c>
      <c r="CN1134" t="str">
        <f>"Michaels"</f>
        <v>Michaels</v>
      </c>
      <c r="CO1134" t="str">
        <f>"Beth"</f>
        <v>Beth</v>
      </c>
      <c r="CP1134" t="str">
        <f>""</f>
        <v/>
      </c>
      <c r="CQ1134" t="str">
        <f>"Kramer Levin Naftalis &amp; Frankel LLP"</f>
        <v>Kramer Levin Naftalis &amp; Frankel LLP</v>
      </c>
      <c r="CR1134" t="s">
        <v>5550</v>
      </c>
    </row>
    <row r="1135" spans="1:96" x14ac:dyDescent="0.2">
      <c r="A1135" t="s">
        <v>11478</v>
      </c>
      <c r="B1135" t="s">
        <v>96</v>
      </c>
      <c r="C1135" s="1">
        <v>44098</v>
      </c>
      <c r="D1135" s="1">
        <v>44105</v>
      </c>
      <c r="F1135" t="s">
        <v>97</v>
      </c>
      <c r="G1135" t="str">
        <f>"Senior Software Engineer, Integration Platform"</f>
        <v>Senior Software Engineer, Integration Platform</v>
      </c>
      <c r="H1135" t="s">
        <v>12176</v>
      </c>
      <c r="I1135" t="s">
        <v>246</v>
      </c>
      <c r="J1135" t="s">
        <v>98</v>
      </c>
      <c r="K1135" s="1">
        <v>44104</v>
      </c>
      <c r="L1135" s="1">
        <v>45198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 t="s">
        <v>1476</v>
      </c>
      <c r="U1135" t="str">
        <f>""</f>
        <v/>
      </c>
      <c r="V1135" t="s">
        <v>1477</v>
      </c>
      <c r="W1135" t="str">
        <f>"FLOOR 12"</f>
        <v>FLOOR 12</v>
      </c>
      <c r="X1135" t="s">
        <v>364</v>
      </c>
      <c r="Y1135" t="s">
        <v>141</v>
      </c>
      <c r="Z1135" s="3">
        <v>91367</v>
      </c>
      <c r="AA1135" t="s">
        <v>101</v>
      </c>
      <c r="AC1135" s="4" t="str">
        <f>"+18182239006"</f>
        <v>+18182239006</v>
      </c>
      <c r="AE1135" t="str">
        <f>"541512"</f>
        <v>541512</v>
      </c>
      <c r="AF1135" t="s">
        <v>1478</v>
      </c>
      <c r="AG1135" t="s">
        <v>1479</v>
      </c>
      <c r="AI1135" t="s">
        <v>1480</v>
      </c>
      <c r="AJ1135" t="s">
        <v>1477</v>
      </c>
      <c r="AK1135" t="str">
        <f>"FLOOR 12"</f>
        <v>FLOOR 12</v>
      </c>
      <c r="AL1135" t="s">
        <v>364</v>
      </c>
      <c r="AM1135" t="s">
        <v>141</v>
      </c>
      <c r="AN1135" s="3">
        <v>91367</v>
      </c>
      <c r="AO1135" t="s">
        <v>101</v>
      </c>
      <c r="AQ1135" t="str">
        <f>"+18182239006"</f>
        <v>+18182239006</v>
      </c>
      <c r="AS1135" t="s">
        <v>1481</v>
      </c>
      <c r="AT1135" t="s">
        <v>107</v>
      </c>
      <c r="AU1135" t="str">
        <f>"EHRENPREIS"</f>
        <v>EHRENPREIS</v>
      </c>
      <c r="AV1135" t="str">
        <f>"JEFFREY"</f>
        <v>JEFFREY</v>
      </c>
      <c r="AW1135" t="str">
        <f>""</f>
        <v/>
      </c>
      <c r="AX1135" t="str">
        <f>"1880 CENTURY PARK EAST"</f>
        <v>1880 CENTURY PARK EAST</v>
      </c>
      <c r="AY1135" t="str">
        <f>"SUITE 550"</f>
        <v>SUITE 550</v>
      </c>
      <c r="AZ1135" t="str">
        <f>"LOS ANGELES"</f>
        <v>LOS ANGELES</v>
      </c>
      <c r="BA1135" t="str">
        <f>"CA"</f>
        <v>CA</v>
      </c>
      <c r="BB1135" s="3">
        <v>90067</v>
      </c>
      <c r="BC1135" t="str">
        <f t="shared" si="89"/>
        <v>UNITED STATES OF AMERICA</v>
      </c>
      <c r="BD1135" t="str">
        <f>""</f>
        <v/>
      </c>
      <c r="BE1135" t="str">
        <f>"+13105536600"</f>
        <v>+13105536600</v>
      </c>
      <c r="BF1135" t="str">
        <f>""</f>
        <v/>
      </c>
      <c r="BG1135" t="str">
        <f>"JEFF@RALPHEHRENPREIS.COM"</f>
        <v>JEFF@RALPHEHRENPREIS.COM</v>
      </c>
      <c r="BH1135" t="str">
        <f>"RALPH EHRENPREIS, A PLC"</f>
        <v>RALPH EHRENPREIS, A PLC</v>
      </c>
      <c r="BI1135" t="str">
        <f>"CA"</f>
        <v>CA</v>
      </c>
      <c r="BJ1135" t="str">
        <f>"SUPREME COURT OF CALIFORNIA"</f>
        <v>SUPREME COURT OF CALIFORNIA</v>
      </c>
      <c r="BK1135">
        <v>1</v>
      </c>
      <c r="BL1135" t="s">
        <v>102</v>
      </c>
      <c r="BM1135" t="str">
        <f>""</f>
        <v/>
      </c>
      <c r="BN1135" t="s">
        <v>1482</v>
      </c>
      <c r="BO1135" t="s">
        <v>1483</v>
      </c>
      <c r="BP1135" t="s">
        <v>631</v>
      </c>
      <c r="BQ1135" t="s">
        <v>419</v>
      </c>
      <c r="BR1135" t="s">
        <v>141</v>
      </c>
      <c r="BS1135" s="5">
        <v>94588</v>
      </c>
      <c r="BT1135" s="2">
        <v>160000</v>
      </c>
      <c r="BU1135" s="2">
        <v>165000</v>
      </c>
      <c r="BV1135" t="s">
        <v>105</v>
      </c>
      <c r="BW1135" s="2">
        <v>120931</v>
      </c>
      <c r="BX1135" t="s">
        <v>105</v>
      </c>
      <c r="BZ1135" t="s">
        <v>167</v>
      </c>
      <c r="CA1135" t="str">
        <f t="shared" si="90"/>
        <v>7/1/2020 - 6/30/2021</v>
      </c>
      <c r="CF1135">
        <v>1</v>
      </c>
      <c r="CG1135" t="s">
        <v>98</v>
      </c>
      <c r="CH1135" t="s">
        <v>206</v>
      </c>
      <c r="CI1135" t="s">
        <v>206</v>
      </c>
      <c r="CL1135" t="s">
        <v>108</v>
      </c>
      <c r="CM1135" t="s">
        <v>109</v>
      </c>
      <c r="CN1135" t="str">
        <f>""</f>
        <v/>
      </c>
      <c r="CO1135" t="str">
        <f>""</f>
        <v/>
      </c>
      <c r="CP1135" t="str">
        <f>""</f>
        <v/>
      </c>
      <c r="CQ1135" t="str">
        <f>""</f>
        <v/>
      </c>
    </row>
    <row r="1136" spans="1:96" x14ac:dyDescent="0.2">
      <c r="A1136" t="s">
        <v>11481</v>
      </c>
      <c r="B1136" t="s">
        <v>96</v>
      </c>
      <c r="C1136" s="1">
        <v>44098</v>
      </c>
      <c r="D1136" s="1">
        <v>44105</v>
      </c>
      <c r="F1136" t="s">
        <v>97</v>
      </c>
      <c r="G1136" t="str">
        <f>"HVAC Controls Engineer"</f>
        <v>HVAC Controls Engineer</v>
      </c>
      <c r="H1136" t="s">
        <v>12179</v>
      </c>
      <c r="I1136" t="s">
        <v>1357</v>
      </c>
      <c r="J1136" t="s">
        <v>98</v>
      </c>
      <c r="K1136" s="1">
        <v>44105</v>
      </c>
      <c r="L1136" s="1">
        <v>45199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11482</v>
      </c>
      <c r="U1136" t="str">
        <f>""</f>
        <v/>
      </c>
      <c r="V1136" t="s">
        <v>11483</v>
      </c>
      <c r="W1136" t="str">
        <f>"Bldg. #2, Suite 17B"</f>
        <v>Bldg. #2, Suite 17B</v>
      </c>
      <c r="X1136" t="s">
        <v>5124</v>
      </c>
      <c r="Y1136" t="s">
        <v>100</v>
      </c>
      <c r="Z1136" s="3">
        <v>7004</v>
      </c>
      <c r="AA1136" t="s">
        <v>101</v>
      </c>
      <c r="AC1136" s="4" t="str">
        <f>"+19738844100"</f>
        <v>+19738844100</v>
      </c>
      <c r="AE1136" t="str">
        <f>"238210"</f>
        <v>238210</v>
      </c>
      <c r="AF1136" t="s">
        <v>208</v>
      </c>
      <c r="AG1136" t="s">
        <v>875</v>
      </c>
      <c r="AI1136" t="s">
        <v>876</v>
      </c>
      <c r="AJ1136" t="s">
        <v>11483</v>
      </c>
      <c r="AK1136" t="str">
        <f>"Bldg. #2, Suite 17B"</f>
        <v>Bldg. #2, Suite 17B</v>
      </c>
      <c r="AL1136" t="s">
        <v>5124</v>
      </c>
      <c r="AM1136" t="s">
        <v>100</v>
      </c>
      <c r="AN1136" s="3">
        <v>7004</v>
      </c>
      <c r="AO1136" t="s">
        <v>101</v>
      </c>
      <c r="AQ1136" t="str">
        <f>"+19738844100"</f>
        <v>+19738844100</v>
      </c>
      <c r="AS1136" t="s">
        <v>11484</v>
      </c>
      <c r="AT1136" t="s">
        <v>107</v>
      </c>
      <c r="AU1136" t="str">
        <f>"Dhanani"</f>
        <v>Dhanani</v>
      </c>
      <c r="AV1136" t="str">
        <f>"Rahim"</f>
        <v>Rahim</v>
      </c>
      <c r="AW1136" t="str">
        <f>""</f>
        <v/>
      </c>
      <c r="AX1136" t="str">
        <f>"1100 Peachtree Street NE"</f>
        <v>1100 Peachtree Street NE</v>
      </c>
      <c r="AY1136" t="str">
        <f>"Suite 200"</f>
        <v>Suite 200</v>
      </c>
      <c r="AZ1136" t="str">
        <f>"Atlanta"</f>
        <v>Atlanta</v>
      </c>
      <c r="BA1136" t="str">
        <f>"GA"</f>
        <v>GA</v>
      </c>
      <c r="BB1136" s="3">
        <v>30309</v>
      </c>
      <c r="BC1136" t="str">
        <f t="shared" si="89"/>
        <v>UNITED STATES OF AMERICA</v>
      </c>
      <c r="BD1136" t="str">
        <f>""</f>
        <v/>
      </c>
      <c r="BE1136" t="str">
        <f>"+14045930434"</f>
        <v>+14045930434</v>
      </c>
      <c r="BF1136" t="str">
        <f>""</f>
        <v/>
      </c>
      <c r="BG1136" t="str">
        <f>"rdhanani@dhananilaw.com"</f>
        <v>rdhanani@dhananilaw.com</v>
      </c>
      <c r="BH1136" t="str">
        <f>"The Dhanani Law Firm, LLC"</f>
        <v>The Dhanani Law Firm, LLC</v>
      </c>
      <c r="BI1136" t="str">
        <f>"GA"</f>
        <v>GA</v>
      </c>
      <c r="BJ1136" t="str">
        <f>"Supreme Court of Georgia"</f>
        <v>Supreme Court of Georgia</v>
      </c>
      <c r="BK1136">
        <v>1</v>
      </c>
      <c r="BL1136" t="s">
        <v>102</v>
      </c>
      <c r="BM1136" t="str">
        <f>""</f>
        <v/>
      </c>
      <c r="BN1136" t="s">
        <v>11483</v>
      </c>
      <c r="BO1136" t="s">
        <v>11485</v>
      </c>
      <c r="BP1136" t="s">
        <v>5124</v>
      </c>
      <c r="BQ1136" t="s">
        <v>309</v>
      </c>
      <c r="BR1136" t="s">
        <v>100</v>
      </c>
      <c r="BS1136" s="5">
        <v>7004</v>
      </c>
      <c r="BT1136" s="2">
        <v>95368</v>
      </c>
      <c r="BV1136" t="s">
        <v>105</v>
      </c>
      <c r="BW1136" s="2">
        <v>95368</v>
      </c>
      <c r="BX1136" t="s">
        <v>105</v>
      </c>
      <c r="BZ1136" t="s">
        <v>167</v>
      </c>
      <c r="CA1136" t="str">
        <f t="shared" si="90"/>
        <v>7/1/2020 - 6/30/2021</v>
      </c>
      <c r="CF1136">
        <v>1</v>
      </c>
      <c r="CG1136" t="s">
        <v>98</v>
      </c>
      <c r="CH1136" t="s">
        <v>206</v>
      </c>
      <c r="CI1136" t="s">
        <v>206</v>
      </c>
      <c r="CL1136" t="s">
        <v>108</v>
      </c>
      <c r="CM1136" t="s">
        <v>109</v>
      </c>
      <c r="CN1136" t="str">
        <f>""</f>
        <v/>
      </c>
      <c r="CO1136" t="str">
        <f>""</f>
        <v/>
      </c>
      <c r="CP1136" t="str">
        <f>""</f>
        <v/>
      </c>
      <c r="CQ1136" t="str">
        <f>""</f>
        <v/>
      </c>
    </row>
    <row r="1137" spans="1:96" x14ac:dyDescent="0.2">
      <c r="A1137" t="s">
        <v>11486</v>
      </c>
      <c r="B1137" t="s">
        <v>96</v>
      </c>
      <c r="C1137" s="1">
        <v>44098</v>
      </c>
      <c r="D1137" s="1">
        <v>44105</v>
      </c>
      <c r="F1137" t="s">
        <v>97</v>
      </c>
      <c r="G1137" t="str">
        <f>"EXPERT"</f>
        <v>EXPERT</v>
      </c>
      <c r="H1137" t="s">
        <v>12214</v>
      </c>
      <c r="I1137" t="s">
        <v>276</v>
      </c>
      <c r="J1137" t="s">
        <v>98</v>
      </c>
      <c r="K1137" s="1">
        <v>44105</v>
      </c>
      <c r="L1137" s="1">
        <v>45199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4423</v>
      </c>
      <c r="U1137" t="str">
        <f>""</f>
        <v/>
      </c>
      <c r="V1137" t="s">
        <v>4505</v>
      </c>
      <c r="W1137" t="str">
        <f>"FOURTH FLOOR"</f>
        <v>FOURTH FLOOR</v>
      </c>
      <c r="X1137" t="s">
        <v>189</v>
      </c>
      <c r="Y1137" t="s">
        <v>190</v>
      </c>
      <c r="Z1137" s="3">
        <v>10017</v>
      </c>
      <c r="AA1137" t="s">
        <v>101</v>
      </c>
      <c r="AC1137" s="4" t="str">
        <f>"+12124467000"</f>
        <v>+12124467000</v>
      </c>
      <c r="AE1137" t="str">
        <f>"54161"</f>
        <v>54161</v>
      </c>
      <c r="AF1137" t="s">
        <v>4506</v>
      </c>
      <c r="AG1137" t="s">
        <v>1804</v>
      </c>
      <c r="AI1137" t="s">
        <v>4425</v>
      </c>
      <c r="AJ1137" t="s">
        <v>4507</v>
      </c>
      <c r="AK1137" t="str">
        <f>"FOURTH FLOOR"</f>
        <v>FOURTH FLOOR</v>
      </c>
      <c r="AL1137" t="s">
        <v>189</v>
      </c>
      <c r="AM1137" t="s">
        <v>190</v>
      </c>
      <c r="AN1137" s="3">
        <v>10017</v>
      </c>
      <c r="AO1137" t="s">
        <v>101</v>
      </c>
      <c r="AQ1137" t="str">
        <f>"+12124151882"</f>
        <v>+12124151882</v>
      </c>
      <c r="AS1137" t="s">
        <v>4427</v>
      </c>
      <c r="AT1137" t="s">
        <v>107</v>
      </c>
      <c r="AU1137" t="str">
        <f>"WEINTRAUB"</f>
        <v>WEINTRAUB</v>
      </c>
      <c r="AV1137" t="str">
        <f>"FREDDI"</f>
        <v>FREDDI</v>
      </c>
      <c r="AW1137" t="str">
        <f>"M"</f>
        <v>M</v>
      </c>
      <c r="AX1137" t="str">
        <f>"1400 BROADWAY"</f>
        <v>1400 BROADWAY</v>
      </c>
      <c r="AY1137" t="str">
        <f>"9TH FLOOR"</f>
        <v>9TH FLOOR</v>
      </c>
      <c r="AZ1137" t="str">
        <f>"NEW YORK"</f>
        <v>NEW YORK</v>
      </c>
      <c r="BA1137" t="str">
        <f>"NY"</f>
        <v>NY</v>
      </c>
      <c r="BB1137" s="3">
        <v>10018</v>
      </c>
      <c r="BC1137" t="str">
        <f t="shared" si="89"/>
        <v>UNITED STATES OF AMERICA</v>
      </c>
      <c r="BD1137" t="str">
        <f>""</f>
        <v/>
      </c>
      <c r="BE1137" t="str">
        <f>"+12126888555"</f>
        <v>+12126888555</v>
      </c>
      <c r="BF1137" t="str">
        <f>""</f>
        <v/>
      </c>
      <c r="BG1137" t="str">
        <f>"JRANDOLPH@FRAGOMEN.COM"</f>
        <v>JRANDOLPH@FRAGOMEN.COM</v>
      </c>
      <c r="BH1137" t="str">
        <f>"FRAGOMEN, DEL REY, BERNSEN &amp; LOEWY, LLP"</f>
        <v>FRAGOMEN, DEL REY, BERNSEN &amp; LOEWY, LLP</v>
      </c>
      <c r="BI1137" t="str">
        <f>"NY"</f>
        <v>NY</v>
      </c>
      <c r="BJ1137" t="str">
        <f>"NEW YORK STATE COURT OF APPEALS"</f>
        <v>NEW YORK STATE COURT OF APPEALS</v>
      </c>
      <c r="BK1137">
        <v>1</v>
      </c>
      <c r="BL1137" t="s">
        <v>102</v>
      </c>
      <c r="BM1137" t="str">
        <f>""</f>
        <v/>
      </c>
      <c r="BN1137" t="s">
        <v>11487</v>
      </c>
      <c r="BO1137" t="s">
        <v>11488</v>
      </c>
      <c r="BP1137" t="s">
        <v>1213</v>
      </c>
      <c r="BQ1137" t="s">
        <v>1214</v>
      </c>
      <c r="BR1137" t="s">
        <v>100</v>
      </c>
      <c r="BS1137" s="5">
        <v>7310</v>
      </c>
      <c r="BT1137" s="2">
        <v>192600</v>
      </c>
      <c r="BV1137" t="s">
        <v>105</v>
      </c>
      <c r="BW1137" s="2">
        <v>144040</v>
      </c>
      <c r="BX1137" t="s">
        <v>105</v>
      </c>
      <c r="BZ1137" t="s">
        <v>159</v>
      </c>
      <c r="CA1137" t="str">
        <f t="shared" si="90"/>
        <v>7/1/2020 - 6/30/2021</v>
      </c>
      <c r="CF1137">
        <v>1</v>
      </c>
      <c r="CG1137" t="s">
        <v>98</v>
      </c>
      <c r="CH1137" t="s">
        <v>206</v>
      </c>
      <c r="CI1137" t="s">
        <v>206</v>
      </c>
      <c r="CL1137" t="s">
        <v>108</v>
      </c>
      <c r="CM1137" t="s">
        <v>109</v>
      </c>
      <c r="CN1137" t="str">
        <f>"RANDOLPH"</f>
        <v>RANDOLPH</v>
      </c>
      <c r="CO1137" t="str">
        <f>"JANAY"</f>
        <v>JANAY</v>
      </c>
      <c r="CP1137" t="str">
        <f>"N"</f>
        <v>N</v>
      </c>
      <c r="CQ1137" t="str">
        <f>"FRAGOMEN, DEL REY, BERNSEN &amp; LOEWY, LLP"</f>
        <v>FRAGOMEN, DEL REY, BERNSEN &amp; LOEWY, LLP</v>
      </c>
      <c r="CR1137" t="s">
        <v>4508</v>
      </c>
    </row>
    <row r="1138" spans="1:96" x14ac:dyDescent="0.2">
      <c r="A1138" t="s">
        <v>11489</v>
      </c>
      <c r="B1138" t="s">
        <v>96</v>
      </c>
      <c r="C1138" s="1">
        <v>44098</v>
      </c>
      <c r="D1138" s="1">
        <v>44105</v>
      </c>
      <c r="F1138" t="s">
        <v>97</v>
      </c>
      <c r="G1138" t="str">
        <f>"BUSINESS INTELLIGENCE ENGINEER II"</f>
        <v>BUSINESS INTELLIGENCE ENGINEER II</v>
      </c>
      <c r="H1138" t="s">
        <v>12168</v>
      </c>
      <c r="I1138" t="s">
        <v>249</v>
      </c>
      <c r="J1138" t="s">
        <v>98</v>
      </c>
      <c r="K1138" s="1">
        <v>44109</v>
      </c>
      <c r="L1138" s="1">
        <v>45203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 t="s">
        <v>440</v>
      </c>
      <c r="U1138" t="str">
        <f>""</f>
        <v/>
      </c>
      <c r="V1138" t="s">
        <v>809</v>
      </c>
      <c r="W1138" t="str">
        <f>"SUITE 500"</f>
        <v>SUITE 500</v>
      </c>
      <c r="X1138" t="s">
        <v>433</v>
      </c>
      <c r="Y1138" t="s">
        <v>176</v>
      </c>
      <c r="Z1138" s="3">
        <v>98121</v>
      </c>
      <c r="AA1138" t="s">
        <v>101</v>
      </c>
      <c r="AC1138" s="4" t="str">
        <f>"+12062661000"</f>
        <v>+12062661000</v>
      </c>
      <c r="AE1138" t="str">
        <f>"454110"</f>
        <v>454110</v>
      </c>
      <c r="AF1138" t="s">
        <v>442</v>
      </c>
      <c r="AG1138" t="s">
        <v>443</v>
      </c>
      <c r="AH1138" t="s">
        <v>108</v>
      </c>
      <c r="AI1138" t="s">
        <v>434</v>
      </c>
      <c r="AJ1138" t="s">
        <v>809</v>
      </c>
      <c r="AK1138" t="str">
        <f>"SUITE 500"</f>
        <v>SUITE 500</v>
      </c>
      <c r="AL1138" t="s">
        <v>433</v>
      </c>
      <c r="AM1138" t="s">
        <v>176</v>
      </c>
      <c r="AN1138" s="3">
        <v>98121</v>
      </c>
      <c r="AO1138" t="s">
        <v>101</v>
      </c>
      <c r="AQ1138" t="str">
        <f>"+12062661000"</f>
        <v>+12062661000</v>
      </c>
      <c r="AS1138" t="s">
        <v>263</v>
      </c>
      <c r="AT1138" t="s">
        <v>107</v>
      </c>
      <c r="AU1138" t="str">
        <f>"MARANCI"</f>
        <v>MARANCI</v>
      </c>
      <c r="AV1138" t="str">
        <f>"DANIEL"</f>
        <v>DANIEL</v>
      </c>
      <c r="AW1138" t="str">
        <f>"N/A"</f>
        <v>N/A</v>
      </c>
      <c r="AX1138" t="str">
        <f>"100 HIGH STREET"</f>
        <v>100 HIGH STREET</v>
      </c>
      <c r="AY1138" t="str">
        <f>"3RD FLOOR C#5315348"</f>
        <v>3RD FLOOR C#5315348</v>
      </c>
      <c r="AZ1138" t="str">
        <f>"BOSTON"</f>
        <v>BOSTON</v>
      </c>
      <c r="BA1138" t="str">
        <f>"MA"</f>
        <v>MA</v>
      </c>
      <c r="BB1138" s="3">
        <v>2110</v>
      </c>
      <c r="BC1138" t="str">
        <f t="shared" si="89"/>
        <v>UNITED STATES OF AMERICA</v>
      </c>
      <c r="BD1138" t="str">
        <f>""</f>
        <v/>
      </c>
      <c r="BE1138" t="str">
        <f>"+16175740400"</f>
        <v>+16175740400</v>
      </c>
      <c r="BF1138" t="str">
        <f>""</f>
        <v/>
      </c>
      <c r="BG1138" t="str">
        <f>"AMAZONINDIA@FRAGOMEN.COM"</f>
        <v>AMAZONINDIA@FRAGOMEN.COM</v>
      </c>
      <c r="BH1138" t="str">
        <f>"FRAGOMEN, DEL REY, BERNSEN &amp; LOEWY, LLP"</f>
        <v>FRAGOMEN, DEL REY, BERNSEN &amp; LOEWY, LLP</v>
      </c>
      <c r="BI1138" t="str">
        <f>"MA"</f>
        <v>MA</v>
      </c>
      <c r="BJ1138" t="str">
        <f>"SUPREME JUDICIAL COURT"</f>
        <v>SUPREME JUDICIAL COURT</v>
      </c>
      <c r="BK1138">
        <v>1</v>
      </c>
      <c r="BL1138" t="s">
        <v>102</v>
      </c>
      <c r="BM1138" t="str">
        <f>""</f>
        <v/>
      </c>
      <c r="BN1138" t="s">
        <v>5199</v>
      </c>
      <c r="BO1138" t="s">
        <v>3621</v>
      </c>
      <c r="BP1138" t="s">
        <v>189</v>
      </c>
      <c r="BQ1138" t="s">
        <v>189</v>
      </c>
      <c r="BR1138" t="s">
        <v>190</v>
      </c>
      <c r="BS1138" s="5">
        <v>10001</v>
      </c>
      <c r="BT1138" s="2">
        <v>128092</v>
      </c>
      <c r="BV1138" t="s">
        <v>105</v>
      </c>
      <c r="BW1138" s="2">
        <v>67766</v>
      </c>
      <c r="BX1138" t="s">
        <v>105</v>
      </c>
      <c r="BZ1138" t="s">
        <v>167</v>
      </c>
      <c r="CA1138" t="str">
        <f t="shared" si="90"/>
        <v>7/1/2020 - 6/30/2021</v>
      </c>
      <c r="CF1138">
        <v>1</v>
      </c>
      <c r="CG1138" t="s">
        <v>98</v>
      </c>
      <c r="CH1138" t="s">
        <v>206</v>
      </c>
      <c r="CI1138" t="s">
        <v>206</v>
      </c>
      <c r="CL1138" t="s">
        <v>108</v>
      </c>
      <c r="CM1138" t="s">
        <v>109</v>
      </c>
      <c r="CN1138" t="str">
        <f>"SUNNY"</f>
        <v>SUNNY</v>
      </c>
      <c r="CO1138" t="str">
        <f>"JASMIN"</f>
        <v>JASMIN</v>
      </c>
      <c r="CP1138" t="str">
        <f>"N/A"</f>
        <v>N/A</v>
      </c>
      <c r="CQ1138" t="str">
        <f>"FRAGOMEN, DEL REY, BERNSEN &amp; LOEWY, LLP"</f>
        <v>FRAGOMEN, DEL REY, BERNSEN &amp; LOEWY, LLP</v>
      </c>
      <c r="CR1138" t="s">
        <v>650</v>
      </c>
    </row>
    <row r="1139" spans="1:96" x14ac:dyDescent="0.2">
      <c r="A1139" t="s">
        <v>11490</v>
      </c>
      <c r="B1139" t="s">
        <v>96</v>
      </c>
      <c r="C1139" s="1">
        <v>44098</v>
      </c>
      <c r="D1139" s="1">
        <v>44105</v>
      </c>
      <c r="F1139" t="s">
        <v>97</v>
      </c>
      <c r="G1139" t="str">
        <f>"Software Developer"</f>
        <v>Software Developer</v>
      </c>
      <c r="H1139" t="s">
        <v>12169</v>
      </c>
      <c r="I1139" t="s">
        <v>124</v>
      </c>
      <c r="J1139" t="s">
        <v>98</v>
      </c>
      <c r="K1139" s="1">
        <v>44119</v>
      </c>
      <c r="L1139" s="1">
        <v>45213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1522</v>
      </c>
      <c r="U1139" t="str">
        <f>""</f>
        <v/>
      </c>
      <c r="V1139" t="s">
        <v>1281</v>
      </c>
      <c r="W1139" t="str">
        <f>""</f>
        <v/>
      </c>
      <c r="X1139" t="s">
        <v>538</v>
      </c>
      <c r="Y1139" t="s">
        <v>135</v>
      </c>
      <c r="Z1139" s="3">
        <v>22030</v>
      </c>
      <c r="AA1139" t="s">
        <v>101</v>
      </c>
      <c r="AC1139" s="4" t="str">
        <f>"+17032678000"</f>
        <v>+17032678000</v>
      </c>
      <c r="AD1139">
        <v>0</v>
      </c>
      <c r="AE1139" t="str">
        <f>"541512"</f>
        <v>541512</v>
      </c>
      <c r="AF1139" t="s">
        <v>1282</v>
      </c>
      <c r="AG1139" t="s">
        <v>1283</v>
      </c>
      <c r="AI1139" t="s">
        <v>1284</v>
      </c>
      <c r="AJ1139" t="s">
        <v>1281</v>
      </c>
      <c r="AK1139" t="str">
        <f>""</f>
        <v/>
      </c>
      <c r="AL1139" t="s">
        <v>538</v>
      </c>
      <c r="AM1139" t="s">
        <v>135</v>
      </c>
      <c r="AN1139" s="3">
        <v>22030</v>
      </c>
      <c r="AO1139" t="s">
        <v>101</v>
      </c>
      <c r="AQ1139" t="str">
        <f>"+17324282390"</f>
        <v>+17324282390</v>
      </c>
      <c r="AS1139" t="s">
        <v>1285</v>
      </c>
      <c r="AT1139" t="s">
        <v>107</v>
      </c>
      <c r="AU1139" t="str">
        <f>"SMITH"</f>
        <v>SMITH</v>
      </c>
      <c r="AV1139" t="str">
        <f>"MICHAEL"</f>
        <v>MICHAEL</v>
      </c>
      <c r="AW1139" t="str">
        <f>"FRANCIS"</f>
        <v>FRANCIS</v>
      </c>
      <c r="AX1139" t="str">
        <f>"1101 15TH STREET, NW"</f>
        <v>1101 15TH STREET, NW</v>
      </c>
      <c r="AY1139" t="str">
        <f>"SUITE 700"</f>
        <v>SUITE 700</v>
      </c>
      <c r="AZ1139" t="str">
        <f>"WASHINGTON"</f>
        <v>WASHINGTON</v>
      </c>
      <c r="BA1139" t="str">
        <f>"DC"</f>
        <v>DC</v>
      </c>
      <c r="BB1139" s="3">
        <v>20005</v>
      </c>
      <c r="BC1139" t="str">
        <f t="shared" si="89"/>
        <v>UNITED STATES OF AMERICA</v>
      </c>
      <c r="BD1139" t="str">
        <f>""</f>
        <v/>
      </c>
      <c r="BE1139" t="str">
        <f>"+12022235515"</f>
        <v>+12022235515</v>
      </c>
      <c r="BF1139" t="str">
        <f>""</f>
        <v/>
      </c>
      <c r="BG1139" t="str">
        <f>" LCATeamPham@Fragomen.com"</f>
        <v xml:space="preserve"> LCATeamPham@Fragomen.com</v>
      </c>
      <c r="BH1139" t="str">
        <f>"Fragomen, Del Rey, Bernsen &amp; Loewy, LLP"</f>
        <v>Fragomen, Del Rey, Bernsen &amp; Loewy, LLP</v>
      </c>
      <c r="BI1139" t="str">
        <f>"DC"</f>
        <v>DC</v>
      </c>
      <c r="BJ1139" t="str">
        <f>"DISTRICT OF COLUMBIA COURT OF APPEALS"</f>
        <v>DISTRICT OF COLUMBIA COURT OF APPEALS</v>
      </c>
      <c r="BK1139">
        <v>1</v>
      </c>
      <c r="BL1139" t="s">
        <v>102</v>
      </c>
      <c r="BM1139" t="str">
        <f>""</f>
        <v/>
      </c>
      <c r="BN1139" t="s">
        <v>11491</v>
      </c>
      <c r="BP1139" t="s">
        <v>7443</v>
      </c>
      <c r="BQ1139" t="s">
        <v>2210</v>
      </c>
      <c r="BR1139" t="s">
        <v>190</v>
      </c>
      <c r="BS1139" s="5">
        <v>12065</v>
      </c>
      <c r="BT1139" s="2">
        <v>82500</v>
      </c>
      <c r="BV1139" t="s">
        <v>105</v>
      </c>
      <c r="BW1139" s="2">
        <v>79643</v>
      </c>
      <c r="BX1139" t="s">
        <v>105</v>
      </c>
      <c r="BZ1139" t="s">
        <v>167</v>
      </c>
      <c r="CA1139" t="str">
        <f t="shared" si="90"/>
        <v>7/1/2020 - 6/30/2021</v>
      </c>
      <c r="CF1139">
        <v>1</v>
      </c>
      <c r="CG1139" t="s">
        <v>98</v>
      </c>
      <c r="CH1139" t="s">
        <v>206</v>
      </c>
      <c r="CI1139" t="s">
        <v>206</v>
      </c>
      <c r="CL1139" t="s">
        <v>108</v>
      </c>
      <c r="CM1139" t="s">
        <v>109</v>
      </c>
      <c r="CN1139" t="str">
        <f>"ALI"</f>
        <v>ALI</v>
      </c>
      <c r="CO1139" t="str">
        <f>"ADAM"</f>
        <v>ADAM</v>
      </c>
      <c r="CP1139" t="str">
        <f>"P "</f>
        <v xml:space="preserve">P </v>
      </c>
      <c r="CQ1139" t="str">
        <f>"Fragomen, Del Rey, Bernsen &amp; Loewy, LLP"</f>
        <v>Fragomen, Del Rey, Bernsen &amp; Loewy, LLP</v>
      </c>
      <c r="CR1139" t="s">
        <v>4452</v>
      </c>
    </row>
    <row r="1140" spans="1:96" x14ac:dyDescent="0.2">
      <c r="A1140" t="s">
        <v>11499</v>
      </c>
      <c r="B1140" t="s">
        <v>96</v>
      </c>
      <c r="C1140" s="1">
        <v>44098</v>
      </c>
      <c r="D1140" s="1">
        <v>44105</v>
      </c>
      <c r="F1140" t="s">
        <v>97</v>
      </c>
      <c r="G1140" t="str">
        <f>"Data Engineer"</f>
        <v>Data Engineer</v>
      </c>
      <c r="H1140" t="s">
        <v>12182</v>
      </c>
      <c r="I1140" t="s">
        <v>168</v>
      </c>
      <c r="J1140" t="s">
        <v>98</v>
      </c>
      <c r="K1140" s="1">
        <v>44123</v>
      </c>
      <c r="L1140" s="1">
        <v>45217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 t="s">
        <v>4857</v>
      </c>
      <c r="U1140" t="str">
        <f>""</f>
        <v/>
      </c>
      <c r="V1140" t="s">
        <v>4858</v>
      </c>
      <c r="W1140" t="str">
        <f>"N/A"</f>
        <v>N/A</v>
      </c>
      <c r="X1140" t="s">
        <v>1741</v>
      </c>
      <c r="Y1140" t="s">
        <v>171</v>
      </c>
      <c r="Z1140" s="3" t="s">
        <v>12298</v>
      </c>
      <c r="AA1140" t="s">
        <v>101</v>
      </c>
      <c r="AC1140" s="4" t="str">
        <f>"+17819372665"</f>
        <v>+17819372665</v>
      </c>
      <c r="AE1140" t="str">
        <f>"334413"</f>
        <v>334413</v>
      </c>
      <c r="AF1140" t="s">
        <v>4859</v>
      </c>
      <c r="AG1140" t="s">
        <v>4860</v>
      </c>
      <c r="AH1140" t="s">
        <v>4861</v>
      </c>
      <c r="AI1140" t="s">
        <v>4862</v>
      </c>
      <c r="AJ1140" t="s">
        <v>4863</v>
      </c>
      <c r="AK1140" t="str">
        <f>""</f>
        <v/>
      </c>
      <c r="AL1140" t="s">
        <v>1741</v>
      </c>
      <c r="AM1140" t="s">
        <v>171</v>
      </c>
      <c r="AN1140" s="3" t="s">
        <v>12298</v>
      </c>
      <c r="AO1140" t="s">
        <v>101</v>
      </c>
      <c r="AQ1140" t="str">
        <f>"+17819372665"</f>
        <v>+17819372665</v>
      </c>
      <c r="AS1140" t="s">
        <v>4864</v>
      </c>
      <c r="AT1140" t="s">
        <v>107</v>
      </c>
      <c r="AU1140" t="str">
        <f>"Hayes"</f>
        <v>Hayes</v>
      </c>
      <c r="AV1140" t="str">
        <f>"Kelli"</f>
        <v>Kelli</v>
      </c>
      <c r="AW1140" t="str">
        <f>"L"</f>
        <v>L</v>
      </c>
      <c r="AX1140" t="str">
        <f>"191 W Nationwide Blvd"</f>
        <v>191 W Nationwide Blvd</v>
      </c>
      <c r="AY1140" t="str">
        <f>"Suite 300"</f>
        <v>Suite 300</v>
      </c>
      <c r="AZ1140" t="str">
        <f>"Columbus"</f>
        <v>Columbus</v>
      </c>
      <c r="BA1140" t="str">
        <f>"OH"</f>
        <v>OH</v>
      </c>
      <c r="BB1140" s="3">
        <v>43215</v>
      </c>
      <c r="BC1140" t="str">
        <f t="shared" si="89"/>
        <v>UNITED STATES OF AMERICA</v>
      </c>
      <c r="BD1140" t="str">
        <f>""</f>
        <v/>
      </c>
      <c r="BE1140" t="str">
        <f>"+16142274264"</f>
        <v>+16142274264</v>
      </c>
      <c r="BF1140" t="str">
        <f>""</f>
        <v/>
      </c>
      <c r="BG1140" t="str">
        <f>"kelli.hayes@dinsmore.com"</f>
        <v>kelli.hayes@dinsmore.com</v>
      </c>
      <c r="BH1140" t="str">
        <f>"Dinsmore &amp; Shohl LLP"</f>
        <v>Dinsmore &amp; Shohl LLP</v>
      </c>
      <c r="BI1140" t="str">
        <f>"OH"</f>
        <v>OH</v>
      </c>
      <c r="BJ1140" t="str">
        <f>"Ohio Supreme Court"</f>
        <v>Ohio Supreme Court</v>
      </c>
      <c r="BK1140">
        <v>1</v>
      </c>
      <c r="BL1140" t="s">
        <v>102</v>
      </c>
      <c r="BM1140" t="str">
        <f>""</f>
        <v/>
      </c>
      <c r="BN1140" t="s">
        <v>4863</v>
      </c>
      <c r="BP1140" t="s">
        <v>1775</v>
      </c>
      <c r="BQ1140" t="s">
        <v>1741</v>
      </c>
      <c r="BR1140" t="s">
        <v>171</v>
      </c>
      <c r="BS1140" s="5">
        <v>1887</v>
      </c>
      <c r="BT1140" s="2">
        <v>100000</v>
      </c>
      <c r="BV1140" t="s">
        <v>105</v>
      </c>
      <c r="BW1140" s="2">
        <v>74381</v>
      </c>
      <c r="BX1140" t="s">
        <v>105</v>
      </c>
      <c r="BZ1140" t="s">
        <v>167</v>
      </c>
      <c r="CA1140" t="str">
        <f t="shared" si="90"/>
        <v>7/1/2020 - 6/30/2021</v>
      </c>
      <c r="CF1140">
        <v>1</v>
      </c>
      <c r="CG1140" t="s">
        <v>98</v>
      </c>
      <c r="CH1140" t="s">
        <v>206</v>
      </c>
      <c r="CI1140" t="s">
        <v>206</v>
      </c>
      <c r="CL1140" t="s">
        <v>108</v>
      </c>
      <c r="CM1140" t="s">
        <v>109</v>
      </c>
      <c r="CN1140" t="str">
        <f>""</f>
        <v/>
      </c>
      <c r="CO1140" t="str">
        <f>""</f>
        <v/>
      </c>
      <c r="CP1140" t="str">
        <f>""</f>
        <v/>
      </c>
      <c r="CQ1140" t="str">
        <f>""</f>
        <v/>
      </c>
    </row>
    <row r="1141" spans="1:96" x14ac:dyDescent="0.2">
      <c r="A1141" t="s">
        <v>11500</v>
      </c>
      <c r="B1141" t="s">
        <v>96</v>
      </c>
      <c r="C1141" s="1">
        <v>44098</v>
      </c>
      <c r="D1141" s="1">
        <v>44105</v>
      </c>
      <c r="F1141" t="s">
        <v>97</v>
      </c>
      <c r="G1141" t="str">
        <f>"Associate Director, Planning"</f>
        <v>Associate Director, Planning</v>
      </c>
      <c r="H1141" t="s">
        <v>12215</v>
      </c>
      <c r="I1141" t="s">
        <v>3248</v>
      </c>
      <c r="J1141" t="s">
        <v>98</v>
      </c>
      <c r="K1141" s="1">
        <v>44135</v>
      </c>
      <c r="L1141" s="1">
        <v>45229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 t="s">
        <v>918</v>
      </c>
      <c r="U1141" t="str">
        <f>""</f>
        <v/>
      </c>
      <c r="V1141" t="s">
        <v>919</v>
      </c>
      <c r="W1141" t="str">
        <f>"1427 E. 60th St Suite 251"</f>
        <v>1427 E. 60th St Suite 251</v>
      </c>
      <c r="X1141" t="s">
        <v>833</v>
      </c>
      <c r="Y1141" t="s">
        <v>345</v>
      </c>
      <c r="Z1141" s="3">
        <v>60637</v>
      </c>
      <c r="AA1141" t="s">
        <v>101</v>
      </c>
      <c r="AC1141" s="4" t="str">
        <f>"+17737027752"</f>
        <v>+17737027752</v>
      </c>
      <c r="AE1141" t="str">
        <f>"611310"</f>
        <v>611310</v>
      </c>
      <c r="AF1141" t="s">
        <v>7807</v>
      </c>
      <c r="AG1141" t="s">
        <v>2607</v>
      </c>
      <c r="AH1141" t="s">
        <v>1723</v>
      </c>
      <c r="AI1141" t="s">
        <v>7808</v>
      </c>
      <c r="AJ1141" t="s">
        <v>7809</v>
      </c>
      <c r="AK1141" t="str">
        <f>"1427 E. 60TH STREET SUITE 251"</f>
        <v>1427 E. 60TH STREET SUITE 251</v>
      </c>
      <c r="AL1141" t="s">
        <v>843</v>
      </c>
      <c r="AM1141" t="s">
        <v>345</v>
      </c>
      <c r="AN1141" s="3">
        <v>60637</v>
      </c>
      <c r="AO1141" t="s">
        <v>101</v>
      </c>
      <c r="AQ1141" t="str">
        <f>"+17737027752"</f>
        <v>+17737027752</v>
      </c>
      <c r="AS1141" t="s">
        <v>7810</v>
      </c>
      <c r="AT1141" t="s">
        <v>102</v>
      </c>
      <c r="AU1141" t="str">
        <f>""</f>
        <v/>
      </c>
      <c r="AV1141" t="str">
        <f>""</f>
        <v/>
      </c>
      <c r="AW1141" t="str">
        <f>""</f>
        <v/>
      </c>
      <c r="AX1141" t="str">
        <f>""</f>
        <v/>
      </c>
      <c r="AY1141" t="str">
        <f>""</f>
        <v/>
      </c>
      <c r="AZ1141" t="str">
        <f>""</f>
        <v/>
      </c>
      <c r="BA1141" t="str">
        <f>""</f>
        <v/>
      </c>
      <c r="BC1141" t="str">
        <f>""</f>
        <v/>
      </c>
      <c r="BD1141" t="str">
        <f>""</f>
        <v/>
      </c>
      <c r="BE1141" t="str">
        <f>""</f>
        <v/>
      </c>
      <c r="BF1141" t="str">
        <f>""</f>
        <v/>
      </c>
      <c r="BG1141" t="str">
        <f>""</f>
        <v/>
      </c>
      <c r="BH1141" t="str">
        <f>""</f>
        <v/>
      </c>
      <c r="BI1141" t="str">
        <f>""</f>
        <v/>
      </c>
      <c r="BJ1141" t="str">
        <f>""</f>
        <v/>
      </c>
      <c r="BK1141">
        <v>1</v>
      </c>
      <c r="BL1141" t="s">
        <v>102</v>
      </c>
      <c r="BM1141" t="str">
        <f>""</f>
        <v/>
      </c>
      <c r="BN1141" t="s">
        <v>918</v>
      </c>
      <c r="BO1141" t="s">
        <v>11501</v>
      </c>
      <c r="BP1141" t="s">
        <v>833</v>
      </c>
      <c r="BQ1141" t="s">
        <v>788</v>
      </c>
      <c r="BR1141" t="s">
        <v>345</v>
      </c>
      <c r="BS1141" s="5">
        <v>60615</v>
      </c>
      <c r="BT1141" s="2">
        <v>118102</v>
      </c>
      <c r="BV1141" t="s">
        <v>105</v>
      </c>
      <c r="BW1141" s="2">
        <v>118102</v>
      </c>
      <c r="BX1141" t="s">
        <v>105</v>
      </c>
      <c r="BZ1141" t="s">
        <v>159</v>
      </c>
      <c r="CA1141" t="str">
        <f t="shared" si="90"/>
        <v>7/1/2020 - 6/30/2021</v>
      </c>
      <c r="CF1141">
        <v>1</v>
      </c>
      <c r="CG1141" t="s">
        <v>98</v>
      </c>
      <c r="CH1141" t="s">
        <v>206</v>
      </c>
      <c r="CI1141" t="s">
        <v>206</v>
      </c>
      <c r="CL1141" t="s">
        <v>108</v>
      </c>
      <c r="CM1141" t="s">
        <v>109</v>
      </c>
      <c r="CN1141" t="str">
        <f>""</f>
        <v/>
      </c>
      <c r="CO1141" t="str">
        <f>""</f>
        <v/>
      </c>
      <c r="CP1141" t="str">
        <f>""</f>
        <v/>
      </c>
      <c r="CQ1141" t="str">
        <f>""</f>
        <v/>
      </c>
    </row>
    <row r="1142" spans="1:96" x14ac:dyDescent="0.2">
      <c r="A1142" t="s">
        <v>11503</v>
      </c>
      <c r="B1142" t="s">
        <v>96</v>
      </c>
      <c r="C1142" s="1">
        <v>44098</v>
      </c>
      <c r="D1142" s="1">
        <v>44105</v>
      </c>
      <c r="F1142" t="s">
        <v>97</v>
      </c>
      <c r="G1142" t="str">
        <f>"Senior Software Engineer "</f>
        <v xml:space="preserve">Senior Software Engineer </v>
      </c>
      <c r="H1142" t="s">
        <v>12169</v>
      </c>
      <c r="I1142" t="s">
        <v>124</v>
      </c>
      <c r="J1142" t="s">
        <v>98</v>
      </c>
      <c r="K1142" s="1">
        <v>44123</v>
      </c>
      <c r="L1142" s="1">
        <v>45217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4714</v>
      </c>
      <c r="U1142" t="str">
        <f>""</f>
        <v/>
      </c>
      <c r="V1142" t="s">
        <v>4715</v>
      </c>
      <c r="W1142" t="str">
        <f>""</f>
        <v/>
      </c>
      <c r="X1142" t="s">
        <v>1068</v>
      </c>
      <c r="Y1142" t="s">
        <v>857</v>
      </c>
      <c r="Z1142" s="3">
        <v>2919</v>
      </c>
      <c r="AA1142" t="s">
        <v>101</v>
      </c>
      <c r="AC1142" s="4" t="str">
        <f>"+14012602339"</f>
        <v>+14012602339</v>
      </c>
      <c r="AE1142" t="str">
        <f>"551111"</f>
        <v>551111</v>
      </c>
      <c r="AF1142" t="s">
        <v>5070</v>
      </c>
      <c r="AG1142" t="s">
        <v>3507</v>
      </c>
      <c r="AH1142" t="s">
        <v>1435</v>
      </c>
      <c r="AI1142" t="s">
        <v>10860</v>
      </c>
      <c r="AJ1142" t="s">
        <v>4715</v>
      </c>
      <c r="AK1142" t="str">
        <f>""</f>
        <v/>
      </c>
      <c r="AL1142" t="s">
        <v>1068</v>
      </c>
      <c r="AM1142" t="s">
        <v>857</v>
      </c>
      <c r="AN1142" s="3">
        <v>2919</v>
      </c>
      <c r="AO1142" t="s">
        <v>101</v>
      </c>
      <c r="AQ1142" t="str">
        <f>"+14012602339"</f>
        <v>+14012602339</v>
      </c>
      <c r="AS1142" t="s">
        <v>4718</v>
      </c>
      <c r="AT1142" t="s">
        <v>107</v>
      </c>
      <c r="AU1142" t="str">
        <f>"O'Connor"</f>
        <v>O'Connor</v>
      </c>
      <c r="AV1142" t="str">
        <f>"Megan"</f>
        <v>Megan</v>
      </c>
      <c r="AW1142" t="str">
        <f>"N/A"</f>
        <v>N/A</v>
      </c>
      <c r="AX1142" t="str">
        <f>"665 Fifth Avenue"</f>
        <v>665 Fifth Avenue</v>
      </c>
      <c r="AY1142" t="str">
        <f>""</f>
        <v/>
      </c>
      <c r="AZ1142" t="str">
        <f>"New York"</f>
        <v>New York</v>
      </c>
      <c r="BA1142" t="str">
        <f>"NY"</f>
        <v>NY</v>
      </c>
      <c r="BB1142" s="3">
        <v>10022</v>
      </c>
      <c r="BC1142" t="str">
        <f>"UNITED STATES OF AMERICA"</f>
        <v>UNITED STATES OF AMERICA</v>
      </c>
      <c r="BD1142" t="str">
        <f>""</f>
        <v/>
      </c>
      <c r="BE1142" t="str">
        <f>"+12126885151"</f>
        <v>+12126885151</v>
      </c>
      <c r="BF1142" t="str">
        <f>""</f>
        <v/>
      </c>
      <c r="BG1142" t="str">
        <f>"adelgado@gibney.com"</f>
        <v>adelgado@gibney.com</v>
      </c>
      <c r="BH1142" t="str">
        <f>"Gibney, Anthony &amp; Flaherty LLP"</f>
        <v>Gibney, Anthony &amp; Flaherty LLP</v>
      </c>
      <c r="BI1142" t="str">
        <f>"NY"</f>
        <v>NY</v>
      </c>
      <c r="BJ1142" t="str">
        <f>"Court of Appeals"</f>
        <v>Court of Appeals</v>
      </c>
      <c r="BK1142">
        <v>1</v>
      </c>
      <c r="BL1142" t="s">
        <v>102</v>
      </c>
      <c r="BM1142" t="str">
        <f>""</f>
        <v/>
      </c>
      <c r="BN1142" t="s">
        <v>4715</v>
      </c>
      <c r="BP1142" t="s">
        <v>1068</v>
      </c>
      <c r="BQ1142" t="s">
        <v>1070</v>
      </c>
      <c r="BR1142" t="s">
        <v>857</v>
      </c>
      <c r="BS1142" s="5">
        <v>2919</v>
      </c>
      <c r="BT1142" s="2">
        <v>126672</v>
      </c>
      <c r="BU1142" s="2">
        <v>145000</v>
      </c>
      <c r="BV1142" t="s">
        <v>105</v>
      </c>
      <c r="BW1142" s="2">
        <v>126672</v>
      </c>
      <c r="BX1142" t="s">
        <v>105</v>
      </c>
      <c r="BZ1142" t="s">
        <v>159</v>
      </c>
      <c r="CA1142" t="str">
        <f t="shared" si="90"/>
        <v>7/1/2020 - 6/30/2021</v>
      </c>
      <c r="CF1142">
        <v>2</v>
      </c>
      <c r="CG1142" t="s">
        <v>98</v>
      </c>
      <c r="CH1142" t="s">
        <v>206</v>
      </c>
      <c r="CI1142" t="s">
        <v>206</v>
      </c>
      <c r="CL1142" t="s">
        <v>108</v>
      </c>
      <c r="CM1142" t="s">
        <v>109</v>
      </c>
      <c r="CN1142" t="str">
        <f>"Delgado (761)"</f>
        <v>Delgado (761)</v>
      </c>
      <c r="CO1142" t="str">
        <f>"Alexa"</f>
        <v>Alexa</v>
      </c>
      <c r="CP1142" t="str">
        <f>"G"</f>
        <v>G</v>
      </c>
      <c r="CQ1142" t="str">
        <f>"Gibney, Anthony, &amp; Flaherty LLP"</f>
        <v>Gibney, Anthony, &amp; Flaherty LLP</v>
      </c>
      <c r="CR1142" t="s">
        <v>4719</v>
      </c>
    </row>
    <row r="1143" spans="1:96" x14ac:dyDescent="0.2">
      <c r="A1143" t="s">
        <v>11504</v>
      </c>
      <c r="B1143" t="s">
        <v>96</v>
      </c>
      <c r="C1143" s="1">
        <v>44098</v>
      </c>
      <c r="D1143" s="1">
        <v>44105</v>
      </c>
      <c r="F1143" t="s">
        <v>97</v>
      </c>
      <c r="G1143" t="str">
        <f>"Analyst"</f>
        <v>Analyst</v>
      </c>
      <c r="H1143" t="s">
        <v>12220</v>
      </c>
      <c r="I1143" t="s">
        <v>963</v>
      </c>
      <c r="J1143" t="s">
        <v>98</v>
      </c>
      <c r="K1143" s="1">
        <v>44105</v>
      </c>
      <c r="L1143" s="1">
        <v>45199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2366</v>
      </c>
      <c r="U1143" t="str">
        <f>""</f>
        <v/>
      </c>
      <c r="V1143" t="s">
        <v>1205</v>
      </c>
      <c r="W1143" t="str">
        <f>""</f>
        <v/>
      </c>
      <c r="X1143" t="s">
        <v>1206</v>
      </c>
      <c r="Y1143" t="s">
        <v>100</v>
      </c>
      <c r="Z1143" s="3">
        <v>7302</v>
      </c>
      <c r="AA1143" t="s">
        <v>101</v>
      </c>
      <c r="AC1143" s="4" t="str">
        <f>"+12129021000"</f>
        <v>+12129021000</v>
      </c>
      <c r="AE1143" t="str">
        <f>"523110"</f>
        <v>523110</v>
      </c>
      <c r="AF1143" t="s">
        <v>1207</v>
      </c>
      <c r="AG1143" t="s">
        <v>1208</v>
      </c>
      <c r="AH1143" t="s">
        <v>2367</v>
      </c>
      <c r="AI1143" t="s">
        <v>1210</v>
      </c>
      <c r="AJ1143" t="s">
        <v>1205</v>
      </c>
      <c r="AK1143" t="str">
        <f>""</f>
        <v/>
      </c>
      <c r="AL1143" t="s">
        <v>1206</v>
      </c>
      <c r="AM1143" t="s">
        <v>100</v>
      </c>
      <c r="AN1143" s="3">
        <v>7302</v>
      </c>
      <c r="AO1143" t="s">
        <v>101</v>
      </c>
      <c r="AQ1143" t="str">
        <f>"+12129021000"</f>
        <v>+12129021000</v>
      </c>
      <c r="AS1143" t="s">
        <v>1211</v>
      </c>
      <c r="AT1143" t="s">
        <v>107</v>
      </c>
      <c r="AU1143" t="str">
        <f>"GABER"</f>
        <v>GABER</v>
      </c>
      <c r="AV1143" t="str">
        <f>"SUZY"</f>
        <v>SUZY</v>
      </c>
      <c r="AW1143" t="str">
        <f>"SAMI"</f>
        <v>SAMI</v>
      </c>
      <c r="AX1143" t="str">
        <f>"1400 BROADWAY"</f>
        <v>1400 BROADWAY</v>
      </c>
      <c r="AY1143" t="str">
        <f>""</f>
        <v/>
      </c>
      <c r="AZ1143" t="str">
        <f>"NEW YORK"</f>
        <v>NEW YORK</v>
      </c>
      <c r="BA1143" t="str">
        <f>"NY"</f>
        <v>NY</v>
      </c>
      <c r="BB1143" s="3">
        <v>10018</v>
      </c>
      <c r="BC1143" t="str">
        <f>"UNITED STATES OF AMERICA"</f>
        <v>UNITED STATES OF AMERICA</v>
      </c>
      <c r="BD1143" t="str">
        <f>""</f>
        <v/>
      </c>
      <c r="BE1143" t="str">
        <f>"+12126888555"</f>
        <v>+12126888555</v>
      </c>
      <c r="BF1143" t="str">
        <f>""</f>
        <v/>
      </c>
      <c r="BG1143" t="str">
        <f>"MHOXHA@FRAGOMEN.COM"</f>
        <v>MHOXHA@FRAGOMEN.COM</v>
      </c>
      <c r="BH1143" t="str">
        <f>"Fragomen, Del Rey, Bernsen &amp; Loewy, LLP"</f>
        <v>Fragomen, Del Rey, Bernsen &amp; Loewy, LLP</v>
      </c>
      <c r="BI1143" t="str">
        <f>"NY"</f>
        <v>NY</v>
      </c>
      <c r="BJ1143" t="str">
        <f>"COURT OF APPEALS"</f>
        <v>COURT OF APPEALS</v>
      </c>
      <c r="BK1143">
        <v>1</v>
      </c>
      <c r="BL1143" t="s">
        <v>102</v>
      </c>
      <c r="BM1143" t="str">
        <f>""</f>
        <v/>
      </c>
      <c r="BN1143" t="s">
        <v>2368</v>
      </c>
      <c r="BP1143" t="s">
        <v>277</v>
      </c>
      <c r="BQ1143" t="s">
        <v>189</v>
      </c>
      <c r="BR1143" t="s">
        <v>190</v>
      </c>
      <c r="BS1143" s="5">
        <v>10282</v>
      </c>
      <c r="BT1143" s="2">
        <v>85000</v>
      </c>
      <c r="BV1143" t="s">
        <v>105</v>
      </c>
      <c r="BW1143" s="2">
        <v>72363</v>
      </c>
      <c r="BX1143" t="s">
        <v>105</v>
      </c>
      <c r="BZ1143" t="s">
        <v>191</v>
      </c>
      <c r="CA1143" t="str">
        <f t="shared" si="90"/>
        <v>7/1/2020 - 6/30/2021</v>
      </c>
      <c r="CF1143">
        <v>1</v>
      </c>
      <c r="CG1143" t="s">
        <v>98</v>
      </c>
      <c r="CH1143" t="s">
        <v>206</v>
      </c>
      <c r="CI1143" t="s">
        <v>206</v>
      </c>
      <c r="CL1143" t="s">
        <v>108</v>
      </c>
      <c r="CM1143" t="s">
        <v>109</v>
      </c>
      <c r="CN1143" t="str">
        <f>"HOXHA"</f>
        <v>HOXHA</v>
      </c>
      <c r="CO1143" t="str">
        <f>"MAILINDA"</f>
        <v>MAILINDA</v>
      </c>
      <c r="CP1143" t="str">
        <f>""</f>
        <v/>
      </c>
      <c r="CQ1143" t="str">
        <f>"FRAGOMEN, DEL REY, BERNSEN &amp; LOEWY, LLP"</f>
        <v>FRAGOMEN, DEL REY, BERNSEN &amp; LOEWY, LLP</v>
      </c>
      <c r="CR1143" t="s">
        <v>7349</v>
      </c>
    </row>
    <row r="1144" spans="1:96" x14ac:dyDescent="0.2">
      <c r="A1144" t="s">
        <v>11505</v>
      </c>
      <c r="B1144" t="s">
        <v>96</v>
      </c>
      <c r="C1144" s="1">
        <v>44098</v>
      </c>
      <c r="D1144" s="1">
        <v>44105</v>
      </c>
      <c r="F1144" t="s">
        <v>97</v>
      </c>
      <c r="G1144" t="str">
        <f>"Sales Analytics Manager"</f>
        <v>Sales Analytics Manager</v>
      </c>
      <c r="H1144" t="s">
        <v>12214</v>
      </c>
      <c r="I1144" t="s">
        <v>276</v>
      </c>
      <c r="J1144" t="s">
        <v>98</v>
      </c>
      <c r="K1144" s="1">
        <v>44176</v>
      </c>
      <c r="L1144" s="1">
        <v>44577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 t="s">
        <v>1618</v>
      </c>
      <c r="U1144" t="str">
        <f>""</f>
        <v/>
      </c>
      <c r="V1144" t="s">
        <v>1619</v>
      </c>
      <c r="W1144" t="str">
        <f>""</f>
        <v/>
      </c>
      <c r="X1144" t="s">
        <v>1620</v>
      </c>
      <c r="Y1144" t="s">
        <v>190</v>
      </c>
      <c r="Z1144" s="3">
        <v>11716</v>
      </c>
      <c r="AA1144" t="s">
        <v>101</v>
      </c>
      <c r="AC1144" s="4" t="str">
        <f>"+16312544249"</f>
        <v>+16312544249</v>
      </c>
      <c r="AE1144" t="str">
        <f>"3254"</f>
        <v>3254</v>
      </c>
      <c r="AF1144" t="s">
        <v>1621</v>
      </c>
      <c r="AG1144" t="s">
        <v>954</v>
      </c>
      <c r="AI1144" t="s">
        <v>1622</v>
      </c>
      <c r="AJ1144" t="s">
        <v>1619</v>
      </c>
      <c r="AK1144" t="str">
        <f>""</f>
        <v/>
      </c>
      <c r="AL1144" t="s">
        <v>1620</v>
      </c>
      <c r="AM1144" t="s">
        <v>190</v>
      </c>
      <c r="AN1144" s="3">
        <v>11716</v>
      </c>
      <c r="AO1144" t="s">
        <v>101</v>
      </c>
      <c r="AQ1144" t="str">
        <f>"+16312544249"</f>
        <v>+16312544249</v>
      </c>
      <c r="AS1144" t="s">
        <v>1623</v>
      </c>
      <c r="AT1144" t="s">
        <v>107</v>
      </c>
      <c r="AU1144" t="str">
        <f>"Apfel"</f>
        <v>Apfel</v>
      </c>
      <c r="AV1144" t="str">
        <f>"Christina"</f>
        <v>Christina</v>
      </c>
      <c r="AW1144" t="str">
        <f>"A."</f>
        <v>A.</v>
      </c>
      <c r="AX1144" t="str">
        <f>"1272 Main Street"</f>
        <v>1272 Main Street</v>
      </c>
      <c r="AY1144" t="str">
        <f>"Suite 3"</f>
        <v>Suite 3</v>
      </c>
      <c r="AZ1144" t="str">
        <f>"Hanson"</f>
        <v>Hanson</v>
      </c>
      <c r="BA1144" t="str">
        <f>"MA"</f>
        <v>MA</v>
      </c>
      <c r="BB1144" s="3">
        <v>2341</v>
      </c>
      <c r="BC1144" t="str">
        <f>"UNITED STATES OF AMERICA"</f>
        <v>UNITED STATES OF AMERICA</v>
      </c>
      <c r="BD1144" t="str">
        <f>""</f>
        <v/>
      </c>
      <c r="BE1144" t="str">
        <f>"+17813335366"</f>
        <v>+17813335366</v>
      </c>
      <c r="BF1144" t="str">
        <f>""</f>
        <v/>
      </c>
      <c r="BG1144" t="str">
        <f>"christina@apfellaw.com"</f>
        <v>christina@apfellaw.com</v>
      </c>
      <c r="BH1144" t="str">
        <f>"Law Office of Christina A. Apfel"</f>
        <v>Law Office of Christina A. Apfel</v>
      </c>
      <c r="BI1144" t="str">
        <f>"CT"</f>
        <v>CT</v>
      </c>
      <c r="BJ1144" t="str">
        <f>"Superior Court"</f>
        <v>Superior Court</v>
      </c>
      <c r="BK1144">
        <v>1</v>
      </c>
      <c r="BL1144" t="s">
        <v>102</v>
      </c>
      <c r="BM1144" t="str">
        <f>""</f>
        <v/>
      </c>
      <c r="BN1144" t="s">
        <v>11506</v>
      </c>
      <c r="BP1144" t="s">
        <v>2047</v>
      </c>
      <c r="BQ1144" t="s">
        <v>2050</v>
      </c>
      <c r="BR1144" t="s">
        <v>265</v>
      </c>
      <c r="BS1144" s="5">
        <v>48108</v>
      </c>
      <c r="BT1144" s="2">
        <v>133900</v>
      </c>
      <c r="BV1144" t="s">
        <v>105</v>
      </c>
      <c r="BW1144" s="2">
        <v>109034</v>
      </c>
      <c r="BX1144" t="s">
        <v>105</v>
      </c>
      <c r="BZ1144" t="s">
        <v>159</v>
      </c>
      <c r="CA1144" t="str">
        <f t="shared" si="90"/>
        <v>7/1/2020 - 6/30/2021</v>
      </c>
      <c r="CF1144">
        <v>4</v>
      </c>
      <c r="CG1144" t="s">
        <v>98</v>
      </c>
      <c r="CH1144" t="s">
        <v>206</v>
      </c>
      <c r="CI1144" t="s">
        <v>206</v>
      </c>
      <c r="CL1144" t="s">
        <v>108</v>
      </c>
      <c r="CM1144" t="s">
        <v>109</v>
      </c>
      <c r="CN1144" t="str">
        <f>"Apfel"</f>
        <v>Apfel</v>
      </c>
      <c r="CO1144" t="str">
        <f>"Christina"</f>
        <v>Christina</v>
      </c>
      <c r="CP1144" t="str">
        <f>"A."</f>
        <v>A.</v>
      </c>
      <c r="CQ1144" t="str">
        <f>"Law Office of Christina A. Apfel"</f>
        <v>Law Office of Christina A. Apfel</v>
      </c>
      <c r="CR1144" t="s">
        <v>1625</v>
      </c>
    </row>
    <row r="1145" spans="1:96" x14ac:dyDescent="0.2">
      <c r="A1145" t="s">
        <v>11507</v>
      </c>
      <c r="B1145" t="s">
        <v>96</v>
      </c>
      <c r="C1145" s="1">
        <v>44098</v>
      </c>
      <c r="D1145" s="1">
        <v>44105</v>
      </c>
      <c r="F1145" t="s">
        <v>97</v>
      </c>
      <c r="G1145" t="str">
        <f>"Senior Professional Service Delivery Coordinator "</f>
        <v xml:space="preserve">Senior Professional Service Delivery Coordinator </v>
      </c>
      <c r="H1145" t="s">
        <v>12168</v>
      </c>
      <c r="I1145" t="s">
        <v>160</v>
      </c>
      <c r="J1145" t="s">
        <v>98</v>
      </c>
      <c r="K1145" s="1">
        <v>44109</v>
      </c>
      <c r="L1145" s="1">
        <v>45203</v>
      </c>
      <c r="M1145">
        <v>24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 t="s">
        <v>7004</v>
      </c>
      <c r="U1145" t="str">
        <f>""</f>
        <v/>
      </c>
      <c r="V1145" t="s">
        <v>7005</v>
      </c>
      <c r="W1145" t="str">
        <f>"Suite 300"</f>
        <v>Suite 300</v>
      </c>
      <c r="X1145" t="s">
        <v>761</v>
      </c>
      <c r="Y1145" t="s">
        <v>114</v>
      </c>
      <c r="Z1145" s="3">
        <v>75080</v>
      </c>
      <c r="AA1145" t="s">
        <v>101</v>
      </c>
      <c r="AC1145" s="4" t="str">
        <f>"+14698083070"</f>
        <v>+14698083070</v>
      </c>
      <c r="AE1145" t="str">
        <f>"541511"</f>
        <v>541511</v>
      </c>
      <c r="AF1145" t="s">
        <v>926</v>
      </c>
      <c r="AG1145" t="s">
        <v>927</v>
      </c>
      <c r="AI1145" t="s">
        <v>928</v>
      </c>
      <c r="AJ1145" t="s">
        <v>929</v>
      </c>
      <c r="AK1145" t="str">
        <f>"3rd floor"</f>
        <v>3rd floor</v>
      </c>
      <c r="AL1145" t="s">
        <v>761</v>
      </c>
      <c r="AM1145" t="s">
        <v>114</v>
      </c>
      <c r="AN1145" s="3">
        <v>75080</v>
      </c>
      <c r="AO1145" t="s">
        <v>101</v>
      </c>
      <c r="AQ1145" t="str">
        <f>"+14698083070"</f>
        <v>+14698083070</v>
      </c>
      <c r="AS1145" t="s">
        <v>930</v>
      </c>
      <c r="AT1145" t="s">
        <v>107</v>
      </c>
      <c r="AU1145" t="str">
        <f>"Anstey "</f>
        <v xml:space="preserve">Anstey </v>
      </c>
      <c r="AV1145" t="str">
        <f>"Sarah"</f>
        <v>Sarah</v>
      </c>
      <c r="AW1145" t="str">
        <f>""</f>
        <v/>
      </c>
      <c r="AX1145" t="str">
        <f>"2121 Tasman Drive"</f>
        <v>2121 Tasman Drive</v>
      </c>
      <c r="AY1145" t="str">
        <f>""</f>
        <v/>
      </c>
      <c r="AZ1145" t="str">
        <f>"Santa Clara"</f>
        <v>Santa Clara</v>
      </c>
      <c r="BA1145" t="str">
        <f>"CA"</f>
        <v>CA</v>
      </c>
      <c r="BB1145" s="3">
        <v>95054</v>
      </c>
      <c r="BC1145" t="str">
        <f>"UNITED STATES OF AMERICA"</f>
        <v>UNITED STATES OF AMERICA</v>
      </c>
      <c r="BD1145" t="str">
        <f>""</f>
        <v/>
      </c>
      <c r="BE1145" t="str">
        <f>"+14089190600"</f>
        <v>+14089190600</v>
      </c>
      <c r="BF1145" t="str">
        <f>""</f>
        <v/>
      </c>
      <c r="BG1145" t="str">
        <f>"DXCTechnology@fragomen.com"</f>
        <v>DXCTechnology@fragomen.com</v>
      </c>
      <c r="BH1145" t="str">
        <f>"Fragomen, Del Rey, Bernsen &amp; Loewy, LLP"</f>
        <v>Fragomen, Del Rey, Bernsen &amp; Loewy, LLP</v>
      </c>
      <c r="BI1145" t="str">
        <f>"NY"</f>
        <v>NY</v>
      </c>
      <c r="BJ1145" t="str">
        <f>"Appellate Division, First Department"</f>
        <v>Appellate Division, First Department</v>
      </c>
      <c r="BK1145">
        <v>24</v>
      </c>
      <c r="BL1145" t="s">
        <v>102</v>
      </c>
      <c r="BM1145" t="str">
        <f>""</f>
        <v/>
      </c>
      <c r="BN1145" t="s">
        <v>11508</v>
      </c>
      <c r="BP1145" t="s">
        <v>11509</v>
      </c>
      <c r="BQ1145" t="s">
        <v>783</v>
      </c>
      <c r="BR1145" t="s">
        <v>781</v>
      </c>
      <c r="BS1145" s="5">
        <v>70112</v>
      </c>
      <c r="BT1145" s="2">
        <v>105000</v>
      </c>
      <c r="BV1145" t="s">
        <v>105</v>
      </c>
      <c r="BW1145" s="2">
        <v>91562</v>
      </c>
      <c r="BX1145" t="s">
        <v>105</v>
      </c>
      <c r="BZ1145" t="s">
        <v>159</v>
      </c>
      <c r="CA1145" t="str">
        <f t="shared" si="90"/>
        <v>7/1/2020 - 6/30/2021</v>
      </c>
      <c r="CF1145">
        <v>2</v>
      </c>
      <c r="CG1145" t="s">
        <v>98</v>
      </c>
      <c r="CH1145" t="s">
        <v>206</v>
      </c>
      <c r="CI1145" t="s">
        <v>206</v>
      </c>
      <c r="CL1145" t="s">
        <v>108</v>
      </c>
      <c r="CM1145" t="s">
        <v>109</v>
      </c>
      <c r="CN1145" t="str">
        <f>"Halimi"</f>
        <v>Halimi</v>
      </c>
      <c r="CO1145" t="str">
        <f>"Madeha"</f>
        <v>Madeha</v>
      </c>
      <c r="CP1145" t="str">
        <f>""</f>
        <v/>
      </c>
      <c r="CQ1145" t="str">
        <f>"Fragomen, Del Rey, Bernsen &amp; Loewy, LLP"</f>
        <v>Fragomen, Del Rey, Bernsen &amp; Loewy, LLP</v>
      </c>
      <c r="CR1145" t="s">
        <v>4814</v>
      </c>
    </row>
    <row r="1146" spans="1:96" x14ac:dyDescent="0.2">
      <c r="A1146" t="s">
        <v>11510</v>
      </c>
      <c r="B1146" t="s">
        <v>96</v>
      </c>
      <c r="C1146" s="1">
        <v>44098</v>
      </c>
      <c r="D1146" s="1">
        <v>44105</v>
      </c>
      <c r="F1146" t="s">
        <v>97</v>
      </c>
      <c r="G1146" t="str">
        <f>"SENIOR EXPERIENCE DESIGNER - MCKINSEY DESIGN"</f>
        <v>SENIOR EXPERIENCE DESIGNER - MCKINSEY DESIGN</v>
      </c>
      <c r="H1146" t="s">
        <v>12222</v>
      </c>
      <c r="I1146" t="s">
        <v>694</v>
      </c>
      <c r="J1146" t="s">
        <v>98</v>
      </c>
      <c r="K1146" s="1">
        <v>44105</v>
      </c>
      <c r="L1146" s="1">
        <v>45199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4423</v>
      </c>
      <c r="U1146" t="str">
        <f>""</f>
        <v/>
      </c>
      <c r="V1146" t="s">
        <v>4505</v>
      </c>
      <c r="W1146" t="str">
        <f>"FOURTH FLOOR"</f>
        <v>FOURTH FLOOR</v>
      </c>
      <c r="X1146" t="s">
        <v>189</v>
      </c>
      <c r="Y1146" t="s">
        <v>190</v>
      </c>
      <c r="Z1146" s="3">
        <v>10017</v>
      </c>
      <c r="AA1146" t="s">
        <v>101</v>
      </c>
      <c r="AC1146" s="4" t="str">
        <f>"+12124467000"</f>
        <v>+12124467000</v>
      </c>
      <c r="AE1146" t="str">
        <f>"54161"</f>
        <v>54161</v>
      </c>
      <c r="AF1146" t="s">
        <v>4506</v>
      </c>
      <c r="AG1146" t="s">
        <v>1804</v>
      </c>
      <c r="AI1146" t="s">
        <v>4425</v>
      </c>
      <c r="AJ1146" t="s">
        <v>4507</v>
      </c>
      <c r="AK1146" t="str">
        <f>"FOURTH FLOOR"</f>
        <v>FOURTH FLOOR</v>
      </c>
      <c r="AL1146" t="s">
        <v>189</v>
      </c>
      <c r="AM1146" t="s">
        <v>190</v>
      </c>
      <c r="AN1146" s="3">
        <v>10017</v>
      </c>
      <c r="AO1146" t="s">
        <v>101</v>
      </c>
      <c r="AQ1146" t="str">
        <f>"+12124151882"</f>
        <v>+12124151882</v>
      </c>
      <c r="AS1146" t="s">
        <v>4427</v>
      </c>
      <c r="AT1146" t="s">
        <v>107</v>
      </c>
      <c r="AU1146" t="str">
        <f>"WEINTRAUB"</f>
        <v>WEINTRAUB</v>
      </c>
      <c r="AV1146" t="str">
        <f>"FREDDI"</f>
        <v>FREDDI</v>
      </c>
      <c r="AW1146" t="str">
        <f>"M"</f>
        <v>M</v>
      </c>
      <c r="AX1146" t="str">
        <f>"1400 BROADWAY"</f>
        <v>1400 BROADWAY</v>
      </c>
      <c r="AY1146" t="str">
        <f>"9TH FLOOR"</f>
        <v>9TH FLOOR</v>
      </c>
      <c r="AZ1146" t="str">
        <f>"NEW YORK"</f>
        <v>NEW YORK</v>
      </c>
      <c r="BA1146" t="str">
        <f>"NY"</f>
        <v>NY</v>
      </c>
      <c r="BB1146" s="3">
        <v>10018</v>
      </c>
      <c r="BC1146" t="str">
        <f>"UNITED STATES OF AMERICA"</f>
        <v>UNITED STATES OF AMERICA</v>
      </c>
      <c r="BD1146" t="str">
        <f>""</f>
        <v/>
      </c>
      <c r="BE1146" t="str">
        <f>"+12126888555"</f>
        <v>+12126888555</v>
      </c>
      <c r="BF1146" t="str">
        <f>""</f>
        <v/>
      </c>
      <c r="BG1146" t="str">
        <f>"JRANDOLPH@FRAGOMEN.COM"</f>
        <v>JRANDOLPH@FRAGOMEN.COM</v>
      </c>
      <c r="BH1146" t="str">
        <f>"FRAGOMEN, DEL REY, BERNSEN &amp; LOEWY, LLP"</f>
        <v>FRAGOMEN, DEL REY, BERNSEN &amp; LOEWY, LLP</v>
      </c>
      <c r="BI1146" t="str">
        <f>"NY"</f>
        <v>NY</v>
      </c>
      <c r="BJ1146" t="str">
        <f>"NEW YORK STATE COURT OF APPEALS"</f>
        <v>NEW YORK STATE COURT OF APPEALS</v>
      </c>
      <c r="BK1146">
        <v>1</v>
      </c>
      <c r="BL1146" t="s">
        <v>102</v>
      </c>
      <c r="BM1146" t="str">
        <f>""</f>
        <v/>
      </c>
      <c r="BN1146" t="s">
        <v>11511</v>
      </c>
      <c r="BP1146" t="s">
        <v>617</v>
      </c>
      <c r="BQ1146" t="s">
        <v>861</v>
      </c>
      <c r="BR1146" t="s">
        <v>127</v>
      </c>
      <c r="BS1146" s="5">
        <v>15232</v>
      </c>
      <c r="BT1146" s="2">
        <v>120000</v>
      </c>
      <c r="BV1146" t="s">
        <v>105</v>
      </c>
      <c r="BW1146" s="2">
        <v>54330</v>
      </c>
      <c r="BX1146" t="s">
        <v>105</v>
      </c>
      <c r="BZ1146" t="s">
        <v>123</v>
      </c>
      <c r="CA1146" t="str">
        <f t="shared" si="90"/>
        <v>7/1/2020 - 6/30/2021</v>
      </c>
      <c r="CF1146">
        <v>1</v>
      </c>
      <c r="CG1146" t="s">
        <v>98</v>
      </c>
      <c r="CH1146" t="s">
        <v>206</v>
      </c>
      <c r="CI1146" t="s">
        <v>206</v>
      </c>
      <c r="CL1146" t="s">
        <v>108</v>
      </c>
      <c r="CM1146" t="s">
        <v>109</v>
      </c>
      <c r="CN1146" t="str">
        <f>"RANDOLPH"</f>
        <v>RANDOLPH</v>
      </c>
      <c r="CO1146" t="str">
        <f>"JANAY"</f>
        <v>JANAY</v>
      </c>
      <c r="CP1146" t="str">
        <f>"N"</f>
        <v>N</v>
      </c>
      <c r="CQ1146" t="str">
        <f>"FRAGOMEN, DEL REY, BERNSEN &amp; LOEWY, LLP"</f>
        <v>FRAGOMEN, DEL REY, BERNSEN &amp; LOEWY, LLP</v>
      </c>
      <c r="CR1146" t="s">
        <v>4508</v>
      </c>
    </row>
    <row r="1147" spans="1:96" x14ac:dyDescent="0.2">
      <c r="A1147" t="s">
        <v>11512</v>
      </c>
      <c r="B1147" t="s">
        <v>96</v>
      </c>
      <c r="C1147" s="1">
        <v>44098</v>
      </c>
      <c r="D1147" s="1">
        <v>44105</v>
      </c>
      <c r="F1147" t="s">
        <v>97</v>
      </c>
      <c r="G1147" t="str">
        <f>"Assistant Adjunct Professor"</f>
        <v>Assistant Adjunct Professor</v>
      </c>
      <c r="H1147" t="s">
        <v>12193</v>
      </c>
      <c r="I1147" t="s">
        <v>205</v>
      </c>
      <c r="J1147" t="s">
        <v>98</v>
      </c>
      <c r="K1147" s="1">
        <v>44136</v>
      </c>
      <c r="L1147" s="1">
        <v>45230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3266</v>
      </c>
      <c r="U1147" t="str">
        <f>""</f>
        <v/>
      </c>
      <c r="V1147" t="s">
        <v>3267</v>
      </c>
      <c r="W1147" t="str">
        <f>"417 Charles E. Young Drive West"</f>
        <v>417 Charles E. Young Drive West</v>
      </c>
      <c r="X1147" t="s">
        <v>853</v>
      </c>
      <c r="Y1147" t="s">
        <v>141</v>
      </c>
      <c r="Z1147" s="3">
        <v>90095</v>
      </c>
      <c r="AA1147" t="s">
        <v>101</v>
      </c>
      <c r="AC1147" s="4" t="str">
        <f>"+13108251681"</f>
        <v>+13108251681</v>
      </c>
      <c r="AE1147" t="str">
        <f>"611310"</f>
        <v>611310</v>
      </c>
      <c r="AF1147" t="s">
        <v>3268</v>
      </c>
      <c r="AG1147" t="s">
        <v>2326</v>
      </c>
      <c r="AI1147" t="s">
        <v>3269</v>
      </c>
      <c r="AJ1147" t="s">
        <v>3267</v>
      </c>
      <c r="AK1147" t="str">
        <f>"417 Charles E. Young Drive West"</f>
        <v>417 Charles E. Young Drive West</v>
      </c>
      <c r="AL1147" t="s">
        <v>853</v>
      </c>
      <c r="AM1147" t="s">
        <v>141</v>
      </c>
      <c r="AN1147" s="3">
        <v>90095</v>
      </c>
      <c r="AO1147" t="s">
        <v>101</v>
      </c>
      <c r="AQ1147" t="str">
        <f>"+13108251681"</f>
        <v>+13108251681</v>
      </c>
      <c r="AS1147" t="s">
        <v>3270</v>
      </c>
      <c r="AT1147" t="s">
        <v>102</v>
      </c>
      <c r="AU1147" t="str">
        <f>""</f>
        <v/>
      </c>
      <c r="AV1147" t="str">
        <f>""</f>
        <v/>
      </c>
      <c r="AW1147" t="str">
        <f>""</f>
        <v/>
      </c>
      <c r="AX1147" t="str">
        <f>""</f>
        <v/>
      </c>
      <c r="AY1147" t="str">
        <f>""</f>
        <v/>
      </c>
      <c r="AZ1147" t="str">
        <f>""</f>
        <v/>
      </c>
      <c r="BA1147" t="str">
        <f>""</f>
        <v/>
      </c>
      <c r="BC1147" t="str">
        <f>""</f>
        <v/>
      </c>
      <c r="BD1147" t="str">
        <f>""</f>
        <v/>
      </c>
      <c r="BE1147" t="str">
        <f>""</f>
        <v/>
      </c>
      <c r="BF1147" t="str">
        <f>""</f>
        <v/>
      </c>
      <c r="BG1147" t="str">
        <f>""</f>
        <v/>
      </c>
      <c r="BH1147" t="str">
        <f>""</f>
        <v/>
      </c>
      <c r="BI1147" t="str">
        <f>""</f>
        <v/>
      </c>
      <c r="BJ1147" t="str">
        <f>""</f>
        <v/>
      </c>
      <c r="BK1147">
        <v>1</v>
      </c>
      <c r="BL1147" t="s">
        <v>102</v>
      </c>
      <c r="BM1147" t="str">
        <f>""</f>
        <v/>
      </c>
      <c r="BN1147" t="s">
        <v>11513</v>
      </c>
      <c r="BP1147" t="s">
        <v>853</v>
      </c>
      <c r="BQ1147" t="s">
        <v>365</v>
      </c>
      <c r="BR1147" t="s">
        <v>141</v>
      </c>
      <c r="BS1147" s="5">
        <v>90095</v>
      </c>
      <c r="BT1147" s="2">
        <v>73900</v>
      </c>
      <c r="BV1147" t="s">
        <v>105</v>
      </c>
      <c r="BW1147" s="2">
        <v>73010</v>
      </c>
      <c r="BX1147" t="s">
        <v>105</v>
      </c>
      <c r="BZ1147" t="s">
        <v>191</v>
      </c>
      <c r="CA1147" t="str">
        <f t="shared" si="90"/>
        <v>7/1/2020 - 6/30/2021</v>
      </c>
      <c r="CF1147">
        <v>2</v>
      </c>
      <c r="CG1147" t="s">
        <v>98</v>
      </c>
      <c r="CH1147" t="s">
        <v>206</v>
      </c>
      <c r="CI1147" t="s">
        <v>206</v>
      </c>
      <c r="CL1147" t="s">
        <v>108</v>
      </c>
      <c r="CM1147" t="s">
        <v>109</v>
      </c>
      <c r="CN1147" t="str">
        <f>"Abueg"</f>
        <v>Abueg</v>
      </c>
      <c r="CO1147" t="str">
        <f>"Nino"</f>
        <v>Nino</v>
      </c>
      <c r="CP1147" t="str">
        <f>""</f>
        <v/>
      </c>
      <c r="CQ1147" t="str">
        <f>"University of California, Los Angeles"</f>
        <v>University of California, Los Angeles</v>
      </c>
      <c r="CR1147" t="s">
        <v>3271</v>
      </c>
    </row>
    <row r="1148" spans="1:96" x14ac:dyDescent="0.2">
      <c r="A1148" t="s">
        <v>11514</v>
      </c>
      <c r="B1148" t="s">
        <v>96</v>
      </c>
      <c r="C1148" s="1">
        <v>44098</v>
      </c>
      <c r="D1148" s="1">
        <v>44105</v>
      </c>
      <c r="F1148" t="s">
        <v>97</v>
      </c>
      <c r="G1148" t="str">
        <f>"Algorithm Engineer"</f>
        <v>Algorithm Engineer</v>
      </c>
      <c r="H1148" t="s">
        <v>12196</v>
      </c>
      <c r="I1148" t="s">
        <v>322</v>
      </c>
      <c r="J1148" t="s">
        <v>98</v>
      </c>
      <c r="K1148" s="1">
        <v>44156</v>
      </c>
      <c r="L1148" s="1">
        <v>45250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6112</v>
      </c>
      <c r="U1148" t="str">
        <f>""</f>
        <v/>
      </c>
      <c r="V1148" t="s">
        <v>6113</v>
      </c>
      <c r="W1148" t="str">
        <f>""</f>
        <v/>
      </c>
      <c r="X1148" t="s">
        <v>982</v>
      </c>
      <c r="Y1148" t="s">
        <v>265</v>
      </c>
      <c r="Z1148" s="3">
        <v>48150</v>
      </c>
      <c r="AA1148" t="s">
        <v>101</v>
      </c>
      <c r="AC1148" s="4" t="str">
        <f>"+17348552654"</f>
        <v>+17348552654</v>
      </c>
      <c r="AE1148" t="str">
        <f>"336111"</f>
        <v>336111</v>
      </c>
      <c r="AF1148" t="s">
        <v>5508</v>
      </c>
      <c r="AG1148" t="s">
        <v>927</v>
      </c>
      <c r="AH1148" t="s">
        <v>108</v>
      </c>
      <c r="AI1148" t="s">
        <v>6114</v>
      </c>
      <c r="AJ1148" t="s">
        <v>6113</v>
      </c>
      <c r="AK1148" t="str">
        <f>""</f>
        <v/>
      </c>
      <c r="AL1148" t="s">
        <v>982</v>
      </c>
      <c r="AM1148" t="s">
        <v>265</v>
      </c>
      <c r="AN1148" s="3">
        <v>48150</v>
      </c>
      <c r="AO1148" t="s">
        <v>101</v>
      </c>
      <c r="AQ1148" t="str">
        <f>"+17348552654"</f>
        <v>+17348552654</v>
      </c>
      <c r="AS1148" t="s">
        <v>6115</v>
      </c>
      <c r="AT1148" t="s">
        <v>107</v>
      </c>
      <c r="AU1148" t="str">
        <f>"Terebelo"</f>
        <v>Terebelo</v>
      </c>
      <c r="AV1148" t="str">
        <f>"Michal"</f>
        <v>Michal</v>
      </c>
      <c r="AW1148" t="str">
        <f>"Duer"</f>
        <v>Duer</v>
      </c>
      <c r="AX1148" t="str">
        <f>"5250 Corporate Drive"</f>
        <v>5250 Corporate Drive</v>
      </c>
      <c r="AY1148" t="str">
        <f>"Ste. 300"</f>
        <v>Ste. 300</v>
      </c>
      <c r="AZ1148" t="str">
        <f>"Troy"</f>
        <v>Troy</v>
      </c>
      <c r="BA1148" t="str">
        <f>"MI"</f>
        <v>MI</v>
      </c>
      <c r="BB1148" s="3">
        <v>48098</v>
      </c>
      <c r="BC1148" t="str">
        <f t="shared" ref="BC1148:BC1161" si="91">"UNITED STATES OF AMERICA"</f>
        <v>UNITED STATES OF AMERICA</v>
      </c>
      <c r="BD1148" t="str">
        <f>""</f>
        <v/>
      </c>
      <c r="BE1148" t="str">
        <f>"+12486434900"</f>
        <v>+12486434900</v>
      </c>
      <c r="BF1148" t="str">
        <f>""</f>
        <v/>
      </c>
      <c r="BG1148" t="str">
        <f>"pritam@employmentimmigration.com"</f>
        <v>pritam@employmentimmigration.com</v>
      </c>
      <c r="BH1148" t="str">
        <f>"Fakhoury Global Immigration, USA PC"</f>
        <v>Fakhoury Global Immigration, USA PC</v>
      </c>
      <c r="BI1148" t="str">
        <f>"MI"</f>
        <v>MI</v>
      </c>
      <c r="BJ1148" t="str">
        <f>"Supreme Court"</f>
        <v>Supreme Court</v>
      </c>
      <c r="BK1148">
        <v>1</v>
      </c>
      <c r="BL1148" t="s">
        <v>102</v>
      </c>
      <c r="BM1148" t="str">
        <f>""</f>
        <v/>
      </c>
      <c r="BN1148" t="s">
        <v>6112</v>
      </c>
      <c r="BO1148" t="s">
        <v>6116</v>
      </c>
      <c r="BP1148" t="s">
        <v>1498</v>
      </c>
      <c r="BQ1148" t="s">
        <v>719</v>
      </c>
      <c r="BR1148" t="s">
        <v>265</v>
      </c>
      <c r="BS1148" s="5">
        <v>48335</v>
      </c>
      <c r="BT1148" s="2">
        <v>92700</v>
      </c>
      <c r="BV1148" t="s">
        <v>105</v>
      </c>
      <c r="BW1148" s="2">
        <v>82555</v>
      </c>
      <c r="BX1148" t="s">
        <v>105</v>
      </c>
      <c r="BZ1148" t="s">
        <v>167</v>
      </c>
      <c r="CA1148" t="str">
        <f t="shared" si="90"/>
        <v>7/1/2020 - 6/30/2021</v>
      </c>
      <c r="CF1148">
        <v>2</v>
      </c>
      <c r="CG1148" t="s">
        <v>98</v>
      </c>
      <c r="CH1148" t="s">
        <v>206</v>
      </c>
      <c r="CI1148" t="s">
        <v>206</v>
      </c>
      <c r="CL1148" t="s">
        <v>108</v>
      </c>
      <c r="CM1148" t="s">
        <v>109</v>
      </c>
      <c r="CN1148" t="str">
        <f>"Terebelo"</f>
        <v>Terebelo</v>
      </c>
      <c r="CO1148" t="str">
        <f>"Michal"</f>
        <v>Michal</v>
      </c>
      <c r="CP1148" t="str">
        <f>"D"</f>
        <v>D</v>
      </c>
      <c r="CQ1148" t="str">
        <f>"Fakhoury Global Immigration, USA PC"</f>
        <v>Fakhoury Global Immigration, USA PC</v>
      </c>
      <c r="CR1148" t="s">
        <v>2833</v>
      </c>
    </row>
    <row r="1149" spans="1:96" x14ac:dyDescent="0.2">
      <c r="A1149" t="s">
        <v>11518</v>
      </c>
      <c r="B1149" t="s">
        <v>96</v>
      </c>
      <c r="C1149" s="1">
        <v>44098</v>
      </c>
      <c r="D1149" s="1">
        <v>44105</v>
      </c>
      <c r="F1149" t="s">
        <v>97</v>
      </c>
      <c r="G1149" t="str">
        <f>"Senior Principal Consultant"</f>
        <v>Senior Principal Consultant</v>
      </c>
      <c r="H1149" t="s">
        <v>12169</v>
      </c>
      <c r="I1149" t="s">
        <v>124</v>
      </c>
      <c r="J1149" t="s">
        <v>98</v>
      </c>
      <c r="K1149" s="1">
        <v>44107</v>
      </c>
      <c r="L1149" s="1">
        <v>45201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 t="s">
        <v>1565</v>
      </c>
      <c r="U1149" t="str">
        <f>""</f>
        <v/>
      </c>
      <c r="V1149" t="s">
        <v>1566</v>
      </c>
      <c r="W1149" t="str">
        <f>"1st Floor West, Suite 129"</f>
        <v>1st Floor West, Suite 129</v>
      </c>
      <c r="X1149" t="s">
        <v>1567</v>
      </c>
      <c r="Y1149" t="s">
        <v>100</v>
      </c>
      <c r="Z1149" s="3">
        <v>7078</v>
      </c>
      <c r="AA1149" t="s">
        <v>101</v>
      </c>
      <c r="AC1149" s="4" t="str">
        <f>"+18004345808"</f>
        <v>+18004345808</v>
      </c>
      <c r="AE1149" t="str">
        <f>"541511"</f>
        <v>541511</v>
      </c>
      <c r="AF1149" t="s">
        <v>1568</v>
      </c>
      <c r="AG1149" t="s">
        <v>1569</v>
      </c>
      <c r="AI1149" t="s">
        <v>1570</v>
      </c>
      <c r="AJ1149" t="s">
        <v>1566</v>
      </c>
      <c r="AK1149" t="str">
        <f>"1st Floor West, Suite 129"</f>
        <v>1st Floor West, Suite 129</v>
      </c>
      <c r="AL1149" t="s">
        <v>1567</v>
      </c>
      <c r="AM1149" t="s">
        <v>100</v>
      </c>
      <c r="AN1149" s="3">
        <v>7078</v>
      </c>
      <c r="AO1149" t="s">
        <v>101</v>
      </c>
      <c r="AQ1149" t="str">
        <f>"+19739215225"</f>
        <v>+19739215225</v>
      </c>
      <c r="AS1149" t="s">
        <v>1571</v>
      </c>
      <c r="AT1149" t="s">
        <v>107</v>
      </c>
      <c r="AU1149" t="str">
        <f>"Schrager"</f>
        <v>Schrager</v>
      </c>
      <c r="AV1149" t="str">
        <f>"Jenny"</f>
        <v>Jenny</v>
      </c>
      <c r="AW1149" t="str">
        <f>"Spring"</f>
        <v>Spring</v>
      </c>
      <c r="AX1149" t="str">
        <f>"1400 Broadway"</f>
        <v>1400 Broadway</v>
      </c>
      <c r="AY1149" t="str">
        <f>"9th Floor"</f>
        <v>9th Floor</v>
      </c>
      <c r="AZ1149" t="str">
        <f>"New York"</f>
        <v>New York</v>
      </c>
      <c r="BA1149" t="str">
        <f>"NY"</f>
        <v>NY</v>
      </c>
      <c r="BB1149" s="3">
        <v>10018</v>
      </c>
      <c r="BC1149" t="str">
        <f t="shared" si="91"/>
        <v>UNITED STATES OF AMERICA</v>
      </c>
      <c r="BD1149" t="str">
        <f>""</f>
        <v/>
      </c>
      <c r="BE1149" t="str">
        <f>"+12126888555"</f>
        <v>+12126888555</v>
      </c>
      <c r="BF1149" t="str">
        <f>""</f>
        <v/>
      </c>
      <c r="BG1149" t="str">
        <f>"lcagenpact@fragomen.com"</f>
        <v>lcagenpact@fragomen.com</v>
      </c>
      <c r="BH1149" t="str">
        <f>"Fragomen, Del Rey, Bernsen &amp; Loewy LLP"</f>
        <v>Fragomen, Del Rey, Bernsen &amp; Loewy LLP</v>
      </c>
      <c r="BI1149" t="str">
        <f>"NY"</f>
        <v>NY</v>
      </c>
      <c r="BJ1149" t="str">
        <f>"New York Court of Appeals"</f>
        <v>New York Court of Appeals</v>
      </c>
      <c r="BK1149">
        <v>1</v>
      </c>
      <c r="BL1149" t="s">
        <v>107</v>
      </c>
      <c r="BM1149" t="str">
        <f>"Otsuka America Pharmaceuticals, Inc."</f>
        <v>Otsuka America Pharmaceuticals, Inc.</v>
      </c>
      <c r="BN1149" t="s">
        <v>3898</v>
      </c>
      <c r="BP1149" t="s">
        <v>947</v>
      </c>
      <c r="BQ1149" t="s">
        <v>404</v>
      </c>
      <c r="BR1149" t="s">
        <v>100</v>
      </c>
      <c r="BS1149" s="5">
        <v>8540</v>
      </c>
      <c r="BT1149" s="2">
        <v>133870</v>
      </c>
      <c r="BV1149" t="s">
        <v>105</v>
      </c>
      <c r="BW1149" s="2">
        <v>90002</v>
      </c>
      <c r="BX1149" t="s">
        <v>105</v>
      </c>
      <c r="BZ1149" t="s">
        <v>167</v>
      </c>
      <c r="CA1149" t="str">
        <f t="shared" si="90"/>
        <v>7/1/2020 - 6/30/2021</v>
      </c>
      <c r="CF1149">
        <v>3</v>
      </c>
      <c r="CG1149" t="s">
        <v>98</v>
      </c>
      <c r="CH1149" t="s">
        <v>206</v>
      </c>
      <c r="CI1149" t="s">
        <v>206</v>
      </c>
      <c r="CL1149" t="s">
        <v>108</v>
      </c>
      <c r="CM1149" t="s">
        <v>109</v>
      </c>
      <c r="CN1149" t="str">
        <f>""</f>
        <v/>
      </c>
      <c r="CO1149" t="str">
        <f>""</f>
        <v/>
      </c>
      <c r="CP1149" t="str">
        <f>""</f>
        <v/>
      </c>
      <c r="CQ1149" t="str">
        <f>""</f>
        <v/>
      </c>
    </row>
    <row r="1150" spans="1:96" x14ac:dyDescent="0.2">
      <c r="A1150" t="s">
        <v>11519</v>
      </c>
      <c r="B1150" t="s">
        <v>96</v>
      </c>
      <c r="C1150" s="1">
        <v>44098</v>
      </c>
      <c r="D1150" s="1">
        <v>44105</v>
      </c>
      <c r="F1150" t="s">
        <v>97</v>
      </c>
      <c r="G1150" t="str">
        <f>"Solutions Architect III"</f>
        <v>Solutions Architect III</v>
      </c>
      <c r="H1150" t="s">
        <v>12176</v>
      </c>
      <c r="I1150" t="s">
        <v>246</v>
      </c>
      <c r="J1150" t="s">
        <v>98</v>
      </c>
      <c r="K1150" s="1">
        <v>44279</v>
      </c>
      <c r="L1150" s="1">
        <v>45374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 t="s">
        <v>2682</v>
      </c>
      <c r="U1150" t="str">
        <f>""</f>
        <v/>
      </c>
      <c r="V1150" t="s">
        <v>968</v>
      </c>
      <c r="W1150" t="str">
        <f>"N/A"</f>
        <v>N/A</v>
      </c>
      <c r="X1150" t="s">
        <v>261</v>
      </c>
      <c r="Y1150" t="s">
        <v>176</v>
      </c>
      <c r="Z1150" s="3">
        <v>98121</v>
      </c>
      <c r="AA1150" t="s">
        <v>101</v>
      </c>
      <c r="AC1150" s="4" t="str">
        <f>"+12062661000"</f>
        <v>+12062661000</v>
      </c>
      <c r="AE1150" t="str">
        <f>"45411"</f>
        <v>45411</v>
      </c>
      <c r="AF1150" t="s">
        <v>4134</v>
      </c>
      <c r="AG1150" t="s">
        <v>4135</v>
      </c>
      <c r="AI1150" t="s">
        <v>262</v>
      </c>
      <c r="AJ1150" t="s">
        <v>432</v>
      </c>
      <c r="AK1150" t="str">
        <f>""</f>
        <v/>
      </c>
      <c r="AL1150" t="s">
        <v>261</v>
      </c>
      <c r="AM1150" t="s">
        <v>176</v>
      </c>
      <c r="AN1150" s="3">
        <v>98121</v>
      </c>
      <c r="AO1150" t="s">
        <v>101</v>
      </c>
      <c r="AQ1150" t="str">
        <f>"+12062661000"</f>
        <v>+12062661000</v>
      </c>
      <c r="AS1150" t="s">
        <v>263</v>
      </c>
      <c r="AT1150" t="s">
        <v>107</v>
      </c>
      <c r="AU1150" t="str">
        <f>"George "</f>
        <v xml:space="preserve">George </v>
      </c>
      <c r="AV1150" t="str">
        <f>"Asha Sairah"</f>
        <v>Asha Sairah</v>
      </c>
      <c r="AW1150" t="str">
        <f>""</f>
        <v/>
      </c>
      <c r="AX1150" t="str">
        <f>"11 Times Square "</f>
        <v xml:space="preserve">11 Times Square </v>
      </c>
      <c r="AY1150" t="str">
        <f>"11th Floor "</f>
        <v xml:space="preserve">11th Floor </v>
      </c>
      <c r="AZ1150" t="str">
        <f>"New York"</f>
        <v>New York</v>
      </c>
      <c r="BA1150" t="str">
        <f>"NY"</f>
        <v>NY</v>
      </c>
      <c r="BB1150" s="3">
        <v>10036</v>
      </c>
      <c r="BC1150" t="str">
        <f t="shared" si="91"/>
        <v>UNITED STATES OF AMERICA</v>
      </c>
      <c r="BD1150" t="str">
        <f>""</f>
        <v/>
      </c>
      <c r="BE1150" t="str">
        <f>"+14692909855"</f>
        <v>+14692909855</v>
      </c>
      <c r="BF1150" t="str">
        <f>""</f>
        <v/>
      </c>
      <c r="BG1150" t="str">
        <f>"abyford@balglobal.com"</f>
        <v>abyford@balglobal.com</v>
      </c>
      <c r="BH1150" t="str">
        <f>"Berry Appleman and Leiden LLP"</f>
        <v>Berry Appleman and Leiden LLP</v>
      </c>
      <c r="BI1150" t="str">
        <f>"NY"</f>
        <v>NY</v>
      </c>
      <c r="BJ1150" t="str">
        <f>"Court of Appeals"</f>
        <v>Court of Appeals</v>
      </c>
      <c r="BK1150">
        <v>1</v>
      </c>
      <c r="BL1150" t="s">
        <v>102</v>
      </c>
      <c r="BM1150" t="str">
        <f>""</f>
        <v/>
      </c>
      <c r="BN1150" t="s">
        <v>5205</v>
      </c>
      <c r="BO1150" t="s">
        <v>1755</v>
      </c>
      <c r="BP1150" t="s">
        <v>1213</v>
      </c>
      <c r="BQ1150" t="s">
        <v>1214</v>
      </c>
      <c r="BR1150" t="s">
        <v>100</v>
      </c>
      <c r="BS1150" s="5">
        <v>7302</v>
      </c>
      <c r="BT1150" s="2">
        <v>184500</v>
      </c>
      <c r="BV1150" t="s">
        <v>105</v>
      </c>
      <c r="BW1150" s="2">
        <v>122221</v>
      </c>
      <c r="BX1150" t="s">
        <v>105</v>
      </c>
      <c r="BZ1150" t="s">
        <v>123</v>
      </c>
      <c r="CA1150" t="str">
        <f t="shared" si="90"/>
        <v>7/1/2020 - 6/30/2021</v>
      </c>
      <c r="CF1150">
        <v>1</v>
      </c>
      <c r="CG1150" t="s">
        <v>98</v>
      </c>
      <c r="CH1150" t="s">
        <v>206</v>
      </c>
      <c r="CI1150" t="s">
        <v>206</v>
      </c>
      <c r="CL1150" t="s">
        <v>108</v>
      </c>
      <c r="CM1150" t="s">
        <v>109</v>
      </c>
      <c r="CN1150" t="str">
        <f>""</f>
        <v/>
      </c>
      <c r="CO1150" t="str">
        <f>""</f>
        <v/>
      </c>
      <c r="CP1150" t="str">
        <f>""</f>
        <v/>
      </c>
      <c r="CQ1150" t="str">
        <f>""</f>
        <v/>
      </c>
    </row>
    <row r="1151" spans="1:96" x14ac:dyDescent="0.2">
      <c r="A1151" t="s">
        <v>11520</v>
      </c>
      <c r="B1151" t="s">
        <v>96</v>
      </c>
      <c r="C1151" s="1">
        <v>44098</v>
      </c>
      <c r="D1151" s="1">
        <v>44105</v>
      </c>
      <c r="F1151" t="s">
        <v>97</v>
      </c>
      <c r="G1151" t="str">
        <f>"Application Developer"</f>
        <v>Application Developer</v>
      </c>
      <c r="H1151" t="s">
        <v>12169</v>
      </c>
      <c r="I1151" t="s">
        <v>124</v>
      </c>
      <c r="J1151" t="s">
        <v>98</v>
      </c>
      <c r="K1151" s="1">
        <v>44116</v>
      </c>
      <c r="L1151" s="1">
        <v>45210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11521</v>
      </c>
      <c r="U1151" t="str">
        <f>"Covendis Technologies"</f>
        <v>Covendis Technologies</v>
      </c>
      <c r="V1151" t="s">
        <v>11522</v>
      </c>
      <c r="W1151" t="str">
        <f>"Suite B"</f>
        <v>Suite B</v>
      </c>
      <c r="X1151" t="s">
        <v>213</v>
      </c>
      <c r="Y1151" t="s">
        <v>215</v>
      </c>
      <c r="Z1151" s="3">
        <v>30313</v>
      </c>
      <c r="AA1151" t="s">
        <v>101</v>
      </c>
      <c r="AC1151" s="4" t="str">
        <f>"+17709039990"</f>
        <v>+17709039990</v>
      </c>
      <c r="AE1151" t="str">
        <f>"541611"</f>
        <v>541611</v>
      </c>
      <c r="AF1151" t="s">
        <v>6852</v>
      </c>
      <c r="AG1151" t="s">
        <v>7765</v>
      </c>
      <c r="AI1151" t="s">
        <v>11523</v>
      </c>
      <c r="AJ1151" t="s">
        <v>11522</v>
      </c>
      <c r="AK1151" t="str">
        <f>"Suite B"</f>
        <v>Suite B</v>
      </c>
      <c r="AL1151" t="s">
        <v>213</v>
      </c>
      <c r="AM1151" t="s">
        <v>215</v>
      </c>
      <c r="AN1151" s="3">
        <v>30313</v>
      </c>
      <c r="AO1151" t="s">
        <v>101</v>
      </c>
      <c r="AQ1151" t="str">
        <f>"+17709039990"</f>
        <v>+17709039990</v>
      </c>
      <c r="AS1151" t="s">
        <v>11524</v>
      </c>
      <c r="AT1151" t="s">
        <v>107</v>
      </c>
      <c r="AU1151" t="str">
        <f>"Winarsky"</f>
        <v>Winarsky</v>
      </c>
      <c r="AV1151" t="str">
        <f>"Karen"</f>
        <v>Karen</v>
      </c>
      <c r="AW1151" t="str">
        <f>""</f>
        <v/>
      </c>
      <c r="AX1151" t="str">
        <f>"1355 Peachtree St NE"</f>
        <v>1355 Peachtree St NE</v>
      </c>
      <c r="AY1151" t="str">
        <f>"Suite 900"</f>
        <v>Suite 900</v>
      </c>
      <c r="AZ1151" t="str">
        <f>"Atlanta"</f>
        <v>Atlanta</v>
      </c>
      <c r="BA1151" t="str">
        <f>"GA"</f>
        <v>GA</v>
      </c>
      <c r="BB1151" s="3">
        <v>30309</v>
      </c>
      <c r="BC1151" t="str">
        <f t="shared" si="91"/>
        <v>UNITED STATES OF AMERICA</v>
      </c>
      <c r="BD1151" t="str">
        <f>""</f>
        <v/>
      </c>
      <c r="BE1151" t="str">
        <f>"+14048565527"</f>
        <v>+14048565527</v>
      </c>
      <c r="BF1151" t="str">
        <f>""</f>
        <v/>
      </c>
      <c r="BG1151" t="str">
        <f>"OMcBride@fragomen.com"</f>
        <v>OMcBride@fragomen.com</v>
      </c>
      <c r="BH1151" t="str">
        <f>"Fragomen, Del Rey, Bernsen &amp; Loewy, LLP"</f>
        <v>Fragomen, Del Rey, Bernsen &amp; Loewy, LLP</v>
      </c>
      <c r="BI1151" t="str">
        <f>"GA"</f>
        <v>GA</v>
      </c>
      <c r="BJ1151" t="str">
        <f>"Supreme Court"</f>
        <v>Supreme Court</v>
      </c>
      <c r="BK1151">
        <v>1</v>
      </c>
      <c r="BL1151" t="s">
        <v>102</v>
      </c>
      <c r="BM1151" t="str">
        <f>""</f>
        <v/>
      </c>
      <c r="BN1151" t="s">
        <v>11522</v>
      </c>
      <c r="BO1151" t="s">
        <v>2209</v>
      </c>
      <c r="BP1151" t="s">
        <v>213</v>
      </c>
      <c r="BQ1151" t="s">
        <v>214</v>
      </c>
      <c r="BR1151" t="s">
        <v>215</v>
      </c>
      <c r="BS1151" s="5">
        <v>30313</v>
      </c>
      <c r="BT1151" s="2">
        <v>70000</v>
      </c>
      <c r="BU1151" s="2">
        <v>100000</v>
      </c>
      <c r="BV1151" t="s">
        <v>105</v>
      </c>
      <c r="BW1151" s="2">
        <v>68203</v>
      </c>
      <c r="BX1151" t="s">
        <v>105</v>
      </c>
      <c r="BZ1151" t="s">
        <v>191</v>
      </c>
      <c r="CA1151" t="str">
        <f t="shared" si="90"/>
        <v>7/1/2020 - 6/30/2021</v>
      </c>
      <c r="CF1151">
        <v>2</v>
      </c>
      <c r="CG1151" t="s">
        <v>98</v>
      </c>
      <c r="CH1151" t="s">
        <v>206</v>
      </c>
      <c r="CI1151" t="s">
        <v>206</v>
      </c>
      <c r="CL1151" t="s">
        <v>108</v>
      </c>
      <c r="CM1151" t="s">
        <v>109</v>
      </c>
      <c r="CN1151" t="str">
        <f>""</f>
        <v/>
      </c>
      <c r="CO1151" t="str">
        <f>""</f>
        <v/>
      </c>
      <c r="CP1151" t="str">
        <f>""</f>
        <v/>
      </c>
      <c r="CQ1151" t="str">
        <f>""</f>
        <v/>
      </c>
    </row>
    <row r="1152" spans="1:96" x14ac:dyDescent="0.2">
      <c r="A1152" t="s">
        <v>11526</v>
      </c>
      <c r="B1152" t="s">
        <v>96</v>
      </c>
      <c r="C1152" s="1">
        <v>44098</v>
      </c>
      <c r="D1152" s="1">
        <v>44105</v>
      </c>
      <c r="F1152" t="s">
        <v>97</v>
      </c>
      <c r="G1152" t="str">
        <f>"Senior Software Engineer, Big Data"</f>
        <v>Senior Software Engineer, Big Data</v>
      </c>
      <c r="H1152" t="s">
        <v>12169</v>
      </c>
      <c r="I1152" t="s">
        <v>124</v>
      </c>
      <c r="J1152" t="s">
        <v>98</v>
      </c>
      <c r="K1152" s="1">
        <v>44109</v>
      </c>
      <c r="L1152" s="1">
        <v>45203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5611</v>
      </c>
      <c r="U1152" t="str">
        <f>""</f>
        <v/>
      </c>
      <c r="V1152" t="s">
        <v>5612</v>
      </c>
      <c r="W1152" t="str">
        <f>""</f>
        <v/>
      </c>
      <c r="X1152" t="s">
        <v>207</v>
      </c>
      <c r="Y1152" t="s">
        <v>171</v>
      </c>
      <c r="Z1152" s="3">
        <v>2210</v>
      </c>
      <c r="AA1152" t="s">
        <v>101</v>
      </c>
      <c r="AC1152" s="4" t="str">
        <f>"+18012164418"</f>
        <v>+18012164418</v>
      </c>
      <c r="AE1152" t="str">
        <f>"541511"</f>
        <v>541511</v>
      </c>
      <c r="AF1152" t="s">
        <v>5613</v>
      </c>
      <c r="AG1152" t="s">
        <v>5614</v>
      </c>
      <c r="AI1152" t="s">
        <v>2729</v>
      </c>
      <c r="AJ1152" t="s">
        <v>5612</v>
      </c>
      <c r="AK1152" t="str">
        <f>""</f>
        <v/>
      </c>
      <c r="AL1152" t="s">
        <v>207</v>
      </c>
      <c r="AM1152" t="s">
        <v>171</v>
      </c>
      <c r="AN1152" s="3">
        <v>2210</v>
      </c>
      <c r="AO1152" t="s">
        <v>101</v>
      </c>
      <c r="AQ1152" t="str">
        <f>"+18012164418"</f>
        <v>+18012164418</v>
      </c>
      <c r="AS1152" t="s">
        <v>5615</v>
      </c>
      <c r="AT1152" t="s">
        <v>107</v>
      </c>
      <c r="AU1152" t="str">
        <f>"Brooks"</f>
        <v>Brooks</v>
      </c>
      <c r="AV1152" t="str">
        <f>"Samantha"</f>
        <v>Samantha</v>
      </c>
      <c r="AW1152" t="str">
        <f>""</f>
        <v/>
      </c>
      <c r="AX1152" t="str">
        <f>"1355 Peachtree Street NE"</f>
        <v>1355 Peachtree Street NE</v>
      </c>
      <c r="AY1152" t="str">
        <f>"Suite 900"</f>
        <v>Suite 900</v>
      </c>
      <c r="AZ1152" t="str">
        <f>"Atlanta"</f>
        <v>Atlanta</v>
      </c>
      <c r="BA1152" t="str">
        <f>"GA"</f>
        <v>GA</v>
      </c>
      <c r="BB1152" s="3">
        <v>30309</v>
      </c>
      <c r="BC1152" t="str">
        <f t="shared" si="91"/>
        <v>UNITED STATES OF AMERICA</v>
      </c>
      <c r="BD1152" t="str">
        <f>""</f>
        <v/>
      </c>
      <c r="BE1152" t="str">
        <f>"+14048565566"</f>
        <v>+14048565566</v>
      </c>
      <c r="BF1152" t="str">
        <f>""</f>
        <v/>
      </c>
      <c r="BG1152" t="str">
        <f>"cvaughn@fragomen.com"</f>
        <v>cvaughn@fragomen.com</v>
      </c>
      <c r="BH1152" t="str">
        <f>"Fragomen, Del Rey, Bernsen &amp; Loewy, LLP"</f>
        <v>Fragomen, Del Rey, Bernsen &amp; Loewy, LLP</v>
      </c>
      <c r="BI1152" t="str">
        <f>"NY"</f>
        <v>NY</v>
      </c>
      <c r="BJ1152" t="str">
        <f>"Supreme"</f>
        <v>Supreme</v>
      </c>
      <c r="BK1152">
        <v>1</v>
      </c>
      <c r="BL1152" t="s">
        <v>102</v>
      </c>
      <c r="BM1152" t="str">
        <f>""</f>
        <v/>
      </c>
      <c r="BN1152" t="s">
        <v>11527</v>
      </c>
      <c r="BP1152" t="s">
        <v>10096</v>
      </c>
      <c r="BQ1152" t="s">
        <v>895</v>
      </c>
      <c r="BR1152" t="s">
        <v>166</v>
      </c>
      <c r="BS1152" s="5">
        <v>80027</v>
      </c>
      <c r="BT1152" s="2">
        <v>140000</v>
      </c>
      <c r="BU1152" s="2">
        <v>150000</v>
      </c>
      <c r="BV1152" t="s">
        <v>105</v>
      </c>
      <c r="BW1152" s="2">
        <v>118456</v>
      </c>
      <c r="BX1152" t="s">
        <v>105</v>
      </c>
      <c r="BZ1152" t="s">
        <v>123</v>
      </c>
      <c r="CA1152" t="str">
        <f t="shared" si="90"/>
        <v>7/1/2020 - 6/30/2021</v>
      </c>
      <c r="CF1152">
        <v>1</v>
      </c>
      <c r="CG1152" t="s">
        <v>98</v>
      </c>
      <c r="CH1152" t="s">
        <v>206</v>
      </c>
      <c r="CI1152" t="s">
        <v>206</v>
      </c>
      <c r="CL1152" t="s">
        <v>108</v>
      </c>
      <c r="CM1152" t="s">
        <v>109</v>
      </c>
      <c r="CN1152" t="str">
        <f>""</f>
        <v/>
      </c>
      <c r="CO1152" t="str">
        <f>""</f>
        <v/>
      </c>
      <c r="CP1152" t="str">
        <f>""</f>
        <v/>
      </c>
      <c r="CQ1152" t="str">
        <f>""</f>
        <v/>
      </c>
    </row>
    <row r="1153" spans="1:96" x14ac:dyDescent="0.2">
      <c r="A1153" t="s">
        <v>11530</v>
      </c>
      <c r="B1153" t="s">
        <v>96</v>
      </c>
      <c r="C1153" s="1">
        <v>44098</v>
      </c>
      <c r="D1153" s="1">
        <v>44105</v>
      </c>
      <c r="F1153" t="s">
        <v>97</v>
      </c>
      <c r="G1153" t="str">
        <f>"Financial Manager"</f>
        <v>Financial Manager</v>
      </c>
      <c r="H1153" t="s">
        <v>12238</v>
      </c>
      <c r="I1153" t="s">
        <v>2642</v>
      </c>
      <c r="J1153" t="s">
        <v>98</v>
      </c>
      <c r="K1153" s="1">
        <v>44107</v>
      </c>
      <c r="L1153" s="1">
        <v>44234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 t="s">
        <v>11531</v>
      </c>
      <c r="U1153" t="str">
        <f>""</f>
        <v/>
      </c>
      <c r="V1153" t="s">
        <v>11532</v>
      </c>
      <c r="W1153" t="str">
        <f>""</f>
        <v/>
      </c>
      <c r="X1153" t="s">
        <v>622</v>
      </c>
      <c r="Y1153" t="s">
        <v>624</v>
      </c>
      <c r="Z1153" s="3">
        <v>20003</v>
      </c>
      <c r="AA1153" t="s">
        <v>101</v>
      </c>
      <c r="AC1153" s="4" t="str">
        <f>"+12026384040"</f>
        <v>+12026384040</v>
      </c>
      <c r="AE1153" t="str">
        <f>"541330"</f>
        <v>541330</v>
      </c>
      <c r="AF1153" t="s">
        <v>11533</v>
      </c>
      <c r="AG1153" t="s">
        <v>7797</v>
      </c>
      <c r="AI1153" t="s">
        <v>11534</v>
      </c>
      <c r="AJ1153" t="s">
        <v>11535</v>
      </c>
      <c r="AK1153" t="str">
        <f>""</f>
        <v/>
      </c>
      <c r="AL1153" t="s">
        <v>622</v>
      </c>
      <c r="AM1153" t="s">
        <v>624</v>
      </c>
      <c r="AN1153" s="3">
        <v>20003</v>
      </c>
      <c r="AO1153" t="s">
        <v>101</v>
      </c>
      <c r="AQ1153" t="str">
        <f>"+12026384040"</f>
        <v>+12026384040</v>
      </c>
      <c r="AS1153" t="s">
        <v>11536</v>
      </c>
      <c r="AT1153" t="s">
        <v>107</v>
      </c>
      <c r="AU1153" t="str">
        <f>"Delaney"</f>
        <v>Delaney</v>
      </c>
      <c r="AV1153" t="str">
        <f>"Brendan"</f>
        <v>Brendan</v>
      </c>
      <c r="AW1153" t="str">
        <f>"Colm"</f>
        <v>Colm</v>
      </c>
      <c r="AX1153" t="str">
        <f>"4416 East-West Highway, Ste. 206"</f>
        <v>4416 East-West Highway, Ste. 206</v>
      </c>
      <c r="AY1153" t="str">
        <f>""</f>
        <v/>
      </c>
      <c r="AZ1153" t="str">
        <f>"Bethesda"</f>
        <v>Bethesda</v>
      </c>
      <c r="BA1153" t="str">
        <f>"MD"</f>
        <v>MD</v>
      </c>
      <c r="BB1153" s="3">
        <v>20814</v>
      </c>
      <c r="BC1153" t="str">
        <f t="shared" si="91"/>
        <v>UNITED STATES OF AMERICA</v>
      </c>
      <c r="BD1153" t="str">
        <f>""</f>
        <v/>
      </c>
      <c r="BE1153" t="str">
        <f>"+13016562102"</f>
        <v>+13016562102</v>
      </c>
      <c r="BF1153" t="str">
        <f>""</f>
        <v/>
      </c>
      <c r="BG1153" t="str">
        <f>"brendan.delaney@fdimmigration.com"</f>
        <v>brendan.delaney@fdimmigration.com</v>
      </c>
      <c r="BH1153" t="str">
        <f>"Frank &amp; Delaney Immigration Law, LLC"</f>
        <v>Frank &amp; Delaney Immigration Law, LLC</v>
      </c>
      <c r="BI1153" t="str">
        <f>"MD"</f>
        <v>MD</v>
      </c>
      <c r="BJ1153" t="str">
        <f>"Court of Appeals"</f>
        <v>Court of Appeals</v>
      </c>
      <c r="BK1153">
        <v>1</v>
      </c>
      <c r="BL1153" t="s">
        <v>102</v>
      </c>
      <c r="BM1153" t="str">
        <f>""</f>
        <v/>
      </c>
      <c r="BN1153" t="s">
        <v>11532</v>
      </c>
      <c r="BP1153" t="s">
        <v>622</v>
      </c>
      <c r="BQ1153" t="s">
        <v>623</v>
      </c>
      <c r="BR1153" t="s">
        <v>624</v>
      </c>
      <c r="BS1153" s="5">
        <v>20003</v>
      </c>
      <c r="BT1153" s="2">
        <v>110000</v>
      </c>
      <c r="BV1153" t="s">
        <v>105</v>
      </c>
      <c r="BW1153" s="2">
        <v>50773</v>
      </c>
      <c r="BX1153" t="s">
        <v>105</v>
      </c>
      <c r="BZ1153" t="s">
        <v>191</v>
      </c>
      <c r="CA1153" t="str">
        <f t="shared" si="90"/>
        <v>7/1/2020 - 6/30/2021</v>
      </c>
      <c r="CF1153">
        <v>2</v>
      </c>
      <c r="CG1153" t="s">
        <v>98</v>
      </c>
      <c r="CH1153" t="s">
        <v>206</v>
      </c>
      <c r="CI1153" t="s">
        <v>206</v>
      </c>
      <c r="CL1153" t="s">
        <v>108</v>
      </c>
      <c r="CM1153" t="s">
        <v>109</v>
      </c>
      <c r="CN1153" t="str">
        <f>"Delaney"</f>
        <v>Delaney</v>
      </c>
      <c r="CO1153" t="str">
        <f>"Brendan"</f>
        <v>Brendan</v>
      </c>
      <c r="CP1153" t="str">
        <f>"C"</f>
        <v>C</v>
      </c>
      <c r="CQ1153" t="str">
        <f>"Frank &amp; Delaney Immigration, LLC"</f>
        <v>Frank &amp; Delaney Immigration, LLC</v>
      </c>
      <c r="CR1153" t="s">
        <v>11537</v>
      </c>
    </row>
    <row r="1154" spans="1:96" x14ac:dyDescent="0.2">
      <c r="A1154" t="s">
        <v>11540</v>
      </c>
      <c r="B1154" t="s">
        <v>96</v>
      </c>
      <c r="C1154" s="1">
        <v>44098</v>
      </c>
      <c r="D1154" s="1">
        <v>44105</v>
      </c>
      <c r="F1154" t="s">
        <v>97</v>
      </c>
      <c r="G1154" t="str">
        <f>"Analog Design Engineer"</f>
        <v>Analog Design Engineer</v>
      </c>
      <c r="H1154" t="s">
        <v>12179</v>
      </c>
      <c r="I1154" t="s">
        <v>1357</v>
      </c>
      <c r="J1154" t="s">
        <v>98</v>
      </c>
      <c r="K1154" s="1">
        <v>44105</v>
      </c>
      <c r="L1154" s="1">
        <v>45199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 t="s">
        <v>758</v>
      </c>
      <c r="U1154" t="str">
        <f>""</f>
        <v/>
      </c>
      <c r="V1154" t="s">
        <v>759</v>
      </c>
      <c r="W1154" t="str">
        <f>"MS 3990"</f>
        <v>MS 3990</v>
      </c>
      <c r="X1154" t="s">
        <v>484</v>
      </c>
      <c r="Y1154" t="s">
        <v>114</v>
      </c>
      <c r="Z1154" s="3">
        <v>75243</v>
      </c>
      <c r="AA1154" t="s">
        <v>101</v>
      </c>
      <c r="AC1154" s="4" t="str">
        <f>"+19729952011"</f>
        <v>+19729952011</v>
      </c>
      <c r="AE1154" t="str">
        <f>"33441"</f>
        <v>33441</v>
      </c>
      <c r="AF1154" t="s">
        <v>5620</v>
      </c>
      <c r="AG1154" t="s">
        <v>1884</v>
      </c>
      <c r="AI1154" t="s">
        <v>760</v>
      </c>
      <c r="AJ1154" t="s">
        <v>759</v>
      </c>
      <c r="AK1154" t="str">
        <f>"MS 3990"</f>
        <v>MS 3990</v>
      </c>
      <c r="AL1154" t="s">
        <v>595</v>
      </c>
      <c r="AM1154" t="s">
        <v>114</v>
      </c>
      <c r="AN1154" s="3">
        <v>75243</v>
      </c>
      <c r="AO1154" t="s">
        <v>101</v>
      </c>
      <c r="AQ1154" t="str">
        <f>"+19729952011"</f>
        <v>+19729952011</v>
      </c>
      <c r="AS1154" t="s">
        <v>5621</v>
      </c>
      <c r="AT1154" t="s">
        <v>107</v>
      </c>
      <c r="AU1154" t="str">
        <f>"Steger"</f>
        <v>Steger</v>
      </c>
      <c r="AV1154" t="str">
        <f>"Susan"</f>
        <v>Susan</v>
      </c>
      <c r="AW1154" t="str">
        <f>"Z. "</f>
        <v xml:space="preserve">Z. </v>
      </c>
      <c r="AX1154" t="str">
        <f>"5080 Spectrum Drive"</f>
        <v>5080 Spectrum Drive</v>
      </c>
      <c r="AY1154" t="str">
        <f>"Suite 850W"</f>
        <v>Suite 850W</v>
      </c>
      <c r="AZ1154" t="str">
        <f>"Addison"</f>
        <v>Addison</v>
      </c>
      <c r="BA1154" t="str">
        <f>"TX"</f>
        <v>TX</v>
      </c>
      <c r="BB1154" s="3">
        <v>75001</v>
      </c>
      <c r="BC1154" t="str">
        <f t="shared" si="91"/>
        <v>UNITED STATES OF AMERICA</v>
      </c>
      <c r="BD1154" t="str">
        <f>""</f>
        <v/>
      </c>
      <c r="BE1154" t="str">
        <f>"+19722336646"</f>
        <v>+19722336646</v>
      </c>
      <c r="BF1154" t="str">
        <f>""</f>
        <v/>
      </c>
      <c r="BG1154" t="str">
        <f>"chamyra.davis@fragomen.com"</f>
        <v>chamyra.davis@fragomen.com</v>
      </c>
      <c r="BH1154" t="str">
        <f>"Fragomen, Del Rey, Bernsen &amp; Loewy, LLP"</f>
        <v>Fragomen, Del Rey, Bernsen &amp; Loewy, LLP</v>
      </c>
      <c r="BI1154" t="str">
        <f>"TX"</f>
        <v>TX</v>
      </c>
      <c r="BJ1154" t="str">
        <f>"SUPREME COURT OF TEXAS"</f>
        <v>SUPREME COURT OF TEXAS</v>
      </c>
      <c r="BK1154">
        <v>1</v>
      </c>
      <c r="BL1154" t="s">
        <v>102</v>
      </c>
      <c r="BM1154" t="str">
        <f>""</f>
        <v/>
      </c>
      <c r="BN1154" t="s">
        <v>11541</v>
      </c>
      <c r="BP1154" t="s">
        <v>2687</v>
      </c>
      <c r="BQ1154" t="s">
        <v>257</v>
      </c>
      <c r="BR1154" t="s">
        <v>258</v>
      </c>
      <c r="BS1154" s="5">
        <v>85281</v>
      </c>
      <c r="BT1154" s="2">
        <v>108000</v>
      </c>
      <c r="BV1154" t="s">
        <v>105</v>
      </c>
      <c r="BW1154" s="2">
        <v>83949</v>
      </c>
      <c r="BX1154" t="s">
        <v>105</v>
      </c>
      <c r="BZ1154" t="s">
        <v>167</v>
      </c>
      <c r="CA1154" t="str">
        <f t="shared" ref="CA1154:CA1185" si="92">"7/1/2020 - 6/30/2021"</f>
        <v>7/1/2020 - 6/30/2021</v>
      </c>
      <c r="CF1154">
        <v>1</v>
      </c>
      <c r="CG1154" t="s">
        <v>98</v>
      </c>
      <c r="CH1154" t="s">
        <v>206</v>
      </c>
      <c r="CI1154" t="s">
        <v>206</v>
      </c>
      <c r="CL1154" t="s">
        <v>108</v>
      </c>
      <c r="CM1154" t="s">
        <v>109</v>
      </c>
      <c r="CN1154" t="str">
        <f>""</f>
        <v/>
      </c>
      <c r="CO1154" t="str">
        <f>""</f>
        <v/>
      </c>
      <c r="CP1154" t="str">
        <f>""</f>
        <v/>
      </c>
      <c r="CQ1154" t="str">
        <f>""</f>
        <v/>
      </c>
    </row>
    <row r="1155" spans="1:96" x14ac:dyDescent="0.2">
      <c r="A1155" t="s">
        <v>11543</v>
      </c>
      <c r="B1155" t="s">
        <v>96</v>
      </c>
      <c r="C1155" s="1">
        <v>44098</v>
      </c>
      <c r="D1155" s="1">
        <v>44105</v>
      </c>
      <c r="F1155" t="s">
        <v>97</v>
      </c>
      <c r="G1155" t="str">
        <f>"Advisory Manager"</f>
        <v>Advisory Manager</v>
      </c>
      <c r="H1155" t="s">
        <v>12197</v>
      </c>
      <c r="I1155" t="s">
        <v>137</v>
      </c>
      <c r="J1155" t="s">
        <v>98</v>
      </c>
      <c r="K1155" s="1">
        <v>44104</v>
      </c>
      <c r="L1155" s="1">
        <v>45198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 t="s">
        <v>216</v>
      </c>
      <c r="U1155" t="str">
        <f>""</f>
        <v/>
      </c>
      <c r="V1155" t="s">
        <v>217</v>
      </c>
      <c r="W1155" t="str">
        <f>""</f>
        <v/>
      </c>
      <c r="X1155" t="s">
        <v>218</v>
      </c>
      <c r="Y1155" t="s">
        <v>127</v>
      </c>
      <c r="Z1155" s="3">
        <v>19103</v>
      </c>
      <c r="AA1155" t="s">
        <v>101</v>
      </c>
      <c r="AC1155" s="4" t="str">
        <f>"+16179608170"</f>
        <v>+16179608170</v>
      </c>
      <c r="AE1155" t="str">
        <f>"54121"</f>
        <v>54121</v>
      </c>
      <c r="AF1155" t="s">
        <v>219</v>
      </c>
      <c r="AG1155" t="s">
        <v>220</v>
      </c>
      <c r="AI1155" t="s">
        <v>221</v>
      </c>
      <c r="AJ1155" t="s">
        <v>217</v>
      </c>
      <c r="AK1155" t="str">
        <f>""</f>
        <v/>
      </c>
      <c r="AL1155" t="s">
        <v>218</v>
      </c>
      <c r="AM1155" t="s">
        <v>127</v>
      </c>
      <c r="AN1155" s="3">
        <v>19103</v>
      </c>
      <c r="AO1155" t="s">
        <v>101</v>
      </c>
      <c r="AQ1155" t="str">
        <f>"+16179608170"</f>
        <v>+16179608170</v>
      </c>
      <c r="AS1155" t="s">
        <v>222</v>
      </c>
      <c r="AT1155" t="s">
        <v>107</v>
      </c>
      <c r="AU1155" t="str">
        <f>"Cook"</f>
        <v>Cook</v>
      </c>
      <c r="AV1155" t="str">
        <f>"Sharon"</f>
        <v>Sharon</v>
      </c>
      <c r="AW1155" t="str">
        <f>"Lynn"</f>
        <v>Lynn</v>
      </c>
      <c r="AX1155" t="str">
        <f>"1075 Peachtree Street NE"</f>
        <v>1075 Peachtree Street NE</v>
      </c>
      <c r="AY1155" t="str">
        <f>"Suite 2500"</f>
        <v>Suite 2500</v>
      </c>
      <c r="AZ1155" t="str">
        <f>"Atlanta"</f>
        <v>Atlanta</v>
      </c>
      <c r="BA1155" t="str">
        <f>"GA"</f>
        <v>GA</v>
      </c>
      <c r="BB1155" s="3">
        <v>30309</v>
      </c>
      <c r="BC1155" t="str">
        <f t="shared" si="91"/>
        <v>UNITED STATES OF AMERICA</v>
      </c>
      <c r="BD1155" t="str">
        <f>""</f>
        <v/>
      </c>
      <c r="BE1155" t="str">
        <f>"+14048856754"</f>
        <v>+14048856754</v>
      </c>
      <c r="BF1155" t="str">
        <f>""</f>
        <v/>
      </c>
      <c r="BG1155" t="str">
        <f>"akennedy@seyfarth.com"</f>
        <v>akennedy@seyfarth.com</v>
      </c>
      <c r="BH1155" t="str">
        <f>"Seyfarth Shaw LLP"</f>
        <v>Seyfarth Shaw LLP</v>
      </c>
      <c r="BI1155" t="str">
        <f>"GA"</f>
        <v>GA</v>
      </c>
      <c r="BJ1155" t="str">
        <f>"Supreme Court"</f>
        <v>Supreme Court</v>
      </c>
      <c r="BK1155">
        <v>1</v>
      </c>
      <c r="BL1155" t="s">
        <v>102</v>
      </c>
      <c r="BM1155" t="str">
        <f>""</f>
        <v/>
      </c>
      <c r="BN1155" t="s">
        <v>11052</v>
      </c>
      <c r="BO1155" t="s">
        <v>163</v>
      </c>
      <c r="BP1155" t="s">
        <v>2714</v>
      </c>
      <c r="BQ1155" t="s">
        <v>2715</v>
      </c>
      <c r="BR1155" t="s">
        <v>127</v>
      </c>
      <c r="BS1155" s="5">
        <v>17101</v>
      </c>
      <c r="BT1155" s="2">
        <v>98758</v>
      </c>
      <c r="BV1155" t="s">
        <v>105</v>
      </c>
      <c r="BW1155" s="2">
        <v>98758</v>
      </c>
      <c r="BX1155" t="s">
        <v>105</v>
      </c>
      <c r="BZ1155" t="s">
        <v>159</v>
      </c>
      <c r="CA1155" t="str">
        <f t="shared" si="92"/>
        <v>7/1/2020 - 6/30/2021</v>
      </c>
      <c r="CF1155">
        <v>3</v>
      </c>
      <c r="CG1155" t="s">
        <v>98</v>
      </c>
      <c r="CH1155" t="s">
        <v>206</v>
      </c>
      <c r="CI1155" t="s">
        <v>206</v>
      </c>
      <c r="CL1155" t="s">
        <v>108</v>
      </c>
      <c r="CM1155" t="s">
        <v>109</v>
      </c>
      <c r="CN1155" t="str">
        <f>"Kennedy"</f>
        <v>Kennedy</v>
      </c>
      <c r="CO1155" t="str">
        <f>"Alexis"</f>
        <v>Alexis</v>
      </c>
      <c r="CP1155" t="str">
        <f>""</f>
        <v/>
      </c>
      <c r="CQ1155" t="str">
        <f>"Seyfarth Shaw LLP"</f>
        <v>Seyfarth Shaw LLP</v>
      </c>
      <c r="CR1155" t="s">
        <v>2028</v>
      </c>
    </row>
    <row r="1156" spans="1:96" x14ac:dyDescent="0.2">
      <c r="A1156" t="s">
        <v>11544</v>
      </c>
      <c r="B1156" t="s">
        <v>96</v>
      </c>
      <c r="C1156" s="1">
        <v>44098</v>
      </c>
      <c r="D1156" s="1">
        <v>44105</v>
      </c>
      <c r="F1156" t="s">
        <v>97</v>
      </c>
      <c r="G1156" t="str">
        <f>"MANAGER III, SOFTWARE DEVELOPMENT"</f>
        <v>MANAGER III, SOFTWARE DEVELOPMENT</v>
      </c>
      <c r="H1156" t="s">
        <v>12178</v>
      </c>
      <c r="I1156" t="s">
        <v>582</v>
      </c>
      <c r="J1156" t="s">
        <v>98</v>
      </c>
      <c r="K1156" s="1">
        <v>44279</v>
      </c>
      <c r="L1156" s="1">
        <v>45374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 t="s">
        <v>1129</v>
      </c>
      <c r="U1156" t="str">
        <f>""</f>
        <v/>
      </c>
      <c r="V1156" t="s">
        <v>809</v>
      </c>
      <c r="W1156" t="str">
        <f>"SUITE 500"</f>
        <v>SUITE 500</v>
      </c>
      <c r="X1156" t="s">
        <v>433</v>
      </c>
      <c r="Y1156" t="s">
        <v>176</v>
      </c>
      <c r="Z1156" s="3">
        <v>98121</v>
      </c>
      <c r="AA1156" t="s">
        <v>101</v>
      </c>
      <c r="AC1156" s="4" t="str">
        <f>"+12062661000"</f>
        <v>+12062661000</v>
      </c>
      <c r="AE1156" t="str">
        <f>"454110"</f>
        <v>454110</v>
      </c>
      <c r="AF1156" t="s">
        <v>442</v>
      </c>
      <c r="AG1156" t="s">
        <v>443</v>
      </c>
      <c r="AH1156" t="s">
        <v>108</v>
      </c>
      <c r="AI1156" t="s">
        <v>434</v>
      </c>
      <c r="AJ1156" t="s">
        <v>809</v>
      </c>
      <c r="AK1156" t="str">
        <f>"SUITE 500"</f>
        <v>SUITE 500</v>
      </c>
      <c r="AL1156" t="s">
        <v>433</v>
      </c>
      <c r="AM1156" t="s">
        <v>176</v>
      </c>
      <c r="AN1156" s="3">
        <v>98121</v>
      </c>
      <c r="AO1156" t="s">
        <v>101</v>
      </c>
      <c r="AQ1156" t="str">
        <f>"+12062661000"</f>
        <v>+12062661000</v>
      </c>
      <c r="AS1156" t="s">
        <v>263</v>
      </c>
      <c r="AT1156" t="s">
        <v>107</v>
      </c>
      <c r="AU1156" t="str">
        <f>"MARANCI"</f>
        <v>MARANCI</v>
      </c>
      <c r="AV1156" t="str">
        <f>"DANIEL"</f>
        <v>DANIEL</v>
      </c>
      <c r="AW1156" t="str">
        <f>"N/A"</f>
        <v>N/A</v>
      </c>
      <c r="AX1156" t="str">
        <f>"100 HIGH STREET"</f>
        <v>100 HIGH STREET</v>
      </c>
      <c r="AY1156" t="str">
        <f>"3RD FLOOR C#5297213"</f>
        <v>3RD FLOOR C#5297213</v>
      </c>
      <c r="AZ1156" t="str">
        <f>"BOSTON"</f>
        <v>BOSTON</v>
      </c>
      <c r="BA1156" t="str">
        <f>"MA"</f>
        <v>MA</v>
      </c>
      <c r="BB1156" s="3">
        <v>2110</v>
      </c>
      <c r="BC1156" t="str">
        <f t="shared" si="91"/>
        <v>UNITED STATES OF AMERICA</v>
      </c>
      <c r="BD1156" t="str">
        <f>""</f>
        <v/>
      </c>
      <c r="BE1156" t="str">
        <f>"+16175740400"</f>
        <v>+16175740400</v>
      </c>
      <c r="BF1156" t="str">
        <f>""</f>
        <v/>
      </c>
      <c r="BG1156" t="str">
        <f>"AMAZONINDIA@FRAGOMEN.COM"</f>
        <v>AMAZONINDIA@FRAGOMEN.COM</v>
      </c>
      <c r="BH1156" t="str">
        <f>"FRAGOMEN, DEL REY, BERNSEN &amp; LOEWY, LLP"</f>
        <v>FRAGOMEN, DEL REY, BERNSEN &amp; LOEWY, LLP</v>
      </c>
      <c r="BI1156" t="str">
        <f>"MA"</f>
        <v>MA</v>
      </c>
      <c r="BJ1156" t="str">
        <f>"SUPREME JUDICIAL COURT"</f>
        <v>SUPREME JUDICIAL COURT</v>
      </c>
      <c r="BK1156">
        <v>1</v>
      </c>
      <c r="BL1156" t="s">
        <v>102</v>
      </c>
      <c r="BM1156" t="str">
        <f>""</f>
        <v/>
      </c>
      <c r="BN1156" t="s">
        <v>5299</v>
      </c>
      <c r="BP1156" t="s">
        <v>433</v>
      </c>
      <c r="BQ1156" t="s">
        <v>183</v>
      </c>
      <c r="BR1156" t="s">
        <v>176</v>
      </c>
      <c r="BS1156" s="5">
        <v>98101</v>
      </c>
      <c r="BT1156" s="2">
        <v>154770</v>
      </c>
      <c r="BV1156" t="s">
        <v>105</v>
      </c>
      <c r="BW1156" s="2">
        <v>143998</v>
      </c>
      <c r="BX1156" t="s">
        <v>105</v>
      </c>
      <c r="BZ1156" t="s">
        <v>167</v>
      </c>
      <c r="CA1156" t="str">
        <f t="shared" si="92"/>
        <v>7/1/2020 - 6/30/2021</v>
      </c>
      <c r="CF1156">
        <v>1</v>
      </c>
      <c r="CG1156" t="s">
        <v>98</v>
      </c>
      <c r="CH1156" t="s">
        <v>206</v>
      </c>
      <c r="CI1156" t="s">
        <v>206</v>
      </c>
      <c r="CL1156" t="s">
        <v>108</v>
      </c>
      <c r="CM1156" t="s">
        <v>109</v>
      </c>
      <c r="CN1156" t="str">
        <f>"SUNNY"</f>
        <v>SUNNY</v>
      </c>
      <c r="CO1156" t="str">
        <f>"JASMIN"</f>
        <v>JASMIN</v>
      </c>
      <c r="CP1156" t="str">
        <f>"N/A"</f>
        <v>N/A</v>
      </c>
      <c r="CQ1156" t="str">
        <f>"FRAGOMEN, DEL REY, BERNSEN &amp; LOEWY, LLP"</f>
        <v>FRAGOMEN, DEL REY, BERNSEN &amp; LOEWY, LLP</v>
      </c>
      <c r="CR1156" t="s">
        <v>650</v>
      </c>
    </row>
    <row r="1157" spans="1:96" x14ac:dyDescent="0.2">
      <c r="A1157" t="s">
        <v>11546</v>
      </c>
      <c r="B1157" t="s">
        <v>96</v>
      </c>
      <c r="C1157" s="1">
        <v>44098</v>
      </c>
      <c r="D1157" s="1">
        <v>44105</v>
      </c>
      <c r="F1157" t="s">
        <v>97</v>
      </c>
      <c r="G1157" t="str">
        <f>"Project Manager"</f>
        <v>Project Manager</v>
      </c>
      <c r="H1157" t="s">
        <v>12171</v>
      </c>
      <c r="I1157" t="s">
        <v>2140</v>
      </c>
      <c r="J1157" t="s">
        <v>98</v>
      </c>
      <c r="K1157" s="1">
        <v>44256</v>
      </c>
      <c r="L1157" s="1">
        <v>45351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 t="s">
        <v>346</v>
      </c>
      <c r="U1157" t="str">
        <f>""</f>
        <v/>
      </c>
      <c r="V1157" t="s">
        <v>347</v>
      </c>
      <c r="W1157" t="str">
        <f>""</f>
        <v/>
      </c>
      <c r="X1157" t="s">
        <v>348</v>
      </c>
      <c r="Y1157" t="s">
        <v>265</v>
      </c>
      <c r="Z1157" s="3">
        <v>48083</v>
      </c>
      <c r="AA1157" t="s">
        <v>101</v>
      </c>
      <c r="AC1157" s="4" t="str">
        <f>"+12486198684"</f>
        <v>+12486198684</v>
      </c>
      <c r="AE1157" t="str">
        <f>"33632"</f>
        <v>33632</v>
      </c>
      <c r="AF1157" t="s">
        <v>11547</v>
      </c>
      <c r="AG1157" t="s">
        <v>152</v>
      </c>
      <c r="AI1157" t="s">
        <v>11548</v>
      </c>
      <c r="AJ1157" t="s">
        <v>347</v>
      </c>
      <c r="AK1157" t="str">
        <f>""</f>
        <v/>
      </c>
      <c r="AL1157" t="s">
        <v>348</v>
      </c>
      <c r="AM1157" t="s">
        <v>265</v>
      </c>
      <c r="AN1157" s="3">
        <v>48083</v>
      </c>
      <c r="AO1157" t="s">
        <v>101</v>
      </c>
      <c r="AQ1157" t="str">
        <f>"+12486198684"</f>
        <v>+12486198684</v>
      </c>
      <c r="AS1157" t="s">
        <v>11549</v>
      </c>
      <c r="AT1157" t="s">
        <v>107</v>
      </c>
      <c r="AU1157" t="str">
        <f>"Covino"</f>
        <v>Covino</v>
      </c>
      <c r="AV1157" t="str">
        <f>"Meghan"</f>
        <v>Meghan</v>
      </c>
      <c r="AW1157" t="str">
        <f>"N."</f>
        <v>N.</v>
      </c>
      <c r="AX1157" t="str">
        <f>"660 Woodward Ave"</f>
        <v>660 Woodward Ave</v>
      </c>
      <c r="AY1157" t="str">
        <f>"Ste 2290"</f>
        <v>Ste 2290</v>
      </c>
      <c r="AZ1157" t="str">
        <f>"Detroit"</f>
        <v>Detroit</v>
      </c>
      <c r="BA1157" t="str">
        <f>"MI"</f>
        <v>MI</v>
      </c>
      <c r="BB1157" s="3">
        <v>48226</v>
      </c>
      <c r="BC1157" t="str">
        <f t="shared" si="91"/>
        <v>UNITED STATES OF AMERICA</v>
      </c>
      <c r="BD1157" t="str">
        <f>""</f>
        <v/>
      </c>
      <c r="BE1157" t="str">
        <f>"+13134657406"</f>
        <v>+13134657406</v>
      </c>
      <c r="BF1157" t="str">
        <f>""</f>
        <v/>
      </c>
      <c r="BG1157" t="str">
        <f>"mcovino@honigman.com"</f>
        <v>mcovino@honigman.com</v>
      </c>
      <c r="BH1157" t="str">
        <f>"Honigman LLP"</f>
        <v>Honigman LLP</v>
      </c>
      <c r="BI1157" t="str">
        <f>"MI"</f>
        <v>MI</v>
      </c>
      <c r="BJ1157" t="str">
        <f>"Michigan Supreme Court"</f>
        <v>Michigan Supreme Court</v>
      </c>
      <c r="BK1157">
        <v>1</v>
      </c>
      <c r="BL1157" t="s">
        <v>102</v>
      </c>
      <c r="BM1157" t="str">
        <f>""</f>
        <v/>
      </c>
      <c r="BN1157" t="s">
        <v>3274</v>
      </c>
      <c r="BP1157" t="s">
        <v>348</v>
      </c>
      <c r="BQ1157" t="s">
        <v>719</v>
      </c>
      <c r="BR1157" t="s">
        <v>265</v>
      </c>
      <c r="BS1157" s="5">
        <v>48083</v>
      </c>
      <c r="BT1157" s="2">
        <v>125300</v>
      </c>
      <c r="BV1157" t="s">
        <v>105</v>
      </c>
      <c r="BW1157" s="2">
        <v>123968</v>
      </c>
      <c r="BX1157" t="s">
        <v>105</v>
      </c>
      <c r="BZ1157" t="s">
        <v>167</v>
      </c>
      <c r="CA1157" t="str">
        <f t="shared" si="92"/>
        <v>7/1/2020 - 6/30/2021</v>
      </c>
      <c r="CF1157">
        <v>1</v>
      </c>
      <c r="CG1157" t="s">
        <v>98</v>
      </c>
      <c r="CH1157" t="s">
        <v>206</v>
      </c>
      <c r="CI1157" t="s">
        <v>206</v>
      </c>
      <c r="CL1157" t="s">
        <v>108</v>
      </c>
      <c r="CM1157" t="s">
        <v>109</v>
      </c>
      <c r="CN1157" t="str">
        <f>""</f>
        <v/>
      </c>
      <c r="CO1157" t="str">
        <f>""</f>
        <v/>
      </c>
      <c r="CP1157" t="str">
        <f>""</f>
        <v/>
      </c>
      <c r="CQ1157" t="str">
        <f>""</f>
        <v/>
      </c>
    </row>
    <row r="1158" spans="1:96" x14ac:dyDescent="0.2">
      <c r="A1158" t="s">
        <v>11551</v>
      </c>
      <c r="B1158" t="s">
        <v>96</v>
      </c>
      <c r="C1158" s="1">
        <v>44098</v>
      </c>
      <c r="D1158" s="1">
        <v>44105</v>
      </c>
      <c r="F1158" t="s">
        <v>97</v>
      </c>
      <c r="G1158" t="str">
        <f>"Software Engineer 1615.59274"</f>
        <v>Software Engineer 1615.59274</v>
      </c>
      <c r="H1158" t="s">
        <v>12169</v>
      </c>
      <c r="I1158" t="s">
        <v>124</v>
      </c>
      <c r="J1158" t="s">
        <v>98</v>
      </c>
      <c r="K1158" s="1">
        <v>44099</v>
      </c>
      <c r="L1158" s="1">
        <v>45193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289</v>
      </c>
      <c r="U1158" t="str">
        <f>""</f>
        <v/>
      </c>
      <c r="V1158" t="s">
        <v>290</v>
      </c>
      <c r="W1158" t="str">
        <f>""</f>
        <v/>
      </c>
      <c r="X1158" t="s">
        <v>155</v>
      </c>
      <c r="Y1158" t="s">
        <v>141</v>
      </c>
      <c r="Z1158" s="3">
        <v>94043</v>
      </c>
      <c r="AA1158" t="s">
        <v>101</v>
      </c>
      <c r="AC1158" s="4" t="str">
        <f>"+16502037602"</f>
        <v>+16502037602</v>
      </c>
      <c r="AE1158" t="str">
        <f>"541512"</f>
        <v>541512</v>
      </c>
      <c r="AF1158" t="s">
        <v>427</v>
      </c>
      <c r="AG1158" t="s">
        <v>1880</v>
      </c>
      <c r="AI1158" t="s">
        <v>893</v>
      </c>
      <c r="AJ1158" t="s">
        <v>1562</v>
      </c>
      <c r="AK1158" t="str">
        <f>""</f>
        <v/>
      </c>
      <c r="AL1158" t="s">
        <v>150</v>
      </c>
      <c r="AM1158" t="s">
        <v>141</v>
      </c>
      <c r="AN1158" s="3">
        <v>94043</v>
      </c>
      <c r="AO1158" t="s">
        <v>101</v>
      </c>
      <c r="AQ1158" t="str">
        <f>"+16502534513"</f>
        <v>+16502534513</v>
      </c>
      <c r="AS1158" t="s">
        <v>429</v>
      </c>
      <c r="AT1158" t="s">
        <v>107</v>
      </c>
      <c r="AU1158" t="str">
        <f>"Hul"</f>
        <v>Hul</v>
      </c>
      <c r="AV1158" t="str">
        <f>"Dennis"</f>
        <v>Dennis</v>
      </c>
      <c r="AW1158" t="str">
        <f>""</f>
        <v/>
      </c>
      <c r="AX1158" t="str">
        <f>"2400 N. GLENVILLE DRIVE"</f>
        <v>2400 N. GLENVILLE DRIVE</v>
      </c>
      <c r="AY1158" t="str">
        <f>"BUILDING A, SUITE 100"</f>
        <v>BUILDING A, SUITE 100</v>
      </c>
      <c r="AZ1158" t="str">
        <f>"RICHARDSON"</f>
        <v>RICHARDSON</v>
      </c>
      <c r="BA1158" t="str">
        <f>"TX"</f>
        <v>TX</v>
      </c>
      <c r="BB1158" s="3">
        <v>75082</v>
      </c>
      <c r="BC1158" t="str">
        <f t="shared" si="91"/>
        <v>UNITED STATES OF AMERICA</v>
      </c>
      <c r="BD1158" t="str">
        <f>""</f>
        <v/>
      </c>
      <c r="BE1158" t="str">
        <f>"+14695052950"</f>
        <v>+14695052950</v>
      </c>
      <c r="BF1158" t="str">
        <f>""</f>
        <v/>
      </c>
      <c r="BG1158" t="str">
        <f>"GOOGLEDOL@BALGLOBAL.COM"</f>
        <v>GOOGLEDOL@BALGLOBAL.COM</v>
      </c>
      <c r="BH1158" t="str">
        <f>"BERRY APPLEMAN &amp; LEIDEN LLP"</f>
        <v>BERRY APPLEMAN &amp; LEIDEN LLP</v>
      </c>
      <c r="BI1158" t="str">
        <f>"RI"</f>
        <v>RI</v>
      </c>
      <c r="BJ1158" t="str">
        <f>"SUPREME COURT OF RHODE ISLAND"</f>
        <v>SUPREME COURT OF RHODE ISLAND</v>
      </c>
      <c r="BK1158">
        <v>1</v>
      </c>
      <c r="BL1158" t="s">
        <v>102</v>
      </c>
      <c r="BM1158" t="str">
        <f>""</f>
        <v/>
      </c>
      <c r="BN1158" t="s">
        <v>3133</v>
      </c>
      <c r="BP1158" t="s">
        <v>229</v>
      </c>
      <c r="BQ1158" t="s">
        <v>230</v>
      </c>
      <c r="BR1158" t="s">
        <v>141</v>
      </c>
      <c r="BS1158" s="5">
        <v>94089</v>
      </c>
      <c r="BT1158" s="2">
        <v>185000</v>
      </c>
      <c r="BV1158" t="s">
        <v>105</v>
      </c>
      <c r="BW1158" s="2">
        <v>120578</v>
      </c>
      <c r="BX1158" t="s">
        <v>105</v>
      </c>
      <c r="BZ1158" t="s">
        <v>167</v>
      </c>
      <c r="CA1158" t="str">
        <f t="shared" si="92"/>
        <v>7/1/2020 - 6/30/2021</v>
      </c>
      <c r="CF1158">
        <v>2</v>
      </c>
      <c r="CG1158" t="s">
        <v>98</v>
      </c>
      <c r="CH1158" t="s">
        <v>206</v>
      </c>
      <c r="CI1158" t="s">
        <v>206</v>
      </c>
      <c r="CL1158" t="s">
        <v>108</v>
      </c>
      <c r="CM1158" t="s">
        <v>109</v>
      </c>
      <c r="CN1158" t="str">
        <f>"Hazen"</f>
        <v>Hazen</v>
      </c>
      <c r="CO1158" t="str">
        <f>"Ashley"</f>
        <v>Ashley</v>
      </c>
      <c r="CP1158" t="str">
        <f>""</f>
        <v/>
      </c>
      <c r="CQ1158" t="str">
        <f>"Berry Applemen &amp; Leiden LLP"</f>
        <v>Berry Applemen &amp; Leiden LLP</v>
      </c>
      <c r="CR1158" t="s">
        <v>11552</v>
      </c>
    </row>
    <row r="1159" spans="1:96" x14ac:dyDescent="0.2">
      <c r="A1159" t="s">
        <v>11555</v>
      </c>
      <c r="B1159" t="s">
        <v>96</v>
      </c>
      <c r="C1159" s="1">
        <v>44098</v>
      </c>
      <c r="D1159" s="1">
        <v>44105</v>
      </c>
      <c r="F1159" t="s">
        <v>97</v>
      </c>
      <c r="G1159" t="str">
        <f>"Staff Accountant"</f>
        <v>Staff Accountant</v>
      </c>
      <c r="H1159" t="s">
        <v>12192</v>
      </c>
      <c r="I1159" t="s">
        <v>855</v>
      </c>
      <c r="J1159" t="s">
        <v>98</v>
      </c>
      <c r="K1159" s="1">
        <v>44146</v>
      </c>
      <c r="L1159" s="1">
        <v>45240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 t="s">
        <v>8795</v>
      </c>
      <c r="U1159" t="str">
        <f>""</f>
        <v/>
      </c>
      <c r="V1159" t="s">
        <v>8796</v>
      </c>
      <c r="W1159" t="str">
        <f>"Suite 1400"</f>
        <v>Suite 1400</v>
      </c>
      <c r="X1159" t="s">
        <v>483</v>
      </c>
      <c r="Y1159" t="s">
        <v>114</v>
      </c>
      <c r="Z1159" s="3">
        <v>75062</v>
      </c>
      <c r="AA1159" t="s">
        <v>101</v>
      </c>
      <c r="AC1159" s="4" t="str">
        <f>"+12143938603"</f>
        <v>+12143938603</v>
      </c>
      <c r="AE1159" t="str">
        <f>"721110"</f>
        <v>721110</v>
      </c>
      <c r="AF1159" t="s">
        <v>8797</v>
      </c>
      <c r="AG1159" t="s">
        <v>3417</v>
      </c>
      <c r="AI1159" t="s">
        <v>8798</v>
      </c>
      <c r="AJ1159" t="s">
        <v>8796</v>
      </c>
      <c r="AK1159" t="str">
        <f>"Suite 1400"</f>
        <v>Suite 1400</v>
      </c>
      <c r="AL1159" t="s">
        <v>483</v>
      </c>
      <c r="AM1159" t="s">
        <v>114</v>
      </c>
      <c r="AN1159" s="3">
        <v>75062</v>
      </c>
      <c r="AO1159" t="s">
        <v>101</v>
      </c>
      <c r="AQ1159" t="str">
        <f>"+12143938603"</f>
        <v>+12143938603</v>
      </c>
      <c r="AS1159" t="s">
        <v>8799</v>
      </c>
      <c r="AT1159" t="s">
        <v>107</v>
      </c>
      <c r="AU1159" t="str">
        <f>"Kalish"</f>
        <v>Kalish</v>
      </c>
      <c r="AV1159" t="str">
        <f>"Mark"</f>
        <v>Mark</v>
      </c>
      <c r="AW1159" t="str">
        <f>"C. "</f>
        <v xml:space="preserve">C. </v>
      </c>
      <c r="AX1159" t="str">
        <f>"641 Lexington Avenue"</f>
        <v>641 Lexington Avenue</v>
      </c>
      <c r="AY1159" t="str">
        <f>"Floor 29"</f>
        <v>Floor 29</v>
      </c>
      <c r="AZ1159" t="str">
        <f>"New York"</f>
        <v>New York</v>
      </c>
      <c r="BA1159" t="str">
        <f>"NY"</f>
        <v>NY</v>
      </c>
      <c r="BB1159" s="3">
        <v>10022</v>
      </c>
      <c r="BC1159" t="str">
        <f t="shared" si="91"/>
        <v>UNITED STATES OF AMERICA</v>
      </c>
      <c r="BD1159" t="str">
        <f>""</f>
        <v/>
      </c>
      <c r="BE1159" t="str">
        <f>"+12128696565"</f>
        <v>+12128696565</v>
      </c>
      <c r="BF1159" t="str">
        <f>""</f>
        <v/>
      </c>
      <c r="BG1159" t="str">
        <f>"mark@kalishlaw.com"</f>
        <v>mark@kalishlaw.com</v>
      </c>
      <c r="BH1159" t="str">
        <f>"Law Offices of Mark C. Kalish"</f>
        <v>Law Offices of Mark C. Kalish</v>
      </c>
      <c r="BI1159" t="str">
        <f>"NY"</f>
        <v>NY</v>
      </c>
      <c r="BJ1159" t="str">
        <f>"Court of Appeals"</f>
        <v>Court of Appeals</v>
      </c>
      <c r="BK1159">
        <v>1</v>
      </c>
      <c r="BL1159" t="s">
        <v>102</v>
      </c>
      <c r="BM1159" t="str">
        <f>""</f>
        <v/>
      </c>
      <c r="BN1159" t="s">
        <v>10754</v>
      </c>
      <c r="BO1159" t="s">
        <v>4026</v>
      </c>
      <c r="BP1159" t="s">
        <v>483</v>
      </c>
      <c r="BQ1159" t="s">
        <v>484</v>
      </c>
      <c r="BR1159" t="s">
        <v>114</v>
      </c>
      <c r="BS1159" s="5">
        <v>75062</v>
      </c>
      <c r="BT1159" s="2">
        <v>66128</v>
      </c>
      <c r="BV1159" t="s">
        <v>105</v>
      </c>
      <c r="BW1159" s="2">
        <v>53747</v>
      </c>
      <c r="BX1159" t="s">
        <v>105</v>
      </c>
      <c r="BZ1159" t="s">
        <v>191</v>
      </c>
      <c r="CA1159" t="str">
        <f t="shared" si="92"/>
        <v>7/1/2020 - 6/30/2021</v>
      </c>
      <c r="CF1159">
        <v>1</v>
      </c>
      <c r="CG1159" t="s">
        <v>98</v>
      </c>
      <c r="CH1159" t="s">
        <v>206</v>
      </c>
      <c r="CI1159" t="s">
        <v>206</v>
      </c>
      <c r="CL1159" t="s">
        <v>108</v>
      </c>
      <c r="CM1159" t="s">
        <v>109</v>
      </c>
      <c r="CN1159" t="str">
        <f>"Kalish"</f>
        <v>Kalish</v>
      </c>
      <c r="CO1159" t="str">
        <f>"Mark"</f>
        <v>Mark</v>
      </c>
      <c r="CP1159" t="str">
        <f>"C. "</f>
        <v xml:space="preserve">C. </v>
      </c>
      <c r="CQ1159" t="str">
        <f>"Law Offices of Mark C. Kalish"</f>
        <v>Law Offices of Mark C. Kalish</v>
      </c>
      <c r="CR1159" t="s">
        <v>6954</v>
      </c>
    </row>
    <row r="1160" spans="1:96" x14ac:dyDescent="0.2">
      <c r="A1160" t="s">
        <v>11558</v>
      </c>
      <c r="B1160" t="s">
        <v>96</v>
      </c>
      <c r="C1160" s="1">
        <v>44098</v>
      </c>
      <c r="D1160" s="1">
        <v>44105</v>
      </c>
      <c r="F1160" t="s">
        <v>97</v>
      </c>
      <c r="G1160" t="str">
        <f>"Associate Director of Housing Development"</f>
        <v>Associate Director of Housing Development</v>
      </c>
      <c r="H1160" t="s">
        <v>12171</v>
      </c>
      <c r="I1160" t="s">
        <v>2140</v>
      </c>
      <c r="J1160" t="s">
        <v>98</v>
      </c>
      <c r="K1160" s="1">
        <v>44105</v>
      </c>
      <c r="L1160" s="1">
        <v>45199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 t="s">
        <v>11559</v>
      </c>
      <c r="U1160" t="str">
        <f>""</f>
        <v/>
      </c>
      <c r="V1160" t="s">
        <v>11560</v>
      </c>
      <c r="W1160" t="str">
        <f>""</f>
        <v/>
      </c>
      <c r="X1160" t="s">
        <v>140</v>
      </c>
      <c r="Y1160" t="s">
        <v>141</v>
      </c>
      <c r="Z1160" s="3">
        <v>94102</v>
      </c>
      <c r="AA1160" t="s">
        <v>101</v>
      </c>
      <c r="AC1160" s="4" t="str">
        <f>"+14153583950"</f>
        <v>+14153583950</v>
      </c>
      <c r="AE1160" t="str">
        <f>"624190"</f>
        <v>624190</v>
      </c>
      <c r="AF1160" t="s">
        <v>11561</v>
      </c>
      <c r="AG1160" t="s">
        <v>6426</v>
      </c>
      <c r="AI1160" t="s">
        <v>860</v>
      </c>
      <c r="AJ1160" t="s">
        <v>11560</v>
      </c>
      <c r="AK1160" t="str">
        <f>""</f>
        <v/>
      </c>
      <c r="AL1160" t="s">
        <v>140</v>
      </c>
      <c r="AM1160" t="s">
        <v>141</v>
      </c>
      <c r="AN1160" s="3">
        <v>94102</v>
      </c>
      <c r="AO1160" t="s">
        <v>101</v>
      </c>
      <c r="AQ1160" t="str">
        <f>"+14153583950"</f>
        <v>+14153583950</v>
      </c>
      <c r="AS1160" t="s">
        <v>11562</v>
      </c>
      <c r="AT1160" t="s">
        <v>107</v>
      </c>
      <c r="AU1160" t="str">
        <f>"Spiegel"</f>
        <v>Spiegel</v>
      </c>
      <c r="AV1160" t="str">
        <f>"Lisa"</f>
        <v>Lisa</v>
      </c>
      <c r="AW1160" t="str">
        <f>""</f>
        <v/>
      </c>
      <c r="AX1160" t="str">
        <f>"One Market Plaza, Spear Tower"</f>
        <v>One Market Plaza, Spear Tower</v>
      </c>
      <c r="AY1160" t="str">
        <f>"Suite 2200"</f>
        <v>Suite 2200</v>
      </c>
      <c r="AZ1160" t="str">
        <f>"San Francisco"</f>
        <v>San Francisco</v>
      </c>
      <c r="BA1160" t="str">
        <f>"CA"</f>
        <v>CA</v>
      </c>
      <c r="BB1160" s="3">
        <v>94105</v>
      </c>
      <c r="BC1160" t="str">
        <f t="shared" si="91"/>
        <v>UNITED STATES OF AMERICA</v>
      </c>
      <c r="BD1160" t="str">
        <f>""</f>
        <v/>
      </c>
      <c r="BE1160" t="str">
        <f>"+14159573069"</f>
        <v>+14159573069</v>
      </c>
      <c r="BF1160" t="str">
        <f>""</f>
        <v/>
      </c>
      <c r="BG1160" t="str">
        <f>"lspiegel@duanemorris.com"</f>
        <v>lspiegel@duanemorris.com</v>
      </c>
      <c r="BH1160" t="str">
        <f>"Duane Morris LLP"</f>
        <v>Duane Morris LLP</v>
      </c>
      <c r="BI1160" t="str">
        <f>"CA"</f>
        <v>CA</v>
      </c>
      <c r="BJ1160" t="str">
        <f>"California Supreme Court"</f>
        <v>California Supreme Court</v>
      </c>
      <c r="BK1160">
        <v>1</v>
      </c>
      <c r="BL1160" t="s">
        <v>102</v>
      </c>
      <c r="BM1160" t="str">
        <f>""</f>
        <v/>
      </c>
      <c r="BN1160" t="s">
        <v>11563</v>
      </c>
      <c r="BP1160" t="s">
        <v>1286</v>
      </c>
      <c r="BQ1160" t="s">
        <v>1287</v>
      </c>
      <c r="BR1160" t="s">
        <v>141</v>
      </c>
      <c r="BS1160" s="5">
        <v>94901</v>
      </c>
      <c r="BT1160" s="2">
        <v>155000</v>
      </c>
      <c r="BV1160" t="s">
        <v>105</v>
      </c>
      <c r="BW1160" s="2">
        <v>150987</v>
      </c>
      <c r="BX1160" t="s">
        <v>105</v>
      </c>
      <c r="BZ1160" t="s">
        <v>167</v>
      </c>
      <c r="CA1160" t="str">
        <f t="shared" si="92"/>
        <v>7/1/2020 - 6/30/2021</v>
      </c>
      <c r="CF1160">
        <v>1</v>
      </c>
      <c r="CG1160" t="s">
        <v>98</v>
      </c>
      <c r="CH1160" t="s">
        <v>206</v>
      </c>
      <c r="CI1160" t="s">
        <v>206</v>
      </c>
      <c r="CL1160" t="s">
        <v>108</v>
      </c>
      <c r="CM1160" t="s">
        <v>109</v>
      </c>
      <c r="CN1160" t="str">
        <f>"Kondrashuk"</f>
        <v>Kondrashuk</v>
      </c>
      <c r="CO1160" t="str">
        <f>"Tatyana"</f>
        <v>Tatyana</v>
      </c>
      <c r="CP1160" t="str">
        <f>""</f>
        <v/>
      </c>
      <c r="CQ1160" t="str">
        <f>"Duane Morris LLP"</f>
        <v>Duane Morris LLP</v>
      </c>
      <c r="CR1160" t="s">
        <v>1718</v>
      </c>
    </row>
    <row r="1161" spans="1:96" x14ac:dyDescent="0.2">
      <c r="A1161" t="s">
        <v>11566</v>
      </c>
      <c r="B1161" t="s">
        <v>96</v>
      </c>
      <c r="C1161" s="1">
        <v>44098</v>
      </c>
      <c r="D1161" s="1">
        <v>44105</v>
      </c>
      <c r="F1161" t="s">
        <v>97</v>
      </c>
      <c r="G1161" t="str">
        <f>"Accountant"</f>
        <v>Accountant</v>
      </c>
      <c r="H1161" t="s">
        <v>12192</v>
      </c>
      <c r="I1161" t="s">
        <v>855</v>
      </c>
      <c r="J1161" t="s">
        <v>98</v>
      </c>
      <c r="K1161" s="1">
        <v>44119</v>
      </c>
      <c r="L1161" s="1">
        <v>45213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 t="s">
        <v>11567</v>
      </c>
      <c r="U1161" t="str">
        <f>""</f>
        <v/>
      </c>
      <c r="V1161" t="s">
        <v>11568</v>
      </c>
      <c r="W1161" t="str">
        <f>""</f>
        <v/>
      </c>
      <c r="X1161" t="s">
        <v>11075</v>
      </c>
      <c r="Y1161" t="s">
        <v>122</v>
      </c>
      <c r="Z1161" s="3">
        <v>28073</v>
      </c>
      <c r="AA1161" t="s">
        <v>101</v>
      </c>
      <c r="AC1161" s="4" t="str">
        <f>"+17044573003"</f>
        <v>+17044573003</v>
      </c>
      <c r="AE1161" t="str">
        <f>"3261"</f>
        <v>3261</v>
      </c>
      <c r="AF1161" t="s">
        <v>7231</v>
      </c>
      <c r="AG1161" t="s">
        <v>11020</v>
      </c>
      <c r="AI1161" t="s">
        <v>786</v>
      </c>
      <c r="AJ1161" t="s">
        <v>11568</v>
      </c>
      <c r="AK1161" t="str">
        <f>""</f>
        <v/>
      </c>
      <c r="AL1161" t="s">
        <v>11075</v>
      </c>
      <c r="AM1161" t="s">
        <v>122</v>
      </c>
      <c r="AN1161" s="3">
        <v>28073</v>
      </c>
      <c r="AO1161" t="s">
        <v>101</v>
      </c>
      <c r="AQ1161" t="str">
        <f>"+17044573003"</f>
        <v>+17044573003</v>
      </c>
      <c r="AS1161" t="s">
        <v>11569</v>
      </c>
      <c r="AT1161" t="s">
        <v>107</v>
      </c>
      <c r="AU1161" t="str">
        <f>"WEN"</f>
        <v>WEN</v>
      </c>
      <c r="AV1161" t="str">
        <f>"WARREN"</f>
        <v>WARREN</v>
      </c>
      <c r="AW1161" t="str">
        <f>"Y."</f>
        <v>Y.</v>
      </c>
      <c r="AX1161" t="str">
        <f>"1210 WARSAW ROAD"</f>
        <v>1210 WARSAW ROAD</v>
      </c>
      <c r="AY1161" t="str">
        <f>"SUITE 200"</f>
        <v>SUITE 200</v>
      </c>
      <c r="AZ1161" t="str">
        <f>"ROSWELL"</f>
        <v>ROSWELL</v>
      </c>
      <c r="BA1161" t="str">
        <f>"GA"</f>
        <v>GA</v>
      </c>
      <c r="BB1161" s="3">
        <v>30076</v>
      </c>
      <c r="BC1161" t="str">
        <f t="shared" si="91"/>
        <v>UNITED STATES OF AMERICA</v>
      </c>
      <c r="BD1161" t="str">
        <f>""</f>
        <v/>
      </c>
      <c r="BE1161" t="str">
        <f>"+17704810609"</f>
        <v>+17704810609</v>
      </c>
      <c r="BF1161" t="str">
        <f>""</f>
        <v/>
      </c>
      <c r="BG1161" t="str">
        <f>"WARREN_WEN@ATTORNEYLIU.COM"</f>
        <v>WARREN_WEN@ATTORNEYLIU.COM</v>
      </c>
      <c r="BH1161" t="str">
        <f>"LIU AND ASSOCIATES, P.C."</f>
        <v>LIU AND ASSOCIATES, P.C.</v>
      </c>
      <c r="BI1161" t="str">
        <f>"NY"</f>
        <v>NY</v>
      </c>
      <c r="BJ1161" t="str">
        <f>"COURT OF APPEALS OF THE STATE OF NEW YORK"</f>
        <v>COURT OF APPEALS OF THE STATE OF NEW YORK</v>
      </c>
      <c r="BK1161">
        <v>1</v>
      </c>
      <c r="BL1161" t="s">
        <v>102</v>
      </c>
      <c r="BM1161" t="str">
        <f>""</f>
        <v/>
      </c>
      <c r="BN1161" t="s">
        <v>11568</v>
      </c>
      <c r="BP1161" t="s">
        <v>11075</v>
      </c>
      <c r="BQ1161" t="s">
        <v>1585</v>
      </c>
      <c r="BR1161" t="s">
        <v>122</v>
      </c>
      <c r="BS1161" s="5">
        <v>28073</v>
      </c>
      <c r="BT1161" s="2">
        <v>42474</v>
      </c>
      <c r="BU1161" s="2">
        <v>43000</v>
      </c>
      <c r="BV1161" t="s">
        <v>105</v>
      </c>
      <c r="BW1161" s="2">
        <v>42474</v>
      </c>
      <c r="BX1161" t="s">
        <v>105</v>
      </c>
      <c r="BZ1161" t="s">
        <v>191</v>
      </c>
      <c r="CA1161" t="str">
        <f t="shared" si="92"/>
        <v>7/1/2020 - 6/30/2021</v>
      </c>
      <c r="CF1161">
        <v>1</v>
      </c>
      <c r="CG1161" t="s">
        <v>98</v>
      </c>
      <c r="CH1161" t="s">
        <v>206</v>
      </c>
      <c r="CI1161" t="s">
        <v>206</v>
      </c>
      <c r="CL1161" t="s">
        <v>108</v>
      </c>
      <c r="CM1161" t="s">
        <v>109</v>
      </c>
      <c r="CN1161" t="str">
        <f>""</f>
        <v/>
      </c>
      <c r="CO1161" t="str">
        <f>""</f>
        <v/>
      </c>
      <c r="CP1161" t="str">
        <f>""</f>
        <v/>
      </c>
      <c r="CQ1161" t="str">
        <f>""</f>
        <v/>
      </c>
    </row>
    <row r="1162" spans="1:96" x14ac:dyDescent="0.2">
      <c r="A1162" t="s">
        <v>11576</v>
      </c>
      <c r="B1162" t="s">
        <v>96</v>
      </c>
      <c r="C1162" s="1">
        <v>44098</v>
      </c>
      <c r="D1162" s="1">
        <v>44105</v>
      </c>
      <c r="F1162" t="s">
        <v>97</v>
      </c>
      <c r="G1162" t="str">
        <f>"Associate Professor of Clinical"</f>
        <v>Associate Professor of Clinical</v>
      </c>
      <c r="H1162" t="s">
        <v>12203</v>
      </c>
      <c r="I1162" t="s">
        <v>525</v>
      </c>
      <c r="J1162" t="s">
        <v>98</v>
      </c>
      <c r="K1162" s="1">
        <v>44145</v>
      </c>
      <c r="L1162" s="1">
        <v>45239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4821</v>
      </c>
      <c r="U1162" t="str">
        <f>""</f>
        <v/>
      </c>
      <c r="V1162" t="s">
        <v>4822</v>
      </c>
      <c r="W1162" t="str">
        <f>"Suite 100, PO Box 270446"</f>
        <v>Suite 100, PO Box 270446</v>
      </c>
      <c r="X1162" t="s">
        <v>2141</v>
      </c>
      <c r="Y1162" t="s">
        <v>190</v>
      </c>
      <c r="Z1162" s="3">
        <v>14620</v>
      </c>
      <c r="AA1162" t="s">
        <v>101</v>
      </c>
      <c r="AC1162" s="4" t="str">
        <f>"+15852753314"</f>
        <v>+15852753314</v>
      </c>
      <c r="AE1162" t="str">
        <f>"611310"</f>
        <v>611310</v>
      </c>
      <c r="AF1162" t="s">
        <v>6642</v>
      </c>
      <c r="AG1162" t="s">
        <v>3456</v>
      </c>
      <c r="AH1162" t="s">
        <v>666</v>
      </c>
      <c r="AI1162" t="s">
        <v>6643</v>
      </c>
      <c r="AJ1162" t="s">
        <v>6644</v>
      </c>
      <c r="AK1162" t="str">
        <f>"Box 270446"</f>
        <v>Box 270446</v>
      </c>
      <c r="AL1162" t="s">
        <v>2141</v>
      </c>
      <c r="AM1162" t="s">
        <v>190</v>
      </c>
      <c r="AN1162" s="3">
        <v>14627</v>
      </c>
      <c r="AO1162" t="s">
        <v>101</v>
      </c>
      <c r="AQ1162" t="str">
        <f>"+15852753314"</f>
        <v>+15852753314</v>
      </c>
      <c r="AS1162" t="s">
        <v>6645</v>
      </c>
      <c r="AT1162" t="s">
        <v>102</v>
      </c>
      <c r="AU1162" t="str">
        <f>""</f>
        <v/>
      </c>
      <c r="AV1162" t="str">
        <f>""</f>
        <v/>
      </c>
      <c r="AW1162" t="str">
        <f>""</f>
        <v/>
      </c>
      <c r="AX1162" t="str">
        <f>""</f>
        <v/>
      </c>
      <c r="AY1162" t="str">
        <f>""</f>
        <v/>
      </c>
      <c r="AZ1162" t="str">
        <f>""</f>
        <v/>
      </c>
      <c r="BA1162" t="str">
        <f>""</f>
        <v/>
      </c>
      <c r="BC1162" t="str">
        <f>""</f>
        <v/>
      </c>
      <c r="BD1162" t="str">
        <f>""</f>
        <v/>
      </c>
      <c r="BE1162" t="str">
        <f>""</f>
        <v/>
      </c>
      <c r="BF1162" t="str">
        <f>""</f>
        <v/>
      </c>
      <c r="BG1162" t="str">
        <f>""</f>
        <v/>
      </c>
      <c r="BH1162" t="str">
        <f>""</f>
        <v/>
      </c>
      <c r="BI1162" t="str">
        <f>""</f>
        <v/>
      </c>
      <c r="BJ1162" t="str">
        <f>""</f>
        <v/>
      </c>
      <c r="BK1162">
        <v>1</v>
      </c>
      <c r="BL1162" t="s">
        <v>102</v>
      </c>
      <c r="BM1162" t="str">
        <f>""</f>
        <v/>
      </c>
      <c r="BN1162" t="s">
        <v>11577</v>
      </c>
      <c r="BO1162" t="s">
        <v>11578</v>
      </c>
      <c r="BP1162" t="s">
        <v>2141</v>
      </c>
      <c r="BQ1162" t="s">
        <v>626</v>
      </c>
      <c r="BR1162" t="s">
        <v>190</v>
      </c>
      <c r="BS1162" s="5">
        <v>14642</v>
      </c>
      <c r="BT1162" s="2">
        <v>300000</v>
      </c>
      <c r="BU1162" s="2">
        <v>300001</v>
      </c>
      <c r="BV1162" t="s">
        <v>105</v>
      </c>
      <c r="BW1162" s="2">
        <v>118817</v>
      </c>
      <c r="BX1162" t="s">
        <v>105</v>
      </c>
      <c r="BZ1162" t="s">
        <v>167</v>
      </c>
      <c r="CA1162" t="str">
        <f t="shared" si="92"/>
        <v>7/1/2020 - 6/30/2021</v>
      </c>
      <c r="CF1162">
        <v>2</v>
      </c>
      <c r="CG1162" t="s">
        <v>98</v>
      </c>
      <c r="CH1162" t="s">
        <v>206</v>
      </c>
      <c r="CI1162" t="s">
        <v>206</v>
      </c>
      <c r="CL1162" t="s">
        <v>108</v>
      </c>
      <c r="CM1162" t="s">
        <v>109</v>
      </c>
      <c r="CN1162" t="str">
        <f>""</f>
        <v/>
      </c>
      <c r="CO1162" t="str">
        <f>""</f>
        <v/>
      </c>
      <c r="CP1162" t="str">
        <f>""</f>
        <v/>
      </c>
      <c r="CQ1162" t="str">
        <f>""</f>
        <v/>
      </c>
    </row>
    <row r="1163" spans="1:96" x14ac:dyDescent="0.2">
      <c r="A1163" t="s">
        <v>11582</v>
      </c>
      <c r="B1163" t="s">
        <v>96</v>
      </c>
      <c r="C1163" s="1">
        <v>44098</v>
      </c>
      <c r="D1163" s="1">
        <v>44105</v>
      </c>
      <c r="F1163" t="s">
        <v>97</v>
      </c>
      <c r="G1163" t="str">
        <f>"Software Developer"</f>
        <v>Software Developer</v>
      </c>
      <c r="H1163" t="s">
        <v>12169</v>
      </c>
      <c r="I1163" t="s">
        <v>124</v>
      </c>
      <c r="J1163" t="s">
        <v>98</v>
      </c>
      <c r="K1163" s="1">
        <v>44256</v>
      </c>
      <c r="L1163" s="1">
        <v>45350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4938</v>
      </c>
      <c r="U1163" t="str">
        <f>""</f>
        <v/>
      </c>
      <c r="V1163" t="s">
        <v>1281</v>
      </c>
      <c r="W1163" t="str">
        <f>""</f>
        <v/>
      </c>
      <c r="X1163" t="s">
        <v>538</v>
      </c>
      <c r="Y1163" t="s">
        <v>135</v>
      </c>
      <c r="Z1163" s="3">
        <v>22030</v>
      </c>
      <c r="AA1163" t="s">
        <v>101</v>
      </c>
      <c r="AC1163" s="4" t="str">
        <f>"+17032678000"</f>
        <v>+17032678000</v>
      </c>
      <c r="AE1163" t="str">
        <f>"541512"</f>
        <v>541512</v>
      </c>
      <c r="AF1163" t="s">
        <v>1282</v>
      </c>
      <c r="AG1163" t="s">
        <v>1283</v>
      </c>
      <c r="AI1163" t="s">
        <v>1284</v>
      </c>
      <c r="AJ1163" t="s">
        <v>1281</v>
      </c>
      <c r="AK1163" t="str">
        <f>""</f>
        <v/>
      </c>
      <c r="AL1163" t="s">
        <v>538</v>
      </c>
      <c r="AM1163" t="s">
        <v>135</v>
      </c>
      <c r="AN1163" s="3">
        <v>22030</v>
      </c>
      <c r="AO1163" t="s">
        <v>101</v>
      </c>
      <c r="AQ1163" t="str">
        <f>"+17324282390"</f>
        <v>+17324282390</v>
      </c>
      <c r="AS1163" t="s">
        <v>1285</v>
      </c>
      <c r="AT1163" t="s">
        <v>107</v>
      </c>
      <c r="AU1163" t="str">
        <f>"Smith"</f>
        <v>Smith</v>
      </c>
      <c r="AV1163" t="str">
        <f>"Michael"</f>
        <v>Michael</v>
      </c>
      <c r="AW1163" t="str">
        <f>"Francis"</f>
        <v>Francis</v>
      </c>
      <c r="AX1163" t="str">
        <f>"1101 15TH STREET, NW"</f>
        <v>1101 15TH STREET, NW</v>
      </c>
      <c r="AY1163" t="str">
        <f>"Suite 700"</f>
        <v>Suite 700</v>
      </c>
      <c r="AZ1163" t="str">
        <f>"Washington "</f>
        <v xml:space="preserve">Washington </v>
      </c>
      <c r="BA1163" t="str">
        <f>"DC"</f>
        <v>DC</v>
      </c>
      <c r="BB1163" s="3">
        <v>20005</v>
      </c>
      <c r="BC1163" t="str">
        <f t="shared" ref="BC1163:BC1172" si="93">"UNITED STATES OF AMERICA"</f>
        <v>UNITED STATES OF AMERICA</v>
      </c>
      <c r="BD1163" t="str">
        <f>""</f>
        <v/>
      </c>
      <c r="BE1163" t="str">
        <f>"+12022235515"</f>
        <v>+12022235515</v>
      </c>
      <c r="BF1163" t="str">
        <f>""</f>
        <v/>
      </c>
      <c r="BG1163" t="str">
        <f>"LCATeamPham@Fragomen.com"</f>
        <v>LCATeamPham@Fragomen.com</v>
      </c>
      <c r="BH1163" t="str">
        <f>"Fragomen, Del Rey, Bernsen &amp; Loewy, LLP"</f>
        <v>Fragomen, Del Rey, Bernsen &amp; Loewy, LLP</v>
      </c>
      <c r="BI1163" t="str">
        <f>"DC"</f>
        <v>DC</v>
      </c>
      <c r="BJ1163" t="str">
        <f>"DISTRICT OF COLUMBIA COURT OF APPEALS"</f>
        <v>DISTRICT OF COLUMBIA COURT OF APPEALS</v>
      </c>
      <c r="BK1163">
        <v>1</v>
      </c>
      <c r="BL1163" t="s">
        <v>102</v>
      </c>
      <c r="BM1163" t="str">
        <f>""</f>
        <v/>
      </c>
      <c r="BN1163" t="s">
        <v>11583</v>
      </c>
      <c r="BO1163" t="s">
        <v>11584</v>
      </c>
      <c r="BP1163" t="s">
        <v>811</v>
      </c>
      <c r="BQ1163" t="s">
        <v>5895</v>
      </c>
      <c r="BR1163" t="s">
        <v>594</v>
      </c>
      <c r="BS1163" s="5">
        <v>29615</v>
      </c>
      <c r="BT1163" s="2">
        <v>86985.600000000006</v>
      </c>
      <c r="BV1163" t="s">
        <v>105</v>
      </c>
      <c r="BW1163" s="2">
        <v>76336</v>
      </c>
      <c r="BX1163" t="s">
        <v>105</v>
      </c>
      <c r="BZ1163" t="s">
        <v>167</v>
      </c>
      <c r="CA1163" t="str">
        <f t="shared" si="92"/>
        <v>7/1/2020 - 6/30/2021</v>
      </c>
      <c r="CF1163">
        <v>2</v>
      </c>
      <c r="CG1163" t="s">
        <v>98</v>
      </c>
      <c r="CH1163" t="s">
        <v>206</v>
      </c>
      <c r="CI1163" t="s">
        <v>206</v>
      </c>
      <c r="CL1163" t="s">
        <v>108</v>
      </c>
      <c r="CM1163" t="s">
        <v>109</v>
      </c>
      <c r="CN1163" t="str">
        <f>""</f>
        <v/>
      </c>
      <c r="CO1163" t="str">
        <f>""</f>
        <v/>
      </c>
      <c r="CP1163" t="str">
        <f>""</f>
        <v/>
      </c>
      <c r="CQ1163" t="str">
        <f>""</f>
        <v/>
      </c>
    </row>
    <row r="1164" spans="1:96" x14ac:dyDescent="0.2">
      <c r="A1164" t="s">
        <v>11585</v>
      </c>
      <c r="B1164" t="s">
        <v>96</v>
      </c>
      <c r="C1164" s="1">
        <v>44098</v>
      </c>
      <c r="D1164" s="1">
        <v>44105</v>
      </c>
      <c r="F1164" t="s">
        <v>97</v>
      </c>
      <c r="G1164" t="str">
        <f>"Software Engineer"</f>
        <v>Software Engineer</v>
      </c>
      <c r="H1164" t="s">
        <v>12176</v>
      </c>
      <c r="I1164" t="s">
        <v>246</v>
      </c>
      <c r="J1164" t="s">
        <v>98</v>
      </c>
      <c r="K1164" s="1">
        <v>44156</v>
      </c>
      <c r="L1164" s="1">
        <v>45250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6112</v>
      </c>
      <c r="U1164" t="str">
        <f>""</f>
        <v/>
      </c>
      <c r="V1164" t="s">
        <v>6113</v>
      </c>
      <c r="W1164" t="str">
        <f>""</f>
        <v/>
      </c>
      <c r="X1164" t="s">
        <v>982</v>
      </c>
      <c r="Y1164" t="s">
        <v>265</v>
      </c>
      <c r="Z1164" s="3">
        <v>48150</v>
      </c>
      <c r="AA1164" t="s">
        <v>101</v>
      </c>
      <c r="AC1164" s="4" t="str">
        <f>"+17348552654"</f>
        <v>+17348552654</v>
      </c>
      <c r="AE1164" t="str">
        <f>"336111"</f>
        <v>336111</v>
      </c>
      <c r="AF1164" t="s">
        <v>5508</v>
      </c>
      <c r="AG1164" t="s">
        <v>927</v>
      </c>
      <c r="AH1164" t="s">
        <v>108</v>
      </c>
      <c r="AI1164" t="s">
        <v>6114</v>
      </c>
      <c r="AJ1164" t="s">
        <v>6113</v>
      </c>
      <c r="AK1164" t="str">
        <f>""</f>
        <v/>
      </c>
      <c r="AL1164" t="s">
        <v>982</v>
      </c>
      <c r="AM1164" t="s">
        <v>265</v>
      </c>
      <c r="AN1164" s="3">
        <v>48150</v>
      </c>
      <c r="AO1164" t="s">
        <v>101</v>
      </c>
      <c r="AQ1164" t="str">
        <f>"+17348552654"</f>
        <v>+17348552654</v>
      </c>
      <c r="AS1164" t="s">
        <v>6115</v>
      </c>
      <c r="AT1164" t="s">
        <v>107</v>
      </c>
      <c r="AU1164" t="str">
        <f>"Terebelo"</f>
        <v>Terebelo</v>
      </c>
      <c r="AV1164" t="str">
        <f>"Michal"</f>
        <v>Michal</v>
      </c>
      <c r="AW1164" t="str">
        <f>"D"</f>
        <v>D</v>
      </c>
      <c r="AX1164" t="str">
        <f>"5250 Corporate Drive"</f>
        <v>5250 Corporate Drive</v>
      </c>
      <c r="AY1164" t="str">
        <f>"Ste. 300"</f>
        <v>Ste. 300</v>
      </c>
      <c r="AZ1164" t="str">
        <f>"Troy"</f>
        <v>Troy</v>
      </c>
      <c r="BA1164" t="str">
        <f>"MI"</f>
        <v>MI</v>
      </c>
      <c r="BB1164" s="3">
        <v>48098</v>
      </c>
      <c r="BC1164" t="str">
        <f t="shared" si="93"/>
        <v>UNITED STATES OF AMERICA</v>
      </c>
      <c r="BD1164" t="str">
        <f>""</f>
        <v/>
      </c>
      <c r="BE1164" t="str">
        <f>"+12486434900"</f>
        <v>+12486434900</v>
      </c>
      <c r="BF1164" t="str">
        <f>""</f>
        <v/>
      </c>
      <c r="BG1164" t="str">
        <f>"Nikhilsunr@employmentimmigration.com"</f>
        <v>Nikhilsunr@employmentimmigration.com</v>
      </c>
      <c r="BH1164" t="str">
        <f>"Fakhoury Global Immigration, USA PC"</f>
        <v>Fakhoury Global Immigration, USA PC</v>
      </c>
      <c r="BI1164" t="str">
        <f>"MI"</f>
        <v>MI</v>
      </c>
      <c r="BJ1164" t="str">
        <f>"Supreme Court"</f>
        <v>Supreme Court</v>
      </c>
      <c r="BK1164">
        <v>1</v>
      </c>
      <c r="BL1164" t="s">
        <v>102</v>
      </c>
      <c r="BM1164" t="str">
        <f>""</f>
        <v/>
      </c>
      <c r="BN1164" t="s">
        <v>6112</v>
      </c>
      <c r="BO1164" t="s">
        <v>6116</v>
      </c>
      <c r="BP1164" t="s">
        <v>1498</v>
      </c>
      <c r="BQ1164" t="s">
        <v>719</v>
      </c>
      <c r="BR1164" t="s">
        <v>265</v>
      </c>
      <c r="BS1164" s="5">
        <v>48335</v>
      </c>
      <c r="BT1164" s="2">
        <v>94050</v>
      </c>
      <c r="BV1164" t="s">
        <v>105</v>
      </c>
      <c r="BW1164" s="2">
        <v>79248</v>
      </c>
      <c r="BX1164" t="s">
        <v>105</v>
      </c>
      <c r="BZ1164" t="s">
        <v>167</v>
      </c>
      <c r="CA1164" t="str">
        <f t="shared" si="92"/>
        <v>7/1/2020 - 6/30/2021</v>
      </c>
      <c r="CF1164">
        <v>2</v>
      </c>
      <c r="CG1164" t="s">
        <v>98</v>
      </c>
      <c r="CH1164" t="s">
        <v>206</v>
      </c>
      <c r="CI1164" t="s">
        <v>206</v>
      </c>
      <c r="CL1164" t="s">
        <v>108</v>
      </c>
      <c r="CM1164" t="s">
        <v>109</v>
      </c>
      <c r="CN1164" t="str">
        <f>"Terebelo"</f>
        <v>Terebelo</v>
      </c>
      <c r="CO1164" t="str">
        <f>"Michal"</f>
        <v>Michal</v>
      </c>
      <c r="CP1164" t="str">
        <f>"D"</f>
        <v>D</v>
      </c>
      <c r="CQ1164" t="str">
        <f>"Fakhoury Global Immigration, USA PC"</f>
        <v>Fakhoury Global Immigration, USA PC</v>
      </c>
      <c r="CR1164" t="s">
        <v>5667</v>
      </c>
    </row>
    <row r="1165" spans="1:96" x14ac:dyDescent="0.2">
      <c r="A1165" t="s">
        <v>11588</v>
      </c>
      <c r="B1165" t="s">
        <v>96</v>
      </c>
      <c r="C1165" s="1">
        <v>44098</v>
      </c>
      <c r="D1165" s="1">
        <v>44105</v>
      </c>
      <c r="F1165" t="s">
        <v>97</v>
      </c>
      <c r="G1165" t="str">
        <f>"AMERICAS TECHNICAL CUSTOMER SUPPORT MANAGER"</f>
        <v>AMERICAS TECHNICAL CUSTOMER SUPPORT MANAGER</v>
      </c>
      <c r="H1165" t="s">
        <v>12196</v>
      </c>
      <c r="I1165" t="s">
        <v>322</v>
      </c>
      <c r="J1165" t="s">
        <v>98</v>
      </c>
      <c r="K1165" s="1">
        <v>44278</v>
      </c>
      <c r="L1165" s="1">
        <v>45373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 t="s">
        <v>6193</v>
      </c>
      <c r="U1165" t="str">
        <f>""</f>
        <v/>
      </c>
      <c r="V1165" t="s">
        <v>6194</v>
      </c>
      <c r="W1165" t="str">
        <f>"N/A"</f>
        <v>N/A</v>
      </c>
      <c r="X1165" t="s">
        <v>6195</v>
      </c>
      <c r="Y1165" t="s">
        <v>171</v>
      </c>
      <c r="Z1165" s="3">
        <v>2451</v>
      </c>
      <c r="AA1165" t="s">
        <v>101</v>
      </c>
      <c r="AC1165" s="4" t="str">
        <f>"+17818105058"</f>
        <v>+17818105058</v>
      </c>
      <c r="AE1165" t="str">
        <f>"541511"</f>
        <v>541511</v>
      </c>
      <c r="AF1165" t="s">
        <v>6196</v>
      </c>
      <c r="AG1165" t="s">
        <v>4521</v>
      </c>
      <c r="AH1165" t="s">
        <v>108</v>
      </c>
      <c r="AI1165" t="s">
        <v>6197</v>
      </c>
      <c r="AJ1165" t="s">
        <v>6194</v>
      </c>
      <c r="AK1165" t="str">
        <f>"N/A"</f>
        <v>N/A</v>
      </c>
      <c r="AL1165" t="s">
        <v>6195</v>
      </c>
      <c r="AM1165" t="s">
        <v>171</v>
      </c>
      <c r="AN1165" s="3">
        <v>2451</v>
      </c>
      <c r="AO1165" t="s">
        <v>101</v>
      </c>
      <c r="AQ1165" t="str">
        <f>"+17818105058"</f>
        <v>+17818105058</v>
      </c>
      <c r="AS1165" t="s">
        <v>6198</v>
      </c>
      <c r="AT1165" t="s">
        <v>107</v>
      </c>
      <c r="AU1165" t="str">
        <f>"NORDBY"</f>
        <v>NORDBY</v>
      </c>
      <c r="AV1165" t="str">
        <f>"AMANDA"</f>
        <v>AMANDA</v>
      </c>
      <c r="AW1165" t="str">
        <f>"M."</f>
        <v>M.</v>
      </c>
      <c r="AX1165" t="str">
        <f>"100 HIGH STREET"</f>
        <v>100 HIGH STREET</v>
      </c>
      <c r="AY1165" t="str">
        <f>"3RD FLOOR"</f>
        <v>3RD FLOOR</v>
      </c>
      <c r="AZ1165" t="str">
        <f>"BOSTON"</f>
        <v>BOSTON</v>
      </c>
      <c r="BA1165" t="str">
        <f>"MA"</f>
        <v>MA</v>
      </c>
      <c r="BB1165" s="3">
        <v>2110</v>
      </c>
      <c r="BC1165" t="str">
        <f t="shared" si="93"/>
        <v>UNITED STATES OF AMERICA</v>
      </c>
      <c r="BD1165" t="str">
        <f>""</f>
        <v/>
      </c>
      <c r="BE1165" t="str">
        <f>"+16175740400"</f>
        <v>+16175740400</v>
      </c>
      <c r="BF1165" t="str">
        <f>""</f>
        <v/>
      </c>
      <c r="BG1165" t="str">
        <f>"KFORTUNE@FRAGOMEN.COM"</f>
        <v>KFORTUNE@FRAGOMEN.COM</v>
      </c>
      <c r="BH1165" t="str">
        <f>"FRAGOMEN, DEL REY, BERNSEN &amp; LOEWY, LLP"</f>
        <v>FRAGOMEN, DEL REY, BERNSEN &amp; LOEWY, LLP</v>
      </c>
      <c r="BI1165" t="str">
        <f>"MA"</f>
        <v>MA</v>
      </c>
      <c r="BJ1165" t="str">
        <f>"SUPREME JUDICIAL COURT"</f>
        <v>SUPREME JUDICIAL COURT</v>
      </c>
      <c r="BK1165">
        <v>1</v>
      </c>
      <c r="BL1165" t="s">
        <v>102</v>
      </c>
      <c r="BM1165" t="str">
        <f>""</f>
        <v/>
      </c>
      <c r="BN1165" t="s">
        <v>7829</v>
      </c>
      <c r="BO1165" t="s">
        <v>2933</v>
      </c>
      <c r="BP1165" t="s">
        <v>7434</v>
      </c>
      <c r="BQ1165" t="s">
        <v>719</v>
      </c>
      <c r="BR1165" t="s">
        <v>265</v>
      </c>
      <c r="BS1165" s="5">
        <v>48326</v>
      </c>
      <c r="BT1165" s="2">
        <v>96699.98</v>
      </c>
      <c r="BV1165" t="s">
        <v>105</v>
      </c>
      <c r="BW1165" s="2">
        <v>82555</v>
      </c>
      <c r="BX1165" t="s">
        <v>105</v>
      </c>
      <c r="BZ1165" t="s">
        <v>167</v>
      </c>
      <c r="CA1165" t="str">
        <f t="shared" si="92"/>
        <v>7/1/2020 - 6/30/2021</v>
      </c>
      <c r="CF1165">
        <v>1</v>
      </c>
      <c r="CG1165" t="s">
        <v>98</v>
      </c>
      <c r="CH1165" t="s">
        <v>206</v>
      </c>
      <c r="CI1165" t="s">
        <v>206</v>
      </c>
      <c r="CL1165" t="s">
        <v>108</v>
      </c>
      <c r="CM1165" t="s">
        <v>109</v>
      </c>
      <c r="CN1165" t="str">
        <f>"FORTUNE"</f>
        <v>FORTUNE</v>
      </c>
      <c r="CO1165" t="str">
        <f>"KEESHA"</f>
        <v>KEESHA</v>
      </c>
      <c r="CP1165" t="str">
        <f>"L."</f>
        <v>L.</v>
      </c>
      <c r="CQ1165" t="str">
        <f>"FRAGOMEN, DEL REY, BERNSEN &amp; LOEWY, LLP"</f>
        <v>FRAGOMEN, DEL REY, BERNSEN &amp; LOEWY, LLP</v>
      </c>
      <c r="CR1165" t="s">
        <v>172</v>
      </c>
    </row>
    <row r="1166" spans="1:96" x14ac:dyDescent="0.2">
      <c r="A1166" t="s">
        <v>11589</v>
      </c>
      <c r="B1166" t="s">
        <v>96</v>
      </c>
      <c r="C1166" s="1">
        <v>44098</v>
      </c>
      <c r="D1166" s="1">
        <v>44105</v>
      </c>
      <c r="F1166" t="s">
        <v>97</v>
      </c>
      <c r="G1166" t="str">
        <f>"Assistant Professor of Electrical Engineering"</f>
        <v>Assistant Professor of Electrical Engineering</v>
      </c>
      <c r="H1166" t="s">
        <v>12193</v>
      </c>
      <c r="I1166" t="s">
        <v>205</v>
      </c>
      <c r="J1166" t="s">
        <v>98</v>
      </c>
      <c r="K1166" s="1">
        <v>44277</v>
      </c>
      <c r="L1166" s="1">
        <v>45372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11590</v>
      </c>
      <c r="U1166" t="str">
        <f>""</f>
        <v/>
      </c>
      <c r="V1166" t="s">
        <v>11591</v>
      </c>
      <c r="W1166" t="str">
        <f>""</f>
        <v/>
      </c>
      <c r="X1166" t="s">
        <v>11592</v>
      </c>
      <c r="Y1166" t="s">
        <v>4591</v>
      </c>
      <c r="Z1166" s="3">
        <v>87801</v>
      </c>
      <c r="AA1166" t="s">
        <v>101</v>
      </c>
      <c r="AC1166" s="4" t="str">
        <f>"+15758355730"</f>
        <v>+15758355730</v>
      </c>
      <c r="AE1166" t="str">
        <f>"611310"</f>
        <v>611310</v>
      </c>
      <c r="AF1166" t="s">
        <v>3748</v>
      </c>
      <c r="AG1166" t="s">
        <v>1662</v>
      </c>
      <c r="AI1166" t="s">
        <v>2739</v>
      </c>
      <c r="AJ1166" t="s">
        <v>11591</v>
      </c>
      <c r="AK1166" t="str">
        <f>""</f>
        <v/>
      </c>
      <c r="AL1166" t="s">
        <v>11592</v>
      </c>
      <c r="AM1166" t="s">
        <v>4591</v>
      </c>
      <c r="AN1166" s="3">
        <v>87801</v>
      </c>
      <c r="AO1166" t="s">
        <v>101</v>
      </c>
      <c r="AQ1166" t="str">
        <f>"+15758355370"</f>
        <v>+15758355370</v>
      </c>
      <c r="AS1166" t="s">
        <v>11593</v>
      </c>
      <c r="AT1166" t="s">
        <v>107</v>
      </c>
      <c r="AU1166" t="str">
        <f>"Moore"</f>
        <v>Moore</v>
      </c>
      <c r="AV1166" t="str">
        <f>"Jonathan"</f>
        <v>Jonathan</v>
      </c>
      <c r="AW1166" t="str">
        <f>"L. "</f>
        <v xml:space="preserve">L. </v>
      </c>
      <c r="AX1166" t="str">
        <f>"1111 E. Main Street"</f>
        <v>1111 E. Main Street</v>
      </c>
      <c r="AY1166" t="str">
        <f>"Suite 2100"</f>
        <v>Suite 2100</v>
      </c>
      <c r="AZ1166" t="str">
        <f>"Richmond"</f>
        <v>Richmond</v>
      </c>
      <c r="BA1166" t="str">
        <f>"VA"</f>
        <v>VA</v>
      </c>
      <c r="BB1166" s="3">
        <v>23219</v>
      </c>
      <c r="BC1166" t="str">
        <f t="shared" si="93"/>
        <v>UNITED STATES OF AMERICA</v>
      </c>
      <c r="BD1166" t="str">
        <f>""</f>
        <v/>
      </c>
      <c r="BE1166" t="str">
        <f>"+18047757227"</f>
        <v>+18047757227</v>
      </c>
      <c r="BF1166" t="str">
        <f>""</f>
        <v/>
      </c>
      <c r="BG1166" t="str">
        <f>"jmoore@lawmh.com"</f>
        <v>jmoore@lawmh.com</v>
      </c>
      <c r="BH1166" t="str">
        <f>"McCandlish Holton, PC"</f>
        <v>McCandlish Holton, PC</v>
      </c>
      <c r="BI1166" t="str">
        <f>"VA"</f>
        <v>VA</v>
      </c>
      <c r="BJ1166" t="str">
        <f>"Supreme Court"</f>
        <v>Supreme Court</v>
      </c>
      <c r="BK1166">
        <v>1</v>
      </c>
      <c r="BL1166" t="s">
        <v>102</v>
      </c>
      <c r="BM1166" t="str">
        <f>""</f>
        <v/>
      </c>
      <c r="BN1166" t="s">
        <v>11594</v>
      </c>
      <c r="BP1166" t="s">
        <v>11592</v>
      </c>
      <c r="BQ1166" t="s">
        <v>11595</v>
      </c>
      <c r="BR1166" t="s">
        <v>4591</v>
      </c>
      <c r="BS1166" s="5">
        <v>87801</v>
      </c>
      <c r="BT1166" s="2">
        <v>70000</v>
      </c>
      <c r="BV1166" t="s">
        <v>105</v>
      </c>
      <c r="BW1166" s="2">
        <v>69993</v>
      </c>
      <c r="BX1166" t="s">
        <v>105</v>
      </c>
      <c r="BZ1166" t="s">
        <v>167</v>
      </c>
      <c r="CA1166" t="str">
        <f t="shared" si="92"/>
        <v>7/1/2020 - 6/30/2021</v>
      </c>
      <c r="CF1166">
        <v>1</v>
      </c>
      <c r="CG1166" t="s">
        <v>98</v>
      </c>
      <c r="CH1166" t="s">
        <v>206</v>
      </c>
      <c r="CI1166" t="s">
        <v>206</v>
      </c>
      <c r="CL1166" t="s">
        <v>108</v>
      </c>
      <c r="CM1166" t="s">
        <v>109</v>
      </c>
      <c r="CN1166" t="str">
        <f>"Goldstein"</f>
        <v>Goldstein</v>
      </c>
      <c r="CO1166" t="str">
        <f>"Rachel"</f>
        <v>Rachel</v>
      </c>
      <c r="CP1166" t="str">
        <f>"S."</f>
        <v>S.</v>
      </c>
      <c r="CQ1166" t="str">
        <f>"McCandlish Holton, PC"</f>
        <v>McCandlish Holton, PC</v>
      </c>
      <c r="CR1166" t="s">
        <v>5864</v>
      </c>
    </row>
    <row r="1167" spans="1:96" x14ac:dyDescent="0.2">
      <c r="A1167" t="s">
        <v>11596</v>
      </c>
      <c r="B1167" t="s">
        <v>96</v>
      </c>
      <c r="C1167" s="1">
        <v>44098</v>
      </c>
      <c r="D1167" s="1">
        <v>44105</v>
      </c>
      <c r="F1167" t="s">
        <v>97</v>
      </c>
      <c r="G1167" t="str">
        <f>"OPERATIONS ENGINEER II"</f>
        <v>OPERATIONS ENGINEER II</v>
      </c>
      <c r="H1167" t="s">
        <v>12187</v>
      </c>
      <c r="I1167" t="s">
        <v>331</v>
      </c>
      <c r="J1167" t="s">
        <v>98</v>
      </c>
      <c r="K1167" s="1">
        <v>44165</v>
      </c>
      <c r="L1167" s="1">
        <v>45259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 t="s">
        <v>440</v>
      </c>
      <c r="U1167" t="str">
        <f>""</f>
        <v/>
      </c>
      <c r="V1167" t="s">
        <v>809</v>
      </c>
      <c r="W1167" t="str">
        <f>"SUITE 500"</f>
        <v>SUITE 500</v>
      </c>
      <c r="X1167" t="s">
        <v>433</v>
      </c>
      <c r="Y1167" t="s">
        <v>176</v>
      </c>
      <c r="Z1167" s="3">
        <v>98121</v>
      </c>
      <c r="AA1167" t="s">
        <v>101</v>
      </c>
      <c r="AC1167" s="4" t="str">
        <f>"+12062661000"</f>
        <v>+12062661000</v>
      </c>
      <c r="AE1167" t="str">
        <f>"454110"</f>
        <v>454110</v>
      </c>
      <c r="AF1167" t="s">
        <v>442</v>
      </c>
      <c r="AG1167" t="s">
        <v>443</v>
      </c>
      <c r="AH1167" t="s">
        <v>108</v>
      </c>
      <c r="AI1167" t="s">
        <v>434</v>
      </c>
      <c r="AJ1167" t="s">
        <v>809</v>
      </c>
      <c r="AK1167" t="str">
        <f>"SUITE 500"</f>
        <v>SUITE 500</v>
      </c>
      <c r="AL1167" t="s">
        <v>433</v>
      </c>
      <c r="AM1167" t="s">
        <v>176</v>
      </c>
      <c r="AN1167" s="3">
        <v>98121</v>
      </c>
      <c r="AO1167" t="s">
        <v>101</v>
      </c>
      <c r="AQ1167" t="str">
        <f>"+12062661000"</f>
        <v>+12062661000</v>
      </c>
      <c r="AS1167" t="s">
        <v>263</v>
      </c>
      <c r="AT1167" t="s">
        <v>107</v>
      </c>
      <c r="AU1167" t="str">
        <f>"MARANCI"</f>
        <v>MARANCI</v>
      </c>
      <c r="AV1167" t="str">
        <f>"DANIEL"</f>
        <v>DANIEL</v>
      </c>
      <c r="AW1167" t="str">
        <f>"N/A"</f>
        <v>N/A</v>
      </c>
      <c r="AX1167" t="str">
        <f>"100 HIGH STREET"</f>
        <v>100 HIGH STREET</v>
      </c>
      <c r="AY1167" t="str">
        <f>"3RD FLOOR C#5106749"</f>
        <v>3RD FLOOR C#5106749</v>
      </c>
      <c r="AZ1167" t="str">
        <f>"BOSTON"</f>
        <v>BOSTON</v>
      </c>
      <c r="BA1167" t="str">
        <f>"MA"</f>
        <v>MA</v>
      </c>
      <c r="BB1167" s="3">
        <v>2110</v>
      </c>
      <c r="BC1167" t="str">
        <f t="shared" si="93"/>
        <v>UNITED STATES OF AMERICA</v>
      </c>
      <c r="BD1167" t="str">
        <f>""</f>
        <v/>
      </c>
      <c r="BE1167" t="str">
        <f>"+16175740400"</f>
        <v>+16175740400</v>
      </c>
      <c r="BF1167" t="str">
        <f>""</f>
        <v/>
      </c>
      <c r="BG1167" t="str">
        <f>"AMAZONINDIA@FRAGOMEN.COM"</f>
        <v>AMAZONINDIA@FRAGOMEN.COM</v>
      </c>
      <c r="BH1167" t="str">
        <f>"FRAGOMEN, DEL REY, BERNSEN &amp; LOEWY, LLP"</f>
        <v>FRAGOMEN, DEL REY, BERNSEN &amp; LOEWY, LLP</v>
      </c>
      <c r="BI1167" t="str">
        <f>"MA"</f>
        <v>MA</v>
      </c>
      <c r="BJ1167" t="str">
        <f>"SUPREME JUDICIAL COURT"</f>
        <v>SUPREME JUDICIAL COURT</v>
      </c>
      <c r="BK1167">
        <v>1</v>
      </c>
      <c r="BL1167" t="s">
        <v>102</v>
      </c>
      <c r="BM1167" t="str">
        <f>""</f>
        <v/>
      </c>
      <c r="BN1167" t="s">
        <v>3418</v>
      </c>
      <c r="BP1167" t="s">
        <v>1507</v>
      </c>
      <c r="BQ1167" t="s">
        <v>454</v>
      </c>
      <c r="BR1167" t="s">
        <v>135</v>
      </c>
      <c r="BS1167" s="5">
        <v>20171</v>
      </c>
      <c r="BT1167" s="2">
        <v>120000</v>
      </c>
      <c r="BV1167" t="s">
        <v>105</v>
      </c>
      <c r="BW1167" s="2">
        <v>84282</v>
      </c>
      <c r="BX1167" t="s">
        <v>105</v>
      </c>
      <c r="BZ1167" t="s">
        <v>167</v>
      </c>
      <c r="CA1167" t="str">
        <f t="shared" si="92"/>
        <v>7/1/2020 - 6/30/2021</v>
      </c>
      <c r="CF1167">
        <v>1</v>
      </c>
      <c r="CG1167" t="s">
        <v>98</v>
      </c>
      <c r="CH1167" t="s">
        <v>206</v>
      </c>
      <c r="CI1167" t="s">
        <v>206</v>
      </c>
      <c r="CL1167" t="s">
        <v>108</v>
      </c>
      <c r="CM1167" t="s">
        <v>109</v>
      </c>
      <c r="CN1167" t="str">
        <f>"SUNNY"</f>
        <v>SUNNY</v>
      </c>
      <c r="CO1167" t="str">
        <f>"JASMIN"</f>
        <v>JASMIN</v>
      </c>
      <c r="CP1167" t="str">
        <f>"N/A"</f>
        <v>N/A</v>
      </c>
      <c r="CQ1167" t="str">
        <f>"FRAGOMEN, DEL REY, BERNSEN &amp; LOEWY, LLP"</f>
        <v>FRAGOMEN, DEL REY, BERNSEN &amp; LOEWY, LLP</v>
      </c>
      <c r="CR1167" t="s">
        <v>650</v>
      </c>
    </row>
    <row r="1168" spans="1:96" x14ac:dyDescent="0.2">
      <c r="A1168" t="s">
        <v>11599</v>
      </c>
      <c r="B1168" t="s">
        <v>96</v>
      </c>
      <c r="C1168" s="1">
        <v>44098</v>
      </c>
      <c r="D1168" s="1">
        <v>44105</v>
      </c>
      <c r="F1168" t="s">
        <v>97</v>
      </c>
      <c r="G1168" t="str">
        <f>"MANAGER"</f>
        <v>MANAGER</v>
      </c>
      <c r="H1168" t="s">
        <v>12192</v>
      </c>
      <c r="I1168" t="s">
        <v>1156</v>
      </c>
      <c r="J1168" t="s">
        <v>98</v>
      </c>
      <c r="K1168" s="1">
        <v>44102</v>
      </c>
      <c r="L1168" s="1">
        <v>45197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2586</v>
      </c>
      <c r="U1168" t="str">
        <f>""</f>
        <v/>
      </c>
      <c r="V1168" t="s">
        <v>4141</v>
      </c>
      <c r="W1168" t="str">
        <f>"SUITE 1400"</f>
        <v>SUITE 1400</v>
      </c>
      <c r="X1168" t="s">
        <v>484</v>
      </c>
      <c r="Y1168" t="s">
        <v>114</v>
      </c>
      <c r="Z1168" s="3">
        <v>75201</v>
      </c>
      <c r="AA1168" t="s">
        <v>101</v>
      </c>
      <c r="AC1168" s="4" t="str">
        <f>"+12148402713"</f>
        <v>+12148402713</v>
      </c>
      <c r="AE1168" t="str">
        <f>"54121"</f>
        <v>54121</v>
      </c>
      <c r="AF1168" t="s">
        <v>4142</v>
      </c>
      <c r="AG1168" t="s">
        <v>4143</v>
      </c>
      <c r="AI1168" t="s">
        <v>4144</v>
      </c>
      <c r="AJ1168" t="s">
        <v>4141</v>
      </c>
      <c r="AK1168" t="str">
        <f>"SUITE 1400"</f>
        <v>SUITE 1400</v>
      </c>
      <c r="AL1168" t="s">
        <v>484</v>
      </c>
      <c r="AM1168" t="s">
        <v>114</v>
      </c>
      <c r="AN1168" s="3">
        <v>75201</v>
      </c>
      <c r="AO1168" t="s">
        <v>101</v>
      </c>
      <c r="AQ1168" t="str">
        <f>"+12148402713"</f>
        <v>+12148402713</v>
      </c>
      <c r="AS1168" t="s">
        <v>4145</v>
      </c>
      <c r="AT1168" t="s">
        <v>107</v>
      </c>
      <c r="AU1168" t="str">
        <f>"BASAMAN"</f>
        <v>BASAMAN</v>
      </c>
      <c r="AV1168" t="str">
        <f>"CHRISTOPHER"</f>
        <v>CHRISTOPHER</v>
      </c>
      <c r="AW1168" t="str">
        <f>"W"</f>
        <v>W</v>
      </c>
      <c r="AX1168" t="str">
        <f>"90 MATAWAN ROAD"</f>
        <v>90 MATAWAN ROAD</v>
      </c>
      <c r="AY1168" t="str">
        <f>"FLOOR 4"</f>
        <v>FLOOR 4</v>
      </c>
      <c r="AZ1168" t="str">
        <f>"MATAWAN"</f>
        <v>MATAWAN</v>
      </c>
      <c r="BA1168" t="str">
        <f>"NJ"</f>
        <v>NJ</v>
      </c>
      <c r="BB1168" s="3">
        <v>7747</v>
      </c>
      <c r="BC1168" t="str">
        <f t="shared" si="93"/>
        <v>UNITED STATES OF AMERICA</v>
      </c>
      <c r="BD1168" t="str">
        <f>""</f>
        <v/>
      </c>
      <c r="BE1168" t="str">
        <f>"+17328625000"</f>
        <v>+17328625000</v>
      </c>
      <c r="BF1168" t="str">
        <f>""</f>
        <v/>
      </c>
      <c r="BG1168" t="str">
        <f>"RUCHIPATEL@FRAGOMEN.COM"</f>
        <v>RUCHIPATEL@FRAGOMEN.COM</v>
      </c>
      <c r="BH1168" t="str">
        <f>"FRAGOMEN, DEL REY, BERNSEN &amp; LOEWY, LLP"</f>
        <v>FRAGOMEN, DEL REY, BERNSEN &amp; LOEWY, LLP</v>
      </c>
      <c r="BI1168" t="str">
        <f>"NJ"</f>
        <v>NJ</v>
      </c>
      <c r="BJ1168" t="str">
        <f>"SUPREME COURT"</f>
        <v>SUPREME COURT</v>
      </c>
      <c r="BK1168">
        <v>1</v>
      </c>
      <c r="BL1168" t="s">
        <v>102</v>
      </c>
      <c r="BM1168" t="str">
        <f>""</f>
        <v/>
      </c>
      <c r="BN1168" t="s">
        <v>9033</v>
      </c>
      <c r="BO1168" t="s">
        <v>7451</v>
      </c>
      <c r="BP1168" t="s">
        <v>843</v>
      </c>
      <c r="BQ1168" t="s">
        <v>788</v>
      </c>
      <c r="BR1168" t="s">
        <v>345</v>
      </c>
      <c r="BS1168" s="5">
        <v>60601</v>
      </c>
      <c r="BT1168" s="2">
        <v>104000</v>
      </c>
      <c r="BU1168" s="2">
        <v>167000</v>
      </c>
      <c r="BV1168" t="s">
        <v>105</v>
      </c>
      <c r="BW1168" s="2">
        <v>79373</v>
      </c>
      <c r="BX1168" t="s">
        <v>105</v>
      </c>
      <c r="BZ1168" t="s">
        <v>123</v>
      </c>
      <c r="CA1168" t="str">
        <f t="shared" si="92"/>
        <v>7/1/2020 - 6/30/2021</v>
      </c>
      <c r="CF1168">
        <v>2</v>
      </c>
      <c r="CG1168" t="s">
        <v>98</v>
      </c>
      <c r="CH1168" t="s">
        <v>206</v>
      </c>
      <c r="CI1168" t="s">
        <v>206</v>
      </c>
      <c r="CL1168" t="s">
        <v>108</v>
      </c>
      <c r="CM1168" t="s">
        <v>109</v>
      </c>
      <c r="CN1168" t="str">
        <f>"PATEL"</f>
        <v>PATEL</v>
      </c>
      <c r="CO1168" t="str">
        <f>"RUCHI"</f>
        <v>RUCHI</v>
      </c>
      <c r="CP1168" t="str">
        <f>"B"</f>
        <v>B</v>
      </c>
      <c r="CQ1168" t="str">
        <f>"FRAGOMEN, DEL REY, BERNSEN &amp; LOEWY, LLP"</f>
        <v>FRAGOMEN, DEL REY, BERNSEN &amp; LOEWY, LLP</v>
      </c>
      <c r="CR1168" t="s">
        <v>4146</v>
      </c>
    </row>
    <row r="1169" spans="1:96" x14ac:dyDescent="0.2">
      <c r="A1169" t="s">
        <v>11601</v>
      </c>
      <c r="B1169" t="s">
        <v>96</v>
      </c>
      <c r="C1169" s="1">
        <v>44098</v>
      </c>
      <c r="D1169" s="1">
        <v>44105</v>
      </c>
      <c r="F1169" t="s">
        <v>97</v>
      </c>
      <c r="G1169" t="str">
        <f>"Software Applications Developer"</f>
        <v>Software Applications Developer</v>
      </c>
      <c r="H1169" t="s">
        <v>12169</v>
      </c>
      <c r="I1169" t="s">
        <v>124</v>
      </c>
      <c r="J1169" t="s">
        <v>98</v>
      </c>
      <c r="K1169" s="1">
        <v>44098</v>
      </c>
      <c r="L1169" s="1">
        <v>44453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 t="s">
        <v>8061</v>
      </c>
      <c r="U1169" t="str">
        <f>""</f>
        <v/>
      </c>
      <c r="V1169" t="s">
        <v>8062</v>
      </c>
      <c r="W1169" t="str">
        <f>"Suite 100"</f>
        <v>Suite 100</v>
      </c>
      <c r="X1169" t="s">
        <v>2027</v>
      </c>
      <c r="Y1169" t="s">
        <v>345</v>
      </c>
      <c r="Z1169" s="3">
        <v>60564</v>
      </c>
      <c r="AA1169" t="s">
        <v>101</v>
      </c>
      <c r="AC1169" s="4" t="str">
        <f>"+16309839819"</f>
        <v>+16309839819</v>
      </c>
      <c r="AE1169" t="str">
        <f>"541330"</f>
        <v>541330</v>
      </c>
      <c r="AF1169" t="s">
        <v>8063</v>
      </c>
      <c r="AG1169" t="s">
        <v>8064</v>
      </c>
      <c r="AH1169" t="s">
        <v>108</v>
      </c>
      <c r="AI1169" t="s">
        <v>876</v>
      </c>
      <c r="AJ1169" t="s">
        <v>8062</v>
      </c>
      <c r="AK1169" t="str">
        <f>"Suite 100"</f>
        <v>Suite 100</v>
      </c>
      <c r="AL1169" t="s">
        <v>2027</v>
      </c>
      <c r="AM1169" t="s">
        <v>345</v>
      </c>
      <c r="AN1169" s="3">
        <v>60564</v>
      </c>
      <c r="AO1169" t="s">
        <v>101</v>
      </c>
      <c r="AQ1169" t="str">
        <f>"+16309839819"</f>
        <v>+16309839819</v>
      </c>
      <c r="AS1169" t="s">
        <v>8065</v>
      </c>
      <c r="AT1169" t="s">
        <v>107</v>
      </c>
      <c r="AU1169" t="str">
        <f>"Khosla"</f>
        <v>Khosla</v>
      </c>
      <c r="AV1169" t="str">
        <f>"P. Michael"</f>
        <v>P. Michael</v>
      </c>
      <c r="AW1169" t="str">
        <f>""</f>
        <v/>
      </c>
      <c r="AX1169" t="str">
        <f>"3116-C, West Montgomery Road"</f>
        <v>3116-C, West Montgomery Road</v>
      </c>
      <c r="AY1169" t="str">
        <f>"Suite 316"</f>
        <v>Suite 316</v>
      </c>
      <c r="AZ1169" t="str">
        <f>"Maineville"</f>
        <v>Maineville</v>
      </c>
      <c r="BA1169" t="str">
        <f>"OH"</f>
        <v>OH</v>
      </c>
      <c r="BB1169" s="3">
        <v>45039</v>
      </c>
      <c r="BC1169" t="str">
        <f t="shared" si="93"/>
        <v>UNITED STATES OF AMERICA</v>
      </c>
      <c r="BD1169" t="str">
        <f>""</f>
        <v/>
      </c>
      <c r="BE1169" t="str">
        <f>"+15133107471"</f>
        <v>+15133107471</v>
      </c>
      <c r="BF1169" t="str">
        <f>""</f>
        <v/>
      </c>
      <c r="BG1169" t="str">
        <f>"PMichaelKhosla@yahoo.com"</f>
        <v>PMichaelKhosla@yahoo.com</v>
      </c>
      <c r="BH1169" t="str">
        <f>"The Khosla Immigration Law Group, P.C."</f>
        <v>The Khosla Immigration Law Group, P.C.</v>
      </c>
      <c r="BI1169" t="str">
        <f>"IL"</f>
        <v>IL</v>
      </c>
      <c r="BJ1169" t="str">
        <f>"ILLINOIS STATE SUPREME COURT"</f>
        <v>ILLINOIS STATE SUPREME COURT</v>
      </c>
      <c r="BK1169">
        <v>1</v>
      </c>
      <c r="BL1169" t="s">
        <v>102</v>
      </c>
      <c r="BM1169" t="str">
        <f>""</f>
        <v/>
      </c>
      <c r="BN1169" t="s">
        <v>11602</v>
      </c>
      <c r="BP1169" t="s">
        <v>184</v>
      </c>
      <c r="BQ1169" t="s">
        <v>185</v>
      </c>
      <c r="BR1169" t="s">
        <v>186</v>
      </c>
      <c r="BS1169" s="5">
        <v>55347</v>
      </c>
      <c r="BT1169" s="2">
        <v>38.93</v>
      </c>
      <c r="BV1169" t="s">
        <v>210</v>
      </c>
      <c r="BW1169" s="2">
        <v>34.47</v>
      </c>
      <c r="BX1169" t="s">
        <v>210</v>
      </c>
      <c r="BZ1169" t="s">
        <v>191</v>
      </c>
      <c r="CA1169" t="str">
        <f t="shared" si="92"/>
        <v>7/1/2020 - 6/30/2021</v>
      </c>
      <c r="CF1169">
        <v>1</v>
      </c>
      <c r="CG1169" t="s">
        <v>98</v>
      </c>
      <c r="CH1169" t="s">
        <v>206</v>
      </c>
      <c r="CI1169" t="s">
        <v>206</v>
      </c>
      <c r="CL1169" t="s">
        <v>108</v>
      </c>
      <c r="CM1169" t="s">
        <v>109</v>
      </c>
      <c r="CN1169" t="str">
        <f>"Khosla"</f>
        <v>Khosla</v>
      </c>
      <c r="CO1169" t="str">
        <f>"P. Michael"</f>
        <v>P. Michael</v>
      </c>
      <c r="CP1169" t="str">
        <f>""</f>
        <v/>
      </c>
      <c r="CQ1169" t="str">
        <f>"The Khosla Immigration Law Group, P.C."</f>
        <v>The Khosla Immigration Law Group, P.C.</v>
      </c>
      <c r="CR1169" t="s">
        <v>6443</v>
      </c>
    </row>
    <row r="1170" spans="1:96" x14ac:dyDescent="0.2">
      <c r="A1170" t="s">
        <v>11606</v>
      </c>
      <c r="B1170" t="s">
        <v>96</v>
      </c>
      <c r="C1170" s="1">
        <v>44098</v>
      </c>
      <c r="D1170" s="1">
        <v>44105</v>
      </c>
      <c r="F1170" t="s">
        <v>97</v>
      </c>
      <c r="G1170" t="str">
        <f>"Senior Marketing Analyst"</f>
        <v>Senior Marketing Analyst</v>
      </c>
      <c r="H1170" t="s">
        <v>12174</v>
      </c>
      <c r="I1170" t="s">
        <v>1795</v>
      </c>
      <c r="J1170" t="s">
        <v>98</v>
      </c>
      <c r="K1170" s="1">
        <v>44105</v>
      </c>
      <c r="L1170" s="1">
        <v>45199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5695</v>
      </c>
      <c r="U1170" t="str">
        <f>""</f>
        <v/>
      </c>
      <c r="V1170" t="s">
        <v>5696</v>
      </c>
      <c r="W1170" t="str">
        <f>"Suite 3501"</f>
        <v>Suite 3501</v>
      </c>
      <c r="X1170" t="s">
        <v>277</v>
      </c>
      <c r="Y1170" t="s">
        <v>190</v>
      </c>
      <c r="Z1170" s="3">
        <v>10036</v>
      </c>
      <c r="AA1170" t="s">
        <v>101</v>
      </c>
      <c r="AC1170" s="4" t="str">
        <f>"+12015630932"</f>
        <v>+12015630932</v>
      </c>
      <c r="AE1170" t="str">
        <f>"541611"</f>
        <v>541611</v>
      </c>
      <c r="AF1170" t="s">
        <v>5697</v>
      </c>
      <c r="AG1170" t="s">
        <v>5698</v>
      </c>
      <c r="AI1170" t="s">
        <v>646</v>
      </c>
      <c r="AJ1170" t="s">
        <v>5696</v>
      </c>
      <c r="AK1170" t="str">
        <f>"Suite 3501"</f>
        <v>Suite 3501</v>
      </c>
      <c r="AL1170" t="s">
        <v>277</v>
      </c>
      <c r="AM1170" t="s">
        <v>190</v>
      </c>
      <c r="AN1170" s="3">
        <v>10036</v>
      </c>
      <c r="AO1170" t="s">
        <v>101</v>
      </c>
      <c r="AQ1170" t="str">
        <f>"+12015630932"</f>
        <v>+12015630932</v>
      </c>
      <c r="AS1170" t="s">
        <v>5699</v>
      </c>
      <c r="AT1170" t="s">
        <v>107</v>
      </c>
      <c r="AU1170" t="str">
        <f>"Lee"</f>
        <v>Lee</v>
      </c>
      <c r="AV1170" t="str">
        <f>"Sang Hwa"</f>
        <v>Sang Hwa</v>
      </c>
      <c r="AW1170" t="str">
        <f>""</f>
        <v/>
      </c>
      <c r="AX1170" t="str">
        <f>"26 Journal Square"</f>
        <v>26 Journal Square</v>
      </c>
      <c r="AY1170" t="str">
        <f>"Suite 1001"</f>
        <v>Suite 1001</v>
      </c>
      <c r="AZ1170" t="str">
        <f>"Jersey City"</f>
        <v>Jersey City</v>
      </c>
      <c r="BA1170" t="str">
        <f>"NJ"</f>
        <v>NJ</v>
      </c>
      <c r="BB1170" s="3">
        <v>7306</v>
      </c>
      <c r="BC1170" t="str">
        <f t="shared" si="93"/>
        <v>UNITED STATES OF AMERICA</v>
      </c>
      <c r="BD1170" t="str">
        <f>""</f>
        <v/>
      </c>
      <c r="BE1170" t="str">
        <f>"+12018982030"</f>
        <v>+12018982030</v>
      </c>
      <c r="BF1170" t="str">
        <f>""</f>
        <v/>
      </c>
      <c r="BG1170" t="str">
        <f>"slee@leelaw.org"</f>
        <v>slee@leelaw.org</v>
      </c>
      <c r="BH1170" t="str">
        <f>"Lee Immigration Law Firm, LLC."</f>
        <v>Lee Immigration Law Firm, LLC.</v>
      </c>
      <c r="BI1170" t="str">
        <f>"NJ"</f>
        <v>NJ</v>
      </c>
      <c r="BJ1170" t="str">
        <f>"Supreme Court"</f>
        <v>Supreme Court</v>
      </c>
      <c r="BK1170">
        <v>1</v>
      </c>
      <c r="BL1170" t="s">
        <v>102</v>
      </c>
      <c r="BM1170" t="str">
        <f>""</f>
        <v/>
      </c>
      <c r="BN1170" t="s">
        <v>5696</v>
      </c>
      <c r="BO1170" t="s">
        <v>5700</v>
      </c>
      <c r="BP1170" t="s">
        <v>277</v>
      </c>
      <c r="BQ1170" t="s">
        <v>189</v>
      </c>
      <c r="BR1170" t="s">
        <v>190</v>
      </c>
      <c r="BS1170" s="5">
        <v>10036</v>
      </c>
      <c r="BT1170" s="2">
        <v>75000</v>
      </c>
      <c r="BV1170" t="s">
        <v>105</v>
      </c>
      <c r="BW1170" s="2">
        <v>65499</v>
      </c>
      <c r="BX1170" t="s">
        <v>105</v>
      </c>
      <c r="BZ1170" t="s">
        <v>167</v>
      </c>
      <c r="CA1170" t="str">
        <f t="shared" si="92"/>
        <v>7/1/2020 - 6/30/2021</v>
      </c>
      <c r="CF1170">
        <v>1</v>
      </c>
      <c r="CG1170" t="s">
        <v>98</v>
      </c>
      <c r="CH1170" t="s">
        <v>206</v>
      </c>
      <c r="CI1170" t="s">
        <v>206</v>
      </c>
      <c r="CL1170" t="s">
        <v>108</v>
      </c>
      <c r="CM1170" t="s">
        <v>109</v>
      </c>
      <c r="CN1170" t="str">
        <f>"Lee"</f>
        <v>Lee</v>
      </c>
      <c r="CO1170" t="str">
        <f>"Sang Hwa"</f>
        <v>Sang Hwa</v>
      </c>
      <c r="CP1170" t="str">
        <f>""</f>
        <v/>
      </c>
      <c r="CQ1170" t="str">
        <f>"Lee Immigration Law Firm LLC"</f>
        <v>Lee Immigration Law Firm LLC</v>
      </c>
      <c r="CR1170" t="s">
        <v>5701</v>
      </c>
    </row>
    <row r="1171" spans="1:96" x14ac:dyDescent="0.2">
      <c r="A1171" t="s">
        <v>11607</v>
      </c>
      <c r="B1171" t="s">
        <v>96</v>
      </c>
      <c r="C1171" s="1">
        <v>44098</v>
      </c>
      <c r="D1171" s="1">
        <v>44105</v>
      </c>
      <c r="F1171" t="s">
        <v>97</v>
      </c>
      <c r="G1171" t="str">
        <f>"Senior Software Engineer 20012.1423"</f>
        <v>Senior Software Engineer 20012.1423</v>
      </c>
      <c r="H1171" t="s">
        <v>12169</v>
      </c>
      <c r="I1171" t="s">
        <v>124</v>
      </c>
      <c r="J1171" t="s">
        <v>98</v>
      </c>
      <c r="K1171" s="1">
        <v>44236</v>
      </c>
      <c r="L1171" s="1">
        <v>45330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 t="s">
        <v>7303</v>
      </c>
      <c r="U1171" t="str">
        <f>""</f>
        <v/>
      </c>
      <c r="V1171" t="s">
        <v>2678</v>
      </c>
      <c r="W1171" t="str">
        <f>""</f>
        <v/>
      </c>
      <c r="X1171" t="s">
        <v>2679</v>
      </c>
      <c r="Y1171" t="s">
        <v>186</v>
      </c>
      <c r="Z1171" s="3">
        <v>55343</v>
      </c>
      <c r="AA1171" t="s">
        <v>101</v>
      </c>
      <c r="AC1171" s="4" t="str">
        <f>"+19529361616"</f>
        <v>+19529361616</v>
      </c>
      <c r="AE1171" t="str">
        <f>"524114"</f>
        <v>524114</v>
      </c>
      <c r="AF1171" t="s">
        <v>2675</v>
      </c>
      <c r="AG1171" t="s">
        <v>2676</v>
      </c>
      <c r="AI1171" t="s">
        <v>2677</v>
      </c>
      <c r="AJ1171" t="s">
        <v>2678</v>
      </c>
      <c r="AK1171" t="str">
        <f>""</f>
        <v/>
      </c>
      <c r="AL1171" t="s">
        <v>2679</v>
      </c>
      <c r="AM1171" t="s">
        <v>186</v>
      </c>
      <c r="AN1171" s="3">
        <v>55343</v>
      </c>
      <c r="AO1171" t="s">
        <v>101</v>
      </c>
      <c r="AQ1171" t="str">
        <f>"+19529361616"</f>
        <v>+19529361616</v>
      </c>
      <c r="AS1171" t="s">
        <v>2680</v>
      </c>
      <c r="AT1171" t="s">
        <v>107</v>
      </c>
      <c r="AU1171" t="str">
        <f>"PETZOLD"</f>
        <v>PETZOLD</v>
      </c>
      <c r="AV1171" t="str">
        <f>"RICK"</f>
        <v>RICK</v>
      </c>
      <c r="AW1171" t="str">
        <f>""</f>
        <v/>
      </c>
      <c r="AX1171" t="str">
        <f>"2400 N GLENVILLE DRIVE, BUILDING A"</f>
        <v>2400 N GLENVILLE DRIVE, BUILDING A</v>
      </c>
      <c r="AY1171" t="str">
        <f>"SUITE 100"</f>
        <v>SUITE 100</v>
      </c>
      <c r="AZ1171" t="str">
        <f>"RICHARDSON"</f>
        <v>RICHARDSON</v>
      </c>
      <c r="BA1171" t="str">
        <f>"TX"</f>
        <v>TX</v>
      </c>
      <c r="BB1171" s="3">
        <v>75082</v>
      </c>
      <c r="BC1171" t="str">
        <f t="shared" si="93"/>
        <v>UNITED STATES OF AMERICA</v>
      </c>
      <c r="BD1171" t="str">
        <f>""</f>
        <v/>
      </c>
      <c r="BE1171" t="str">
        <f>"+19727296094"</f>
        <v>+19727296094</v>
      </c>
      <c r="BF1171" t="str">
        <f>""</f>
        <v/>
      </c>
      <c r="BG1171" t="str">
        <f>"mperez@BALGLOBAL.COM"</f>
        <v>mperez@BALGLOBAL.COM</v>
      </c>
      <c r="BH1171" t="str">
        <f>"BERRY APPLEMAN &amp; LEIDEN LLP"</f>
        <v>BERRY APPLEMAN &amp; LEIDEN LLP</v>
      </c>
      <c r="BI1171" t="str">
        <f>"NJ"</f>
        <v>NJ</v>
      </c>
      <c r="BJ1171" t="str">
        <f>"NEW JERSEY SUPREME COURT"</f>
        <v>NEW JERSEY SUPREME COURT</v>
      </c>
      <c r="BK1171">
        <v>1</v>
      </c>
      <c r="BL1171" t="s">
        <v>102</v>
      </c>
      <c r="BM1171" t="str">
        <f>""</f>
        <v/>
      </c>
      <c r="BN1171" t="s">
        <v>7528</v>
      </c>
      <c r="BP1171" t="s">
        <v>899</v>
      </c>
      <c r="BQ1171" t="s">
        <v>795</v>
      </c>
      <c r="BR1171" t="s">
        <v>352</v>
      </c>
      <c r="BS1171" s="5">
        <v>46278</v>
      </c>
      <c r="BT1171" s="2">
        <v>107390</v>
      </c>
      <c r="BU1171" s="2">
        <v>127037</v>
      </c>
      <c r="BV1171" t="s">
        <v>105</v>
      </c>
      <c r="BW1171" s="2">
        <v>107390</v>
      </c>
      <c r="BX1171" t="s">
        <v>105</v>
      </c>
      <c r="BZ1171" t="s">
        <v>159</v>
      </c>
      <c r="CA1171" t="str">
        <f t="shared" si="92"/>
        <v>7/1/2020 - 6/30/2021</v>
      </c>
      <c r="CF1171">
        <v>2</v>
      </c>
      <c r="CG1171" t="s">
        <v>98</v>
      </c>
      <c r="CH1171" t="s">
        <v>206</v>
      </c>
      <c r="CI1171" t="s">
        <v>206</v>
      </c>
      <c r="CL1171" t="s">
        <v>108</v>
      </c>
      <c r="CM1171" t="s">
        <v>109</v>
      </c>
      <c r="CN1171" t="str">
        <f>"Eubanks"</f>
        <v>Eubanks</v>
      </c>
      <c r="CO1171" t="str">
        <f>"Maria"</f>
        <v>Maria</v>
      </c>
      <c r="CP1171" t="str">
        <f>""</f>
        <v/>
      </c>
      <c r="CQ1171" t="str">
        <f>"Berry Appleman &amp; Leiden LLP"</f>
        <v>Berry Appleman &amp; Leiden LLP</v>
      </c>
      <c r="CR1171" t="s">
        <v>6762</v>
      </c>
    </row>
    <row r="1172" spans="1:96" x14ac:dyDescent="0.2">
      <c r="A1172" t="s">
        <v>11608</v>
      </c>
      <c r="B1172" t="s">
        <v>96</v>
      </c>
      <c r="C1172" s="1">
        <v>44098</v>
      </c>
      <c r="D1172" s="1">
        <v>44105</v>
      </c>
      <c r="F1172" t="s">
        <v>97</v>
      </c>
      <c r="G1172" t="str">
        <f>"Associate, Risk Analyst"</f>
        <v>Associate, Risk Analyst</v>
      </c>
      <c r="H1172" t="s">
        <v>12220</v>
      </c>
      <c r="I1172" t="s">
        <v>832</v>
      </c>
      <c r="J1172" t="s">
        <v>98</v>
      </c>
      <c r="K1172" s="1">
        <v>44109</v>
      </c>
      <c r="L1172" s="1">
        <v>45203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7320</v>
      </c>
      <c r="U1172" t="str">
        <f>""</f>
        <v/>
      </c>
      <c r="V1172" t="s">
        <v>5546</v>
      </c>
      <c r="W1172" t="str">
        <f>""</f>
        <v/>
      </c>
      <c r="X1172" t="s">
        <v>277</v>
      </c>
      <c r="Y1172" t="s">
        <v>190</v>
      </c>
      <c r="Z1172" s="3">
        <v>10019</v>
      </c>
      <c r="AA1172" t="s">
        <v>101</v>
      </c>
      <c r="AC1172" s="4" t="str">
        <f>"+12126679793"</f>
        <v>+12126679793</v>
      </c>
      <c r="AE1172" t="str">
        <f>"523110"</f>
        <v>523110</v>
      </c>
      <c r="AF1172" t="s">
        <v>5547</v>
      </c>
      <c r="AG1172" t="s">
        <v>3665</v>
      </c>
      <c r="AI1172" t="s">
        <v>5548</v>
      </c>
      <c r="AJ1172" t="s">
        <v>5546</v>
      </c>
      <c r="AK1172" t="str">
        <f>""</f>
        <v/>
      </c>
      <c r="AL1172" t="s">
        <v>277</v>
      </c>
      <c r="AM1172" t="s">
        <v>190</v>
      </c>
      <c r="AN1172" s="3">
        <v>10019</v>
      </c>
      <c r="AO1172" t="s">
        <v>101</v>
      </c>
      <c r="AQ1172" t="str">
        <f>"+12126679793"</f>
        <v>+12126679793</v>
      </c>
      <c r="AS1172" t="s">
        <v>5549</v>
      </c>
      <c r="AT1172" t="s">
        <v>107</v>
      </c>
      <c r="AU1172" t="str">
        <f>"Dunn"</f>
        <v>Dunn</v>
      </c>
      <c r="AV1172" t="str">
        <f>"Matthew"</f>
        <v>Matthew</v>
      </c>
      <c r="AW1172" t="str">
        <f>"S."</f>
        <v>S.</v>
      </c>
      <c r="AX1172" t="str">
        <f>"1177 Avenue of the Americas"</f>
        <v>1177 Avenue of the Americas</v>
      </c>
      <c r="AY1172" t="str">
        <f>""</f>
        <v/>
      </c>
      <c r="AZ1172" t="str">
        <f>"New York"</f>
        <v>New York</v>
      </c>
      <c r="BA1172" t="str">
        <f>"NY"</f>
        <v>NY</v>
      </c>
      <c r="BB1172" s="3">
        <v>10036</v>
      </c>
      <c r="BC1172" t="str">
        <f t="shared" si="93"/>
        <v>UNITED STATES OF AMERICA</v>
      </c>
      <c r="BD1172" t="str">
        <f>""</f>
        <v/>
      </c>
      <c r="BE1172" t="str">
        <f>"+12127159408"</f>
        <v>+12127159408</v>
      </c>
      <c r="BF1172" t="str">
        <f>""</f>
        <v/>
      </c>
      <c r="BG1172" t="str">
        <f>"bmichaels@kramerlevin.com"</f>
        <v>bmichaels@kramerlevin.com</v>
      </c>
      <c r="BH1172" t="str">
        <f>"Kramer Levin Naftalis &amp; Frankel LLP"</f>
        <v>Kramer Levin Naftalis &amp; Frankel LLP</v>
      </c>
      <c r="BI1172" t="str">
        <f>"NY"</f>
        <v>NY</v>
      </c>
      <c r="BJ1172" t="str">
        <f>"Court of Appeals"</f>
        <v>Court of Appeals</v>
      </c>
      <c r="BK1172">
        <v>1</v>
      </c>
      <c r="BL1172" t="s">
        <v>102</v>
      </c>
      <c r="BM1172" t="str">
        <f>""</f>
        <v/>
      </c>
      <c r="BN1172" t="s">
        <v>5546</v>
      </c>
      <c r="BP1172" t="s">
        <v>277</v>
      </c>
      <c r="BQ1172" t="s">
        <v>189</v>
      </c>
      <c r="BR1172" t="s">
        <v>190</v>
      </c>
      <c r="BS1172" s="5">
        <v>10019</v>
      </c>
      <c r="BT1172" s="2">
        <v>105000</v>
      </c>
      <c r="BU1172" s="2">
        <v>115000</v>
      </c>
      <c r="BV1172" t="s">
        <v>105</v>
      </c>
      <c r="BW1172" s="2">
        <v>102024</v>
      </c>
      <c r="BX1172" t="s">
        <v>105</v>
      </c>
      <c r="BZ1172" t="s">
        <v>167</v>
      </c>
      <c r="CA1172" t="str">
        <f t="shared" si="92"/>
        <v>7/1/2020 - 6/30/2021</v>
      </c>
      <c r="CF1172">
        <v>2</v>
      </c>
      <c r="CG1172" t="s">
        <v>98</v>
      </c>
      <c r="CH1172" t="s">
        <v>206</v>
      </c>
      <c r="CI1172" t="s">
        <v>206</v>
      </c>
      <c r="CL1172" t="s">
        <v>108</v>
      </c>
      <c r="CM1172" t="s">
        <v>109</v>
      </c>
      <c r="CN1172" t="str">
        <f>"Michaels"</f>
        <v>Michaels</v>
      </c>
      <c r="CO1172" t="str">
        <f>"Beth"</f>
        <v>Beth</v>
      </c>
      <c r="CP1172" t="str">
        <f>""</f>
        <v/>
      </c>
      <c r="CQ1172" t="str">
        <f>"Kramer Levin Naftalis &amp; Frankel LLP"</f>
        <v>Kramer Levin Naftalis &amp; Frankel LLP</v>
      </c>
      <c r="CR1172" t="s">
        <v>5550</v>
      </c>
    </row>
    <row r="1173" spans="1:96" x14ac:dyDescent="0.2">
      <c r="A1173" t="s">
        <v>11610</v>
      </c>
      <c r="B1173" t="s">
        <v>96</v>
      </c>
      <c r="C1173" s="1">
        <v>44098</v>
      </c>
      <c r="D1173" s="1">
        <v>44105</v>
      </c>
      <c r="F1173" t="s">
        <v>97</v>
      </c>
      <c r="G1173" t="str">
        <f>"ASSISTANT PROFESSOR"</f>
        <v>ASSISTANT PROFESSOR</v>
      </c>
      <c r="H1173" t="s">
        <v>12245</v>
      </c>
      <c r="I1173" t="s">
        <v>4036</v>
      </c>
      <c r="J1173" t="s">
        <v>98</v>
      </c>
      <c r="K1173" s="1">
        <v>44129</v>
      </c>
      <c r="L1173" s="1">
        <v>45223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 t="s">
        <v>4188</v>
      </c>
      <c r="U1173" t="str">
        <f>""</f>
        <v/>
      </c>
      <c r="V1173" t="s">
        <v>4189</v>
      </c>
      <c r="W1173" t="str">
        <f>""</f>
        <v/>
      </c>
      <c r="X1173" t="s">
        <v>1986</v>
      </c>
      <c r="Y1173" t="s">
        <v>135</v>
      </c>
      <c r="Z1173" s="3">
        <v>23529</v>
      </c>
      <c r="AA1173" t="s">
        <v>101</v>
      </c>
      <c r="AC1173" s="4" t="str">
        <f>"+17576834756"</f>
        <v>+17576834756</v>
      </c>
      <c r="AE1173" t="str">
        <f>"611310"</f>
        <v>611310</v>
      </c>
      <c r="AF1173" t="s">
        <v>4190</v>
      </c>
      <c r="AG1173" t="s">
        <v>4191</v>
      </c>
      <c r="AH1173" t="s">
        <v>4192</v>
      </c>
      <c r="AI1173" t="s">
        <v>4193</v>
      </c>
      <c r="AJ1173" t="s">
        <v>4189</v>
      </c>
      <c r="AK1173" t="str">
        <f>""</f>
        <v/>
      </c>
      <c r="AL1173" t="s">
        <v>1986</v>
      </c>
      <c r="AM1173" t="s">
        <v>135</v>
      </c>
      <c r="AN1173" s="3">
        <v>23529</v>
      </c>
      <c r="AO1173" t="s">
        <v>101</v>
      </c>
      <c r="AQ1173" t="str">
        <f>"+17576834756"</f>
        <v>+17576834756</v>
      </c>
      <c r="AS1173" t="s">
        <v>4194</v>
      </c>
      <c r="AT1173" t="s">
        <v>102</v>
      </c>
      <c r="AU1173" t="str">
        <f>""</f>
        <v/>
      </c>
      <c r="AV1173" t="str">
        <f>""</f>
        <v/>
      </c>
      <c r="AW1173" t="str">
        <f>""</f>
        <v/>
      </c>
      <c r="AX1173" t="str">
        <f>""</f>
        <v/>
      </c>
      <c r="AY1173" t="str">
        <f>""</f>
        <v/>
      </c>
      <c r="AZ1173" t="str">
        <f>""</f>
        <v/>
      </c>
      <c r="BA1173" t="str">
        <f>""</f>
        <v/>
      </c>
      <c r="BC1173" t="str">
        <f>""</f>
        <v/>
      </c>
      <c r="BD1173" t="str">
        <f>""</f>
        <v/>
      </c>
      <c r="BE1173" t="str">
        <f>""</f>
        <v/>
      </c>
      <c r="BF1173" t="str">
        <f>""</f>
        <v/>
      </c>
      <c r="BG1173" t="str">
        <f>""</f>
        <v/>
      </c>
      <c r="BH1173" t="str">
        <f>""</f>
        <v/>
      </c>
      <c r="BI1173" t="str">
        <f>""</f>
        <v/>
      </c>
      <c r="BJ1173" t="str">
        <f>""</f>
        <v/>
      </c>
      <c r="BK1173">
        <v>1</v>
      </c>
      <c r="BL1173" t="s">
        <v>102</v>
      </c>
      <c r="BM1173" t="str">
        <f>""</f>
        <v/>
      </c>
      <c r="BN1173" t="s">
        <v>11611</v>
      </c>
      <c r="BP1173" t="s">
        <v>1986</v>
      </c>
      <c r="BQ1173" t="s">
        <v>2213</v>
      </c>
      <c r="BR1173" t="s">
        <v>135</v>
      </c>
      <c r="BS1173" s="5">
        <v>23529</v>
      </c>
      <c r="BT1173" s="2">
        <v>67238</v>
      </c>
      <c r="BV1173" t="s">
        <v>105</v>
      </c>
      <c r="BW1173" s="2">
        <v>37140</v>
      </c>
      <c r="BX1173" t="s">
        <v>105</v>
      </c>
      <c r="BZ1173" t="s">
        <v>191</v>
      </c>
      <c r="CA1173" t="str">
        <f t="shared" si="92"/>
        <v>7/1/2020 - 6/30/2021</v>
      </c>
      <c r="CF1173">
        <v>1</v>
      </c>
      <c r="CG1173" t="s">
        <v>98</v>
      </c>
      <c r="CH1173" t="s">
        <v>206</v>
      </c>
      <c r="CI1173" t="s">
        <v>206</v>
      </c>
      <c r="CL1173" t="s">
        <v>108</v>
      </c>
      <c r="CM1173" t="s">
        <v>718</v>
      </c>
      <c r="CN1173" t="str">
        <f>""</f>
        <v/>
      </c>
      <c r="CO1173" t="str">
        <f>""</f>
        <v/>
      </c>
      <c r="CP1173" t="str">
        <f>""</f>
        <v/>
      </c>
      <c r="CQ1173" t="str">
        <f>""</f>
        <v/>
      </c>
    </row>
    <row r="1174" spans="1:96" x14ac:dyDescent="0.2">
      <c r="A1174" t="s">
        <v>11612</v>
      </c>
      <c r="B1174" t="s">
        <v>96</v>
      </c>
      <c r="C1174" s="1">
        <v>44098</v>
      </c>
      <c r="D1174" s="1">
        <v>44105</v>
      </c>
      <c r="F1174" t="s">
        <v>97</v>
      </c>
      <c r="G1174" t="str">
        <f>"Senior Engineer"</f>
        <v>Senior Engineer</v>
      </c>
      <c r="H1174" t="s">
        <v>12205</v>
      </c>
      <c r="I1174" t="s">
        <v>665</v>
      </c>
      <c r="J1174" t="s">
        <v>98</v>
      </c>
      <c r="K1174" s="1">
        <v>44131</v>
      </c>
      <c r="L1174" s="1">
        <v>45225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 t="s">
        <v>5938</v>
      </c>
      <c r="U1174" t="str">
        <f>""</f>
        <v/>
      </c>
      <c r="V1174" t="s">
        <v>5939</v>
      </c>
      <c r="W1174" t="str">
        <f>"19TH FLOOR"</f>
        <v>19TH FLOOR</v>
      </c>
      <c r="X1174" t="s">
        <v>189</v>
      </c>
      <c r="Y1174" t="s">
        <v>190</v>
      </c>
      <c r="Z1174" s="3">
        <v>10010</v>
      </c>
      <c r="AA1174" t="s">
        <v>101</v>
      </c>
      <c r="AC1174" s="4" t="str">
        <f>"+19176618268"</f>
        <v>+19176618268</v>
      </c>
      <c r="AD1174">
        <v>0</v>
      </c>
      <c r="AE1174" t="str">
        <f>"541330"</f>
        <v>541330</v>
      </c>
      <c r="AF1174" t="s">
        <v>5940</v>
      </c>
      <c r="AG1174" t="s">
        <v>476</v>
      </c>
      <c r="AI1174" t="s">
        <v>910</v>
      </c>
      <c r="AJ1174" t="s">
        <v>5941</v>
      </c>
      <c r="AK1174" t="str">
        <f>""</f>
        <v/>
      </c>
      <c r="AL1174" t="s">
        <v>277</v>
      </c>
      <c r="AM1174" t="s">
        <v>190</v>
      </c>
      <c r="AN1174" s="3">
        <v>10010</v>
      </c>
      <c r="AO1174" t="s">
        <v>101</v>
      </c>
      <c r="AQ1174" t="str">
        <f>"+19176618072"</f>
        <v>+19176618072</v>
      </c>
      <c r="AS1174" t="s">
        <v>5942</v>
      </c>
      <c r="AT1174" t="s">
        <v>107</v>
      </c>
      <c r="AU1174" t="str">
        <f>"Gregorio"</f>
        <v>Gregorio</v>
      </c>
      <c r="AV1174" t="str">
        <f>"Christopher"</f>
        <v>Christopher</v>
      </c>
      <c r="AW1174" t="str">
        <f>""</f>
        <v/>
      </c>
      <c r="AX1174" t="str">
        <f>"1400 Broadway"</f>
        <v>1400 Broadway</v>
      </c>
      <c r="AY1174" t="str">
        <f>""</f>
        <v/>
      </c>
      <c r="AZ1174" t="str">
        <f>"New York"</f>
        <v>New York</v>
      </c>
      <c r="BA1174" t="str">
        <f>"NY"</f>
        <v>NY</v>
      </c>
      <c r="BB1174" s="3">
        <v>10018</v>
      </c>
      <c r="BC1174" t="str">
        <f>"UNITED STATES OF AMERICA"</f>
        <v>UNITED STATES OF AMERICA</v>
      </c>
      <c r="BD1174" t="str">
        <f>""</f>
        <v/>
      </c>
      <c r="BE1174" t="str">
        <f>"+12126888555"</f>
        <v>+12126888555</v>
      </c>
      <c r="BF1174" t="str">
        <f>""</f>
        <v/>
      </c>
      <c r="BG1174" t="str">
        <f>"MLeos@fragomen.com"</f>
        <v>MLeos@fragomen.com</v>
      </c>
      <c r="BH1174" t="str">
        <f>"Fragomen, Del Rey, Bernsen &amp; Loewy, LLP"</f>
        <v>Fragomen, Del Rey, Bernsen &amp; Loewy, LLP</v>
      </c>
      <c r="BI1174" t="str">
        <f>"NY"</f>
        <v>NY</v>
      </c>
      <c r="BJ1174" t="str">
        <f>"Supreme Court"</f>
        <v>Supreme Court</v>
      </c>
      <c r="BK1174">
        <v>1</v>
      </c>
      <c r="BL1174" t="s">
        <v>102</v>
      </c>
      <c r="BM1174" t="str">
        <f>""</f>
        <v/>
      </c>
      <c r="BN1174" t="s">
        <v>11613</v>
      </c>
      <c r="BP1174" t="s">
        <v>3272</v>
      </c>
      <c r="BQ1174" t="s">
        <v>3273</v>
      </c>
      <c r="BR1174" t="s">
        <v>171</v>
      </c>
      <c r="BS1174" s="5">
        <v>2472</v>
      </c>
      <c r="BT1174" s="2">
        <v>79269</v>
      </c>
      <c r="BV1174" t="s">
        <v>105</v>
      </c>
      <c r="BW1174" s="2">
        <v>79269</v>
      </c>
      <c r="BX1174" t="s">
        <v>105</v>
      </c>
      <c r="BZ1174" t="s">
        <v>167</v>
      </c>
      <c r="CA1174" t="str">
        <f t="shared" si="92"/>
        <v>7/1/2020 - 6/30/2021</v>
      </c>
      <c r="CF1174">
        <v>1</v>
      </c>
      <c r="CG1174" t="s">
        <v>98</v>
      </c>
      <c r="CH1174" t="s">
        <v>206</v>
      </c>
      <c r="CI1174" t="s">
        <v>206</v>
      </c>
      <c r="CL1174" t="s">
        <v>108</v>
      </c>
      <c r="CM1174" t="s">
        <v>109</v>
      </c>
      <c r="CN1174" t="str">
        <f>"Leos"</f>
        <v>Leos</v>
      </c>
      <c r="CO1174" t="str">
        <f>"Moncerrad"</f>
        <v>Moncerrad</v>
      </c>
      <c r="CP1174" t="str">
        <f>"Y"</f>
        <v>Y</v>
      </c>
      <c r="CQ1174" t="str">
        <f>"Fragomen, Del Rey, Bernsen &amp; Loewy, LLP"</f>
        <v>Fragomen, Del Rey, Bernsen &amp; Loewy, LLP</v>
      </c>
      <c r="CR1174" t="s">
        <v>5263</v>
      </c>
    </row>
    <row r="1175" spans="1:96" x14ac:dyDescent="0.2">
      <c r="A1175" t="s">
        <v>11614</v>
      </c>
      <c r="B1175" t="s">
        <v>96</v>
      </c>
      <c r="C1175" s="1">
        <v>44098</v>
      </c>
      <c r="D1175" s="1">
        <v>44105</v>
      </c>
      <c r="F1175" t="s">
        <v>97</v>
      </c>
      <c r="G1175" t="str">
        <f>"Software Engineer, Systems Infrastructure"</f>
        <v>Software Engineer, Systems Infrastructure</v>
      </c>
      <c r="H1175" t="s">
        <v>12176</v>
      </c>
      <c r="I1175" t="s">
        <v>246</v>
      </c>
      <c r="J1175" t="s">
        <v>98</v>
      </c>
      <c r="K1175" s="1">
        <v>44105</v>
      </c>
      <c r="L1175" s="1">
        <v>45199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2834</v>
      </c>
      <c r="U1175" t="str">
        <f>""</f>
        <v/>
      </c>
      <c r="V1175" t="s">
        <v>2120</v>
      </c>
      <c r="W1175" t="str">
        <f>""</f>
        <v/>
      </c>
      <c r="X1175" t="s">
        <v>671</v>
      </c>
      <c r="Y1175" t="s">
        <v>141</v>
      </c>
      <c r="Z1175" s="3">
        <v>94085</v>
      </c>
      <c r="AA1175" t="s">
        <v>101</v>
      </c>
      <c r="AC1175" s="4" t="str">
        <f>"+16506873600"</f>
        <v>+16506873600</v>
      </c>
      <c r="AE1175" t="str">
        <f>"518210"</f>
        <v>518210</v>
      </c>
      <c r="AF1175" t="s">
        <v>2117</v>
      </c>
      <c r="AG1175" t="s">
        <v>2118</v>
      </c>
      <c r="AI1175" t="s">
        <v>2119</v>
      </c>
      <c r="AJ1175" t="s">
        <v>2120</v>
      </c>
      <c r="AK1175" t="str">
        <f>""</f>
        <v/>
      </c>
      <c r="AL1175" t="s">
        <v>671</v>
      </c>
      <c r="AM1175" t="s">
        <v>141</v>
      </c>
      <c r="AN1175" s="3">
        <v>94085</v>
      </c>
      <c r="AO1175" t="s">
        <v>101</v>
      </c>
      <c r="AQ1175" t="str">
        <f>"+16506873600"</f>
        <v>+16506873600</v>
      </c>
      <c r="AS1175" t="s">
        <v>2121</v>
      </c>
      <c r="AT1175" t="s">
        <v>107</v>
      </c>
      <c r="AU1175" t="str">
        <f>"Kivuvani"</f>
        <v>Kivuvani</v>
      </c>
      <c r="AV1175" t="str">
        <f>"Susan"</f>
        <v>Susan</v>
      </c>
      <c r="AW1175" t="str">
        <f>"Kalekye"</f>
        <v>Kalekye</v>
      </c>
      <c r="AX1175" t="str">
        <f>"2400 N Glenville Drive"</f>
        <v>2400 N Glenville Drive</v>
      </c>
      <c r="AY1175" t="str">
        <f>"Building A, Suite 100"</f>
        <v>Building A, Suite 100</v>
      </c>
      <c r="AZ1175" t="str">
        <f>"Richardson"</f>
        <v>Richardson</v>
      </c>
      <c r="BA1175" t="str">
        <f>"TX"</f>
        <v>TX</v>
      </c>
      <c r="BB1175" s="3">
        <v>75082</v>
      </c>
      <c r="BC1175" t="str">
        <f>"UNITED STATES OF AMERICA"</f>
        <v>UNITED STATES OF AMERICA</v>
      </c>
      <c r="BD1175" t="str">
        <f>""</f>
        <v/>
      </c>
      <c r="BE1175" t="str">
        <f>"+14692909832"</f>
        <v>+14692909832</v>
      </c>
      <c r="BF1175" t="str">
        <f>""</f>
        <v/>
      </c>
      <c r="BG1175" t="str">
        <f>"smba@balglobal.com"</f>
        <v>smba@balglobal.com</v>
      </c>
      <c r="BH1175" t="str">
        <f>"Berry Appleman &amp; Leiden LLP"</f>
        <v>Berry Appleman &amp; Leiden LLP</v>
      </c>
      <c r="BI1175" t="str">
        <f>"MO"</f>
        <v>MO</v>
      </c>
      <c r="BJ1175" t="str">
        <f>"Supreme Court of Missouri"</f>
        <v>Supreme Court of Missouri</v>
      </c>
      <c r="BK1175">
        <v>1</v>
      </c>
      <c r="BL1175" t="s">
        <v>102</v>
      </c>
      <c r="BM1175" t="str">
        <f>""</f>
        <v/>
      </c>
      <c r="BN1175" t="s">
        <v>2835</v>
      </c>
      <c r="BP1175" t="s">
        <v>155</v>
      </c>
      <c r="BQ1175" t="s">
        <v>230</v>
      </c>
      <c r="BR1175" t="s">
        <v>141</v>
      </c>
      <c r="BS1175" s="5">
        <v>94043</v>
      </c>
      <c r="BT1175" s="2">
        <v>124000</v>
      </c>
      <c r="BU1175" s="2">
        <v>186000</v>
      </c>
      <c r="BV1175" t="s">
        <v>105</v>
      </c>
      <c r="BW1175" s="2">
        <v>120578</v>
      </c>
      <c r="BX1175" t="s">
        <v>105</v>
      </c>
      <c r="BZ1175" t="s">
        <v>167</v>
      </c>
      <c r="CA1175" t="str">
        <f t="shared" si="92"/>
        <v>7/1/2020 - 6/30/2021</v>
      </c>
      <c r="CF1175">
        <v>2</v>
      </c>
      <c r="CG1175" t="s">
        <v>98</v>
      </c>
      <c r="CH1175" t="s">
        <v>206</v>
      </c>
      <c r="CI1175" t="s">
        <v>206</v>
      </c>
      <c r="CL1175" t="s">
        <v>108</v>
      </c>
      <c r="CM1175" t="s">
        <v>109</v>
      </c>
      <c r="CN1175" t="str">
        <f>""</f>
        <v/>
      </c>
      <c r="CO1175" t="str">
        <f>""</f>
        <v/>
      </c>
      <c r="CP1175" t="str">
        <f>""</f>
        <v/>
      </c>
      <c r="CQ1175" t="str">
        <f>""</f>
        <v/>
      </c>
    </row>
    <row r="1176" spans="1:96" x14ac:dyDescent="0.2">
      <c r="A1176" t="s">
        <v>11615</v>
      </c>
      <c r="B1176" t="s">
        <v>96</v>
      </c>
      <c r="C1176" s="1">
        <v>44098</v>
      </c>
      <c r="D1176" s="1">
        <v>44105</v>
      </c>
      <c r="F1176" t="s">
        <v>97</v>
      </c>
      <c r="G1176" t="str">
        <f>"Business Analyst – Applications"</f>
        <v>Business Analyst – Applications</v>
      </c>
      <c r="H1176" t="s">
        <v>12168</v>
      </c>
      <c r="I1176" t="s">
        <v>249</v>
      </c>
      <c r="J1176" t="s">
        <v>98</v>
      </c>
      <c r="K1176" s="1">
        <v>44280</v>
      </c>
      <c r="L1176" s="1">
        <v>45375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 t="s">
        <v>9663</v>
      </c>
      <c r="U1176" t="str">
        <f>""</f>
        <v/>
      </c>
      <c r="V1176" t="s">
        <v>9664</v>
      </c>
      <c r="W1176" t="str">
        <f>""</f>
        <v/>
      </c>
      <c r="X1176" t="s">
        <v>2684</v>
      </c>
      <c r="Y1176" t="s">
        <v>594</v>
      </c>
      <c r="Z1176" s="3">
        <v>29715</v>
      </c>
      <c r="AA1176" t="s">
        <v>101</v>
      </c>
      <c r="AC1176" s="4" t="str">
        <f>"+18035473322"</f>
        <v>+18035473322</v>
      </c>
      <c r="AE1176" t="str">
        <f>"332991"</f>
        <v>332991</v>
      </c>
      <c r="AF1176" t="s">
        <v>1289</v>
      </c>
      <c r="AG1176" t="s">
        <v>6909</v>
      </c>
      <c r="AI1176" t="s">
        <v>6910</v>
      </c>
      <c r="AJ1176" t="s">
        <v>6908</v>
      </c>
      <c r="AK1176" t="str">
        <f>""</f>
        <v/>
      </c>
      <c r="AL1176" t="s">
        <v>2684</v>
      </c>
      <c r="AM1176" t="s">
        <v>594</v>
      </c>
      <c r="AN1176" s="3">
        <v>29715</v>
      </c>
      <c r="AO1176" t="s">
        <v>101</v>
      </c>
      <c r="AQ1176" t="str">
        <f>"+18035473322"</f>
        <v>+18035473322</v>
      </c>
      <c r="AS1176" t="s">
        <v>6911</v>
      </c>
      <c r="AT1176" t="s">
        <v>107</v>
      </c>
      <c r="AU1176" t="str">
        <f>"Nichols"</f>
        <v>Nichols</v>
      </c>
      <c r="AV1176" t="str">
        <f>"Susannah"</f>
        <v>Susannah</v>
      </c>
      <c r="AW1176" t="str">
        <f>""</f>
        <v/>
      </c>
      <c r="AX1176" t="str">
        <f>"230 W. Monroe Street"</f>
        <v>230 W. Monroe Street</v>
      </c>
      <c r="AY1176" t="str">
        <f>"Suite 2800"</f>
        <v>Suite 2800</v>
      </c>
      <c r="AZ1176" t="str">
        <f>"Chicago"</f>
        <v>Chicago</v>
      </c>
      <c r="BA1176" t="str">
        <f>"IL"</f>
        <v>IL</v>
      </c>
      <c r="BB1176" s="3">
        <v>60606</v>
      </c>
      <c r="BC1176" t="str">
        <f>"UNITED STATES OF AMERICA"</f>
        <v>UNITED STATES OF AMERICA</v>
      </c>
      <c r="BD1176" t="str">
        <f>""</f>
        <v/>
      </c>
      <c r="BE1176" t="str">
        <f>"+13127226300"</f>
        <v>+13127226300</v>
      </c>
      <c r="BF1176" t="str">
        <f>""</f>
        <v/>
      </c>
      <c r="BG1176" t="str">
        <f>"gov@giafirm.com"</f>
        <v>gov@giafirm.com</v>
      </c>
      <c r="BH1176" t="str">
        <f>"Global Immigration Associates, P.C."</f>
        <v>Global Immigration Associates, P.C.</v>
      </c>
      <c r="BI1176" t="str">
        <f>"VA"</f>
        <v>VA</v>
      </c>
      <c r="BJ1176" t="str">
        <f>"Supreme Court of Virginia"</f>
        <v>Supreme Court of Virginia</v>
      </c>
      <c r="BK1176">
        <v>1</v>
      </c>
      <c r="BL1176" t="s">
        <v>102</v>
      </c>
      <c r="BM1176" t="str">
        <f>""</f>
        <v/>
      </c>
      <c r="BN1176" t="s">
        <v>9664</v>
      </c>
      <c r="BP1176" t="s">
        <v>2684</v>
      </c>
      <c r="BQ1176" t="s">
        <v>2685</v>
      </c>
      <c r="BR1176" t="s">
        <v>594</v>
      </c>
      <c r="BS1176" s="5">
        <v>29715</v>
      </c>
      <c r="BT1176" s="2">
        <v>119683.29</v>
      </c>
      <c r="BV1176" t="s">
        <v>105</v>
      </c>
      <c r="BW1176" s="2">
        <v>93413</v>
      </c>
      <c r="BX1176" t="s">
        <v>105</v>
      </c>
      <c r="BZ1176" t="s">
        <v>123</v>
      </c>
      <c r="CA1176" t="str">
        <f t="shared" si="92"/>
        <v>7/1/2020 - 6/30/2021</v>
      </c>
      <c r="CF1176">
        <v>2</v>
      </c>
      <c r="CG1176" t="s">
        <v>98</v>
      </c>
      <c r="CH1176" t="s">
        <v>206</v>
      </c>
      <c r="CI1176" t="s">
        <v>206</v>
      </c>
      <c r="CL1176" t="s">
        <v>108</v>
      </c>
      <c r="CM1176" t="s">
        <v>109</v>
      </c>
      <c r="CN1176" t="str">
        <f>""</f>
        <v/>
      </c>
      <c r="CO1176" t="str">
        <f>""</f>
        <v/>
      </c>
      <c r="CP1176" t="str">
        <f>""</f>
        <v/>
      </c>
      <c r="CQ1176" t="str">
        <f>""</f>
        <v/>
      </c>
    </row>
    <row r="1177" spans="1:96" x14ac:dyDescent="0.2">
      <c r="A1177" t="s">
        <v>11620</v>
      </c>
      <c r="B1177" t="s">
        <v>96</v>
      </c>
      <c r="C1177" s="1">
        <v>44098</v>
      </c>
      <c r="D1177" s="1">
        <v>44105</v>
      </c>
      <c r="F1177" t="s">
        <v>97</v>
      </c>
      <c r="G1177" t="str">
        <f>"Senior Data Architect"</f>
        <v>Senior Data Architect</v>
      </c>
      <c r="H1177" t="s">
        <v>12225</v>
      </c>
      <c r="I1177" t="s">
        <v>628</v>
      </c>
      <c r="J1177" t="s">
        <v>98</v>
      </c>
      <c r="K1177" s="1">
        <v>44260</v>
      </c>
      <c r="L1177" s="1">
        <v>45355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 t="s">
        <v>4428</v>
      </c>
      <c r="U1177" t="str">
        <f>"J.B. Hunt Transport, Inc."</f>
        <v>J.B. Hunt Transport, Inc.</v>
      </c>
      <c r="V1177" t="s">
        <v>4429</v>
      </c>
      <c r="W1177" t="str">
        <f>""</f>
        <v/>
      </c>
      <c r="X1177" t="s">
        <v>4430</v>
      </c>
      <c r="Y1177" t="s">
        <v>641</v>
      </c>
      <c r="Z1177" s="3">
        <v>72745</v>
      </c>
      <c r="AA1177" t="s">
        <v>101</v>
      </c>
      <c r="AC1177" s="4" t="str">
        <f>"+14798200508"</f>
        <v>+14798200508</v>
      </c>
      <c r="AE1177" t="str">
        <f>"484121"</f>
        <v>484121</v>
      </c>
      <c r="AF1177" t="s">
        <v>4904</v>
      </c>
      <c r="AG1177" t="s">
        <v>4905</v>
      </c>
      <c r="AI1177" t="s">
        <v>2184</v>
      </c>
      <c r="AJ1177" t="s">
        <v>4706</v>
      </c>
      <c r="AK1177" t="str">
        <f>""</f>
        <v/>
      </c>
      <c r="AL1177" t="s">
        <v>4430</v>
      </c>
      <c r="AM1177" t="s">
        <v>641</v>
      </c>
      <c r="AN1177" s="3">
        <v>72745</v>
      </c>
      <c r="AO1177" t="s">
        <v>101</v>
      </c>
      <c r="AQ1177" t="str">
        <f>"+14794193505"</f>
        <v>+14794193505</v>
      </c>
      <c r="AS1177" t="s">
        <v>4431</v>
      </c>
      <c r="AT1177" t="s">
        <v>102</v>
      </c>
      <c r="AU1177" t="str">
        <f>""</f>
        <v/>
      </c>
      <c r="AV1177" t="str">
        <f>""</f>
        <v/>
      </c>
      <c r="AW1177" t="str">
        <f>""</f>
        <v/>
      </c>
      <c r="AX1177" t="str">
        <f>""</f>
        <v/>
      </c>
      <c r="AY1177" t="str">
        <f>""</f>
        <v/>
      </c>
      <c r="AZ1177" t="str">
        <f>""</f>
        <v/>
      </c>
      <c r="BA1177" t="str">
        <f>""</f>
        <v/>
      </c>
      <c r="BC1177" t="str">
        <f>""</f>
        <v/>
      </c>
      <c r="BD1177" t="str">
        <f>""</f>
        <v/>
      </c>
      <c r="BE1177" t="str">
        <f>""</f>
        <v/>
      </c>
      <c r="BF1177" t="str">
        <f>""</f>
        <v/>
      </c>
      <c r="BG1177" t="str">
        <f>""</f>
        <v/>
      </c>
      <c r="BH1177" t="str">
        <f>""</f>
        <v/>
      </c>
      <c r="BI1177" t="str">
        <f>""</f>
        <v/>
      </c>
      <c r="BJ1177" t="str">
        <f>""</f>
        <v/>
      </c>
      <c r="BK1177">
        <v>1</v>
      </c>
      <c r="BL1177" t="s">
        <v>102</v>
      </c>
      <c r="BM1177" t="str">
        <f>""</f>
        <v/>
      </c>
      <c r="BN1177" t="s">
        <v>4707</v>
      </c>
      <c r="BP1177" t="s">
        <v>4430</v>
      </c>
      <c r="BQ1177" t="s">
        <v>640</v>
      </c>
      <c r="BR1177" t="s">
        <v>641</v>
      </c>
      <c r="BS1177" s="5">
        <v>72745</v>
      </c>
      <c r="BT1177" s="2">
        <v>98389</v>
      </c>
      <c r="BV1177" t="s">
        <v>105</v>
      </c>
      <c r="BW1177" s="2">
        <v>80392</v>
      </c>
      <c r="BX1177" t="s">
        <v>105</v>
      </c>
      <c r="BZ1177" t="s">
        <v>123</v>
      </c>
      <c r="CA1177" t="str">
        <f t="shared" si="92"/>
        <v>7/1/2020 - 6/30/2021</v>
      </c>
      <c r="CF1177">
        <v>1</v>
      </c>
      <c r="CG1177" t="s">
        <v>98</v>
      </c>
      <c r="CH1177" t="s">
        <v>206</v>
      </c>
      <c r="CI1177" t="s">
        <v>206</v>
      </c>
      <c r="CL1177" t="s">
        <v>108</v>
      </c>
      <c r="CM1177" t="s">
        <v>109</v>
      </c>
      <c r="CN1177" t="str">
        <f>""</f>
        <v/>
      </c>
      <c r="CO1177" t="str">
        <f>""</f>
        <v/>
      </c>
      <c r="CP1177" t="str">
        <f>""</f>
        <v/>
      </c>
      <c r="CQ1177" t="str">
        <f>""</f>
        <v/>
      </c>
    </row>
    <row r="1178" spans="1:96" x14ac:dyDescent="0.2">
      <c r="A1178" t="s">
        <v>11621</v>
      </c>
      <c r="B1178" t="s">
        <v>96</v>
      </c>
      <c r="C1178" s="1">
        <v>44098</v>
      </c>
      <c r="D1178" s="1">
        <v>44105</v>
      </c>
      <c r="F1178" t="s">
        <v>97</v>
      </c>
      <c r="G1178" t="str">
        <f>"Physician "</f>
        <v xml:space="preserve">Physician </v>
      </c>
      <c r="H1178" t="s">
        <v>12286</v>
      </c>
      <c r="I1178" t="s">
        <v>5629</v>
      </c>
      <c r="J1178" t="s">
        <v>98</v>
      </c>
      <c r="K1178" s="1">
        <v>44134</v>
      </c>
      <c r="L1178" s="1">
        <v>45228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 t="s">
        <v>9020</v>
      </c>
      <c r="U1178" t="str">
        <f>"NEIGHBORHOOD HEALTH CENTER"</f>
        <v>NEIGHBORHOOD HEALTH CENTER</v>
      </c>
      <c r="V1178" t="s">
        <v>9021</v>
      </c>
      <c r="W1178" t="str">
        <f>""</f>
        <v/>
      </c>
      <c r="X1178" t="s">
        <v>2281</v>
      </c>
      <c r="Y1178" t="s">
        <v>190</v>
      </c>
      <c r="Z1178" s="3">
        <v>14207</v>
      </c>
      <c r="AA1178" t="s">
        <v>101</v>
      </c>
      <c r="AC1178" s="4" t="str">
        <f>"+17168752904"</f>
        <v>+17168752904</v>
      </c>
      <c r="AE1178" t="str">
        <f>"621999"</f>
        <v>621999</v>
      </c>
      <c r="AF1178" t="s">
        <v>9022</v>
      </c>
      <c r="AG1178" t="s">
        <v>9023</v>
      </c>
      <c r="AH1178" t="s">
        <v>1905</v>
      </c>
      <c r="AI1178" t="s">
        <v>1789</v>
      </c>
      <c r="AJ1178" t="s">
        <v>9021</v>
      </c>
      <c r="AK1178" t="str">
        <f>""</f>
        <v/>
      </c>
      <c r="AL1178" t="s">
        <v>9024</v>
      </c>
      <c r="AM1178" t="s">
        <v>190</v>
      </c>
      <c r="AN1178" s="3">
        <v>14207</v>
      </c>
      <c r="AO1178" t="s">
        <v>101</v>
      </c>
      <c r="AQ1178" t="str">
        <f>"+17168752904"</f>
        <v>+17168752904</v>
      </c>
      <c r="AS1178" t="s">
        <v>9025</v>
      </c>
      <c r="AT1178" t="s">
        <v>107</v>
      </c>
      <c r="AU1178" t="str">
        <f>"Juncewicz"</f>
        <v>Juncewicz</v>
      </c>
      <c r="AV1178" t="str">
        <f>"Nina"</f>
        <v>Nina</v>
      </c>
      <c r="AW1178" t="str">
        <f>"FRANCES"</f>
        <v>FRANCES</v>
      </c>
      <c r="AX1178" t="str">
        <f>"50 Fountain Plaza"</f>
        <v>50 Fountain Plaza</v>
      </c>
      <c r="AY1178" t="str">
        <f>"Suite 1400"</f>
        <v>Suite 1400</v>
      </c>
      <c r="AZ1178" t="str">
        <f>"Buffalo"</f>
        <v>Buffalo</v>
      </c>
      <c r="BA1178" t="str">
        <f>"NY"</f>
        <v>NY</v>
      </c>
      <c r="BB1178" s="3">
        <v>14202</v>
      </c>
      <c r="BC1178" t="str">
        <f t="shared" ref="BC1178:BC1204" si="94">"UNITED STATES OF AMERICA"</f>
        <v>UNITED STATES OF AMERICA</v>
      </c>
      <c r="BD1178" t="str">
        <f>""</f>
        <v/>
      </c>
      <c r="BE1178" t="str">
        <f>"+17168756500"</f>
        <v>+17168756500</v>
      </c>
      <c r="BF1178" t="str">
        <f>""</f>
        <v/>
      </c>
      <c r="BG1178" t="str">
        <f>"njuncewicz@nfjlawoffice.com"</f>
        <v>njuncewicz@nfjlawoffice.com</v>
      </c>
      <c r="BH1178" t="str">
        <f>"The Law Office of Nina F. Juncewicz, P.C."</f>
        <v>The Law Office of Nina F. Juncewicz, P.C.</v>
      </c>
      <c r="BI1178" t="str">
        <f>"NY"</f>
        <v>NY</v>
      </c>
      <c r="BJ1178" t="str">
        <f>"NEW YORK STATE COURT OF APPEALS"</f>
        <v>NEW YORK STATE COURT OF APPEALS</v>
      </c>
      <c r="BK1178">
        <v>1</v>
      </c>
      <c r="BL1178" t="s">
        <v>102</v>
      </c>
      <c r="BM1178" t="str">
        <f>""</f>
        <v/>
      </c>
      <c r="BN1178" t="s">
        <v>9026</v>
      </c>
      <c r="BP1178" t="s">
        <v>2415</v>
      </c>
      <c r="BQ1178" t="s">
        <v>1054</v>
      </c>
      <c r="BR1178" t="s">
        <v>190</v>
      </c>
      <c r="BS1178" s="5">
        <v>14207</v>
      </c>
      <c r="BT1178" s="2">
        <v>208499</v>
      </c>
      <c r="BV1178" t="s">
        <v>105</v>
      </c>
      <c r="BW1178" s="2">
        <v>179421</v>
      </c>
      <c r="BX1178" t="s">
        <v>105</v>
      </c>
      <c r="BZ1178" t="s">
        <v>191</v>
      </c>
      <c r="CA1178" t="str">
        <f t="shared" si="92"/>
        <v>7/1/2020 - 6/30/2021</v>
      </c>
      <c r="CF1178">
        <v>4</v>
      </c>
      <c r="CG1178" t="s">
        <v>98</v>
      </c>
      <c r="CH1178" t="s">
        <v>206</v>
      </c>
      <c r="CI1178" t="s">
        <v>206</v>
      </c>
      <c r="CL1178" t="s">
        <v>108</v>
      </c>
      <c r="CM1178" t="s">
        <v>109</v>
      </c>
      <c r="CN1178" t="str">
        <f>""</f>
        <v/>
      </c>
      <c r="CO1178" t="str">
        <f>""</f>
        <v/>
      </c>
      <c r="CP1178" t="str">
        <f>""</f>
        <v/>
      </c>
      <c r="CQ1178" t="str">
        <f>""</f>
        <v/>
      </c>
    </row>
    <row r="1179" spans="1:96" x14ac:dyDescent="0.2">
      <c r="A1179" t="s">
        <v>11631</v>
      </c>
      <c r="B1179" t="s">
        <v>96</v>
      </c>
      <c r="C1179" s="1">
        <v>44098</v>
      </c>
      <c r="D1179" s="1">
        <v>44105</v>
      </c>
      <c r="F1179" t="s">
        <v>97</v>
      </c>
      <c r="G1179" t="str">
        <f>"Chief Architect - Telematics"</f>
        <v>Chief Architect - Telematics</v>
      </c>
      <c r="H1179" t="s">
        <v>12179</v>
      </c>
      <c r="I1179" t="s">
        <v>1357</v>
      </c>
      <c r="J1179" t="s">
        <v>98</v>
      </c>
      <c r="K1179" s="1">
        <v>44243</v>
      </c>
      <c r="L1179" s="1">
        <v>45337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 t="s">
        <v>4848</v>
      </c>
      <c r="U1179" t="str">
        <f>""</f>
        <v/>
      </c>
      <c r="V1179" t="s">
        <v>4849</v>
      </c>
      <c r="W1179" t="str">
        <f>"MC: 482-C32-C66"</f>
        <v>MC: 482-C32-C66</v>
      </c>
      <c r="X1179" t="s">
        <v>528</v>
      </c>
      <c r="Y1179" t="s">
        <v>265</v>
      </c>
      <c r="Z1179" s="3" t="s">
        <v>12296</v>
      </c>
      <c r="AA1179" t="s">
        <v>101</v>
      </c>
      <c r="AC1179" s="4" t="str">
        <f>"+13135700122"</f>
        <v>+13135700122</v>
      </c>
      <c r="AE1179" t="str">
        <f>"3361"</f>
        <v>3361</v>
      </c>
      <c r="AF1179" t="s">
        <v>4850</v>
      </c>
      <c r="AG1179" t="s">
        <v>1182</v>
      </c>
      <c r="AI1179" t="s">
        <v>254</v>
      </c>
      <c r="AJ1179" t="s">
        <v>4851</v>
      </c>
      <c r="AK1179" t="str">
        <f>"MC: 482-C32-C66"</f>
        <v>MC: 482-C32-C66</v>
      </c>
      <c r="AL1179" t="s">
        <v>1682</v>
      </c>
      <c r="AM1179" t="s">
        <v>265</v>
      </c>
      <c r="AN1179" s="3" t="s">
        <v>12296</v>
      </c>
      <c r="AO1179" t="s">
        <v>101</v>
      </c>
      <c r="AQ1179" t="str">
        <f>"+13135700122"</f>
        <v>+13135700122</v>
      </c>
      <c r="AS1179" t="s">
        <v>4852</v>
      </c>
      <c r="AT1179" t="s">
        <v>107</v>
      </c>
      <c r="AU1179" t="str">
        <f>"Roby"</f>
        <v>Roby</v>
      </c>
      <c r="AV1179" t="str">
        <f>"Anthony"</f>
        <v>Anthony</v>
      </c>
      <c r="AW1179" t="str">
        <f>"Michael"</f>
        <v>Michael</v>
      </c>
      <c r="AX1179" t="str">
        <f>"566 Ann Street"</f>
        <v>566 Ann Street</v>
      </c>
      <c r="AY1179" t="str">
        <f>""</f>
        <v/>
      </c>
      <c r="AZ1179" t="str">
        <f>"Birmingham "</f>
        <v xml:space="preserve">Birmingham </v>
      </c>
      <c r="BA1179" t="str">
        <f>"MI"</f>
        <v>MI</v>
      </c>
      <c r="BB1179" s="3" t="s">
        <v>12307</v>
      </c>
      <c r="BC1179" t="str">
        <f t="shared" si="94"/>
        <v>UNITED STATES OF AMERICA</v>
      </c>
      <c r="BD1179" t="str">
        <f>""</f>
        <v/>
      </c>
      <c r="BE1179" t="str">
        <f>"+12485548500"</f>
        <v>+12485548500</v>
      </c>
      <c r="BF1179" t="str">
        <f>""</f>
        <v/>
      </c>
      <c r="BG1179" t="str">
        <f>"anthony.roby@robylaw.com"</f>
        <v>anthony.roby@robylaw.com</v>
      </c>
      <c r="BH1179" t="str">
        <f>"Roby Law Associates, PLLC"</f>
        <v>Roby Law Associates, PLLC</v>
      </c>
      <c r="BI1179" t="str">
        <f>"MI"</f>
        <v>MI</v>
      </c>
      <c r="BJ1179" t="str">
        <f>"U.S. Supreme Courts"</f>
        <v>U.S. Supreme Courts</v>
      </c>
      <c r="BK1179">
        <v>1</v>
      </c>
      <c r="BL1179" t="s">
        <v>102</v>
      </c>
      <c r="BM1179" t="str">
        <f>""</f>
        <v/>
      </c>
      <c r="BN1179" t="s">
        <v>5505</v>
      </c>
      <c r="BP1179" t="s">
        <v>1058</v>
      </c>
      <c r="BQ1179" t="s">
        <v>543</v>
      </c>
      <c r="BR1179" t="s">
        <v>265</v>
      </c>
      <c r="BS1179" s="5">
        <v>48093</v>
      </c>
      <c r="BT1179" s="2">
        <v>140070</v>
      </c>
      <c r="BV1179" t="s">
        <v>105</v>
      </c>
      <c r="BW1179" s="2">
        <v>109637</v>
      </c>
      <c r="BX1179" t="s">
        <v>105</v>
      </c>
      <c r="BZ1179" t="s">
        <v>159</v>
      </c>
      <c r="CA1179" t="str">
        <f t="shared" si="92"/>
        <v>7/1/2020 - 6/30/2021</v>
      </c>
      <c r="CF1179">
        <v>2</v>
      </c>
      <c r="CG1179" t="s">
        <v>98</v>
      </c>
      <c r="CH1179" t="s">
        <v>206</v>
      </c>
      <c r="CI1179" t="s">
        <v>206</v>
      </c>
      <c r="CL1179" t="s">
        <v>108</v>
      </c>
      <c r="CM1179" t="s">
        <v>109</v>
      </c>
      <c r="CN1179" t="str">
        <f>""</f>
        <v/>
      </c>
      <c r="CO1179" t="str">
        <f>""</f>
        <v/>
      </c>
      <c r="CP1179" t="str">
        <f>""</f>
        <v/>
      </c>
      <c r="CQ1179" t="str">
        <f>""</f>
        <v/>
      </c>
    </row>
    <row r="1180" spans="1:96" x14ac:dyDescent="0.2">
      <c r="A1180" t="s">
        <v>11632</v>
      </c>
      <c r="B1180" t="s">
        <v>96</v>
      </c>
      <c r="C1180" s="1">
        <v>44098</v>
      </c>
      <c r="D1180" s="1">
        <v>44105</v>
      </c>
      <c r="F1180" t="s">
        <v>97</v>
      </c>
      <c r="G1180" t="str">
        <f>"Tooling and Die Maintenance Trainer"</f>
        <v>Tooling and Die Maintenance Trainer</v>
      </c>
      <c r="H1180" t="s">
        <v>12242</v>
      </c>
      <c r="I1180" t="s">
        <v>3308</v>
      </c>
      <c r="J1180" t="s">
        <v>98</v>
      </c>
      <c r="K1180" s="1">
        <v>44190</v>
      </c>
      <c r="L1180" s="1">
        <v>44302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 t="s">
        <v>11633</v>
      </c>
      <c r="U1180" t="str">
        <f>""</f>
        <v/>
      </c>
      <c r="V1180" t="s">
        <v>11634</v>
      </c>
      <c r="W1180" t="str">
        <f>""</f>
        <v/>
      </c>
      <c r="X1180" t="s">
        <v>2059</v>
      </c>
      <c r="Y1180" t="s">
        <v>708</v>
      </c>
      <c r="Z1180" s="3">
        <v>36832</v>
      </c>
      <c r="AA1180" t="s">
        <v>101</v>
      </c>
      <c r="AC1180" s="4" t="str">
        <f>"+13343210843"</f>
        <v>+13343210843</v>
      </c>
      <c r="AE1180" t="str">
        <f>"331313"</f>
        <v>331313</v>
      </c>
      <c r="AF1180" t="s">
        <v>11635</v>
      </c>
      <c r="AG1180" t="s">
        <v>4711</v>
      </c>
      <c r="AI1180" t="s">
        <v>898</v>
      </c>
      <c r="AJ1180" t="s">
        <v>11634</v>
      </c>
      <c r="AK1180" t="str">
        <f>""</f>
        <v/>
      </c>
      <c r="AL1180" t="s">
        <v>2059</v>
      </c>
      <c r="AM1180" t="s">
        <v>708</v>
      </c>
      <c r="AN1180" s="3">
        <v>36832</v>
      </c>
      <c r="AO1180" t="s">
        <v>101</v>
      </c>
      <c r="AQ1180" t="str">
        <f>"+13343210843"</f>
        <v>+13343210843</v>
      </c>
      <c r="AS1180" t="s">
        <v>11636</v>
      </c>
      <c r="AT1180" t="s">
        <v>107</v>
      </c>
      <c r="AU1180" t="str">
        <f>"Walker"</f>
        <v>Walker</v>
      </c>
      <c r="AV1180" t="str">
        <f>"Melanie"</f>
        <v>Melanie</v>
      </c>
      <c r="AW1180" t="str">
        <f>"C."</f>
        <v>C.</v>
      </c>
      <c r="AX1180" t="str">
        <f>"633 Chestnut Street"</f>
        <v>633 Chestnut Street</v>
      </c>
      <c r="AY1180" t="str">
        <f>"Suite 1900"</f>
        <v>Suite 1900</v>
      </c>
      <c r="AZ1180" t="str">
        <f>"Chattanooga"</f>
        <v>Chattanooga</v>
      </c>
      <c r="BA1180" t="str">
        <f>"TN"</f>
        <v>TN</v>
      </c>
      <c r="BB1180" s="3">
        <v>37450</v>
      </c>
      <c r="BC1180" t="str">
        <f t="shared" si="94"/>
        <v>UNITED STATES OF AMERICA</v>
      </c>
      <c r="BD1180" t="str">
        <f>""</f>
        <v/>
      </c>
      <c r="BE1180" t="str">
        <f>"+14044051195"</f>
        <v>+14044051195</v>
      </c>
      <c r="BF1180" t="str">
        <f>""</f>
        <v/>
      </c>
      <c r="BG1180" t="str">
        <f>"mwalker@bakerdonelson.com"</f>
        <v>mwalker@bakerdonelson.com</v>
      </c>
      <c r="BH1180" t="str">
        <f>"Baker Donelson Bearman Caldwell and Berkowitz PC"</f>
        <v>Baker Donelson Bearman Caldwell and Berkowitz PC</v>
      </c>
      <c r="BI1180" t="str">
        <f>"TN"</f>
        <v>TN</v>
      </c>
      <c r="BJ1180" t="str">
        <f>"Supreme"</f>
        <v>Supreme</v>
      </c>
      <c r="BK1180">
        <v>1</v>
      </c>
      <c r="BL1180" t="s">
        <v>102</v>
      </c>
      <c r="BM1180" t="str">
        <f>""</f>
        <v/>
      </c>
      <c r="BN1180" t="s">
        <v>11634</v>
      </c>
      <c r="BP1180" t="s">
        <v>2059</v>
      </c>
      <c r="BQ1180" t="s">
        <v>686</v>
      </c>
      <c r="BR1180" t="s">
        <v>708</v>
      </c>
      <c r="BS1180" s="5">
        <v>36832</v>
      </c>
      <c r="BT1180" s="2">
        <v>64771</v>
      </c>
      <c r="BU1180" s="2">
        <v>73000</v>
      </c>
      <c r="BV1180" t="s">
        <v>105</v>
      </c>
      <c r="BW1180" s="2">
        <v>64771</v>
      </c>
      <c r="BX1180" t="s">
        <v>105</v>
      </c>
      <c r="BZ1180" t="s">
        <v>123</v>
      </c>
      <c r="CA1180" t="str">
        <f t="shared" si="92"/>
        <v>7/1/2020 - 6/30/2021</v>
      </c>
      <c r="CF1180">
        <v>1</v>
      </c>
      <c r="CG1180" t="s">
        <v>98</v>
      </c>
      <c r="CH1180" t="s">
        <v>206</v>
      </c>
      <c r="CI1180" t="s">
        <v>206</v>
      </c>
      <c r="CL1180" t="s">
        <v>108</v>
      </c>
      <c r="CM1180" t="s">
        <v>109</v>
      </c>
      <c r="CN1180" t="str">
        <f>"Walker"</f>
        <v>Walker</v>
      </c>
      <c r="CO1180" t="str">
        <f>"Melanie"</f>
        <v>Melanie</v>
      </c>
      <c r="CP1180" t="str">
        <f>"C."</f>
        <v>C.</v>
      </c>
      <c r="CQ1180" t="str">
        <f>"Baker Donelson"</f>
        <v>Baker Donelson</v>
      </c>
      <c r="CR1180" t="s">
        <v>8673</v>
      </c>
    </row>
    <row r="1181" spans="1:96" x14ac:dyDescent="0.2">
      <c r="A1181" t="s">
        <v>11637</v>
      </c>
      <c r="B1181" t="s">
        <v>96</v>
      </c>
      <c r="C1181" s="1">
        <v>44098</v>
      </c>
      <c r="D1181" s="1">
        <v>44105</v>
      </c>
      <c r="F1181" t="s">
        <v>97</v>
      </c>
      <c r="G1181" t="str">
        <f>"Senior Member of Technical Staff"</f>
        <v>Senior Member of Technical Staff</v>
      </c>
      <c r="H1181" t="s">
        <v>12169</v>
      </c>
      <c r="I1181" t="s">
        <v>124</v>
      </c>
      <c r="J1181" t="s">
        <v>98</v>
      </c>
      <c r="K1181" s="1">
        <v>44104</v>
      </c>
      <c r="L1181" s="1">
        <v>45198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 t="s">
        <v>1724</v>
      </c>
      <c r="U1181" t="str">
        <f>""</f>
        <v/>
      </c>
      <c r="V1181" t="s">
        <v>1110</v>
      </c>
      <c r="W1181" t="str">
        <f>""</f>
        <v/>
      </c>
      <c r="X1181" t="s">
        <v>568</v>
      </c>
      <c r="Y1181" t="s">
        <v>141</v>
      </c>
      <c r="Z1181" s="3">
        <v>94304</v>
      </c>
      <c r="AA1181" t="s">
        <v>101</v>
      </c>
      <c r="AC1181" s="4" t="str">
        <f>"+15128133194"</f>
        <v>+15128133194</v>
      </c>
      <c r="AE1181" t="str">
        <f>"541511"</f>
        <v>541511</v>
      </c>
      <c r="AF1181" t="s">
        <v>1725</v>
      </c>
      <c r="AG1181" t="s">
        <v>1726</v>
      </c>
      <c r="AI1181" t="s">
        <v>1111</v>
      </c>
      <c r="AJ1181" t="s">
        <v>1727</v>
      </c>
      <c r="AK1181" t="str">
        <f>""</f>
        <v/>
      </c>
      <c r="AL1181" t="s">
        <v>765</v>
      </c>
      <c r="AM1181" t="s">
        <v>114</v>
      </c>
      <c r="AN1181" s="3">
        <v>78730</v>
      </c>
      <c r="AO1181" t="s">
        <v>101</v>
      </c>
      <c r="AQ1181" t="str">
        <f>"+15128133261"</f>
        <v>+15128133261</v>
      </c>
      <c r="AS1181" t="s">
        <v>1728</v>
      </c>
      <c r="AT1181" t="s">
        <v>107</v>
      </c>
      <c r="AU1181" t="str">
        <f>"MARONEY "</f>
        <v xml:space="preserve">MARONEY </v>
      </c>
      <c r="AV1181" t="str">
        <f>"JACQUELYN "</f>
        <v xml:space="preserve">JACQUELYN </v>
      </c>
      <c r="AW1181" t="str">
        <f>"P."</f>
        <v>P.</v>
      </c>
      <c r="AX1181" t="str">
        <f>"301 Congress Avenue"</f>
        <v>301 Congress Avenue</v>
      </c>
      <c r="AY1181" t="str">
        <f>"Suite 1150"</f>
        <v>Suite 1150</v>
      </c>
      <c r="AZ1181" t="str">
        <f>"Austin"</f>
        <v>Austin</v>
      </c>
      <c r="BA1181" t="str">
        <f>"TX"</f>
        <v>TX</v>
      </c>
      <c r="BB1181" s="3">
        <v>78701</v>
      </c>
      <c r="BC1181" t="str">
        <f t="shared" si="94"/>
        <v>UNITED STATES OF AMERICA</v>
      </c>
      <c r="BD1181" t="str">
        <f>""</f>
        <v/>
      </c>
      <c r="BE1181" t="str">
        <f>"+15123444736"</f>
        <v>+15123444736</v>
      </c>
      <c r="BF1181" t="str">
        <f>""</f>
        <v/>
      </c>
      <c r="BG1181" t="str">
        <f>"natalie.ingram@ogletreedeakins.com"</f>
        <v>natalie.ingram@ogletreedeakins.com</v>
      </c>
      <c r="BH1181" t="str">
        <f>"Ogletree, Deakins, Nash, Smoak &amp; Stewart, P.C."</f>
        <v>Ogletree, Deakins, Nash, Smoak &amp; Stewart, P.C.</v>
      </c>
      <c r="BI1181" t="str">
        <f>"TX"</f>
        <v>TX</v>
      </c>
      <c r="BJ1181" t="str">
        <f>"Supreme Court of Texas "</f>
        <v xml:space="preserve">Supreme Court of Texas </v>
      </c>
      <c r="BK1181">
        <v>1</v>
      </c>
      <c r="BL1181" t="s">
        <v>102</v>
      </c>
      <c r="BM1181" t="str">
        <f>""</f>
        <v/>
      </c>
      <c r="BN1181" t="s">
        <v>1110</v>
      </c>
      <c r="BO1181" t="s">
        <v>5220</v>
      </c>
      <c r="BP1181" t="s">
        <v>568</v>
      </c>
      <c r="BQ1181" t="s">
        <v>230</v>
      </c>
      <c r="BR1181" t="s">
        <v>141</v>
      </c>
      <c r="BS1181" s="5">
        <v>94304</v>
      </c>
      <c r="BT1181" s="2">
        <v>190000</v>
      </c>
      <c r="BV1181" t="s">
        <v>105</v>
      </c>
      <c r="BW1181" s="2">
        <v>145725</v>
      </c>
      <c r="BX1181" t="s">
        <v>105</v>
      </c>
      <c r="BZ1181" t="s">
        <v>123</v>
      </c>
      <c r="CA1181" t="str">
        <f t="shared" si="92"/>
        <v>7/1/2020 - 6/30/2021</v>
      </c>
      <c r="CF1181">
        <v>2</v>
      </c>
      <c r="CG1181" t="s">
        <v>98</v>
      </c>
      <c r="CH1181" t="s">
        <v>206</v>
      </c>
      <c r="CI1181" t="s">
        <v>206</v>
      </c>
      <c r="CL1181" t="s">
        <v>108</v>
      </c>
      <c r="CM1181" t="s">
        <v>109</v>
      </c>
      <c r="CN1181" t="str">
        <f>""</f>
        <v/>
      </c>
      <c r="CO1181" t="str">
        <f>""</f>
        <v/>
      </c>
      <c r="CP1181" t="str">
        <f>""</f>
        <v/>
      </c>
      <c r="CQ1181" t="str">
        <f>""</f>
        <v/>
      </c>
    </row>
    <row r="1182" spans="1:96" x14ac:dyDescent="0.2">
      <c r="A1182" t="s">
        <v>11643</v>
      </c>
      <c r="B1182" t="s">
        <v>96</v>
      </c>
      <c r="C1182" s="1">
        <v>44098</v>
      </c>
      <c r="D1182" s="1">
        <v>44105</v>
      </c>
      <c r="F1182" t="s">
        <v>97</v>
      </c>
      <c r="G1182" t="str">
        <f>"Secondary Science Teacher"</f>
        <v>Secondary Science Teacher</v>
      </c>
      <c r="H1182" t="s">
        <v>12252</v>
      </c>
      <c r="I1182" t="s">
        <v>4161</v>
      </c>
      <c r="J1182" t="s">
        <v>98</v>
      </c>
      <c r="K1182" s="1">
        <v>44105</v>
      </c>
      <c r="L1182" s="1">
        <v>45199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9691</v>
      </c>
      <c r="U1182" t="str">
        <f>""</f>
        <v/>
      </c>
      <c r="V1182" t="s">
        <v>9692</v>
      </c>
      <c r="W1182" t="str">
        <f>""</f>
        <v/>
      </c>
      <c r="X1182" t="s">
        <v>1998</v>
      </c>
      <c r="Y1182" t="s">
        <v>114</v>
      </c>
      <c r="Z1182" s="3">
        <v>79761</v>
      </c>
      <c r="AA1182" t="s">
        <v>101</v>
      </c>
      <c r="AC1182" s="4" t="str">
        <f>"+14324560000"</f>
        <v>+14324560000</v>
      </c>
      <c r="AE1182" t="str">
        <f>"611110"</f>
        <v>611110</v>
      </c>
      <c r="AF1182" t="s">
        <v>9693</v>
      </c>
      <c r="AG1182" t="s">
        <v>9694</v>
      </c>
      <c r="AI1182" t="s">
        <v>9695</v>
      </c>
      <c r="AJ1182" t="s">
        <v>9692</v>
      </c>
      <c r="AK1182" t="str">
        <f>""</f>
        <v/>
      </c>
      <c r="AL1182" t="s">
        <v>1998</v>
      </c>
      <c r="AM1182" t="s">
        <v>114</v>
      </c>
      <c r="AN1182" s="3">
        <v>79761</v>
      </c>
      <c r="AO1182" t="s">
        <v>101</v>
      </c>
      <c r="AQ1182" t="str">
        <f>"+14324560994"</f>
        <v>+14324560994</v>
      </c>
      <c r="AS1182" t="s">
        <v>9696</v>
      </c>
      <c r="AT1182" t="s">
        <v>107</v>
      </c>
      <c r="AU1182" t="str">
        <f>"Dennis"</f>
        <v>Dennis</v>
      </c>
      <c r="AV1182" t="str">
        <f>"Tatiana"</f>
        <v>Tatiana</v>
      </c>
      <c r="AW1182" t="str">
        <f>"Tyutko"</f>
        <v>Tyutko</v>
      </c>
      <c r="AX1182" t="str">
        <f>"3800 East 42nd Street"</f>
        <v>3800 East 42nd Street</v>
      </c>
      <c r="AY1182" t="str">
        <f>"Ste. 500"</f>
        <v>Ste. 500</v>
      </c>
      <c r="AZ1182" t="str">
        <f>"Odessa"</f>
        <v>Odessa</v>
      </c>
      <c r="BA1182" t="str">
        <f>"TX"</f>
        <v>TX</v>
      </c>
      <c r="BB1182" s="3">
        <v>79762</v>
      </c>
      <c r="BC1182" t="str">
        <f t="shared" si="94"/>
        <v>UNITED STATES OF AMERICA</v>
      </c>
      <c r="BD1182" t="str">
        <f>""</f>
        <v/>
      </c>
      <c r="BE1182" t="str">
        <f>"+14323311600"</f>
        <v>+14323311600</v>
      </c>
      <c r="BF1182" t="str">
        <f>""</f>
        <v/>
      </c>
      <c r="BG1182" t="str">
        <f>"tdennis@odessalawfirm.com"</f>
        <v>tdennis@odessalawfirm.com</v>
      </c>
      <c r="BH1182" t="str">
        <f>"Atkins, Hollmann, Jones, Peacock, Lewis &amp; Lyon, Inc."</f>
        <v>Atkins, Hollmann, Jones, Peacock, Lewis &amp; Lyon, Inc.</v>
      </c>
      <c r="BI1182" t="str">
        <f>"TX"</f>
        <v>TX</v>
      </c>
      <c r="BJ1182" t="str">
        <f>"The Supreme Court of Texas"</f>
        <v>The Supreme Court of Texas</v>
      </c>
      <c r="BK1182">
        <v>1</v>
      </c>
      <c r="BL1182" t="s">
        <v>102</v>
      </c>
      <c r="BM1182" t="str">
        <f>""</f>
        <v/>
      </c>
      <c r="BN1182" t="s">
        <v>11644</v>
      </c>
      <c r="BP1182" t="s">
        <v>1998</v>
      </c>
      <c r="BQ1182" t="s">
        <v>9690</v>
      </c>
      <c r="BR1182" t="s">
        <v>114</v>
      </c>
      <c r="BS1182" s="5">
        <v>79763</v>
      </c>
      <c r="BT1182" s="2">
        <v>54250</v>
      </c>
      <c r="BV1182" t="s">
        <v>105</v>
      </c>
      <c r="BW1182" s="2">
        <v>39040</v>
      </c>
      <c r="BX1182" t="s">
        <v>105</v>
      </c>
      <c r="BZ1182" t="s">
        <v>191</v>
      </c>
      <c r="CA1182" t="str">
        <f t="shared" si="92"/>
        <v>7/1/2020 - 6/30/2021</v>
      </c>
      <c r="CF1182">
        <v>1</v>
      </c>
      <c r="CG1182" t="s">
        <v>98</v>
      </c>
      <c r="CH1182" t="s">
        <v>206</v>
      </c>
      <c r="CI1182" t="s">
        <v>206</v>
      </c>
      <c r="CL1182" t="s">
        <v>108</v>
      </c>
      <c r="CM1182" t="s">
        <v>109</v>
      </c>
      <c r="CN1182" t="str">
        <f>""</f>
        <v/>
      </c>
      <c r="CO1182" t="str">
        <f>""</f>
        <v/>
      </c>
      <c r="CP1182" t="str">
        <f>""</f>
        <v/>
      </c>
      <c r="CQ1182" t="str">
        <f>""</f>
        <v/>
      </c>
    </row>
    <row r="1183" spans="1:96" x14ac:dyDescent="0.2">
      <c r="A1183" t="s">
        <v>11648</v>
      </c>
      <c r="B1183" t="s">
        <v>96</v>
      </c>
      <c r="C1183" s="1">
        <v>44098</v>
      </c>
      <c r="D1183" s="1">
        <v>44105</v>
      </c>
      <c r="F1183" t="s">
        <v>97</v>
      </c>
      <c r="G1183" t="str">
        <f>"Software Engineer  1615.25241"</f>
        <v>Software Engineer  1615.25241</v>
      </c>
      <c r="H1183" t="s">
        <v>12169</v>
      </c>
      <c r="I1183" t="s">
        <v>124</v>
      </c>
      <c r="J1183" t="s">
        <v>98</v>
      </c>
      <c r="K1183" s="1">
        <v>44103</v>
      </c>
      <c r="L1183" s="1">
        <v>45197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 t="s">
        <v>890</v>
      </c>
      <c r="U1183" t="str">
        <f>""</f>
        <v/>
      </c>
      <c r="V1183" t="s">
        <v>290</v>
      </c>
      <c r="W1183" t="str">
        <f>""</f>
        <v/>
      </c>
      <c r="X1183" t="s">
        <v>155</v>
      </c>
      <c r="Y1183" t="s">
        <v>141</v>
      </c>
      <c r="Z1183" s="3">
        <v>94043</v>
      </c>
      <c r="AA1183" t="s">
        <v>101</v>
      </c>
      <c r="AC1183" s="4" t="str">
        <f>"+16502534513"</f>
        <v>+16502534513</v>
      </c>
      <c r="AE1183" t="str">
        <f>"541512"</f>
        <v>541512</v>
      </c>
      <c r="AF1183" t="s">
        <v>891</v>
      </c>
      <c r="AG1183" t="s">
        <v>892</v>
      </c>
      <c r="AI1183" t="s">
        <v>893</v>
      </c>
      <c r="AJ1183" t="s">
        <v>290</v>
      </c>
      <c r="AK1183" t="str">
        <f>""</f>
        <v/>
      </c>
      <c r="AL1183" t="s">
        <v>155</v>
      </c>
      <c r="AM1183" t="s">
        <v>141</v>
      </c>
      <c r="AN1183" s="3">
        <v>94043</v>
      </c>
      <c r="AO1183" t="s">
        <v>101</v>
      </c>
      <c r="AQ1183" t="str">
        <f>"+16502534513"</f>
        <v>+16502534513</v>
      </c>
      <c r="AS1183" t="s">
        <v>429</v>
      </c>
      <c r="AT1183" t="s">
        <v>107</v>
      </c>
      <c r="AU1183" t="str">
        <f>"LOPEZ"</f>
        <v>LOPEZ</v>
      </c>
      <c r="AV1183" t="str">
        <f>"FRANCISCO"</f>
        <v>FRANCISCO</v>
      </c>
      <c r="AW1183" t="str">
        <f>""</f>
        <v/>
      </c>
      <c r="AX1183" t="str">
        <f>"2400 N GLENVILLE DRIVE"</f>
        <v>2400 N GLENVILLE DRIVE</v>
      </c>
      <c r="AY1183" t="str">
        <f>"BUILDING A, SUITE 100"</f>
        <v>BUILDING A, SUITE 100</v>
      </c>
      <c r="AZ1183" t="str">
        <f>"RICHARDSON"</f>
        <v>RICHARDSON</v>
      </c>
      <c r="BA1183" t="str">
        <f>"TX"</f>
        <v>TX</v>
      </c>
      <c r="BB1183" s="3">
        <v>75082</v>
      </c>
      <c r="BC1183" t="str">
        <f t="shared" si="94"/>
        <v>UNITED STATES OF AMERICA</v>
      </c>
      <c r="BD1183" t="str">
        <f>""</f>
        <v/>
      </c>
      <c r="BE1183" t="str">
        <f>"+14695052647"</f>
        <v>+14695052647</v>
      </c>
      <c r="BF1183" t="str">
        <f>""</f>
        <v/>
      </c>
      <c r="BG1183" t="str">
        <f>"GOOGLEDOL@BALGLOBAL.COM"</f>
        <v>GOOGLEDOL@BALGLOBAL.COM</v>
      </c>
      <c r="BH1183" t="str">
        <f>"BERRY APPLEMAN &amp; LEIDEN LLP"</f>
        <v>BERRY APPLEMAN &amp; LEIDEN LLP</v>
      </c>
      <c r="BI1183" t="str">
        <f>"DC"</f>
        <v>DC</v>
      </c>
      <c r="BJ1183" t="str">
        <f>"COURT OF APPEALS"</f>
        <v>COURT OF APPEALS</v>
      </c>
      <c r="BK1183">
        <v>1</v>
      </c>
      <c r="BL1183" t="s">
        <v>102</v>
      </c>
      <c r="BM1183" t="str">
        <f>""</f>
        <v/>
      </c>
      <c r="BN1183" t="s">
        <v>290</v>
      </c>
      <c r="BP1183" t="s">
        <v>155</v>
      </c>
      <c r="BQ1183" t="s">
        <v>230</v>
      </c>
      <c r="BR1183" t="s">
        <v>141</v>
      </c>
      <c r="BS1183" s="5">
        <v>94043</v>
      </c>
      <c r="BT1183" s="2">
        <v>165000</v>
      </c>
      <c r="BV1183" t="s">
        <v>105</v>
      </c>
      <c r="BW1183" s="2">
        <v>145725</v>
      </c>
      <c r="BX1183" t="s">
        <v>105</v>
      </c>
      <c r="BZ1183" t="s">
        <v>123</v>
      </c>
      <c r="CA1183" t="str">
        <f t="shared" si="92"/>
        <v>7/1/2020 - 6/30/2021</v>
      </c>
      <c r="CF1183">
        <v>2</v>
      </c>
      <c r="CG1183" t="s">
        <v>98</v>
      </c>
      <c r="CH1183" t="s">
        <v>206</v>
      </c>
      <c r="CI1183" t="s">
        <v>206</v>
      </c>
      <c r="CL1183" t="s">
        <v>108</v>
      </c>
      <c r="CM1183" t="s">
        <v>109</v>
      </c>
      <c r="CN1183" t="str">
        <f>"Vue"</f>
        <v>Vue</v>
      </c>
      <c r="CO1183" t="str">
        <f>"Kristie"</f>
        <v>Kristie</v>
      </c>
      <c r="CP1183" t="str">
        <f>""</f>
        <v/>
      </c>
      <c r="CQ1183" t="str">
        <f>"Berry Appleman &amp; Leiden LLP"</f>
        <v>Berry Appleman &amp; Leiden LLP</v>
      </c>
      <c r="CR1183" t="s">
        <v>5119</v>
      </c>
    </row>
    <row r="1184" spans="1:96" x14ac:dyDescent="0.2">
      <c r="A1184" t="s">
        <v>11649</v>
      </c>
      <c r="B1184" t="s">
        <v>96</v>
      </c>
      <c r="C1184" s="1">
        <v>44098</v>
      </c>
      <c r="D1184" s="1">
        <v>44105</v>
      </c>
      <c r="F1184" t="s">
        <v>97</v>
      </c>
      <c r="G1184" t="str">
        <f>"Senior Manager, Software Engineering"</f>
        <v>Senior Manager, Software Engineering</v>
      </c>
      <c r="H1184" t="s">
        <v>12178</v>
      </c>
      <c r="I1184" t="s">
        <v>582</v>
      </c>
      <c r="J1184" t="s">
        <v>98</v>
      </c>
      <c r="K1184" s="1">
        <v>44267</v>
      </c>
      <c r="L1184" s="1">
        <v>45362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 t="s">
        <v>11650</v>
      </c>
      <c r="U1184" t="str">
        <f>"Entertainment Partners LLC"</f>
        <v>Entertainment Partners LLC</v>
      </c>
      <c r="V1184" t="s">
        <v>11651</v>
      </c>
      <c r="W1184" t="str">
        <f>""</f>
        <v/>
      </c>
      <c r="X1184" t="s">
        <v>936</v>
      </c>
      <c r="Y1184" t="s">
        <v>141</v>
      </c>
      <c r="Z1184" s="3">
        <v>91505</v>
      </c>
      <c r="AA1184" t="s">
        <v>101</v>
      </c>
      <c r="AC1184" s="4" t="str">
        <f>"+18189556000"</f>
        <v>+18189556000</v>
      </c>
      <c r="AE1184" t="str">
        <f>"541214"</f>
        <v>541214</v>
      </c>
      <c r="AF1184" t="s">
        <v>8157</v>
      </c>
      <c r="AG1184" t="s">
        <v>5728</v>
      </c>
      <c r="AI1184" t="s">
        <v>7055</v>
      </c>
      <c r="AJ1184" t="s">
        <v>11651</v>
      </c>
      <c r="AK1184" t="str">
        <f>""</f>
        <v/>
      </c>
      <c r="AL1184" t="s">
        <v>936</v>
      </c>
      <c r="AM1184" t="s">
        <v>141</v>
      </c>
      <c r="AN1184" s="3">
        <v>91505</v>
      </c>
      <c r="AO1184" t="s">
        <v>101</v>
      </c>
      <c r="AQ1184" t="str">
        <f>"+18189554384"</f>
        <v>+18189554384</v>
      </c>
      <c r="AS1184" t="s">
        <v>11652</v>
      </c>
      <c r="AT1184" t="s">
        <v>107</v>
      </c>
      <c r="AU1184" t="str">
        <f>"Ochoa"</f>
        <v>Ochoa</v>
      </c>
      <c r="AV1184" t="str">
        <f>"Angelica"</f>
        <v>Angelica</v>
      </c>
      <c r="AW1184" t="str">
        <f>"M"</f>
        <v>M</v>
      </c>
      <c r="AX1184" t="str">
        <f>"1125 17th Street"</f>
        <v>1125 17th Street</v>
      </c>
      <c r="AY1184" t="str">
        <f>"Suite 2400"</f>
        <v>Suite 2400</v>
      </c>
      <c r="AZ1184" t="str">
        <f>"Denver"</f>
        <v>Denver</v>
      </c>
      <c r="BA1184" t="str">
        <f>"CO"</f>
        <v>CO</v>
      </c>
      <c r="BB1184" s="3">
        <v>80202</v>
      </c>
      <c r="BC1184" t="str">
        <f t="shared" si="94"/>
        <v>UNITED STATES OF AMERICA</v>
      </c>
      <c r="BD1184" t="str">
        <f>""</f>
        <v/>
      </c>
      <c r="BE1184" t="str">
        <f>"+13032183669"</f>
        <v>+13032183669</v>
      </c>
      <c r="BF1184" t="str">
        <f>""</f>
        <v/>
      </c>
      <c r="BG1184" t="str">
        <f>"aochoa@fisherphillips.com"</f>
        <v>aochoa@fisherphillips.com</v>
      </c>
      <c r="BH1184" t="str">
        <f>"Fisher &amp; Phillips LLP"</f>
        <v>Fisher &amp; Phillips LLP</v>
      </c>
      <c r="BI1184" t="str">
        <f>"CO"</f>
        <v>CO</v>
      </c>
      <c r="BJ1184" t="str">
        <f>"Colorado Supreme Court"</f>
        <v>Colorado Supreme Court</v>
      </c>
      <c r="BK1184">
        <v>1</v>
      </c>
      <c r="BL1184" t="s">
        <v>102</v>
      </c>
      <c r="BM1184" t="str">
        <f>""</f>
        <v/>
      </c>
      <c r="BN1184" t="s">
        <v>11651</v>
      </c>
      <c r="BP1184" t="s">
        <v>936</v>
      </c>
      <c r="BQ1184" t="s">
        <v>365</v>
      </c>
      <c r="BR1184" t="s">
        <v>141</v>
      </c>
      <c r="BS1184" s="5">
        <v>91504</v>
      </c>
      <c r="BT1184" s="2">
        <v>161919.26</v>
      </c>
      <c r="BV1184" t="s">
        <v>105</v>
      </c>
      <c r="BW1184" s="2">
        <v>141149</v>
      </c>
      <c r="BX1184" t="s">
        <v>105</v>
      </c>
      <c r="BZ1184" t="s">
        <v>167</v>
      </c>
      <c r="CA1184" t="str">
        <f t="shared" si="92"/>
        <v>7/1/2020 - 6/30/2021</v>
      </c>
      <c r="CF1184">
        <v>2</v>
      </c>
      <c r="CG1184" t="s">
        <v>98</v>
      </c>
      <c r="CH1184" t="s">
        <v>206</v>
      </c>
      <c r="CI1184" t="s">
        <v>206</v>
      </c>
      <c r="CL1184" t="s">
        <v>108</v>
      </c>
      <c r="CM1184" t="s">
        <v>109</v>
      </c>
      <c r="CN1184" t="str">
        <f>"Geremes"</f>
        <v>Geremes</v>
      </c>
      <c r="CO1184" t="str">
        <f>"Zuzana"</f>
        <v>Zuzana</v>
      </c>
      <c r="CP1184" t="str">
        <f>""</f>
        <v/>
      </c>
      <c r="CQ1184" t="str">
        <f>"Fisher &amp; Phillips LLP"</f>
        <v>Fisher &amp; Phillips LLP</v>
      </c>
      <c r="CR1184" t="s">
        <v>4766</v>
      </c>
    </row>
    <row r="1185" spans="1:96" x14ac:dyDescent="0.2">
      <c r="A1185" t="s">
        <v>11667</v>
      </c>
      <c r="B1185" t="s">
        <v>96</v>
      </c>
      <c r="C1185" s="1">
        <v>44098</v>
      </c>
      <c r="D1185" s="1">
        <v>44105</v>
      </c>
      <c r="F1185" t="s">
        <v>97</v>
      </c>
      <c r="G1185" t="str">
        <f>"Senior Business Systems and Quality Analyst"</f>
        <v>Senior Business Systems and Quality Analyst</v>
      </c>
      <c r="H1185" t="s">
        <v>12168</v>
      </c>
      <c r="I1185" t="s">
        <v>160</v>
      </c>
      <c r="J1185" t="s">
        <v>98</v>
      </c>
      <c r="K1185" s="1">
        <v>44120</v>
      </c>
      <c r="L1185" s="1">
        <v>45214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8518</v>
      </c>
      <c r="U1185" t="str">
        <f>""</f>
        <v/>
      </c>
      <c r="V1185" t="s">
        <v>8519</v>
      </c>
      <c r="W1185" t="str">
        <f>"Building B, 3rd Floor"</f>
        <v>Building B, 3rd Floor</v>
      </c>
      <c r="X1185" t="s">
        <v>3850</v>
      </c>
      <c r="Y1185" t="s">
        <v>545</v>
      </c>
      <c r="Z1185" s="3">
        <v>38125</v>
      </c>
      <c r="AA1185" t="s">
        <v>101</v>
      </c>
      <c r="AC1185" s="4" t="str">
        <f>"+19014866880"</f>
        <v>+19014866880</v>
      </c>
      <c r="AE1185" t="str">
        <f>"492110"</f>
        <v>492110</v>
      </c>
      <c r="AF1185" t="s">
        <v>6578</v>
      </c>
      <c r="AG1185" t="s">
        <v>2162</v>
      </c>
      <c r="AI1185" t="s">
        <v>11668</v>
      </c>
      <c r="AJ1185" t="s">
        <v>11669</v>
      </c>
      <c r="AK1185" t="str">
        <f>""</f>
        <v/>
      </c>
      <c r="AL1185" t="s">
        <v>3850</v>
      </c>
      <c r="AM1185" t="s">
        <v>545</v>
      </c>
      <c r="AN1185" s="3">
        <v>38125</v>
      </c>
      <c r="AO1185" t="s">
        <v>101</v>
      </c>
      <c r="AQ1185" t="str">
        <f>"+19014866880"</f>
        <v>+19014866880</v>
      </c>
      <c r="AS1185" t="s">
        <v>108</v>
      </c>
      <c r="AT1185" t="s">
        <v>107</v>
      </c>
      <c r="AU1185" t="str">
        <f>"Coffey"</f>
        <v>Coffey</v>
      </c>
      <c r="AV1185" t="str">
        <f>"Justin"</f>
        <v>Justin</v>
      </c>
      <c r="AW1185" t="str">
        <f>""</f>
        <v/>
      </c>
      <c r="AX1185" t="str">
        <f>"P.O. Box 98869"</f>
        <v>P.O. Box 98869</v>
      </c>
      <c r="AY1185" t="str">
        <f>""</f>
        <v/>
      </c>
      <c r="AZ1185" t="str">
        <f>"Raleigh"</f>
        <v>Raleigh</v>
      </c>
      <c r="BA1185" t="str">
        <f>"NC"</f>
        <v>NC</v>
      </c>
      <c r="BB1185" s="3">
        <v>27624</v>
      </c>
      <c r="BC1185" t="str">
        <f t="shared" si="94"/>
        <v>UNITED STATES OF AMERICA</v>
      </c>
      <c r="BD1185" t="str">
        <f>""</f>
        <v/>
      </c>
      <c r="BE1185" t="str">
        <f>"+19196474821"</f>
        <v>+19196474821</v>
      </c>
      <c r="BF1185" t="str">
        <f>""</f>
        <v/>
      </c>
      <c r="BG1185" t="str">
        <f>"mlsmith@constangy.com"</f>
        <v>mlsmith@constangy.com</v>
      </c>
      <c r="BH1185" t="str">
        <f>"Constangy, Brooks, Smith &amp; Prophete, LLP"</f>
        <v>Constangy, Brooks, Smith &amp; Prophete, LLP</v>
      </c>
      <c r="BI1185" t="str">
        <f>"NY"</f>
        <v>NY</v>
      </c>
      <c r="BJ1185" t="str">
        <f>"Appellate Division"</f>
        <v>Appellate Division</v>
      </c>
      <c r="BK1185">
        <v>1</v>
      </c>
      <c r="BL1185" t="s">
        <v>102</v>
      </c>
      <c r="BM1185" t="str">
        <f>""</f>
        <v/>
      </c>
      <c r="BN1185" t="s">
        <v>11669</v>
      </c>
      <c r="BP1185" t="s">
        <v>3850</v>
      </c>
      <c r="BQ1185" t="s">
        <v>2573</v>
      </c>
      <c r="BR1185" t="s">
        <v>545</v>
      </c>
      <c r="BS1185" s="5">
        <v>38125</v>
      </c>
      <c r="BT1185" s="2">
        <v>71926</v>
      </c>
      <c r="BU1185" s="2">
        <v>111624</v>
      </c>
      <c r="BV1185" t="s">
        <v>105</v>
      </c>
      <c r="BW1185" s="2">
        <v>71926</v>
      </c>
      <c r="BX1185" t="s">
        <v>105</v>
      </c>
      <c r="BZ1185" t="s">
        <v>123</v>
      </c>
      <c r="CA1185" t="str">
        <f t="shared" si="92"/>
        <v>7/1/2020 - 6/30/2021</v>
      </c>
      <c r="CF1185">
        <v>1</v>
      </c>
      <c r="CG1185" t="s">
        <v>98</v>
      </c>
      <c r="CH1185" t="s">
        <v>206</v>
      </c>
      <c r="CI1185" t="s">
        <v>206</v>
      </c>
      <c r="CL1185" t="s">
        <v>108</v>
      </c>
      <c r="CM1185" t="s">
        <v>109</v>
      </c>
      <c r="CN1185" t="str">
        <f>"Coffey"</f>
        <v>Coffey</v>
      </c>
      <c r="CO1185" t="str">
        <f>"Justin"</f>
        <v>Justin</v>
      </c>
      <c r="CP1185" t="str">
        <f>""</f>
        <v/>
      </c>
      <c r="CQ1185" t="str">
        <f>"Constangy, Brooks, Smith &amp; Prophete, LLP"</f>
        <v>Constangy, Brooks, Smith &amp; Prophete, LLP</v>
      </c>
      <c r="CR1185" t="s">
        <v>4317</v>
      </c>
    </row>
    <row r="1186" spans="1:96" x14ac:dyDescent="0.2">
      <c r="A1186" t="s">
        <v>11670</v>
      </c>
      <c r="B1186" t="s">
        <v>96</v>
      </c>
      <c r="C1186" s="1">
        <v>44098</v>
      </c>
      <c r="D1186" s="1">
        <v>44105</v>
      </c>
      <c r="F1186" t="s">
        <v>97</v>
      </c>
      <c r="G1186" t="str">
        <f>"Director-Customer Strategy"</f>
        <v>Director-Customer Strategy</v>
      </c>
      <c r="H1186" t="s">
        <v>12178</v>
      </c>
      <c r="I1186" t="s">
        <v>582</v>
      </c>
      <c r="J1186" t="s">
        <v>98</v>
      </c>
      <c r="K1186" s="1">
        <v>44105</v>
      </c>
      <c r="L1186" s="1">
        <v>45199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 t="s">
        <v>10685</v>
      </c>
      <c r="U1186" t="str">
        <f>""</f>
        <v/>
      </c>
      <c r="V1186" t="s">
        <v>10686</v>
      </c>
      <c r="W1186" t="str">
        <f>"Ste. 1829"</f>
        <v>Ste. 1829</v>
      </c>
      <c r="X1186" t="s">
        <v>140</v>
      </c>
      <c r="Y1186" t="s">
        <v>141</v>
      </c>
      <c r="Z1186" s="3">
        <v>94105</v>
      </c>
      <c r="AA1186" t="s">
        <v>101</v>
      </c>
      <c r="AC1186" s="4" t="str">
        <f>"+12095567653"</f>
        <v>+12095567653</v>
      </c>
      <c r="AE1186" t="str">
        <f>"511210"</f>
        <v>511210</v>
      </c>
      <c r="AF1186" t="s">
        <v>2954</v>
      </c>
      <c r="AG1186" t="s">
        <v>1106</v>
      </c>
      <c r="AI1186" t="s">
        <v>3867</v>
      </c>
      <c r="AJ1186" t="s">
        <v>10686</v>
      </c>
      <c r="AK1186" t="str">
        <f>"Ste. 1829"</f>
        <v>Ste. 1829</v>
      </c>
      <c r="AL1186" t="s">
        <v>140</v>
      </c>
      <c r="AM1186" t="s">
        <v>141</v>
      </c>
      <c r="AN1186" s="3">
        <v>94105</v>
      </c>
      <c r="AO1186" t="s">
        <v>101</v>
      </c>
      <c r="AQ1186" t="str">
        <f>"+12095567653"</f>
        <v>+12095567653</v>
      </c>
      <c r="AS1186" t="s">
        <v>10687</v>
      </c>
      <c r="AT1186" t="s">
        <v>107</v>
      </c>
      <c r="AU1186" t="str">
        <f>"Mozaffarimehr"</f>
        <v>Mozaffarimehr</v>
      </c>
      <c r="AV1186" t="str">
        <f>"Roujin"</f>
        <v>Roujin</v>
      </c>
      <c r="AW1186" t="str">
        <f>""</f>
        <v/>
      </c>
      <c r="AX1186" t="str">
        <f>"39899 Balentine Drive"</f>
        <v>39899 Balentine Drive</v>
      </c>
      <c r="AY1186" t="str">
        <f>"Ste. 380"</f>
        <v>Ste. 380</v>
      </c>
      <c r="AZ1186" t="str">
        <f>"Newark"</f>
        <v>Newark</v>
      </c>
      <c r="BA1186" t="str">
        <f>"CA"</f>
        <v>CA</v>
      </c>
      <c r="BB1186" s="3">
        <v>94560</v>
      </c>
      <c r="BC1186" t="str">
        <f t="shared" si="94"/>
        <v>UNITED STATES OF AMERICA</v>
      </c>
      <c r="BD1186" t="str">
        <f>""</f>
        <v/>
      </c>
      <c r="BE1186" t="str">
        <f>"+15104981949"</f>
        <v>+15104981949</v>
      </c>
      <c r="BF1186" t="str">
        <f>""</f>
        <v/>
      </c>
      <c r="BG1186" t="str">
        <f>"contact@mplg.us"</f>
        <v>contact@mplg.us</v>
      </c>
      <c r="BH1186" t="str">
        <f>"Mathews &amp; Peddibhotla Law Group, PC"</f>
        <v>Mathews &amp; Peddibhotla Law Group, PC</v>
      </c>
      <c r="BI1186" t="str">
        <f>"CA"</f>
        <v>CA</v>
      </c>
      <c r="BJ1186" t="str">
        <f>"California Supreme Court"</f>
        <v>California Supreme Court</v>
      </c>
      <c r="BK1186">
        <v>1</v>
      </c>
      <c r="BL1186" t="s">
        <v>102</v>
      </c>
      <c r="BM1186" t="str">
        <f>""</f>
        <v/>
      </c>
      <c r="BN1186" t="s">
        <v>11671</v>
      </c>
      <c r="BP1186" t="s">
        <v>11498</v>
      </c>
      <c r="BQ1186" t="s">
        <v>1307</v>
      </c>
      <c r="BR1186" t="s">
        <v>100</v>
      </c>
      <c r="BS1186" s="5">
        <v>7031</v>
      </c>
      <c r="BT1186" s="2">
        <v>150000</v>
      </c>
      <c r="BV1186" t="s">
        <v>105</v>
      </c>
      <c r="BW1186" s="2">
        <v>124821</v>
      </c>
      <c r="BX1186" t="s">
        <v>105</v>
      </c>
      <c r="BZ1186" t="s">
        <v>191</v>
      </c>
      <c r="CA1186" t="str">
        <f t="shared" ref="CA1186:CA1203" si="95">"7/1/2020 - 6/30/2021"</f>
        <v>7/1/2020 - 6/30/2021</v>
      </c>
      <c r="CF1186">
        <v>1</v>
      </c>
      <c r="CG1186" t="s">
        <v>98</v>
      </c>
      <c r="CH1186" t="s">
        <v>206</v>
      </c>
      <c r="CI1186" t="s">
        <v>206</v>
      </c>
      <c r="CL1186" t="s">
        <v>108</v>
      </c>
      <c r="CM1186" t="s">
        <v>109</v>
      </c>
      <c r="CN1186" t="str">
        <f>""</f>
        <v/>
      </c>
      <c r="CO1186" t="str">
        <f>""</f>
        <v/>
      </c>
      <c r="CP1186" t="str">
        <f>""</f>
        <v/>
      </c>
      <c r="CQ1186" t="str">
        <f>""</f>
        <v/>
      </c>
    </row>
    <row r="1187" spans="1:96" x14ac:dyDescent="0.2">
      <c r="A1187" t="s">
        <v>11678</v>
      </c>
      <c r="B1187" t="s">
        <v>96</v>
      </c>
      <c r="C1187" s="1">
        <v>44098</v>
      </c>
      <c r="D1187" s="1">
        <v>44105</v>
      </c>
      <c r="F1187" t="s">
        <v>97</v>
      </c>
      <c r="G1187" t="str">
        <f>"Analyst"</f>
        <v>Analyst</v>
      </c>
      <c r="H1187" t="s">
        <v>12213</v>
      </c>
      <c r="I1187" t="s">
        <v>493</v>
      </c>
      <c r="J1187" t="s">
        <v>98</v>
      </c>
      <c r="K1187" s="1">
        <v>44256</v>
      </c>
      <c r="L1187" s="1">
        <v>45351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 t="s">
        <v>11679</v>
      </c>
      <c r="U1187" t="str">
        <f>""</f>
        <v/>
      </c>
      <c r="V1187" t="s">
        <v>11680</v>
      </c>
      <c r="W1187" t="str">
        <f>"Floor 1"</f>
        <v>Floor 1</v>
      </c>
      <c r="X1187" t="s">
        <v>6102</v>
      </c>
      <c r="Y1187" t="s">
        <v>280</v>
      </c>
      <c r="Z1187" s="3">
        <v>6830</v>
      </c>
      <c r="AA1187" t="s">
        <v>101</v>
      </c>
      <c r="AC1187" s="4" t="str">
        <f>"+12035424435"</f>
        <v>+12035424435</v>
      </c>
      <c r="AE1187" t="str">
        <f>"52321"</f>
        <v>52321</v>
      </c>
      <c r="AF1187" t="s">
        <v>11681</v>
      </c>
      <c r="AG1187" t="s">
        <v>1732</v>
      </c>
      <c r="AI1187" t="s">
        <v>3986</v>
      </c>
      <c r="AJ1187" t="s">
        <v>11680</v>
      </c>
      <c r="AK1187" t="str">
        <f>"Floor 1"</f>
        <v>Floor 1</v>
      </c>
      <c r="AL1187" t="s">
        <v>6102</v>
      </c>
      <c r="AM1187" t="s">
        <v>280</v>
      </c>
      <c r="AN1187" s="3">
        <v>6830</v>
      </c>
      <c r="AO1187" t="s">
        <v>101</v>
      </c>
      <c r="AQ1187" t="str">
        <f>"+12035424435"</f>
        <v>+12035424435</v>
      </c>
      <c r="AS1187" t="s">
        <v>11682</v>
      </c>
      <c r="AT1187" t="s">
        <v>107</v>
      </c>
      <c r="AU1187" t="str">
        <f>"MELNICK "</f>
        <v xml:space="preserve">MELNICK </v>
      </c>
      <c r="AV1187" t="str">
        <f>"SARAH "</f>
        <v xml:space="preserve">SARAH </v>
      </c>
      <c r="AW1187" t="str">
        <f>"MELISSA"</f>
        <v>MELISSA</v>
      </c>
      <c r="AX1187" t="str">
        <f>"1400 Broadway"</f>
        <v>1400 Broadway</v>
      </c>
      <c r="AY1187" t="str">
        <f>"Floor 9"</f>
        <v>Floor 9</v>
      </c>
      <c r="AZ1187" t="str">
        <f>"New York"</f>
        <v>New York</v>
      </c>
      <c r="BA1187" t="str">
        <f>"NY"</f>
        <v>NY</v>
      </c>
      <c r="BB1187" s="3">
        <v>10018</v>
      </c>
      <c r="BC1187" t="str">
        <f t="shared" si="94"/>
        <v>UNITED STATES OF AMERICA</v>
      </c>
      <c r="BD1187" t="str">
        <f>""</f>
        <v/>
      </c>
      <c r="BE1187" t="str">
        <f>"+12126888555"</f>
        <v>+12126888555</v>
      </c>
      <c r="BF1187" t="str">
        <f>""</f>
        <v/>
      </c>
      <c r="BG1187" t="str">
        <f>"rhunter@fragomen.com"</f>
        <v>rhunter@fragomen.com</v>
      </c>
      <c r="BH1187" t="str">
        <f>"FRAGOMEN, DEL REY, BERNSEN &amp; LOEWY, LLP"</f>
        <v>FRAGOMEN, DEL REY, BERNSEN &amp; LOEWY, LLP</v>
      </c>
      <c r="BI1187" t="str">
        <f>"NY"</f>
        <v>NY</v>
      </c>
      <c r="BJ1187" t="str">
        <f>"New York Court of Appeals"</f>
        <v>New York Court of Appeals</v>
      </c>
      <c r="BK1187">
        <v>1</v>
      </c>
      <c r="BL1187" t="s">
        <v>102</v>
      </c>
      <c r="BM1187" t="str">
        <f>""</f>
        <v/>
      </c>
      <c r="BN1187" t="s">
        <v>11680</v>
      </c>
      <c r="BO1187" t="s">
        <v>11683</v>
      </c>
      <c r="BP1187" t="s">
        <v>6102</v>
      </c>
      <c r="BQ1187" t="s">
        <v>335</v>
      </c>
      <c r="BR1187" t="s">
        <v>280</v>
      </c>
      <c r="BS1187" s="5">
        <v>6830</v>
      </c>
      <c r="BT1187" s="2">
        <v>100000</v>
      </c>
      <c r="BU1187" s="2">
        <v>125000</v>
      </c>
      <c r="BV1187" t="s">
        <v>105</v>
      </c>
      <c r="BW1187" s="2">
        <v>96886</v>
      </c>
      <c r="BX1187" t="s">
        <v>105</v>
      </c>
      <c r="BZ1187" t="s">
        <v>167</v>
      </c>
      <c r="CA1187" t="str">
        <f t="shared" si="95"/>
        <v>7/1/2020 - 6/30/2021</v>
      </c>
      <c r="CF1187">
        <v>1</v>
      </c>
      <c r="CG1187" t="s">
        <v>98</v>
      </c>
      <c r="CH1187" t="s">
        <v>206</v>
      </c>
      <c r="CI1187" t="s">
        <v>206</v>
      </c>
      <c r="CL1187" t="s">
        <v>108</v>
      </c>
      <c r="CM1187" t="s">
        <v>109</v>
      </c>
      <c r="CN1187" t="str">
        <f>""</f>
        <v/>
      </c>
      <c r="CO1187" t="str">
        <f>""</f>
        <v/>
      </c>
      <c r="CP1187" t="str">
        <f>""</f>
        <v/>
      </c>
      <c r="CQ1187" t="str">
        <f>""</f>
        <v/>
      </c>
    </row>
    <row r="1188" spans="1:96" x14ac:dyDescent="0.2">
      <c r="A1188" t="s">
        <v>11684</v>
      </c>
      <c r="B1188" t="s">
        <v>96</v>
      </c>
      <c r="C1188" s="1">
        <v>44098</v>
      </c>
      <c r="D1188" s="1">
        <v>44105</v>
      </c>
      <c r="F1188" t="s">
        <v>97</v>
      </c>
      <c r="G1188" t="str">
        <f>"SOFTWARE DEVELOPMENT ENGINEER III"</f>
        <v>SOFTWARE DEVELOPMENT ENGINEER III</v>
      </c>
      <c r="H1188" t="s">
        <v>12169</v>
      </c>
      <c r="I1188" t="s">
        <v>124</v>
      </c>
      <c r="J1188" t="s">
        <v>98</v>
      </c>
      <c r="K1188" s="1">
        <v>44279</v>
      </c>
      <c r="L1188" s="1">
        <v>45374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 t="s">
        <v>440</v>
      </c>
      <c r="U1188" t="str">
        <f>""</f>
        <v/>
      </c>
      <c r="V1188" t="s">
        <v>809</v>
      </c>
      <c r="W1188" t="str">
        <f>"SUITE 500"</f>
        <v>SUITE 500</v>
      </c>
      <c r="X1188" t="s">
        <v>433</v>
      </c>
      <c r="Y1188" t="s">
        <v>176</v>
      </c>
      <c r="Z1188" s="3">
        <v>98121</v>
      </c>
      <c r="AA1188" t="s">
        <v>101</v>
      </c>
      <c r="AC1188" s="4" t="str">
        <f>"+12062661000"</f>
        <v>+12062661000</v>
      </c>
      <c r="AE1188" t="str">
        <f>"454110"</f>
        <v>454110</v>
      </c>
      <c r="AF1188" t="s">
        <v>442</v>
      </c>
      <c r="AG1188" t="s">
        <v>443</v>
      </c>
      <c r="AH1188" t="s">
        <v>108</v>
      </c>
      <c r="AI1188" t="s">
        <v>434</v>
      </c>
      <c r="AJ1188" t="s">
        <v>809</v>
      </c>
      <c r="AK1188" t="str">
        <f>"SUITE 500"</f>
        <v>SUITE 500</v>
      </c>
      <c r="AL1188" t="s">
        <v>433</v>
      </c>
      <c r="AM1188" t="s">
        <v>176</v>
      </c>
      <c r="AN1188" s="3">
        <v>98121</v>
      </c>
      <c r="AO1188" t="s">
        <v>101</v>
      </c>
      <c r="AQ1188" t="str">
        <f>"+12062661000"</f>
        <v>+12062661000</v>
      </c>
      <c r="AS1188" t="s">
        <v>263</v>
      </c>
      <c r="AT1188" t="s">
        <v>107</v>
      </c>
      <c r="AU1188" t="str">
        <f>"MARANCI"</f>
        <v>MARANCI</v>
      </c>
      <c r="AV1188" t="str">
        <f>"DANIEL"</f>
        <v>DANIEL</v>
      </c>
      <c r="AW1188" t="str">
        <f>"N/A"</f>
        <v>N/A</v>
      </c>
      <c r="AX1188" t="str">
        <f>"100 HIGH STREET"</f>
        <v>100 HIGH STREET</v>
      </c>
      <c r="AY1188" t="str">
        <f>"3RD FLOOR C#5311388"</f>
        <v>3RD FLOOR C#5311388</v>
      </c>
      <c r="AZ1188" t="str">
        <f>"BOSTON"</f>
        <v>BOSTON</v>
      </c>
      <c r="BA1188" t="str">
        <f>"MA"</f>
        <v>MA</v>
      </c>
      <c r="BB1188" s="3">
        <v>2110</v>
      </c>
      <c r="BC1188" t="str">
        <f t="shared" si="94"/>
        <v>UNITED STATES OF AMERICA</v>
      </c>
      <c r="BD1188" t="str">
        <f>""</f>
        <v/>
      </c>
      <c r="BE1188" t="str">
        <f>"+16175740400"</f>
        <v>+16175740400</v>
      </c>
      <c r="BF1188" t="str">
        <f>""</f>
        <v/>
      </c>
      <c r="BG1188" t="str">
        <f>"AMAZONINDIA@FRAGOMEN.COM"</f>
        <v>AMAZONINDIA@FRAGOMEN.COM</v>
      </c>
      <c r="BH1188" t="str">
        <f>"FRAGOMEN, DEL REY, BERNSEN &amp; LOEWY, LLP"</f>
        <v>FRAGOMEN, DEL REY, BERNSEN &amp; LOEWY, LLP</v>
      </c>
      <c r="BI1188" t="str">
        <f>"MA"</f>
        <v>MA</v>
      </c>
      <c r="BJ1188" t="str">
        <f>"SUPREME JUDICIAL COURT"</f>
        <v>SUPREME JUDICIAL COURT</v>
      </c>
      <c r="BK1188">
        <v>1</v>
      </c>
      <c r="BL1188" t="s">
        <v>102</v>
      </c>
      <c r="BM1188" t="str">
        <f>""</f>
        <v/>
      </c>
      <c r="BN1188" t="s">
        <v>4176</v>
      </c>
      <c r="BP1188" t="s">
        <v>433</v>
      </c>
      <c r="BQ1188" t="s">
        <v>183</v>
      </c>
      <c r="BR1188" t="s">
        <v>176</v>
      </c>
      <c r="BS1188" s="5">
        <v>98121</v>
      </c>
      <c r="BT1188" s="2">
        <v>160000</v>
      </c>
      <c r="BV1188" t="s">
        <v>105</v>
      </c>
      <c r="BW1188" s="2">
        <v>134098</v>
      </c>
      <c r="BX1188" t="s">
        <v>105</v>
      </c>
      <c r="BZ1188" t="s">
        <v>123</v>
      </c>
      <c r="CA1188" t="str">
        <f t="shared" si="95"/>
        <v>7/1/2020 - 6/30/2021</v>
      </c>
      <c r="CF1188">
        <v>1</v>
      </c>
      <c r="CG1188" t="s">
        <v>98</v>
      </c>
      <c r="CH1188" t="s">
        <v>206</v>
      </c>
      <c r="CI1188" t="s">
        <v>206</v>
      </c>
      <c r="CL1188" t="s">
        <v>108</v>
      </c>
      <c r="CM1188" t="s">
        <v>109</v>
      </c>
      <c r="CN1188" t="str">
        <f>"SUNNY"</f>
        <v>SUNNY</v>
      </c>
      <c r="CO1188" t="str">
        <f>"JASMIN"</f>
        <v>JASMIN</v>
      </c>
      <c r="CP1188" t="str">
        <f>"N/A"</f>
        <v>N/A</v>
      </c>
      <c r="CQ1188" t="str">
        <f>"FRAGOMEN, DEL REY, BERNSEN &amp; LOEWY, LLP"</f>
        <v>FRAGOMEN, DEL REY, BERNSEN &amp; LOEWY, LLP</v>
      </c>
      <c r="CR1188" t="s">
        <v>650</v>
      </c>
    </row>
    <row r="1189" spans="1:96" x14ac:dyDescent="0.2">
      <c r="A1189" t="s">
        <v>11685</v>
      </c>
      <c r="B1189" t="s">
        <v>96</v>
      </c>
      <c r="C1189" s="1">
        <v>44098</v>
      </c>
      <c r="D1189" s="1">
        <v>44105</v>
      </c>
      <c r="F1189" t="s">
        <v>97</v>
      </c>
      <c r="G1189" t="str">
        <f>"ETL Developer"</f>
        <v>ETL Developer</v>
      </c>
      <c r="H1189" t="s">
        <v>12169</v>
      </c>
      <c r="I1189" t="s">
        <v>124</v>
      </c>
      <c r="J1189" t="s">
        <v>98</v>
      </c>
      <c r="K1189" s="1">
        <v>44235</v>
      </c>
      <c r="L1189" s="1">
        <v>45329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 t="s">
        <v>4854</v>
      </c>
      <c r="U1189" t="str">
        <f>""</f>
        <v/>
      </c>
      <c r="V1189" t="s">
        <v>9873</v>
      </c>
      <c r="W1189" t="str">
        <f>""</f>
        <v/>
      </c>
      <c r="X1189" t="s">
        <v>213</v>
      </c>
      <c r="Y1189" t="s">
        <v>215</v>
      </c>
      <c r="Z1189" s="3">
        <v>30339</v>
      </c>
      <c r="AA1189" t="s">
        <v>101</v>
      </c>
      <c r="AB1189" t="s">
        <v>1446</v>
      </c>
      <c r="AC1189" s="4" t="str">
        <f>"+16789346000"</f>
        <v>+16789346000</v>
      </c>
      <c r="AE1189" t="str">
        <f>"423120"</f>
        <v>423120</v>
      </c>
      <c r="AF1189" t="s">
        <v>9874</v>
      </c>
      <c r="AG1189" t="s">
        <v>4083</v>
      </c>
      <c r="AI1189" t="s">
        <v>9169</v>
      </c>
      <c r="AJ1189" t="s">
        <v>4855</v>
      </c>
      <c r="AK1189" t="str">
        <f>""</f>
        <v/>
      </c>
      <c r="AL1189" t="s">
        <v>213</v>
      </c>
      <c r="AM1189" t="s">
        <v>215</v>
      </c>
      <c r="AN1189" s="3">
        <v>30339</v>
      </c>
      <c r="AO1189" t="s">
        <v>101</v>
      </c>
      <c r="AQ1189" t="str">
        <f>"+16789346079"</f>
        <v>+16789346079</v>
      </c>
      <c r="AS1189" t="s">
        <v>9875</v>
      </c>
      <c r="AT1189" t="s">
        <v>107</v>
      </c>
      <c r="AU1189" t="str">
        <f>"Taylor"</f>
        <v>Taylor</v>
      </c>
      <c r="AV1189" t="str">
        <f>"Caroline"</f>
        <v>Caroline</v>
      </c>
      <c r="AW1189" t="str">
        <f>"E"</f>
        <v>E</v>
      </c>
      <c r="AX1189" t="str">
        <f>"2573 Apple Valley Road NE"</f>
        <v>2573 Apple Valley Road NE</v>
      </c>
      <c r="AY1189" t="str">
        <f>""</f>
        <v/>
      </c>
      <c r="AZ1189" t="str">
        <f>"Atlanta"</f>
        <v>Atlanta</v>
      </c>
      <c r="BA1189" t="str">
        <f>"GA"</f>
        <v>GA</v>
      </c>
      <c r="BB1189" s="3">
        <v>30319</v>
      </c>
      <c r="BC1189" t="str">
        <f t="shared" si="94"/>
        <v>UNITED STATES OF AMERICA</v>
      </c>
      <c r="BD1189" t="str">
        <f>""</f>
        <v/>
      </c>
      <c r="BE1189" t="str">
        <f>"+14048444617"</f>
        <v>+14048444617</v>
      </c>
      <c r="BF1189" t="str">
        <f>""</f>
        <v/>
      </c>
      <c r="BG1189" t="str">
        <f>"ctaylor@martensonlaw.com"</f>
        <v>ctaylor@martensonlaw.com</v>
      </c>
      <c r="BH1189" t="str">
        <f>"Martenson, Hasbrouck, &amp; Simon LLP"</f>
        <v>Martenson, Hasbrouck, &amp; Simon LLP</v>
      </c>
      <c r="BI1189" t="str">
        <f>"GA"</f>
        <v>GA</v>
      </c>
      <c r="BJ1189" t="str">
        <f>"Supreme Court of Georgia"</f>
        <v>Supreme Court of Georgia</v>
      </c>
      <c r="BK1189">
        <v>1</v>
      </c>
      <c r="BL1189" t="s">
        <v>102</v>
      </c>
      <c r="BM1189" t="str">
        <f>""</f>
        <v/>
      </c>
      <c r="BN1189" t="s">
        <v>11686</v>
      </c>
      <c r="BP1189" t="s">
        <v>213</v>
      </c>
      <c r="BQ1189" t="s">
        <v>1121</v>
      </c>
      <c r="BR1189" t="s">
        <v>215</v>
      </c>
      <c r="BS1189" s="5">
        <v>30339</v>
      </c>
      <c r="BT1189" s="2">
        <v>103501</v>
      </c>
      <c r="BU1189" s="2">
        <v>121138</v>
      </c>
      <c r="BV1189" t="s">
        <v>105</v>
      </c>
      <c r="BW1189" s="2">
        <v>103501</v>
      </c>
      <c r="BX1189" t="s">
        <v>105</v>
      </c>
      <c r="BZ1189" t="s">
        <v>123</v>
      </c>
      <c r="CA1189" t="str">
        <f t="shared" si="95"/>
        <v>7/1/2020 - 6/30/2021</v>
      </c>
      <c r="CF1189">
        <v>1</v>
      </c>
      <c r="CG1189" t="s">
        <v>98</v>
      </c>
      <c r="CH1189" t="s">
        <v>206</v>
      </c>
      <c r="CI1189" t="s">
        <v>206</v>
      </c>
      <c r="CL1189" t="s">
        <v>108</v>
      </c>
      <c r="CM1189" t="s">
        <v>109</v>
      </c>
      <c r="CN1189" t="str">
        <f>""</f>
        <v/>
      </c>
      <c r="CO1189" t="str">
        <f>""</f>
        <v/>
      </c>
      <c r="CP1189" t="str">
        <f>""</f>
        <v/>
      </c>
      <c r="CQ1189" t="str">
        <f>""</f>
        <v/>
      </c>
    </row>
    <row r="1190" spans="1:96" x14ac:dyDescent="0.2">
      <c r="A1190" t="s">
        <v>11687</v>
      </c>
      <c r="B1190" t="s">
        <v>96</v>
      </c>
      <c r="C1190" s="1">
        <v>44098</v>
      </c>
      <c r="D1190" s="1">
        <v>44105</v>
      </c>
      <c r="F1190" t="s">
        <v>97</v>
      </c>
      <c r="G1190" t="str">
        <f>"SOFTWARE DEVELOPMENT ENGINEER II"</f>
        <v>SOFTWARE DEVELOPMENT ENGINEER II</v>
      </c>
      <c r="H1190" t="s">
        <v>12169</v>
      </c>
      <c r="I1190" t="s">
        <v>124</v>
      </c>
      <c r="J1190" t="s">
        <v>98</v>
      </c>
      <c r="K1190" s="1">
        <v>44103</v>
      </c>
      <c r="L1190" s="1">
        <v>45197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 t="s">
        <v>3960</v>
      </c>
      <c r="U1190" t="str">
        <f>""</f>
        <v/>
      </c>
      <c r="V1190" t="s">
        <v>809</v>
      </c>
      <c r="W1190" t="str">
        <f>"SUITE 500"</f>
        <v>SUITE 500</v>
      </c>
      <c r="X1190" t="s">
        <v>433</v>
      </c>
      <c r="Y1190" t="s">
        <v>176</v>
      </c>
      <c r="Z1190" s="3">
        <v>98121</v>
      </c>
      <c r="AA1190" t="s">
        <v>101</v>
      </c>
      <c r="AC1190" s="4" t="str">
        <f>"+12062661000"</f>
        <v>+12062661000</v>
      </c>
      <c r="AE1190" t="str">
        <f>"454110"</f>
        <v>454110</v>
      </c>
      <c r="AF1190" t="s">
        <v>442</v>
      </c>
      <c r="AG1190" t="s">
        <v>443</v>
      </c>
      <c r="AH1190" t="s">
        <v>108</v>
      </c>
      <c r="AI1190" t="s">
        <v>434</v>
      </c>
      <c r="AJ1190" t="s">
        <v>809</v>
      </c>
      <c r="AK1190" t="str">
        <f>"SUITE 500"</f>
        <v>SUITE 500</v>
      </c>
      <c r="AL1190" t="s">
        <v>433</v>
      </c>
      <c r="AM1190" t="s">
        <v>176</v>
      </c>
      <c r="AN1190" s="3">
        <v>98121</v>
      </c>
      <c r="AO1190" t="s">
        <v>101</v>
      </c>
      <c r="AQ1190" t="str">
        <f>"+12062661000"</f>
        <v>+12062661000</v>
      </c>
      <c r="AS1190" t="s">
        <v>263</v>
      </c>
      <c r="AT1190" t="s">
        <v>107</v>
      </c>
      <c r="AU1190" t="str">
        <f>"MARANCI"</f>
        <v>MARANCI</v>
      </c>
      <c r="AV1190" t="str">
        <f>"DANIEL"</f>
        <v>DANIEL</v>
      </c>
      <c r="AW1190" t="str">
        <f>"N/A"</f>
        <v>N/A</v>
      </c>
      <c r="AX1190" t="str">
        <f>"100 HIGH STREET"</f>
        <v>100 HIGH STREET</v>
      </c>
      <c r="AY1190" t="str">
        <f>"3RD FLOOR C#5314895"</f>
        <v>3RD FLOOR C#5314895</v>
      </c>
      <c r="AZ1190" t="str">
        <f>"BOSTON"</f>
        <v>BOSTON</v>
      </c>
      <c r="BA1190" t="str">
        <f>"MA"</f>
        <v>MA</v>
      </c>
      <c r="BB1190" s="3">
        <v>2110</v>
      </c>
      <c r="BC1190" t="str">
        <f t="shared" si="94"/>
        <v>UNITED STATES OF AMERICA</v>
      </c>
      <c r="BD1190" t="str">
        <f>""</f>
        <v/>
      </c>
      <c r="BE1190" t="str">
        <f>"+16175740400"</f>
        <v>+16175740400</v>
      </c>
      <c r="BF1190" t="str">
        <f>""</f>
        <v/>
      </c>
      <c r="BG1190" t="str">
        <f>"AMAZONINDIA@FRAGOMEN.COM"</f>
        <v>AMAZONINDIA@FRAGOMEN.COM</v>
      </c>
      <c r="BH1190" t="str">
        <f>"FRAGOMEN, DEL REY, BERNSEN &amp; LOEWY, LLP"</f>
        <v>FRAGOMEN, DEL REY, BERNSEN &amp; LOEWY, LLP</v>
      </c>
      <c r="BI1190" t="str">
        <f>"MA"</f>
        <v>MA</v>
      </c>
      <c r="BJ1190" t="str">
        <f>"SUPREME JUDICIAL COURT"</f>
        <v>SUPREME JUDICIAL COURT</v>
      </c>
      <c r="BK1190">
        <v>1</v>
      </c>
      <c r="BL1190" t="s">
        <v>102</v>
      </c>
      <c r="BM1190" t="str">
        <f>""</f>
        <v/>
      </c>
      <c r="BN1190" t="s">
        <v>4176</v>
      </c>
      <c r="BP1190" t="s">
        <v>433</v>
      </c>
      <c r="BQ1190" t="s">
        <v>183</v>
      </c>
      <c r="BR1190" t="s">
        <v>176</v>
      </c>
      <c r="BS1190" s="5">
        <v>98121</v>
      </c>
      <c r="BT1190" s="2">
        <v>138300</v>
      </c>
      <c r="BV1190" t="s">
        <v>105</v>
      </c>
      <c r="BW1190" s="2">
        <v>113110</v>
      </c>
      <c r="BX1190" t="s">
        <v>105</v>
      </c>
      <c r="BZ1190" t="s">
        <v>167</v>
      </c>
      <c r="CA1190" t="str">
        <f t="shared" si="95"/>
        <v>7/1/2020 - 6/30/2021</v>
      </c>
      <c r="CF1190">
        <v>1</v>
      </c>
      <c r="CG1190" t="s">
        <v>98</v>
      </c>
      <c r="CH1190" t="s">
        <v>206</v>
      </c>
      <c r="CI1190" t="s">
        <v>206</v>
      </c>
      <c r="CL1190" t="s">
        <v>108</v>
      </c>
      <c r="CM1190" t="s">
        <v>109</v>
      </c>
      <c r="CN1190" t="str">
        <f>"SUNNY"</f>
        <v>SUNNY</v>
      </c>
      <c r="CO1190" t="str">
        <f>"JASMIN"</f>
        <v>JASMIN</v>
      </c>
      <c r="CP1190" t="str">
        <f>"N/A"</f>
        <v>N/A</v>
      </c>
      <c r="CQ1190" t="str">
        <f>"FRAGOMEN, DEL REY, BERNSEN &amp; LOEWY, LLP"</f>
        <v>FRAGOMEN, DEL REY, BERNSEN &amp; LOEWY, LLP</v>
      </c>
      <c r="CR1190" t="s">
        <v>650</v>
      </c>
    </row>
    <row r="1191" spans="1:96" x14ac:dyDescent="0.2">
      <c r="A1191" t="s">
        <v>11688</v>
      </c>
      <c r="B1191" t="s">
        <v>96</v>
      </c>
      <c r="C1191" s="1">
        <v>44098</v>
      </c>
      <c r="D1191" s="1">
        <v>44105</v>
      </c>
      <c r="F1191" t="s">
        <v>97</v>
      </c>
      <c r="G1191" t="str">
        <f>"SOFTWARE DEVELOPMENT ENGINEER"</f>
        <v>SOFTWARE DEVELOPMENT ENGINEER</v>
      </c>
      <c r="H1191" t="s">
        <v>12176</v>
      </c>
      <c r="I1191" t="s">
        <v>246</v>
      </c>
      <c r="J1191" t="s">
        <v>98</v>
      </c>
      <c r="K1191" s="1">
        <v>44249</v>
      </c>
      <c r="L1191" s="1">
        <v>45343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 t="s">
        <v>233</v>
      </c>
      <c r="U1191" t="str">
        <f>""</f>
        <v/>
      </c>
      <c r="V1191" t="s">
        <v>234</v>
      </c>
      <c r="W1191" t="str">
        <f>""</f>
        <v/>
      </c>
      <c r="X1191" t="s">
        <v>235</v>
      </c>
      <c r="Y1191" t="s">
        <v>141</v>
      </c>
      <c r="Z1191" s="3">
        <v>95014</v>
      </c>
      <c r="AA1191" t="s">
        <v>101</v>
      </c>
      <c r="AC1191" s="4" t="str">
        <f>"+14089742562"</f>
        <v>+14089742562</v>
      </c>
      <c r="AE1191" t="str">
        <f>"334111"</f>
        <v>334111</v>
      </c>
      <c r="AF1191" t="s">
        <v>236</v>
      </c>
      <c r="AG1191" t="s">
        <v>237</v>
      </c>
      <c r="AH1191" t="s">
        <v>108</v>
      </c>
      <c r="AI1191" t="s">
        <v>238</v>
      </c>
      <c r="AJ1191" t="s">
        <v>239</v>
      </c>
      <c r="AK1191" t="str">
        <f>"N/A"</f>
        <v>N/A</v>
      </c>
      <c r="AL1191" t="s">
        <v>240</v>
      </c>
      <c r="AM1191" t="s">
        <v>141</v>
      </c>
      <c r="AN1191" s="3">
        <v>95014</v>
      </c>
      <c r="AO1191" t="s">
        <v>101</v>
      </c>
      <c r="AQ1191" t="str">
        <f>"+14089742562"</f>
        <v>+14089742562</v>
      </c>
      <c r="AS1191" t="s">
        <v>241</v>
      </c>
      <c r="AT1191" t="s">
        <v>107</v>
      </c>
      <c r="AU1191" t="str">
        <f>"NADIG"</f>
        <v>NADIG</v>
      </c>
      <c r="AV1191" t="str">
        <f>"ANJALI"</f>
        <v>ANJALI</v>
      </c>
      <c r="AW1191" t="str">
        <f>""</f>
        <v/>
      </c>
      <c r="AX1191" t="str">
        <f>"555 MONTGOMERY STREET"</f>
        <v>555 MONTGOMERY STREET</v>
      </c>
      <c r="AY1191" t="str">
        <f>"4TH FLOOR C#5194954"</f>
        <v>4TH FLOOR C#5194954</v>
      </c>
      <c r="AZ1191" t="str">
        <f>"SAN FRANCISCO"</f>
        <v>SAN FRANCISCO</v>
      </c>
      <c r="BA1191" t="str">
        <f>"CA"</f>
        <v>CA</v>
      </c>
      <c r="BB1191" s="3">
        <v>94111</v>
      </c>
      <c r="BC1191" t="str">
        <f t="shared" si="94"/>
        <v>UNITED STATES OF AMERICA</v>
      </c>
      <c r="BD1191" t="str">
        <f>""</f>
        <v/>
      </c>
      <c r="BE1191" t="str">
        <f>"+14159861446"</f>
        <v>+14159861446</v>
      </c>
      <c r="BF1191" t="str">
        <f>""</f>
        <v/>
      </c>
      <c r="BG1191" t="str">
        <f>"APPLE-USIMM@FRAGOMEN.COM"</f>
        <v>APPLE-USIMM@FRAGOMEN.COM</v>
      </c>
      <c r="BH1191" t="str">
        <f>"FRAGOMEN, DEL REY, BERNSEN &amp; LOEWY, LLP."</f>
        <v>FRAGOMEN, DEL REY, BERNSEN &amp; LOEWY, LLP.</v>
      </c>
      <c r="BI1191" t="str">
        <f>"CA"</f>
        <v>CA</v>
      </c>
      <c r="BJ1191" t="str">
        <f>"SUPREME COURT"</f>
        <v>SUPREME COURT</v>
      </c>
      <c r="BK1191">
        <v>1</v>
      </c>
      <c r="BL1191" t="s">
        <v>102</v>
      </c>
      <c r="BM1191" t="str">
        <f>""</f>
        <v/>
      </c>
      <c r="BN1191" t="s">
        <v>11689</v>
      </c>
      <c r="BP1191" t="s">
        <v>240</v>
      </c>
      <c r="BQ1191" t="s">
        <v>230</v>
      </c>
      <c r="BR1191" t="s">
        <v>141</v>
      </c>
      <c r="BS1191" s="5">
        <v>95014</v>
      </c>
      <c r="BT1191" s="2">
        <v>186493</v>
      </c>
      <c r="BV1191" t="s">
        <v>105</v>
      </c>
      <c r="BW1191" s="2">
        <v>145725</v>
      </c>
      <c r="BX1191" t="s">
        <v>105</v>
      </c>
      <c r="BZ1191" t="s">
        <v>123</v>
      </c>
      <c r="CA1191" t="str">
        <f t="shared" si="95"/>
        <v>7/1/2020 - 6/30/2021</v>
      </c>
      <c r="CF1191">
        <v>1</v>
      </c>
      <c r="CG1191" t="s">
        <v>98</v>
      </c>
      <c r="CH1191" t="s">
        <v>206</v>
      </c>
      <c r="CI1191" t="s">
        <v>206</v>
      </c>
      <c r="CL1191" t="s">
        <v>108</v>
      </c>
      <c r="CM1191" t="s">
        <v>109</v>
      </c>
      <c r="CN1191" t="str">
        <f>"NADIG"</f>
        <v>NADIG</v>
      </c>
      <c r="CO1191" t="str">
        <f>"ANJALI"</f>
        <v>ANJALI</v>
      </c>
      <c r="CP1191" t="str">
        <f>""</f>
        <v/>
      </c>
      <c r="CQ1191" t="str">
        <f>"FRAGOMEN, DEL REY, BERNSEN &amp; LOEWY, LLP"</f>
        <v>FRAGOMEN, DEL REY, BERNSEN &amp; LOEWY, LLP</v>
      </c>
      <c r="CR1191" t="s">
        <v>716</v>
      </c>
    </row>
    <row r="1192" spans="1:96" x14ac:dyDescent="0.2">
      <c r="A1192" t="s">
        <v>11690</v>
      </c>
      <c r="B1192" t="s">
        <v>96</v>
      </c>
      <c r="C1192" s="1">
        <v>44098</v>
      </c>
      <c r="D1192" s="1">
        <v>44105</v>
      </c>
      <c r="F1192" t="s">
        <v>97</v>
      </c>
      <c r="G1192" t="str">
        <f>"VP, DEVELOPER"</f>
        <v>VP, DEVELOPER</v>
      </c>
      <c r="H1192" t="s">
        <v>12176</v>
      </c>
      <c r="I1192" t="s">
        <v>246</v>
      </c>
      <c r="J1192" t="s">
        <v>98</v>
      </c>
      <c r="K1192" s="1">
        <v>44281</v>
      </c>
      <c r="L1192" s="1">
        <v>45376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 t="s">
        <v>11370</v>
      </c>
      <c r="U1192" t="str">
        <f>""</f>
        <v/>
      </c>
      <c r="V1192" t="s">
        <v>11691</v>
      </c>
      <c r="W1192" t="str">
        <f>"Suite 2200"</f>
        <v>Suite 2200</v>
      </c>
      <c r="X1192" t="s">
        <v>1213</v>
      </c>
      <c r="Y1192" t="s">
        <v>100</v>
      </c>
      <c r="Z1192" s="3">
        <v>7311</v>
      </c>
      <c r="AA1192" t="s">
        <v>101</v>
      </c>
      <c r="AC1192" s="4" t="str">
        <f>"+12015365828"</f>
        <v>+12015365828</v>
      </c>
      <c r="AE1192" t="str">
        <f>"541512"</f>
        <v>541512</v>
      </c>
      <c r="AF1192" t="s">
        <v>1918</v>
      </c>
      <c r="AG1192" t="s">
        <v>10649</v>
      </c>
      <c r="AI1192" t="s">
        <v>9076</v>
      </c>
      <c r="AJ1192" t="s">
        <v>11691</v>
      </c>
      <c r="AK1192" t="str">
        <f>"Suite 2200"</f>
        <v>Suite 2200</v>
      </c>
      <c r="AL1192" t="s">
        <v>1213</v>
      </c>
      <c r="AM1192" t="s">
        <v>100</v>
      </c>
      <c r="AN1192" s="3">
        <v>7311</v>
      </c>
      <c r="AO1192" t="s">
        <v>101</v>
      </c>
      <c r="AQ1192" t="str">
        <f>"+12015365828"</f>
        <v>+12015365828</v>
      </c>
      <c r="AS1192" t="s">
        <v>11692</v>
      </c>
      <c r="AT1192" t="s">
        <v>107</v>
      </c>
      <c r="AU1192" t="str">
        <f>"ROSKOM"</f>
        <v>ROSKOM</v>
      </c>
      <c r="AV1192" t="str">
        <f>"Anne"</f>
        <v>Anne</v>
      </c>
      <c r="AW1192" t="str">
        <f>"Rowley"</f>
        <v>Rowley</v>
      </c>
      <c r="AX1192" t="str">
        <f>"100 High Street"</f>
        <v>100 High Street</v>
      </c>
      <c r="AY1192" t="str">
        <f>"3rd Floor"</f>
        <v>3rd Floor</v>
      </c>
      <c r="AZ1192" t="str">
        <f>"Boston"</f>
        <v>Boston</v>
      </c>
      <c r="BA1192" t="str">
        <f>"MA"</f>
        <v>MA</v>
      </c>
      <c r="BB1192" s="3">
        <v>2110</v>
      </c>
      <c r="BC1192" t="str">
        <f t="shared" si="94"/>
        <v>UNITED STATES OF AMERICA</v>
      </c>
      <c r="BD1192" t="str">
        <f>""</f>
        <v/>
      </c>
      <c r="BE1192" t="str">
        <f>"+16175740400"</f>
        <v>+16175740400</v>
      </c>
      <c r="BF1192" t="str">
        <f>""</f>
        <v/>
      </c>
      <c r="BG1192" t="str">
        <f>"cfraser@fragomen.com"</f>
        <v>cfraser@fragomen.com</v>
      </c>
      <c r="BH1192" t="str">
        <f>"Fragomen, Del Rey, Bernsen &amp; Loewy, LLP"</f>
        <v>Fragomen, Del Rey, Bernsen &amp; Loewy, LLP</v>
      </c>
      <c r="BI1192" t="str">
        <f>"CA"</f>
        <v>CA</v>
      </c>
      <c r="BJ1192" t="str">
        <f>"Supreme Court"</f>
        <v>Supreme Court</v>
      </c>
      <c r="BK1192">
        <v>1</v>
      </c>
      <c r="BL1192" t="s">
        <v>102</v>
      </c>
      <c r="BM1192" t="str">
        <f>""</f>
        <v/>
      </c>
      <c r="BN1192" t="s">
        <v>8178</v>
      </c>
      <c r="BO1192" t="s">
        <v>11371</v>
      </c>
      <c r="BP1192" t="s">
        <v>1213</v>
      </c>
      <c r="BQ1192" t="s">
        <v>1214</v>
      </c>
      <c r="BR1192" t="s">
        <v>100</v>
      </c>
      <c r="BS1192" s="5">
        <v>7311</v>
      </c>
      <c r="BT1192" s="2">
        <v>150000</v>
      </c>
      <c r="BV1192" t="s">
        <v>105</v>
      </c>
      <c r="BW1192" s="2">
        <v>143936</v>
      </c>
      <c r="BX1192" t="s">
        <v>105</v>
      </c>
      <c r="BZ1192" t="s">
        <v>159</v>
      </c>
      <c r="CA1192" t="str">
        <f t="shared" si="95"/>
        <v>7/1/2020 - 6/30/2021</v>
      </c>
      <c r="CF1192">
        <v>2</v>
      </c>
      <c r="CG1192" t="s">
        <v>98</v>
      </c>
      <c r="CH1192" t="s">
        <v>206</v>
      </c>
      <c r="CI1192" t="s">
        <v>206</v>
      </c>
      <c r="CL1192" t="s">
        <v>108</v>
      </c>
      <c r="CM1192" t="s">
        <v>109</v>
      </c>
      <c r="CN1192" t="str">
        <f>"Fraser"</f>
        <v>Fraser</v>
      </c>
      <c r="CO1192" t="str">
        <f>"Catherine"</f>
        <v>Catherine</v>
      </c>
      <c r="CP1192" t="str">
        <f>"E."</f>
        <v>E.</v>
      </c>
      <c r="CQ1192" t="str">
        <f>"Fragomen, Del Rey, Bernsen &amp; Loewy, LLP"</f>
        <v>Fragomen, Del Rey, Bernsen &amp; Loewy, LLP</v>
      </c>
      <c r="CR1192" t="s">
        <v>10340</v>
      </c>
    </row>
    <row r="1193" spans="1:96" x14ac:dyDescent="0.2">
      <c r="A1193" t="s">
        <v>11693</v>
      </c>
      <c r="B1193" t="s">
        <v>96</v>
      </c>
      <c r="C1193" s="1">
        <v>44098</v>
      </c>
      <c r="D1193" s="1">
        <v>44105</v>
      </c>
      <c r="F1193" t="s">
        <v>97</v>
      </c>
      <c r="G1193" t="str">
        <f>"Staff Solutions Architect"</f>
        <v>Staff Solutions Architect</v>
      </c>
      <c r="H1193" t="s">
        <v>12176</v>
      </c>
      <c r="I1193" t="s">
        <v>246</v>
      </c>
      <c r="J1193" t="s">
        <v>98</v>
      </c>
      <c r="K1193" s="1">
        <v>44251</v>
      </c>
      <c r="L1193" s="1">
        <v>45345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 t="s">
        <v>1724</v>
      </c>
      <c r="U1193" t="str">
        <f>""</f>
        <v/>
      </c>
      <c r="V1193" t="s">
        <v>1110</v>
      </c>
      <c r="W1193" t="str">
        <f>""</f>
        <v/>
      </c>
      <c r="X1193" t="s">
        <v>568</v>
      </c>
      <c r="Y1193" t="s">
        <v>141</v>
      </c>
      <c r="Z1193" s="3">
        <v>94304</v>
      </c>
      <c r="AA1193" t="s">
        <v>101</v>
      </c>
      <c r="AC1193" s="4" t="str">
        <f>"+15128133194"</f>
        <v>+15128133194</v>
      </c>
      <c r="AE1193" t="str">
        <f>"541511"</f>
        <v>541511</v>
      </c>
      <c r="AF1193" t="s">
        <v>1725</v>
      </c>
      <c r="AG1193" t="s">
        <v>1726</v>
      </c>
      <c r="AI1193" t="s">
        <v>1111</v>
      </c>
      <c r="AJ1193" t="s">
        <v>1727</v>
      </c>
      <c r="AK1193" t="str">
        <f>""</f>
        <v/>
      </c>
      <c r="AL1193" t="s">
        <v>765</v>
      </c>
      <c r="AM1193" t="s">
        <v>114</v>
      </c>
      <c r="AN1193" s="3">
        <v>78730</v>
      </c>
      <c r="AO1193" t="s">
        <v>101</v>
      </c>
      <c r="AQ1193" t="str">
        <f>"+15128133261"</f>
        <v>+15128133261</v>
      </c>
      <c r="AS1193" t="s">
        <v>1728</v>
      </c>
      <c r="AT1193" t="s">
        <v>107</v>
      </c>
      <c r="AU1193" t="str">
        <f>"MARONEY "</f>
        <v xml:space="preserve">MARONEY </v>
      </c>
      <c r="AV1193" t="str">
        <f>"JACQUELYN "</f>
        <v xml:space="preserve">JACQUELYN </v>
      </c>
      <c r="AW1193" t="str">
        <f>"P."</f>
        <v>P.</v>
      </c>
      <c r="AX1193" t="str">
        <f>"301 Congress Avenue"</f>
        <v>301 Congress Avenue</v>
      </c>
      <c r="AY1193" t="str">
        <f>"Suite 1150"</f>
        <v>Suite 1150</v>
      </c>
      <c r="AZ1193" t="str">
        <f>"Austin"</f>
        <v>Austin</v>
      </c>
      <c r="BA1193" t="str">
        <f>"TX"</f>
        <v>TX</v>
      </c>
      <c r="BB1193" s="3">
        <v>78701</v>
      </c>
      <c r="BC1193" t="str">
        <f t="shared" si="94"/>
        <v>UNITED STATES OF AMERICA</v>
      </c>
      <c r="BD1193" t="str">
        <f>""</f>
        <v/>
      </c>
      <c r="BE1193" t="str">
        <f>"+15123444736"</f>
        <v>+15123444736</v>
      </c>
      <c r="BF1193" t="str">
        <f>""</f>
        <v/>
      </c>
      <c r="BG1193" t="str">
        <f>"jessica.quintero@ogletreedeakins.com"</f>
        <v>jessica.quintero@ogletreedeakins.com</v>
      </c>
      <c r="BH1193" t="str">
        <f>"Ogletree, Deakins, Nash, Smoak &amp; Stewart, P.C."</f>
        <v>Ogletree, Deakins, Nash, Smoak &amp; Stewart, P.C.</v>
      </c>
      <c r="BI1193" t="str">
        <f>"TX"</f>
        <v>TX</v>
      </c>
      <c r="BJ1193" t="str">
        <f>"Supreme Court of Texas "</f>
        <v xml:space="preserve">Supreme Court of Texas </v>
      </c>
      <c r="BK1193">
        <v>1</v>
      </c>
      <c r="BL1193" t="s">
        <v>102</v>
      </c>
      <c r="BM1193" t="str">
        <f>""</f>
        <v/>
      </c>
      <c r="BN1193" t="s">
        <v>1110</v>
      </c>
      <c r="BO1193" t="s">
        <v>5220</v>
      </c>
      <c r="BP1193" t="s">
        <v>568</v>
      </c>
      <c r="BQ1193" t="s">
        <v>230</v>
      </c>
      <c r="BR1193" t="s">
        <v>141</v>
      </c>
      <c r="BS1193" s="5">
        <v>94304</v>
      </c>
      <c r="BT1193" s="2">
        <v>165000</v>
      </c>
      <c r="BV1193" t="s">
        <v>105</v>
      </c>
      <c r="BW1193" s="2">
        <v>145725</v>
      </c>
      <c r="BX1193" t="s">
        <v>105</v>
      </c>
      <c r="BZ1193" t="s">
        <v>123</v>
      </c>
      <c r="CA1193" t="str">
        <f t="shared" si="95"/>
        <v>7/1/2020 - 6/30/2021</v>
      </c>
      <c r="CF1193">
        <v>2</v>
      </c>
      <c r="CG1193" t="s">
        <v>98</v>
      </c>
      <c r="CH1193" t="s">
        <v>206</v>
      </c>
      <c r="CI1193" t="s">
        <v>206</v>
      </c>
      <c r="CL1193" t="s">
        <v>108</v>
      </c>
      <c r="CM1193" t="s">
        <v>109</v>
      </c>
      <c r="CN1193" t="str">
        <f>"Quintero"</f>
        <v>Quintero</v>
      </c>
      <c r="CO1193" t="str">
        <f>"Jessica"</f>
        <v>Jessica</v>
      </c>
      <c r="CP1193" t="str">
        <f>""</f>
        <v/>
      </c>
      <c r="CQ1193" t="str">
        <f>"Ogletree, Deakins, Nash, Smoak &amp; Stewart, P.C."</f>
        <v>Ogletree, Deakins, Nash, Smoak &amp; Stewart, P.C.</v>
      </c>
      <c r="CR1193" t="s">
        <v>5221</v>
      </c>
    </row>
    <row r="1194" spans="1:96" x14ac:dyDescent="0.2">
      <c r="A1194" t="s">
        <v>11694</v>
      </c>
      <c r="B1194" t="s">
        <v>96</v>
      </c>
      <c r="C1194" s="1">
        <v>44098</v>
      </c>
      <c r="D1194" s="1">
        <v>44105</v>
      </c>
      <c r="F1194" t="s">
        <v>97</v>
      </c>
      <c r="G1194" t="str">
        <f>"Senior Design Release Engineer"</f>
        <v>Senior Design Release Engineer</v>
      </c>
      <c r="H1194" t="s">
        <v>12179</v>
      </c>
      <c r="I1194" t="s">
        <v>1357</v>
      </c>
      <c r="J1194" t="s">
        <v>98</v>
      </c>
      <c r="K1194" s="1">
        <v>44263</v>
      </c>
      <c r="L1194" s="1">
        <v>45358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 t="s">
        <v>4848</v>
      </c>
      <c r="U1194" t="str">
        <f>""</f>
        <v/>
      </c>
      <c r="V1194" t="s">
        <v>4849</v>
      </c>
      <c r="W1194" t="str">
        <f>"MC: 482-C32-C66"</f>
        <v>MC: 482-C32-C66</v>
      </c>
      <c r="X1194" t="s">
        <v>528</v>
      </c>
      <c r="Y1194" t="s">
        <v>265</v>
      </c>
      <c r="Z1194" s="3" t="s">
        <v>12296</v>
      </c>
      <c r="AA1194" t="s">
        <v>101</v>
      </c>
      <c r="AC1194" s="4" t="str">
        <f>"+13135700122"</f>
        <v>+13135700122</v>
      </c>
      <c r="AE1194" t="str">
        <f>"3361"</f>
        <v>3361</v>
      </c>
      <c r="AF1194" t="s">
        <v>4850</v>
      </c>
      <c r="AG1194" t="s">
        <v>1182</v>
      </c>
      <c r="AI1194" t="s">
        <v>254</v>
      </c>
      <c r="AJ1194" t="s">
        <v>4851</v>
      </c>
      <c r="AK1194" t="str">
        <f>"MC: 482-C32-C66"</f>
        <v>MC: 482-C32-C66</v>
      </c>
      <c r="AL1194" t="s">
        <v>1682</v>
      </c>
      <c r="AM1194" t="s">
        <v>265</v>
      </c>
      <c r="AN1194" s="3" t="s">
        <v>12296</v>
      </c>
      <c r="AO1194" t="s">
        <v>101</v>
      </c>
      <c r="AQ1194" t="str">
        <f>"+13135700122"</f>
        <v>+13135700122</v>
      </c>
      <c r="AS1194" t="s">
        <v>4852</v>
      </c>
      <c r="AT1194" t="s">
        <v>107</v>
      </c>
      <c r="AU1194" t="str">
        <f>"Roby"</f>
        <v>Roby</v>
      </c>
      <c r="AV1194" t="str">
        <f>"Anthony"</f>
        <v>Anthony</v>
      </c>
      <c r="AW1194" t="str">
        <f>"Michael"</f>
        <v>Michael</v>
      </c>
      <c r="AX1194" t="str">
        <f>"566 Ann Street"</f>
        <v>566 Ann Street</v>
      </c>
      <c r="AY1194" t="str">
        <f>""</f>
        <v/>
      </c>
      <c r="AZ1194" t="str">
        <f>"Birmingham "</f>
        <v xml:space="preserve">Birmingham </v>
      </c>
      <c r="BA1194" t="str">
        <f>"MI"</f>
        <v>MI</v>
      </c>
      <c r="BB1194" s="3" t="s">
        <v>12307</v>
      </c>
      <c r="BC1194" t="str">
        <f t="shared" si="94"/>
        <v>UNITED STATES OF AMERICA</v>
      </c>
      <c r="BD1194" t="str">
        <f>""</f>
        <v/>
      </c>
      <c r="BE1194" t="str">
        <f>"+12485548500"</f>
        <v>+12485548500</v>
      </c>
      <c r="BF1194" t="str">
        <f>""</f>
        <v/>
      </c>
      <c r="BG1194" t="str">
        <f>"anthony.roby@robylaw.com"</f>
        <v>anthony.roby@robylaw.com</v>
      </c>
      <c r="BH1194" t="str">
        <f>"Roby Law Associates, PLLC"</f>
        <v>Roby Law Associates, PLLC</v>
      </c>
      <c r="BI1194" t="str">
        <f>"MI"</f>
        <v>MI</v>
      </c>
      <c r="BJ1194" t="str">
        <f>"U.S. Supreme Courts"</f>
        <v>U.S. Supreme Courts</v>
      </c>
      <c r="BK1194">
        <v>1</v>
      </c>
      <c r="BL1194" t="s">
        <v>102</v>
      </c>
      <c r="BM1194" t="str">
        <f>""</f>
        <v/>
      </c>
      <c r="BN1194" t="s">
        <v>5505</v>
      </c>
      <c r="BP1194" t="s">
        <v>1058</v>
      </c>
      <c r="BQ1194" t="s">
        <v>543</v>
      </c>
      <c r="BR1194" t="s">
        <v>265</v>
      </c>
      <c r="BS1194" s="5">
        <v>48093</v>
      </c>
      <c r="BT1194" s="2">
        <v>118307</v>
      </c>
      <c r="BV1194" t="s">
        <v>105</v>
      </c>
      <c r="BW1194" s="2">
        <v>95742</v>
      </c>
      <c r="BX1194" t="s">
        <v>105</v>
      </c>
      <c r="BZ1194" t="s">
        <v>123</v>
      </c>
      <c r="CA1194" t="str">
        <f t="shared" si="95"/>
        <v>7/1/2020 - 6/30/2021</v>
      </c>
      <c r="CF1194">
        <v>2</v>
      </c>
      <c r="CG1194" t="s">
        <v>98</v>
      </c>
      <c r="CH1194" t="s">
        <v>206</v>
      </c>
      <c r="CI1194" t="s">
        <v>206</v>
      </c>
      <c r="CL1194" t="s">
        <v>108</v>
      </c>
      <c r="CM1194" t="s">
        <v>109</v>
      </c>
      <c r="CN1194" t="str">
        <f>""</f>
        <v/>
      </c>
      <c r="CO1194" t="str">
        <f>""</f>
        <v/>
      </c>
      <c r="CP1194" t="str">
        <f>""</f>
        <v/>
      </c>
      <c r="CQ1194" t="str">
        <f>""</f>
        <v/>
      </c>
    </row>
    <row r="1195" spans="1:96" x14ac:dyDescent="0.2">
      <c r="A1195" t="s">
        <v>11697</v>
      </c>
      <c r="B1195" t="s">
        <v>96</v>
      </c>
      <c r="C1195" s="1">
        <v>44098</v>
      </c>
      <c r="D1195" s="1">
        <v>44105</v>
      </c>
      <c r="F1195" t="s">
        <v>97</v>
      </c>
      <c r="G1195" t="str">
        <f>"Design Engineer"</f>
        <v>Design Engineer</v>
      </c>
      <c r="H1195" t="s">
        <v>12205</v>
      </c>
      <c r="I1195" t="s">
        <v>665</v>
      </c>
      <c r="J1195" t="s">
        <v>98</v>
      </c>
      <c r="K1195" s="1">
        <v>44105</v>
      </c>
      <c r="L1195" s="1">
        <v>45199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11698</v>
      </c>
      <c r="U1195" t="str">
        <f>""</f>
        <v/>
      </c>
      <c r="V1195" t="s">
        <v>11699</v>
      </c>
      <c r="W1195" t="str">
        <f>""</f>
        <v/>
      </c>
      <c r="X1195" t="s">
        <v>2124</v>
      </c>
      <c r="Y1195" t="s">
        <v>141</v>
      </c>
      <c r="Z1195" s="3">
        <v>90501</v>
      </c>
      <c r="AA1195" t="s">
        <v>101</v>
      </c>
      <c r="AC1195" s="4" t="str">
        <f>"+14243581085"</f>
        <v>+14243581085</v>
      </c>
      <c r="AE1195" t="str">
        <f>"541330"</f>
        <v>541330</v>
      </c>
      <c r="AF1195" t="s">
        <v>4564</v>
      </c>
      <c r="AG1195" t="s">
        <v>3963</v>
      </c>
      <c r="AI1195" t="s">
        <v>854</v>
      </c>
      <c r="AJ1195" t="s">
        <v>11699</v>
      </c>
      <c r="AK1195" t="str">
        <f>""</f>
        <v/>
      </c>
      <c r="AL1195" t="s">
        <v>2124</v>
      </c>
      <c r="AM1195" t="s">
        <v>141</v>
      </c>
      <c r="AN1195" s="3">
        <v>90501</v>
      </c>
      <c r="AO1195" t="s">
        <v>101</v>
      </c>
      <c r="AQ1195" t="str">
        <f>"+14243581085"</f>
        <v>+14243581085</v>
      </c>
      <c r="AS1195" t="s">
        <v>11700</v>
      </c>
      <c r="AT1195" t="s">
        <v>107</v>
      </c>
      <c r="AU1195" t="str">
        <f>"Meng"</f>
        <v>Meng</v>
      </c>
      <c r="AV1195" t="str">
        <f>"Xiaojie"</f>
        <v>Xiaojie</v>
      </c>
      <c r="AW1195" t="str">
        <f>""</f>
        <v/>
      </c>
      <c r="AX1195" t="str">
        <f>"800 S. Barranca Ave."</f>
        <v>800 S. Barranca Ave.</v>
      </c>
      <c r="AY1195" t="str">
        <f>"Suite 328"</f>
        <v>Suite 328</v>
      </c>
      <c r="AZ1195" t="str">
        <f>"Covina"</f>
        <v>Covina</v>
      </c>
      <c r="BA1195" t="str">
        <f>"CA"</f>
        <v>CA</v>
      </c>
      <c r="BB1195" s="3">
        <v>91723</v>
      </c>
      <c r="BC1195" t="str">
        <f t="shared" si="94"/>
        <v>UNITED STATES OF AMERICA</v>
      </c>
      <c r="BD1195" t="str">
        <f>""</f>
        <v/>
      </c>
      <c r="BE1195" t="str">
        <f>"+16263399363"</f>
        <v>+16263399363</v>
      </c>
      <c r="BF1195" t="str">
        <f>""</f>
        <v/>
      </c>
      <c r="BG1195" t="str">
        <f>"xmeng@songmenglaw.com"</f>
        <v>xmeng@songmenglaw.com</v>
      </c>
      <c r="BH1195" t="str">
        <f>"Song &amp;  Meng LLP"</f>
        <v>Song &amp;  Meng LLP</v>
      </c>
      <c r="BI1195" t="str">
        <f>"CA"</f>
        <v>CA</v>
      </c>
      <c r="BJ1195" t="str">
        <f>"Supreme Court of California"</f>
        <v>Supreme Court of California</v>
      </c>
      <c r="BK1195">
        <v>1</v>
      </c>
      <c r="BL1195" t="s">
        <v>102</v>
      </c>
      <c r="BM1195" t="str">
        <f>""</f>
        <v/>
      </c>
      <c r="BN1195" t="s">
        <v>11699</v>
      </c>
      <c r="BP1195" t="s">
        <v>2124</v>
      </c>
      <c r="BQ1195" t="s">
        <v>365</v>
      </c>
      <c r="BR1195" t="s">
        <v>141</v>
      </c>
      <c r="BS1195" s="5">
        <v>90501</v>
      </c>
      <c r="BT1195" s="2">
        <v>66560</v>
      </c>
      <c r="BV1195" t="s">
        <v>105</v>
      </c>
      <c r="BW1195" s="2">
        <v>63398</v>
      </c>
      <c r="BX1195" t="s">
        <v>105</v>
      </c>
      <c r="BZ1195" t="s">
        <v>191</v>
      </c>
      <c r="CA1195" t="str">
        <f t="shared" si="95"/>
        <v>7/1/2020 - 6/30/2021</v>
      </c>
      <c r="CF1195">
        <v>1</v>
      </c>
      <c r="CG1195" t="s">
        <v>98</v>
      </c>
      <c r="CH1195" t="s">
        <v>206</v>
      </c>
      <c r="CI1195" t="s">
        <v>206</v>
      </c>
      <c r="CL1195" t="s">
        <v>108</v>
      </c>
      <c r="CM1195" t="s">
        <v>109</v>
      </c>
      <c r="CN1195" t="str">
        <f>""</f>
        <v/>
      </c>
      <c r="CO1195" t="str">
        <f>""</f>
        <v/>
      </c>
      <c r="CP1195" t="str">
        <f>""</f>
        <v/>
      </c>
      <c r="CQ1195" t="str">
        <f>""</f>
        <v/>
      </c>
    </row>
    <row r="1196" spans="1:96" x14ac:dyDescent="0.2">
      <c r="A1196" t="s">
        <v>11709</v>
      </c>
      <c r="B1196" t="s">
        <v>96</v>
      </c>
      <c r="C1196" s="1">
        <v>44098</v>
      </c>
      <c r="D1196" s="1">
        <v>44105</v>
      </c>
      <c r="F1196" t="s">
        <v>97</v>
      </c>
      <c r="G1196" t="str">
        <f>"Director 2, Software Development and Engineering "</f>
        <v xml:space="preserve">Director 2, Software Development and Engineering </v>
      </c>
      <c r="H1196" t="s">
        <v>12178</v>
      </c>
      <c r="I1196" t="s">
        <v>582</v>
      </c>
      <c r="J1196" t="s">
        <v>98</v>
      </c>
      <c r="K1196" s="1">
        <v>44281</v>
      </c>
      <c r="L1196" s="1">
        <v>45376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 t="s">
        <v>1815</v>
      </c>
      <c r="U1196" t="str">
        <f>""</f>
        <v/>
      </c>
      <c r="V1196" t="s">
        <v>1816</v>
      </c>
      <c r="W1196" t="str">
        <f>"1701 John F. Kennedy Blvd. "</f>
        <v xml:space="preserve">1701 John F. Kennedy Blvd. </v>
      </c>
      <c r="X1196" t="s">
        <v>1817</v>
      </c>
      <c r="Y1196" t="s">
        <v>127</v>
      </c>
      <c r="Z1196" s="3">
        <v>19103</v>
      </c>
      <c r="AA1196" t="s">
        <v>101</v>
      </c>
      <c r="AC1196" s="4" t="str">
        <f>"+12157380579"</f>
        <v>+12157380579</v>
      </c>
      <c r="AE1196" t="str">
        <f>"515210"</f>
        <v>515210</v>
      </c>
      <c r="AF1196" t="s">
        <v>1818</v>
      </c>
      <c r="AG1196" t="s">
        <v>1819</v>
      </c>
      <c r="AI1196" t="s">
        <v>1820</v>
      </c>
      <c r="AJ1196" t="s">
        <v>5188</v>
      </c>
      <c r="AK1196" t="str">
        <f>"11th Floor East "</f>
        <v xml:space="preserve">11th Floor East </v>
      </c>
      <c r="AL1196" t="s">
        <v>1817</v>
      </c>
      <c r="AM1196" t="s">
        <v>127</v>
      </c>
      <c r="AN1196" s="3">
        <v>19102</v>
      </c>
      <c r="AO1196" t="s">
        <v>101</v>
      </c>
      <c r="AQ1196" t="str">
        <f>"+12157380579"</f>
        <v>+12157380579</v>
      </c>
      <c r="AS1196" t="s">
        <v>1821</v>
      </c>
      <c r="AT1196" t="s">
        <v>107</v>
      </c>
      <c r="AU1196" t="str">
        <f>"Stock"</f>
        <v>Stock</v>
      </c>
      <c r="AV1196" t="str">
        <f>"William"</f>
        <v>William</v>
      </c>
      <c r="AW1196" t="str">
        <f>"A."</f>
        <v>A.</v>
      </c>
      <c r="AX1196" t="str">
        <f>"1601 Market Street"</f>
        <v>1601 Market Street</v>
      </c>
      <c r="AY1196" t="str">
        <f>"Suite 2600"</f>
        <v>Suite 2600</v>
      </c>
      <c r="AZ1196" t="str">
        <f>"Philadelphia"</f>
        <v>Philadelphia</v>
      </c>
      <c r="BA1196" t="str">
        <f>"PA"</f>
        <v>PA</v>
      </c>
      <c r="BB1196" s="3">
        <v>19103</v>
      </c>
      <c r="BC1196" t="str">
        <f t="shared" si="94"/>
        <v>UNITED STATES OF AMERICA</v>
      </c>
      <c r="BD1196" t="str">
        <f>""</f>
        <v/>
      </c>
      <c r="BE1196" t="str">
        <f>"+12158258600"</f>
        <v>+12158258600</v>
      </c>
      <c r="BF1196" t="str">
        <f>""</f>
        <v/>
      </c>
      <c r="BG1196" t="str">
        <f>"klewis@klaskolaw.com"</f>
        <v>klewis@klaskolaw.com</v>
      </c>
      <c r="BH1196" t="str">
        <f>"Klasko Immigration Law Partners, LLP"</f>
        <v>Klasko Immigration Law Partners, LLP</v>
      </c>
      <c r="BI1196" t="str">
        <f>"PA"</f>
        <v>PA</v>
      </c>
      <c r="BJ1196" t="str">
        <f>"Supreme "</f>
        <v xml:space="preserve">Supreme </v>
      </c>
      <c r="BK1196">
        <v>1</v>
      </c>
      <c r="BL1196" t="s">
        <v>102</v>
      </c>
      <c r="BM1196" t="str">
        <f>""</f>
        <v/>
      </c>
      <c r="BN1196" t="s">
        <v>9171</v>
      </c>
      <c r="BP1196" t="s">
        <v>1817</v>
      </c>
      <c r="BQ1196" t="s">
        <v>510</v>
      </c>
      <c r="BR1196" t="s">
        <v>127</v>
      </c>
      <c r="BS1196" s="5">
        <v>19103</v>
      </c>
      <c r="BT1196" s="2">
        <v>182915</v>
      </c>
      <c r="BU1196" s="2">
        <v>219626.56</v>
      </c>
      <c r="BV1196" t="s">
        <v>105</v>
      </c>
      <c r="BW1196" s="2">
        <v>182915</v>
      </c>
      <c r="BX1196" t="s">
        <v>105</v>
      </c>
      <c r="BZ1196" t="s">
        <v>159</v>
      </c>
      <c r="CA1196" t="str">
        <f t="shared" si="95"/>
        <v>7/1/2020 - 6/30/2021</v>
      </c>
      <c r="CF1196">
        <v>1</v>
      </c>
      <c r="CG1196" t="s">
        <v>98</v>
      </c>
      <c r="CH1196" t="s">
        <v>206</v>
      </c>
      <c r="CI1196" t="s">
        <v>206</v>
      </c>
      <c r="CL1196" t="s">
        <v>108</v>
      </c>
      <c r="CM1196" t="s">
        <v>109</v>
      </c>
      <c r="CN1196" t="str">
        <f>""</f>
        <v/>
      </c>
      <c r="CO1196" t="str">
        <f>""</f>
        <v/>
      </c>
      <c r="CP1196" t="str">
        <f>""</f>
        <v/>
      </c>
      <c r="CQ1196" t="str">
        <f>""</f>
        <v/>
      </c>
    </row>
    <row r="1197" spans="1:96" x14ac:dyDescent="0.2">
      <c r="A1197" t="s">
        <v>11710</v>
      </c>
      <c r="B1197" t="s">
        <v>96</v>
      </c>
      <c r="C1197" s="1">
        <v>44098</v>
      </c>
      <c r="D1197" s="1">
        <v>44105</v>
      </c>
      <c r="F1197" t="s">
        <v>97</v>
      </c>
      <c r="G1197" t="str">
        <f>"Senior Administrator, Database"</f>
        <v>Senior Administrator, Database</v>
      </c>
      <c r="H1197" t="s">
        <v>12225</v>
      </c>
      <c r="I1197" t="s">
        <v>628</v>
      </c>
      <c r="J1197" t="s">
        <v>98</v>
      </c>
      <c r="K1197" s="1">
        <v>44103</v>
      </c>
      <c r="L1197" s="1">
        <v>45197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 t="s">
        <v>478</v>
      </c>
      <c r="U1197" t="str">
        <f>""</f>
        <v/>
      </c>
      <c r="V1197" t="s">
        <v>479</v>
      </c>
      <c r="W1197" t="str">
        <f>""</f>
        <v/>
      </c>
      <c r="X1197" t="s">
        <v>182</v>
      </c>
      <c r="Y1197" t="s">
        <v>176</v>
      </c>
      <c r="Z1197" s="3">
        <v>98006</v>
      </c>
      <c r="AA1197" t="s">
        <v>101</v>
      </c>
      <c r="AC1197" s="4" t="str">
        <f>"+14253832515"</f>
        <v>+14253832515</v>
      </c>
      <c r="AE1197" t="str">
        <f>"517312"</f>
        <v>517312</v>
      </c>
      <c r="AF1197" t="s">
        <v>1499</v>
      </c>
      <c r="AG1197" t="s">
        <v>1500</v>
      </c>
      <c r="AI1197" t="s">
        <v>4827</v>
      </c>
      <c r="AJ1197" t="s">
        <v>479</v>
      </c>
      <c r="AK1197" t="str">
        <f>""</f>
        <v/>
      </c>
      <c r="AL1197" t="s">
        <v>182</v>
      </c>
      <c r="AM1197" t="s">
        <v>176</v>
      </c>
      <c r="AN1197" s="3">
        <v>98006</v>
      </c>
      <c r="AO1197" t="s">
        <v>101</v>
      </c>
      <c r="AQ1197" t="str">
        <f>"+14253832515"</f>
        <v>+14253832515</v>
      </c>
      <c r="AS1197" t="s">
        <v>1501</v>
      </c>
      <c r="AT1197" t="s">
        <v>107</v>
      </c>
      <c r="AU1197" t="str">
        <f>"Schultz"</f>
        <v>Schultz</v>
      </c>
      <c r="AV1197" t="str">
        <f>"Warren"</f>
        <v>Warren</v>
      </c>
      <c r="AW1197" t="str">
        <f>"Michael"</f>
        <v>Michael</v>
      </c>
      <c r="AX1197" t="str">
        <f>"333 W. Wacker Drive"</f>
        <v>333 W. Wacker Drive</v>
      </c>
      <c r="AY1197" t="str">
        <f>"15th Floor"</f>
        <v>15th Floor</v>
      </c>
      <c r="AZ1197" t="str">
        <f>"Chicago"</f>
        <v>Chicago</v>
      </c>
      <c r="BA1197" t="str">
        <f>"IL"</f>
        <v>IL</v>
      </c>
      <c r="BB1197" s="3">
        <v>60606</v>
      </c>
      <c r="BC1197" t="str">
        <f t="shared" si="94"/>
        <v>UNITED STATES OF AMERICA</v>
      </c>
      <c r="BD1197" t="str">
        <f>""</f>
        <v/>
      </c>
      <c r="BE1197" t="str">
        <f>"+13122636101"</f>
        <v>+13122636101</v>
      </c>
      <c r="BF1197" t="str">
        <f>""</f>
        <v/>
      </c>
      <c r="BG1197" t="str">
        <f>"LMillis@Fragomen.com"</f>
        <v>LMillis@Fragomen.com</v>
      </c>
      <c r="BH1197" t="str">
        <f>"Fragomen Del Rey Bernsen &amp; Loewy LLP"</f>
        <v>Fragomen Del Rey Bernsen &amp; Loewy LLP</v>
      </c>
      <c r="BI1197" t="str">
        <f>"PA"</f>
        <v>PA</v>
      </c>
      <c r="BJ1197" t="str">
        <f>"Supreme Court"</f>
        <v>Supreme Court</v>
      </c>
      <c r="BK1197">
        <v>1</v>
      </c>
      <c r="BL1197" t="s">
        <v>102</v>
      </c>
      <c r="BM1197" t="str">
        <f>""</f>
        <v/>
      </c>
      <c r="BN1197" t="s">
        <v>10365</v>
      </c>
      <c r="BP1197" t="s">
        <v>1045</v>
      </c>
      <c r="BQ1197" t="s">
        <v>1029</v>
      </c>
      <c r="BR1197" t="s">
        <v>100</v>
      </c>
      <c r="BS1197" s="5">
        <v>7054</v>
      </c>
      <c r="BT1197" s="2">
        <v>142054.51</v>
      </c>
      <c r="BV1197" t="s">
        <v>105</v>
      </c>
      <c r="BW1197" s="2">
        <v>113048</v>
      </c>
      <c r="BX1197" t="s">
        <v>105</v>
      </c>
      <c r="BZ1197" t="s">
        <v>123</v>
      </c>
      <c r="CA1197" t="str">
        <f t="shared" si="95"/>
        <v>7/1/2020 - 6/30/2021</v>
      </c>
      <c r="CF1197">
        <v>2</v>
      </c>
      <c r="CG1197" t="s">
        <v>98</v>
      </c>
      <c r="CH1197" t="s">
        <v>206</v>
      </c>
      <c r="CI1197" t="s">
        <v>206</v>
      </c>
      <c r="CL1197" t="s">
        <v>108</v>
      </c>
      <c r="CM1197" t="s">
        <v>109</v>
      </c>
      <c r="CN1197" t="str">
        <f>"Arechar"</f>
        <v>Arechar</v>
      </c>
      <c r="CO1197" t="str">
        <f>"Elida"</f>
        <v>Elida</v>
      </c>
      <c r="CP1197" t="str">
        <f>""</f>
        <v/>
      </c>
      <c r="CQ1197" t="str">
        <f>"Fragomen, Del Rey, Bernsen &amp; Loewy, LLP"</f>
        <v>Fragomen, Del Rey, Bernsen &amp; Loewy, LLP</v>
      </c>
      <c r="CR1197" t="s">
        <v>1502</v>
      </c>
    </row>
    <row r="1198" spans="1:96" x14ac:dyDescent="0.2">
      <c r="A1198" t="s">
        <v>11712</v>
      </c>
      <c r="B1198" t="s">
        <v>96</v>
      </c>
      <c r="C1198" s="1">
        <v>44098</v>
      </c>
      <c r="D1198" s="1">
        <v>44105</v>
      </c>
      <c r="F1198" t="s">
        <v>97</v>
      </c>
      <c r="G1198" t="str">
        <f>"Advisory Senior Consultant"</f>
        <v>Advisory Senior Consultant</v>
      </c>
      <c r="H1198" t="s">
        <v>12197</v>
      </c>
      <c r="I1198" t="s">
        <v>137</v>
      </c>
      <c r="J1198" t="s">
        <v>98</v>
      </c>
      <c r="K1198" s="1">
        <v>44104</v>
      </c>
      <c r="L1198" s="1">
        <v>45198</v>
      </c>
      <c r="M1198">
        <v>3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1</v>
      </c>
      <c r="T1198" t="s">
        <v>216</v>
      </c>
      <c r="U1198" t="str">
        <f>""</f>
        <v/>
      </c>
      <c r="V1198" t="s">
        <v>217</v>
      </c>
      <c r="W1198" t="str">
        <f>""</f>
        <v/>
      </c>
      <c r="X1198" t="s">
        <v>218</v>
      </c>
      <c r="Y1198" t="s">
        <v>127</v>
      </c>
      <c r="Z1198" s="3">
        <v>19103</v>
      </c>
      <c r="AA1198" t="s">
        <v>101</v>
      </c>
      <c r="AC1198" s="4" t="str">
        <f>"+16179608170"</f>
        <v>+16179608170</v>
      </c>
      <c r="AE1198" t="str">
        <f>"54121"</f>
        <v>54121</v>
      </c>
      <c r="AF1198" t="s">
        <v>219</v>
      </c>
      <c r="AG1198" t="s">
        <v>220</v>
      </c>
      <c r="AI1198" t="s">
        <v>221</v>
      </c>
      <c r="AJ1198" t="s">
        <v>217</v>
      </c>
      <c r="AK1198" t="str">
        <f>""</f>
        <v/>
      </c>
      <c r="AL1198" t="s">
        <v>218</v>
      </c>
      <c r="AM1198" t="s">
        <v>127</v>
      </c>
      <c r="AN1198" s="3">
        <v>19103</v>
      </c>
      <c r="AO1198" t="s">
        <v>101</v>
      </c>
      <c r="AQ1198" t="str">
        <f>"+16179608170"</f>
        <v>+16179608170</v>
      </c>
      <c r="AS1198" t="s">
        <v>222</v>
      </c>
      <c r="AT1198" t="s">
        <v>107</v>
      </c>
      <c r="AU1198" t="str">
        <f>"Cook"</f>
        <v>Cook</v>
      </c>
      <c r="AV1198" t="str">
        <f>"Sharon"</f>
        <v>Sharon</v>
      </c>
      <c r="AW1198" t="str">
        <f>"Lynn"</f>
        <v>Lynn</v>
      </c>
      <c r="AX1198" t="str">
        <f>"1075 Peachtree Street NE"</f>
        <v>1075 Peachtree Street NE</v>
      </c>
      <c r="AY1198" t="str">
        <f>"Suite 2500"</f>
        <v>Suite 2500</v>
      </c>
      <c r="AZ1198" t="str">
        <f>"Atlanta"</f>
        <v>Atlanta</v>
      </c>
      <c r="BA1198" t="str">
        <f>"GA"</f>
        <v>GA</v>
      </c>
      <c r="BB1198" s="3">
        <v>30309</v>
      </c>
      <c r="BC1198" t="str">
        <f t="shared" si="94"/>
        <v>UNITED STATES OF AMERICA</v>
      </c>
      <c r="BD1198" t="str">
        <f>""</f>
        <v/>
      </c>
      <c r="BE1198" t="str">
        <f>"+14048856754"</f>
        <v>+14048856754</v>
      </c>
      <c r="BF1198" t="str">
        <f>""</f>
        <v/>
      </c>
      <c r="BG1198" t="str">
        <f>"ahendrix@seyfarth.com"</f>
        <v>ahendrix@seyfarth.com</v>
      </c>
      <c r="BH1198" t="str">
        <f>"Seyfarth Shaw LLP"</f>
        <v>Seyfarth Shaw LLP</v>
      </c>
      <c r="BI1198" t="str">
        <f>"GA"</f>
        <v>GA</v>
      </c>
      <c r="BJ1198" t="str">
        <f>"Supreme Court"</f>
        <v>Supreme Court</v>
      </c>
      <c r="BK1198">
        <v>3</v>
      </c>
      <c r="BL1198" t="s">
        <v>102</v>
      </c>
      <c r="BM1198" t="str">
        <f>""</f>
        <v/>
      </c>
      <c r="BN1198" t="s">
        <v>2958</v>
      </c>
      <c r="BO1198" t="s">
        <v>1056</v>
      </c>
      <c r="BP1198" t="s">
        <v>595</v>
      </c>
      <c r="BQ1198" t="s">
        <v>484</v>
      </c>
      <c r="BR1198" t="s">
        <v>114</v>
      </c>
      <c r="BS1198" s="5">
        <v>75201</v>
      </c>
      <c r="BT1198" s="2">
        <v>94723</v>
      </c>
      <c r="BV1198" t="s">
        <v>105</v>
      </c>
      <c r="BW1198" s="2">
        <v>94723</v>
      </c>
      <c r="BX1198" t="s">
        <v>105</v>
      </c>
      <c r="BZ1198" t="s">
        <v>167</v>
      </c>
      <c r="CA1198" t="str">
        <f t="shared" si="95"/>
        <v>7/1/2020 - 6/30/2021</v>
      </c>
      <c r="CF1198">
        <v>2</v>
      </c>
      <c r="CG1198" t="s">
        <v>98</v>
      </c>
      <c r="CH1198" t="s">
        <v>206</v>
      </c>
      <c r="CI1198" t="s">
        <v>206</v>
      </c>
      <c r="CL1198" t="s">
        <v>108</v>
      </c>
      <c r="CM1198" t="s">
        <v>109</v>
      </c>
      <c r="CN1198" t="str">
        <f>"Hendrix"</f>
        <v>Hendrix</v>
      </c>
      <c r="CO1198" t="str">
        <f>"Andrew"</f>
        <v>Andrew</v>
      </c>
      <c r="CP1198" t="str">
        <f>"L"</f>
        <v>L</v>
      </c>
      <c r="CQ1198" t="str">
        <f>"Seyfarth Shaw LLP"</f>
        <v>Seyfarth Shaw LLP</v>
      </c>
      <c r="CR1198" t="s">
        <v>3467</v>
      </c>
    </row>
    <row r="1199" spans="1:96" x14ac:dyDescent="0.2">
      <c r="A1199" t="s">
        <v>11715</v>
      </c>
      <c r="B1199" t="s">
        <v>96</v>
      </c>
      <c r="C1199" s="1">
        <v>44098</v>
      </c>
      <c r="D1199" s="1">
        <v>44105</v>
      </c>
      <c r="F1199" t="s">
        <v>97</v>
      </c>
      <c r="G1199" t="str">
        <f>"SOFTWARE DEVELOPMENT ENGINEER II"</f>
        <v>SOFTWARE DEVELOPMENT ENGINEER II</v>
      </c>
      <c r="H1199" t="s">
        <v>12169</v>
      </c>
      <c r="I1199" t="s">
        <v>124</v>
      </c>
      <c r="J1199" t="s">
        <v>98</v>
      </c>
      <c r="K1199" s="1">
        <v>44109</v>
      </c>
      <c r="L1199" s="1">
        <v>45203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 t="s">
        <v>440</v>
      </c>
      <c r="U1199" t="str">
        <f>""</f>
        <v/>
      </c>
      <c r="V1199" t="s">
        <v>809</v>
      </c>
      <c r="W1199" t="str">
        <f>"SUITE 500"</f>
        <v>SUITE 500</v>
      </c>
      <c r="X1199" t="s">
        <v>433</v>
      </c>
      <c r="Y1199" t="s">
        <v>176</v>
      </c>
      <c r="Z1199" s="3">
        <v>98121</v>
      </c>
      <c r="AA1199" t="s">
        <v>101</v>
      </c>
      <c r="AC1199" s="4" t="str">
        <f>"+12062661000"</f>
        <v>+12062661000</v>
      </c>
      <c r="AE1199" t="str">
        <f>"454110"</f>
        <v>454110</v>
      </c>
      <c r="AF1199" t="s">
        <v>442</v>
      </c>
      <c r="AG1199" t="s">
        <v>443</v>
      </c>
      <c r="AH1199" t="s">
        <v>108</v>
      </c>
      <c r="AI1199" t="s">
        <v>434</v>
      </c>
      <c r="AJ1199" t="s">
        <v>809</v>
      </c>
      <c r="AK1199" t="str">
        <f>"SUITE 500"</f>
        <v>SUITE 500</v>
      </c>
      <c r="AL1199" t="s">
        <v>433</v>
      </c>
      <c r="AM1199" t="s">
        <v>176</v>
      </c>
      <c r="AN1199" s="3">
        <v>98121</v>
      </c>
      <c r="AO1199" t="s">
        <v>101</v>
      </c>
      <c r="AQ1199" t="str">
        <f>"+12062661000"</f>
        <v>+12062661000</v>
      </c>
      <c r="AS1199" t="s">
        <v>263</v>
      </c>
      <c r="AT1199" t="s">
        <v>107</v>
      </c>
      <c r="AU1199" t="str">
        <f>"MARANCI"</f>
        <v>MARANCI</v>
      </c>
      <c r="AV1199" t="str">
        <f>"DANIEL"</f>
        <v>DANIEL</v>
      </c>
      <c r="AW1199" t="str">
        <f>"N/A"</f>
        <v>N/A</v>
      </c>
      <c r="AX1199" t="str">
        <f>"100 HIGH STREET"</f>
        <v>100 HIGH STREET</v>
      </c>
      <c r="AY1199" t="str">
        <f>"3RD FLOOR C#5316994"</f>
        <v>3RD FLOOR C#5316994</v>
      </c>
      <c r="AZ1199" t="str">
        <f>"BOSTON"</f>
        <v>BOSTON</v>
      </c>
      <c r="BA1199" t="str">
        <f>"MA"</f>
        <v>MA</v>
      </c>
      <c r="BB1199" s="3">
        <v>2110</v>
      </c>
      <c r="BC1199" t="str">
        <f t="shared" si="94"/>
        <v>UNITED STATES OF AMERICA</v>
      </c>
      <c r="BD1199" t="str">
        <f>""</f>
        <v/>
      </c>
      <c r="BE1199" t="str">
        <f>"+16175740400"</f>
        <v>+16175740400</v>
      </c>
      <c r="BF1199" t="str">
        <f>""</f>
        <v/>
      </c>
      <c r="BG1199" t="str">
        <f>"AMAZONINDIA@FRAGOMEN.COM"</f>
        <v>AMAZONINDIA@FRAGOMEN.COM</v>
      </c>
      <c r="BH1199" t="str">
        <f>"FRAGOMEN, DEL REY, BERNSEN &amp; LOEWY, LLP"</f>
        <v>FRAGOMEN, DEL REY, BERNSEN &amp; LOEWY, LLP</v>
      </c>
      <c r="BI1199" t="str">
        <f>"MA"</f>
        <v>MA</v>
      </c>
      <c r="BJ1199" t="str">
        <f>"SUPREME JUDICIAL COURT"</f>
        <v>SUPREME JUDICIAL COURT</v>
      </c>
      <c r="BK1199">
        <v>1</v>
      </c>
      <c r="BL1199" t="s">
        <v>102</v>
      </c>
      <c r="BM1199" t="str">
        <f>""</f>
        <v/>
      </c>
      <c r="BN1199" t="s">
        <v>5768</v>
      </c>
      <c r="BP1199" t="s">
        <v>671</v>
      </c>
      <c r="BQ1199" t="s">
        <v>230</v>
      </c>
      <c r="BR1199" t="s">
        <v>141</v>
      </c>
      <c r="BS1199" s="5">
        <v>94089</v>
      </c>
      <c r="BT1199" s="2">
        <v>172282</v>
      </c>
      <c r="BV1199" t="s">
        <v>105</v>
      </c>
      <c r="BW1199" s="2">
        <v>120578</v>
      </c>
      <c r="BX1199" t="s">
        <v>105</v>
      </c>
      <c r="BZ1199" t="s">
        <v>167</v>
      </c>
      <c r="CA1199" t="str">
        <f t="shared" si="95"/>
        <v>7/1/2020 - 6/30/2021</v>
      </c>
      <c r="CF1199">
        <v>2</v>
      </c>
      <c r="CG1199" t="s">
        <v>98</v>
      </c>
      <c r="CH1199" t="s">
        <v>206</v>
      </c>
      <c r="CI1199" t="s">
        <v>206</v>
      </c>
      <c r="CL1199" t="s">
        <v>108</v>
      </c>
      <c r="CM1199" t="s">
        <v>109</v>
      </c>
      <c r="CN1199" t="str">
        <f>"SUNNY"</f>
        <v>SUNNY</v>
      </c>
      <c r="CO1199" t="str">
        <f>"JASMIN"</f>
        <v>JASMIN</v>
      </c>
      <c r="CP1199" t="str">
        <f>"N/A"</f>
        <v>N/A</v>
      </c>
      <c r="CQ1199" t="str">
        <f>"FRAGOMEN, DEL REY, BERNSEN &amp; LOEWY, LLP"</f>
        <v>FRAGOMEN, DEL REY, BERNSEN &amp; LOEWY, LLP</v>
      </c>
      <c r="CR1199" t="s">
        <v>650</v>
      </c>
    </row>
    <row r="1200" spans="1:96" x14ac:dyDescent="0.2">
      <c r="A1200" t="s">
        <v>11716</v>
      </c>
      <c r="B1200" t="s">
        <v>96</v>
      </c>
      <c r="C1200" s="1">
        <v>44098</v>
      </c>
      <c r="D1200" s="1">
        <v>44105</v>
      </c>
      <c r="F1200" t="s">
        <v>97</v>
      </c>
      <c r="G1200" t="str">
        <f>"CLOUD SUPPORT ENGINEER I"</f>
        <v>CLOUD SUPPORT ENGINEER I</v>
      </c>
      <c r="H1200" t="s">
        <v>12187</v>
      </c>
      <c r="I1200" t="s">
        <v>331</v>
      </c>
      <c r="J1200" t="s">
        <v>98</v>
      </c>
      <c r="K1200" s="1">
        <v>44105</v>
      </c>
      <c r="L1200" s="1">
        <v>45199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1129</v>
      </c>
      <c r="U1200" t="str">
        <f>""</f>
        <v/>
      </c>
      <c r="V1200" t="s">
        <v>809</v>
      </c>
      <c r="W1200" t="str">
        <f>"SUITE 500"</f>
        <v>SUITE 500</v>
      </c>
      <c r="X1200" t="s">
        <v>433</v>
      </c>
      <c r="Y1200" t="s">
        <v>176</v>
      </c>
      <c r="Z1200" s="3">
        <v>98121</v>
      </c>
      <c r="AA1200" t="s">
        <v>101</v>
      </c>
      <c r="AC1200" s="4" t="str">
        <f>"+12062661000"</f>
        <v>+12062661000</v>
      </c>
      <c r="AE1200" t="str">
        <f>"454110"</f>
        <v>454110</v>
      </c>
      <c r="AF1200" t="s">
        <v>3174</v>
      </c>
      <c r="AG1200" t="s">
        <v>3175</v>
      </c>
      <c r="AH1200" t="s">
        <v>108</v>
      </c>
      <c r="AI1200" t="s">
        <v>434</v>
      </c>
      <c r="AJ1200" t="s">
        <v>809</v>
      </c>
      <c r="AK1200" t="str">
        <f>"SUITE 500"</f>
        <v>SUITE 500</v>
      </c>
      <c r="AL1200" t="s">
        <v>433</v>
      </c>
      <c r="AM1200" t="s">
        <v>176</v>
      </c>
      <c r="AN1200" s="3">
        <v>98121</v>
      </c>
      <c r="AO1200" t="s">
        <v>101</v>
      </c>
      <c r="AQ1200" t="str">
        <f>"+12062661000"</f>
        <v>+12062661000</v>
      </c>
      <c r="AS1200" t="s">
        <v>263</v>
      </c>
      <c r="AT1200" t="s">
        <v>107</v>
      </c>
      <c r="AU1200" t="str">
        <f>"CAREY"</f>
        <v>CAREY</v>
      </c>
      <c r="AV1200" t="str">
        <f>"MOLLY"</f>
        <v>MOLLY</v>
      </c>
      <c r="AW1200" t="str">
        <f>"N/A"</f>
        <v>N/A</v>
      </c>
      <c r="AX1200" t="str">
        <f>"100 HIGH STREET"</f>
        <v>100 HIGH STREET</v>
      </c>
      <c r="AY1200" t="str">
        <f>"3RD FLOOR C#5274772"</f>
        <v>3RD FLOOR C#5274772</v>
      </c>
      <c r="AZ1200" t="str">
        <f>"BOSTON"</f>
        <v>BOSTON</v>
      </c>
      <c r="BA1200" t="str">
        <f>"MA"</f>
        <v>MA</v>
      </c>
      <c r="BB1200" s="3">
        <v>2110</v>
      </c>
      <c r="BC1200" t="str">
        <f t="shared" si="94"/>
        <v>UNITED STATES OF AMERICA</v>
      </c>
      <c r="BD1200" t="str">
        <f>""</f>
        <v/>
      </c>
      <c r="BE1200" t="str">
        <f>"+16175740400"</f>
        <v>+16175740400</v>
      </c>
      <c r="BF1200" t="str">
        <f>""</f>
        <v/>
      </c>
      <c r="BG1200" t="str">
        <f>"AMAZONH1BCAP@FRAGOMEN.COM"</f>
        <v>AMAZONH1BCAP@FRAGOMEN.COM</v>
      </c>
      <c r="BH1200" t="str">
        <f>"FRAGOMEN, DEL REY, BERNSEN &amp; LOEWY, LLP"</f>
        <v>FRAGOMEN, DEL REY, BERNSEN &amp; LOEWY, LLP</v>
      </c>
      <c r="BI1200" t="str">
        <f>"MA"</f>
        <v>MA</v>
      </c>
      <c r="BJ1200" t="str">
        <f>"SUPREME JUDICIAL COURT"</f>
        <v>SUPREME JUDICIAL COURT</v>
      </c>
      <c r="BK1200">
        <v>1</v>
      </c>
      <c r="BL1200" t="s">
        <v>102</v>
      </c>
      <c r="BM1200" t="str">
        <f>""</f>
        <v/>
      </c>
      <c r="BN1200" t="s">
        <v>1130</v>
      </c>
      <c r="BP1200" t="s">
        <v>484</v>
      </c>
      <c r="BQ1200" t="s">
        <v>484</v>
      </c>
      <c r="BR1200" t="s">
        <v>114</v>
      </c>
      <c r="BS1200" s="5">
        <v>75240</v>
      </c>
      <c r="BT1200" s="2">
        <v>80900</v>
      </c>
      <c r="BV1200" t="s">
        <v>105</v>
      </c>
      <c r="BW1200" s="2">
        <v>63752</v>
      </c>
      <c r="BX1200" t="s">
        <v>105</v>
      </c>
      <c r="BZ1200" t="s">
        <v>191</v>
      </c>
      <c r="CA1200" t="str">
        <f t="shared" si="95"/>
        <v>7/1/2020 - 6/30/2021</v>
      </c>
      <c r="CF1200">
        <v>1</v>
      </c>
      <c r="CG1200" t="s">
        <v>98</v>
      </c>
      <c r="CH1200" t="s">
        <v>206</v>
      </c>
      <c r="CI1200" t="s">
        <v>206</v>
      </c>
      <c r="CL1200" t="s">
        <v>108</v>
      </c>
      <c r="CM1200" t="s">
        <v>109</v>
      </c>
      <c r="CN1200" t="str">
        <f>"RAMACHANDRAN"</f>
        <v>RAMACHANDRAN</v>
      </c>
      <c r="CO1200" t="str">
        <f>"ANU"</f>
        <v>ANU</v>
      </c>
      <c r="CP1200" t="str">
        <f>"N/A"</f>
        <v>N/A</v>
      </c>
      <c r="CQ1200" t="str">
        <f>"FRAGOMEN, DEL REY, BERNSEN &amp; LOEWY, LLP"</f>
        <v>FRAGOMEN, DEL REY, BERNSEN &amp; LOEWY, LLP</v>
      </c>
      <c r="CR1200" t="s">
        <v>3176</v>
      </c>
    </row>
    <row r="1201" spans="1:96" x14ac:dyDescent="0.2">
      <c r="A1201" t="s">
        <v>11717</v>
      </c>
      <c r="B1201" t="s">
        <v>96</v>
      </c>
      <c r="C1201" s="1">
        <v>44098</v>
      </c>
      <c r="D1201" s="1">
        <v>44105</v>
      </c>
      <c r="F1201" t="s">
        <v>97</v>
      </c>
      <c r="G1201" t="str">
        <f>"Environmental Specialist"</f>
        <v>Environmental Specialist</v>
      </c>
      <c r="H1201" t="s">
        <v>12228</v>
      </c>
      <c r="I1201" t="s">
        <v>2380</v>
      </c>
      <c r="J1201" t="s">
        <v>98</v>
      </c>
      <c r="K1201" s="1">
        <v>44105</v>
      </c>
      <c r="L1201" s="1">
        <v>45199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11718</v>
      </c>
      <c r="U1201" t="str">
        <f>""</f>
        <v/>
      </c>
      <c r="V1201" t="s">
        <v>11719</v>
      </c>
      <c r="W1201" t="str">
        <f>"Annex Building"</f>
        <v>Annex Building</v>
      </c>
      <c r="X1201" t="s">
        <v>2192</v>
      </c>
      <c r="Y1201" t="s">
        <v>141</v>
      </c>
      <c r="Z1201" s="3">
        <v>90807</v>
      </c>
      <c r="AA1201" t="s">
        <v>101</v>
      </c>
      <c r="AC1201" s="4" t="str">
        <f>"+19544952112"</f>
        <v>+19544952112</v>
      </c>
      <c r="AE1201" t="str">
        <f>"54133"</f>
        <v>54133</v>
      </c>
      <c r="AF1201" t="s">
        <v>200</v>
      </c>
      <c r="AG1201" t="s">
        <v>942</v>
      </c>
      <c r="AI1201" t="s">
        <v>2384</v>
      </c>
      <c r="AJ1201" t="s">
        <v>11720</v>
      </c>
      <c r="AK1201" t="str">
        <f>""</f>
        <v/>
      </c>
      <c r="AL1201" t="s">
        <v>3016</v>
      </c>
      <c r="AM1201" t="s">
        <v>1644</v>
      </c>
      <c r="AN1201" s="3">
        <v>89118</v>
      </c>
      <c r="AO1201" t="s">
        <v>101</v>
      </c>
      <c r="AQ1201" t="str">
        <f>"+17252667349"</f>
        <v>+17252667349</v>
      </c>
      <c r="AS1201" t="s">
        <v>11721</v>
      </c>
      <c r="AT1201" t="s">
        <v>107</v>
      </c>
      <c r="AU1201" t="str">
        <f>"Petriccione"</f>
        <v>Petriccione</v>
      </c>
      <c r="AV1201" t="str">
        <f>"Thomas"</f>
        <v>Thomas</v>
      </c>
      <c r="AW1201" t="str">
        <f>"Louis"</f>
        <v>Louis</v>
      </c>
      <c r="AX1201" t="str">
        <f>"44 South Broadway"</f>
        <v>44 South Broadway</v>
      </c>
      <c r="AY1201" t="str">
        <f>"14th Floor"</f>
        <v>14th Floor</v>
      </c>
      <c r="AZ1201" t="str">
        <f>"White Plains"</f>
        <v>White Plains</v>
      </c>
      <c r="BA1201" t="str">
        <f>"NY"</f>
        <v>NY</v>
      </c>
      <c r="BB1201" s="3">
        <v>10601</v>
      </c>
      <c r="BC1201" t="str">
        <f t="shared" si="94"/>
        <v>UNITED STATES OF AMERICA</v>
      </c>
      <c r="BD1201" t="str">
        <f>""</f>
        <v/>
      </c>
      <c r="BE1201" t="str">
        <f>"+19148726927"</f>
        <v>+19148726927</v>
      </c>
      <c r="BF1201" t="str">
        <f>""</f>
        <v/>
      </c>
      <c r="BG1201" t="str">
        <f>"thomas.petriccione@jacksonlewis.com"</f>
        <v>thomas.petriccione@jacksonlewis.com</v>
      </c>
      <c r="BH1201" t="str">
        <f>"Jackson Lewis P.C."</f>
        <v>Jackson Lewis P.C.</v>
      </c>
      <c r="BI1201" t="str">
        <f>"NY"</f>
        <v>NY</v>
      </c>
      <c r="BJ1201" t="str">
        <f>"Supreme Court"</f>
        <v>Supreme Court</v>
      </c>
      <c r="BK1201">
        <v>1</v>
      </c>
      <c r="BL1201" t="s">
        <v>102</v>
      </c>
      <c r="BM1201" t="str">
        <f>""</f>
        <v/>
      </c>
      <c r="BN1201" t="s">
        <v>11719</v>
      </c>
      <c r="BO1201" t="s">
        <v>11722</v>
      </c>
      <c r="BP1201" t="s">
        <v>2192</v>
      </c>
      <c r="BQ1201" t="s">
        <v>365</v>
      </c>
      <c r="BR1201" t="s">
        <v>141</v>
      </c>
      <c r="BS1201" s="5">
        <v>90807</v>
      </c>
      <c r="BT1201" s="2">
        <v>63544</v>
      </c>
      <c r="BV1201" t="s">
        <v>105</v>
      </c>
      <c r="BW1201" s="2">
        <v>63544</v>
      </c>
      <c r="BX1201" t="s">
        <v>105</v>
      </c>
      <c r="BZ1201" t="s">
        <v>191</v>
      </c>
      <c r="CA1201" t="str">
        <f t="shared" si="95"/>
        <v>7/1/2020 - 6/30/2021</v>
      </c>
      <c r="CF1201">
        <v>1</v>
      </c>
      <c r="CG1201" t="s">
        <v>98</v>
      </c>
      <c r="CH1201" t="s">
        <v>206</v>
      </c>
      <c r="CI1201" t="s">
        <v>206</v>
      </c>
      <c r="CL1201" t="s">
        <v>108</v>
      </c>
      <c r="CM1201" t="s">
        <v>353</v>
      </c>
      <c r="CN1201" t="str">
        <f>""</f>
        <v/>
      </c>
      <c r="CO1201" t="str">
        <f>""</f>
        <v/>
      </c>
      <c r="CP1201" t="str">
        <f>""</f>
        <v/>
      </c>
      <c r="CQ1201" t="str">
        <f>""</f>
        <v/>
      </c>
    </row>
    <row r="1202" spans="1:96" x14ac:dyDescent="0.2">
      <c r="A1202" t="s">
        <v>11723</v>
      </c>
      <c r="B1202" t="s">
        <v>96</v>
      </c>
      <c r="C1202" s="1">
        <v>44098</v>
      </c>
      <c r="D1202" s="1">
        <v>44105</v>
      </c>
      <c r="F1202" t="s">
        <v>97</v>
      </c>
      <c r="G1202" t="str">
        <f>"Professional Application Engineer "</f>
        <v xml:space="preserve">Professional Application Engineer </v>
      </c>
      <c r="H1202" t="s">
        <v>12168</v>
      </c>
      <c r="I1202" t="s">
        <v>160</v>
      </c>
      <c r="J1202" t="s">
        <v>98</v>
      </c>
      <c r="K1202" s="1">
        <v>44109</v>
      </c>
      <c r="L1202" s="1">
        <v>45203</v>
      </c>
      <c r="M1202">
        <v>24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 t="s">
        <v>6328</v>
      </c>
      <c r="U1202" t="str">
        <f>""</f>
        <v/>
      </c>
      <c r="V1202" t="s">
        <v>924</v>
      </c>
      <c r="W1202" t="str">
        <f>"Floor 9"</f>
        <v>Floor 9</v>
      </c>
      <c r="X1202" t="s">
        <v>925</v>
      </c>
      <c r="Y1202" t="s">
        <v>135</v>
      </c>
      <c r="Z1202" s="3">
        <v>22102</v>
      </c>
      <c r="AA1202" t="s">
        <v>101</v>
      </c>
      <c r="AC1202" s="4" t="str">
        <f>"+14698083070"</f>
        <v>+14698083070</v>
      </c>
      <c r="AE1202" t="str">
        <f>"541511"</f>
        <v>541511</v>
      </c>
      <c r="AF1202" t="s">
        <v>926</v>
      </c>
      <c r="AG1202" t="s">
        <v>927</v>
      </c>
      <c r="AI1202" t="s">
        <v>928</v>
      </c>
      <c r="AJ1202" t="s">
        <v>929</v>
      </c>
      <c r="AK1202" t="str">
        <f>"3rd floor"</f>
        <v>3rd floor</v>
      </c>
      <c r="AL1202" t="s">
        <v>761</v>
      </c>
      <c r="AM1202" t="s">
        <v>114</v>
      </c>
      <c r="AN1202" s="3">
        <v>75080</v>
      </c>
      <c r="AO1202" t="s">
        <v>101</v>
      </c>
      <c r="AQ1202" t="str">
        <f>"+14698083070"</f>
        <v>+14698083070</v>
      </c>
      <c r="AS1202" t="s">
        <v>930</v>
      </c>
      <c r="AT1202" t="s">
        <v>107</v>
      </c>
      <c r="AU1202" t="str">
        <f>"Anstey "</f>
        <v xml:space="preserve">Anstey </v>
      </c>
      <c r="AV1202" t="str">
        <f>"Sarah"</f>
        <v>Sarah</v>
      </c>
      <c r="AW1202" t="str">
        <f>""</f>
        <v/>
      </c>
      <c r="AX1202" t="str">
        <f>"2121 Tasman Drive"</f>
        <v>2121 Tasman Drive</v>
      </c>
      <c r="AY1202" t="str">
        <f>""</f>
        <v/>
      </c>
      <c r="AZ1202" t="str">
        <f>"Santa Clara"</f>
        <v>Santa Clara</v>
      </c>
      <c r="BA1202" t="str">
        <f>"CA"</f>
        <v>CA</v>
      </c>
      <c r="BB1202" s="3">
        <v>95054</v>
      </c>
      <c r="BC1202" t="str">
        <f t="shared" si="94"/>
        <v>UNITED STATES OF AMERICA</v>
      </c>
      <c r="BD1202" t="str">
        <f>""</f>
        <v/>
      </c>
      <c r="BE1202" t="str">
        <f>"+14089190600"</f>
        <v>+14089190600</v>
      </c>
      <c r="BF1202" t="str">
        <f>""</f>
        <v/>
      </c>
      <c r="BG1202" t="str">
        <f>"DXCTechnology@fragomen.com"</f>
        <v>DXCTechnology@fragomen.com</v>
      </c>
      <c r="BH1202" t="str">
        <f>"Fragomen, Del Rey, Bernsen &amp; Loewy, LLP"</f>
        <v>Fragomen, Del Rey, Bernsen &amp; Loewy, LLP</v>
      </c>
      <c r="BI1202" t="str">
        <f>"NY"</f>
        <v>NY</v>
      </c>
      <c r="BJ1202" t="str">
        <f>"Appellate Division, First Department"</f>
        <v>Appellate Division, First Department</v>
      </c>
      <c r="BK1202">
        <v>24</v>
      </c>
      <c r="BL1202" t="s">
        <v>107</v>
      </c>
      <c r="BM1202" t="str">
        <f>"Liberty Mutual Insurance "</f>
        <v xml:space="preserve">Liberty Mutual Insurance </v>
      </c>
      <c r="BN1202" t="s">
        <v>11724</v>
      </c>
      <c r="BP1202" t="s">
        <v>11725</v>
      </c>
      <c r="BQ1202" t="s">
        <v>3909</v>
      </c>
      <c r="BR1202" t="s">
        <v>1035</v>
      </c>
      <c r="BS1202" s="5">
        <v>3820</v>
      </c>
      <c r="BT1202" s="2">
        <v>75474</v>
      </c>
      <c r="BV1202" t="s">
        <v>105</v>
      </c>
      <c r="BW1202" s="2">
        <v>75046</v>
      </c>
      <c r="BX1202" t="s">
        <v>105</v>
      </c>
      <c r="BZ1202" t="s">
        <v>167</v>
      </c>
      <c r="CA1202" t="str">
        <f t="shared" si="95"/>
        <v>7/1/2020 - 6/30/2021</v>
      </c>
      <c r="CF1202">
        <v>1</v>
      </c>
      <c r="CG1202" t="s">
        <v>98</v>
      </c>
      <c r="CH1202" t="s">
        <v>206</v>
      </c>
      <c r="CI1202" t="s">
        <v>206</v>
      </c>
      <c r="CL1202" t="s">
        <v>108</v>
      </c>
      <c r="CM1202" t="s">
        <v>109</v>
      </c>
      <c r="CN1202" t="str">
        <f>"Halimi"</f>
        <v>Halimi</v>
      </c>
      <c r="CO1202" t="str">
        <f>"Madeha"</f>
        <v>Madeha</v>
      </c>
      <c r="CP1202" t="str">
        <f>""</f>
        <v/>
      </c>
      <c r="CQ1202" t="str">
        <f>"Fragomen, Del Rey, Bernsen &amp; Loewy, LLP"</f>
        <v>Fragomen, Del Rey, Bernsen &amp; Loewy, LLP</v>
      </c>
      <c r="CR1202" t="s">
        <v>4814</v>
      </c>
    </row>
    <row r="1203" spans="1:96" x14ac:dyDescent="0.2">
      <c r="A1203" t="s">
        <v>11727</v>
      </c>
      <c r="B1203" t="s">
        <v>96</v>
      </c>
      <c r="C1203" s="1">
        <v>44098</v>
      </c>
      <c r="D1203" s="1">
        <v>44105</v>
      </c>
      <c r="F1203" t="s">
        <v>97</v>
      </c>
      <c r="G1203" t="str">
        <f>"Supplier Quality Engineer "</f>
        <v xml:space="preserve">Supplier Quality Engineer </v>
      </c>
      <c r="H1203" t="s">
        <v>12217</v>
      </c>
      <c r="I1203" t="s">
        <v>778</v>
      </c>
      <c r="J1203" t="s">
        <v>98</v>
      </c>
      <c r="K1203" s="1">
        <v>44116</v>
      </c>
      <c r="L1203" s="1">
        <v>45211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11728</v>
      </c>
      <c r="U1203" t="str">
        <f>""</f>
        <v/>
      </c>
      <c r="V1203" t="s">
        <v>11729</v>
      </c>
      <c r="W1203" t="str">
        <f>"Suite 302 "</f>
        <v xml:space="preserve">Suite 302 </v>
      </c>
      <c r="X1203" t="s">
        <v>4454</v>
      </c>
      <c r="Y1203" t="s">
        <v>100</v>
      </c>
      <c r="Z1203" s="3">
        <v>8540</v>
      </c>
      <c r="AA1203" t="s">
        <v>101</v>
      </c>
      <c r="AC1203" s="4" t="str">
        <f>"+19737958389"</f>
        <v>+19737958389</v>
      </c>
      <c r="AE1203" t="str">
        <f>"541511"</f>
        <v>541511</v>
      </c>
      <c r="AF1203" t="s">
        <v>11730</v>
      </c>
      <c r="AG1203" t="s">
        <v>10563</v>
      </c>
      <c r="AI1203" t="s">
        <v>1342</v>
      </c>
      <c r="AJ1203" t="s">
        <v>6080</v>
      </c>
      <c r="AK1203" t="str">
        <f>"Suite 302 "</f>
        <v xml:space="preserve">Suite 302 </v>
      </c>
      <c r="AL1203" t="s">
        <v>4454</v>
      </c>
      <c r="AM1203" t="s">
        <v>100</v>
      </c>
      <c r="AN1203" s="3">
        <v>8540</v>
      </c>
      <c r="AO1203" t="s">
        <v>101</v>
      </c>
      <c r="AQ1203" t="str">
        <f>"+19737958389"</f>
        <v>+19737958389</v>
      </c>
      <c r="AS1203" t="s">
        <v>11731</v>
      </c>
      <c r="AT1203" t="s">
        <v>107</v>
      </c>
      <c r="AU1203" t="str">
        <f>"PEERALLY"</f>
        <v>PEERALLY</v>
      </c>
      <c r="AV1203" t="str">
        <f>"SHAH IQBAL"</f>
        <v>SHAH IQBAL</v>
      </c>
      <c r="AW1203" t="str">
        <f>"NAWAZ"</f>
        <v>NAWAZ</v>
      </c>
      <c r="AX1203" t="str">
        <f>"37600 CENTRAL COURT"</f>
        <v>37600 CENTRAL COURT</v>
      </c>
      <c r="AY1203" t="str">
        <f>"STE 202"</f>
        <v>STE 202</v>
      </c>
      <c r="AZ1203" t="str">
        <f>"NEWARK"</f>
        <v>NEWARK</v>
      </c>
      <c r="BA1203" t="str">
        <f>"CA"</f>
        <v>CA</v>
      </c>
      <c r="BB1203" s="3">
        <v>94560</v>
      </c>
      <c r="BC1203" t="str">
        <f t="shared" si="94"/>
        <v>UNITED STATES OF AMERICA</v>
      </c>
      <c r="BD1203" t="str">
        <f>""</f>
        <v/>
      </c>
      <c r="BE1203" t="str">
        <f>"+15107425887"</f>
        <v>+15107425887</v>
      </c>
      <c r="BF1203" t="str">
        <f>""</f>
        <v/>
      </c>
      <c r="BG1203" t="str">
        <f>"ashna@peerallylaw.com"</f>
        <v>ashna@peerallylaw.com</v>
      </c>
      <c r="BH1203" t="str">
        <f>"SHAH PEERALLY LAW GROUP PC "</f>
        <v xml:space="preserve">SHAH PEERALLY LAW GROUP PC </v>
      </c>
      <c r="BI1203" t="str">
        <f>"CA"</f>
        <v>CA</v>
      </c>
      <c r="BJ1203" t="str">
        <f>"SUPREME COURT "</f>
        <v xml:space="preserve">SUPREME COURT </v>
      </c>
      <c r="BK1203">
        <v>1</v>
      </c>
      <c r="BL1203" t="s">
        <v>107</v>
      </c>
      <c r="BM1203" t="str">
        <f>"Laborie Medical"</f>
        <v>Laborie Medical</v>
      </c>
      <c r="BN1203" t="s">
        <v>11732</v>
      </c>
      <c r="BP1203" t="s">
        <v>11733</v>
      </c>
      <c r="BQ1203" t="s">
        <v>1095</v>
      </c>
      <c r="BR1203" t="s">
        <v>169</v>
      </c>
      <c r="BS1203" s="5">
        <v>84123</v>
      </c>
      <c r="BT1203" s="2">
        <v>86500</v>
      </c>
      <c r="BV1203" t="s">
        <v>105</v>
      </c>
      <c r="BW1203" s="2">
        <v>86258</v>
      </c>
      <c r="BX1203" t="s">
        <v>105</v>
      </c>
      <c r="BZ1203" t="s">
        <v>123</v>
      </c>
      <c r="CA1203" t="str">
        <f t="shared" si="95"/>
        <v>7/1/2020 - 6/30/2021</v>
      </c>
      <c r="CF1203">
        <v>2</v>
      </c>
      <c r="CG1203" t="s">
        <v>98</v>
      </c>
      <c r="CH1203" t="s">
        <v>206</v>
      </c>
      <c r="CI1203" t="s">
        <v>206</v>
      </c>
      <c r="CL1203" t="s">
        <v>108</v>
      </c>
      <c r="CM1203" t="s">
        <v>109</v>
      </c>
      <c r="CN1203" t="str">
        <f>""</f>
        <v/>
      </c>
      <c r="CO1203" t="str">
        <f>""</f>
        <v/>
      </c>
      <c r="CP1203" t="str">
        <f>""</f>
        <v/>
      </c>
      <c r="CQ1203" t="str">
        <f>""</f>
        <v/>
      </c>
    </row>
    <row r="1204" spans="1:96" x14ac:dyDescent="0.2">
      <c r="A1204" t="s">
        <v>11736</v>
      </c>
      <c r="B1204" t="s">
        <v>96</v>
      </c>
      <c r="C1204" s="1">
        <v>44098</v>
      </c>
      <c r="D1204" s="1">
        <v>44105</v>
      </c>
      <c r="F1204" t="s">
        <v>97</v>
      </c>
      <c r="G1204" t="str">
        <f>"Relationship Manager"</f>
        <v>Relationship Manager</v>
      </c>
      <c r="H1204" t="s">
        <v>12210</v>
      </c>
      <c r="I1204" t="s">
        <v>5551</v>
      </c>
      <c r="J1204" t="s">
        <v>98</v>
      </c>
      <c r="K1204" s="1">
        <v>44105</v>
      </c>
      <c r="L1204" s="1">
        <v>45199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11737</v>
      </c>
      <c r="U1204" t="str">
        <f>""</f>
        <v/>
      </c>
      <c r="V1204" t="s">
        <v>3384</v>
      </c>
      <c r="W1204" t="str">
        <f>""</f>
        <v/>
      </c>
      <c r="X1204" t="s">
        <v>277</v>
      </c>
      <c r="Y1204" t="s">
        <v>190</v>
      </c>
      <c r="Z1204" s="3">
        <v>10036</v>
      </c>
      <c r="AA1204" t="s">
        <v>101</v>
      </c>
      <c r="AC1204" s="4" t="str">
        <f>"+12127614000"</f>
        <v>+12127614000</v>
      </c>
      <c r="AE1204" t="str">
        <f>"523110"</f>
        <v>523110</v>
      </c>
      <c r="AF1204" t="s">
        <v>3511</v>
      </c>
      <c r="AG1204" t="s">
        <v>3512</v>
      </c>
      <c r="AI1204" t="s">
        <v>201</v>
      </c>
      <c r="AJ1204" t="s">
        <v>3384</v>
      </c>
      <c r="AK1204" t="str">
        <f>""</f>
        <v/>
      </c>
      <c r="AL1204" t="s">
        <v>277</v>
      </c>
      <c r="AM1204" t="s">
        <v>190</v>
      </c>
      <c r="AN1204" s="3">
        <v>10036</v>
      </c>
      <c r="AO1204" t="s">
        <v>101</v>
      </c>
      <c r="AQ1204" t="str">
        <f>"+12127619306"</f>
        <v>+12127619306</v>
      </c>
      <c r="AS1204" t="s">
        <v>108</v>
      </c>
      <c r="AT1204" t="s">
        <v>107</v>
      </c>
      <c r="AU1204" t="str">
        <f>"MacIlwaine"</f>
        <v>MacIlwaine</v>
      </c>
      <c r="AV1204" t="str">
        <f>"Katherine"</f>
        <v>Katherine</v>
      </c>
      <c r="AW1204" t="str">
        <f>"C"</f>
        <v>C</v>
      </c>
      <c r="AX1204" t="str">
        <f>"PO Box 31608"</f>
        <v>PO Box 31608</v>
      </c>
      <c r="AY1204" t="str">
        <f>""</f>
        <v/>
      </c>
      <c r="AZ1204" t="str">
        <f>"Raleigh"</f>
        <v>Raleigh</v>
      </c>
      <c r="BA1204" t="str">
        <f>"NC"</f>
        <v>NC</v>
      </c>
      <c r="BB1204" s="3">
        <v>27622</v>
      </c>
      <c r="BC1204" t="str">
        <f t="shared" si="94"/>
        <v>UNITED STATES OF AMERICA</v>
      </c>
      <c r="BD1204" t="str">
        <f>""</f>
        <v/>
      </c>
      <c r="BE1204" t="str">
        <f>"+12124922500"</f>
        <v>+12124922500</v>
      </c>
      <c r="BF1204" t="str">
        <f>""</f>
        <v/>
      </c>
      <c r="BG1204" t="str">
        <f>"eunice.kim@ogletree.com"</f>
        <v>eunice.kim@ogletree.com</v>
      </c>
      <c r="BH1204" t="str">
        <f>"Ogletree, Deakins, Nash, Smoak &amp; Stewart, P.C."</f>
        <v>Ogletree, Deakins, Nash, Smoak &amp; Stewart, P.C.</v>
      </c>
      <c r="BI1204" t="str">
        <f>"NY"</f>
        <v>NY</v>
      </c>
      <c r="BJ1204" t="str">
        <f>"NY Court of Appeals"</f>
        <v>NY Court of Appeals</v>
      </c>
      <c r="BK1204">
        <v>1</v>
      </c>
      <c r="BL1204" t="s">
        <v>102</v>
      </c>
      <c r="BM1204" t="str">
        <f>""</f>
        <v/>
      </c>
      <c r="BN1204" t="s">
        <v>1523</v>
      </c>
      <c r="BP1204" t="s">
        <v>140</v>
      </c>
      <c r="BQ1204" t="s">
        <v>147</v>
      </c>
      <c r="BR1204" t="s">
        <v>141</v>
      </c>
      <c r="BS1204" s="5">
        <v>94105</v>
      </c>
      <c r="BT1204" s="2">
        <v>87720</v>
      </c>
      <c r="BV1204" t="s">
        <v>105</v>
      </c>
      <c r="BW1204" s="2">
        <v>78532</v>
      </c>
      <c r="BX1204" t="s">
        <v>105</v>
      </c>
      <c r="CA1204" t="str">
        <f>""</f>
        <v/>
      </c>
      <c r="CB1204" t="s">
        <v>244</v>
      </c>
      <c r="CC1204">
        <v>2020</v>
      </c>
      <c r="CD1204" t="s">
        <v>1165</v>
      </c>
      <c r="CE1204" t="s">
        <v>355</v>
      </c>
      <c r="CF1204">
        <v>2</v>
      </c>
      <c r="CG1204" t="s">
        <v>98</v>
      </c>
      <c r="CH1204" t="s">
        <v>206</v>
      </c>
      <c r="CI1204" t="s">
        <v>206</v>
      </c>
      <c r="CL1204" t="s">
        <v>108</v>
      </c>
      <c r="CM1204" t="s">
        <v>109</v>
      </c>
      <c r="CN1204" t="str">
        <f>""</f>
        <v/>
      </c>
      <c r="CO1204" t="str">
        <f>""</f>
        <v/>
      </c>
      <c r="CP1204" t="str">
        <f>""</f>
        <v/>
      </c>
      <c r="CQ1204" t="str">
        <f>""</f>
        <v/>
      </c>
    </row>
    <row r="1205" spans="1:96" x14ac:dyDescent="0.2">
      <c r="A1205" t="s">
        <v>11738</v>
      </c>
      <c r="B1205" t="s">
        <v>96</v>
      </c>
      <c r="C1205" s="1">
        <v>44098</v>
      </c>
      <c r="D1205" s="1">
        <v>44105</v>
      </c>
      <c r="F1205" t="s">
        <v>97</v>
      </c>
      <c r="G1205" t="str">
        <f>"Research Fellow"</f>
        <v>Research Fellow</v>
      </c>
      <c r="H1205" t="s">
        <v>12170</v>
      </c>
      <c r="I1205" t="s">
        <v>685</v>
      </c>
      <c r="J1205" t="s">
        <v>98</v>
      </c>
      <c r="K1205" s="1">
        <v>44213</v>
      </c>
      <c r="L1205" s="1">
        <v>44942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8156</v>
      </c>
      <c r="U1205" t="str">
        <f>""</f>
        <v/>
      </c>
      <c r="V1205" t="s">
        <v>5905</v>
      </c>
      <c r="W1205" t="str">
        <f>"31 Center Drive MSC 2028"</f>
        <v>31 Center Drive MSC 2028</v>
      </c>
      <c r="X1205" t="s">
        <v>2307</v>
      </c>
      <c r="Y1205" t="s">
        <v>195</v>
      </c>
      <c r="Z1205" s="3">
        <v>20892</v>
      </c>
      <c r="AA1205" t="s">
        <v>101</v>
      </c>
      <c r="AC1205" s="4" t="str">
        <f>"+13014966166"</f>
        <v>+13014966166</v>
      </c>
      <c r="AE1205" t="str">
        <f>"54171"</f>
        <v>54171</v>
      </c>
      <c r="AF1205" t="s">
        <v>407</v>
      </c>
      <c r="AG1205" t="s">
        <v>2306</v>
      </c>
      <c r="AI1205" t="s">
        <v>221</v>
      </c>
      <c r="AJ1205" t="s">
        <v>5905</v>
      </c>
      <c r="AK1205" t="str">
        <f>"31 Center Drive MSC 2028"</f>
        <v>31 Center Drive MSC 2028</v>
      </c>
      <c r="AL1205" t="s">
        <v>2307</v>
      </c>
      <c r="AM1205" t="s">
        <v>195</v>
      </c>
      <c r="AN1205" s="3">
        <v>20892</v>
      </c>
      <c r="AO1205" t="s">
        <v>101</v>
      </c>
      <c r="AQ1205" t="str">
        <f>"+13014966166"</f>
        <v>+13014966166</v>
      </c>
      <c r="AS1205" t="s">
        <v>4626</v>
      </c>
      <c r="AT1205" t="s">
        <v>102</v>
      </c>
      <c r="AU1205" t="str">
        <f>""</f>
        <v/>
      </c>
      <c r="AV1205" t="str">
        <f>""</f>
        <v/>
      </c>
      <c r="AW1205" t="str">
        <f>""</f>
        <v/>
      </c>
      <c r="AX1205" t="str">
        <f>""</f>
        <v/>
      </c>
      <c r="AY1205" t="str">
        <f>""</f>
        <v/>
      </c>
      <c r="AZ1205" t="str">
        <f>""</f>
        <v/>
      </c>
      <c r="BA1205" t="str">
        <f>""</f>
        <v/>
      </c>
      <c r="BC1205" t="str">
        <f>""</f>
        <v/>
      </c>
      <c r="BD1205" t="str">
        <f>""</f>
        <v/>
      </c>
      <c r="BE1205" t="str">
        <f>""</f>
        <v/>
      </c>
      <c r="BF1205" t="str">
        <f>""</f>
        <v/>
      </c>
      <c r="BG1205" t="str">
        <f>""</f>
        <v/>
      </c>
      <c r="BH1205" t="str">
        <f>""</f>
        <v/>
      </c>
      <c r="BI1205" t="str">
        <f>""</f>
        <v/>
      </c>
      <c r="BJ1205" t="str">
        <f>""</f>
        <v/>
      </c>
      <c r="BK1205">
        <v>1</v>
      </c>
      <c r="BL1205" t="s">
        <v>102</v>
      </c>
      <c r="BM1205" t="str">
        <f>""</f>
        <v/>
      </c>
      <c r="BN1205" t="s">
        <v>11739</v>
      </c>
      <c r="BP1205" t="s">
        <v>381</v>
      </c>
      <c r="BQ1205" t="s">
        <v>529</v>
      </c>
      <c r="BR1205" t="s">
        <v>195</v>
      </c>
      <c r="BS1205" s="5">
        <v>20850</v>
      </c>
      <c r="BT1205" s="2">
        <v>81000</v>
      </c>
      <c r="BV1205" t="s">
        <v>105</v>
      </c>
      <c r="BW1205" s="2">
        <v>43514</v>
      </c>
      <c r="BX1205" t="s">
        <v>105</v>
      </c>
      <c r="BZ1205" t="s">
        <v>191</v>
      </c>
      <c r="CA1205" t="str">
        <f>"7/1/2020 - 6/30/2021"</f>
        <v>7/1/2020 - 6/30/2021</v>
      </c>
      <c r="CF1205">
        <v>2</v>
      </c>
      <c r="CG1205" t="s">
        <v>98</v>
      </c>
      <c r="CH1205" t="s">
        <v>206</v>
      </c>
      <c r="CI1205" t="s">
        <v>206</v>
      </c>
      <c r="CL1205" t="s">
        <v>108</v>
      </c>
      <c r="CM1205" t="s">
        <v>109</v>
      </c>
      <c r="CN1205" t="str">
        <f>""</f>
        <v/>
      </c>
      <c r="CO1205" t="str">
        <f>""</f>
        <v/>
      </c>
      <c r="CP1205" t="str">
        <f>""</f>
        <v/>
      </c>
      <c r="CQ1205" t="str">
        <f>""</f>
        <v/>
      </c>
    </row>
    <row r="1206" spans="1:96" x14ac:dyDescent="0.2">
      <c r="A1206" t="s">
        <v>11742</v>
      </c>
      <c r="B1206" t="s">
        <v>96</v>
      </c>
      <c r="C1206" s="1">
        <v>44098</v>
      </c>
      <c r="D1206" s="1">
        <v>44105</v>
      </c>
      <c r="F1206" t="s">
        <v>97</v>
      </c>
      <c r="G1206" t="str">
        <f>"SAP Process integration Engineer"</f>
        <v>SAP Process integration Engineer</v>
      </c>
      <c r="H1206" t="s">
        <v>12169</v>
      </c>
      <c r="I1206" t="s">
        <v>124</v>
      </c>
      <c r="J1206" t="s">
        <v>98</v>
      </c>
      <c r="K1206" s="1">
        <v>44098</v>
      </c>
      <c r="L1206" s="1">
        <v>45192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 t="s">
        <v>10293</v>
      </c>
      <c r="U1206" t="str">
        <f>""</f>
        <v/>
      </c>
      <c r="V1206" t="s">
        <v>10294</v>
      </c>
      <c r="W1206" t="str">
        <f>"Suite 100"</f>
        <v>Suite 100</v>
      </c>
      <c r="X1206" t="s">
        <v>555</v>
      </c>
      <c r="Y1206" t="s">
        <v>114</v>
      </c>
      <c r="Z1206" s="3">
        <v>75034</v>
      </c>
      <c r="AA1206" t="s">
        <v>101</v>
      </c>
      <c r="AC1206" s="4" t="str">
        <f>"+16303330770"</f>
        <v>+16303330770</v>
      </c>
      <c r="AE1206" t="str">
        <f>"541511"</f>
        <v>541511</v>
      </c>
      <c r="AF1206" t="s">
        <v>3830</v>
      </c>
      <c r="AG1206" t="s">
        <v>10295</v>
      </c>
      <c r="AI1206" t="s">
        <v>596</v>
      </c>
      <c r="AJ1206" t="s">
        <v>10294</v>
      </c>
      <c r="AK1206" t="str">
        <f>"Suite 100"</f>
        <v>Suite 100</v>
      </c>
      <c r="AL1206" t="s">
        <v>555</v>
      </c>
      <c r="AM1206" t="s">
        <v>114</v>
      </c>
      <c r="AN1206" s="3">
        <v>75034</v>
      </c>
      <c r="AO1206" t="s">
        <v>101</v>
      </c>
      <c r="AQ1206" t="str">
        <f>"+16303330770"</f>
        <v>+16303330770</v>
      </c>
      <c r="AS1206" t="s">
        <v>10296</v>
      </c>
      <c r="AT1206" t="s">
        <v>107</v>
      </c>
      <c r="AU1206" t="str">
        <f>"Funke"</f>
        <v>Funke</v>
      </c>
      <c r="AV1206" t="str">
        <f>"Julia"</f>
        <v>Julia</v>
      </c>
      <c r="AW1206" t="str">
        <f>""</f>
        <v/>
      </c>
      <c r="AX1206" t="str">
        <f>"802 E Woodfield Road"</f>
        <v>802 E Woodfield Road</v>
      </c>
      <c r="AY1206" t="str">
        <f>"Suite G400"</f>
        <v>Suite G400</v>
      </c>
      <c r="AZ1206" t="str">
        <f>"Schaumburg"</f>
        <v>Schaumburg</v>
      </c>
      <c r="BA1206" t="str">
        <f>"IL"</f>
        <v>IL</v>
      </c>
      <c r="BB1206" s="3">
        <v>60173</v>
      </c>
      <c r="BC1206" t="str">
        <f>"UNITED STATES OF AMERICA"</f>
        <v>UNITED STATES OF AMERICA</v>
      </c>
      <c r="BD1206" t="str">
        <f>""</f>
        <v/>
      </c>
      <c r="BE1206" t="str">
        <f>"+18479951515"</f>
        <v>+18479951515</v>
      </c>
      <c r="BF1206" t="str">
        <f>""</f>
        <v/>
      </c>
      <c r="BG1206" t="str">
        <f>"ICERT@BIZLEGALSERVICES.COM"</f>
        <v>ICERT@BIZLEGALSERVICES.COM</v>
      </c>
      <c r="BH1206" t="str">
        <f>"International Legal and Business Services Group LLP"</f>
        <v>International Legal and Business Services Group LLP</v>
      </c>
      <c r="BI1206" t="str">
        <f>"IL"</f>
        <v>IL</v>
      </c>
      <c r="BJ1206" t="str">
        <f>"Illinois Supreme Court"</f>
        <v>Illinois Supreme Court</v>
      </c>
      <c r="BK1206">
        <v>1</v>
      </c>
      <c r="BL1206" t="s">
        <v>107</v>
      </c>
      <c r="BM1206" t="str">
        <f>"Remote work location"</f>
        <v>Remote work location</v>
      </c>
      <c r="BN1206" t="s">
        <v>11743</v>
      </c>
      <c r="BP1206" t="s">
        <v>1985</v>
      </c>
      <c r="BQ1206" t="s">
        <v>788</v>
      </c>
      <c r="BR1206" t="s">
        <v>345</v>
      </c>
      <c r="BS1206" s="5">
        <v>60193</v>
      </c>
      <c r="BT1206" s="2">
        <v>87838</v>
      </c>
      <c r="BU1206" s="2">
        <v>87839</v>
      </c>
      <c r="BV1206" t="s">
        <v>105</v>
      </c>
      <c r="BW1206" s="2">
        <v>87838</v>
      </c>
      <c r="BX1206" t="s">
        <v>105</v>
      </c>
      <c r="BZ1206" t="s">
        <v>167</v>
      </c>
      <c r="CA1206" t="str">
        <f>"7/1/2020 - 6/30/2021"</f>
        <v>7/1/2020 - 6/30/2021</v>
      </c>
      <c r="CF1206">
        <v>1</v>
      </c>
      <c r="CG1206" t="s">
        <v>98</v>
      </c>
      <c r="CH1206" t="s">
        <v>206</v>
      </c>
      <c r="CI1206" t="s">
        <v>206</v>
      </c>
      <c r="CL1206" t="s">
        <v>108</v>
      </c>
      <c r="CM1206" t="s">
        <v>109</v>
      </c>
      <c r="CN1206" t="str">
        <f>""</f>
        <v/>
      </c>
      <c r="CO1206" t="str">
        <f>""</f>
        <v/>
      </c>
      <c r="CP1206" t="str">
        <f>""</f>
        <v/>
      </c>
      <c r="CQ1206" t="str">
        <f>""</f>
        <v/>
      </c>
    </row>
    <row r="1207" spans="1:96" x14ac:dyDescent="0.2">
      <c r="A1207" t="s">
        <v>11744</v>
      </c>
      <c r="B1207" t="s">
        <v>96</v>
      </c>
      <c r="C1207" s="1">
        <v>44098</v>
      </c>
      <c r="D1207" s="1">
        <v>44105</v>
      </c>
      <c r="F1207" t="s">
        <v>97</v>
      </c>
      <c r="G1207" t="str">
        <f>"Manager, Product Information Technology"</f>
        <v>Manager, Product Information Technology</v>
      </c>
      <c r="H1207" t="s">
        <v>12168</v>
      </c>
      <c r="I1207" t="s">
        <v>722</v>
      </c>
      <c r="J1207" t="s">
        <v>98</v>
      </c>
      <c r="K1207" s="1">
        <v>44102</v>
      </c>
      <c r="L1207" s="1">
        <v>45196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 t="s">
        <v>8791</v>
      </c>
      <c r="U1207" t="str">
        <f>""</f>
        <v/>
      </c>
      <c r="V1207" t="s">
        <v>8792</v>
      </c>
      <c r="W1207" t="str">
        <f>""</f>
        <v/>
      </c>
      <c r="X1207" t="s">
        <v>1775</v>
      </c>
      <c r="Y1207" t="s">
        <v>171</v>
      </c>
      <c r="Z1207" s="3">
        <v>1887</v>
      </c>
      <c r="AA1207" t="s">
        <v>101</v>
      </c>
      <c r="AC1207" s="4" t="str">
        <f>"+19782842800"</f>
        <v>+19782842800</v>
      </c>
      <c r="AE1207" t="str">
        <f>"3339"</f>
        <v>3339</v>
      </c>
      <c r="AF1207" t="s">
        <v>8793</v>
      </c>
      <c r="AG1207" t="s">
        <v>5354</v>
      </c>
      <c r="AI1207" t="s">
        <v>221</v>
      </c>
      <c r="AJ1207" t="s">
        <v>8792</v>
      </c>
      <c r="AK1207" t="str">
        <f>""</f>
        <v/>
      </c>
      <c r="AL1207" t="s">
        <v>1775</v>
      </c>
      <c r="AM1207" t="s">
        <v>171</v>
      </c>
      <c r="AN1207" s="3">
        <v>1887</v>
      </c>
      <c r="AO1207" t="s">
        <v>101</v>
      </c>
      <c r="AQ1207" t="str">
        <f>"+19782842933"</f>
        <v>+19782842933</v>
      </c>
      <c r="AS1207" t="s">
        <v>8794</v>
      </c>
      <c r="AT1207" t="s">
        <v>107</v>
      </c>
      <c r="AU1207" t="str">
        <f>"Winarsky"</f>
        <v>Winarsky</v>
      </c>
      <c r="AV1207" t="str">
        <f>"Karen"</f>
        <v>Karen</v>
      </c>
      <c r="AW1207" t="str">
        <f>""</f>
        <v/>
      </c>
      <c r="AX1207" t="str">
        <f>"1355 Peachtree Street NE"</f>
        <v>1355 Peachtree Street NE</v>
      </c>
      <c r="AY1207" t="str">
        <f>"Suite 900"</f>
        <v>Suite 900</v>
      </c>
      <c r="AZ1207" t="str">
        <f>"Atlanta"</f>
        <v>Atlanta</v>
      </c>
      <c r="BA1207" t="str">
        <f>"GA"</f>
        <v>GA</v>
      </c>
      <c r="BB1207" s="3">
        <v>30309</v>
      </c>
      <c r="BC1207" t="str">
        <f>"UNITED STATES OF AMERICA"</f>
        <v>UNITED STATES OF AMERICA</v>
      </c>
      <c r="BD1207" t="str">
        <f>""</f>
        <v/>
      </c>
      <c r="BE1207" t="str">
        <f>"+14048565527"</f>
        <v>+14048565527</v>
      </c>
      <c r="BF1207" t="str">
        <f>""</f>
        <v/>
      </c>
      <c r="BG1207" t="str">
        <f>"aheffley@fragomen.com"</f>
        <v>aheffley@fragomen.com</v>
      </c>
      <c r="BH1207" t="str">
        <f>"Fragomen, Del Rey, Bernsen &amp; Loewy, LLP"</f>
        <v>Fragomen, Del Rey, Bernsen &amp; Loewy, LLP</v>
      </c>
      <c r="BI1207" t="str">
        <f>"GA"</f>
        <v>GA</v>
      </c>
      <c r="BJ1207" t="str">
        <f>"Supreme Court"</f>
        <v>Supreme Court</v>
      </c>
      <c r="BK1207">
        <v>1</v>
      </c>
      <c r="BL1207" t="s">
        <v>102</v>
      </c>
      <c r="BM1207" t="str">
        <f>""</f>
        <v/>
      </c>
      <c r="BN1207" t="s">
        <v>8792</v>
      </c>
      <c r="BP1207" t="s">
        <v>1775</v>
      </c>
      <c r="BQ1207" t="s">
        <v>1741</v>
      </c>
      <c r="BR1207" t="s">
        <v>171</v>
      </c>
      <c r="BS1207" s="5">
        <v>1887</v>
      </c>
      <c r="BT1207" s="2">
        <v>155000</v>
      </c>
      <c r="BU1207" s="2">
        <v>165000</v>
      </c>
      <c r="BV1207" t="s">
        <v>105</v>
      </c>
      <c r="BW1207" s="2">
        <v>108597</v>
      </c>
      <c r="BX1207" t="s">
        <v>105</v>
      </c>
      <c r="BZ1207" t="s">
        <v>159</v>
      </c>
      <c r="CA1207" t="str">
        <f>"7/1/2020 - 6/30/2021"</f>
        <v>7/1/2020 - 6/30/2021</v>
      </c>
      <c r="CF1207">
        <v>2</v>
      </c>
      <c r="CG1207" t="s">
        <v>98</v>
      </c>
      <c r="CH1207" t="s">
        <v>206</v>
      </c>
      <c r="CI1207" t="s">
        <v>206</v>
      </c>
      <c r="CL1207" t="s">
        <v>108</v>
      </c>
      <c r="CM1207" t="s">
        <v>109</v>
      </c>
      <c r="CN1207" t="str">
        <f>""</f>
        <v/>
      </c>
      <c r="CO1207" t="str">
        <f>""</f>
        <v/>
      </c>
      <c r="CP1207" t="str">
        <f>""</f>
        <v/>
      </c>
      <c r="CQ1207" t="str">
        <f>""</f>
        <v/>
      </c>
    </row>
    <row r="1208" spans="1:96" x14ac:dyDescent="0.2">
      <c r="A1208" t="s">
        <v>11745</v>
      </c>
      <c r="B1208" t="s">
        <v>96</v>
      </c>
      <c r="C1208" s="1">
        <v>44098</v>
      </c>
      <c r="D1208" s="1">
        <v>44105</v>
      </c>
      <c r="F1208" t="s">
        <v>97</v>
      </c>
      <c r="G1208" t="str">
        <f>"Senior Professional Programmer Analyst "</f>
        <v xml:space="preserve">Senior Professional Programmer Analyst </v>
      </c>
      <c r="H1208" t="s">
        <v>12169</v>
      </c>
      <c r="I1208" t="s">
        <v>124</v>
      </c>
      <c r="J1208" t="s">
        <v>98</v>
      </c>
      <c r="K1208" s="1">
        <v>44166</v>
      </c>
      <c r="L1208" s="1">
        <v>45260</v>
      </c>
      <c r="M1208">
        <v>24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 t="s">
        <v>4881</v>
      </c>
      <c r="U1208" t="str">
        <f>""</f>
        <v/>
      </c>
      <c r="V1208" t="s">
        <v>4882</v>
      </c>
      <c r="W1208" t="str">
        <f>"Floor 9"</f>
        <v>Floor 9</v>
      </c>
      <c r="X1208" t="s">
        <v>925</v>
      </c>
      <c r="Y1208" t="s">
        <v>135</v>
      </c>
      <c r="Z1208" s="3">
        <v>22102</v>
      </c>
      <c r="AA1208" t="s">
        <v>101</v>
      </c>
      <c r="AC1208" s="4" t="str">
        <f>"+14698083070"</f>
        <v>+14698083070</v>
      </c>
      <c r="AE1208" t="str">
        <f>"541511"</f>
        <v>541511</v>
      </c>
      <c r="AF1208" t="s">
        <v>926</v>
      </c>
      <c r="AG1208" t="s">
        <v>927</v>
      </c>
      <c r="AI1208" t="s">
        <v>928</v>
      </c>
      <c r="AJ1208" t="s">
        <v>929</v>
      </c>
      <c r="AK1208" t="str">
        <f>"3rd floor"</f>
        <v>3rd floor</v>
      </c>
      <c r="AL1208" t="s">
        <v>761</v>
      </c>
      <c r="AM1208" t="s">
        <v>114</v>
      </c>
      <c r="AN1208" s="3">
        <v>75080</v>
      </c>
      <c r="AO1208" t="s">
        <v>101</v>
      </c>
      <c r="AQ1208" t="str">
        <f>"+14698083070"</f>
        <v>+14698083070</v>
      </c>
      <c r="AS1208" t="s">
        <v>930</v>
      </c>
      <c r="AT1208" t="s">
        <v>107</v>
      </c>
      <c r="AU1208" t="str">
        <f>"Anstey "</f>
        <v xml:space="preserve">Anstey </v>
      </c>
      <c r="AV1208" t="str">
        <f>"Sarah"</f>
        <v>Sarah</v>
      </c>
      <c r="AW1208" t="str">
        <f>""</f>
        <v/>
      </c>
      <c r="AX1208" t="str">
        <f>"2121 Tasman Drive"</f>
        <v>2121 Tasman Drive</v>
      </c>
      <c r="AY1208" t="str">
        <f>""</f>
        <v/>
      </c>
      <c r="AZ1208" t="str">
        <f>"Santa Clara"</f>
        <v>Santa Clara</v>
      </c>
      <c r="BA1208" t="str">
        <f>"CA"</f>
        <v>CA</v>
      </c>
      <c r="BB1208" s="3">
        <v>95054</v>
      </c>
      <c r="BC1208" t="str">
        <f>"UNITED STATES OF AMERICA"</f>
        <v>UNITED STATES OF AMERICA</v>
      </c>
      <c r="BD1208" t="str">
        <f>""</f>
        <v/>
      </c>
      <c r="BE1208" t="str">
        <f>"+14089190600"</f>
        <v>+14089190600</v>
      </c>
      <c r="BF1208" t="str">
        <f>""</f>
        <v/>
      </c>
      <c r="BG1208" t="str">
        <f>"DXCTechnology@fragomen.com"</f>
        <v>DXCTechnology@fragomen.com</v>
      </c>
      <c r="BH1208" t="str">
        <f>"Fragomen, Del Rey, Bernsen &amp; Loewy, LLP"</f>
        <v>Fragomen, Del Rey, Bernsen &amp; Loewy, LLP</v>
      </c>
      <c r="BI1208" t="str">
        <f>"NY"</f>
        <v>NY</v>
      </c>
      <c r="BJ1208" t="str">
        <f>"Appellate Division, First Department"</f>
        <v>Appellate Division, First Department</v>
      </c>
      <c r="BK1208">
        <v>24</v>
      </c>
      <c r="BL1208" t="s">
        <v>107</v>
      </c>
      <c r="BM1208" t="str">
        <f>"Kaiser Permanente  "</f>
        <v xml:space="preserve">Kaiser Permanente  </v>
      </c>
      <c r="BN1208" t="s">
        <v>11746</v>
      </c>
      <c r="BP1208" t="s">
        <v>2718</v>
      </c>
      <c r="BQ1208" t="s">
        <v>813</v>
      </c>
      <c r="BR1208" t="s">
        <v>814</v>
      </c>
      <c r="BS1208" s="5">
        <v>97006</v>
      </c>
      <c r="BT1208" s="2">
        <v>102960</v>
      </c>
      <c r="BV1208" t="s">
        <v>105</v>
      </c>
      <c r="BW1208" s="2">
        <v>101458</v>
      </c>
      <c r="BX1208" t="s">
        <v>105</v>
      </c>
      <c r="CA1208" t="str">
        <f>""</f>
        <v/>
      </c>
      <c r="CB1208" t="s">
        <v>244</v>
      </c>
      <c r="CC1208">
        <v>2020</v>
      </c>
      <c r="CD1208" t="s">
        <v>524</v>
      </c>
      <c r="CE1208" t="s">
        <v>355</v>
      </c>
      <c r="CF1208">
        <v>2</v>
      </c>
      <c r="CG1208" t="s">
        <v>98</v>
      </c>
      <c r="CH1208" t="s">
        <v>206</v>
      </c>
      <c r="CI1208" t="s">
        <v>206</v>
      </c>
      <c r="CL1208" t="s">
        <v>108</v>
      </c>
      <c r="CM1208" t="s">
        <v>109</v>
      </c>
      <c r="CN1208" t="str">
        <f>"Halimi"</f>
        <v>Halimi</v>
      </c>
      <c r="CO1208" t="str">
        <f>"Madeha"</f>
        <v>Madeha</v>
      </c>
      <c r="CP1208" t="str">
        <f>""</f>
        <v/>
      </c>
      <c r="CQ1208" t="str">
        <f>"Fragomen, Del Rey, Bernsen &amp; Loewy, LLP"</f>
        <v>Fragomen, Del Rey, Bernsen &amp; Loewy, LLP</v>
      </c>
      <c r="CR1208" t="s">
        <v>4814</v>
      </c>
    </row>
    <row r="1209" spans="1:96" x14ac:dyDescent="0.2">
      <c r="A1209" t="s">
        <v>11747</v>
      </c>
      <c r="B1209" t="s">
        <v>96</v>
      </c>
      <c r="C1209" s="1">
        <v>44098</v>
      </c>
      <c r="D1209" s="1">
        <v>44105</v>
      </c>
      <c r="F1209" t="s">
        <v>97</v>
      </c>
      <c r="G1209" t="str">
        <f>"Senior Software Engineer"</f>
        <v>Senior Software Engineer</v>
      </c>
      <c r="H1209" t="s">
        <v>12169</v>
      </c>
      <c r="I1209" t="s">
        <v>124</v>
      </c>
      <c r="J1209" t="s">
        <v>98</v>
      </c>
      <c r="K1209" s="1">
        <v>44277</v>
      </c>
      <c r="L1209" s="1">
        <v>45372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 t="s">
        <v>11187</v>
      </c>
      <c r="U1209" t="str">
        <f>""</f>
        <v/>
      </c>
      <c r="V1209" t="s">
        <v>11188</v>
      </c>
      <c r="W1209" t="str">
        <f>""</f>
        <v/>
      </c>
      <c r="X1209" t="s">
        <v>398</v>
      </c>
      <c r="Y1209" t="s">
        <v>141</v>
      </c>
      <c r="Z1209" s="3">
        <v>94538</v>
      </c>
      <c r="AA1209" t="s">
        <v>101</v>
      </c>
      <c r="AC1209" s="4" t="str">
        <f>"+13109781457"</f>
        <v>+13109781457</v>
      </c>
      <c r="AE1209" t="str">
        <f>"33599"</f>
        <v>33599</v>
      </c>
      <c r="AF1209" t="s">
        <v>11189</v>
      </c>
      <c r="AG1209" t="s">
        <v>5005</v>
      </c>
      <c r="AI1209" t="s">
        <v>11190</v>
      </c>
      <c r="AJ1209" t="s">
        <v>11191</v>
      </c>
      <c r="AK1209" t="str">
        <f>""</f>
        <v/>
      </c>
      <c r="AL1209" t="s">
        <v>2124</v>
      </c>
      <c r="AM1209" t="s">
        <v>141</v>
      </c>
      <c r="AN1209" s="3">
        <v>90503</v>
      </c>
      <c r="AO1209" t="s">
        <v>101</v>
      </c>
      <c r="AQ1209" t="str">
        <f>"+14243586685"</f>
        <v>+14243586685</v>
      </c>
      <c r="AS1209" t="s">
        <v>11192</v>
      </c>
      <c r="AT1209" t="s">
        <v>107</v>
      </c>
      <c r="AU1209" t="str">
        <f>"Ehrenpreis"</f>
        <v>Ehrenpreis</v>
      </c>
      <c r="AV1209" t="str">
        <f>"Jeffrey"</f>
        <v>Jeffrey</v>
      </c>
      <c r="AW1209" t="str">
        <f>""</f>
        <v/>
      </c>
      <c r="AX1209" t="str">
        <f>"1880 Century Park East"</f>
        <v>1880 Century Park East</v>
      </c>
      <c r="AY1209" t="str">
        <f>"Suite 550"</f>
        <v>Suite 550</v>
      </c>
      <c r="AZ1209" t="str">
        <f>"Los Angeles"</f>
        <v>Los Angeles</v>
      </c>
      <c r="BA1209" t="str">
        <f>"CA"</f>
        <v>CA</v>
      </c>
      <c r="BB1209" s="3">
        <v>90067</v>
      </c>
      <c r="BC1209" t="str">
        <f>"UNITED STATES OF AMERICA"</f>
        <v>UNITED STATES OF AMERICA</v>
      </c>
      <c r="BD1209" t="str">
        <f>""</f>
        <v/>
      </c>
      <c r="BE1209" t="str">
        <f>"+13105536600"</f>
        <v>+13105536600</v>
      </c>
      <c r="BF1209" t="str">
        <f>""</f>
        <v/>
      </c>
      <c r="BG1209" t="str">
        <f>"jeff@ralphehrenpreis.com"</f>
        <v>jeff@ralphehrenpreis.com</v>
      </c>
      <c r="BH1209" t="str">
        <f>"Ralph Ehrenpreis A PLC"</f>
        <v>Ralph Ehrenpreis A PLC</v>
      </c>
      <c r="BI1209" t="str">
        <f>"CA"</f>
        <v>CA</v>
      </c>
      <c r="BJ1209" t="str">
        <f>"Supreme Court of California"</f>
        <v>Supreme Court of California</v>
      </c>
      <c r="BK1209">
        <v>1</v>
      </c>
      <c r="BL1209" t="s">
        <v>102</v>
      </c>
      <c r="BM1209" t="str">
        <f>""</f>
        <v/>
      </c>
      <c r="BN1209" t="s">
        <v>11188</v>
      </c>
      <c r="BP1209" t="s">
        <v>398</v>
      </c>
      <c r="BQ1209" t="s">
        <v>419</v>
      </c>
      <c r="BR1209" t="s">
        <v>141</v>
      </c>
      <c r="BS1209" s="5">
        <v>94538</v>
      </c>
      <c r="BT1209" s="2">
        <v>98172</v>
      </c>
      <c r="BU1209" s="2">
        <v>103172</v>
      </c>
      <c r="BV1209" t="s">
        <v>105</v>
      </c>
      <c r="BW1209" s="2">
        <v>96616</v>
      </c>
      <c r="BX1209" t="s">
        <v>105</v>
      </c>
      <c r="BZ1209" t="s">
        <v>191</v>
      </c>
      <c r="CA1209" t="str">
        <f>"7/1/2020 - 6/30/2021"</f>
        <v>7/1/2020 - 6/30/2021</v>
      </c>
      <c r="CF1209">
        <v>1</v>
      </c>
      <c r="CG1209" t="s">
        <v>98</v>
      </c>
      <c r="CH1209" t="s">
        <v>206</v>
      </c>
      <c r="CI1209" t="s">
        <v>206</v>
      </c>
      <c r="CL1209" t="s">
        <v>108</v>
      </c>
      <c r="CM1209" t="s">
        <v>109</v>
      </c>
      <c r="CN1209" t="str">
        <f>""</f>
        <v/>
      </c>
      <c r="CO1209" t="str">
        <f>""</f>
        <v/>
      </c>
      <c r="CP1209" t="str">
        <f>""</f>
        <v/>
      </c>
      <c r="CQ1209" t="str">
        <f>""</f>
        <v/>
      </c>
    </row>
    <row r="1210" spans="1:96" x14ac:dyDescent="0.2">
      <c r="A1210" t="s">
        <v>11748</v>
      </c>
      <c r="B1210" t="s">
        <v>96</v>
      </c>
      <c r="C1210" s="1">
        <v>44098</v>
      </c>
      <c r="D1210" s="1">
        <v>44105</v>
      </c>
      <c r="F1210" t="s">
        <v>97</v>
      </c>
      <c r="G1210" t="str">
        <f>"Senior Tech Support Professional"</f>
        <v>Senior Tech Support Professional</v>
      </c>
      <c r="H1210" t="s">
        <v>12179</v>
      </c>
      <c r="I1210" t="s">
        <v>1357</v>
      </c>
      <c r="J1210" t="s">
        <v>98</v>
      </c>
      <c r="K1210" s="1">
        <v>44105</v>
      </c>
      <c r="L1210" s="1">
        <v>45193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 t="s">
        <v>6278</v>
      </c>
      <c r="U1210" t="str">
        <f>""</f>
        <v/>
      </c>
      <c r="V1210" t="s">
        <v>5755</v>
      </c>
      <c r="W1210" t="str">
        <f>""</f>
        <v/>
      </c>
      <c r="X1210" t="s">
        <v>2262</v>
      </c>
      <c r="Y1210" t="s">
        <v>225</v>
      </c>
      <c r="Z1210" s="3">
        <v>45040</v>
      </c>
      <c r="AA1210" t="s">
        <v>101</v>
      </c>
      <c r="AC1210" s="4" t="str">
        <f>"+19734552096"</f>
        <v>+19734552096</v>
      </c>
      <c r="AE1210" t="str">
        <f>"541330"</f>
        <v>541330</v>
      </c>
      <c r="AF1210" t="s">
        <v>2097</v>
      </c>
      <c r="AG1210" t="s">
        <v>5756</v>
      </c>
      <c r="AI1210" t="s">
        <v>2099</v>
      </c>
      <c r="AJ1210" t="s">
        <v>2100</v>
      </c>
      <c r="AK1210" t="str">
        <f>""</f>
        <v/>
      </c>
      <c r="AL1210" t="s">
        <v>2101</v>
      </c>
      <c r="AM1210" t="s">
        <v>100</v>
      </c>
      <c r="AN1210" s="3">
        <v>7950</v>
      </c>
      <c r="AO1210" t="s">
        <v>101</v>
      </c>
      <c r="AQ1210" t="str">
        <f>"+19802794119"</f>
        <v>+19802794119</v>
      </c>
      <c r="AS1210" t="s">
        <v>2102</v>
      </c>
      <c r="AT1210" t="s">
        <v>107</v>
      </c>
      <c r="AU1210" t="str">
        <f>"Nelson"</f>
        <v>Nelson</v>
      </c>
      <c r="AV1210" t="str">
        <f>"Timothy"</f>
        <v>Timothy</v>
      </c>
      <c r="AW1210" t="str">
        <f>""</f>
        <v/>
      </c>
      <c r="AX1210" t="str">
        <f>"90 Matawan Road"</f>
        <v>90 Matawan Road</v>
      </c>
      <c r="AY1210" t="str">
        <f>"4th Floor"</f>
        <v>4th Floor</v>
      </c>
      <c r="AZ1210" t="str">
        <f>"Matawan"</f>
        <v>Matawan</v>
      </c>
      <c r="BA1210" t="str">
        <f>"NJ"</f>
        <v>NJ</v>
      </c>
      <c r="BB1210" s="3">
        <v>7747</v>
      </c>
      <c r="BC1210" t="str">
        <f>"UNITED STATES OF AMERICA"</f>
        <v>UNITED STATES OF AMERICA</v>
      </c>
      <c r="BD1210" t="str">
        <f>""</f>
        <v/>
      </c>
      <c r="BE1210" t="str">
        <f>"+17328625000"</f>
        <v>+17328625000</v>
      </c>
      <c r="BF1210" t="str">
        <f>""</f>
        <v/>
      </c>
      <c r="BG1210" t="str">
        <f>"jruela@fragomen.com"</f>
        <v>jruela@fragomen.com</v>
      </c>
      <c r="BH1210" t="str">
        <f>"Fragomen, Del Rey, Bernsen &amp; Loewy LLP"</f>
        <v>Fragomen, Del Rey, Bernsen &amp; Loewy LLP</v>
      </c>
      <c r="BI1210" t="str">
        <f>"NJ"</f>
        <v>NJ</v>
      </c>
      <c r="BJ1210" t="str">
        <f>"Supreme"</f>
        <v>Supreme</v>
      </c>
      <c r="BK1210">
        <v>1</v>
      </c>
      <c r="BL1210" t="s">
        <v>102</v>
      </c>
      <c r="BM1210" t="str">
        <f>""</f>
        <v/>
      </c>
      <c r="BN1210" t="s">
        <v>11749</v>
      </c>
      <c r="BO1210" t="s">
        <v>11750</v>
      </c>
      <c r="BP1210" t="s">
        <v>11751</v>
      </c>
      <c r="BQ1210" t="s">
        <v>1382</v>
      </c>
      <c r="BR1210" t="s">
        <v>345</v>
      </c>
      <c r="BS1210" s="5">
        <v>60517</v>
      </c>
      <c r="BT1210" s="2">
        <v>80000</v>
      </c>
      <c r="BV1210" t="s">
        <v>105</v>
      </c>
      <c r="BW1210" s="2">
        <v>73136</v>
      </c>
      <c r="BX1210" t="s">
        <v>105</v>
      </c>
      <c r="CA1210" t="str">
        <f>""</f>
        <v/>
      </c>
      <c r="CB1210" t="s">
        <v>244</v>
      </c>
      <c r="CC1210">
        <v>2020</v>
      </c>
      <c r="CD1210" t="s">
        <v>1370</v>
      </c>
      <c r="CE1210" t="s">
        <v>3899</v>
      </c>
      <c r="CF1210">
        <v>3</v>
      </c>
      <c r="CG1210" t="s">
        <v>98</v>
      </c>
      <c r="CH1210" t="s">
        <v>206</v>
      </c>
      <c r="CI1210" t="s">
        <v>206</v>
      </c>
      <c r="CL1210" t="s">
        <v>108</v>
      </c>
      <c r="CM1210" t="s">
        <v>109</v>
      </c>
      <c r="CN1210" t="str">
        <f>"Ruela"</f>
        <v>Ruela</v>
      </c>
      <c r="CO1210" t="str">
        <f>"Jenna"</f>
        <v>Jenna</v>
      </c>
      <c r="CP1210" t="str">
        <f>"M."</f>
        <v>M.</v>
      </c>
      <c r="CQ1210" t="str">
        <f>"Fragomen, Del Rey, Bernsen &amp; Loewy LLP"</f>
        <v>Fragomen, Del Rey, Bernsen &amp; Loewy LLP</v>
      </c>
      <c r="CR1210" t="s">
        <v>2103</v>
      </c>
    </row>
    <row r="1211" spans="1:96" x14ac:dyDescent="0.2">
      <c r="A1211" t="s">
        <v>11754</v>
      </c>
      <c r="B1211" t="s">
        <v>96</v>
      </c>
      <c r="C1211" s="1">
        <v>44098</v>
      </c>
      <c r="D1211" s="1">
        <v>44105</v>
      </c>
      <c r="F1211" t="s">
        <v>97</v>
      </c>
      <c r="G1211" t="str">
        <f>"Postdoctoral Scholar"</f>
        <v>Postdoctoral Scholar</v>
      </c>
      <c r="H1211" t="s">
        <v>12170</v>
      </c>
      <c r="I1211" t="s">
        <v>685</v>
      </c>
      <c r="J1211" t="s">
        <v>98</v>
      </c>
      <c r="K1211" s="1">
        <v>44166</v>
      </c>
      <c r="L1211" s="1">
        <v>44895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 t="s">
        <v>3438</v>
      </c>
      <c r="U1211" t="str">
        <f>"University of Alabama at Birmingham"</f>
        <v>University of Alabama at Birmingham</v>
      </c>
      <c r="V1211" t="s">
        <v>3439</v>
      </c>
      <c r="W1211" t="str">
        <f>"2nd floor"</f>
        <v>2nd floor</v>
      </c>
      <c r="X1211" t="s">
        <v>3440</v>
      </c>
      <c r="Y1211" t="s">
        <v>708</v>
      </c>
      <c r="Z1211" s="3">
        <v>35233</v>
      </c>
      <c r="AA1211" t="s">
        <v>101</v>
      </c>
      <c r="AC1211" s="4" t="str">
        <f>"+12059341252"</f>
        <v>+12059341252</v>
      </c>
      <c r="AE1211" t="str">
        <f>"61131"</f>
        <v>61131</v>
      </c>
      <c r="AF1211" t="s">
        <v>1868</v>
      </c>
      <c r="AG1211" t="s">
        <v>3441</v>
      </c>
      <c r="AH1211" t="s">
        <v>1435</v>
      </c>
      <c r="AI1211" t="s">
        <v>1639</v>
      </c>
      <c r="AJ1211" t="s">
        <v>3439</v>
      </c>
      <c r="AK1211" t="str">
        <f>"2nd floor"</f>
        <v>2nd floor</v>
      </c>
      <c r="AL1211" t="s">
        <v>11755</v>
      </c>
      <c r="AM1211" t="s">
        <v>708</v>
      </c>
      <c r="AN1211" s="3">
        <v>35233</v>
      </c>
      <c r="AO1211" t="s">
        <v>101</v>
      </c>
      <c r="AQ1211" t="str">
        <f>"+12057613963"</f>
        <v>+12057613963</v>
      </c>
      <c r="AS1211" t="s">
        <v>3442</v>
      </c>
      <c r="AT1211" t="s">
        <v>102</v>
      </c>
      <c r="AU1211" t="str">
        <f>""</f>
        <v/>
      </c>
      <c r="AV1211" t="str">
        <f>""</f>
        <v/>
      </c>
      <c r="AW1211" t="str">
        <f>""</f>
        <v/>
      </c>
      <c r="AX1211" t="str">
        <f>""</f>
        <v/>
      </c>
      <c r="AY1211" t="str">
        <f>""</f>
        <v/>
      </c>
      <c r="AZ1211" t="str">
        <f>""</f>
        <v/>
      </c>
      <c r="BA1211" t="str">
        <f>""</f>
        <v/>
      </c>
      <c r="BC1211" t="str">
        <f>""</f>
        <v/>
      </c>
      <c r="BD1211" t="str">
        <f>""</f>
        <v/>
      </c>
      <c r="BE1211" t="str">
        <f>""</f>
        <v/>
      </c>
      <c r="BF1211" t="str">
        <f>""</f>
        <v/>
      </c>
      <c r="BG1211" t="str">
        <f>""</f>
        <v/>
      </c>
      <c r="BH1211" t="str">
        <f>""</f>
        <v/>
      </c>
      <c r="BI1211" t="str">
        <f>""</f>
        <v/>
      </c>
      <c r="BJ1211" t="str">
        <f>""</f>
        <v/>
      </c>
      <c r="BK1211">
        <v>1</v>
      </c>
      <c r="BL1211" t="s">
        <v>102</v>
      </c>
      <c r="BM1211" t="str">
        <f>""</f>
        <v/>
      </c>
      <c r="BN1211" t="s">
        <v>11756</v>
      </c>
      <c r="BO1211" t="s">
        <v>11757</v>
      </c>
      <c r="BP1211" t="s">
        <v>3440</v>
      </c>
      <c r="BQ1211" t="s">
        <v>369</v>
      </c>
      <c r="BR1211" t="s">
        <v>708</v>
      </c>
      <c r="BS1211" s="5">
        <v>35233</v>
      </c>
      <c r="BT1211" s="2">
        <v>52000</v>
      </c>
      <c r="BV1211" t="s">
        <v>105</v>
      </c>
      <c r="BW1211" s="2">
        <v>46634</v>
      </c>
      <c r="BX1211" t="s">
        <v>105</v>
      </c>
      <c r="BZ1211" t="s">
        <v>191</v>
      </c>
      <c r="CA1211" t="str">
        <f t="shared" ref="CA1211:CA1218" si="96">"7/1/2020 - 6/30/2021"</f>
        <v>7/1/2020 - 6/30/2021</v>
      </c>
      <c r="CF1211">
        <v>2</v>
      </c>
      <c r="CG1211" t="s">
        <v>98</v>
      </c>
      <c r="CH1211" t="s">
        <v>206</v>
      </c>
      <c r="CI1211" t="s">
        <v>206</v>
      </c>
      <c r="CL1211" t="s">
        <v>108</v>
      </c>
      <c r="CM1211" t="s">
        <v>109</v>
      </c>
      <c r="CN1211" t="str">
        <f>"Mangin-Nixon"</f>
        <v>Mangin-Nixon</v>
      </c>
      <c r="CO1211" t="str">
        <f>"Alyette"</f>
        <v>Alyette</v>
      </c>
      <c r="CP1211" t="str">
        <f>""</f>
        <v/>
      </c>
      <c r="CQ1211" t="str">
        <f>"The Univeristy of Alabama at Birmingham"</f>
        <v>The Univeristy of Alabama at Birmingham</v>
      </c>
      <c r="CR1211" t="s">
        <v>3442</v>
      </c>
    </row>
    <row r="1212" spans="1:96" x14ac:dyDescent="0.2">
      <c r="A1212" t="s">
        <v>11760</v>
      </c>
      <c r="B1212" t="s">
        <v>96</v>
      </c>
      <c r="C1212" s="1">
        <v>44098</v>
      </c>
      <c r="D1212" s="1">
        <v>44105</v>
      </c>
      <c r="F1212" t="s">
        <v>97</v>
      </c>
      <c r="G1212" t="str">
        <f>"SOLUTIONS ARCHITECT III"</f>
        <v>SOLUTIONS ARCHITECT III</v>
      </c>
      <c r="H1212" t="s">
        <v>12176</v>
      </c>
      <c r="I1212" t="s">
        <v>246</v>
      </c>
      <c r="J1212" t="s">
        <v>98</v>
      </c>
      <c r="K1212" s="1">
        <v>44109</v>
      </c>
      <c r="L1212" s="1">
        <v>45203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 t="s">
        <v>1129</v>
      </c>
      <c r="U1212" t="str">
        <f>""</f>
        <v/>
      </c>
      <c r="V1212" t="s">
        <v>809</v>
      </c>
      <c r="W1212" t="str">
        <f>"SUITE 500"</f>
        <v>SUITE 500</v>
      </c>
      <c r="X1212" t="s">
        <v>433</v>
      </c>
      <c r="Y1212" t="s">
        <v>176</v>
      </c>
      <c r="Z1212" s="3">
        <v>98121</v>
      </c>
      <c r="AA1212" t="s">
        <v>101</v>
      </c>
      <c r="AC1212" s="4" t="str">
        <f>"+12062661000"</f>
        <v>+12062661000</v>
      </c>
      <c r="AE1212" t="str">
        <f>"454110"</f>
        <v>454110</v>
      </c>
      <c r="AF1212" t="s">
        <v>442</v>
      </c>
      <c r="AG1212" t="s">
        <v>443</v>
      </c>
      <c r="AH1212" t="s">
        <v>108</v>
      </c>
      <c r="AI1212" t="s">
        <v>434</v>
      </c>
      <c r="AJ1212" t="s">
        <v>809</v>
      </c>
      <c r="AK1212" t="str">
        <f>"SUITE 500"</f>
        <v>SUITE 500</v>
      </c>
      <c r="AL1212" t="s">
        <v>433</v>
      </c>
      <c r="AM1212" t="s">
        <v>176</v>
      </c>
      <c r="AN1212" s="3">
        <v>98121</v>
      </c>
      <c r="AO1212" t="s">
        <v>101</v>
      </c>
      <c r="AQ1212" t="str">
        <f>"+12062661000"</f>
        <v>+12062661000</v>
      </c>
      <c r="AS1212" t="s">
        <v>263</v>
      </c>
      <c r="AT1212" t="s">
        <v>107</v>
      </c>
      <c r="AU1212" t="str">
        <f>"MARANCI"</f>
        <v>MARANCI</v>
      </c>
      <c r="AV1212" t="str">
        <f>"DANIEL"</f>
        <v>DANIEL</v>
      </c>
      <c r="AW1212" t="str">
        <f>"N/A"</f>
        <v>N/A</v>
      </c>
      <c r="AX1212" t="str">
        <f>"100 HIGH STREET"</f>
        <v>100 HIGH STREET</v>
      </c>
      <c r="AY1212" t="str">
        <f>"3RD FLOOR C#5315310"</f>
        <v>3RD FLOOR C#5315310</v>
      </c>
      <c r="AZ1212" t="str">
        <f>"BOSTON"</f>
        <v>BOSTON</v>
      </c>
      <c r="BA1212" t="str">
        <f>"MA"</f>
        <v>MA</v>
      </c>
      <c r="BB1212" s="3">
        <v>2110</v>
      </c>
      <c r="BC1212" t="str">
        <f t="shared" ref="BC1212:BC1217" si="97">"UNITED STATES OF AMERICA"</f>
        <v>UNITED STATES OF AMERICA</v>
      </c>
      <c r="BD1212" t="str">
        <f>""</f>
        <v/>
      </c>
      <c r="BE1212" t="str">
        <f>"+16175740400"</f>
        <v>+16175740400</v>
      </c>
      <c r="BF1212" t="str">
        <f>""</f>
        <v/>
      </c>
      <c r="BG1212" t="str">
        <f>"AMAZONINDIA@FRAGOMEN.COM"</f>
        <v>AMAZONINDIA@FRAGOMEN.COM</v>
      </c>
      <c r="BH1212" t="str">
        <f>"FRAGOMEN, DEL REY, BERNSEN &amp; LOEWY, LLP"</f>
        <v>FRAGOMEN, DEL REY, BERNSEN &amp; LOEWY, LLP</v>
      </c>
      <c r="BI1212" t="str">
        <f>"MA"</f>
        <v>MA</v>
      </c>
      <c r="BJ1212" t="str">
        <f>"SUPREME JUDICIAL COURT"</f>
        <v>SUPREME JUDICIAL COURT</v>
      </c>
      <c r="BK1212">
        <v>1</v>
      </c>
      <c r="BL1212" t="s">
        <v>102</v>
      </c>
      <c r="BM1212" t="str">
        <f>""</f>
        <v/>
      </c>
      <c r="BN1212" t="s">
        <v>8453</v>
      </c>
      <c r="BO1212" t="s">
        <v>3542</v>
      </c>
      <c r="BP1212" t="s">
        <v>2220</v>
      </c>
      <c r="BQ1212" t="s">
        <v>377</v>
      </c>
      <c r="BR1212" t="s">
        <v>141</v>
      </c>
      <c r="BS1212" s="5">
        <v>92618</v>
      </c>
      <c r="BT1212" s="2">
        <v>155000</v>
      </c>
      <c r="BV1212" t="s">
        <v>105</v>
      </c>
      <c r="BW1212" s="2">
        <v>121160</v>
      </c>
      <c r="BX1212" t="s">
        <v>105</v>
      </c>
      <c r="BZ1212" t="s">
        <v>123</v>
      </c>
      <c r="CA1212" t="str">
        <f t="shared" si="96"/>
        <v>7/1/2020 - 6/30/2021</v>
      </c>
      <c r="CF1212">
        <v>2</v>
      </c>
      <c r="CG1212" t="s">
        <v>98</v>
      </c>
      <c r="CH1212" t="s">
        <v>206</v>
      </c>
      <c r="CI1212" t="s">
        <v>206</v>
      </c>
      <c r="CL1212" t="s">
        <v>108</v>
      </c>
      <c r="CM1212" t="s">
        <v>109</v>
      </c>
      <c r="CN1212" t="str">
        <f>"SUNNY"</f>
        <v>SUNNY</v>
      </c>
      <c r="CO1212" t="str">
        <f>"JASMIN"</f>
        <v>JASMIN</v>
      </c>
      <c r="CP1212" t="str">
        <f>"N/A"</f>
        <v>N/A</v>
      </c>
      <c r="CQ1212" t="str">
        <f>"FRAGOMEN, DEL REY, BERNSEN &amp; LOEWY, LLP"</f>
        <v>FRAGOMEN, DEL REY, BERNSEN &amp; LOEWY, LLP</v>
      </c>
      <c r="CR1212" t="s">
        <v>650</v>
      </c>
    </row>
    <row r="1213" spans="1:96" x14ac:dyDescent="0.2">
      <c r="A1213" t="s">
        <v>11766</v>
      </c>
      <c r="B1213" t="s">
        <v>96</v>
      </c>
      <c r="C1213" s="1">
        <v>44098</v>
      </c>
      <c r="D1213" s="1">
        <v>44105</v>
      </c>
      <c r="F1213" t="s">
        <v>97</v>
      </c>
      <c r="G1213" t="str">
        <f>"SharePoint Architect"</f>
        <v>SharePoint Architect</v>
      </c>
      <c r="H1213" t="s">
        <v>12169</v>
      </c>
      <c r="I1213" t="s">
        <v>124</v>
      </c>
      <c r="J1213" t="s">
        <v>98</v>
      </c>
      <c r="K1213" s="1">
        <v>44098</v>
      </c>
      <c r="L1213" s="1">
        <v>45193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 t="s">
        <v>10427</v>
      </c>
      <c r="U1213" t="str">
        <f>""</f>
        <v/>
      </c>
      <c r="V1213" t="s">
        <v>10428</v>
      </c>
      <c r="W1213" t="str">
        <f>"Suite 501,"</f>
        <v>Suite 501,</v>
      </c>
      <c r="X1213" t="s">
        <v>10429</v>
      </c>
      <c r="Y1213" t="s">
        <v>100</v>
      </c>
      <c r="Z1213" s="3">
        <v>8876</v>
      </c>
      <c r="AA1213" t="s">
        <v>101</v>
      </c>
      <c r="AC1213" s="4" t="str">
        <f>"+16094559008"</f>
        <v>+16094559008</v>
      </c>
      <c r="AE1213" t="str">
        <f>"541511"</f>
        <v>541511</v>
      </c>
      <c r="AF1213" t="s">
        <v>10430</v>
      </c>
      <c r="AG1213" t="s">
        <v>10431</v>
      </c>
      <c r="AI1213" t="s">
        <v>508</v>
      </c>
      <c r="AJ1213" t="s">
        <v>10432</v>
      </c>
      <c r="AK1213" t="str">
        <f>"Suite 501"</f>
        <v>Suite 501</v>
      </c>
      <c r="AL1213" t="s">
        <v>5055</v>
      </c>
      <c r="AM1213" t="s">
        <v>100</v>
      </c>
      <c r="AN1213" s="3">
        <v>8876</v>
      </c>
      <c r="AO1213" t="s">
        <v>101</v>
      </c>
      <c r="AQ1213" t="str">
        <f>"+16094559008"</f>
        <v>+16094559008</v>
      </c>
      <c r="AS1213" t="s">
        <v>10433</v>
      </c>
      <c r="AT1213" t="s">
        <v>107</v>
      </c>
      <c r="AU1213" t="str">
        <f>"RAMASAMI"</f>
        <v>RAMASAMI</v>
      </c>
      <c r="AV1213" t="str">
        <f>"KAVITHA"</f>
        <v>KAVITHA</v>
      </c>
      <c r="AW1213" t="str">
        <f>""</f>
        <v/>
      </c>
      <c r="AX1213" t="str">
        <f>"55 CARTER DRIVE "</f>
        <v xml:space="preserve">55 CARTER DRIVE </v>
      </c>
      <c r="AY1213" t="str">
        <f>"Ste. 207"</f>
        <v>Ste. 207</v>
      </c>
      <c r="AZ1213" t="str">
        <f>"EDISON"</f>
        <v>EDISON</v>
      </c>
      <c r="BA1213" t="str">
        <f>"NJ"</f>
        <v>NJ</v>
      </c>
      <c r="BB1213" s="3">
        <v>8817</v>
      </c>
      <c r="BC1213" t="str">
        <f t="shared" si="97"/>
        <v>UNITED STATES OF AMERICA</v>
      </c>
      <c r="BD1213" t="str">
        <f>""</f>
        <v/>
      </c>
      <c r="BE1213" t="str">
        <f>"+17323939557"</f>
        <v>+17323939557</v>
      </c>
      <c r="BF1213" t="str">
        <f>""</f>
        <v/>
      </c>
      <c r="BG1213" t="str">
        <f>"DHANAM@usimmigrationesq.com"</f>
        <v>DHANAM@usimmigrationesq.com</v>
      </c>
      <c r="BH1213" t="str">
        <f>"Law Offices of Kavitha Ramasami"</f>
        <v>Law Offices of Kavitha Ramasami</v>
      </c>
      <c r="BI1213" t="str">
        <f>"NY"</f>
        <v>NY</v>
      </c>
      <c r="BJ1213" t="str">
        <f>"Supreme Court, Appellate Division"</f>
        <v>Supreme Court, Appellate Division</v>
      </c>
      <c r="BK1213">
        <v>1</v>
      </c>
      <c r="BL1213" t="s">
        <v>107</v>
      </c>
      <c r="BM1213" t="str">
        <f>"Southern California Edison"</f>
        <v>Southern California Edison</v>
      </c>
      <c r="BN1213" t="s">
        <v>5909</v>
      </c>
      <c r="BP1213" t="s">
        <v>11767</v>
      </c>
      <c r="BQ1213" t="s">
        <v>365</v>
      </c>
      <c r="BR1213" t="s">
        <v>141</v>
      </c>
      <c r="BS1213" s="5">
        <v>91770</v>
      </c>
      <c r="BT1213" s="2">
        <v>121000</v>
      </c>
      <c r="BV1213" t="s">
        <v>105</v>
      </c>
      <c r="BW1213" s="2">
        <v>99632</v>
      </c>
      <c r="BX1213" t="s">
        <v>105</v>
      </c>
      <c r="BZ1213" t="s">
        <v>167</v>
      </c>
      <c r="CA1213" t="str">
        <f t="shared" si="96"/>
        <v>7/1/2020 - 6/30/2021</v>
      </c>
      <c r="CF1213">
        <v>2</v>
      </c>
      <c r="CG1213" t="s">
        <v>98</v>
      </c>
      <c r="CH1213" t="s">
        <v>206</v>
      </c>
      <c r="CI1213" t="s">
        <v>206</v>
      </c>
      <c r="CL1213" t="s">
        <v>108</v>
      </c>
      <c r="CM1213" t="s">
        <v>109</v>
      </c>
      <c r="CN1213" t="str">
        <f>"RAMASAMI"</f>
        <v>RAMASAMI</v>
      </c>
      <c r="CO1213" t="str">
        <f>"KAVITHA"</f>
        <v>KAVITHA</v>
      </c>
      <c r="CP1213" t="str">
        <f>""</f>
        <v/>
      </c>
      <c r="CQ1213" t="str">
        <f>"Law Offices of Kavitha Ramasami"</f>
        <v>Law Offices of Kavitha Ramasami</v>
      </c>
      <c r="CR1213" t="s">
        <v>3920</v>
      </c>
    </row>
    <row r="1214" spans="1:96" x14ac:dyDescent="0.2">
      <c r="A1214" t="s">
        <v>11771</v>
      </c>
      <c r="B1214" t="s">
        <v>96</v>
      </c>
      <c r="C1214" s="1">
        <v>44098</v>
      </c>
      <c r="D1214" s="1">
        <v>44105</v>
      </c>
      <c r="F1214" t="s">
        <v>97</v>
      </c>
      <c r="G1214" t="str">
        <f>"Manager, Data Management Database Programming"</f>
        <v>Manager, Data Management Database Programming</v>
      </c>
      <c r="H1214" t="s">
        <v>12180</v>
      </c>
      <c r="I1214" t="s">
        <v>1291</v>
      </c>
      <c r="J1214" t="s">
        <v>98</v>
      </c>
      <c r="K1214" s="1">
        <v>44119</v>
      </c>
      <c r="L1214" s="1">
        <v>45213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10937</v>
      </c>
      <c r="U1214" t="str">
        <f>""</f>
        <v/>
      </c>
      <c r="V1214" t="s">
        <v>10938</v>
      </c>
      <c r="W1214" t="str">
        <f>""</f>
        <v/>
      </c>
      <c r="X1214" t="s">
        <v>4155</v>
      </c>
      <c r="Y1214" t="s">
        <v>100</v>
      </c>
      <c r="Z1214" s="3">
        <v>7920</v>
      </c>
      <c r="AA1214" t="s">
        <v>101</v>
      </c>
      <c r="AC1214" s="4" t="str">
        <f>"+19739442600"</f>
        <v>+19739442600</v>
      </c>
      <c r="AE1214" t="str">
        <f>"32541"</f>
        <v>32541</v>
      </c>
      <c r="AF1214" t="s">
        <v>10939</v>
      </c>
      <c r="AG1214" t="s">
        <v>3258</v>
      </c>
      <c r="AI1214" t="s">
        <v>8773</v>
      </c>
      <c r="AJ1214" t="s">
        <v>8517</v>
      </c>
      <c r="AK1214" t="str">
        <f>""</f>
        <v/>
      </c>
      <c r="AL1214" t="s">
        <v>4155</v>
      </c>
      <c r="AM1214" t="s">
        <v>100</v>
      </c>
      <c r="AN1214" s="3">
        <v>7920</v>
      </c>
      <c r="AO1214" t="s">
        <v>101</v>
      </c>
      <c r="AQ1214" t="str">
        <f>"+19739442600"</f>
        <v>+19739442600</v>
      </c>
      <c r="AS1214" t="s">
        <v>10940</v>
      </c>
      <c r="AT1214" t="s">
        <v>107</v>
      </c>
      <c r="AU1214" t="str">
        <f>"GUPTA"</f>
        <v>GUPTA</v>
      </c>
      <c r="AV1214" t="str">
        <f>"POONAM"</f>
        <v>POONAM</v>
      </c>
      <c r="AW1214" t="str">
        <f>""</f>
        <v/>
      </c>
      <c r="AX1214" t="str">
        <f>"11 TIMES SQUARE"</f>
        <v>11 TIMES SQUARE</v>
      </c>
      <c r="AY1214" t="str">
        <f>"11TH FLOOR"</f>
        <v>11TH FLOOR</v>
      </c>
      <c r="AZ1214" t="str">
        <f>"NEW YORK"</f>
        <v>NEW YORK</v>
      </c>
      <c r="BA1214" t="str">
        <f>"NY"</f>
        <v>NY</v>
      </c>
      <c r="BB1214" s="3">
        <v>10036</v>
      </c>
      <c r="BC1214" t="str">
        <f t="shared" si="97"/>
        <v>UNITED STATES OF AMERICA</v>
      </c>
      <c r="BD1214" t="str">
        <f>""</f>
        <v/>
      </c>
      <c r="BE1214" t="str">
        <f>"+14692909325"</f>
        <v>+14692909325</v>
      </c>
      <c r="BF1214" t="str">
        <f>""</f>
        <v/>
      </c>
      <c r="BG1214" t="str">
        <f>"MCLEMENTE@BALGLOBAL.COM"</f>
        <v>MCLEMENTE@BALGLOBAL.COM</v>
      </c>
      <c r="BH1214" t="str">
        <f>"BERRY APPLEMAN &amp; LEIDEN LLP"</f>
        <v>BERRY APPLEMAN &amp; LEIDEN LLP</v>
      </c>
      <c r="BI1214" t="str">
        <f>"NY"</f>
        <v>NY</v>
      </c>
      <c r="BJ1214" t="str">
        <f>"COURT OF APPEALS"</f>
        <v>COURT OF APPEALS</v>
      </c>
      <c r="BK1214">
        <v>1</v>
      </c>
      <c r="BL1214" t="s">
        <v>102</v>
      </c>
      <c r="BM1214" t="str">
        <f>""</f>
        <v/>
      </c>
      <c r="BN1214" t="s">
        <v>11772</v>
      </c>
      <c r="BP1214" t="s">
        <v>4781</v>
      </c>
      <c r="BQ1214" t="s">
        <v>535</v>
      </c>
      <c r="BR1214" t="s">
        <v>100</v>
      </c>
      <c r="BS1214" s="5">
        <v>7920</v>
      </c>
      <c r="BT1214" s="2">
        <v>160000</v>
      </c>
      <c r="BV1214" t="s">
        <v>105</v>
      </c>
      <c r="BW1214" s="2">
        <v>124405</v>
      </c>
      <c r="BX1214" t="s">
        <v>105</v>
      </c>
      <c r="BZ1214" t="s">
        <v>159</v>
      </c>
      <c r="CA1214" t="str">
        <f t="shared" si="96"/>
        <v>7/1/2020 - 6/30/2021</v>
      </c>
      <c r="CF1214">
        <v>2</v>
      </c>
      <c r="CG1214" t="s">
        <v>98</v>
      </c>
      <c r="CH1214" t="s">
        <v>206</v>
      </c>
      <c r="CI1214" t="s">
        <v>206</v>
      </c>
      <c r="CL1214" t="s">
        <v>108</v>
      </c>
      <c r="CM1214" t="s">
        <v>109</v>
      </c>
      <c r="CN1214" t="str">
        <f>""</f>
        <v/>
      </c>
      <c r="CO1214" t="str">
        <f>""</f>
        <v/>
      </c>
      <c r="CP1214" t="str">
        <f>""</f>
        <v/>
      </c>
      <c r="CQ1214" t="str">
        <f>""</f>
        <v/>
      </c>
    </row>
    <row r="1215" spans="1:96" x14ac:dyDescent="0.2">
      <c r="A1215" t="s">
        <v>11773</v>
      </c>
      <c r="B1215" t="s">
        <v>96</v>
      </c>
      <c r="C1215" s="1">
        <v>44098</v>
      </c>
      <c r="D1215" s="1">
        <v>44105</v>
      </c>
      <c r="F1215" t="s">
        <v>97</v>
      </c>
      <c r="G1215" t="str">
        <f>"Product Manager"</f>
        <v>Product Manager</v>
      </c>
      <c r="H1215" t="s">
        <v>12169</v>
      </c>
      <c r="I1215" t="s">
        <v>124</v>
      </c>
      <c r="J1215" t="s">
        <v>98</v>
      </c>
      <c r="K1215" s="1">
        <v>44177</v>
      </c>
      <c r="L1215" s="1">
        <v>45271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 t="s">
        <v>2725</v>
      </c>
      <c r="U1215" t="str">
        <f>""</f>
        <v/>
      </c>
      <c r="V1215" t="s">
        <v>2726</v>
      </c>
      <c r="W1215" t="str">
        <f>""</f>
        <v/>
      </c>
      <c r="X1215" t="s">
        <v>1927</v>
      </c>
      <c r="Y1215" t="s">
        <v>258</v>
      </c>
      <c r="Z1215" s="3">
        <v>85281</v>
      </c>
      <c r="AA1215" t="s">
        <v>101</v>
      </c>
      <c r="AC1215" s="4" t="str">
        <f>"+16505278000"</f>
        <v>+16505278000</v>
      </c>
      <c r="AE1215" t="str">
        <f>"541511"</f>
        <v>541511</v>
      </c>
      <c r="AF1215" t="s">
        <v>2727</v>
      </c>
      <c r="AG1215" t="s">
        <v>2728</v>
      </c>
      <c r="AI1215" t="s">
        <v>2729</v>
      </c>
      <c r="AJ1215" t="s">
        <v>2726</v>
      </c>
      <c r="AK1215" t="str">
        <f>""</f>
        <v/>
      </c>
      <c r="AL1215" t="s">
        <v>1927</v>
      </c>
      <c r="AM1215" t="s">
        <v>258</v>
      </c>
      <c r="AN1215" s="3">
        <v>85281</v>
      </c>
      <c r="AO1215" t="s">
        <v>101</v>
      </c>
      <c r="AQ1215" t="str">
        <f>"+14808267049"</f>
        <v>+14808267049</v>
      </c>
      <c r="AS1215" t="s">
        <v>2730</v>
      </c>
      <c r="AT1215" t="s">
        <v>107</v>
      </c>
      <c r="AU1215" t="str">
        <f>"Randle"</f>
        <v>Randle</v>
      </c>
      <c r="AV1215" t="str">
        <f>"Lauren"</f>
        <v>Lauren</v>
      </c>
      <c r="AW1215" t="str">
        <f>"Elizabeth"</f>
        <v>Elizabeth</v>
      </c>
      <c r="AX1215" t="str">
        <f>"10100 Katy Freeway"</f>
        <v>10100 Katy Freeway</v>
      </c>
      <c r="AY1215" t="str">
        <f>"Suite 600"</f>
        <v>Suite 600</v>
      </c>
      <c r="AZ1215" t="str">
        <f>"Houston"</f>
        <v>Houston</v>
      </c>
      <c r="BA1215" t="str">
        <f>"TX"</f>
        <v>TX</v>
      </c>
      <c r="BB1215" s="3">
        <v>77043</v>
      </c>
      <c r="BC1215" t="str">
        <f t="shared" si="97"/>
        <v>UNITED STATES OF AMERICA</v>
      </c>
      <c r="BD1215" t="str">
        <f>""</f>
        <v/>
      </c>
      <c r="BE1215" t="str">
        <f>"+14692909685"</f>
        <v>+14692909685</v>
      </c>
      <c r="BF1215" t="str">
        <f>""</f>
        <v/>
      </c>
      <c r="BG1215" t="str">
        <f>"glabastida@balglobal.com"</f>
        <v>glabastida@balglobal.com</v>
      </c>
      <c r="BH1215" t="str">
        <f>"Berry Appleman &amp; Leiden LLP"</f>
        <v>Berry Appleman &amp; Leiden LLP</v>
      </c>
      <c r="BI1215" t="str">
        <f>"TX"</f>
        <v>TX</v>
      </c>
      <c r="BJ1215" t="str">
        <f>"Supreme Court of Texas"</f>
        <v>Supreme Court of Texas</v>
      </c>
      <c r="BK1215">
        <v>1</v>
      </c>
      <c r="BL1215" t="s">
        <v>102</v>
      </c>
      <c r="BM1215" t="str">
        <f>""</f>
        <v/>
      </c>
      <c r="BN1215" t="s">
        <v>2731</v>
      </c>
      <c r="BP1215" t="s">
        <v>2732</v>
      </c>
      <c r="BQ1215" t="s">
        <v>365</v>
      </c>
      <c r="BR1215" t="s">
        <v>141</v>
      </c>
      <c r="BS1215" s="5">
        <v>90230</v>
      </c>
      <c r="BT1215" s="2">
        <v>152337</v>
      </c>
      <c r="BV1215" t="s">
        <v>105</v>
      </c>
      <c r="BW1215" s="2">
        <v>121160</v>
      </c>
      <c r="BX1215" t="s">
        <v>105</v>
      </c>
      <c r="BZ1215" t="s">
        <v>123</v>
      </c>
      <c r="CA1215" t="str">
        <f t="shared" si="96"/>
        <v>7/1/2020 - 6/30/2021</v>
      </c>
      <c r="CF1215">
        <v>1</v>
      </c>
      <c r="CG1215" t="s">
        <v>98</v>
      </c>
      <c r="CH1215" t="s">
        <v>206</v>
      </c>
      <c r="CI1215" t="s">
        <v>206</v>
      </c>
      <c r="CL1215" t="s">
        <v>108</v>
      </c>
      <c r="CM1215" t="s">
        <v>109</v>
      </c>
      <c r="CN1215" t="str">
        <f>""</f>
        <v/>
      </c>
      <c r="CO1215" t="str">
        <f>""</f>
        <v/>
      </c>
      <c r="CP1215" t="str">
        <f>""</f>
        <v/>
      </c>
      <c r="CQ1215" t="str">
        <f>""</f>
        <v/>
      </c>
    </row>
    <row r="1216" spans="1:96" x14ac:dyDescent="0.2">
      <c r="A1216" t="s">
        <v>11781</v>
      </c>
      <c r="B1216" t="s">
        <v>96</v>
      </c>
      <c r="C1216" s="1">
        <v>44098</v>
      </c>
      <c r="D1216" s="1">
        <v>44105</v>
      </c>
      <c r="F1216" t="s">
        <v>97</v>
      </c>
      <c r="G1216" t="str">
        <f>"Research Analyst"</f>
        <v>Research Analyst</v>
      </c>
      <c r="H1216" t="s">
        <v>12182</v>
      </c>
      <c r="I1216" t="s">
        <v>168</v>
      </c>
      <c r="J1216" t="s">
        <v>98</v>
      </c>
      <c r="K1216" s="1">
        <v>44104</v>
      </c>
      <c r="L1216" s="1">
        <v>45198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11782</v>
      </c>
      <c r="U1216" t="str">
        <f>""</f>
        <v/>
      </c>
      <c r="V1216" t="s">
        <v>5803</v>
      </c>
      <c r="W1216" t="str">
        <f>"Floors 57-58"</f>
        <v>Floors 57-58</v>
      </c>
      <c r="X1216" t="s">
        <v>277</v>
      </c>
      <c r="Y1216" t="s">
        <v>190</v>
      </c>
      <c r="Z1216" s="3">
        <v>10005</v>
      </c>
      <c r="AA1216" t="s">
        <v>101</v>
      </c>
      <c r="AC1216" s="4" t="str">
        <f>"+12123141263"</f>
        <v>+12123141263</v>
      </c>
      <c r="AE1216" t="str">
        <f>"523210"</f>
        <v>523210</v>
      </c>
      <c r="AF1216" t="s">
        <v>11783</v>
      </c>
      <c r="AG1216" t="s">
        <v>6167</v>
      </c>
      <c r="AI1216" t="s">
        <v>11784</v>
      </c>
      <c r="AJ1216" t="s">
        <v>8993</v>
      </c>
      <c r="AK1216" t="str">
        <f>""</f>
        <v/>
      </c>
      <c r="AL1216" t="s">
        <v>2684</v>
      </c>
      <c r="AM1216" t="s">
        <v>594</v>
      </c>
      <c r="AN1216" s="3">
        <v>29715</v>
      </c>
      <c r="AO1216" t="s">
        <v>101</v>
      </c>
      <c r="AQ1216" t="str">
        <f>"+19803089531"</f>
        <v>+19803089531</v>
      </c>
      <c r="AS1216" t="s">
        <v>10136</v>
      </c>
      <c r="AT1216" t="s">
        <v>107</v>
      </c>
      <c r="AU1216" t="str">
        <f>"Larsen"</f>
        <v>Larsen</v>
      </c>
      <c r="AV1216" t="str">
        <f>"James"</f>
        <v>James</v>
      </c>
      <c r="AW1216" t="str">
        <f>"Kay"</f>
        <v>Kay</v>
      </c>
      <c r="AX1216" t="str">
        <f>"912 S Capital of Texas HWY"</f>
        <v>912 S Capital of Texas HWY</v>
      </c>
      <c r="AY1216" t="str">
        <f>"Suite 450"</f>
        <v>Suite 450</v>
      </c>
      <c r="AZ1216" t="str">
        <f>"Austin"</f>
        <v>Austin</v>
      </c>
      <c r="BA1216" t="str">
        <f>"TX"</f>
        <v>TX</v>
      </c>
      <c r="BB1216" s="3" t="s">
        <v>12305</v>
      </c>
      <c r="BC1216" t="str">
        <f t="shared" si="97"/>
        <v>UNITED STATES OF AMERICA</v>
      </c>
      <c r="BD1216" t="str">
        <f>""</f>
        <v/>
      </c>
      <c r="BE1216" t="str">
        <f>"+15128524118"</f>
        <v>+15128524118</v>
      </c>
      <c r="BF1216" t="str">
        <f>""</f>
        <v/>
      </c>
      <c r="BG1216" t="str">
        <f>"jlarsen@fosterglobal.com"</f>
        <v>jlarsen@fosterglobal.com</v>
      </c>
      <c r="BH1216" t="str">
        <f>"Foster LLP"</f>
        <v>Foster LLP</v>
      </c>
      <c r="BI1216" t="str">
        <f>"IA"</f>
        <v>IA</v>
      </c>
      <c r="BJ1216" t="str">
        <f>"SUPREME COURT"</f>
        <v>SUPREME COURT</v>
      </c>
      <c r="BK1216">
        <v>1</v>
      </c>
      <c r="BL1216" t="s">
        <v>102</v>
      </c>
      <c r="BM1216" t="str">
        <f>""</f>
        <v/>
      </c>
      <c r="BN1216" t="s">
        <v>5803</v>
      </c>
      <c r="BO1216" t="s">
        <v>10965</v>
      </c>
      <c r="BP1216" t="s">
        <v>295</v>
      </c>
      <c r="BQ1216" t="s">
        <v>189</v>
      </c>
      <c r="BR1216" t="s">
        <v>190</v>
      </c>
      <c r="BS1216" s="5">
        <v>10005</v>
      </c>
      <c r="BT1216" s="2">
        <v>100000</v>
      </c>
      <c r="BV1216" t="s">
        <v>105</v>
      </c>
      <c r="BW1216" s="2">
        <v>87776</v>
      </c>
      <c r="BX1216" t="s">
        <v>105</v>
      </c>
      <c r="BZ1216" t="s">
        <v>167</v>
      </c>
      <c r="CA1216" t="str">
        <f t="shared" si="96"/>
        <v>7/1/2020 - 6/30/2021</v>
      </c>
      <c r="CF1216">
        <v>1</v>
      </c>
      <c r="CG1216" t="s">
        <v>98</v>
      </c>
      <c r="CH1216" t="s">
        <v>206</v>
      </c>
      <c r="CI1216" t="s">
        <v>206</v>
      </c>
      <c r="CL1216" t="s">
        <v>108</v>
      </c>
      <c r="CM1216" t="s">
        <v>109</v>
      </c>
      <c r="CN1216" t="str">
        <f>""</f>
        <v/>
      </c>
      <c r="CO1216" t="str">
        <f>""</f>
        <v/>
      </c>
      <c r="CP1216" t="str">
        <f>""</f>
        <v/>
      </c>
      <c r="CQ1216" t="str">
        <f>""</f>
        <v/>
      </c>
    </row>
    <row r="1217" spans="1:96" x14ac:dyDescent="0.2">
      <c r="A1217" t="s">
        <v>11785</v>
      </c>
      <c r="B1217" t="s">
        <v>96</v>
      </c>
      <c r="C1217" s="1">
        <v>44098</v>
      </c>
      <c r="D1217" s="1">
        <v>44105</v>
      </c>
      <c r="F1217" t="s">
        <v>97</v>
      </c>
      <c r="G1217" t="str">
        <f>"SOFTWARE DEVELOPMENT ENGINEER II"</f>
        <v>SOFTWARE DEVELOPMENT ENGINEER II</v>
      </c>
      <c r="H1217" t="s">
        <v>12169</v>
      </c>
      <c r="I1217" t="s">
        <v>124</v>
      </c>
      <c r="J1217" t="s">
        <v>98</v>
      </c>
      <c r="K1217" s="1">
        <v>44279</v>
      </c>
      <c r="L1217" s="1">
        <v>45374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 t="s">
        <v>440</v>
      </c>
      <c r="U1217" t="str">
        <f>""</f>
        <v/>
      </c>
      <c r="V1217" t="s">
        <v>809</v>
      </c>
      <c r="W1217" t="str">
        <f>"SUITE 500"</f>
        <v>SUITE 500</v>
      </c>
      <c r="X1217" t="s">
        <v>433</v>
      </c>
      <c r="Y1217" t="s">
        <v>176</v>
      </c>
      <c r="Z1217" s="3">
        <v>98121</v>
      </c>
      <c r="AA1217" t="s">
        <v>101</v>
      </c>
      <c r="AC1217" s="4" t="str">
        <f>"+12062661000"</f>
        <v>+12062661000</v>
      </c>
      <c r="AE1217" t="str">
        <f>"454110"</f>
        <v>454110</v>
      </c>
      <c r="AF1217" t="s">
        <v>442</v>
      </c>
      <c r="AG1217" t="s">
        <v>443</v>
      </c>
      <c r="AH1217" t="s">
        <v>108</v>
      </c>
      <c r="AI1217" t="s">
        <v>434</v>
      </c>
      <c r="AJ1217" t="s">
        <v>809</v>
      </c>
      <c r="AK1217" t="str">
        <f>"SUITE 500"</f>
        <v>SUITE 500</v>
      </c>
      <c r="AL1217" t="s">
        <v>433</v>
      </c>
      <c r="AM1217" t="s">
        <v>176</v>
      </c>
      <c r="AN1217" s="3">
        <v>98121</v>
      </c>
      <c r="AO1217" t="s">
        <v>101</v>
      </c>
      <c r="AQ1217" t="str">
        <f>"+12062661000"</f>
        <v>+12062661000</v>
      </c>
      <c r="AS1217" t="s">
        <v>263</v>
      </c>
      <c r="AT1217" t="s">
        <v>107</v>
      </c>
      <c r="AU1217" t="str">
        <f>"MARANCI"</f>
        <v>MARANCI</v>
      </c>
      <c r="AV1217" t="str">
        <f>"DANIEL"</f>
        <v>DANIEL</v>
      </c>
      <c r="AW1217" t="str">
        <f>"N/A"</f>
        <v>N/A</v>
      </c>
      <c r="AX1217" t="str">
        <f>"100 HIGH STREET"</f>
        <v>100 HIGH STREET</v>
      </c>
      <c r="AY1217" t="str">
        <f>"3RD FLOOR C#5307958"</f>
        <v>3RD FLOOR C#5307958</v>
      </c>
      <c r="AZ1217" t="str">
        <f>"BOSTON"</f>
        <v>BOSTON</v>
      </c>
      <c r="BA1217" t="str">
        <f>"MA"</f>
        <v>MA</v>
      </c>
      <c r="BB1217" s="3">
        <v>2110</v>
      </c>
      <c r="BC1217" t="str">
        <f t="shared" si="97"/>
        <v>UNITED STATES OF AMERICA</v>
      </c>
      <c r="BD1217" t="str">
        <f>""</f>
        <v/>
      </c>
      <c r="BE1217" t="str">
        <f>"+16175740400"</f>
        <v>+16175740400</v>
      </c>
      <c r="BF1217" t="str">
        <f>""</f>
        <v/>
      </c>
      <c r="BG1217" t="str">
        <f>"AMAZONINDIA@FRAGOMEN.COM"</f>
        <v>AMAZONINDIA@FRAGOMEN.COM</v>
      </c>
      <c r="BH1217" t="str">
        <f>"FRAGOMEN, DEL REY, BERNSEN &amp; LOEWY, LLP"</f>
        <v>FRAGOMEN, DEL REY, BERNSEN &amp; LOEWY, LLP</v>
      </c>
      <c r="BI1217" t="str">
        <f>"MA"</f>
        <v>MA</v>
      </c>
      <c r="BJ1217" t="str">
        <f>"SUPREME JUDICIAL COURT"</f>
        <v>SUPREME JUDICIAL COURT</v>
      </c>
      <c r="BK1217">
        <v>1</v>
      </c>
      <c r="BL1217" t="s">
        <v>102</v>
      </c>
      <c r="BM1217" t="str">
        <f>""</f>
        <v/>
      </c>
      <c r="BN1217" t="s">
        <v>432</v>
      </c>
      <c r="BP1217" t="s">
        <v>433</v>
      </c>
      <c r="BQ1217" t="s">
        <v>183</v>
      </c>
      <c r="BR1217" t="s">
        <v>176</v>
      </c>
      <c r="BS1217" s="5">
        <v>98121</v>
      </c>
      <c r="BT1217" s="2">
        <v>146000</v>
      </c>
      <c r="BV1217" t="s">
        <v>105</v>
      </c>
      <c r="BW1217" s="2">
        <v>113110</v>
      </c>
      <c r="BX1217" t="s">
        <v>105</v>
      </c>
      <c r="BZ1217" t="s">
        <v>167</v>
      </c>
      <c r="CA1217" t="str">
        <f t="shared" si="96"/>
        <v>7/1/2020 - 6/30/2021</v>
      </c>
      <c r="CF1217">
        <v>1</v>
      </c>
      <c r="CG1217" t="s">
        <v>98</v>
      </c>
      <c r="CH1217" t="s">
        <v>206</v>
      </c>
      <c r="CI1217" t="s">
        <v>206</v>
      </c>
      <c r="CL1217" t="s">
        <v>108</v>
      </c>
      <c r="CM1217" t="s">
        <v>109</v>
      </c>
      <c r="CN1217" t="str">
        <f>"SUNNY"</f>
        <v>SUNNY</v>
      </c>
      <c r="CO1217" t="str">
        <f>"JASMIN"</f>
        <v>JASMIN</v>
      </c>
      <c r="CP1217" t="str">
        <f>"N/A"</f>
        <v>N/A</v>
      </c>
      <c r="CQ1217" t="str">
        <f>"FRAGOMEN, DEL REY, BERNSEN &amp; LOEWY, LLP"</f>
        <v>FRAGOMEN, DEL REY, BERNSEN &amp; LOEWY, LLP</v>
      </c>
      <c r="CR1217" t="s">
        <v>650</v>
      </c>
    </row>
    <row r="1218" spans="1:96" x14ac:dyDescent="0.2">
      <c r="A1218" t="s">
        <v>11787</v>
      </c>
      <c r="B1218" t="s">
        <v>96</v>
      </c>
      <c r="C1218" s="1">
        <v>44098</v>
      </c>
      <c r="D1218" s="1">
        <v>44105</v>
      </c>
      <c r="F1218" t="s">
        <v>97</v>
      </c>
      <c r="G1218" t="str">
        <f>"Energy Systems Scientist"</f>
        <v>Energy Systems Scientist</v>
      </c>
      <c r="H1218" t="s">
        <v>12248</v>
      </c>
      <c r="I1218" t="s">
        <v>653</v>
      </c>
      <c r="J1218" t="s">
        <v>98</v>
      </c>
      <c r="K1218" s="1">
        <v>44133</v>
      </c>
      <c r="L1218" s="1">
        <v>45227</v>
      </c>
      <c r="M1218">
        <v>5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2</v>
      </c>
      <c r="T1218" t="s">
        <v>3940</v>
      </c>
      <c r="U1218" t="str">
        <f>"Argonne National Laboratory"</f>
        <v>Argonne National Laboratory</v>
      </c>
      <c r="V1218" t="s">
        <v>7016</v>
      </c>
      <c r="W1218" t="str">
        <f>""</f>
        <v/>
      </c>
      <c r="X1218" t="s">
        <v>3942</v>
      </c>
      <c r="Y1218" t="s">
        <v>345</v>
      </c>
      <c r="Z1218" s="3">
        <v>60439</v>
      </c>
      <c r="AA1218" t="s">
        <v>101</v>
      </c>
      <c r="AC1218" s="4" t="str">
        <f>"+16302522543"</f>
        <v>+16302522543</v>
      </c>
      <c r="AE1218" t="str">
        <f>"5417"</f>
        <v>5417</v>
      </c>
      <c r="AF1218" t="s">
        <v>3943</v>
      </c>
      <c r="AG1218" t="s">
        <v>3944</v>
      </c>
      <c r="AI1218" t="s">
        <v>2175</v>
      </c>
      <c r="AJ1218" t="s">
        <v>7016</v>
      </c>
      <c r="AK1218" t="str">
        <f>""</f>
        <v/>
      </c>
      <c r="AL1218" t="s">
        <v>3942</v>
      </c>
      <c r="AM1218" t="s">
        <v>345</v>
      </c>
      <c r="AN1218" s="3">
        <v>60439</v>
      </c>
      <c r="AO1218" t="s">
        <v>101</v>
      </c>
      <c r="AQ1218" t="str">
        <f>"+16302522543"</f>
        <v>+16302522543</v>
      </c>
      <c r="AS1218" t="s">
        <v>3945</v>
      </c>
      <c r="AT1218" t="s">
        <v>102</v>
      </c>
      <c r="AU1218" t="str">
        <f>""</f>
        <v/>
      </c>
      <c r="AV1218" t="str">
        <f>""</f>
        <v/>
      </c>
      <c r="AW1218" t="str">
        <f>""</f>
        <v/>
      </c>
      <c r="AX1218" t="str">
        <f>""</f>
        <v/>
      </c>
      <c r="AY1218" t="str">
        <f>""</f>
        <v/>
      </c>
      <c r="AZ1218" t="str">
        <f>""</f>
        <v/>
      </c>
      <c r="BA1218" t="str">
        <f>""</f>
        <v/>
      </c>
      <c r="BC1218" t="str">
        <f>""</f>
        <v/>
      </c>
      <c r="BD1218" t="str">
        <f>""</f>
        <v/>
      </c>
      <c r="BE1218" t="str">
        <f>""</f>
        <v/>
      </c>
      <c r="BF1218" t="str">
        <f>""</f>
        <v/>
      </c>
      <c r="BG1218" t="str">
        <f>""</f>
        <v/>
      </c>
      <c r="BH1218" t="str">
        <f>""</f>
        <v/>
      </c>
      <c r="BI1218" t="str">
        <f>""</f>
        <v/>
      </c>
      <c r="BJ1218" t="str">
        <f>""</f>
        <v/>
      </c>
      <c r="BK1218">
        <v>5</v>
      </c>
      <c r="BL1218" t="s">
        <v>102</v>
      </c>
      <c r="BM1218" t="str">
        <f>""</f>
        <v/>
      </c>
      <c r="BN1218" t="s">
        <v>3941</v>
      </c>
      <c r="BP1218" t="s">
        <v>3942</v>
      </c>
      <c r="BQ1218" t="s">
        <v>1382</v>
      </c>
      <c r="BR1218" t="s">
        <v>345</v>
      </c>
      <c r="BS1218" s="5">
        <v>60439</v>
      </c>
      <c r="BT1218" s="2">
        <v>102000</v>
      </c>
      <c r="BV1218" t="s">
        <v>105</v>
      </c>
      <c r="BW1218" s="2">
        <v>82243</v>
      </c>
      <c r="BX1218" t="s">
        <v>105</v>
      </c>
      <c r="BZ1218" t="s">
        <v>123</v>
      </c>
      <c r="CA1218" t="str">
        <f t="shared" si="96"/>
        <v>7/1/2020 - 6/30/2021</v>
      </c>
      <c r="CF1218">
        <v>1</v>
      </c>
      <c r="CG1218" t="s">
        <v>98</v>
      </c>
      <c r="CH1218" t="s">
        <v>206</v>
      </c>
      <c r="CI1218" t="s">
        <v>206</v>
      </c>
      <c r="CL1218" t="s">
        <v>108</v>
      </c>
      <c r="CM1218" t="s">
        <v>109</v>
      </c>
      <c r="CN1218" t="str">
        <f>""</f>
        <v/>
      </c>
      <c r="CO1218" t="str">
        <f>""</f>
        <v/>
      </c>
      <c r="CP1218" t="str">
        <f>""</f>
        <v/>
      </c>
      <c r="CQ1218" t="str">
        <f>""</f>
        <v/>
      </c>
    </row>
    <row r="1219" spans="1:96" x14ac:dyDescent="0.2">
      <c r="A1219" t="s">
        <v>11789</v>
      </c>
      <c r="B1219" t="s">
        <v>96</v>
      </c>
      <c r="C1219" s="1">
        <v>44098</v>
      </c>
      <c r="D1219" s="1">
        <v>44105</v>
      </c>
      <c r="F1219" t="s">
        <v>97</v>
      </c>
      <c r="G1219" t="str">
        <f>"Senior Quality Assurance Manager"</f>
        <v>Senior Quality Assurance Manager</v>
      </c>
      <c r="H1219" t="s">
        <v>12178</v>
      </c>
      <c r="I1219" t="s">
        <v>582</v>
      </c>
      <c r="J1219" t="s">
        <v>98</v>
      </c>
      <c r="K1219" s="1">
        <v>44278</v>
      </c>
      <c r="L1219" s="1">
        <v>45373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 t="s">
        <v>2215</v>
      </c>
      <c r="U1219" t="str">
        <f>""</f>
        <v/>
      </c>
      <c r="V1219" t="s">
        <v>3303</v>
      </c>
      <c r="W1219" t="str">
        <f>"1701 JOHN F. KENNEDY BLVD."</f>
        <v>1701 JOHN F. KENNEDY BLVD.</v>
      </c>
      <c r="X1219" t="s">
        <v>510</v>
      </c>
      <c r="Y1219" t="s">
        <v>127</v>
      </c>
      <c r="Z1219" s="3">
        <v>19103</v>
      </c>
      <c r="AA1219" t="s">
        <v>101</v>
      </c>
      <c r="AC1219" s="4" t="str">
        <f>"+12157380579"</f>
        <v>+12157380579</v>
      </c>
      <c r="AE1219" t="str">
        <f>"515210"</f>
        <v>515210</v>
      </c>
      <c r="AF1219" t="s">
        <v>2216</v>
      </c>
      <c r="AG1219" t="s">
        <v>1819</v>
      </c>
      <c r="AI1219" t="s">
        <v>2217</v>
      </c>
      <c r="AJ1219" t="s">
        <v>5188</v>
      </c>
      <c r="AK1219" t="str">
        <f>"11th Floor East"</f>
        <v>11th Floor East</v>
      </c>
      <c r="AL1219" t="s">
        <v>218</v>
      </c>
      <c r="AM1219" t="s">
        <v>127</v>
      </c>
      <c r="AN1219" s="3">
        <v>19102</v>
      </c>
      <c r="AO1219" t="s">
        <v>101</v>
      </c>
      <c r="AQ1219" t="str">
        <f>"+12157380579"</f>
        <v>+12157380579</v>
      </c>
      <c r="AS1219" t="s">
        <v>1821</v>
      </c>
      <c r="AT1219" t="s">
        <v>107</v>
      </c>
      <c r="AU1219" t="str">
        <f>"Stock"</f>
        <v>Stock</v>
      </c>
      <c r="AV1219" t="str">
        <f>"William"</f>
        <v>William</v>
      </c>
      <c r="AW1219" t="str">
        <f>"A."</f>
        <v>A.</v>
      </c>
      <c r="AX1219" t="str">
        <f>"1601 Market Street"</f>
        <v>1601 Market Street</v>
      </c>
      <c r="AY1219" t="str">
        <f>"Suite 2600"</f>
        <v>Suite 2600</v>
      </c>
      <c r="AZ1219" t="str">
        <f>"Philadelphia"</f>
        <v>Philadelphia</v>
      </c>
      <c r="BA1219" t="str">
        <f>"PA"</f>
        <v>PA</v>
      </c>
      <c r="BB1219" s="3">
        <v>19103</v>
      </c>
      <c r="BC1219" t="str">
        <f>"UNITED STATES OF AMERICA"</f>
        <v>UNITED STATES OF AMERICA</v>
      </c>
      <c r="BD1219" t="str">
        <f>""</f>
        <v/>
      </c>
      <c r="BE1219" t="str">
        <f>"+12158258600"</f>
        <v>+12158258600</v>
      </c>
      <c r="BF1219" t="str">
        <f>""</f>
        <v/>
      </c>
      <c r="BG1219" t="str">
        <f>"rcarroll@klaskolaw.com"</f>
        <v>rcarroll@klaskolaw.com</v>
      </c>
      <c r="BH1219" t="str">
        <f>"Klasko Immigration Law Partners, LLP"</f>
        <v>Klasko Immigration Law Partners, LLP</v>
      </c>
      <c r="BI1219" t="str">
        <f>"PA"</f>
        <v>PA</v>
      </c>
      <c r="BJ1219" t="str">
        <f>"Supreme"</f>
        <v>Supreme</v>
      </c>
      <c r="BK1219">
        <v>1</v>
      </c>
      <c r="BL1219" t="s">
        <v>102</v>
      </c>
      <c r="BM1219" t="str">
        <f>""</f>
        <v/>
      </c>
      <c r="BN1219" t="s">
        <v>10242</v>
      </c>
      <c r="BP1219" t="s">
        <v>5245</v>
      </c>
      <c r="BQ1219" t="s">
        <v>623</v>
      </c>
      <c r="BR1219" t="s">
        <v>624</v>
      </c>
      <c r="BS1219" s="5">
        <v>20005</v>
      </c>
      <c r="BT1219" s="2">
        <v>137100</v>
      </c>
      <c r="BU1219" s="2">
        <v>153501.79999999999</v>
      </c>
      <c r="BV1219" t="s">
        <v>105</v>
      </c>
      <c r="BW1219" s="2">
        <v>137100</v>
      </c>
      <c r="BX1219" t="s">
        <v>105</v>
      </c>
      <c r="CA1219" t="str">
        <f>""</f>
        <v/>
      </c>
      <c r="CB1219" t="s">
        <v>244</v>
      </c>
      <c r="CC1219">
        <v>2019</v>
      </c>
      <c r="CD1219" t="s">
        <v>245</v>
      </c>
      <c r="CE1219" t="s">
        <v>597</v>
      </c>
      <c r="CF1219">
        <v>1</v>
      </c>
      <c r="CG1219" t="s">
        <v>98</v>
      </c>
      <c r="CH1219" t="s">
        <v>206</v>
      </c>
      <c r="CI1219" t="s">
        <v>206</v>
      </c>
      <c r="CL1219" t="s">
        <v>108</v>
      </c>
      <c r="CM1219" t="s">
        <v>109</v>
      </c>
      <c r="CN1219" t="str">
        <f>""</f>
        <v/>
      </c>
      <c r="CO1219" t="str">
        <f>""</f>
        <v/>
      </c>
      <c r="CP1219" t="str">
        <f>""</f>
        <v/>
      </c>
      <c r="CQ1219" t="str">
        <f>""</f>
        <v/>
      </c>
    </row>
    <row r="1220" spans="1:96" x14ac:dyDescent="0.2">
      <c r="A1220" t="s">
        <v>11795</v>
      </c>
      <c r="B1220" t="s">
        <v>96</v>
      </c>
      <c r="C1220" s="1">
        <v>44098</v>
      </c>
      <c r="D1220" s="1">
        <v>44105</v>
      </c>
      <c r="F1220" t="s">
        <v>97</v>
      </c>
      <c r="G1220" t="str">
        <f>"SENIOR SOFTWARE ENGINEER"</f>
        <v>SENIOR SOFTWARE ENGINEER</v>
      </c>
      <c r="H1220" t="s">
        <v>12169</v>
      </c>
      <c r="I1220" t="s">
        <v>124</v>
      </c>
      <c r="J1220" t="s">
        <v>98</v>
      </c>
      <c r="K1220" s="1">
        <v>44105</v>
      </c>
      <c r="L1220" s="1">
        <v>45199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1949</v>
      </c>
      <c r="U1220" t="str">
        <f>""</f>
        <v/>
      </c>
      <c r="V1220" t="s">
        <v>1950</v>
      </c>
      <c r="W1220" t="str">
        <f>""</f>
        <v/>
      </c>
      <c r="X1220" t="s">
        <v>1133</v>
      </c>
      <c r="Y1220" t="s">
        <v>141</v>
      </c>
      <c r="Z1220" s="3">
        <v>94063</v>
      </c>
      <c r="AA1220" t="s">
        <v>101</v>
      </c>
      <c r="AC1220" s="4" t="str">
        <f>"+16503855000"</f>
        <v>+16503855000</v>
      </c>
      <c r="AE1220" t="str">
        <f>"54151"</f>
        <v>54151</v>
      </c>
      <c r="AF1220" t="s">
        <v>1951</v>
      </c>
      <c r="AG1220" t="s">
        <v>1654</v>
      </c>
      <c r="AI1220" t="s">
        <v>1952</v>
      </c>
      <c r="AJ1220" t="s">
        <v>1953</v>
      </c>
      <c r="AK1220" t="str">
        <f>""</f>
        <v/>
      </c>
      <c r="AL1220" t="s">
        <v>1133</v>
      </c>
      <c r="AM1220" t="s">
        <v>141</v>
      </c>
      <c r="AN1220" s="3">
        <v>94063</v>
      </c>
      <c r="AO1220" t="s">
        <v>101</v>
      </c>
      <c r="AQ1220" t="str">
        <f>"+16503855215"</f>
        <v>+16503855215</v>
      </c>
      <c r="AS1220" t="s">
        <v>1954</v>
      </c>
      <c r="AT1220" t="s">
        <v>107</v>
      </c>
      <c r="AU1220" t="str">
        <f>"Salaheldin"</f>
        <v>Salaheldin</v>
      </c>
      <c r="AV1220" t="str">
        <f>"Waleed"</f>
        <v>Waleed</v>
      </c>
      <c r="AW1220" t="str">
        <f>""</f>
        <v/>
      </c>
      <c r="AX1220" t="str">
        <f>"2121 Tasman Drive"</f>
        <v>2121 Tasman Drive</v>
      </c>
      <c r="AY1220" t="str">
        <f>""</f>
        <v/>
      </c>
      <c r="AZ1220" t="str">
        <f>"Santa Clara"</f>
        <v>Santa Clara</v>
      </c>
      <c r="BA1220" t="str">
        <f>"CA"</f>
        <v>CA</v>
      </c>
      <c r="BB1220" s="3">
        <v>95054</v>
      </c>
      <c r="BC1220" t="str">
        <f>"UNITED STATES OF AMERICA"</f>
        <v>UNITED STATES OF AMERICA</v>
      </c>
      <c r="BD1220" t="str">
        <f>""</f>
        <v/>
      </c>
      <c r="BE1220" t="str">
        <f>"+14089190600"</f>
        <v>+14089190600</v>
      </c>
      <c r="BF1220" t="str">
        <f>""</f>
        <v/>
      </c>
      <c r="BG1220" t="str">
        <f>"informatica@fragomen.com"</f>
        <v>informatica@fragomen.com</v>
      </c>
      <c r="BH1220" t="str">
        <f>"Fragomen, Del Rey, Bernsen &amp; Loewy LLP"</f>
        <v>Fragomen, Del Rey, Bernsen &amp; Loewy LLP</v>
      </c>
      <c r="BI1220" t="str">
        <f>"CA"</f>
        <v>CA</v>
      </c>
      <c r="BJ1220" t="str">
        <f>"Supreme Court"</f>
        <v>Supreme Court</v>
      </c>
      <c r="BK1220">
        <v>1</v>
      </c>
      <c r="BL1220" t="s">
        <v>102</v>
      </c>
      <c r="BM1220" t="str">
        <f>""</f>
        <v/>
      </c>
      <c r="BN1220" t="s">
        <v>11796</v>
      </c>
      <c r="BP1220" t="s">
        <v>1381</v>
      </c>
      <c r="BQ1220" t="s">
        <v>1382</v>
      </c>
      <c r="BR1220" t="s">
        <v>345</v>
      </c>
      <c r="BS1220" s="5">
        <v>60502</v>
      </c>
      <c r="BT1220" s="2">
        <v>104624</v>
      </c>
      <c r="BU1220" s="2">
        <v>132000</v>
      </c>
      <c r="BV1220" t="s">
        <v>105</v>
      </c>
      <c r="BW1220" s="2">
        <v>104624</v>
      </c>
      <c r="BX1220" t="s">
        <v>105</v>
      </c>
      <c r="BZ1220" t="s">
        <v>123</v>
      </c>
      <c r="CA1220" t="str">
        <f>"7/1/2020 - 6/30/2021"</f>
        <v>7/1/2020 - 6/30/2021</v>
      </c>
      <c r="CF1220">
        <v>1</v>
      </c>
      <c r="CG1220" t="s">
        <v>98</v>
      </c>
      <c r="CH1220" t="s">
        <v>206</v>
      </c>
      <c r="CI1220" t="s">
        <v>206</v>
      </c>
      <c r="CL1220" t="s">
        <v>108</v>
      </c>
      <c r="CM1220" t="s">
        <v>109</v>
      </c>
      <c r="CN1220" t="str">
        <f>""</f>
        <v/>
      </c>
      <c r="CO1220" t="str">
        <f>""</f>
        <v/>
      </c>
      <c r="CP1220" t="str">
        <f>""</f>
        <v/>
      </c>
      <c r="CQ1220" t="str">
        <f>""</f>
        <v/>
      </c>
    </row>
    <row r="1221" spans="1:96" x14ac:dyDescent="0.2">
      <c r="A1221" t="s">
        <v>11797</v>
      </c>
      <c r="B1221" t="s">
        <v>96</v>
      </c>
      <c r="C1221" s="1">
        <v>44098</v>
      </c>
      <c r="D1221" s="1">
        <v>44105</v>
      </c>
      <c r="F1221" t="s">
        <v>97</v>
      </c>
      <c r="G1221" t="str">
        <f>"Assistant Project Scientist"</f>
        <v>Assistant Project Scientist</v>
      </c>
      <c r="H1221" t="s">
        <v>12170</v>
      </c>
      <c r="I1221" t="s">
        <v>685</v>
      </c>
      <c r="J1221" t="s">
        <v>98</v>
      </c>
      <c r="K1221" s="1">
        <v>44273</v>
      </c>
      <c r="L1221" s="1">
        <v>45368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 t="s">
        <v>1073</v>
      </c>
      <c r="U1221" t="str">
        <f>""</f>
        <v/>
      </c>
      <c r="V1221" t="s">
        <v>1074</v>
      </c>
      <c r="W1221" t="str">
        <f>"9500 GILMAN DR #0123"</f>
        <v>9500 GILMAN DR #0123</v>
      </c>
      <c r="X1221" t="s">
        <v>1075</v>
      </c>
      <c r="Y1221" t="s">
        <v>141</v>
      </c>
      <c r="Z1221" s="3">
        <v>92093</v>
      </c>
      <c r="AA1221" t="s">
        <v>101</v>
      </c>
      <c r="AC1221" s="4" t="str">
        <f>"+18582461448"</f>
        <v>+18582461448</v>
      </c>
      <c r="AE1221" t="str">
        <f>"611310"</f>
        <v>611310</v>
      </c>
      <c r="AF1221" t="s">
        <v>3858</v>
      </c>
      <c r="AG1221" t="s">
        <v>3859</v>
      </c>
      <c r="AI1221" t="s">
        <v>1742</v>
      </c>
      <c r="AJ1221" t="s">
        <v>3860</v>
      </c>
      <c r="AK1221" t="str">
        <f>"0123"</f>
        <v>0123</v>
      </c>
      <c r="AL1221" t="s">
        <v>1077</v>
      </c>
      <c r="AM1221" t="s">
        <v>141</v>
      </c>
      <c r="AN1221" s="3">
        <v>92093</v>
      </c>
      <c r="AO1221" t="s">
        <v>101</v>
      </c>
      <c r="AQ1221" t="str">
        <f>"+18588225541"</f>
        <v>+18588225541</v>
      </c>
      <c r="AS1221" t="s">
        <v>3861</v>
      </c>
      <c r="AT1221" t="s">
        <v>102</v>
      </c>
      <c r="AU1221" t="str">
        <f>""</f>
        <v/>
      </c>
      <c r="AV1221" t="str">
        <f>""</f>
        <v/>
      </c>
      <c r="AW1221" t="str">
        <f>""</f>
        <v/>
      </c>
      <c r="AX1221" t="str">
        <f>""</f>
        <v/>
      </c>
      <c r="AY1221" t="str">
        <f>""</f>
        <v/>
      </c>
      <c r="AZ1221" t="str">
        <f>""</f>
        <v/>
      </c>
      <c r="BA1221" t="str">
        <f>""</f>
        <v/>
      </c>
      <c r="BC1221" t="str">
        <f>""</f>
        <v/>
      </c>
      <c r="BD1221" t="str">
        <f>""</f>
        <v/>
      </c>
      <c r="BE1221" t="str">
        <f>""</f>
        <v/>
      </c>
      <c r="BF1221" t="str">
        <f>""</f>
        <v/>
      </c>
      <c r="BG1221" t="str">
        <f>""</f>
        <v/>
      </c>
      <c r="BH1221" t="str">
        <f>""</f>
        <v/>
      </c>
      <c r="BI1221" t="str">
        <f>""</f>
        <v/>
      </c>
      <c r="BJ1221" t="str">
        <f>""</f>
        <v/>
      </c>
      <c r="BK1221">
        <v>1</v>
      </c>
      <c r="BL1221" t="s">
        <v>102</v>
      </c>
      <c r="BM1221" t="str">
        <f>""</f>
        <v/>
      </c>
      <c r="BN1221" t="s">
        <v>11798</v>
      </c>
      <c r="BO1221" t="s">
        <v>8941</v>
      </c>
      <c r="BP1221" t="s">
        <v>1077</v>
      </c>
      <c r="BQ1221" t="s">
        <v>158</v>
      </c>
      <c r="BR1221" t="s">
        <v>141</v>
      </c>
      <c r="BS1221" s="5">
        <v>92037</v>
      </c>
      <c r="BT1221" s="2">
        <v>70000</v>
      </c>
      <c r="BV1221" t="s">
        <v>105</v>
      </c>
      <c r="BW1221" s="2">
        <v>70000</v>
      </c>
      <c r="BX1221" t="s">
        <v>105</v>
      </c>
      <c r="CA1221" t="str">
        <f>""</f>
        <v/>
      </c>
      <c r="CB1221" t="s">
        <v>106</v>
      </c>
      <c r="CC1221">
        <v>2020</v>
      </c>
      <c r="CF1221">
        <v>1</v>
      </c>
      <c r="CG1221" t="s">
        <v>98</v>
      </c>
      <c r="CH1221" t="s">
        <v>206</v>
      </c>
      <c r="CI1221" t="s">
        <v>206</v>
      </c>
      <c r="CL1221" t="s">
        <v>108</v>
      </c>
      <c r="CM1221" t="s">
        <v>109</v>
      </c>
      <c r="CN1221" t="str">
        <f>""</f>
        <v/>
      </c>
      <c r="CO1221" t="str">
        <f>""</f>
        <v/>
      </c>
      <c r="CP1221" t="str">
        <f>""</f>
        <v/>
      </c>
      <c r="CQ1221" t="str">
        <f>""</f>
        <v/>
      </c>
    </row>
    <row r="1222" spans="1:96" x14ac:dyDescent="0.2">
      <c r="A1222" t="s">
        <v>11799</v>
      </c>
      <c r="B1222" t="s">
        <v>96</v>
      </c>
      <c r="C1222" s="1">
        <v>44098</v>
      </c>
      <c r="D1222" s="1">
        <v>44105</v>
      </c>
      <c r="F1222" t="s">
        <v>97</v>
      </c>
      <c r="G1222" t="str">
        <f>"APPLICATION SUPPORT"</f>
        <v>APPLICATION SUPPORT</v>
      </c>
      <c r="H1222" t="s">
        <v>12181</v>
      </c>
      <c r="I1222" t="s">
        <v>110</v>
      </c>
      <c r="J1222" t="s">
        <v>98</v>
      </c>
      <c r="K1222" s="1">
        <v>44267</v>
      </c>
      <c r="L1222" s="1">
        <v>45362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 t="s">
        <v>1401</v>
      </c>
      <c r="U1222" t="str">
        <f>""</f>
        <v/>
      </c>
      <c r="V1222" t="s">
        <v>1402</v>
      </c>
      <c r="W1222" t="str">
        <f>"20TH FLOOR, IL 1-0043"</f>
        <v>20TH FLOOR, IL 1-0043</v>
      </c>
      <c r="X1222" t="s">
        <v>843</v>
      </c>
      <c r="Y1222" t="s">
        <v>345</v>
      </c>
      <c r="Z1222" s="3">
        <v>60603</v>
      </c>
      <c r="AA1222" t="s">
        <v>101</v>
      </c>
      <c r="AC1222" s="4" t="str">
        <f>"+13127326434"</f>
        <v>+13127326434</v>
      </c>
      <c r="AE1222" t="str">
        <f>"551112"</f>
        <v>551112</v>
      </c>
      <c r="AF1222" t="s">
        <v>2716</v>
      </c>
      <c r="AG1222" t="s">
        <v>2717</v>
      </c>
      <c r="AI1222" t="s">
        <v>1405</v>
      </c>
      <c r="AJ1222" t="s">
        <v>1402</v>
      </c>
      <c r="AK1222" t="str">
        <f>"20TH FLR., IL 1-0043"</f>
        <v>20TH FLR., IL 1-0043</v>
      </c>
      <c r="AL1222" t="s">
        <v>843</v>
      </c>
      <c r="AM1222" t="s">
        <v>345</v>
      </c>
      <c r="AN1222" s="3">
        <v>60603</v>
      </c>
      <c r="AO1222" t="s">
        <v>101</v>
      </c>
      <c r="AQ1222" t="str">
        <f>"+13127326434"</f>
        <v>+13127326434</v>
      </c>
      <c r="AS1222" t="s">
        <v>108</v>
      </c>
      <c r="AT1222" t="s">
        <v>107</v>
      </c>
      <c r="AU1222" t="str">
        <f>"GROBAN"</f>
        <v>GROBAN</v>
      </c>
      <c r="AV1222" t="str">
        <f>"MATTHEW"</f>
        <v>MATTHEW</v>
      </c>
      <c r="AW1222" t="str">
        <f>"S"</f>
        <v>S</v>
      </c>
      <c r="AX1222" t="str">
        <f>"8529 SIX FORKS ROAD"</f>
        <v>8529 SIX FORKS ROAD</v>
      </c>
      <c r="AY1222" t="str">
        <f>""</f>
        <v/>
      </c>
      <c r="AZ1222" t="str">
        <f>"RALEIGH"</f>
        <v>RALEIGH</v>
      </c>
      <c r="BA1222" t="str">
        <f>"NC"</f>
        <v>NC</v>
      </c>
      <c r="BB1222" s="3">
        <v>27615</v>
      </c>
      <c r="BC1222" t="str">
        <f>"UNITED STATES OF AMERICA"</f>
        <v>UNITED STATES OF AMERICA</v>
      </c>
      <c r="BD1222" t="str">
        <f>""</f>
        <v/>
      </c>
      <c r="BE1222" t="str">
        <f>"+19197879700"</f>
        <v>+19197879700</v>
      </c>
      <c r="BF1222" t="str">
        <f>""</f>
        <v/>
      </c>
      <c r="BG1222" t="str">
        <f>"LILLY.STANLEY@OGLETREEDEAKINS.COM"</f>
        <v>LILLY.STANLEY@OGLETREEDEAKINS.COM</v>
      </c>
      <c r="BH1222" t="str">
        <f>"OGLETREE, DEAKINS, NASH, SMOAK AND STEWART, P.C."</f>
        <v>OGLETREE, DEAKINS, NASH, SMOAK AND STEWART, P.C.</v>
      </c>
      <c r="BI1222" t="str">
        <f>"PA"</f>
        <v>PA</v>
      </c>
      <c r="BJ1222" t="str">
        <f>"PENNSYLVANIA SUPREME COURT"</f>
        <v>PENNSYLVANIA SUPREME COURT</v>
      </c>
      <c r="BK1222">
        <v>1</v>
      </c>
      <c r="BL1222" t="s">
        <v>102</v>
      </c>
      <c r="BM1222" t="str">
        <f>""</f>
        <v/>
      </c>
      <c r="BN1222" t="s">
        <v>6311</v>
      </c>
      <c r="BP1222" t="s">
        <v>5654</v>
      </c>
      <c r="BQ1222" t="s">
        <v>224</v>
      </c>
      <c r="BR1222" t="s">
        <v>225</v>
      </c>
      <c r="BS1222" s="5">
        <v>43081</v>
      </c>
      <c r="BT1222" s="2">
        <v>100000</v>
      </c>
      <c r="BV1222" t="s">
        <v>105</v>
      </c>
      <c r="BW1222" s="2">
        <v>89400</v>
      </c>
      <c r="BX1222" t="s">
        <v>105</v>
      </c>
      <c r="CA1222" t="str">
        <f>""</f>
        <v/>
      </c>
      <c r="CB1222" t="s">
        <v>244</v>
      </c>
      <c r="CC1222">
        <v>2019</v>
      </c>
      <c r="CD1222" t="s">
        <v>705</v>
      </c>
      <c r="CE1222" t="s">
        <v>1407</v>
      </c>
      <c r="CF1222">
        <v>2</v>
      </c>
      <c r="CG1222" t="s">
        <v>98</v>
      </c>
      <c r="CH1222" t="s">
        <v>206</v>
      </c>
      <c r="CI1222" t="s">
        <v>206</v>
      </c>
      <c r="CL1222" t="s">
        <v>108</v>
      </c>
      <c r="CM1222" t="s">
        <v>109</v>
      </c>
      <c r="CN1222" t="str">
        <f>"GROBAN"</f>
        <v>GROBAN</v>
      </c>
      <c r="CO1222" t="str">
        <f>"MATTHEW"</f>
        <v>MATTHEW</v>
      </c>
      <c r="CP1222" t="str">
        <f>"S"</f>
        <v>S</v>
      </c>
      <c r="CQ1222" t="str">
        <f>"OGLETREE, DEAKINS, NASH, SMOAK &amp; STEWART, P.C."</f>
        <v>OGLETREE, DEAKINS, NASH, SMOAK &amp; STEWART, P.C.</v>
      </c>
      <c r="CR1222" t="s">
        <v>1730</v>
      </c>
    </row>
    <row r="1223" spans="1:96" x14ac:dyDescent="0.2">
      <c r="A1223" t="s">
        <v>11800</v>
      </c>
      <c r="B1223" t="s">
        <v>96</v>
      </c>
      <c r="C1223" s="1">
        <v>44098</v>
      </c>
      <c r="D1223" s="1">
        <v>44105</v>
      </c>
      <c r="F1223" t="s">
        <v>97</v>
      </c>
      <c r="G1223" t="str">
        <f>"Accountant"</f>
        <v>Accountant</v>
      </c>
      <c r="H1223" t="s">
        <v>12192</v>
      </c>
      <c r="I1223" t="s">
        <v>855</v>
      </c>
      <c r="J1223" t="s">
        <v>206</v>
      </c>
      <c r="K1223" s="1">
        <v>44109</v>
      </c>
      <c r="L1223" s="1">
        <v>45203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 t="s">
        <v>11801</v>
      </c>
      <c r="U1223" t="str">
        <f>"Sensory Reflexology"</f>
        <v>Sensory Reflexology</v>
      </c>
      <c r="V1223" t="s">
        <v>11802</v>
      </c>
      <c r="W1223" t="str">
        <f>"Suite 100"</f>
        <v>Suite 100</v>
      </c>
      <c r="X1223" t="s">
        <v>2495</v>
      </c>
      <c r="Y1223" t="s">
        <v>114</v>
      </c>
      <c r="Z1223" s="3">
        <v>75013</v>
      </c>
      <c r="AA1223" t="s">
        <v>101</v>
      </c>
      <c r="AC1223" s="4" t="str">
        <f>"+14698546969"</f>
        <v>+14698546969</v>
      </c>
      <c r="AE1223" t="str">
        <f>"812199"</f>
        <v>812199</v>
      </c>
      <c r="AF1223" t="s">
        <v>6309</v>
      </c>
      <c r="AG1223" t="s">
        <v>11803</v>
      </c>
      <c r="AI1223" t="s">
        <v>2813</v>
      </c>
      <c r="AJ1223" t="s">
        <v>11802</v>
      </c>
      <c r="AK1223" t="str">
        <f>"Suite 100"</f>
        <v>Suite 100</v>
      </c>
      <c r="AL1223" t="s">
        <v>2495</v>
      </c>
      <c r="AM1223" t="s">
        <v>114</v>
      </c>
      <c r="AN1223" s="3">
        <v>75013</v>
      </c>
      <c r="AO1223" t="s">
        <v>101</v>
      </c>
      <c r="AQ1223" t="str">
        <f>"+14698546969"</f>
        <v>+14698546969</v>
      </c>
      <c r="AS1223" t="s">
        <v>11804</v>
      </c>
      <c r="AT1223" t="s">
        <v>107</v>
      </c>
      <c r="AU1223" t="str">
        <f>"Cao"</f>
        <v>Cao</v>
      </c>
      <c r="AV1223" t="str">
        <f>"Ying"</f>
        <v>Ying</v>
      </c>
      <c r="AW1223" t="str">
        <f>""</f>
        <v/>
      </c>
      <c r="AX1223" t="str">
        <f>"51 JFK Pkwy, First Floor West"</f>
        <v>51 JFK Pkwy, First Floor West</v>
      </c>
      <c r="AY1223" t="str">
        <f>"Room 140"</f>
        <v>Room 140</v>
      </c>
      <c r="AZ1223" t="str">
        <f>"Short Hills"</f>
        <v>Short Hills</v>
      </c>
      <c r="BA1223" t="str">
        <f>"NJ"</f>
        <v>NJ</v>
      </c>
      <c r="BB1223" s="3">
        <v>7078</v>
      </c>
      <c r="BC1223" t="str">
        <f>"UNITED STATES OF AMERICA"</f>
        <v>UNITED STATES OF AMERICA</v>
      </c>
      <c r="BD1223" t="str">
        <f>""</f>
        <v/>
      </c>
      <c r="BE1223" t="str">
        <f>"+19733101688"</f>
        <v>+19733101688</v>
      </c>
      <c r="BF1223" t="str">
        <f>""</f>
        <v/>
      </c>
      <c r="BG1223" t="str">
        <f>"ycao@yclawllc.com"</f>
        <v>ycao@yclawllc.com</v>
      </c>
      <c r="BH1223" t="str">
        <f>"Ying Cao Law LLC"</f>
        <v>Ying Cao Law LLC</v>
      </c>
      <c r="BI1223" t="str">
        <f>"NJ"</f>
        <v>NJ</v>
      </c>
      <c r="BJ1223" t="str">
        <f>"New Jersey Supreme Court"</f>
        <v>New Jersey Supreme Court</v>
      </c>
      <c r="BK1223">
        <v>1</v>
      </c>
      <c r="BL1223" t="s">
        <v>102</v>
      </c>
      <c r="BM1223" t="str">
        <f>""</f>
        <v/>
      </c>
      <c r="BN1223" t="s">
        <v>11802</v>
      </c>
      <c r="BO1223" t="s">
        <v>667</v>
      </c>
      <c r="BP1223" t="s">
        <v>2495</v>
      </c>
      <c r="BQ1223" t="s">
        <v>556</v>
      </c>
      <c r="BR1223" t="s">
        <v>114</v>
      </c>
      <c r="BS1223" s="5">
        <v>75013</v>
      </c>
      <c r="BT1223" s="2">
        <v>26</v>
      </c>
      <c r="BV1223" t="s">
        <v>210</v>
      </c>
      <c r="BW1223" s="2">
        <v>25.84</v>
      </c>
      <c r="BX1223" t="s">
        <v>210</v>
      </c>
      <c r="BZ1223" t="s">
        <v>191</v>
      </c>
      <c r="CA1223" t="str">
        <f>"7/1/2020 - 6/30/2021"</f>
        <v>7/1/2020 - 6/30/2021</v>
      </c>
      <c r="CF1223">
        <v>1</v>
      </c>
      <c r="CG1223" t="s">
        <v>98</v>
      </c>
      <c r="CH1223" t="s">
        <v>206</v>
      </c>
      <c r="CI1223" t="s">
        <v>206</v>
      </c>
      <c r="CL1223" t="s">
        <v>108</v>
      </c>
      <c r="CM1223" t="s">
        <v>109</v>
      </c>
      <c r="CN1223" t="str">
        <f>""</f>
        <v/>
      </c>
      <c r="CO1223" t="str">
        <f>""</f>
        <v/>
      </c>
      <c r="CP1223" t="str">
        <f>""</f>
        <v/>
      </c>
      <c r="CQ1223" t="str">
        <f>""</f>
        <v/>
      </c>
    </row>
    <row r="1224" spans="1:96" x14ac:dyDescent="0.2">
      <c r="A1224" t="s">
        <v>11806</v>
      </c>
      <c r="B1224" t="s">
        <v>96</v>
      </c>
      <c r="C1224" s="1">
        <v>44098</v>
      </c>
      <c r="D1224" s="1">
        <v>44105</v>
      </c>
      <c r="F1224" t="s">
        <v>97</v>
      </c>
      <c r="G1224" t="str">
        <f>"Senior Software Engineer"</f>
        <v>Senior Software Engineer</v>
      </c>
      <c r="H1224" t="s">
        <v>12169</v>
      </c>
      <c r="I1224" t="s">
        <v>124</v>
      </c>
      <c r="J1224" t="s">
        <v>98</v>
      </c>
      <c r="K1224" s="1">
        <v>44099</v>
      </c>
      <c r="L1224" s="1">
        <v>45193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 t="s">
        <v>6623</v>
      </c>
      <c r="U1224" t="str">
        <f>""</f>
        <v/>
      </c>
      <c r="V1224" t="s">
        <v>11807</v>
      </c>
      <c r="W1224" t="str">
        <f>"11th Floor"</f>
        <v>11th Floor</v>
      </c>
      <c r="X1224" t="s">
        <v>1487</v>
      </c>
      <c r="Y1224" t="s">
        <v>114</v>
      </c>
      <c r="Z1224" s="3">
        <v>75038</v>
      </c>
      <c r="AA1224" t="s">
        <v>101</v>
      </c>
      <c r="AC1224" s="4" t="str">
        <f>"+17815228952"</f>
        <v>+17815228952</v>
      </c>
      <c r="AE1224" t="str">
        <f>"541511"</f>
        <v>541511</v>
      </c>
      <c r="AF1224" t="s">
        <v>6624</v>
      </c>
      <c r="AG1224" t="s">
        <v>2582</v>
      </c>
      <c r="AH1224" t="s">
        <v>1060</v>
      </c>
      <c r="AI1224" t="s">
        <v>11808</v>
      </c>
      <c r="AJ1224" t="s">
        <v>6625</v>
      </c>
      <c r="AK1224" t="str">
        <f>"Suite 30000"</f>
        <v>Suite 30000</v>
      </c>
      <c r="AL1224" t="s">
        <v>2302</v>
      </c>
      <c r="AM1224" t="s">
        <v>171</v>
      </c>
      <c r="AN1224" s="3">
        <v>2451</v>
      </c>
      <c r="AO1224" t="s">
        <v>101</v>
      </c>
      <c r="AQ1224" t="str">
        <f>"+17815228952"</f>
        <v>+17815228952</v>
      </c>
      <c r="AS1224" t="s">
        <v>6626</v>
      </c>
      <c r="AT1224" t="s">
        <v>102</v>
      </c>
      <c r="AU1224" t="str">
        <f>""</f>
        <v/>
      </c>
      <c r="AV1224" t="str">
        <f>""</f>
        <v/>
      </c>
      <c r="AW1224" t="str">
        <f>""</f>
        <v/>
      </c>
      <c r="AX1224" t="str">
        <f>""</f>
        <v/>
      </c>
      <c r="AY1224" t="str">
        <f>""</f>
        <v/>
      </c>
      <c r="AZ1224" t="str">
        <f>""</f>
        <v/>
      </c>
      <c r="BA1224" t="str">
        <f>""</f>
        <v/>
      </c>
      <c r="BC1224" t="str">
        <f>""</f>
        <v/>
      </c>
      <c r="BD1224" t="str">
        <f>""</f>
        <v/>
      </c>
      <c r="BE1224" t="str">
        <f>""</f>
        <v/>
      </c>
      <c r="BF1224" t="str">
        <f>""</f>
        <v/>
      </c>
      <c r="BG1224" t="str">
        <f>""</f>
        <v/>
      </c>
      <c r="BH1224" t="str">
        <f>""</f>
        <v/>
      </c>
      <c r="BI1224" t="str">
        <f>""</f>
        <v/>
      </c>
      <c r="BJ1224" t="str">
        <f>""</f>
        <v/>
      </c>
      <c r="BK1224">
        <v>1</v>
      </c>
      <c r="BL1224" t="s">
        <v>102</v>
      </c>
      <c r="BM1224" t="str">
        <f>""</f>
        <v/>
      </c>
      <c r="BN1224" t="s">
        <v>11807</v>
      </c>
      <c r="BO1224" t="s">
        <v>1531</v>
      </c>
      <c r="BP1224" t="s">
        <v>483</v>
      </c>
      <c r="BQ1224" t="s">
        <v>484</v>
      </c>
      <c r="BR1224" t="s">
        <v>114</v>
      </c>
      <c r="BS1224" s="5">
        <v>75062</v>
      </c>
      <c r="BT1224" s="2">
        <v>110344</v>
      </c>
      <c r="BV1224" t="s">
        <v>105</v>
      </c>
      <c r="BW1224" s="2">
        <v>110344</v>
      </c>
      <c r="BX1224" t="s">
        <v>105</v>
      </c>
      <c r="BZ1224" t="s">
        <v>123</v>
      </c>
      <c r="CA1224" t="str">
        <f>"7/1/2020 - 6/30/2021"</f>
        <v>7/1/2020 - 6/30/2021</v>
      </c>
      <c r="CF1224">
        <v>2</v>
      </c>
      <c r="CG1224" t="s">
        <v>98</v>
      </c>
      <c r="CH1224" t="s">
        <v>206</v>
      </c>
      <c r="CI1224" t="s">
        <v>206</v>
      </c>
      <c r="CL1224" t="s">
        <v>108</v>
      </c>
      <c r="CM1224" t="s">
        <v>109</v>
      </c>
      <c r="CN1224" t="str">
        <f>""</f>
        <v/>
      </c>
      <c r="CO1224" t="str">
        <f>""</f>
        <v/>
      </c>
      <c r="CP1224" t="str">
        <f>""</f>
        <v/>
      </c>
      <c r="CQ1224" t="str">
        <f>""</f>
        <v/>
      </c>
    </row>
    <row r="1225" spans="1:96" x14ac:dyDescent="0.2">
      <c r="A1225" t="s">
        <v>11815</v>
      </c>
      <c r="B1225" t="s">
        <v>96</v>
      </c>
      <c r="C1225" s="1">
        <v>44098</v>
      </c>
      <c r="D1225" s="1">
        <v>44105</v>
      </c>
      <c r="F1225" t="s">
        <v>97</v>
      </c>
      <c r="G1225" t="str">
        <f>"RESEARCH ANALYST"</f>
        <v>RESEARCH ANALYST</v>
      </c>
      <c r="H1225" t="s">
        <v>12213</v>
      </c>
      <c r="I1225" t="s">
        <v>493</v>
      </c>
      <c r="J1225" t="s">
        <v>98</v>
      </c>
      <c r="K1225" s="1">
        <v>44246</v>
      </c>
      <c r="L1225" s="1">
        <v>45340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 t="s">
        <v>1449</v>
      </c>
      <c r="U1225" t="str">
        <f>""</f>
        <v/>
      </c>
      <c r="V1225" t="s">
        <v>1450</v>
      </c>
      <c r="W1225" t="str">
        <f>""</f>
        <v/>
      </c>
      <c r="X1225" t="s">
        <v>951</v>
      </c>
      <c r="Y1225" t="s">
        <v>171</v>
      </c>
      <c r="Z1225" s="3">
        <v>2210</v>
      </c>
      <c r="AA1225" t="s">
        <v>101</v>
      </c>
      <c r="AC1225" s="4" t="str">
        <f>"+16179515000"</f>
        <v>+16179515000</v>
      </c>
      <c r="AE1225" t="str">
        <f>"523920"</f>
        <v>523920</v>
      </c>
      <c r="AF1225" t="s">
        <v>1451</v>
      </c>
      <c r="AG1225" t="s">
        <v>1452</v>
      </c>
      <c r="AI1225" t="s">
        <v>1453</v>
      </c>
      <c r="AJ1225" t="s">
        <v>1450</v>
      </c>
      <c r="AK1225" t="str">
        <f>""</f>
        <v/>
      </c>
      <c r="AL1225" t="s">
        <v>951</v>
      </c>
      <c r="AM1225" t="s">
        <v>171</v>
      </c>
      <c r="AN1225" s="3">
        <v>2210</v>
      </c>
      <c r="AO1225" t="s">
        <v>101</v>
      </c>
      <c r="AQ1225" t="str">
        <f>"+16179515000"</f>
        <v>+16179515000</v>
      </c>
      <c r="AS1225" t="s">
        <v>1454</v>
      </c>
      <c r="AT1225" t="s">
        <v>107</v>
      </c>
      <c r="AU1225" t="str">
        <f>"ROSKOM"</f>
        <v>ROSKOM</v>
      </c>
      <c r="AV1225" t="str">
        <f>"ANNE"</f>
        <v>ANNE</v>
      </c>
      <c r="AW1225" t="str">
        <f>"R"</f>
        <v>R</v>
      </c>
      <c r="AX1225" t="str">
        <f>"100 HIGH STREET"</f>
        <v>100 HIGH STREET</v>
      </c>
      <c r="AY1225" t="str">
        <f>"3RD FLOOR"</f>
        <v>3RD FLOOR</v>
      </c>
      <c r="AZ1225" t="str">
        <f>"BOSTON"</f>
        <v>BOSTON</v>
      </c>
      <c r="BA1225" t="str">
        <f>"MA"</f>
        <v>MA</v>
      </c>
      <c r="BB1225" s="3">
        <v>2110</v>
      </c>
      <c r="BC1225" t="str">
        <f>"UNITED STATES OF AMERICA"</f>
        <v>UNITED STATES OF AMERICA</v>
      </c>
      <c r="BD1225" t="str">
        <f>""</f>
        <v/>
      </c>
      <c r="BE1225" t="str">
        <f>"+16175740400"</f>
        <v>+16175740400</v>
      </c>
      <c r="BF1225" t="str">
        <f>""</f>
        <v/>
      </c>
      <c r="BG1225" t="str">
        <f>"EMMA.HOWARD@FRAGOMEN.COM"</f>
        <v>EMMA.HOWARD@FRAGOMEN.COM</v>
      </c>
      <c r="BH1225" t="str">
        <f>"FRAGOMEN, DEL REY, BERNSEN &amp; LOEWY, LLP"</f>
        <v>FRAGOMEN, DEL REY, BERNSEN &amp; LOEWY, LLP</v>
      </c>
      <c r="BI1225" t="str">
        <f>"CA"</f>
        <v>CA</v>
      </c>
      <c r="BJ1225" t="str">
        <f>"SUPREME COURT "</f>
        <v xml:space="preserve">SUPREME COURT </v>
      </c>
      <c r="BK1225">
        <v>1</v>
      </c>
      <c r="BL1225" t="s">
        <v>102</v>
      </c>
      <c r="BM1225" t="str">
        <f>""</f>
        <v/>
      </c>
      <c r="BN1225" t="s">
        <v>1455</v>
      </c>
      <c r="BP1225" t="s">
        <v>951</v>
      </c>
      <c r="BQ1225" t="s">
        <v>209</v>
      </c>
      <c r="BR1225" t="s">
        <v>171</v>
      </c>
      <c r="BS1225" s="5">
        <v>2210</v>
      </c>
      <c r="BT1225" s="2">
        <v>164000</v>
      </c>
      <c r="BV1225" t="s">
        <v>105</v>
      </c>
      <c r="BW1225" s="2">
        <v>125382</v>
      </c>
      <c r="BX1225" t="s">
        <v>105</v>
      </c>
      <c r="BZ1225" t="s">
        <v>159</v>
      </c>
      <c r="CA1225" t="str">
        <f>"7/1/2020 - 6/30/2021"</f>
        <v>7/1/2020 - 6/30/2021</v>
      </c>
      <c r="CF1225">
        <v>2</v>
      </c>
      <c r="CG1225" t="s">
        <v>98</v>
      </c>
      <c r="CH1225" t="s">
        <v>206</v>
      </c>
      <c r="CI1225" t="s">
        <v>206</v>
      </c>
      <c r="CL1225" t="s">
        <v>108</v>
      </c>
      <c r="CM1225" t="s">
        <v>109</v>
      </c>
      <c r="CN1225" t="str">
        <f>"HOWARD"</f>
        <v>HOWARD</v>
      </c>
      <c r="CO1225" t="str">
        <f>"EMMA "</f>
        <v xml:space="preserve">EMMA </v>
      </c>
      <c r="CP1225" t="str">
        <f>"R"</f>
        <v>R</v>
      </c>
      <c r="CQ1225" t="str">
        <f>"FRAGOMEN, DEL REY, BERNSEN &amp; LOEWY, LLP"</f>
        <v>FRAGOMEN, DEL REY, BERNSEN &amp; LOEWY, LLP</v>
      </c>
      <c r="CR1225" t="s">
        <v>1456</v>
      </c>
    </row>
    <row r="1226" spans="1:96" x14ac:dyDescent="0.2">
      <c r="A1226" t="s">
        <v>11816</v>
      </c>
      <c r="B1226" t="s">
        <v>96</v>
      </c>
      <c r="C1226" s="1">
        <v>44098</v>
      </c>
      <c r="D1226" s="1">
        <v>44105</v>
      </c>
      <c r="F1226" t="s">
        <v>97</v>
      </c>
      <c r="G1226" t="str">
        <f>"Application Development Maintenance"</f>
        <v>Application Development Maintenance</v>
      </c>
      <c r="H1226" t="s">
        <v>12169</v>
      </c>
      <c r="I1226" t="s">
        <v>124</v>
      </c>
      <c r="J1226" t="s">
        <v>98</v>
      </c>
      <c r="K1226" s="1">
        <v>44233</v>
      </c>
      <c r="L1226" s="1">
        <v>45327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 t="s">
        <v>3590</v>
      </c>
      <c r="U1226" t="str">
        <f>""</f>
        <v/>
      </c>
      <c r="V1226" t="s">
        <v>3591</v>
      </c>
      <c r="W1226" t="str">
        <f>""</f>
        <v/>
      </c>
      <c r="X1226" t="s">
        <v>207</v>
      </c>
      <c r="Y1226" t="s">
        <v>171</v>
      </c>
      <c r="Z1226" s="3">
        <v>2111</v>
      </c>
      <c r="AA1226" t="s">
        <v>101</v>
      </c>
      <c r="AC1226" s="4" t="str">
        <f>"+16179851414"</f>
        <v>+16179851414</v>
      </c>
      <c r="AE1226" t="str">
        <f>"522110"</f>
        <v>522110</v>
      </c>
      <c r="AF1226" t="s">
        <v>3592</v>
      </c>
      <c r="AG1226" t="s">
        <v>1459</v>
      </c>
      <c r="AH1226" t="s">
        <v>1435</v>
      </c>
      <c r="AI1226" t="s">
        <v>3593</v>
      </c>
      <c r="AJ1226" t="s">
        <v>3591</v>
      </c>
      <c r="AK1226" t="str">
        <f>""</f>
        <v/>
      </c>
      <c r="AL1226" t="s">
        <v>207</v>
      </c>
      <c r="AM1226" t="s">
        <v>171</v>
      </c>
      <c r="AN1226" s="3">
        <v>2111</v>
      </c>
      <c r="AO1226" t="s">
        <v>101</v>
      </c>
      <c r="AQ1226" t="str">
        <f>"+16179851414"</f>
        <v>+16179851414</v>
      </c>
      <c r="AS1226" t="s">
        <v>3594</v>
      </c>
      <c r="AT1226" t="s">
        <v>107</v>
      </c>
      <c r="AU1226" t="str">
        <f>"Gloski"</f>
        <v>Gloski</v>
      </c>
      <c r="AV1226" t="str">
        <f>"Charles"</f>
        <v>Charles</v>
      </c>
      <c r="AW1226" t="str">
        <f>"Joseph"</f>
        <v>Joseph</v>
      </c>
      <c r="AX1226" t="str">
        <f>"100 High Street"</f>
        <v>100 High Street</v>
      </c>
      <c r="AY1226" t="str">
        <f>"Suite 1300"</f>
        <v>Suite 1300</v>
      </c>
      <c r="AZ1226" t="str">
        <f>"Boston"</f>
        <v>Boston</v>
      </c>
      <c r="BA1226" t="str">
        <f>"MA"</f>
        <v>MA</v>
      </c>
      <c r="BB1226" s="3">
        <v>2110</v>
      </c>
      <c r="BC1226" t="str">
        <f>"UNITED STATES OF AMERICA"</f>
        <v>UNITED STATES OF AMERICA</v>
      </c>
      <c r="BD1226" t="str">
        <f>""</f>
        <v/>
      </c>
      <c r="BE1226" t="str">
        <f>"+16174821775"</f>
        <v>+16174821775</v>
      </c>
      <c r="BF1226" t="str">
        <f>""</f>
        <v/>
      </c>
      <c r="BG1226" t="str">
        <f>"jgloski@chincurtis.com"</f>
        <v>jgloski@chincurtis.com</v>
      </c>
      <c r="BH1226" t="str">
        <f>"Chin &amp; Curtis, LLP"</f>
        <v>Chin &amp; Curtis, LLP</v>
      </c>
      <c r="BI1226" t="str">
        <f>"MA"</f>
        <v>MA</v>
      </c>
      <c r="BJ1226" t="str">
        <f>"Supreme Judicial Court"</f>
        <v>Supreme Judicial Court</v>
      </c>
      <c r="BK1226">
        <v>1</v>
      </c>
      <c r="BL1226" t="s">
        <v>102</v>
      </c>
      <c r="BM1226" t="str">
        <f>""</f>
        <v/>
      </c>
      <c r="BN1226" t="s">
        <v>7465</v>
      </c>
      <c r="BO1226" t="s">
        <v>6772</v>
      </c>
      <c r="BP1226" t="s">
        <v>5039</v>
      </c>
      <c r="BQ1226" t="s">
        <v>2224</v>
      </c>
      <c r="BR1226" t="s">
        <v>171</v>
      </c>
      <c r="BS1226" s="5">
        <v>2169</v>
      </c>
      <c r="BT1226" s="2">
        <v>111779</v>
      </c>
      <c r="BU1226" s="2">
        <v>130000</v>
      </c>
      <c r="BV1226" t="s">
        <v>105</v>
      </c>
      <c r="BW1226" s="2">
        <v>111779</v>
      </c>
      <c r="BX1226" t="s">
        <v>105</v>
      </c>
      <c r="CA1226" t="str">
        <f>""</f>
        <v/>
      </c>
      <c r="CB1226" t="s">
        <v>244</v>
      </c>
      <c r="CC1226">
        <v>2019</v>
      </c>
      <c r="CD1226" t="s">
        <v>1155</v>
      </c>
      <c r="CE1226" t="s">
        <v>11240</v>
      </c>
      <c r="CF1226">
        <v>1</v>
      </c>
      <c r="CG1226" t="s">
        <v>98</v>
      </c>
      <c r="CH1226" t="s">
        <v>206</v>
      </c>
      <c r="CI1226" t="s">
        <v>206</v>
      </c>
      <c r="CL1226" t="s">
        <v>108</v>
      </c>
      <c r="CM1226" t="s">
        <v>109</v>
      </c>
      <c r="CN1226" t="str">
        <f>""</f>
        <v/>
      </c>
      <c r="CO1226" t="str">
        <f>""</f>
        <v/>
      </c>
      <c r="CP1226" t="str">
        <f>""</f>
        <v/>
      </c>
      <c r="CQ1226" t="str">
        <f>""</f>
        <v/>
      </c>
    </row>
    <row r="1227" spans="1:96" x14ac:dyDescent="0.2">
      <c r="A1227" t="s">
        <v>11817</v>
      </c>
      <c r="B1227" t="s">
        <v>96</v>
      </c>
      <c r="C1227" s="1">
        <v>44098</v>
      </c>
      <c r="D1227" s="1">
        <v>44105</v>
      </c>
      <c r="F1227" t="s">
        <v>97</v>
      </c>
      <c r="G1227" t="str">
        <f>"Senior Staff Software Engineer"</f>
        <v>Senior Staff Software Engineer</v>
      </c>
      <c r="H1227" t="s">
        <v>12176</v>
      </c>
      <c r="I1227" t="s">
        <v>246</v>
      </c>
      <c r="J1227" t="s">
        <v>98</v>
      </c>
      <c r="K1227" s="1">
        <v>44271</v>
      </c>
      <c r="L1227" s="1">
        <v>45366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 t="s">
        <v>2009</v>
      </c>
      <c r="U1227" t="str">
        <f>""</f>
        <v/>
      </c>
      <c r="V1227" t="s">
        <v>2010</v>
      </c>
      <c r="W1227" t="str">
        <f>""</f>
        <v/>
      </c>
      <c r="X1227" t="s">
        <v>585</v>
      </c>
      <c r="Y1227" t="s">
        <v>141</v>
      </c>
      <c r="Z1227" s="3">
        <v>95124</v>
      </c>
      <c r="AA1227" t="s">
        <v>101</v>
      </c>
      <c r="AC1227" s="4" t="str">
        <f>"+14085597778"</f>
        <v>+14085597778</v>
      </c>
      <c r="AE1227" t="str">
        <f>"334413"</f>
        <v>334413</v>
      </c>
      <c r="AF1227" t="s">
        <v>2011</v>
      </c>
      <c r="AG1227" t="s">
        <v>2012</v>
      </c>
      <c r="AI1227" t="s">
        <v>2013</v>
      </c>
      <c r="AJ1227" t="s">
        <v>2010</v>
      </c>
      <c r="AK1227" t="str">
        <f>""</f>
        <v/>
      </c>
      <c r="AL1227" t="s">
        <v>585</v>
      </c>
      <c r="AM1227" t="s">
        <v>141</v>
      </c>
      <c r="AN1227" s="3">
        <v>95124</v>
      </c>
      <c r="AO1227" t="s">
        <v>101</v>
      </c>
      <c r="AQ1227" t="str">
        <f>"+14085597778"</f>
        <v>+14085597778</v>
      </c>
      <c r="AS1227" t="s">
        <v>2014</v>
      </c>
      <c r="AT1227" t="s">
        <v>107</v>
      </c>
      <c r="AU1227" t="str">
        <f>"Plotkin"</f>
        <v>Plotkin</v>
      </c>
      <c r="AV1227" t="str">
        <f>"Norman"</f>
        <v>Norman</v>
      </c>
      <c r="AW1227" t="str">
        <f>"C."</f>
        <v>C.</v>
      </c>
      <c r="AX1227" t="str">
        <f>"909 Montgomery Street"</f>
        <v>909 Montgomery Street</v>
      </c>
      <c r="AY1227" t="str">
        <f>"Suite 200"</f>
        <v>Suite 200</v>
      </c>
      <c r="AZ1227" t="str">
        <f>"San Francisco"</f>
        <v>San Francisco</v>
      </c>
      <c r="BA1227" t="str">
        <f>"CA"</f>
        <v>CA</v>
      </c>
      <c r="BB1227" s="3">
        <v>94133</v>
      </c>
      <c r="BC1227" t="str">
        <f>"UNITED STATES OF AMERICA"</f>
        <v>UNITED STATES OF AMERICA</v>
      </c>
      <c r="BD1227" t="str">
        <f>"CA"</f>
        <v>CA</v>
      </c>
      <c r="BE1227" t="str">
        <f>"+14159864559"</f>
        <v>+14159864559</v>
      </c>
      <c r="BF1227" t="str">
        <f>""</f>
        <v/>
      </c>
      <c r="BG1227" t="str">
        <f>"nplotkin@jackson-hertogs.com"</f>
        <v>nplotkin@jackson-hertogs.com</v>
      </c>
      <c r="BH1227" t="str">
        <f>"Jackson &amp; Hertogs LLP"</f>
        <v>Jackson &amp; Hertogs LLP</v>
      </c>
      <c r="BI1227" t="str">
        <f>"LA"</f>
        <v>LA</v>
      </c>
      <c r="BJ1227" t="str">
        <f>"Louisiana Supreme Court"</f>
        <v>Louisiana Supreme Court</v>
      </c>
      <c r="BK1227">
        <v>1</v>
      </c>
      <c r="BL1227" t="s">
        <v>102</v>
      </c>
      <c r="BM1227" t="str">
        <f>""</f>
        <v/>
      </c>
      <c r="BN1227" t="s">
        <v>2010</v>
      </c>
      <c r="BP1227" t="s">
        <v>585</v>
      </c>
      <c r="BQ1227" t="s">
        <v>230</v>
      </c>
      <c r="BR1227" t="s">
        <v>141</v>
      </c>
      <c r="BS1227" s="5">
        <v>95124</v>
      </c>
      <c r="BT1227" s="2">
        <v>141328</v>
      </c>
      <c r="BU1227" s="2">
        <v>238599</v>
      </c>
      <c r="BV1227" t="s">
        <v>105</v>
      </c>
      <c r="BW1227" s="2">
        <v>141328</v>
      </c>
      <c r="BX1227" t="s">
        <v>105</v>
      </c>
      <c r="CA1227" t="str">
        <f>""</f>
        <v/>
      </c>
      <c r="CB1227" t="s">
        <v>244</v>
      </c>
      <c r="CC1227">
        <v>2020</v>
      </c>
      <c r="CD1227" t="s">
        <v>6081</v>
      </c>
      <c r="CE1227" t="s">
        <v>6081</v>
      </c>
      <c r="CF1227">
        <v>1</v>
      </c>
      <c r="CG1227" t="s">
        <v>98</v>
      </c>
      <c r="CH1227" t="s">
        <v>206</v>
      </c>
      <c r="CI1227" t="s">
        <v>206</v>
      </c>
      <c r="CL1227" t="s">
        <v>108</v>
      </c>
      <c r="CM1227" t="s">
        <v>109</v>
      </c>
      <c r="CN1227" t="str">
        <f>"Cruz 76810"</f>
        <v>Cruz 76810</v>
      </c>
      <c r="CO1227" t="str">
        <f>"Jose"</f>
        <v>Jose</v>
      </c>
      <c r="CP1227" t="str">
        <f>""</f>
        <v/>
      </c>
      <c r="CQ1227" t="str">
        <f>"Jackson &amp; Hertogs LLP"</f>
        <v>Jackson &amp; Hertogs LLP</v>
      </c>
      <c r="CR1227" t="s">
        <v>6136</v>
      </c>
    </row>
    <row r="1228" spans="1:96" x14ac:dyDescent="0.2">
      <c r="A1228" t="s">
        <v>11824</v>
      </c>
      <c r="B1228" t="s">
        <v>96</v>
      </c>
      <c r="C1228" s="1">
        <v>44098</v>
      </c>
      <c r="D1228" s="1">
        <v>44105</v>
      </c>
      <c r="F1228" t="s">
        <v>97</v>
      </c>
      <c r="G1228" t="str">
        <f>"Technical Solutions Consultant 1615.42693"</f>
        <v>Technical Solutions Consultant 1615.42693</v>
      </c>
      <c r="H1228" t="s">
        <v>12168</v>
      </c>
      <c r="I1228" t="s">
        <v>160</v>
      </c>
      <c r="J1228" t="s">
        <v>98</v>
      </c>
      <c r="K1228" s="1">
        <v>44105</v>
      </c>
      <c r="L1228" s="1">
        <v>45199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289</v>
      </c>
      <c r="U1228" t="str">
        <f>""</f>
        <v/>
      </c>
      <c r="V1228" t="s">
        <v>1562</v>
      </c>
      <c r="W1228" t="str">
        <f>""</f>
        <v/>
      </c>
      <c r="X1228" t="s">
        <v>150</v>
      </c>
      <c r="Y1228" t="s">
        <v>141</v>
      </c>
      <c r="Z1228" s="3">
        <v>94043</v>
      </c>
      <c r="AA1228" t="s">
        <v>101</v>
      </c>
      <c r="AC1228" s="4" t="str">
        <f>"+16502534513"</f>
        <v>+16502534513</v>
      </c>
      <c r="AE1228" t="str">
        <f>"541512"</f>
        <v>541512</v>
      </c>
      <c r="AF1228" t="s">
        <v>427</v>
      </c>
      <c r="AG1228" t="s">
        <v>1880</v>
      </c>
      <c r="AI1228" t="s">
        <v>893</v>
      </c>
      <c r="AJ1228" t="s">
        <v>1562</v>
      </c>
      <c r="AK1228" t="str">
        <f>""</f>
        <v/>
      </c>
      <c r="AL1228" t="s">
        <v>150</v>
      </c>
      <c r="AM1228" t="s">
        <v>141</v>
      </c>
      <c r="AN1228" s="3">
        <v>94043</v>
      </c>
      <c r="AO1228" t="s">
        <v>101</v>
      </c>
      <c r="AQ1228" t="str">
        <f>"+16502534513"</f>
        <v>+16502534513</v>
      </c>
      <c r="AS1228" t="s">
        <v>429</v>
      </c>
      <c r="AT1228" t="s">
        <v>107</v>
      </c>
      <c r="AU1228" t="str">
        <f>"Wu"</f>
        <v>Wu</v>
      </c>
      <c r="AV1228" t="str">
        <f>"Mengying"</f>
        <v>Mengying</v>
      </c>
      <c r="AW1228" t="str">
        <f>""</f>
        <v/>
      </c>
      <c r="AX1228" t="str">
        <f>"2400 N. Glenville Drive"</f>
        <v>2400 N. Glenville Drive</v>
      </c>
      <c r="AY1228" t="str">
        <f>"Building A, Suite 100"</f>
        <v>Building A, Suite 100</v>
      </c>
      <c r="AZ1228" t="str">
        <f>"Richardson"</f>
        <v>Richardson</v>
      </c>
      <c r="BA1228" t="str">
        <f>"TX"</f>
        <v>TX</v>
      </c>
      <c r="BB1228" s="3">
        <v>75082</v>
      </c>
      <c r="BC1228" t="str">
        <f>"UNITED STATES OF AMERICA"</f>
        <v>UNITED STATES OF AMERICA</v>
      </c>
      <c r="BD1228" t="str">
        <f>""</f>
        <v/>
      </c>
      <c r="BE1228" t="str">
        <f>"+19728617129"</f>
        <v>+19728617129</v>
      </c>
      <c r="BF1228" t="str">
        <f>""</f>
        <v/>
      </c>
      <c r="BG1228" t="str">
        <f>"GoogleDOL@balglobal.com"</f>
        <v>GoogleDOL@balglobal.com</v>
      </c>
      <c r="BH1228" t="str">
        <f>"Berry Appleman &amp; Leiden LLP"</f>
        <v>Berry Appleman &amp; Leiden LLP</v>
      </c>
      <c r="BI1228" t="str">
        <f>"NY"</f>
        <v>NY</v>
      </c>
      <c r="BJ1228" t="str">
        <f>"Supreme Court of New York"</f>
        <v>Supreme Court of New York</v>
      </c>
      <c r="BK1228">
        <v>1</v>
      </c>
      <c r="BL1228" t="s">
        <v>102</v>
      </c>
      <c r="BM1228" t="str">
        <f>""</f>
        <v/>
      </c>
      <c r="BN1228" t="s">
        <v>8597</v>
      </c>
      <c r="BP1228" t="s">
        <v>277</v>
      </c>
      <c r="BQ1228" t="s">
        <v>189</v>
      </c>
      <c r="BR1228" t="s">
        <v>190</v>
      </c>
      <c r="BS1228" s="5">
        <v>10011</v>
      </c>
      <c r="BT1228" s="2">
        <v>143000</v>
      </c>
      <c r="BV1228" t="s">
        <v>105</v>
      </c>
      <c r="BW1228" s="2">
        <v>67766</v>
      </c>
      <c r="BX1228" t="s">
        <v>105</v>
      </c>
      <c r="BZ1228" t="s">
        <v>167</v>
      </c>
      <c r="CA1228" t="str">
        <f>"7/1/2020 - 6/30/2021"</f>
        <v>7/1/2020 - 6/30/2021</v>
      </c>
      <c r="CF1228">
        <v>2</v>
      </c>
      <c r="CG1228" t="s">
        <v>98</v>
      </c>
      <c r="CH1228" t="s">
        <v>206</v>
      </c>
      <c r="CI1228" t="s">
        <v>206</v>
      </c>
      <c r="CL1228" t="s">
        <v>108</v>
      </c>
      <c r="CM1228" t="s">
        <v>109</v>
      </c>
      <c r="CN1228" t="str">
        <f>"Gonzalez"</f>
        <v>Gonzalez</v>
      </c>
      <c r="CO1228" t="str">
        <f>"Kim"</f>
        <v>Kim</v>
      </c>
      <c r="CP1228" t="str">
        <f>""</f>
        <v/>
      </c>
      <c r="CQ1228" t="str">
        <f>"Brry Appleman &amp; Leiden LLC"</f>
        <v>Brry Appleman &amp; Leiden LLC</v>
      </c>
      <c r="CR1228" t="s">
        <v>6577</v>
      </c>
    </row>
    <row r="1229" spans="1:96" x14ac:dyDescent="0.2">
      <c r="A1229" t="s">
        <v>11825</v>
      </c>
      <c r="B1229" t="s">
        <v>96</v>
      </c>
      <c r="C1229" s="1">
        <v>44098</v>
      </c>
      <c r="D1229" s="1">
        <v>44105</v>
      </c>
      <c r="F1229" t="s">
        <v>97</v>
      </c>
      <c r="G1229" t="str">
        <f>"Research Associate"</f>
        <v>Research Associate</v>
      </c>
      <c r="H1229" t="s">
        <v>12190</v>
      </c>
      <c r="I1229" t="s">
        <v>1072</v>
      </c>
      <c r="J1229" t="s">
        <v>98</v>
      </c>
      <c r="K1229" s="1">
        <v>44250</v>
      </c>
      <c r="L1229" s="1">
        <v>45344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1292</v>
      </c>
      <c r="U1229" t="str">
        <f>""</f>
        <v/>
      </c>
      <c r="V1229" t="s">
        <v>1293</v>
      </c>
      <c r="W1229" t="str">
        <f>""</f>
        <v/>
      </c>
      <c r="X1229" t="s">
        <v>1294</v>
      </c>
      <c r="Y1229" t="s">
        <v>345</v>
      </c>
      <c r="Z1229" s="3">
        <v>60208</v>
      </c>
      <c r="AA1229" t="s">
        <v>101</v>
      </c>
      <c r="AC1229" s="4" t="str">
        <f>"+18474915613"</f>
        <v>+18474915613</v>
      </c>
      <c r="AE1229" t="str">
        <f>"611310"</f>
        <v>611310</v>
      </c>
      <c r="AF1229" t="s">
        <v>1295</v>
      </c>
      <c r="AG1229" t="s">
        <v>1296</v>
      </c>
      <c r="AH1229" t="s">
        <v>782</v>
      </c>
      <c r="AI1229" t="s">
        <v>1297</v>
      </c>
      <c r="AJ1229" t="s">
        <v>1293</v>
      </c>
      <c r="AK1229" t="str">
        <f>""</f>
        <v/>
      </c>
      <c r="AL1229" t="s">
        <v>1294</v>
      </c>
      <c r="AM1229" t="s">
        <v>345</v>
      </c>
      <c r="AN1229" s="3">
        <v>60208</v>
      </c>
      <c r="AO1229" t="s">
        <v>101</v>
      </c>
      <c r="AQ1229" t="str">
        <f>"+18474915613"</f>
        <v>+18474915613</v>
      </c>
      <c r="AS1229" t="s">
        <v>1298</v>
      </c>
      <c r="AT1229" t="s">
        <v>102</v>
      </c>
      <c r="AU1229" t="str">
        <f>""</f>
        <v/>
      </c>
      <c r="AV1229" t="str">
        <f>""</f>
        <v/>
      </c>
      <c r="AW1229" t="str">
        <f>""</f>
        <v/>
      </c>
      <c r="AX1229" t="str">
        <f>""</f>
        <v/>
      </c>
      <c r="AY1229" t="str">
        <f>""</f>
        <v/>
      </c>
      <c r="AZ1229" t="str">
        <f>""</f>
        <v/>
      </c>
      <c r="BA1229" t="str">
        <f>""</f>
        <v/>
      </c>
      <c r="BC1229" t="str">
        <f>""</f>
        <v/>
      </c>
      <c r="BD1229" t="str">
        <f>""</f>
        <v/>
      </c>
      <c r="BE1229" t="str">
        <f>""</f>
        <v/>
      </c>
      <c r="BF1229" t="str">
        <f>""</f>
        <v/>
      </c>
      <c r="BG1229" t="str">
        <f>""</f>
        <v/>
      </c>
      <c r="BH1229" t="str">
        <f>""</f>
        <v/>
      </c>
      <c r="BI1229" t="str">
        <f>""</f>
        <v/>
      </c>
      <c r="BJ1229" t="str">
        <f>""</f>
        <v/>
      </c>
      <c r="BK1229">
        <v>1</v>
      </c>
      <c r="BL1229" t="s">
        <v>102</v>
      </c>
      <c r="BM1229" t="str">
        <f>""</f>
        <v/>
      </c>
      <c r="BN1229" t="s">
        <v>1299</v>
      </c>
      <c r="BP1229" t="s">
        <v>833</v>
      </c>
      <c r="BQ1229" t="s">
        <v>788</v>
      </c>
      <c r="BR1229" t="s">
        <v>345</v>
      </c>
      <c r="BS1229" s="5">
        <v>60611</v>
      </c>
      <c r="BT1229" s="2">
        <v>64000.08</v>
      </c>
      <c r="BV1229" t="s">
        <v>105</v>
      </c>
      <c r="BW1229" s="2">
        <v>49130</v>
      </c>
      <c r="BX1229" t="s">
        <v>105</v>
      </c>
      <c r="BY1229" t="s">
        <v>11826</v>
      </c>
      <c r="CA1229" t="str">
        <f>""</f>
        <v/>
      </c>
      <c r="CF1229">
        <v>1</v>
      </c>
      <c r="CG1229" t="s">
        <v>98</v>
      </c>
      <c r="CH1229" t="s">
        <v>206</v>
      </c>
      <c r="CI1229" t="s">
        <v>206</v>
      </c>
      <c r="CL1229" t="s">
        <v>108</v>
      </c>
      <c r="CM1229" t="s">
        <v>109</v>
      </c>
      <c r="CN1229" t="str">
        <f>""</f>
        <v/>
      </c>
      <c r="CO1229" t="str">
        <f>""</f>
        <v/>
      </c>
      <c r="CP1229" t="str">
        <f>""</f>
        <v/>
      </c>
      <c r="CQ1229" t="str">
        <f>""</f>
        <v/>
      </c>
    </row>
    <row r="1230" spans="1:96" x14ac:dyDescent="0.2">
      <c r="A1230" t="s">
        <v>11832</v>
      </c>
      <c r="B1230" t="s">
        <v>96</v>
      </c>
      <c r="C1230" s="1">
        <v>44098</v>
      </c>
      <c r="D1230" s="1">
        <v>44105</v>
      </c>
      <c r="F1230" t="s">
        <v>97</v>
      </c>
      <c r="G1230" t="str">
        <f>"Software Engineer (1615.53874)"</f>
        <v>Software Engineer (1615.53874)</v>
      </c>
      <c r="H1230" t="s">
        <v>12169</v>
      </c>
      <c r="I1230" t="s">
        <v>124</v>
      </c>
      <c r="J1230" t="s">
        <v>98</v>
      </c>
      <c r="K1230" s="1">
        <v>44105</v>
      </c>
      <c r="L1230" s="1">
        <v>45199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 t="s">
        <v>289</v>
      </c>
      <c r="U1230" t="str">
        <f>""</f>
        <v/>
      </c>
      <c r="V1230" t="s">
        <v>290</v>
      </c>
      <c r="W1230" t="str">
        <f>""</f>
        <v/>
      </c>
      <c r="X1230" t="s">
        <v>155</v>
      </c>
      <c r="Y1230" t="s">
        <v>141</v>
      </c>
      <c r="Z1230" s="3">
        <v>94043</v>
      </c>
      <c r="AA1230" t="s">
        <v>101</v>
      </c>
      <c r="AC1230" s="4" t="str">
        <f>"+16502530000"</f>
        <v>+16502530000</v>
      </c>
      <c r="AE1230" t="str">
        <f>"541512"</f>
        <v>541512</v>
      </c>
      <c r="AF1230" t="s">
        <v>427</v>
      </c>
      <c r="AG1230" t="s">
        <v>428</v>
      </c>
      <c r="AI1230" t="s">
        <v>293</v>
      </c>
      <c r="AJ1230" t="s">
        <v>290</v>
      </c>
      <c r="AK1230" t="str">
        <f>""</f>
        <v/>
      </c>
      <c r="AL1230" t="s">
        <v>155</v>
      </c>
      <c r="AM1230" t="s">
        <v>141</v>
      </c>
      <c r="AN1230" s="3">
        <v>94043</v>
      </c>
      <c r="AO1230" t="s">
        <v>101</v>
      </c>
      <c r="AQ1230" t="str">
        <f>"+16502534513"</f>
        <v>+16502534513</v>
      </c>
      <c r="AS1230" t="s">
        <v>429</v>
      </c>
      <c r="AT1230" t="s">
        <v>107</v>
      </c>
      <c r="AU1230" t="str">
        <f>"Grinffiel"</f>
        <v>Grinffiel</v>
      </c>
      <c r="AV1230" t="str">
        <f>"Julieta"</f>
        <v>Julieta</v>
      </c>
      <c r="AW1230" t="str">
        <f>""</f>
        <v/>
      </c>
      <c r="AX1230" t="str">
        <f>"2400 N Glenville Drive"</f>
        <v>2400 N Glenville Drive</v>
      </c>
      <c r="AY1230" t="str">
        <f>"Building A, Suite 100"</f>
        <v>Building A, Suite 100</v>
      </c>
      <c r="AZ1230" t="str">
        <f>"Richardson"</f>
        <v>Richardson</v>
      </c>
      <c r="BA1230" t="str">
        <f>"TX"</f>
        <v>TX</v>
      </c>
      <c r="BB1230" s="3">
        <v>75082</v>
      </c>
      <c r="BC1230" t="str">
        <f t="shared" ref="BC1230:BC1246" si="98">"UNITED STATES OF AMERICA"</f>
        <v>UNITED STATES OF AMERICA</v>
      </c>
      <c r="BD1230" t="str">
        <f>""</f>
        <v/>
      </c>
      <c r="BE1230" t="str">
        <f>"+14692909939"</f>
        <v>+14692909939</v>
      </c>
      <c r="BF1230" t="str">
        <f>""</f>
        <v/>
      </c>
      <c r="BG1230" t="str">
        <f>"tyler.yarbrough@balglobal.com"</f>
        <v>tyler.yarbrough@balglobal.com</v>
      </c>
      <c r="BH1230" t="str">
        <f>"Berry Appleman &amp; Leiden LLP"</f>
        <v>Berry Appleman &amp; Leiden LLP</v>
      </c>
      <c r="BI1230" t="str">
        <f>"TX"</f>
        <v>TX</v>
      </c>
      <c r="BJ1230" t="str">
        <f>"Supreme Court of Texas"</f>
        <v>Supreme Court of Texas</v>
      </c>
      <c r="BK1230">
        <v>1</v>
      </c>
      <c r="BL1230" t="s">
        <v>102</v>
      </c>
      <c r="BM1230" t="str">
        <f>""</f>
        <v/>
      </c>
      <c r="BN1230" t="s">
        <v>11833</v>
      </c>
      <c r="BP1230" t="s">
        <v>229</v>
      </c>
      <c r="BQ1230" t="s">
        <v>230</v>
      </c>
      <c r="BR1230" t="s">
        <v>141</v>
      </c>
      <c r="BS1230" s="5">
        <v>94087</v>
      </c>
      <c r="BT1230" s="2">
        <v>129000</v>
      </c>
      <c r="BV1230" t="s">
        <v>105</v>
      </c>
      <c r="BW1230" s="2">
        <v>120578</v>
      </c>
      <c r="BX1230" t="s">
        <v>105</v>
      </c>
      <c r="BZ1230" t="s">
        <v>167</v>
      </c>
      <c r="CA1230" t="str">
        <f>"7/1/2020 - 6/30/2021"</f>
        <v>7/1/2020 - 6/30/2021</v>
      </c>
      <c r="CF1230">
        <v>2</v>
      </c>
      <c r="CG1230" t="s">
        <v>98</v>
      </c>
      <c r="CH1230" t="s">
        <v>206</v>
      </c>
      <c r="CI1230" t="s">
        <v>206</v>
      </c>
      <c r="CL1230" t="s">
        <v>108</v>
      </c>
      <c r="CM1230" t="s">
        <v>109</v>
      </c>
      <c r="CN1230" t="str">
        <f>"Yarbrough"</f>
        <v>Yarbrough</v>
      </c>
      <c r="CO1230" t="str">
        <f>"Tyler"</f>
        <v>Tyler</v>
      </c>
      <c r="CP1230" t="str">
        <f>""</f>
        <v/>
      </c>
      <c r="CQ1230" t="str">
        <f>"Berry Appleman &amp; Leiden LLP"</f>
        <v>Berry Appleman &amp; Leiden LLP</v>
      </c>
      <c r="CR1230" t="s">
        <v>11834</v>
      </c>
    </row>
    <row r="1231" spans="1:96" x14ac:dyDescent="0.2">
      <c r="A1231" t="s">
        <v>11835</v>
      </c>
      <c r="B1231" t="s">
        <v>96</v>
      </c>
      <c r="C1231" s="1">
        <v>44098</v>
      </c>
      <c r="D1231" s="1">
        <v>44105</v>
      </c>
      <c r="F1231" t="s">
        <v>97</v>
      </c>
      <c r="G1231" t="str">
        <f>"Senior Consultant, IT Architecture"</f>
        <v>Senior Consultant, IT Architecture</v>
      </c>
      <c r="H1231" t="s">
        <v>12169</v>
      </c>
      <c r="I1231" t="s">
        <v>124</v>
      </c>
      <c r="J1231" t="s">
        <v>98</v>
      </c>
      <c r="K1231" s="1">
        <v>44263</v>
      </c>
      <c r="L1231" s="1">
        <v>45358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 t="s">
        <v>3306</v>
      </c>
      <c r="U1231" t="str">
        <f>""</f>
        <v/>
      </c>
      <c r="V1231" t="s">
        <v>1533</v>
      </c>
      <c r="W1231" t="str">
        <f>""</f>
        <v/>
      </c>
      <c r="X1231" t="s">
        <v>1534</v>
      </c>
      <c r="Y1231" t="s">
        <v>114</v>
      </c>
      <c r="Z1231" s="3">
        <v>78682</v>
      </c>
      <c r="AA1231" t="s">
        <v>101</v>
      </c>
      <c r="AC1231" s="4" t="str">
        <f>"+15127281627"</f>
        <v>+15127281627</v>
      </c>
      <c r="AE1231" t="str">
        <f>"42343"</f>
        <v>42343</v>
      </c>
      <c r="AF1231" t="s">
        <v>1535</v>
      </c>
      <c r="AG1231" t="s">
        <v>4647</v>
      </c>
      <c r="AI1231" t="s">
        <v>1536</v>
      </c>
      <c r="AJ1231" t="s">
        <v>1533</v>
      </c>
      <c r="AK1231" t="str">
        <f>""</f>
        <v/>
      </c>
      <c r="AL1231" t="s">
        <v>1534</v>
      </c>
      <c r="AM1231" t="s">
        <v>114</v>
      </c>
      <c r="AN1231" s="3">
        <v>78682</v>
      </c>
      <c r="AO1231" t="s">
        <v>101</v>
      </c>
      <c r="AQ1231" t="str">
        <f>"+15127281627"</f>
        <v>+15127281627</v>
      </c>
      <c r="AS1231" t="s">
        <v>108</v>
      </c>
      <c r="AT1231" t="s">
        <v>107</v>
      </c>
      <c r="AU1231" t="str">
        <f>"Shepherd"</f>
        <v>Shepherd</v>
      </c>
      <c r="AV1231" t="str">
        <f>" Philip "</f>
        <v xml:space="preserve"> Philip </v>
      </c>
      <c r="AW1231" t="str">
        <f>"A."</f>
        <v>A.</v>
      </c>
      <c r="AX1231" t="str">
        <f>"191 Peachtree St NE"</f>
        <v>191 Peachtree St NE</v>
      </c>
      <c r="AY1231" t="str">
        <f>"Suite 4800"</f>
        <v>Suite 4800</v>
      </c>
      <c r="AZ1231" t="str">
        <f>"Atlanta"</f>
        <v>Atlanta</v>
      </c>
      <c r="BA1231" t="str">
        <f>"GA"</f>
        <v>GA</v>
      </c>
      <c r="BB1231" s="3" t="s">
        <v>12306</v>
      </c>
      <c r="BC1231" t="str">
        <f t="shared" si="98"/>
        <v>UNITED STATES OF AMERICA</v>
      </c>
      <c r="BD1231" t="str">
        <f>""</f>
        <v/>
      </c>
      <c r="BE1231" t="str">
        <f>"+14048811300"</f>
        <v>+14048811300</v>
      </c>
      <c r="BF1231" t="str">
        <f>""</f>
        <v/>
      </c>
      <c r="BG1231" t="str">
        <f>"kieya.bailey@ogletreedeakins.com"</f>
        <v>kieya.bailey@ogletreedeakins.com</v>
      </c>
      <c r="BH1231" t="str">
        <f>"Ogletree, Deakins, Nash, Smoak &amp; Stewart, P.C. "</f>
        <v xml:space="preserve">Ogletree, Deakins, Nash, Smoak &amp; Stewart, P.C. </v>
      </c>
      <c r="BI1231" t="str">
        <f>"GA"</f>
        <v>GA</v>
      </c>
      <c r="BJ1231" t="str">
        <f>"Georgia Supreme Court"</f>
        <v>Georgia Supreme Court</v>
      </c>
      <c r="BK1231">
        <v>1</v>
      </c>
      <c r="BL1231" t="s">
        <v>102</v>
      </c>
      <c r="BM1231" t="str">
        <f>""</f>
        <v/>
      </c>
      <c r="BN1231" t="s">
        <v>11836</v>
      </c>
      <c r="BP1231" t="s">
        <v>5892</v>
      </c>
      <c r="BQ1231" t="s">
        <v>7305</v>
      </c>
      <c r="BR1231" t="s">
        <v>171</v>
      </c>
      <c r="BS1231" s="5">
        <v>1748</v>
      </c>
      <c r="BT1231" s="2">
        <v>152030.17000000001</v>
      </c>
      <c r="BV1231" t="s">
        <v>105</v>
      </c>
      <c r="BW1231" s="2">
        <v>135658</v>
      </c>
      <c r="BX1231" t="s">
        <v>105</v>
      </c>
      <c r="BZ1231" t="s">
        <v>159</v>
      </c>
      <c r="CA1231" t="str">
        <f>"7/1/2020 - 6/30/2021"</f>
        <v>7/1/2020 - 6/30/2021</v>
      </c>
      <c r="CF1231">
        <v>3</v>
      </c>
      <c r="CG1231" t="s">
        <v>98</v>
      </c>
      <c r="CH1231" t="s">
        <v>206</v>
      </c>
      <c r="CI1231" t="s">
        <v>206</v>
      </c>
      <c r="CL1231" t="s">
        <v>108</v>
      </c>
      <c r="CM1231" t="s">
        <v>109</v>
      </c>
      <c r="CN1231" t="str">
        <f>"Shepherd "</f>
        <v xml:space="preserve">Shepherd </v>
      </c>
      <c r="CO1231" t="str">
        <f>"Philip "</f>
        <v xml:space="preserve">Philip </v>
      </c>
      <c r="CP1231" t="str">
        <f>"A."</f>
        <v>A.</v>
      </c>
      <c r="CQ1231" t="str">
        <f>" Ogletree, Deakins, Nash, Smoak &amp; Stewart, P.C."</f>
        <v xml:space="preserve"> Ogletree, Deakins, Nash, Smoak &amp; Stewart, P.C.</v>
      </c>
      <c r="CR1231" t="s">
        <v>4648</v>
      </c>
    </row>
    <row r="1232" spans="1:96" x14ac:dyDescent="0.2">
      <c r="A1232" t="s">
        <v>11837</v>
      </c>
      <c r="B1232" t="s">
        <v>96</v>
      </c>
      <c r="C1232" s="1">
        <v>44098</v>
      </c>
      <c r="D1232" s="1">
        <v>44105</v>
      </c>
      <c r="F1232" t="s">
        <v>97</v>
      </c>
      <c r="G1232" t="str">
        <f>"Supv, Software Engineering"</f>
        <v>Supv, Software Engineering</v>
      </c>
      <c r="H1232" t="s">
        <v>12178</v>
      </c>
      <c r="I1232" t="s">
        <v>582</v>
      </c>
      <c r="J1232" t="s">
        <v>98</v>
      </c>
      <c r="K1232" s="1">
        <v>44105</v>
      </c>
      <c r="L1232" s="1">
        <v>45199</v>
      </c>
      <c r="M1232">
        <v>30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 t="s">
        <v>7067</v>
      </c>
      <c r="U1232" t="str">
        <f>""</f>
        <v/>
      </c>
      <c r="V1232" t="s">
        <v>7068</v>
      </c>
      <c r="W1232" t="str">
        <f>""</f>
        <v/>
      </c>
      <c r="X1232" t="s">
        <v>155</v>
      </c>
      <c r="Y1232" t="s">
        <v>141</v>
      </c>
      <c r="Z1232" s="3">
        <v>94043</v>
      </c>
      <c r="AA1232" t="s">
        <v>101</v>
      </c>
      <c r="AC1232" s="4" t="str">
        <f>"+16505845000"</f>
        <v>+16505845000</v>
      </c>
      <c r="AE1232" t="str">
        <f>"541512"</f>
        <v>541512</v>
      </c>
      <c r="AF1232" t="s">
        <v>1548</v>
      </c>
      <c r="AG1232" t="s">
        <v>1549</v>
      </c>
      <c r="AH1232" t="s">
        <v>1080</v>
      </c>
      <c r="AI1232" t="s">
        <v>221</v>
      </c>
      <c r="AJ1232" t="s">
        <v>7068</v>
      </c>
      <c r="AK1232" t="str">
        <f>""</f>
        <v/>
      </c>
      <c r="AL1232" t="s">
        <v>155</v>
      </c>
      <c r="AM1232" t="s">
        <v>141</v>
      </c>
      <c r="AN1232" s="3">
        <v>94043</v>
      </c>
      <c r="AO1232" t="s">
        <v>101</v>
      </c>
      <c r="AQ1232" t="str">
        <f>"+16505847480"</f>
        <v>+16505847480</v>
      </c>
      <c r="AS1232" t="s">
        <v>7069</v>
      </c>
      <c r="AT1232" t="s">
        <v>107</v>
      </c>
      <c r="AU1232" t="str">
        <f>"Castro"</f>
        <v>Castro</v>
      </c>
      <c r="AV1232" t="str">
        <f>"J. Gabriel"</f>
        <v>J. Gabriel</v>
      </c>
      <c r="AW1232" t="str">
        <f>""</f>
        <v/>
      </c>
      <c r="AX1232" t="str">
        <f>"555 W. Fifth Street"</f>
        <v>555 W. Fifth Street</v>
      </c>
      <c r="AY1232" t="str">
        <f>"Suite 4510"</f>
        <v>Suite 4510</v>
      </c>
      <c r="AZ1232" t="str">
        <f>"Los Angeles"</f>
        <v>Los Angeles</v>
      </c>
      <c r="BA1232" t="str">
        <f>"CA"</f>
        <v>CA</v>
      </c>
      <c r="BB1232" s="3">
        <v>90013</v>
      </c>
      <c r="BC1232" t="str">
        <f t="shared" si="98"/>
        <v>UNITED STATES OF AMERICA</v>
      </c>
      <c r="BD1232" t="str">
        <f>""</f>
        <v/>
      </c>
      <c r="BE1232" t="str">
        <f>"+12136247500"</f>
        <v>+12136247500</v>
      </c>
      <c r="BF1232" t="str">
        <f>""</f>
        <v/>
      </c>
      <c r="BG1232" t="str">
        <f>"FLAG-LA@tsmimmigration.com"</f>
        <v>FLAG-LA@tsmimmigration.com</v>
      </c>
      <c r="BH1232" t="str">
        <f>"Tafapolsky Smith Mehlman LLP"</f>
        <v>Tafapolsky Smith Mehlman LLP</v>
      </c>
      <c r="BI1232" t="str">
        <f>"CA"</f>
        <v>CA</v>
      </c>
      <c r="BJ1232" t="str">
        <f>"Supreme Court"</f>
        <v>Supreme Court</v>
      </c>
      <c r="BK1232">
        <v>30</v>
      </c>
      <c r="BL1232" t="s">
        <v>102</v>
      </c>
      <c r="BM1232" t="str">
        <f>""</f>
        <v/>
      </c>
      <c r="BN1232" t="s">
        <v>11233</v>
      </c>
      <c r="BP1232" t="s">
        <v>2836</v>
      </c>
      <c r="BQ1232" t="s">
        <v>230</v>
      </c>
      <c r="BR1232" t="s">
        <v>141</v>
      </c>
      <c r="BS1232" s="5">
        <v>94043</v>
      </c>
      <c r="BT1232" s="2">
        <v>146434</v>
      </c>
      <c r="BU1232" s="2">
        <v>221434</v>
      </c>
      <c r="BV1232" t="s">
        <v>105</v>
      </c>
      <c r="BW1232" s="2">
        <v>146434</v>
      </c>
      <c r="BX1232" t="s">
        <v>105</v>
      </c>
      <c r="CA1232" t="str">
        <f>""</f>
        <v/>
      </c>
      <c r="CB1232" t="s">
        <v>244</v>
      </c>
      <c r="CC1232">
        <v>2020</v>
      </c>
      <c r="CD1232" t="s">
        <v>995</v>
      </c>
      <c r="CE1232" t="s">
        <v>11838</v>
      </c>
      <c r="CF1232">
        <v>1</v>
      </c>
      <c r="CG1232" t="s">
        <v>98</v>
      </c>
      <c r="CH1232" t="s">
        <v>206</v>
      </c>
      <c r="CI1232" t="s">
        <v>206</v>
      </c>
      <c r="CL1232" t="s">
        <v>108</v>
      </c>
      <c r="CM1232" t="s">
        <v>109</v>
      </c>
      <c r="CN1232" t="str">
        <f>"Zanetti"</f>
        <v>Zanetti</v>
      </c>
      <c r="CO1232" t="str">
        <f>"Lauren "</f>
        <v xml:space="preserve">Lauren </v>
      </c>
      <c r="CP1232" t="str">
        <f>"B"</f>
        <v>B</v>
      </c>
      <c r="CQ1232" t="str">
        <f>"Tafapolsky Smith Mehlman LLP"</f>
        <v>Tafapolsky Smith Mehlman LLP</v>
      </c>
      <c r="CR1232" t="s">
        <v>7070</v>
      </c>
    </row>
    <row r="1233" spans="1:96" x14ac:dyDescent="0.2">
      <c r="A1233" t="s">
        <v>11839</v>
      </c>
      <c r="B1233" t="s">
        <v>96</v>
      </c>
      <c r="C1233" s="1">
        <v>44098</v>
      </c>
      <c r="D1233" s="1">
        <v>44105</v>
      </c>
      <c r="F1233" t="s">
        <v>97</v>
      </c>
      <c r="G1233" t="str">
        <f>"Quality Control Associate II"</f>
        <v>Quality Control Associate II</v>
      </c>
      <c r="H1233" t="s">
        <v>12190</v>
      </c>
      <c r="I1233" t="s">
        <v>1072</v>
      </c>
      <c r="J1233" t="s">
        <v>98</v>
      </c>
      <c r="K1233" s="1">
        <v>44105</v>
      </c>
      <c r="L1233" s="1">
        <v>45199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4746</v>
      </c>
      <c r="U1233" t="str">
        <f>""</f>
        <v/>
      </c>
      <c r="V1233" t="s">
        <v>4747</v>
      </c>
      <c r="W1233" t="str">
        <f>""</f>
        <v/>
      </c>
      <c r="X1233" t="s">
        <v>99</v>
      </c>
      <c r="Y1233" t="s">
        <v>100</v>
      </c>
      <c r="Z1233" s="3">
        <v>8903</v>
      </c>
      <c r="AA1233" t="s">
        <v>101</v>
      </c>
      <c r="AC1233" s="4" t="str">
        <f>"+17322276315"</f>
        <v>+17322276315</v>
      </c>
      <c r="AE1233" t="str">
        <f>"325411"</f>
        <v>325411</v>
      </c>
      <c r="AF1233" t="s">
        <v>4748</v>
      </c>
      <c r="AG1233" t="s">
        <v>734</v>
      </c>
      <c r="AI1233" t="s">
        <v>4749</v>
      </c>
      <c r="AJ1233" t="s">
        <v>4750</v>
      </c>
      <c r="AK1233" t="str">
        <f>""</f>
        <v/>
      </c>
      <c r="AL1233" t="s">
        <v>947</v>
      </c>
      <c r="AM1233" t="s">
        <v>100</v>
      </c>
      <c r="AN1233" s="3">
        <v>8540</v>
      </c>
      <c r="AO1233" t="s">
        <v>101</v>
      </c>
      <c r="AQ1233" t="str">
        <f>"+16092525570"</f>
        <v>+16092525570</v>
      </c>
      <c r="AS1233" t="s">
        <v>4751</v>
      </c>
      <c r="AT1233" t="s">
        <v>107</v>
      </c>
      <c r="AU1233" t="str">
        <f>"Pelta"</f>
        <v>Pelta</v>
      </c>
      <c r="AV1233" t="str">
        <f>"Eleanor"</f>
        <v>Eleanor</v>
      </c>
      <c r="AW1233" t="str">
        <f>""</f>
        <v/>
      </c>
      <c r="AX1233" t="str">
        <f>"1111 Pennsylvania Avenue, NW "</f>
        <v xml:space="preserve">1111 Pennsylvania Avenue, NW </v>
      </c>
      <c r="AY1233" t="str">
        <f>"12th floor"</f>
        <v>12th floor</v>
      </c>
      <c r="AZ1233" t="str">
        <f>"Washington"</f>
        <v>Washington</v>
      </c>
      <c r="BA1233" t="str">
        <f>"DC"</f>
        <v>DC</v>
      </c>
      <c r="BB1233" s="3">
        <v>20004</v>
      </c>
      <c r="BC1233" t="str">
        <f t="shared" si="98"/>
        <v>UNITED STATES OF AMERICA</v>
      </c>
      <c r="BD1233" t="str">
        <f>""</f>
        <v/>
      </c>
      <c r="BE1233" t="str">
        <f>"+12027395050"</f>
        <v>+12027395050</v>
      </c>
      <c r="BF1233" t="str">
        <f>""</f>
        <v/>
      </c>
      <c r="BG1233" t="str">
        <f>"eleanor.pelta@morganlewis.com"</f>
        <v>eleanor.pelta@morganlewis.com</v>
      </c>
      <c r="BH1233" t="str">
        <f>"Morgan Lewis &amp; Bockius LLP"</f>
        <v>Morgan Lewis &amp; Bockius LLP</v>
      </c>
      <c r="BI1233" t="str">
        <f>"PA"</f>
        <v>PA</v>
      </c>
      <c r="BJ1233" t="str">
        <f>"U.S. Supreme Court"</f>
        <v>U.S. Supreme Court</v>
      </c>
      <c r="BK1233">
        <v>1</v>
      </c>
      <c r="BL1233" t="s">
        <v>102</v>
      </c>
      <c r="BM1233" t="str">
        <f>""</f>
        <v/>
      </c>
      <c r="BN1233" t="s">
        <v>11840</v>
      </c>
      <c r="BP1233" t="s">
        <v>6596</v>
      </c>
      <c r="BQ1233" t="s">
        <v>1612</v>
      </c>
      <c r="BR1233" t="s">
        <v>176</v>
      </c>
      <c r="BS1233" s="5">
        <v>98021</v>
      </c>
      <c r="BT1233" s="2">
        <v>68000</v>
      </c>
      <c r="BV1233" t="s">
        <v>105</v>
      </c>
      <c r="BW1233" s="2">
        <v>48755</v>
      </c>
      <c r="BX1233" t="s">
        <v>105</v>
      </c>
      <c r="BZ1233" t="s">
        <v>191</v>
      </c>
      <c r="CA1233" t="str">
        <f t="shared" ref="CA1233:CA1244" si="99">"7/1/2020 - 6/30/2021"</f>
        <v>7/1/2020 - 6/30/2021</v>
      </c>
      <c r="CF1233">
        <v>2</v>
      </c>
      <c r="CG1233" t="s">
        <v>98</v>
      </c>
      <c r="CH1233" t="s">
        <v>206</v>
      </c>
      <c r="CI1233" t="s">
        <v>206</v>
      </c>
      <c r="CL1233" t="s">
        <v>108</v>
      </c>
      <c r="CM1233" t="s">
        <v>109</v>
      </c>
      <c r="CN1233" t="str">
        <f>"Monges "</f>
        <v xml:space="preserve">Monges </v>
      </c>
      <c r="CO1233" t="str">
        <f>"George"</f>
        <v>George</v>
      </c>
      <c r="CP1233" t="str">
        <f>""</f>
        <v/>
      </c>
      <c r="CQ1233" t="str">
        <f>"Morgan Lewis &amp; Bockius LLP "</f>
        <v xml:space="preserve">Morgan Lewis &amp; Bockius LLP </v>
      </c>
      <c r="CR1233" t="s">
        <v>4752</v>
      </c>
    </row>
    <row r="1234" spans="1:96" x14ac:dyDescent="0.2">
      <c r="A1234" t="s">
        <v>11841</v>
      </c>
      <c r="B1234" t="s">
        <v>96</v>
      </c>
      <c r="C1234" s="1">
        <v>44098</v>
      </c>
      <c r="D1234" s="1">
        <v>44105</v>
      </c>
      <c r="F1234" t="s">
        <v>97</v>
      </c>
      <c r="G1234" t="str">
        <f>"ADVANCED SYSTEMS ENGINEER"</f>
        <v>ADVANCED SYSTEMS ENGINEER</v>
      </c>
      <c r="H1234" t="s">
        <v>12176</v>
      </c>
      <c r="I1234" t="s">
        <v>246</v>
      </c>
      <c r="J1234" t="s">
        <v>98</v>
      </c>
      <c r="K1234" s="1">
        <v>44274</v>
      </c>
      <c r="L1234" s="1">
        <v>45369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 t="s">
        <v>5515</v>
      </c>
      <c r="U1234" t="str">
        <f>""</f>
        <v/>
      </c>
      <c r="V1234" t="s">
        <v>5516</v>
      </c>
      <c r="W1234" t="str">
        <f>""</f>
        <v/>
      </c>
      <c r="X1234" t="s">
        <v>5517</v>
      </c>
      <c r="Y1234" t="s">
        <v>857</v>
      </c>
      <c r="Z1234" s="3">
        <v>2865</v>
      </c>
      <c r="AA1234" t="s">
        <v>101</v>
      </c>
      <c r="AC1234" s="4" t="str">
        <f>"+14017701621"</f>
        <v>+14017701621</v>
      </c>
      <c r="AE1234" t="str">
        <f>"524114"</f>
        <v>524114</v>
      </c>
      <c r="AF1234" t="s">
        <v>5518</v>
      </c>
      <c r="AG1234" t="s">
        <v>5519</v>
      </c>
      <c r="AH1234" t="s">
        <v>5520</v>
      </c>
      <c r="AI1234" t="s">
        <v>5521</v>
      </c>
      <c r="AJ1234" t="s">
        <v>5522</v>
      </c>
      <c r="AK1234" t="str">
        <f>"695 GEORGE WASHINGTON HWY, MAIL CODE HR695"</f>
        <v>695 GEORGE WASHINGTON HWY, MAIL CODE HR695</v>
      </c>
      <c r="AL1234" t="s">
        <v>5517</v>
      </c>
      <c r="AM1234" t="s">
        <v>857</v>
      </c>
      <c r="AN1234" s="3">
        <v>2865</v>
      </c>
      <c r="AO1234" t="s">
        <v>101</v>
      </c>
      <c r="AQ1234" t="str">
        <f>"+14017701621"</f>
        <v>+14017701621</v>
      </c>
      <c r="AS1234" t="s">
        <v>5523</v>
      </c>
      <c r="AT1234" t="s">
        <v>107</v>
      </c>
      <c r="AU1234" t="str">
        <f>"WEINTRAUB"</f>
        <v>WEINTRAUB</v>
      </c>
      <c r="AV1234" t="str">
        <f>"FREDDI"</f>
        <v>FREDDI</v>
      </c>
      <c r="AW1234" t="str">
        <f>"M."</f>
        <v>M.</v>
      </c>
      <c r="AX1234" t="str">
        <f>"1400 BROADWAY"</f>
        <v>1400 BROADWAY</v>
      </c>
      <c r="AY1234" t="str">
        <f>"9TH FL"</f>
        <v>9TH FL</v>
      </c>
      <c r="AZ1234" t="str">
        <f>"NEW YORK"</f>
        <v>NEW YORK</v>
      </c>
      <c r="BA1234" t="str">
        <f>"NY"</f>
        <v>NY</v>
      </c>
      <c r="BB1234" s="3">
        <v>10018</v>
      </c>
      <c r="BC1234" t="str">
        <f t="shared" si="98"/>
        <v>UNITED STATES OF AMERICA</v>
      </c>
      <c r="BD1234" t="str">
        <f>""</f>
        <v/>
      </c>
      <c r="BE1234" t="str">
        <f>"+12126888555"</f>
        <v>+12126888555</v>
      </c>
      <c r="BF1234" t="str">
        <f>""</f>
        <v/>
      </c>
      <c r="BG1234" t="str">
        <f>"MARK.GARCERAN@FRAGOMEN.COM"</f>
        <v>MARK.GARCERAN@FRAGOMEN.COM</v>
      </c>
      <c r="BH1234" t="str">
        <f>"FRAGOMEN, DEL REY, BERNSEN &amp; LOEWY, LLP"</f>
        <v>FRAGOMEN, DEL REY, BERNSEN &amp; LOEWY, LLP</v>
      </c>
      <c r="BI1234" t="str">
        <f>"NY"</f>
        <v>NY</v>
      </c>
      <c r="BJ1234" t="str">
        <f>"NEW YORK STATE COURT OF APPEALS"</f>
        <v>NEW YORK STATE COURT OF APPEALS</v>
      </c>
      <c r="BK1234">
        <v>1</v>
      </c>
      <c r="BL1234" t="s">
        <v>102</v>
      </c>
      <c r="BM1234" t="str">
        <f>""</f>
        <v/>
      </c>
      <c r="BN1234" t="s">
        <v>5515</v>
      </c>
      <c r="BO1234" t="s">
        <v>7906</v>
      </c>
      <c r="BP1234" t="s">
        <v>682</v>
      </c>
      <c r="BQ1234" t="s">
        <v>682</v>
      </c>
      <c r="BR1234" t="s">
        <v>171</v>
      </c>
      <c r="BS1234" s="5">
        <v>1803</v>
      </c>
      <c r="BT1234" s="2">
        <v>172550</v>
      </c>
      <c r="BV1234" t="s">
        <v>105</v>
      </c>
      <c r="BW1234" s="2">
        <v>135658</v>
      </c>
      <c r="BX1234" t="s">
        <v>105</v>
      </c>
      <c r="BZ1234" t="s">
        <v>159</v>
      </c>
      <c r="CA1234" t="str">
        <f t="shared" si="99"/>
        <v>7/1/2020 - 6/30/2021</v>
      </c>
      <c r="CF1234">
        <v>1</v>
      </c>
      <c r="CG1234" t="s">
        <v>98</v>
      </c>
      <c r="CH1234" t="s">
        <v>206</v>
      </c>
      <c r="CI1234" t="s">
        <v>206</v>
      </c>
      <c r="CL1234" t="s">
        <v>108</v>
      </c>
      <c r="CM1234" t="s">
        <v>109</v>
      </c>
      <c r="CN1234" t="str">
        <f>"GARCERAN"</f>
        <v>GARCERAN</v>
      </c>
      <c r="CO1234" t="str">
        <f>"MARK"</f>
        <v>MARK</v>
      </c>
      <c r="CP1234" t="str">
        <f>""</f>
        <v/>
      </c>
      <c r="CQ1234" t="str">
        <f>"FRAGOMEN, DEL REY, BERNSEN &amp; LOEWY, LLP"</f>
        <v>FRAGOMEN, DEL REY, BERNSEN &amp; LOEWY, LLP</v>
      </c>
      <c r="CR1234" t="s">
        <v>5526</v>
      </c>
    </row>
    <row r="1235" spans="1:96" x14ac:dyDescent="0.2">
      <c r="A1235" t="s">
        <v>11844</v>
      </c>
      <c r="B1235" t="s">
        <v>96</v>
      </c>
      <c r="C1235" s="1">
        <v>44098</v>
      </c>
      <c r="D1235" s="1">
        <v>44105</v>
      </c>
      <c r="F1235" t="s">
        <v>97</v>
      </c>
      <c r="G1235" t="str">
        <f>"SOFTWARE DEVELOPMENT ENGINEER I"</f>
        <v>SOFTWARE DEVELOPMENT ENGINEER I</v>
      </c>
      <c r="H1235" t="s">
        <v>12169</v>
      </c>
      <c r="I1235" t="s">
        <v>124</v>
      </c>
      <c r="J1235" t="s">
        <v>98</v>
      </c>
      <c r="K1235" s="1">
        <v>44109</v>
      </c>
      <c r="L1235" s="1">
        <v>45203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 t="s">
        <v>440</v>
      </c>
      <c r="U1235" t="str">
        <f>""</f>
        <v/>
      </c>
      <c r="V1235" t="s">
        <v>809</v>
      </c>
      <c r="W1235" t="str">
        <f>"SUITE 500"</f>
        <v>SUITE 500</v>
      </c>
      <c r="X1235" t="s">
        <v>433</v>
      </c>
      <c r="Y1235" t="s">
        <v>176</v>
      </c>
      <c r="Z1235" s="3">
        <v>98121</v>
      </c>
      <c r="AA1235" t="s">
        <v>101</v>
      </c>
      <c r="AC1235" s="4" t="str">
        <f>"+12062661000"</f>
        <v>+12062661000</v>
      </c>
      <c r="AE1235" t="str">
        <f>"454110"</f>
        <v>454110</v>
      </c>
      <c r="AF1235" t="s">
        <v>442</v>
      </c>
      <c r="AG1235" t="s">
        <v>443</v>
      </c>
      <c r="AH1235" t="s">
        <v>108</v>
      </c>
      <c r="AI1235" t="s">
        <v>434</v>
      </c>
      <c r="AJ1235" t="s">
        <v>809</v>
      </c>
      <c r="AK1235" t="str">
        <f>"SUITE 500"</f>
        <v>SUITE 500</v>
      </c>
      <c r="AL1235" t="s">
        <v>433</v>
      </c>
      <c r="AM1235" t="s">
        <v>176</v>
      </c>
      <c r="AN1235" s="3">
        <v>98121</v>
      </c>
      <c r="AO1235" t="s">
        <v>101</v>
      </c>
      <c r="AQ1235" t="str">
        <f>"+12062661000"</f>
        <v>+12062661000</v>
      </c>
      <c r="AS1235" t="s">
        <v>263</v>
      </c>
      <c r="AT1235" t="s">
        <v>107</v>
      </c>
      <c r="AU1235" t="str">
        <f>"MARANCI"</f>
        <v>MARANCI</v>
      </c>
      <c r="AV1235" t="str">
        <f>"DANIEL"</f>
        <v>DANIEL</v>
      </c>
      <c r="AW1235" t="str">
        <f>"N/A"</f>
        <v>N/A</v>
      </c>
      <c r="AX1235" t="str">
        <f>"100 HIGH STREET"</f>
        <v>100 HIGH STREET</v>
      </c>
      <c r="AY1235" t="str">
        <f>"3RD FLOOR C#5053342"</f>
        <v>3RD FLOOR C#5053342</v>
      </c>
      <c r="AZ1235" t="str">
        <f>"BOSTON"</f>
        <v>BOSTON</v>
      </c>
      <c r="BA1235" t="str">
        <f>"MA"</f>
        <v>MA</v>
      </c>
      <c r="BB1235" s="3">
        <v>2110</v>
      </c>
      <c r="BC1235" t="str">
        <f t="shared" si="98"/>
        <v>UNITED STATES OF AMERICA</v>
      </c>
      <c r="BD1235" t="str">
        <f>""</f>
        <v/>
      </c>
      <c r="BE1235" t="str">
        <f>"+16175740400"</f>
        <v>+16175740400</v>
      </c>
      <c r="BF1235" t="str">
        <f>""</f>
        <v/>
      </c>
      <c r="BG1235" t="str">
        <f>"AMAZONINDIA@FRAGOMEN.COM"</f>
        <v>AMAZONINDIA@FRAGOMEN.COM</v>
      </c>
      <c r="BH1235" t="str">
        <f>"FRAGOMEN, DEL REY, BERNSEN &amp; LOEWY, LLP"</f>
        <v>FRAGOMEN, DEL REY, BERNSEN &amp; LOEWY, LLP</v>
      </c>
      <c r="BI1235" t="str">
        <f>"MA"</f>
        <v>MA</v>
      </c>
      <c r="BJ1235" t="str">
        <f>"SUPREME JUDICIAL COURT"</f>
        <v>SUPREME JUDICIAL COURT</v>
      </c>
      <c r="BK1235">
        <v>1</v>
      </c>
      <c r="BL1235" t="s">
        <v>102</v>
      </c>
      <c r="BM1235" t="str">
        <f>""</f>
        <v/>
      </c>
      <c r="BN1235" t="s">
        <v>11845</v>
      </c>
      <c r="BO1235" t="s">
        <v>652</v>
      </c>
      <c r="BP1235" t="s">
        <v>6853</v>
      </c>
      <c r="BQ1235" t="s">
        <v>6853</v>
      </c>
      <c r="BR1235" t="s">
        <v>141</v>
      </c>
      <c r="BS1235" s="5">
        <v>93401</v>
      </c>
      <c r="BT1235" s="2">
        <v>112000</v>
      </c>
      <c r="BV1235" t="s">
        <v>105</v>
      </c>
      <c r="BW1235" s="2">
        <v>36608</v>
      </c>
      <c r="BX1235" t="s">
        <v>105</v>
      </c>
      <c r="BZ1235" t="s">
        <v>191</v>
      </c>
      <c r="CA1235" t="str">
        <f t="shared" si="99"/>
        <v>7/1/2020 - 6/30/2021</v>
      </c>
      <c r="CF1235">
        <v>2</v>
      </c>
      <c r="CG1235" t="s">
        <v>98</v>
      </c>
      <c r="CH1235" t="s">
        <v>206</v>
      </c>
      <c r="CI1235" t="s">
        <v>206</v>
      </c>
      <c r="CL1235" t="s">
        <v>108</v>
      </c>
      <c r="CM1235" t="s">
        <v>109</v>
      </c>
      <c r="CN1235" t="str">
        <f>"SUNNY"</f>
        <v>SUNNY</v>
      </c>
      <c r="CO1235" t="str">
        <f>"JASMIN"</f>
        <v>JASMIN</v>
      </c>
      <c r="CP1235" t="str">
        <f>"N/A"</f>
        <v>N/A</v>
      </c>
      <c r="CQ1235" t="str">
        <f>"FRAGOMEN, DEL REY, BERNSEN &amp; LOEWY, LLP"</f>
        <v>FRAGOMEN, DEL REY, BERNSEN &amp; LOEWY, LLP</v>
      </c>
      <c r="CR1235" t="s">
        <v>650</v>
      </c>
    </row>
    <row r="1236" spans="1:96" x14ac:dyDescent="0.2">
      <c r="A1236" t="s">
        <v>11848</v>
      </c>
      <c r="B1236" t="s">
        <v>96</v>
      </c>
      <c r="C1236" s="1">
        <v>44098</v>
      </c>
      <c r="D1236" s="1">
        <v>44105</v>
      </c>
      <c r="F1236" t="s">
        <v>97</v>
      </c>
      <c r="G1236" t="str">
        <f>"SOFTWARE ENGINEER II"</f>
        <v>SOFTWARE ENGINEER II</v>
      </c>
      <c r="H1236" t="s">
        <v>12169</v>
      </c>
      <c r="I1236" t="s">
        <v>124</v>
      </c>
      <c r="J1236" t="s">
        <v>98</v>
      </c>
      <c r="K1236" s="1">
        <v>44099</v>
      </c>
      <c r="L1236" s="1">
        <v>45193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 t="s">
        <v>3582</v>
      </c>
      <c r="U1236" t="str">
        <f>""</f>
        <v/>
      </c>
      <c r="V1236" t="s">
        <v>3583</v>
      </c>
      <c r="W1236" t="str">
        <f>"4 Copley Place"</f>
        <v>4 Copley Place</v>
      </c>
      <c r="X1236" t="s">
        <v>207</v>
      </c>
      <c r="Y1236" t="s">
        <v>171</v>
      </c>
      <c r="Z1236" s="3">
        <v>2116</v>
      </c>
      <c r="AA1236" t="s">
        <v>101</v>
      </c>
      <c r="AC1236" s="4" t="str">
        <f>"+18573153115"</f>
        <v>+18573153115</v>
      </c>
      <c r="AE1236" t="str">
        <f>"454110"</f>
        <v>454110</v>
      </c>
      <c r="AF1236" t="s">
        <v>3584</v>
      </c>
      <c r="AG1236" t="s">
        <v>567</v>
      </c>
      <c r="AI1236" t="s">
        <v>937</v>
      </c>
      <c r="AJ1236" t="s">
        <v>3585</v>
      </c>
      <c r="AK1236" t="str">
        <f>"4 COPLEY PLACE"</f>
        <v>4 COPLEY PLACE</v>
      </c>
      <c r="AL1236" t="s">
        <v>951</v>
      </c>
      <c r="AM1236" t="s">
        <v>171</v>
      </c>
      <c r="AN1236" s="3">
        <v>2116</v>
      </c>
      <c r="AO1236" t="s">
        <v>101</v>
      </c>
      <c r="AQ1236" t="str">
        <f>"+18573153115"</f>
        <v>+18573153115</v>
      </c>
      <c r="AS1236" t="s">
        <v>3586</v>
      </c>
      <c r="AT1236" t="s">
        <v>107</v>
      </c>
      <c r="AU1236" t="str">
        <f>"Wilson"</f>
        <v>Wilson</v>
      </c>
      <c r="AV1236" t="str">
        <f>"Mariah"</f>
        <v>Mariah</v>
      </c>
      <c r="AW1236" t="str">
        <f>"G"</f>
        <v>G</v>
      </c>
      <c r="AX1236" t="str">
        <f>"100 High Street"</f>
        <v>100 High Street</v>
      </c>
      <c r="AY1236" t="str">
        <f>"3rd Floor"</f>
        <v>3rd Floor</v>
      </c>
      <c r="AZ1236" t="str">
        <f>"Boston"</f>
        <v>Boston</v>
      </c>
      <c r="BA1236" t="str">
        <f>"MA"</f>
        <v>MA</v>
      </c>
      <c r="BB1236" s="3">
        <v>2110</v>
      </c>
      <c r="BC1236" t="str">
        <f t="shared" si="98"/>
        <v>UNITED STATES OF AMERICA</v>
      </c>
      <c r="BD1236" t="str">
        <f>""</f>
        <v/>
      </c>
      <c r="BE1236" t="str">
        <f>"+16175740400"</f>
        <v>+16175740400</v>
      </c>
      <c r="BF1236" t="str">
        <f>""</f>
        <v/>
      </c>
      <c r="BG1236" t="str">
        <f>"wayfair@fragomen.com"</f>
        <v>wayfair@fragomen.com</v>
      </c>
      <c r="BH1236" t="str">
        <f>"Fragomen, Del Rey, Bernsen, &amp; Loewy, LLP"</f>
        <v>Fragomen, Del Rey, Bernsen, &amp; Loewy, LLP</v>
      </c>
      <c r="BI1236" t="str">
        <f>"MA"</f>
        <v>MA</v>
      </c>
      <c r="BJ1236" t="str">
        <f>"Supreme Judicial Court"</f>
        <v>Supreme Judicial Court</v>
      </c>
      <c r="BK1236">
        <v>1</v>
      </c>
      <c r="BL1236" t="s">
        <v>102</v>
      </c>
      <c r="BM1236" t="str">
        <f>""</f>
        <v/>
      </c>
      <c r="BN1236" t="s">
        <v>3585</v>
      </c>
      <c r="BO1236" t="s">
        <v>4632</v>
      </c>
      <c r="BP1236" t="s">
        <v>951</v>
      </c>
      <c r="BQ1236" t="s">
        <v>209</v>
      </c>
      <c r="BR1236" t="s">
        <v>171</v>
      </c>
      <c r="BS1236" s="5">
        <v>2116</v>
      </c>
      <c r="BT1236" s="2">
        <v>137000</v>
      </c>
      <c r="BV1236" t="s">
        <v>105</v>
      </c>
      <c r="BW1236" s="2">
        <v>115939</v>
      </c>
      <c r="BX1236" t="s">
        <v>105</v>
      </c>
      <c r="BZ1236" t="s">
        <v>123</v>
      </c>
      <c r="CA1236" t="str">
        <f t="shared" si="99"/>
        <v>7/1/2020 - 6/30/2021</v>
      </c>
      <c r="CF1236">
        <v>4</v>
      </c>
      <c r="CG1236" t="s">
        <v>98</v>
      </c>
      <c r="CH1236" t="s">
        <v>206</v>
      </c>
      <c r="CI1236" t="s">
        <v>206</v>
      </c>
      <c r="CL1236" t="s">
        <v>108</v>
      </c>
      <c r="CM1236" t="s">
        <v>109</v>
      </c>
      <c r="CN1236" t="str">
        <f>"MENON"</f>
        <v>MENON</v>
      </c>
      <c r="CO1236" t="str">
        <f>"ANAND"</f>
        <v>ANAND</v>
      </c>
      <c r="CP1236" t="str">
        <f>""</f>
        <v/>
      </c>
      <c r="CQ1236" t="str">
        <f>"FRAGOMEN, DEL REY, BERNSEN, &amp; LOEWY, LLP"</f>
        <v>FRAGOMEN, DEL REY, BERNSEN, &amp; LOEWY, LLP</v>
      </c>
      <c r="CR1236" t="s">
        <v>4633</v>
      </c>
    </row>
    <row r="1237" spans="1:96" x14ac:dyDescent="0.2">
      <c r="A1237" t="s">
        <v>11849</v>
      </c>
      <c r="B1237" t="s">
        <v>96</v>
      </c>
      <c r="C1237" s="1">
        <v>44098</v>
      </c>
      <c r="D1237" s="1">
        <v>44105</v>
      </c>
      <c r="F1237" t="s">
        <v>97</v>
      </c>
      <c r="G1237" t="str">
        <f>"Salesforce Architect/ Senior Developer "</f>
        <v xml:space="preserve">Salesforce Architect/ Senior Developer </v>
      </c>
      <c r="H1237" t="s">
        <v>12169</v>
      </c>
      <c r="I1237" t="s">
        <v>124</v>
      </c>
      <c r="J1237" t="s">
        <v>98</v>
      </c>
      <c r="K1237" s="1">
        <v>44111</v>
      </c>
      <c r="L1237" s="1">
        <v>45205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 t="s">
        <v>3345</v>
      </c>
      <c r="U1237" t="str">
        <f>""</f>
        <v/>
      </c>
      <c r="V1237" t="s">
        <v>3346</v>
      </c>
      <c r="W1237" t="str">
        <f>""</f>
        <v/>
      </c>
      <c r="X1237" t="s">
        <v>277</v>
      </c>
      <c r="Y1237" t="s">
        <v>190</v>
      </c>
      <c r="Z1237" s="3">
        <v>10105</v>
      </c>
      <c r="AA1237" t="s">
        <v>101</v>
      </c>
      <c r="AC1237" s="4" t="str">
        <f>"+12129691000"</f>
        <v>+12129691000</v>
      </c>
      <c r="AE1237" t="str">
        <f>"523920"</f>
        <v>523920</v>
      </c>
      <c r="AF1237" t="s">
        <v>5347</v>
      </c>
      <c r="AG1237" t="s">
        <v>3348</v>
      </c>
      <c r="AI1237" t="s">
        <v>3044</v>
      </c>
      <c r="AJ1237" t="s">
        <v>3349</v>
      </c>
      <c r="AK1237" t="str">
        <f>""</f>
        <v/>
      </c>
      <c r="AL1237" t="s">
        <v>1368</v>
      </c>
      <c r="AM1237" t="s">
        <v>545</v>
      </c>
      <c r="AN1237" s="3">
        <v>37219</v>
      </c>
      <c r="AO1237" t="s">
        <v>101</v>
      </c>
      <c r="AQ1237" t="str">
        <f>"+16292135803"</f>
        <v>+16292135803</v>
      </c>
      <c r="AS1237" t="s">
        <v>3350</v>
      </c>
      <c r="AT1237" t="s">
        <v>107</v>
      </c>
      <c r="AU1237" t="str">
        <f>"Soni"</f>
        <v>Soni</v>
      </c>
      <c r="AV1237" t="str">
        <f>"Rahul"</f>
        <v>Rahul</v>
      </c>
      <c r="AW1237" t="str">
        <f>""</f>
        <v/>
      </c>
      <c r="AX1237" t="str">
        <f>"1400 Broadway"</f>
        <v>1400 Broadway</v>
      </c>
      <c r="AY1237" t="str">
        <f>""</f>
        <v/>
      </c>
      <c r="AZ1237" t="str">
        <f>"New York"</f>
        <v>New York</v>
      </c>
      <c r="BA1237" t="str">
        <f>"NY"</f>
        <v>NY</v>
      </c>
      <c r="BB1237" s="3">
        <v>10018</v>
      </c>
      <c r="BC1237" t="str">
        <f t="shared" si="98"/>
        <v>UNITED STATES OF AMERICA</v>
      </c>
      <c r="BD1237" t="str">
        <f>""</f>
        <v/>
      </c>
      <c r="BE1237" t="str">
        <f>"+12126888555"</f>
        <v>+12126888555</v>
      </c>
      <c r="BF1237" t="str">
        <f>""</f>
        <v/>
      </c>
      <c r="BG1237" t="str">
        <f>"nhigdon@fragomen.com"</f>
        <v>nhigdon@fragomen.com</v>
      </c>
      <c r="BH1237" t="str">
        <f>"Fragomen, Del Rey, Bernsen &amp; Loewy, LLP"</f>
        <v>Fragomen, Del Rey, Bernsen &amp; Loewy, LLP</v>
      </c>
      <c r="BI1237" t="str">
        <f>"CA"</f>
        <v>CA</v>
      </c>
      <c r="BJ1237" t="str">
        <f>"Supreme Court"</f>
        <v>Supreme Court</v>
      </c>
      <c r="BK1237">
        <v>1</v>
      </c>
      <c r="BL1237" t="s">
        <v>102</v>
      </c>
      <c r="BM1237" t="str">
        <f>""</f>
        <v/>
      </c>
      <c r="BN1237" t="s">
        <v>6948</v>
      </c>
      <c r="BP1237" t="s">
        <v>1368</v>
      </c>
      <c r="BQ1237" t="s">
        <v>1664</v>
      </c>
      <c r="BR1237" t="s">
        <v>545</v>
      </c>
      <c r="BS1237" s="5">
        <v>37219</v>
      </c>
      <c r="BT1237" s="2">
        <v>110573</v>
      </c>
      <c r="BU1237" s="2">
        <v>150000</v>
      </c>
      <c r="BV1237" t="s">
        <v>105</v>
      </c>
      <c r="BW1237" s="2">
        <v>110573</v>
      </c>
      <c r="BX1237" t="s">
        <v>105</v>
      </c>
      <c r="BZ1237" t="s">
        <v>159</v>
      </c>
      <c r="CA1237" t="str">
        <f t="shared" si="99"/>
        <v>7/1/2020 - 6/30/2021</v>
      </c>
      <c r="CF1237">
        <v>1</v>
      </c>
      <c r="CG1237" t="s">
        <v>98</v>
      </c>
      <c r="CH1237" t="s">
        <v>206</v>
      </c>
      <c r="CI1237" t="s">
        <v>206</v>
      </c>
      <c r="CL1237" t="s">
        <v>108</v>
      </c>
      <c r="CM1237" t="s">
        <v>109</v>
      </c>
      <c r="CN1237" t="str">
        <f>"Higdon"</f>
        <v>Higdon</v>
      </c>
      <c r="CO1237" t="str">
        <f>"Nathaniel"</f>
        <v>Nathaniel</v>
      </c>
      <c r="CP1237" t="str">
        <f>""</f>
        <v/>
      </c>
      <c r="CQ1237" t="str">
        <f>"Fragomen, Del Rey, Bernsen &amp; Loewy, LLP"</f>
        <v>Fragomen, Del Rey, Bernsen &amp; Loewy, LLP</v>
      </c>
      <c r="CR1237" t="s">
        <v>5348</v>
      </c>
    </row>
    <row r="1238" spans="1:96" x14ac:dyDescent="0.2">
      <c r="A1238" t="s">
        <v>11850</v>
      </c>
      <c r="B1238" t="s">
        <v>96</v>
      </c>
      <c r="C1238" s="1">
        <v>44098</v>
      </c>
      <c r="D1238" s="1">
        <v>44105</v>
      </c>
      <c r="F1238" t="s">
        <v>97</v>
      </c>
      <c r="G1238" t="str">
        <f>"Software Engineer"</f>
        <v>Software Engineer</v>
      </c>
      <c r="H1238" t="s">
        <v>12176</v>
      </c>
      <c r="I1238" t="s">
        <v>246</v>
      </c>
      <c r="J1238" t="s">
        <v>206</v>
      </c>
      <c r="K1238" s="1">
        <v>44110</v>
      </c>
      <c r="L1238" s="1">
        <v>45205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 t="s">
        <v>4598</v>
      </c>
      <c r="U1238" t="str">
        <f>""</f>
        <v/>
      </c>
      <c r="V1238" t="s">
        <v>4599</v>
      </c>
      <c r="W1238" t="str">
        <f>""</f>
        <v/>
      </c>
      <c r="X1238" t="s">
        <v>1497</v>
      </c>
      <c r="Y1238" t="s">
        <v>265</v>
      </c>
      <c r="Z1238" s="3">
        <v>48331</v>
      </c>
      <c r="AA1238" t="s">
        <v>101</v>
      </c>
      <c r="AC1238" s="4" t="str">
        <f>"+12488762012"</f>
        <v>+12488762012</v>
      </c>
      <c r="AE1238" t="str">
        <f>"3363"</f>
        <v>3363</v>
      </c>
      <c r="AF1238" t="s">
        <v>4600</v>
      </c>
      <c r="AG1238" t="s">
        <v>4601</v>
      </c>
      <c r="AI1238" t="s">
        <v>4602</v>
      </c>
      <c r="AJ1238" t="s">
        <v>4599</v>
      </c>
      <c r="AK1238" t="str">
        <f>""</f>
        <v/>
      </c>
      <c r="AL1238" t="s">
        <v>1497</v>
      </c>
      <c r="AM1238" t="s">
        <v>265</v>
      </c>
      <c r="AN1238" s="3">
        <v>48331</v>
      </c>
      <c r="AO1238" t="s">
        <v>101</v>
      </c>
      <c r="AQ1238" t="str">
        <f>"+12488762012"</f>
        <v>+12488762012</v>
      </c>
      <c r="AS1238" t="s">
        <v>4603</v>
      </c>
      <c r="AT1238" t="s">
        <v>107</v>
      </c>
      <c r="AU1238" t="str">
        <f>"JACOBSON"</f>
        <v>JACOBSON</v>
      </c>
      <c r="AV1238" t="str">
        <f>"P. MICHELLE"</f>
        <v>P. MICHELLE</v>
      </c>
      <c r="AW1238" t="str">
        <f>""</f>
        <v/>
      </c>
      <c r="AX1238" t="str">
        <f>"333 WEST WACKER DRIVE"</f>
        <v>333 WEST WACKER DRIVE</v>
      </c>
      <c r="AY1238" t="str">
        <f>""</f>
        <v/>
      </c>
      <c r="AZ1238" t="str">
        <f>"CHICAGO"</f>
        <v>CHICAGO</v>
      </c>
      <c r="BA1238" t="str">
        <f>"IL"</f>
        <v>IL</v>
      </c>
      <c r="BB1238" s="3">
        <v>60606</v>
      </c>
      <c r="BC1238" t="str">
        <f t="shared" si="98"/>
        <v>UNITED STATES OF AMERICA</v>
      </c>
      <c r="BD1238" t="str">
        <f>""</f>
        <v/>
      </c>
      <c r="BE1238" t="str">
        <f>"+13122636101"</f>
        <v>+13122636101</v>
      </c>
      <c r="BF1238" t="str">
        <f>""</f>
        <v/>
      </c>
      <c r="BG1238" t="str">
        <f>"FRAGOMEN.BOSCHACCOUNT@FRAGOMEN.COM"</f>
        <v>FRAGOMEN.BOSCHACCOUNT@FRAGOMEN.COM</v>
      </c>
      <c r="BH1238" t="str">
        <f>"FRAGOMEN, DEL REY, BERNSEN &amp; LOEWY, LLP"</f>
        <v>FRAGOMEN, DEL REY, BERNSEN &amp; LOEWY, LLP</v>
      </c>
      <c r="BI1238" t="str">
        <f>"IL"</f>
        <v>IL</v>
      </c>
      <c r="BJ1238" t="str">
        <f>"ILLINOIS SUPREME COURT"</f>
        <v>ILLINOIS SUPREME COURT</v>
      </c>
      <c r="BK1238">
        <v>1</v>
      </c>
      <c r="BL1238" t="s">
        <v>102</v>
      </c>
      <c r="BM1238" t="str">
        <f>""</f>
        <v/>
      </c>
      <c r="BN1238" t="s">
        <v>8333</v>
      </c>
      <c r="BP1238" t="s">
        <v>1393</v>
      </c>
      <c r="BQ1238" t="s">
        <v>533</v>
      </c>
      <c r="BR1238" t="s">
        <v>265</v>
      </c>
      <c r="BS1238" s="5">
        <v>48170</v>
      </c>
      <c r="BT1238" s="2">
        <v>45.75</v>
      </c>
      <c r="BV1238" t="s">
        <v>210</v>
      </c>
      <c r="BW1238" s="2">
        <v>45.75</v>
      </c>
      <c r="BX1238" t="s">
        <v>210</v>
      </c>
      <c r="BZ1238" t="s">
        <v>123</v>
      </c>
      <c r="CA1238" t="str">
        <f t="shared" si="99"/>
        <v>7/1/2020 - 6/30/2021</v>
      </c>
      <c r="CF1238">
        <v>2</v>
      </c>
      <c r="CG1238" t="s">
        <v>98</v>
      </c>
      <c r="CH1238" t="s">
        <v>206</v>
      </c>
      <c r="CI1238" t="s">
        <v>206</v>
      </c>
      <c r="CL1238" t="s">
        <v>108</v>
      </c>
      <c r="CM1238" t="s">
        <v>109</v>
      </c>
      <c r="CN1238" t="str">
        <f>""</f>
        <v/>
      </c>
      <c r="CO1238" t="str">
        <f>""</f>
        <v/>
      </c>
      <c r="CP1238" t="str">
        <f>""</f>
        <v/>
      </c>
      <c r="CQ1238" t="str">
        <f>""</f>
        <v/>
      </c>
    </row>
    <row r="1239" spans="1:96" x14ac:dyDescent="0.2">
      <c r="A1239" t="s">
        <v>11851</v>
      </c>
      <c r="B1239" t="s">
        <v>96</v>
      </c>
      <c r="C1239" s="1">
        <v>44098</v>
      </c>
      <c r="D1239" s="1">
        <v>44105</v>
      </c>
      <c r="F1239" t="s">
        <v>97</v>
      </c>
      <c r="G1239" t="str">
        <f>"Principal Consultant"</f>
        <v>Principal Consultant</v>
      </c>
      <c r="H1239" t="s">
        <v>12169</v>
      </c>
      <c r="I1239" t="s">
        <v>124</v>
      </c>
      <c r="J1239" t="s">
        <v>98</v>
      </c>
      <c r="K1239" s="1">
        <v>44103</v>
      </c>
      <c r="L1239" s="1">
        <v>45197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 t="s">
        <v>1565</v>
      </c>
      <c r="U1239" t="str">
        <f>""</f>
        <v/>
      </c>
      <c r="V1239" t="s">
        <v>1566</v>
      </c>
      <c r="W1239" t="str">
        <f>"1st Floor West, Suite 129"</f>
        <v>1st Floor West, Suite 129</v>
      </c>
      <c r="X1239" t="s">
        <v>1567</v>
      </c>
      <c r="Y1239" t="s">
        <v>100</v>
      </c>
      <c r="Z1239" s="3">
        <v>7078</v>
      </c>
      <c r="AA1239" t="s">
        <v>101</v>
      </c>
      <c r="AC1239" s="4" t="str">
        <f>"+18004345808"</f>
        <v>+18004345808</v>
      </c>
      <c r="AE1239" t="str">
        <f>"541511"</f>
        <v>541511</v>
      </c>
      <c r="AF1239" t="s">
        <v>1568</v>
      </c>
      <c r="AG1239" t="s">
        <v>1569</v>
      </c>
      <c r="AI1239" t="s">
        <v>1570</v>
      </c>
      <c r="AJ1239" t="s">
        <v>1566</v>
      </c>
      <c r="AK1239" t="str">
        <f>"1st Floor West, Suite 129"</f>
        <v>1st Floor West, Suite 129</v>
      </c>
      <c r="AL1239" t="s">
        <v>1567</v>
      </c>
      <c r="AM1239" t="s">
        <v>100</v>
      </c>
      <c r="AN1239" s="3">
        <v>7078</v>
      </c>
      <c r="AO1239" t="s">
        <v>101</v>
      </c>
      <c r="AQ1239" t="str">
        <f>"+19739215225"</f>
        <v>+19739215225</v>
      </c>
      <c r="AS1239" t="s">
        <v>1571</v>
      </c>
      <c r="AT1239" t="s">
        <v>107</v>
      </c>
      <c r="AU1239" t="str">
        <f>"Schrager"</f>
        <v>Schrager</v>
      </c>
      <c r="AV1239" t="str">
        <f>"Jenny"</f>
        <v>Jenny</v>
      </c>
      <c r="AW1239" t="str">
        <f>"Spring"</f>
        <v>Spring</v>
      </c>
      <c r="AX1239" t="str">
        <f>"1400 Broadway"</f>
        <v>1400 Broadway</v>
      </c>
      <c r="AY1239" t="str">
        <f>"9th Floor"</f>
        <v>9th Floor</v>
      </c>
      <c r="AZ1239" t="str">
        <f>"New York"</f>
        <v>New York</v>
      </c>
      <c r="BA1239" t="str">
        <f>"NY"</f>
        <v>NY</v>
      </c>
      <c r="BB1239" s="3">
        <v>10018</v>
      </c>
      <c r="BC1239" t="str">
        <f t="shared" si="98"/>
        <v>UNITED STATES OF AMERICA</v>
      </c>
      <c r="BD1239" t="str">
        <f>""</f>
        <v/>
      </c>
      <c r="BE1239" t="str">
        <f>"+12126888555"</f>
        <v>+12126888555</v>
      </c>
      <c r="BF1239" t="str">
        <f>""</f>
        <v/>
      </c>
      <c r="BG1239" t="str">
        <f>"lcagenpact@fragomen.com"</f>
        <v>lcagenpact@fragomen.com</v>
      </c>
      <c r="BH1239" t="str">
        <f>"Fragomen, Del Rey, Bernsen &amp; Loewy LLP"</f>
        <v>Fragomen, Del Rey, Bernsen &amp; Loewy LLP</v>
      </c>
      <c r="BI1239" t="str">
        <f>"NY"</f>
        <v>NY</v>
      </c>
      <c r="BJ1239" t="str">
        <f>"New York Court of Appeals"</f>
        <v>New York Court of Appeals</v>
      </c>
      <c r="BK1239">
        <v>1</v>
      </c>
      <c r="BL1239" t="s">
        <v>107</v>
      </c>
      <c r="BM1239" t="str">
        <f>"General Electric"</f>
        <v>General Electric</v>
      </c>
      <c r="BN1239" t="s">
        <v>3726</v>
      </c>
      <c r="BP1239" t="s">
        <v>1495</v>
      </c>
      <c r="BQ1239" t="s">
        <v>1496</v>
      </c>
      <c r="BR1239" t="s">
        <v>280</v>
      </c>
      <c r="BS1239" s="5">
        <v>6851</v>
      </c>
      <c r="BT1239" s="2">
        <v>102010</v>
      </c>
      <c r="BV1239" t="s">
        <v>105</v>
      </c>
      <c r="BW1239" s="2">
        <v>100838</v>
      </c>
      <c r="BX1239" t="s">
        <v>105</v>
      </c>
      <c r="BZ1239" t="s">
        <v>167</v>
      </c>
      <c r="CA1239" t="str">
        <f t="shared" si="99"/>
        <v>7/1/2020 - 6/30/2021</v>
      </c>
      <c r="CF1239">
        <v>2</v>
      </c>
      <c r="CG1239" t="s">
        <v>98</v>
      </c>
      <c r="CH1239" t="s">
        <v>206</v>
      </c>
      <c r="CI1239" t="s">
        <v>206</v>
      </c>
      <c r="CL1239" t="s">
        <v>108</v>
      </c>
      <c r="CM1239" t="s">
        <v>109</v>
      </c>
      <c r="CN1239" t="str">
        <f>""</f>
        <v/>
      </c>
      <c r="CO1239" t="str">
        <f>""</f>
        <v/>
      </c>
      <c r="CP1239" t="str">
        <f>""</f>
        <v/>
      </c>
      <c r="CQ1239" t="str">
        <f>""</f>
        <v/>
      </c>
    </row>
    <row r="1240" spans="1:96" x14ac:dyDescent="0.2">
      <c r="A1240" t="s">
        <v>11859</v>
      </c>
      <c r="B1240" t="s">
        <v>96</v>
      </c>
      <c r="C1240" s="1">
        <v>44098</v>
      </c>
      <c r="D1240" s="1">
        <v>44105</v>
      </c>
      <c r="F1240" t="s">
        <v>97</v>
      </c>
      <c r="G1240" t="str">
        <f>"Senior Developer"</f>
        <v>Senior Developer</v>
      </c>
      <c r="H1240" t="s">
        <v>12169</v>
      </c>
      <c r="I1240" t="s">
        <v>124</v>
      </c>
      <c r="J1240" t="s">
        <v>98</v>
      </c>
      <c r="K1240" s="1">
        <v>44249</v>
      </c>
      <c r="L1240" s="1">
        <v>45344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 t="s">
        <v>11294</v>
      </c>
      <c r="U1240" t="str">
        <f>""</f>
        <v/>
      </c>
      <c r="V1240" t="s">
        <v>125</v>
      </c>
      <c r="W1240" t="str">
        <f>""</f>
        <v/>
      </c>
      <c r="X1240" t="s">
        <v>126</v>
      </c>
      <c r="Y1240" t="s">
        <v>127</v>
      </c>
      <c r="Z1240" s="3">
        <v>19073</v>
      </c>
      <c r="AA1240" t="s">
        <v>101</v>
      </c>
      <c r="AC1240" s="4" t="str">
        <f>"+16106611000"</f>
        <v>+16106611000</v>
      </c>
      <c r="AE1240" t="str">
        <f>"54151"</f>
        <v>54151</v>
      </c>
      <c r="AF1240" t="s">
        <v>128</v>
      </c>
      <c r="AG1240" t="s">
        <v>129</v>
      </c>
      <c r="AI1240" t="s">
        <v>130</v>
      </c>
      <c r="AJ1240" t="s">
        <v>125</v>
      </c>
      <c r="AK1240" t="str">
        <f>""</f>
        <v/>
      </c>
      <c r="AL1240" t="s">
        <v>126</v>
      </c>
      <c r="AM1240" t="s">
        <v>127</v>
      </c>
      <c r="AN1240" s="3">
        <v>19073</v>
      </c>
      <c r="AO1240" t="s">
        <v>101</v>
      </c>
      <c r="AQ1240" t="str">
        <f>"+16106612354"</f>
        <v>+16106612354</v>
      </c>
      <c r="AS1240" t="s">
        <v>131</v>
      </c>
      <c r="AT1240" t="s">
        <v>107</v>
      </c>
      <c r="AU1240" t="str">
        <f>"RALSTON"</f>
        <v>RALSTON</v>
      </c>
      <c r="AV1240" t="str">
        <f>"C. WILLIAM"</f>
        <v>C. WILLIAM</v>
      </c>
      <c r="AW1240" t="str">
        <f>""</f>
        <v/>
      </c>
      <c r="AX1240" t="str">
        <f>"90 MATAWAN ROAD"</f>
        <v>90 MATAWAN ROAD</v>
      </c>
      <c r="AY1240" t="str">
        <f>"4TH FLOOR"</f>
        <v>4TH FLOOR</v>
      </c>
      <c r="AZ1240" t="str">
        <f>"MATAWAN"</f>
        <v>MATAWAN</v>
      </c>
      <c r="BA1240" t="str">
        <f>"NJ"</f>
        <v>NJ</v>
      </c>
      <c r="BB1240" s="3">
        <v>7747</v>
      </c>
      <c r="BC1240" t="str">
        <f t="shared" si="98"/>
        <v>UNITED STATES OF AMERICA</v>
      </c>
      <c r="BD1240" t="str">
        <f>""</f>
        <v/>
      </c>
      <c r="BE1240" t="str">
        <f>"+17328625000"</f>
        <v>+17328625000</v>
      </c>
      <c r="BF1240" t="str">
        <f>""</f>
        <v/>
      </c>
      <c r="BG1240" t="str">
        <f>"JROJAS@FRAGOMEN.COM"</f>
        <v>JROJAS@FRAGOMEN.COM</v>
      </c>
      <c r="BH1240" t="str">
        <f>"FRAGOMEN, DEL REY, BERNSEN &amp; LOEWY, LLP"</f>
        <v>FRAGOMEN, DEL REY, BERNSEN &amp; LOEWY, LLP</v>
      </c>
      <c r="BI1240" t="str">
        <f>"NJ"</f>
        <v>NJ</v>
      </c>
      <c r="BJ1240" t="str">
        <f>"SUPREME COURT"</f>
        <v>SUPREME COURT</v>
      </c>
      <c r="BK1240">
        <v>1</v>
      </c>
      <c r="BL1240" t="s">
        <v>102</v>
      </c>
      <c r="BM1240" t="str">
        <f>""</f>
        <v/>
      </c>
      <c r="BN1240" t="s">
        <v>6143</v>
      </c>
      <c r="BO1240" t="s">
        <v>3048</v>
      </c>
      <c r="BP1240" t="s">
        <v>182</v>
      </c>
      <c r="BQ1240" t="s">
        <v>183</v>
      </c>
      <c r="BR1240" t="s">
        <v>176</v>
      </c>
      <c r="BS1240" s="5">
        <v>98004</v>
      </c>
      <c r="BT1240" s="2">
        <v>136914</v>
      </c>
      <c r="BV1240" t="s">
        <v>105</v>
      </c>
      <c r="BW1240" s="2">
        <v>134098</v>
      </c>
      <c r="BX1240" t="s">
        <v>105</v>
      </c>
      <c r="BZ1240" t="s">
        <v>123</v>
      </c>
      <c r="CA1240" t="str">
        <f t="shared" si="99"/>
        <v>7/1/2020 - 6/30/2021</v>
      </c>
      <c r="CF1240">
        <v>2</v>
      </c>
      <c r="CG1240" t="s">
        <v>98</v>
      </c>
      <c r="CH1240" t="s">
        <v>206</v>
      </c>
      <c r="CI1240" t="s">
        <v>206</v>
      </c>
      <c r="CL1240" t="s">
        <v>108</v>
      </c>
      <c r="CM1240" t="s">
        <v>109</v>
      </c>
      <c r="CN1240" t="str">
        <f>"RALSTON"</f>
        <v>RALSTON</v>
      </c>
      <c r="CO1240" t="str">
        <f>"C. WILLIAM"</f>
        <v>C. WILLIAM</v>
      </c>
      <c r="CP1240" t="str">
        <f>""</f>
        <v/>
      </c>
      <c r="CQ1240" t="str">
        <f>"FRAGOMEN, DEL REY, BERNSEN &amp; LOEWY, LLP"</f>
        <v>FRAGOMEN, DEL REY, BERNSEN &amp; LOEWY, LLP</v>
      </c>
      <c r="CR1240" t="s">
        <v>136</v>
      </c>
    </row>
    <row r="1241" spans="1:96" x14ac:dyDescent="0.2">
      <c r="A1241" t="s">
        <v>11870</v>
      </c>
      <c r="B1241" t="s">
        <v>96</v>
      </c>
      <c r="C1241" s="1">
        <v>44098</v>
      </c>
      <c r="D1241" s="1">
        <v>44105</v>
      </c>
      <c r="F1241" t="s">
        <v>97</v>
      </c>
      <c r="G1241" t="str">
        <f>"Chief Systems Architect"</f>
        <v>Chief Systems Architect</v>
      </c>
      <c r="H1241" t="s">
        <v>12168</v>
      </c>
      <c r="I1241" t="s">
        <v>160</v>
      </c>
      <c r="J1241" t="s">
        <v>98</v>
      </c>
      <c r="K1241" s="1">
        <v>44116</v>
      </c>
      <c r="L1241" s="1">
        <v>45210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 t="s">
        <v>2106</v>
      </c>
      <c r="U1241" t="str">
        <f>""</f>
        <v/>
      </c>
      <c r="V1241" t="s">
        <v>987</v>
      </c>
      <c r="W1241" t="str">
        <f>""</f>
        <v/>
      </c>
      <c r="X1241" t="s">
        <v>988</v>
      </c>
      <c r="Y1241" t="s">
        <v>141</v>
      </c>
      <c r="Z1241" s="3">
        <v>94404</v>
      </c>
      <c r="AA1241" t="s">
        <v>101</v>
      </c>
      <c r="AC1241" s="4" t="str">
        <f>"+16504328837"</f>
        <v>+16504328837</v>
      </c>
      <c r="AE1241" t="str">
        <f>"522320"</f>
        <v>522320</v>
      </c>
      <c r="AF1241" t="s">
        <v>989</v>
      </c>
      <c r="AG1241" t="s">
        <v>990</v>
      </c>
      <c r="AH1241" t="s">
        <v>108</v>
      </c>
      <c r="AI1241" t="s">
        <v>991</v>
      </c>
      <c r="AJ1241" t="s">
        <v>992</v>
      </c>
      <c r="AK1241" t="str">
        <f>""</f>
        <v/>
      </c>
      <c r="AL1241" t="s">
        <v>988</v>
      </c>
      <c r="AM1241" t="s">
        <v>141</v>
      </c>
      <c r="AN1241" s="3">
        <v>94404</v>
      </c>
      <c r="AO1241" t="s">
        <v>101</v>
      </c>
      <c r="AQ1241" t="str">
        <f>"+16504328837"</f>
        <v>+16504328837</v>
      </c>
      <c r="AS1241" t="s">
        <v>993</v>
      </c>
      <c r="AT1241" t="s">
        <v>107</v>
      </c>
      <c r="AU1241" t="str">
        <f>"Lighter"</f>
        <v>Lighter</v>
      </c>
      <c r="AV1241" t="str">
        <f>"Amy"</f>
        <v>Amy</v>
      </c>
      <c r="AW1241" t="str">
        <f>""</f>
        <v/>
      </c>
      <c r="AX1241" t="str">
        <f>"100 Pringle Avenue"</f>
        <v>100 Pringle Avenue</v>
      </c>
      <c r="AY1241" t="str">
        <f>"Suite 300"</f>
        <v>Suite 300</v>
      </c>
      <c r="AZ1241" t="str">
        <f>"Walnut Creek"</f>
        <v>Walnut Creek</v>
      </c>
      <c r="BA1241" t="str">
        <f>"CA"</f>
        <v>CA</v>
      </c>
      <c r="BB1241" s="3">
        <v>94596</v>
      </c>
      <c r="BC1241" t="str">
        <f t="shared" si="98"/>
        <v>UNITED STATES OF AMERICA</v>
      </c>
      <c r="BD1241" t="str">
        <f>""</f>
        <v/>
      </c>
      <c r="BE1241" t="str">
        <f>"+19253786391"</f>
        <v>+19253786391</v>
      </c>
      <c r="BF1241" t="str">
        <f>""</f>
        <v/>
      </c>
      <c r="BG1241" t="str">
        <f>"alighter@balglobal.com"</f>
        <v>alighter@balglobal.com</v>
      </c>
      <c r="BH1241" t="str">
        <f>"Berry Appleman &amp; Leiden LLP"</f>
        <v>Berry Appleman &amp; Leiden LLP</v>
      </c>
      <c r="BI1241" t="str">
        <f>"TN"</f>
        <v>TN</v>
      </c>
      <c r="BJ1241" t="str">
        <f>"Tennessee Supreme Court"</f>
        <v>Tennessee Supreme Court</v>
      </c>
      <c r="BK1241">
        <v>1</v>
      </c>
      <c r="BL1241" t="s">
        <v>102</v>
      </c>
      <c r="BM1241" t="str">
        <f>""</f>
        <v/>
      </c>
      <c r="BN1241" t="s">
        <v>2107</v>
      </c>
      <c r="BP1241" t="s">
        <v>568</v>
      </c>
      <c r="BQ1241" t="s">
        <v>230</v>
      </c>
      <c r="BR1241" t="s">
        <v>141</v>
      </c>
      <c r="BS1241" s="5">
        <v>94306</v>
      </c>
      <c r="BT1241" s="2">
        <v>163800</v>
      </c>
      <c r="BU1241" s="2">
        <v>256000</v>
      </c>
      <c r="BV1241" t="s">
        <v>105</v>
      </c>
      <c r="BW1241" s="2">
        <v>163800</v>
      </c>
      <c r="BX1241" t="s">
        <v>105</v>
      </c>
      <c r="BZ1241" t="s">
        <v>159</v>
      </c>
      <c r="CA1241" t="str">
        <f t="shared" si="99"/>
        <v>7/1/2020 - 6/30/2021</v>
      </c>
      <c r="CF1241">
        <v>1</v>
      </c>
      <c r="CG1241" t="s">
        <v>98</v>
      </c>
      <c r="CH1241" t="s">
        <v>206</v>
      </c>
      <c r="CI1241" t="s">
        <v>206</v>
      </c>
      <c r="CL1241" t="s">
        <v>108</v>
      </c>
      <c r="CM1241" t="s">
        <v>109</v>
      </c>
      <c r="CN1241" t="str">
        <f>"Lighter"</f>
        <v>Lighter</v>
      </c>
      <c r="CO1241" t="str">
        <f>"Amy"</f>
        <v>Amy</v>
      </c>
      <c r="CP1241" t="str">
        <f>""</f>
        <v/>
      </c>
      <c r="CQ1241" t="str">
        <f>"Berry Appleman &amp; Leiden LLP"</f>
        <v>Berry Appleman &amp; Leiden LLP</v>
      </c>
      <c r="CR1241" t="s">
        <v>11871</v>
      </c>
    </row>
    <row r="1242" spans="1:96" x14ac:dyDescent="0.2">
      <c r="A1242" t="s">
        <v>11873</v>
      </c>
      <c r="B1242" t="s">
        <v>96</v>
      </c>
      <c r="C1242" s="1">
        <v>44098</v>
      </c>
      <c r="D1242" s="1">
        <v>44105</v>
      </c>
      <c r="F1242" t="s">
        <v>97</v>
      </c>
      <c r="G1242" t="str">
        <f>"Vice President"</f>
        <v>Vice President</v>
      </c>
      <c r="H1242" t="s">
        <v>12181</v>
      </c>
      <c r="I1242" t="s">
        <v>110</v>
      </c>
      <c r="J1242" t="s">
        <v>98</v>
      </c>
      <c r="K1242" s="1">
        <v>44274</v>
      </c>
      <c r="L1242" s="1">
        <v>45369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 t="s">
        <v>1204</v>
      </c>
      <c r="U1242" t="str">
        <f>""</f>
        <v/>
      </c>
      <c r="V1242" t="s">
        <v>1205</v>
      </c>
      <c r="W1242" t="str">
        <f>""</f>
        <v/>
      </c>
      <c r="X1242" t="s">
        <v>1206</v>
      </c>
      <c r="Y1242" t="s">
        <v>100</v>
      </c>
      <c r="Z1242" s="3">
        <v>7302</v>
      </c>
      <c r="AA1242" t="s">
        <v>101</v>
      </c>
      <c r="AC1242" s="4" t="str">
        <f>"+12129021000"</f>
        <v>+12129021000</v>
      </c>
      <c r="AE1242" t="str">
        <f>"523110"</f>
        <v>523110</v>
      </c>
      <c r="AF1242" t="s">
        <v>1207</v>
      </c>
      <c r="AG1242" t="s">
        <v>1208</v>
      </c>
      <c r="AH1242" t="s">
        <v>2367</v>
      </c>
      <c r="AI1242" t="s">
        <v>1210</v>
      </c>
      <c r="AJ1242" t="s">
        <v>1205</v>
      </c>
      <c r="AK1242" t="str">
        <f>""</f>
        <v/>
      </c>
      <c r="AL1242" t="s">
        <v>1206</v>
      </c>
      <c r="AM1242" t="s">
        <v>100</v>
      </c>
      <c r="AN1242" s="3">
        <v>7302</v>
      </c>
      <c r="AO1242" t="s">
        <v>101</v>
      </c>
      <c r="AQ1242" t="str">
        <f>"+12129021000"</f>
        <v>+12129021000</v>
      </c>
      <c r="AS1242" t="s">
        <v>1211</v>
      </c>
      <c r="AT1242" t="s">
        <v>107</v>
      </c>
      <c r="AU1242" t="str">
        <f>"BURKIC"</f>
        <v>BURKIC</v>
      </c>
      <c r="AV1242" t="str">
        <f>"BELMA"</f>
        <v>BELMA</v>
      </c>
      <c r="AW1242" t="str">
        <f>""</f>
        <v/>
      </c>
      <c r="AX1242" t="str">
        <f>"1400 BROADWAY"</f>
        <v>1400 BROADWAY</v>
      </c>
      <c r="AY1242" t="str">
        <f>""</f>
        <v/>
      </c>
      <c r="AZ1242" t="str">
        <f>"NEW YORK"</f>
        <v>NEW YORK</v>
      </c>
      <c r="BA1242" t="str">
        <f>"NY"</f>
        <v>NY</v>
      </c>
      <c r="BB1242" s="3">
        <v>10018</v>
      </c>
      <c r="BC1242" t="str">
        <f t="shared" si="98"/>
        <v>UNITED STATES OF AMERICA</v>
      </c>
      <c r="BD1242" t="str">
        <f>""</f>
        <v/>
      </c>
      <c r="BE1242" t="str">
        <f>"+12126888555"</f>
        <v>+12126888555</v>
      </c>
      <c r="BF1242" t="str">
        <f>""</f>
        <v/>
      </c>
      <c r="BG1242" t="str">
        <f>"MHOXHA@FRAGOMEN.COM"</f>
        <v>MHOXHA@FRAGOMEN.COM</v>
      </c>
      <c r="BH1242" t="str">
        <f>"Fragomen, Del Rey, Bernsen &amp; Loewy, LLP"</f>
        <v>Fragomen, Del Rey, Bernsen &amp; Loewy, LLP</v>
      </c>
      <c r="BI1242" t="str">
        <f>"NY"</f>
        <v>NY</v>
      </c>
      <c r="BJ1242" t="str">
        <f>"COURT OF APPEALS"</f>
        <v>COURT OF APPEALS</v>
      </c>
      <c r="BK1242">
        <v>1</v>
      </c>
      <c r="BL1242" t="s">
        <v>102</v>
      </c>
      <c r="BM1242" t="str">
        <f>""</f>
        <v/>
      </c>
      <c r="BN1242" t="s">
        <v>8964</v>
      </c>
      <c r="BP1242" t="s">
        <v>2151</v>
      </c>
      <c r="BQ1242" t="s">
        <v>1095</v>
      </c>
      <c r="BR1242" t="s">
        <v>169</v>
      </c>
      <c r="BS1242" s="5">
        <v>84101</v>
      </c>
      <c r="BT1242" s="2">
        <v>110000</v>
      </c>
      <c r="BV1242" t="s">
        <v>105</v>
      </c>
      <c r="BW1242" s="2">
        <v>75254</v>
      </c>
      <c r="BX1242" t="s">
        <v>105</v>
      </c>
      <c r="BZ1242" t="s">
        <v>123</v>
      </c>
      <c r="CA1242" t="str">
        <f t="shared" si="99"/>
        <v>7/1/2020 - 6/30/2021</v>
      </c>
      <c r="CF1242">
        <v>1</v>
      </c>
      <c r="CG1242" t="s">
        <v>98</v>
      </c>
      <c r="CH1242" t="s">
        <v>206</v>
      </c>
      <c r="CI1242" t="s">
        <v>206</v>
      </c>
      <c r="CL1242" t="s">
        <v>108</v>
      </c>
      <c r="CM1242" t="s">
        <v>109</v>
      </c>
      <c r="CN1242" t="str">
        <f>"HOXHA"</f>
        <v>HOXHA</v>
      </c>
      <c r="CO1242" t="str">
        <f>"MAILINDA"</f>
        <v>MAILINDA</v>
      </c>
      <c r="CP1242" t="str">
        <f>""</f>
        <v/>
      </c>
      <c r="CQ1242" t="str">
        <f>"FRAGOMEN, DEL REY, BERNSEN &amp; LOEWY, LLP"</f>
        <v>FRAGOMEN, DEL REY, BERNSEN &amp; LOEWY, LLP</v>
      </c>
      <c r="CR1242" t="s">
        <v>7349</v>
      </c>
    </row>
    <row r="1243" spans="1:96" x14ac:dyDescent="0.2">
      <c r="A1243" t="s">
        <v>11876</v>
      </c>
      <c r="B1243" t="s">
        <v>96</v>
      </c>
      <c r="C1243" s="1">
        <v>44098</v>
      </c>
      <c r="D1243" s="1">
        <v>44105</v>
      </c>
      <c r="F1243" t="s">
        <v>97</v>
      </c>
      <c r="G1243" t="str">
        <f>"Software Development Analyst"</f>
        <v>Software Development Analyst</v>
      </c>
      <c r="H1243" t="s">
        <v>12169</v>
      </c>
      <c r="I1243" t="s">
        <v>124</v>
      </c>
      <c r="J1243" t="s">
        <v>98</v>
      </c>
      <c r="K1243" s="1">
        <v>44197</v>
      </c>
      <c r="L1243" s="1">
        <v>45291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 t="s">
        <v>5002</v>
      </c>
      <c r="U1243" t="str">
        <f>""</f>
        <v/>
      </c>
      <c r="V1243" t="s">
        <v>4874</v>
      </c>
      <c r="W1243" t="str">
        <f>""</f>
        <v/>
      </c>
      <c r="X1243" t="s">
        <v>951</v>
      </c>
      <c r="Y1243" t="s">
        <v>171</v>
      </c>
      <c r="Z1243" s="3">
        <v>2129</v>
      </c>
      <c r="AA1243" t="s">
        <v>101</v>
      </c>
      <c r="AC1243" s="4" t="str">
        <f>"+16175171483"</f>
        <v>+16175171483</v>
      </c>
      <c r="AE1243" t="str">
        <f>"541511"</f>
        <v>541511</v>
      </c>
      <c r="AF1243" t="s">
        <v>4875</v>
      </c>
      <c r="AG1243" t="s">
        <v>4876</v>
      </c>
      <c r="AI1243" t="s">
        <v>4877</v>
      </c>
      <c r="AJ1243" t="s">
        <v>4874</v>
      </c>
      <c r="AK1243" t="str">
        <f>""</f>
        <v/>
      </c>
      <c r="AL1243" t="s">
        <v>951</v>
      </c>
      <c r="AM1243" t="s">
        <v>171</v>
      </c>
      <c r="AN1243" s="3">
        <v>2129</v>
      </c>
      <c r="AO1243" t="s">
        <v>101</v>
      </c>
      <c r="AQ1243" t="str">
        <f>"+16175171483"</f>
        <v>+16175171483</v>
      </c>
      <c r="AS1243" t="s">
        <v>2189</v>
      </c>
      <c r="AT1243" t="s">
        <v>107</v>
      </c>
      <c r="AU1243" t="str">
        <f>"PRASHAD"</f>
        <v>PRASHAD</v>
      </c>
      <c r="AV1243" t="str">
        <f>"STEPHANIE"</f>
        <v>STEPHANIE</v>
      </c>
      <c r="AW1243" t="str">
        <f>"P"</f>
        <v>P</v>
      </c>
      <c r="AX1243" t="str">
        <f>"8529 SIX FORKS ROAD, FORUM IV"</f>
        <v>8529 SIX FORKS ROAD, FORUM IV</v>
      </c>
      <c r="AY1243" t="str">
        <f>"SUITE 600"</f>
        <v>SUITE 600</v>
      </c>
      <c r="AZ1243" t="str">
        <f>"RALEIGH"</f>
        <v>RALEIGH</v>
      </c>
      <c r="BA1243" t="str">
        <f>"NC"</f>
        <v>NC</v>
      </c>
      <c r="BB1243" s="3">
        <v>27615</v>
      </c>
      <c r="BC1243" t="str">
        <f t="shared" si="98"/>
        <v>UNITED STATES OF AMERICA</v>
      </c>
      <c r="BD1243" t="str">
        <f>"NORTH CAROLINA"</f>
        <v>NORTH CAROLINA</v>
      </c>
      <c r="BE1243" t="str">
        <f>"+19197879700"</f>
        <v>+19197879700</v>
      </c>
      <c r="BF1243" t="str">
        <f>""</f>
        <v/>
      </c>
      <c r="BG1243" t="str">
        <f>"LAURA.FOGGER@OGLETREEDEAKINS.COM"</f>
        <v>LAURA.FOGGER@OGLETREEDEAKINS.COM</v>
      </c>
      <c r="BH1243" t="str">
        <f>"OGLETREE, DEAKINS, NASH, SMOAK, AND STEWART, P.C."</f>
        <v>OGLETREE, DEAKINS, NASH, SMOAK, AND STEWART, P.C.</v>
      </c>
      <c r="BI1243" t="str">
        <f>"MA"</f>
        <v>MA</v>
      </c>
      <c r="BJ1243" t="str">
        <f>"MA COURT OF APPEALS"</f>
        <v>MA COURT OF APPEALS</v>
      </c>
      <c r="BK1243">
        <v>1</v>
      </c>
      <c r="BL1243" t="s">
        <v>107</v>
      </c>
      <c r="BM1243" t="str">
        <f>"State Farm"</f>
        <v>State Farm</v>
      </c>
      <c r="BN1243" t="s">
        <v>5404</v>
      </c>
      <c r="BP1243" t="s">
        <v>343</v>
      </c>
      <c r="BQ1243" t="s">
        <v>344</v>
      </c>
      <c r="BR1243" t="s">
        <v>345</v>
      </c>
      <c r="BS1243" s="5">
        <v>61791</v>
      </c>
      <c r="BT1243" s="2">
        <v>91790</v>
      </c>
      <c r="BU1243" s="2">
        <v>121790</v>
      </c>
      <c r="BV1243" t="s">
        <v>105</v>
      </c>
      <c r="BW1243" s="2">
        <v>91790</v>
      </c>
      <c r="BX1243" t="s">
        <v>105</v>
      </c>
      <c r="BZ1243" t="s">
        <v>167</v>
      </c>
      <c r="CA1243" t="str">
        <f t="shared" si="99"/>
        <v>7/1/2020 - 6/30/2021</v>
      </c>
      <c r="CF1243">
        <v>2</v>
      </c>
      <c r="CG1243" t="s">
        <v>98</v>
      </c>
      <c r="CH1243" t="s">
        <v>206</v>
      </c>
      <c r="CI1243" t="s">
        <v>206</v>
      </c>
      <c r="CL1243" t="s">
        <v>108</v>
      </c>
      <c r="CM1243" t="s">
        <v>109</v>
      </c>
      <c r="CN1243" t="str">
        <f>"Prashad"</f>
        <v>Prashad</v>
      </c>
      <c r="CO1243" t="str">
        <f>"Stephanie"</f>
        <v>Stephanie</v>
      </c>
      <c r="CP1243" t="str">
        <f>"P."</f>
        <v>P.</v>
      </c>
      <c r="CQ1243" t="str">
        <f>"Ogletree, Deakins, Nash, Smoak &amp; Stewart, P.C."</f>
        <v>Ogletree, Deakins, Nash, Smoak &amp; Stewart, P.C.</v>
      </c>
      <c r="CR1243" t="s">
        <v>4880</v>
      </c>
    </row>
    <row r="1244" spans="1:96" x14ac:dyDescent="0.2">
      <c r="A1244" t="s">
        <v>11887</v>
      </c>
      <c r="B1244" t="s">
        <v>96</v>
      </c>
      <c r="C1244" s="1">
        <v>44098</v>
      </c>
      <c r="D1244" s="1">
        <v>44105</v>
      </c>
      <c r="F1244" t="s">
        <v>97</v>
      </c>
      <c r="G1244" t="str">
        <f>"Accurin Product Development Manger"</f>
        <v>Accurin Product Development Manger</v>
      </c>
      <c r="H1244" t="s">
        <v>12169</v>
      </c>
      <c r="I1244" t="s">
        <v>124</v>
      </c>
      <c r="J1244" t="s">
        <v>98</v>
      </c>
      <c r="K1244" s="1">
        <v>44105</v>
      </c>
      <c r="L1244" s="1">
        <v>45199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11888</v>
      </c>
      <c r="U1244" t="str">
        <f>""</f>
        <v/>
      </c>
      <c r="V1244" t="s">
        <v>11889</v>
      </c>
      <c r="W1244" t="str">
        <f>"Suite 210"</f>
        <v>Suite 210</v>
      </c>
      <c r="X1244" t="s">
        <v>7548</v>
      </c>
      <c r="Y1244" t="s">
        <v>100</v>
      </c>
      <c r="Z1244" s="3">
        <v>7747</v>
      </c>
      <c r="AA1244" t="s">
        <v>101</v>
      </c>
      <c r="AC1244" s="4" t="str">
        <f>"+17328094905"</f>
        <v>+17328094905</v>
      </c>
      <c r="AE1244" t="str">
        <f>"541511"</f>
        <v>541511</v>
      </c>
      <c r="AF1244" t="s">
        <v>243</v>
      </c>
      <c r="AG1244" t="s">
        <v>11890</v>
      </c>
      <c r="AI1244" t="s">
        <v>7857</v>
      </c>
      <c r="AJ1244" t="s">
        <v>11889</v>
      </c>
      <c r="AK1244" t="str">
        <f>"Suite 210"</f>
        <v>Suite 210</v>
      </c>
      <c r="AL1244" t="s">
        <v>7548</v>
      </c>
      <c r="AM1244" t="s">
        <v>100</v>
      </c>
      <c r="AN1244" s="3">
        <v>7747</v>
      </c>
      <c r="AO1244" t="s">
        <v>101</v>
      </c>
      <c r="AQ1244" t="str">
        <f>"+17328094905"</f>
        <v>+17328094905</v>
      </c>
      <c r="AS1244" t="s">
        <v>11891</v>
      </c>
      <c r="AT1244" t="s">
        <v>107</v>
      </c>
      <c r="AU1244" t="str">
        <f>"Gayatrinath"</f>
        <v>Gayatrinath</v>
      </c>
      <c r="AV1244" t="str">
        <f>"Radhika"</f>
        <v>Radhika</v>
      </c>
      <c r="AW1244" t="str">
        <f>""</f>
        <v/>
      </c>
      <c r="AX1244" t="str">
        <f>"PO Box 140697"</f>
        <v>PO Box 140697</v>
      </c>
      <c r="AY1244" t="str">
        <f>""</f>
        <v/>
      </c>
      <c r="AZ1244" t="str">
        <f>"Staten Island"</f>
        <v>Staten Island</v>
      </c>
      <c r="BA1244" t="str">
        <f>"NY"</f>
        <v>NY</v>
      </c>
      <c r="BB1244" s="3">
        <v>10314</v>
      </c>
      <c r="BC1244" t="str">
        <f t="shared" si="98"/>
        <v>UNITED STATES OF AMERICA</v>
      </c>
      <c r="BD1244" t="str">
        <f>"NY"</f>
        <v>NY</v>
      </c>
      <c r="BE1244" t="str">
        <f>"+17187271200"</f>
        <v>+17187271200</v>
      </c>
      <c r="BF1244" t="str">
        <f>""</f>
        <v/>
      </c>
      <c r="BG1244" t="str">
        <f>"gayas@aol.com"</f>
        <v>gayas@aol.com</v>
      </c>
      <c r="BH1244" t="str">
        <f>"Law Offices of Radhika Gayatrinath"</f>
        <v>Law Offices of Radhika Gayatrinath</v>
      </c>
      <c r="BI1244" t="str">
        <f>"NY"</f>
        <v>NY</v>
      </c>
      <c r="BJ1244" t="str">
        <f>"NY APP COURT DIV II"</f>
        <v>NY APP COURT DIV II</v>
      </c>
      <c r="BK1244">
        <v>1</v>
      </c>
      <c r="BL1244" t="s">
        <v>102</v>
      </c>
      <c r="BM1244" t="str">
        <f>""</f>
        <v/>
      </c>
      <c r="BN1244" t="s">
        <v>11892</v>
      </c>
      <c r="BO1244" t="s">
        <v>7095</v>
      </c>
      <c r="BP1244" t="s">
        <v>7548</v>
      </c>
      <c r="BQ1244" t="s">
        <v>1503</v>
      </c>
      <c r="BR1244" t="s">
        <v>100</v>
      </c>
      <c r="BS1244" s="5">
        <v>7747</v>
      </c>
      <c r="BT1244" s="2">
        <v>100526</v>
      </c>
      <c r="BV1244" t="s">
        <v>105</v>
      </c>
      <c r="BW1244" s="2">
        <v>100526</v>
      </c>
      <c r="BX1244" t="s">
        <v>105</v>
      </c>
      <c r="BZ1244" t="s">
        <v>167</v>
      </c>
      <c r="CA1244" t="str">
        <f t="shared" si="99"/>
        <v>7/1/2020 - 6/30/2021</v>
      </c>
      <c r="CF1244">
        <v>1</v>
      </c>
      <c r="CG1244" t="s">
        <v>98</v>
      </c>
      <c r="CH1244" t="s">
        <v>206</v>
      </c>
      <c r="CI1244" t="s">
        <v>206</v>
      </c>
      <c r="CL1244" t="s">
        <v>108</v>
      </c>
      <c r="CM1244" t="s">
        <v>109</v>
      </c>
      <c r="CN1244" t="str">
        <f>""</f>
        <v/>
      </c>
      <c r="CO1244" t="str">
        <f>""</f>
        <v/>
      </c>
      <c r="CP1244" t="str">
        <f>""</f>
        <v/>
      </c>
      <c r="CQ1244" t="str">
        <f>""</f>
        <v/>
      </c>
    </row>
    <row r="1245" spans="1:96" x14ac:dyDescent="0.2">
      <c r="A1245" t="s">
        <v>11894</v>
      </c>
      <c r="B1245" t="s">
        <v>96</v>
      </c>
      <c r="C1245" s="1">
        <v>44098</v>
      </c>
      <c r="D1245" s="1">
        <v>44105</v>
      </c>
      <c r="F1245" t="s">
        <v>97</v>
      </c>
      <c r="G1245" t="str">
        <f>"Senior Quality Assurance Engineer"</f>
        <v>Senior Quality Assurance Engineer</v>
      </c>
      <c r="H1245" t="s">
        <v>12168</v>
      </c>
      <c r="I1245" t="s">
        <v>319</v>
      </c>
      <c r="J1245" t="s">
        <v>98</v>
      </c>
      <c r="K1245" s="1">
        <v>44102</v>
      </c>
      <c r="L1245" s="1">
        <v>45196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4075</v>
      </c>
      <c r="U1245" t="str">
        <f>"Bloomberg Industry Group"</f>
        <v>Bloomberg Industry Group</v>
      </c>
      <c r="V1245" t="s">
        <v>4076</v>
      </c>
      <c r="W1245" t="str">
        <f>""</f>
        <v/>
      </c>
      <c r="X1245" t="s">
        <v>1005</v>
      </c>
      <c r="Y1245" t="s">
        <v>135</v>
      </c>
      <c r="Z1245" s="3">
        <v>22202</v>
      </c>
      <c r="AA1245" t="s">
        <v>101</v>
      </c>
      <c r="AC1245" s="4" t="str">
        <f>"+17033412027"</f>
        <v>+17033412027</v>
      </c>
      <c r="AE1245" t="str">
        <f>"511199"</f>
        <v>511199</v>
      </c>
      <c r="AF1245" t="s">
        <v>4077</v>
      </c>
      <c r="AG1245" t="s">
        <v>927</v>
      </c>
      <c r="AH1245" t="s">
        <v>1060</v>
      </c>
      <c r="AI1245" t="s">
        <v>4078</v>
      </c>
      <c r="AJ1245" t="s">
        <v>4076</v>
      </c>
      <c r="AK1245" t="str">
        <f>""</f>
        <v/>
      </c>
      <c r="AL1245" t="s">
        <v>1005</v>
      </c>
      <c r="AM1245" t="s">
        <v>135</v>
      </c>
      <c r="AN1245" s="3">
        <v>22202</v>
      </c>
      <c r="AO1245" t="s">
        <v>101</v>
      </c>
      <c r="AQ1245" t="str">
        <f>"+17033412027"</f>
        <v>+17033412027</v>
      </c>
      <c r="AS1245" t="s">
        <v>11895</v>
      </c>
      <c r="AT1245" t="s">
        <v>107</v>
      </c>
      <c r="AU1245" t="str">
        <f>"Dramesi"</f>
        <v>Dramesi</v>
      </c>
      <c r="AV1245" t="str">
        <f>"Rochelle"</f>
        <v>Rochelle</v>
      </c>
      <c r="AW1245" t="str">
        <f>"A."</f>
        <v>A.</v>
      </c>
      <c r="AX1245" t="str">
        <f>"1800 Massachusetts Ave., NW"</f>
        <v>1800 Massachusetts Ave., NW</v>
      </c>
      <c r="AY1245" t="str">
        <f>"Ste. 300"</f>
        <v>Ste. 300</v>
      </c>
      <c r="AZ1245" t="str">
        <f>"Washington"</f>
        <v>Washington</v>
      </c>
      <c r="BA1245" t="str">
        <f>"DC"</f>
        <v>DC</v>
      </c>
      <c r="BB1245" s="3">
        <v>20036</v>
      </c>
      <c r="BC1245" t="str">
        <f t="shared" si="98"/>
        <v>UNITED STATES OF AMERICA</v>
      </c>
      <c r="BD1245" t="str">
        <f>""</f>
        <v/>
      </c>
      <c r="BE1245" t="str">
        <f>"+12024830053"</f>
        <v>+12024830053</v>
      </c>
      <c r="BF1245" t="str">
        <f>""</f>
        <v/>
      </c>
      <c r="BG1245" t="str">
        <f>"rdramesi@maggio-kattar.com"</f>
        <v>rdramesi@maggio-kattar.com</v>
      </c>
      <c r="BH1245" t="str">
        <f>"Maggio Kattar"</f>
        <v>Maggio Kattar</v>
      </c>
      <c r="BI1245" t="str">
        <f>"MD"</f>
        <v>MD</v>
      </c>
      <c r="BJ1245" t="str">
        <f>"Court of Appeals"</f>
        <v>Court of Appeals</v>
      </c>
      <c r="BK1245">
        <v>1</v>
      </c>
      <c r="BL1245" t="s">
        <v>102</v>
      </c>
      <c r="BM1245" t="str">
        <f>""</f>
        <v/>
      </c>
      <c r="BN1245" t="s">
        <v>4076</v>
      </c>
      <c r="BP1245" t="s">
        <v>1005</v>
      </c>
      <c r="BQ1245" t="s">
        <v>2575</v>
      </c>
      <c r="BR1245" t="s">
        <v>135</v>
      </c>
      <c r="BS1245" s="5">
        <v>22202</v>
      </c>
      <c r="BT1245" s="2">
        <v>102867.77</v>
      </c>
      <c r="BV1245" t="s">
        <v>105</v>
      </c>
      <c r="BW1245" s="2">
        <v>102300</v>
      </c>
      <c r="BX1245" t="s">
        <v>105</v>
      </c>
      <c r="CA1245" t="str">
        <f>""</f>
        <v/>
      </c>
      <c r="CB1245" t="s">
        <v>244</v>
      </c>
      <c r="CC1245">
        <v>2020</v>
      </c>
      <c r="CD1245" t="s">
        <v>4080</v>
      </c>
      <c r="CE1245" t="s">
        <v>4081</v>
      </c>
      <c r="CF1245">
        <v>2</v>
      </c>
      <c r="CG1245" t="s">
        <v>98</v>
      </c>
      <c r="CH1245" t="s">
        <v>206</v>
      </c>
      <c r="CI1245" t="s">
        <v>206</v>
      </c>
      <c r="CL1245" t="s">
        <v>108</v>
      </c>
      <c r="CM1245" t="s">
        <v>109</v>
      </c>
      <c r="CN1245" t="str">
        <f>"Anik"</f>
        <v>Anik</v>
      </c>
      <c r="CO1245" t="str">
        <f>"Savanah"</f>
        <v>Savanah</v>
      </c>
      <c r="CP1245" t="str">
        <f>"S"</f>
        <v>S</v>
      </c>
      <c r="CQ1245" t="str">
        <f>"Maggio Kattar"</f>
        <v>Maggio Kattar</v>
      </c>
      <c r="CR1245" t="s">
        <v>4082</v>
      </c>
    </row>
    <row r="1246" spans="1:96" x14ac:dyDescent="0.2">
      <c r="A1246" t="s">
        <v>11896</v>
      </c>
      <c r="B1246" t="s">
        <v>96</v>
      </c>
      <c r="C1246" s="1">
        <v>44098</v>
      </c>
      <c r="D1246" s="1">
        <v>44105</v>
      </c>
      <c r="F1246" t="s">
        <v>97</v>
      </c>
      <c r="G1246" t="str">
        <f>"SOFTWARE DEVELOPMENT ENGINEER- TEST"</f>
        <v>SOFTWARE DEVELOPMENT ENGINEER- TEST</v>
      </c>
      <c r="H1246" t="s">
        <v>12176</v>
      </c>
      <c r="I1246" t="s">
        <v>246</v>
      </c>
      <c r="J1246" t="s">
        <v>98</v>
      </c>
      <c r="K1246" s="1">
        <v>44109</v>
      </c>
      <c r="L1246" s="1">
        <v>45203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 t="s">
        <v>233</v>
      </c>
      <c r="U1246" t="str">
        <f>""</f>
        <v/>
      </c>
      <c r="V1246" t="s">
        <v>234</v>
      </c>
      <c r="W1246" t="str">
        <f>""</f>
        <v/>
      </c>
      <c r="X1246" t="s">
        <v>235</v>
      </c>
      <c r="Y1246" t="s">
        <v>141</v>
      </c>
      <c r="Z1246" s="3">
        <v>95014</v>
      </c>
      <c r="AA1246" t="s">
        <v>101</v>
      </c>
      <c r="AC1246" s="4" t="str">
        <f>"+14089742562"</f>
        <v>+14089742562</v>
      </c>
      <c r="AE1246" t="str">
        <f>"334111"</f>
        <v>334111</v>
      </c>
      <c r="AF1246" t="s">
        <v>236</v>
      </c>
      <c r="AG1246" t="s">
        <v>237</v>
      </c>
      <c r="AH1246" t="s">
        <v>108</v>
      </c>
      <c r="AI1246" t="s">
        <v>238</v>
      </c>
      <c r="AJ1246" t="s">
        <v>239</v>
      </c>
      <c r="AK1246" t="str">
        <f>"N/A"</f>
        <v>N/A</v>
      </c>
      <c r="AL1246" t="s">
        <v>240</v>
      </c>
      <c r="AM1246" t="s">
        <v>141</v>
      </c>
      <c r="AN1246" s="3">
        <v>95014</v>
      </c>
      <c r="AO1246" t="s">
        <v>101</v>
      </c>
      <c r="AQ1246" t="str">
        <f>"+14089742562"</f>
        <v>+14089742562</v>
      </c>
      <c r="AS1246" t="s">
        <v>241</v>
      </c>
      <c r="AT1246" t="s">
        <v>107</v>
      </c>
      <c r="AU1246" t="str">
        <f>"KHOL"</f>
        <v>KHOL</v>
      </c>
      <c r="AV1246" t="str">
        <f>"KATHY"</f>
        <v>KATHY</v>
      </c>
      <c r="AW1246" t="str">
        <f>"ANN"</f>
        <v>ANN</v>
      </c>
      <c r="AX1246" t="str">
        <f>"555 MONTGOMERY STREET"</f>
        <v>555 MONTGOMERY STREET</v>
      </c>
      <c r="AY1246" t="str">
        <f>"4TH FLOOR C#5313805"</f>
        <v>4TH FLOOR C#5313805</v>
      </c>
      <c r="AZ1246" t="str">
        <f>"SAN FRANCISCO"</f>
        <v>SAN FRANCISCO</v>
      </c>
      <c r="BA1246" t="str">
        <f>"CA"</f>
        <v>CA</v>
      </c>
      <c r="BB1246" s="3">
        <v>94111</v>
      </c>
      <c r="BC1246" t="str">
        <f t="shared" si="98"/>
        <v>UNITED STATES OF AMERICA</v>
      </c>
      <c r="BD1246" t="str">
        <f>""</f>
        <v/>
      </c>
      <c r="BE1246" t="str">
        <f>"+14159861446"</f>
        <v>+14159861446</v>
      </c>
      <c r="BF1246" t="str">
        <f>""</f>
        <v/>
      </c>
      <c r="BG1246" t="str">
        <f>"APPLE-USIMM@FRAGOMEN.COM"</f>
        <v>APPLE-USIMM@FRAGOMEN.COM</v>
      </c>
      <c r="BH1246" t="str">
        <f>"FRAGOMEN, DEL REY, BERNSEN &amp; LOEWY, LLP."</f>
        <v>FRAGOMEN, DEL REY, BERNSEN &amp; LOEWY, LLP.</v>
      </c>
      <c r="BI1246" t="str">
        <f>"CA"</f>
        <v>CA</v>
      </c>
      <c r="BJ1246" t="str">
        <f>"SUPREME COURT"</f>
        <v>SUPREME COURT</v>
      </c>
      <c r="BK1246">
        <v>1</v>
      </c>
      <c r="BL1246" t="s">
        <v>102</v>
      </c>
      <c r="BM1246" t="str">
        <f>""</f>
        <v/>
      </c>
      <c r="BN1246" t="s">
        <v>239</v>
      </c>
      <c r="BP1246" t="s">
        <v>240</v>
      </c>
      <c r="BQ1246" t="s">
        <v>230</v>
      </c>
      <c r="BR1246" t="s">
        <v>141</v>
      </c>
      <c r="BS1246" s="5">
        <v>95014</v>
      </c>
      <c r="BT1246" s="2">
        <v>190000</v>
      </c>
      <c r="BV1246" t="s">
        <v>105</v>
      </c>
      <c r="BW1246" s="2">
        <v>145725</v>
      </c>
      <c r="BX1246" t="s">
        <v>105</v>
      </c>
      <c r="BZ1246" t="s">
        <v>123</v>
      </c>
      <c r="CA1246" t="str">
        <f t="shared" ref="CA1246:CA1276" si="100">"7/1/2020 - 6/30/2021"</f>
        <v>7/1/2020 - 6/30/2021</v>
      </c>
      <c r="CF1246">
        <v>2</v>
      </c>
      <c r="CG1246" t="s">
        <v>98</v>
      </c>
      <c r="CH1246" t="s">
        <v>206</v>
      </c>
      <c r="CI1246" t="s">
        <v>206</v>
      </c>
      <c r="CL1246" t="s">
        <v>108</v>
      </c>
      <c r="CM1246" t="s">
        <v>109</v>
      </c>
      <c r="CN1246" t="str">
        <f>"KHOL"</f>
        <v>KHOL</v>
      </c>
      <c r="CO1246" t="str">
        <f>"KATHY"</f>
        <v>KATHY</v>
      </c>
      <c r="CP1246" t="str">
        <f>"A"</f>
        <v>A</v>
      </c>
      <c r="CQ1246" t="str">
        <f>"FRAGOMEN, DEL REY, BERNSEN &amp; LOEWY, LLP"</f>
        <v>FRAGOMEN, DEL REY, BERNSEN &amp; LOEWY, LLP</v>
      </c>
      <c r="CR1246" t="s">
        <v>580</v>
      </c>
    </row>
    <row r="1247" spans="1:96" x14ac:dyDescent="0.2">
      <c r="A1247" t="s">
        <v>11908</v>
      </c>
      <c r="B1247" t="s">
        <v>96</v>
      </c>
      <c r="C1247" s="1">
        <v>44098</v>
      </c>
      <c r="D1247" s="1">
        <v>44105</v>
      </c>
      <c r="F1247" t="s">
        <v>97</v>
      </c>
      <c r="G1247" t="str">
        <f>"Research Associate"</f>
        <v>Research Associate</v>
      </c>
      <c r="H1247" t="s">
        <v>12173</v>
      </c>
      <c r="I1247" t="s">
        <v>917</v>
      </c>
      <c r="J1247" t="s">
        <v>98</v>
      </c>
      <c r="K1247" s="1">
        <v>44136</v>
      </c>
      <c r="L1247" s="1">
        <v>44500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 t="s">
        <v>3474</v>
      </c>
      <c r="U1247" t="str">
        <f>"UNIVERSITY OF PENNSYLVANIA"</f>
        <v>UNIVERSITY OF PENNSYLVANIA</v>
      </c>
      <c r="V1247" t="s">
        <v>3475</v>
      </c>
      <c r="W1247" t="str">
        <f>"SUITE 1W"</f>
        <v>SUITE 1W</v>
      </c>
      <c r="X1247" t="s">
        <v>510</v>
      </c>
      <c r="Y1247" t="s">
        <v>127</v>
      </c>
      <c r="Z1247" s="3">
        <v>19104</v>
      </c>
      <c r="AA1247" t="s">
        <v>101</v>
      </c>
      <c r="AC1247" s="4" t="str">
        <f>"+12158984661"</f>
        <v>+12158984661</v>
      </c>
      <c r="AE1247" t="str">
        <f>"611310"</f>
        <v>611310</v>
      </c>
      <c r="AF1247" t="s">
        <v>6926</v>
      </c>
      <c r="AG1247" t="s">
        <v>6927</v>
      </c>
      <c r="AH1247" t="s">
        <v>6928</v>
      </c>
      <c r="AI1247" t="s">
        <v>2555</v>
      </c>
      <c r="AJ1247" t="s">
        <v>6929</v>
      </c>
      <c r="AK1247" t="str">
        <f>""</f>
        <v/>
      </c>
      <c r="AL1247" t="s">
        <v>218</v>
      </c>
      <c r="AM1247" t="s">
        <v>127</v>
      </c>
      <c r="AN1247" s="3">
        <v>19104</v>
      </c>
      <c r="AO1247" t="s">
        <v>101</v>
      </c>
      <c r="AQ1247" t="str">
        <f>"+12158984661"</f>
        <v>+12158984661</v>
      </c>
      <c r="AS1247" t="s">
        <v>6930</v>
      </c>
      <c r="AT1247" t="s">
        <v>102</v>
      </c>
      <c r="AU1247" t="str">
        <f>""</f>
        <v/>
      </c>
      <c r="AV1247" t="str">
        <f>""</f>
        <v/>
      </c>
      <c r="AW1247" t="str">
        <f>""</f>
        <v/>
      </c>
      <c r="AX1247" t="str">
        <f>""</f>
        <v/>
      </c>
      <c r="AY1247" t="str">
        <f>""</f>
        <v/>
      </c>
      <c r="AZ1247" t="str">
        <f>""</f>
        <v/>
      </c>
      <c r="BA1247" t="str">
        <f>""</f>
        <v/>
      </c>
      <c r="BC1247" t="str">
        <f>""</f>
        <v/>
      </c>
      <c r="BD1247" t="str">
        <f>""</f>
        <v/>
      </c>
      <c r="BE1247" t="str">
        <f>""</f>
        <v/>
      </c>
      <c r="BF1247" t="str">
        <f>""</f>
        <v/>
      </c>
      <c r="BG1247" t="str">
        <f>""</f>
        <v/>
      </c>
      <c r="BH1247" t="str">
        <f>""</f>
        <v/>
      </c>
      <c r="BI1247" t="str">
        <f>""</f>
        <v/>
      </c>
      <c r="BJ1247" t="str">
        <f>""</f>
        <v/>
      </c>
      <c r="BK1247">
        <v>1</v>
      </c>
      <c r="BL1247" t="s">
        <v>102</v>
      </c>
      <c r="BM1247" t="str">
        <f>""</f>
        <v/>
      </c>
      <c r="BN1247" t="s">
        <v>11469</v>
      </c>
      <c r="BP1247" t="s">
        <v>218</v>
      </c>
      <c r="BQ1247" t="s">
        <v>510</v>
      </c>
      <c r="BR1247" t="s">
        <v>127</v>
      </c>
      <c r="BS1247" s="5">
        <v>19104</v>
      </c>
      <c r="BT1247" s="2">
        <v>60000</v>
      </c>
      <c r="BV1247" t="s">
        <v>105</v>
      </c>
      <c r="BW1247" s="2">
        <v>56243</v>
      </c>
      <c r="BX1247" t="s">
        <v>105</v>
      </c>
      <c r="BZ1247" t="s">
        <v>191</v>
      </c>
      <c r="CA1247" t="str">
        <f t="shared" si="100"/>
        <v>7/1/2020 - 6/30/2021</v>
      </c>
      <c r="CF1247">
        <v>1</v>
      </c>
      <c r="CG1247" t="s">
        <v>98</v>
      </c>
      <c r="CH1247" t="s">
        <v>206</v>
      </c>
      <c r="CI1247" t="s">
        <v>206</v>
      </c>
      <c r="CL1247" t="s">
        <v>108</v>
      </c>
      <c r="CM1247" t="s">
        <v>109</v>
      </c>
      <c r="CN1247" t="str">
        <f>""</f>
        <v/>
      </c>
      <c r="CO1247" t="str">
        <f>""</f>
        <v/>
      </c>
      <c r="CP1247" t="str">
        <f>""</f>
        <v/>
      </c>
      <c r="CQ1247" t="str">
        <f>""</f>
        <v/>
      </c>
    </row>
    <row r="1248" spans="1:96" x14ac:dyDescent="0.2">
      <c r="A1248" t="s">
        <v>11909</v>
      </c>
      <c r="B1248" t="s">
        <v>96</v>
      </c>
      <c r="C1248" s="1">
        <v>44098</v>
      </c>
      <c r="D1248" s="1">
        <v>44105</v>
      </c>
      <c r="F1248" t="s">
        <v>97</v>
      </c>
      <c r="G1248" t="str">
        <f>"Scrum Master I"</f>
        <v>Scrum Master I</v>
      </c>
      <c r="H1248" t="s">
        <v>12168</v>
      </c>
      <c r="I1248" t="s">
        <v>367</v>
      </c>
      <c r="J1248" t="s">
        <v>98</v>
      </c>
      <c r="K1248" s="1">
        <v>44228</v>
      </c>
      <c r="L1248" s="1">
        <v>45322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999</v>
      </c>
      <c r="U1248" t="str">
        <f>""</f>
        <v/>
      </c>
      <c r="V1248" t="s">
        <v>1000</v>
      </c>
      <c r="W1248" t="str">
        <f>"Suite 3500"</f>
        <v>Suite 3500</v>
      </c>
      <c r="X1248" t="s">
        <v>1001</v>
      </c>
      <c r="Y1248" t="s">
        <v>114</v>
      </c>
      <c r="Z1248" s="3">
        <v>76102</v>
      </c>
      <c r="AA1248" t="s">
        <v>101</v>
      </c>
      <c r="AC1248" s="4" t="str">
        <f>"+13139894683"</f>
        <v>+13139894683</v>
      </c>
      <c r="AE1248" t="str">
        <f>"522291"</f>
        <v>522291</v>
      </c>
      <c r="AF1248" t="s">
        <v>1002</v>
      </c>
      <c r="AG1248" t="s">
        <v>1003</v>
      </c>
      <c r="AI1248" t="s">
        <v>2149</v>
      </c>
      <c r="AJ1248" t="s">
        <v>1000</v>
      </c>
      <c r="AK1248" t="str">
        <f>"Suite 2900"</f>
        <v>Suite 2900</v>
      </c>
      <c r="AL1248" t="s">
        <v>1001</v>
      </c>
      <c r="AM1248" t="s">
        <v>114</v>
      </c>
      <c r="AN1248" s="3">
        <v>76012</v>
      </c>
      <c r="AO1248" t="s">
        <v>101</v>
      </c>
      <c r="AQ1248" t="str">
        <f>"+18173027064"</f>
        <v>+18173027064</v>
      </c>
      <c r="AS1248" t="s">
        <v>1004</v>
      </c>
      <c r="AT1248" t="s">
        <v>107</v>
      </c>
      <c r="AU1248" t="str">
        <f>"Murphy"</f>
        <v>Murphy</v>
      </c>
      <c r="AV1248" t="str">
        <f>"Maggie"</f>
        <v>Maggie</v>
      </c>
      <c r="AW1248" t="str">
        <f>"Mary"</f>
        <v>Mary</v>
      </c>
      <c r="AX1248" t="str">
        <f>"816 Congress Avenue, Suite 1530"</f>
        <v>816 Congress Avenue, Suite 1530</v>
      </c>
      <c r="AY1248" t="str">
        <f>""</f>
        <v/>
      </c>
      <c r="AZ1248" t="str">
        <f>"Austin"</f>
        <v>Austin</v>
      </c>
      <c r="BA1248" t="str">
        <f>"TX"</f>
        <v>TX</v>
      </c>
      <c r="BB1248" s="3">
        <v>78701</v>
      </c>
      <c r="BC1248" t="str">
        <f>"UNITED STATES OF AMERICA"</f>
        <v>UNITED STATES OF AMERICA</v>
      </c>
      <c r="BD1248" t="str">
        <f>""</f>
        <v/>
      </c>
      <c r="BE1248" t="str">
        <f>"+15123627100"</f>
        <v>+15123627100</v>
      </c>
      <c r="BF1248" t="str">
        <f>""</f>
        <v/>
      </c>
      <c r="BG1248" t="str">
        <f>"maggie.murphy@jacksonlewis.com"</f>
        <v>maggie.murphy@jacksonlewis.com</v>
      </c>
      <c r="BH1248" t="str">
        <f>"Jackson Lewis P.C."</f>
        <v>Jackson Lewis P.C.</v>
      </c>
      <c r="BI1248" t="str">
        <f>"TX"</f>
        <v>TX</v>
      </c>
      <c r="BJ1248" t="str">
        <f>"Supreme Court of Texas"</f>
        <v>Supreme Court of Texas</v>
      </c>
      <c r="BK1248">
        <v>1</v>
      </c>
      <c r="BL1248" t="s">
        <v>102</v>
      </c>
      <c r="BM1248" t="str">
        <f>""</f>
        <v/>
      </c>
      <c r="BN1248" t="s">
        <v>11910</v>
      </c>
      <c r="BP1248" t="s">
        <v>483</v>
      </c>
      <c r="BQ1248" t="s">
        <v>484</v>
      </c>
      <c r="BR1248" t="s">
        <v>114</v>
      </c>
      <c r="BS1248" s="5">
        <v>75039</v>
      </c>
      <c r="BT1248" s="2">
        <v>95000</v>
      </c>
      <c r="BU1248" s="2">
        <v>115000</v>
      </c>
      <c r="BV1248" t="s">
        <v>105</v>
      </c>
      <c r="BW1248" s="2">
        <v>93538</v>
      </c>
      <c r="BX1248" t="s">
        <v>105</v>
      </c>
      <c r="BZ1248" t="s">
        <v>123</v>
      </c>
      <c r="CA1248" t="str">
        <f t="shared" si="100"/>
        <v>7/1/2020 - 6/30/2021</v>
      </c>
      <c r="CF1248">
        <v>2</v>
      </c>
      <c r="CG1248" t="s">
        <v>98</v>
      </c>
      <c r="CH1248" t="s">
        <v>206</v>
      </c>
      <c r="CI1248" t="s">
        <v>206</v>
      </c>
      <c r="CL1248" t="s">
        <v>108</v>
      </c>
      <c r="CM1248" t="s">
        <v>109</v>
      </c>
      <c r="CN1248" t="str">
        <f>"Valdez-Payan"</f>
        <v>Valdez-Payan</v>
      </c>
      <c r="CO1248" t="str">
        <f>"Aura"</f>
        <v>Aura</v>
      </c>
      <c r="CP1248" t="str">
        <f>"M"</f>
        <v>M</v>
      </c>
      <c r="CQ1248" t="str">
        <f>"Jackson Lewis P.C."</f>
        <v>Jackson Lewis P.C.</v>
      </c>
      <c r="CR1248" t="s">
        <v>6571</v>
      </c>
    </row>
    <row r="1249" spans="1:96" x14ac:dyDescent="0.2">
      <c r="A1249" t="s">
        <v>11912</v>
      </c>
      <c r="B1249" t="s">
        <v>96</v>
      </c>
      <c r="C1249" s="1">
        <v>44098</v>
      </c>
      <c r="D1249" s="1">
        <v>44105</v>
      </c>
      <c r="F1249" t="s">
        <v>97</v>
      </c>
      <c r="G1249" t="str">
        <f>"Sr. Application Analyst"</f>
        <v>Sr. Application Analyst</v>
      </c>
      <c r="H1249" t="s">
        <v>12169</v>
      </c>
      <c r="I1249" t="s">
        <v>124</v>
      </c>
      <c r="J1249" t="s">
        <v>98</v>
      </c>
      <c r="K1249" s="1">
        <v>44197</v>
      </c>
      <c r="L1249" s="1">
        <v>45291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 t="s">
        <v>1036</v>
      </c>
      <c r="U1249" t="str">
        <f>""</f>
        <v/>
      </c>
      <c r="V1249" t="s">
        <v>1037</v>
      </c>
      <c r="W1249" t="str">
        <f>""</f>
        <v/>
      </c>
      <c r="X1249" t="s">
        <v>1015</v>
      </c>
      <c r="Y1249" t="s">
        <v>330</v>
      </c>
      <c r="Z1249" s="3">
        <v>53045</v>
      </c>
      <c r="AA1249" t="s">
        <v>101</v>
      </c>
      <c r="AC1249" s="4" t="str">
        <f>"+12628795000"</f>
        <v>+12628795000</v>
      </c>
      <c r="AE1249" t="str">
        <f>"518210"</f>
        <v>518210</v>
      </c>
      <c r="AF1249" t="s">
        <v>1038</v>
      </c>
      <c r="AG1249" t="s">
        <v>1039</v>
      </c>
      <c r="AH1249" t="s">
        <v>108</v>
      </c>
      <c r="AI1249" t="s">
        <v>1040</v>
      </c>
      <c r="AJ1249" t="s">
        <v>1041</v>
      </c>
      <c r="AK1249" t="str">
        <f>"N/A"</f>
        <v>N/A</v>
      </c>
      <c r="AL1249" t="s">
        <v>1042</v>
      </c>
      <c r="AM1249" t="s">
        <v>330</v>
      </c>
      <c r="AN1249" s="3">
        <v>53045</v>
      </c>
      <c r="AO1249" t="s">
        <v>101</v>
      </c>
      <c r="AQ1249" t="str">
        <f>"+12628795000"</f>
        <v>+12628795000</v>
      </c>
      <c r="AS1249" t="s">
        <v>1043</v>
      </c>
      <c r="AT1249" t="s">
        <v>107</v>
      </c>
      <c r="AU1249" t="str">
        <f>"OLIVER"</f>
        <v>OLIVER</v>
      </c>
      <c r="AV1249" t="str">
        <f>"BRENDA"</f>
        <v>BRENDA</v>
      </c>
      <c r="AW1249" t="str">
        <f>"J"</f>
        <v>J</v>
      </c>
      <c r="AX1249" t="str">
        <f>"1101 15TH STREET, NW"</f>
        <v>1101 15TH STREET, NW</v>
      </c>
      <c r="AY1249" t="str">
        <f>"SUITE 700"</f>
        <v>SUITE 700</v>
      </c>
      <c r="AZ1249" t="str">
        <f>"WASHINGTON"</f>
        <v>WASHINGTON</v>
      </c>
      <c r="BA1249" t="str">
        <f>"DC"</f>
        <v>DC</v>
      </c>
      <c r="BB1249" s="3">
        <v>20005</v>
      </c>
      <c r="BC1249" t="str">
        <f>"UNITED STATES OF AMERICA"</f>
        <v>UNITED STATES OF AMERICA</v>
      </c>
      <c r="BD1249" t="str">
        <f>""</f>
        <v/>
      </c>
      <c r="BE1249" t="str">
        <f>"+12022235515"</f>
        <v>+12022235515</v>
      </c>
      <c r="BF1249" t="str">
        <f>""</f>
        <v/>
      </c>
      <c r="BG1249" t="str">
        <f>"LCATeamPham@Fragomen.com"</f>
        <v>LCATeamPham@Fragomen.com</v>
      </c>
      <c r="BH1249" t="str">
        <f>"Fragomen, Del Rey, Bernsen &amp; Loewy, LLP"</f>
        <v>Fragomen, Del Rey, Bernsen &amp; Loewy, LLP</v>
      </c>
      <c r="BI1249" t="str">
        <f>"DC"</f>
        <v>DC</v>
      </c>
      <c r="BJ1249" t="str">
        <f>"COURT OF APPEALS"</f>
        <v>COURT OF APPEALS</v>
      </c>
      <c r="BK1249">
        <v>1</v>
      </c>
      <c r="BL1249" t="s">
        <v>102</v>
      </c>
      <c r="BM1249" t="str">
        <f>""</f>
        <v/>
      </c>
      <c r="BN1249" t="s">
        <v>3817</v>
      </c>
      <c r="BP1249" t="s">
        <v>1328</v>
      </c>
      <c r="BQ1249" t="s">
        <v>933</v>
      </c>
      <c r="BR1249" t="s">
        <v>934</v>
      </c>
      <c r="BS1249" s="5">
        <v>68106</v>
      </c>
      <c r="BT1249" s="2">
        <v>93038</v>
      </c>
      <c r="BU1249" s="2">
        <v>127718</v>
      </c>
      <c r="BV1249" t="s">
        <v>105</v>
      </c>
      <c r="BW1249" s="2">
        <v>93038</v>
      </c>
      <c r="BX1249" t="s">
        <v>105</v>
      </c>
      <c r="BZ1249" t="s">
        <v>123</v>
      </c>
      <c r="CA1249" t="str">
        <f t="shared" si="100"/>
        <v>7/1/2020 - 6/30/2021</v>
      </c>
      <c r="CF1249">
        <v>2</v>
      </c>
      <c r="CG1249" t="s">
        <v>98</v>
      </c>
      <c r="CH1249" t="s">
        <v>206</v>
      </c>
      <c r="CI1249" t="s">
        <v>206</v>
      </c>
      <c r="CL1249" t="s">
        <v>108</v>
      </c>
      <c r="CM1249" t="s">
        <v>109</v>
      </c>
      <c r="CN1249" t="str">
        <f>"Song"</f>
        <v>Song</v>
      </c>
      <c r="CO1249" t="str">
        <f>"Stephany"</f>
        <v>Stephany</v>
      </c>
      <c r="CP1249" t="str">
        <f>""</f>
        <v/>
      </c>
      <c r="CQ1249" t="str">
        <f>"Fragomen, Del Rey, Bernsen &amp; Loewy, LLP"</f>
        <v>Fragomen, Del Rey, Bernsen &amp; Loewy, LLP</v>
      </c>
      <c r="CR1249" t="s">
        <v>1046</v>
      </c>
    </row>
    <row r="1250" spans="1:96" x14ac:dyDescent="0.2">
      <c r="A1250" t="s">
        <v>11914</v>
      </c>
      <c r="B1250" t="s">
        <v>96</v>
      </c>
      <c r="C1250" s="1">
        <v>44098</v>
      </c>
      <c r="D1250" s="1">
        <v>44105</v>
      </c>
      <c r="F1250" t="s">
        <v>97</v>
      </c>
      <c r="G1250" t="str">
        <f>"Junior Architect"</f>
        <v>Junior Architect</v>
      </c>
      <c r="H1250" t="s">
        <v>12215</v>
      </c>
      <c r="I1250" t="s">
        <v>3248</v>
      </c>
      <c r="J1250" t="s">
        <v>98</v>
      </c>
      <c r="K1250" s="1">
        <v>44176</v>
      </c>
      <c r="L1250" s="1">
        <v>45270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 t="s">
        <v>11915</v>
      </c>
      <c r="U1250" t="str">
        <f>""</f>
        <v/>
      </c>
      <c r="V1250" t="s">
        <v>11916</v>
      </c>
      <c r="W1250" t="str">
        <f>""</f>
        <v/>
      </c>
      <c r="X1250" t="s">
        <v>277</v>
      </c>
      <c r="Y1250" t="s">
        <v>190</v>
      </c>
      <c r="Z1250" s="3">
        <v>10001</v>
      </c>
      <c r="AA1250" t="s">
        <v>101</v>
      </c>
      <c r="AC1250" s="4" t="str">
        <f>"+12123678560"</f>
        <v>+12123678560</v>
      </c>
      <c r="AE1250" t="str">
        <f>"541310"</f>
        <v>541310</v>
      </c>
      <c r="AF1250" t="s">
        <v>11917</v>
      </c>
      <c r="AG1250" t="s">
        <v>11918</v>
      </c>
      <c r="AI1250" t="s">
        <v>854</v>
      </c>
      <c r="AJ1250" t="s">
        <v>11916</v>
      </c>
      <c r="AK1250" t="str">
        <f>""</f>
        <v/>
      </c>
      <c r="AL1250" t="s">
        <v>277</v>
      </c>
      <c r="AM1250" t="s">
        <v>190</v>
      </c>
      <c r="AN1250" s="3">
        <v>10001</v>
      </c>
      <c r="AO1250" t="s">
        <v>101</v>
      </c>
      <c r="AQ1250" t="str">
        <f>"+12123678560"</f>
        <v>+12123678560</v>
      </c>
      <c r="AS1250" t="s">
        <v>11919</v>
      </c>
      <c r="AT1250" t="s">
        <v>107</v>
      </c>
      <c r="AU1250" t="str">
        <f>"Frenkel"</f>
        <v>Frenkel</v>
      </c>
      <c r="AV1250" t="str">
        <f>"Daniel"</f>
        <v>Daniel</v>
      </c>
      <c r="AW1250" t="str">
        <f>""</f>
        <v/>
      </c>
      <c r="AX1250" t="str">
        <f>"49 West 37th Street"</f>
        <v>49 West 37th Street</v>
      </c>
      <c r="AY1250" t="str">
        <f>"9th  Floor"</f>
        <v>9th  Floor</v>
      </c>
      <c r="AZ1250" t="str">
        <f>"New York"</f>
        <v>New York</v>
      </c>
      <c r="BA1250" t="str">
        <f>"NY"</f>
        <v>NY</v>
      </c>
      <c r="BB1250" s="3">
        <v>10018</v>
      </c>
      <c r="BC1250" t="str">
        <f>"UNITED STATES OF AMERICA"</f>
        <v>UNITED STATES OF AMERICA</v>
      </c>
      <c r="BD1250" t="str">
        <f>""</f>
        <v/>
      </c>
      <c r="BE1250" t="str">
        <f>"+12126794666"</f>
        <v>+12126794666</v>
      </c>
      <c r="BF1250" t="str">
        <f>"230"</f>
        <v>230</v>
      </c>
      <c r="BG1250" t="str">
        <f>"daniel@fhsllp.com"</f>
        <v>daniel@fhsllp.com</v>
      </c>
      <c r="BH1250" t="str">
        <f>"Frenkel, Hershkowitz &amp; Shafran, LLP"</f>
        <v>Frenkel, Hershkowitz &amp; Shafran, LLP</v>
      </c>
      <c r="BI1250" t="str">
        <f>"NY"</f>
        <v>NY</v>
      </c>
      <c r="BJ1250" t="str">
        <f>"App. Div. 2d Dept"</f>
        <v>App. Div. 2d Dept</v>
      </c>
      <c r="BK1250">
        <v>1</v>
      </c>
      <c r="BL1250" t="s">
        <v>102</v>
      </c>
      <c r="BM1250" t="str">
        <f>""</f>
        <v/>
      </c>
      <c r="BN1250" t="s">
        <v>11916</v>
      </c>
      <c r="BP1250" t="s">
        <v>277</v>
      </c>
      <c r="BQ1250" t="s">
        <v>189</v>
      </c>
      <c r="BR1250" t="s">
        <v>190</v>
      </c>
      <c r="BS1250" s="5">
        <v>10001</v>
      </c>
      <c r="BT1250" s="2">
        <v>80000</v>
      </c>
      <c r="BV1250" t="s">
        <v>105</v>
      </c>
      <c r="BW1250" s="2">
        <v>65894</v>
      </c>
      <c r="BX1250" t="s">
        <v>105</v>
      </c>
      <c r="BZ1250" t="s">
        <v>191</v>
      </c>
      <c r="CA1250" t="str">
        <f t="shared" si="100"/>
        <v>7/1/2020 - 6/30/2021</v>
      </c>
      <c r="CF1250">
        <v>1</v>
      </c>
      <c r="CG1250" t="s">
        <v>98</v>
      </c>
      <c r="CH1250" t="s">
        <v>206</v>
      </c>
      <c r="CI1250" t="s">
        <v>206</v>
      </c>
      <c r="CL1250" t="s">
        <v>108</v>
      </c>
      <c r="CM1250" t="s">
        <v>109</v>
      </c>
      <c r="CN1250" t="str">
        <f>""</f>
        <v/>
      </c>
      <c r="CO1250" t="str">
        <f>""</f>
        <v/>
      </c>
      <c r="CP1250" t="str">
        <f>""</f>
        <v/>
      </c>
      <c r="CQ1250" t="str">
        <f>""</f>
        <v/>
      </c>
    </row>
    <row r="1251" spans="1:96" x14ac:dyDescent="0.2">
      <c r="A1251" t="s">
        <v>11925</v>
      </c>
      <c r="B1251" t="s">
        <v>96</v>
      </c>
      <c r="C1251" s="1">
        <v>44098</v>
      </c>
      <c r="D1251" s="1">
        <v>44105</v>
      </c>
      <c r="F1251" t="s">
        <v>97</v>
      </c>
      <c r="G1251" t="str">
        <f>"SOFTWARE DEVELOPMENT ENGINEER III"</f>
        <v>SOFTWARE DEVELOPMENT ENGINEER III</v>
      </c>
      <c r="H1251" t="s">
        <v>12169</v>
      </c>
      <c r="I1251" t="s">
        <v>124</v>
      </c>
      <c r="J1251" t="s">
        <v>98</v>
      </c>
      <c r="K1251" s="1">
        <v>44279</v>
      </c>
      <c r="L1251" s="1">
        <v>45374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 t="s">
        <v>440</v>
      </c>
      <c r="U1251" t="str">
        <f>""</f>
        <v/>
      </c>
      <c r="V1251" t="s">
        <v>809</v>
      </c>
      <c r="W1251" t="str">
        <f>"SUITE 500"</f>
        <v>SUITE 500</v>
      </c>
      <c r="X1251" t="s">
        <v>433</v>
      </c>
      <c r="Y1251" t="s">
        <v>176</v>
      </c>
      <c r="Z1251" s="3">
        <v>98121</v>
      </c>
      <c r="AA1251" t="s">
        <v>101</v>
      </c>
      <c r="AC1251" s="4" t="str">
        <f>"+12062661000"</f>
        <v>+12062661000</v>
      </c>
      <c r="AE1251" t="str">
        <f>"454110"</f>
        <v>454110</v>
      </c>
      <c r="AF1251" t="s">
        <v>442</v>
      </c>
      <c r="AG1251" t="s">
        <v>443</v>
      </c>
      <c r="AH1251" t="s">
        <v>108</v>
      </c>
      <c r="AI1251" t="s">
        <v>434</v>
      </c>
      <c r="AJ1251" t="s">
        <v>809</v>
      </c>
      <c r="AK1251" t="str">
        <f>"SUITE 500"</f>
        <v>SUITE 500</v>
      </c>
      <c r="AL1251" t="s">
        <v>433</v>
      </c>
      <c r="AM1251" t="s">
        <v>176</v>
      </c>
      <c r="AN1251" s="3">
        <v>98121</v>
      </c>
      <c r="AO1251" t="s">
        <v>101</v>
      </c>
      <c r="AQ1251" t="str">
        <f>"+12062661000"</f>
        <v>+12062661000</v>
      </c>
      <c r="AS1251" t="s">
        <v>263</v>
      </c>
      <c r="AT1251" t="s">
        <v>107</v>
      </c>
      <c r="AU1251" t="str">
        <f>"MARANCI"</f>
        <v>MARANCI</v>
      </c>
      <c r="AV1251" t="str">
        <f>"DANIEL"</f>
        <v>DANIEL</v>
      </c>
      <c r="AW1251" t="str">
        <f>"N/A"</f>
        <v>N/A</v>
      </c>
      <c r="AX1251" t="str">
        <f>"100 HIGH STREET"</f>
        <v>100 HIGH STREET</v>
      </c>
      <c r="AY1251" t="str">
        <f>"3RD FLOOR C#5269436"</f>
        <v>3RD FLOOR C#5269436</v>
      </c>
      <c r="AZ1251" t="str">
        <f>"BOSTON"</f>
        <v>BOSTON</v>
      </c>
      <c r="BA1251" t="str">
        <f>"MA"</f>
        <v>MA</v>
      </c>
      <c r="BB1251" s="3">
        <v>2110</v>
      </c>
      <c r="BC1251" t="str">
        <f>"UNITED STATES OF AMERICA"</f>
        <v>UNITED STATES OF AMERICA</v>
      </c>
      <c r="BD1251" t="str">
        <f>""</f>
        <v/>
      </c>
      <c r="BE1251" t="str">
        <f>"+16175740400"</f>
        <v>+16175740400</v>
      </c>
      <c r="BF1251" t="str">
        <f>""</f>
        <v/>
      </c>
      <c r="BG1251" t="str">
        <f>"AMAZONINDIA@FRAGOMEN.COM"</f>
        <v>AMAZONINDIA@FRAGOMEN.COM</v>
      </c>
      <c r="BH1251" t="str">
        <f>"FRAGOMEN, DEL REY, BERNSEN &amp; LOEWY, LLP"</f>
        <v>FRAGOMEN, DEL REY, BERNSEN &amp; LOEWY, LLP</v>
      </c>
      <c r="BI1251" t="str">
        <f>"MA"</f>
        <v>MA</v>
      </c>
      <c r="BJ1251" t="str">
        <f>"SUPREME JUDICIAL COURT"</f>
        <v>SUPREME JUDICIAL COURT</v>
      </c>
      <c r="BK1251">
        <v>1</v>
      </c>
      <c r="BL1251" t="s">
        <v>102</v>
      </c>
      <c r="BM1251" t="str">
        <f>""</f>
        <v/>
      </c>
      <c r="BN1251" t="s">
        <v>4176</v>
      </c>
      <c r="BP1251" t="s">
        <v>433</v>
      </c>
      <c r="BQ1251" t="s">
        <v>183</v>
      </c>
      <c r="BR1251" t="s">
        <v>176</v>
      </c>
      <c r="BS1251" s="5">
        <v>98121</v>
      </c>
      <c r="BT1251" s="2">
        <v>160000</v>
      </c>
      <c r="BV1251" t="s">
        <v>105</v>
      </c>
      <c r="BW1251" s="2">
        <v>134098</v>
      </c>
      <c r="BX1251" t="s">
        <v>105</v>
      </c>
      <c r="BZ1251" t="s">
        <v>123</v>
      </c>
      <c r="CA1251" t="str">
        <f t="shared" si="100"/>
        <v>7/1/2020 - 6/30/2021</v>
      </c>
      <c r="CF1251">
        <v>1</v>
      </c>
      <c r="CG1251" t="s">
        <v>98</v>
      </c>
      <c r="CH1251" t="s">
        <v>206</v>
      </c>
      <c r="CI1251" t="s">
        <v>206</v>
      </c>
      <c r="CL1251" t="s">
        <v>108</v>
      </c>
      <c r="CM1251" t="s">
        <v>109</v>
      </c>
      <c r="CN1251" t="str">
        <f>"SUNNY"</f>
        <v>SUNNY</v>
      </c>
      <c r="CO1251" t="str">
        <f>"JASMIN"</f>
        <v>JASMIN</v>
      </c>
      <c r="CP1251" t="str">
        <f>"N/A"</f>
        <v>N/A</v>
      </c>
      <c r="CQ1251" t="str">
        <f>"FRAGOMEN, DEL REY, BERNSEN &amp; LOEWY, LLP"</f>
        <v>FRAGOMEN, DEL REY, BERNSEN &amp; LOEWY, LLP</v>
      </c>
      <c r="CR1251" t="s">
        <v>11926</v>
      </c>
    </row>
    <row r="1252" spans="1:96" x14ac:dyDescent="0.2">
      <c r="A1252" t="s">
        <v>11928</v>
      </c>
      <c r="B1252" t="s">
        <v>96</v>
      </c>
      <c r="C1252" s="1">
        <v>44098</v>
      </c>
      <c r="D1252" s="1">
        <v>44105</v>
      </c>
      <c r="F1252" t="s">
        <v>97</v>
      </c>
      <c r="G1252" t="str">
        <f>"Tax Senior Associate"</f>
        <v>Tax Senior Associate</v>
      </c>
      <c r="H1252" t="s">
        <v>12192</v>
      </c>
      <c r="I1252" t="s">
        <v>1156</v>
      </c>
      <c r="J1252" t="s">
        <v>98</v>
      </c>
      <c r="K1252" s="1">
        <v>44105</v>
      </c>
      <c r="L1252" s="1">
        <v>45199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 t="s">
        <v>1157</v>
      </c>
      <c r="U1252" t="str">
        <f>""</f>
        <v/>
      </c>
      <c r="V1252" t="s">
        <v>1024</v>
      </c>
      <c r="W1252" t="str">
        <f>""</f>
        <v/>
      </c>
      <c r="X1252" t="s">
        <v>1025</v>
      </c>
      <c r="Y1252" t="s">
        <v>577</v>
      </c>
      <c r="Z1252" s="3">
        <v>33607</v>
      </c>
      <c r="AA1252" t="s">
        <v>101</v>
      </c>
      <c r="AC1252" s="4" t="str">
        <f>"+18133487000"</f>
        <v>+18133487000</v>
      </c>
      <c r="AE1252" t="str">
        <f>"541611"</f>
        <v>541611</v>
      </c>
      <c r="AF1252" t="s">
        <v>7001</v>
      </c>
      <c r="AG1252" t="s">
        <v>7002</v>
      </c>
      <c r="AI1252" t="s">
        <v>7003</v>
      </c>
      <c r="AJ1252" t="s">
        <v>1026</v>
      </c>
      <c r="AK1252" t="str">
        <f>""</f>
        <v/>
      </c>
      <c r="AL1252" t="s">
        <v>1027</v>
      </c>
      <c r="AM1252" t="s">
        <v>577</v>
      </c>
      <c r="AN1252" s="3">
        <v>33607</v>
      </c>
      <c r="AO1252" t="s">
        <v>101</v>
      </c>
      <c r="AQ1252" t="str">
        <f>"+19084512046"</f>
        <v>+19084512046</v>
      </c>
      <c r="AS1252" t="s">
        <v>1028</v>
      </c>
      <c r="AT1252" t="s">
        <v>102</v>
      </c>
      <c r="AU1252" t="str">
        <f>""</f>
        <v/>
      </c>
      <c r="AV1252" t="str">
        <f>""</f>
        <v/>
      </c>
      <c r="AW1252" t="str">
        <f>""</f>
        <v/>
      </c>
      <c r="AX1252" t="str">
        <f>""</f>
        <v/>
      </c>
      <c r="AY1252" t="str">
        <f>""</f>
        <v/>
      </c>
      <c r="AZ1252" t="str">
        <f>""</f>
        <v/>
      </c>
      <c r="BA1252" t="str">
        <f>""</f>
        <v/>
      </c>
      <c r="BC1252" t="str">
        <f>""</f>
        <v/>
      </c>
      <c r="BD1252" t="str">
        <f>""</f>
        <v/>
      </c>
      <c r="BE1252" t="str">
        <f>""</f>
        <v/>
      </c>
      <c r="BF1252" t="str">
        <f>""</f>
        <v/>
      </c>
      <c r="BG1252" t="str">
        <f>""</f>
        <v/>
      </c>
      <c r="BH1252" t="str">
        <f>""</f>
        <v/>
      </c>
      <c r="BI1252" t="str">
        <f>""</f>
        <v/>
      </c>
      <c r="BJ1252" t="str">
        <f>""</f>
        <v/>
      </c>
      <c r="BK1252">
        <v>1</v>
      </c>
      <c r="BL1252" t="s">
        <v>102</v>
      </c>
      <c r="BM1252" t="str">
        <f>""</f>
        <v/>
      </c>
      <c r="BN1252" t="s">
        <v>7279</v>
      </c>
      <c r="BO1252" t="s">
        <v>2771</v>
      </c>
      <c r="BP1252" t="s">
        <v>853</v>
      </c>
      <c r="BQ1252" t="s">
        <v>365</v>
      </c>
      <c r="BR1252" t="s">
        <v>141</v>
      </c>
      <c r="BS1252" s="5">
        <v>90017</v>
      </c>
      <c r="BT1252" s="2">
        <v>74500</v>
      </c>
      <c r="BU1252" s="2">
        <v>174700</v>
      </c>
      <c r="BV1252" t="s">
        <v>105</v>
      </c>
      <c r="BW1252" s="2">
        <v>64750</v>
      </c>
      <c r="BX1252" t="s">
        <v>105</v>
      </c>
      <c r="BZ1252" t="s">
        <v>167</v>
      </c>
      <c r="CA1252" t="str">
        <f t="shared" si="100"/>
        <v>7/1/2020 - 6/30/2021</v>
      </c>
      <c r="CF1252">
        <v>3</v>
      </c>
      <c r="CG1252" t="s">
        <v>98</v>
      </c>
      <c r="CH1252" t="s">
        <v>206</v>
      </c>
      <c r="CI1252" t="s">
        <v>206</v>
      </c>
      <c r="CL1252" t="s">
        <v>108</v>
      </c>
      <c r="CM1252" t="s">
        <v>109</v>
      </c>
      <c r="CN1252" t="str">
        <f>"Anto"</f>
        <v>Anto</v>
      </c>
      <c r="CO1252" t="str">
        <f>"Joe"</f>
        <v>Joe</v>
      </c>
      <c r="CP1252" t="str">
        <f>""</f>
        <v/>
      </c>
      <c r="CQ1252" t="str">
        <f>" PwC Law LLP"</f>
        <v xml:space="preserve"> PwC Law LLP</v>
      </c>
      <c r="CR1252" t="s">
        <v>7278</v>
      </c>
    </row>
    <row r="1253" spans="1:96" x14ac:dyDescent="0.2">
      <c r="A1253" t="s">
        <v>11929</v>
      </c>
      <c r="B1253" t="s">
        <v>96</v>
      </c>
      <c r="C1253" s="1">
        <v>44098</v>
      </c>
      <c r="D1253" s="1">
        <v>44105</v>
      </c>
      <c r="F1253" t="s">
        <v>97</v>
      </c>
      <c r="G1253" t="str">
        <f>"Software Engineer"</f>
        <v>Software Engineer</v>
      </c>
      <c r="H1253" t="s">
        <v>12169</v>
      </c>
      <c r="I1253" t="s">
        <v>124</v>
      </c>
      <c r="J1253" t="s">
        <v>98</v>
      </c>
      <c r="K1253" s="1">
        <v>44104</v>
      </c>
      <c r="L1253" s="1">
        <v>45198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 t="s">
        <v>173</v>
      </c>
      <c r="U1253" t="str">
        <f>""</f>
        <v/>
      </c>
      <c r="V1253" t="s">
        <v>174</v>
      </c>
      <c r="W1253" t="str">
        <f>"N/A"</f>
        <v>N/A</v>
      </c>
      <c r="X1253" t="s">
        <v>175</v>
      </c>
      <c r="Y1253" t="s">
        <v>176</v>
      </c>
      <c r="Z1253" s="3">
        <v>98052</v>
      </c>
      <c r="AA1253" t="s">
        <v>101</v>
      </c>
      <c r="AC1253" s="4" t="str">
        <f>"+14258828080"</f>
        <v>+14258828080</v>
      </c>
      <c r="AE1253" t="str">
        <f>"51121"</f>
        <v>51121</v>
      </c>
      <c r="AF1253" t="s">
        <v>177</v>
      </c>
      <c r="AG1253" t="s">
        <v>178</v>
      </c>
      <c r="AI1253" t="s">
        <v>179</v>
      </c>
      <c r="AJ1253" t="s">
        <v>174</v>
      </c>
      <c r="AK1253" t="str">
        <f>""</f>
        <v/>
      </c>
      <c r="AL1253" t="s">
        <v>175</v>
      </c>
      <c r="AM1253" t="s">
        <v>176</v>
      </c>
      <c r="AN1253" s="3">
        <v>98052</v>
      </c>
      <c r="AO1253" t="s">
        <v>101</v>
      </c>
      <c r="AQ1253" t="str">
        <f>"+14258828080"</f>
        <v>+14258828080</v>
      </c>
      <c r="AS1253" t="s">
        <v>180</v>
      </c>
      <c r="AT1253" t="s">
        <v>102</v>
      </c>
      <c r="AU1253" t="str">
        <f>""</f>
        <v/>
      </c>
      <c r="AV1253" t="str">
        <f>""</f>
        <v/>
      </c>
      <c r="AW1253" t="str">
        <f>""</f>
        <v/>
      </c>
      <c r="AX1253" t="str">
        <f>""</f>
        <v/>
      </c>
      <c r="AY1253" t="str">
        <f>""</f>
        <v/>
      </c>
      <c r="AZ1253" t="str">
        <f>""</f>
        <v/>
      </c>
      <c r="BA1253" t="str">
        <f>""</f>
        <v/>
      </c>
      <c r="BC1253" t="str">
        <f>""</f>
        <v/>
      </c>
      <c r="BD1253" t="str">
        <f>""</f>
        <v/>
      </c>
      <c r="BE1253" t="str">
        <f>""</f>
        <v/>
      </c>
      <c r="BF1253" t="str">
        <f>""</f>
        <v/>
      </c>
      <c r="BG1253" t="str">
        <f>""</f>
        <v/>
      </c>
      <c r="BH1253" t="str">
        <f>""</f>
        <v/>
      </c>
      <c r="BI1253" t="str">
        <f>""</f>
        <v/>
      </c>
      <c r="BJ1253" t="str">
        <f>""</f>
        <v/>
      </c>
      <c r="BK1253">
        <v>1</v>
      </c>
      <c r="BL1253" t="s">
        <v>102</v>
      </c>
      <c r="BM1253" t="str">
        <f>""</f>
        <v/>
      </c>
      <c r="BN1253" t="s">
        <v>962</v>
      </c>
      <c r="BP1253" t="s">
        <v>175</v>
      </c>
      <c r="BQ1253" t="s">
        <v>183</v>
      </c>
      <c r="BR1253" t="s">
        <v>176</v>
      </c>
      <c r="BS1253" s="5">
        <v>98052</v>
      </c>
      <c r="BT1253" s="2">
        <v>109000</v>
      </c>
      <c r="BV1253" t="s">
        <v>105</v>
      </c>
      <c r="BW1253" s="2">
        <v>92102</v>
      </c>
      <c r="BX1253" t="s">
        <v>105</v>
      </c>
      <c r="BZ1253" t="s">
        <v>191</v>
      </c>
      <c r="CA1253" t="str">
        <f t="shared" si="100"/>
        <v>7/1/2020 - 6/30/2021</v>
      </c>
      <c r="CF1253">
        <v>1</v>
      </c>
      <c r="CG1253" t="s">
        <v>98</v>
      </c>
      <c r="CH1253" t="s">
        <v>206</v>
      </c>
      <c r="CI1253" t="s">
        <v>206</v>
      </c>
      <c r="CL1253" t="s">
        <v>108</v>
      </c>
      <c r="CM1253" t="s">
        <v>109</v>
      </c>
      <c r="CN1253" t="str">
        <f>"DSOUZA"</f>
        <v>DSOUZA</v>
      </c>
      <c r="CO1253" t="str">
        <f>"MACLIFF"</f>
        <v>MACLIFF</v>
      </c>
      <c r="CP1253" t="str">
        <f>"N/A"</f>
        <v>N/A</v>
      </c>
      <c r="CQ1253" t="str">
        <f>"INTEGREON MANAGED SOLUTIONS (INDIA) PVT LTD"</f>
        <v>INTEGREON MANAGED SOLUTIONS (INDIA) PVT LTD</v>
      </c>
      <c r="CR1253" t="s">
        <v>1842</v>
      </c>
    </row>
    <row r="1254" spans="1:96" x14ac:dyDescent="0.2">
      <c r="A1254" t="s">
        <v>11930</v>
      </c>
      <c r="B1254" t="s">
        <v>96</v>
      </c>
      <c r="C1254" s="1">
        <v>44098</v>
      </c>
      <c r="D1254" s="1">
        <v>44105</v>
      </c>
      <c r="F1254" t="s">
        <v>97</v>
      </c>
      <c r="G1254" t="str">
        <f>"Senior Voice Data Network Consultant (20012.1959.7)"</f>
        <v>Senior Voice Data Network Consultant (20012.1959.7)</v>
      </c>
      <c r="H1254" t="s">
        <v>12169</v>
      </c>
      <c r="I1254" t="s">
        <v>124</v>
      </c>
      <c r="J1254" t="s">
        <v>98</v>
      </c>
      <c r="K1254" s="1">
        <v>44237</v>
      </c>
      <c r="L1254" s="1">
        <v>45331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 t="s">
        <v>2671</v>
      </c>
      <c r="U1254" t="str">
        <f>""</f>
        <v/>
      </c>
      <c r="V1254" t="s">
        <v>2672</v>
      </c>
      <c r="W1254" t="str">
        <f>""</f>
        <v/>
      </c>
      <c r="X1254" t="s">
        <v>3134</v>
      </c>
      <c r="Y1254" t="s">
        <v>186</v>
      </c>
      <c r="Z1254" s="3">
        <v>55344</v>
      </c>
      <c r="AA1254" t="s">
        <v>101</v>
      </c>
      <c r="AB1254" t="s">
        <v>2674</v>
      </c>
      <c r="AC1254" s="4" t="str">
        <f>"+19529361616"</f>
        <v>+19529361616</v>
      </c>
      <c r="AE1254" t="str">
        <f>"541512"</f>
        <v>541512</v>
      </c>
      <c r="AF1254" t="s">
        <v>3135</v>
      </c>
      <c r="AG1254" t="s">
        <v>3136</v>
      </c>
      <c r="AI1254" t="s">
        <v>3137</v>
      </c>
      <c r="AJ1254" t="s">
        <v>3138</v>
      </c>
      <c r="AK1254" t="str">
        <f>""</f>
        <v/>
      </c>
      <c r="AL1254" t="s">
        <v>3139</v>
      </c>
      <c r="AM1254" t="s">
        <v>186</v>
      </c>
      <c r="AN1254" s="3">
        <v>55343</v>
      </c>
      <c r="AO1254" t="s">
        <v>101</v>
      </c>
      <c r="AQ1254" t="str">
        <f>"+19529361616"</f>
        <v>+19529361616</v>
      </c>
      <c r="AS1254" t="s">
        <v>3140</v>
      </c>
      <c r="AT1254" t="s">
        <v>107</v>
      </c>
      <c r="AU1254" t="str">
        <f>"Barnes"</f>
        <v>Barnes</v>
      </c>
      <c r="AV1254" t="str">
        <f>"Ingrid"</f>
        <v>Ingrid</v>
      </c>
      <c r="AW1254" t="str">
        <f>"Kessinger"</f>
        <v>Kessinger</v>
      </c>
      <c r="AX1254" t="str">
        <f>"2400 N Glenville Dr, Building A"</f>
        <v>2400 N Glenville Dr, Building A</v>
      </c>
      <c r="AY1254" t="str">
        <f>"Suite 100"</f>
        <v>Suite 100</v>
      </c>
      <c r="AZ1254" t="str">
        <f>"Richardson"</f>
        <v>Richardson</v>
      </c>
      <c r="BA1254" t="str">
        <f>"TX"</f>
        <v>TX</v>
      </c>
      <c r="BB1254" s="3">
        <v>75082</v>
      </c>
      <c r="BC1254" t="str">
        <f>"UNITED STATES OF AMERICA"</f>
        <v>UNITED STATES OF AMERICA</v>
      </c>
      <c r="BD1254" t="str">
        <f>""</f>
        <v/>
      </c>
      <c r="BE1254" t="str">
        <f>"+14695052608"</f>
        <v>+14695052608</v>
      </c>
      <c r="BF1254" t="str">
        <f>""</f>
        <v/>
      </c>
      <c r="BG1254" t="str">
        <f>"rmedinarios@balglobal.com"</f>
        <v>rmedinarios@balglobal.com</v>
      </c>
      <c r="BH1254" t="str">
        <f>"Berry Appleman &amp; Leiden LLP"</f>
        <v>Berry Appleman &amp; Leiden LLP</v>
      </c>
      <c r="BI1254" t="str">
        <f>"TX"</f>
        <v>TX</v>
      </c>
      <c r="BJ1254" t="str">
        <f>"Supreme Court of Texas"</f>
        <v>Supreme Court of Texas</v>
      </c>
      <c r="BK1254">
        <v>1</v>
      </c>
      <c r="BL1254" t="s">
        <v>102</v>
      </c>
      <c r="BM1254" t="str">
        <f>""</f>
        <v/>
      </c>
      <c r="BN1254" t="s">
        <v>11931</v>
      </c>
      <c r="BO1254" t="s">
        <v>11812</v>
      </c>
      <c r="BP1254" t="s">
        <v>1393</v>
      </c>
      <c r="BQ1254" t="s">
        <v>185</v>
      </c>
      <c r="BR1254" t="s">
        <v>186</v>
      </c>
      <c r="BS1254" s="5">
        <v>55442</v>
      </c>
      <c r="BT1254" s="2">
        <v>123000</v>
      </c>
      <c r="BV1254" t="s">
        <v>105</v>
      </c>
      <c r="BW1254" s="2">
        <v>122741</v>
      </c>
      <c r="BX1254" t="s">
        <v>105</v>
      </c>
      <c r="BZ1254" t="s">
        <v>159</v>
      </c>
      <c r="CA1254" t="str">
        <f t="shared" si="100"/>
        <v>7/1/2020 - 6/30/2021</v>
      </c>
      <c r="CF1254">
        <v>2</v>
      </c>
      <c r="CG1254" t="s">
        <v>98</v>
      </c>
      <c r="CH1254" t="s">
        <v>206</v>
      </c>
      <c r="CI1254" t="s">
        <v>206</v>
      </c>
      <c r="CL1254" t="s">
        <v>108</v>
      </c>
      <c r="CM1254" t="s">
        <v>109</v>
      </c>
      <c r="CN1254" t="str">
        <f>"Medina-Rios"</f>
        <v>Medina-Rios</v>
      </c>
      <c r="CO1254" t="str">
        <f>"Rachel"</f>
        <v>Rachel</v>
      </c>
      <c r="CP1254" t="str">
        <f>""</f>
        <v/>
      </c>
      <c r="CQ1254" t="str">
        <f>"Berry Appleman &amp; Leiden LLP"</f>
        <v>Berry Appleman &amp; Leiden LLP</v>
      </c>
      <c r="CR1254" t="s">
        <v>5476</v>
      </c>
    </row>
    <row r="1255" spans="1:96" x14ac:dyDescent="0.2">
      <c r="A1255" t="s">
        <v>11937</v>
      </c>
      <c r="B1255" t="s">
        <v>96</v>
      </c>
      <c r="C1255" s="1">
        <v>44098</v>
      </c>
      <c r="D1255" s="1">
        <v>44105</v>
      </c>
      <c r="F1255" t="s">
        <v>97</v>
      </c>
      <c r="G1255" t="str">
        <f>"Senior User Experience Designer"</f>
        <v>Senior User Experience Designer</v>
      </c>
      <c r="H1255" t="s">
        <v>12169</v>
      </c>
      <c r="I1255" t="s">
        <v>124</v>
      </c>
      <c r="J1255" t="s">
        <v>98</v>
      </c>
      <c r="K1255" s="1">
        <v>44229</v>
      </c>
      <c r="L1255" s="1">
        <v>45323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 t="s">
        <v>8716</v>
      </c>
      <c r="U1255" t="str">
        <f>""</f>
        <v/>
      </c>
      <c r="V1255" t="s">
        <v>8717</v>
      </c>
      <c r="W1255" t="str">
        <f>""</f>
        <v/>
      </c>
      <c r="X1255" t="s">
        <v>6313</v>
      </c>
      <c r="Y1255" t="s">
        <v>265</v>
      </c>
      <c r="Z1255" s="3">
        <v>48951</v>
      </c>
      <c r="AA1255" t="s">
        <v>101</v>
      </c>
      <c r="AC1255" s="4" t="str">
        <f>"+15173674710"</f>
        <v>+15173674710</v>
      </c>
      <c r="AE1255" t="str">
        <f>"524113"</f>
        <v>524113</v>
      </c>
      <c r="AF1255" t="s">
        <v>6646</v>
      </c>
      <c r="AG1255" t="s">
        <v>4773</v>
      </c>
      <c r="AI1255" t="s">
        <v>4765</v>
      </c>
      <c r="AJ1255" t="s">
        <v>8717</v>
      </c>
      <c r="AK1255" t="str">
        <f>""</f>
        <v/>
      </c>
      <c r="AL1255" t="s">
        <v>6313</v>
      </c>
      <c r="AM1255" t="s">
        <v>265</v>
      </c>
      <c r="AN1255" s="3">
        <v>48951</v>
      </c>
      <c r="AO1255" t="s">
        <v>101</v>
      </c>
      <c r="AQ1255" t="str">
        <f>"+15173674710"</f>
        <v>+15173674710</v>
      </c>
      <c r="AS1255" t="s">
        <v>8718</v>
      </c>
      <c r="AT1255" t="s">
        <v>107</v>
      </c>
      <c r="AU1255" t="str">
        <f>"Pacis"</f>
        <v>Pacis</v>
      </c>
      <c r="AV1255" t="str">
        <f>"Reginald"</f>
        <v>Reginald</v>
      </c>
      <c r="AW1255" t="str">
        <f>"Arnold"</f>
        <v>Arnold</v>
      </c>
      <c r="AX1255" t="str">
        <f>"Butzel Long, a professional corporation"</f>
        <v>Butzel Long, a professional corporation</v>
      </c>
      <c r="AY1255" t="str">
        <f>"150 W. Jefferson Avenue, Suite 100"</f>
        <v>150 W. Jefferson Avenue, Suite 100</v>
      </c>
      <c r="AZ1255" t="str">
        <f>"Detroit"</f>
        <v>Detroit</v>
      </c>
      <c r="BA1255" t="str">
        <f>"MI"</f>
        <v>MI</v>
      </c>
      <c r="BB1255" s="3">
        <v>48226</v>
      </c>
      <c r="BC1255" t="str">
        <f>"UNITED STATES OF AMERICA"</f>
        <v>UNITED STATES OF AMERICA</v>
      </c>
      <c r="BD1255" t="str">
        <f>""</f>
        <v/>
      </c>
      <c r="BE1255" t="str">
        <f>"+13139836929"</f>
        <v>+13139836929</v>
      </c>
      <c r="BF1255" t="str">
        <f>""</f>
        <v/>
      </c>
      <c r="BG1255" t="str">
        <f>"pacis@butzel.com"</f>
        <v>pacis@butzel.com</v>
      </c>
      <c r="BH1255" t="str">
        <f>"Butzel Long, a professional corporation"</f>
        <v>Butzel Long, a professional corporation</v>
      </c>
      <c r="BI1255" t="str">
        <f>"MI"</f>
        <v>MI</v>
      </c>
      <c r="BJ1255" t="str">
        <f>"MICHIGAN SUPREME COURT"</f>
        <v>MICHIGAN SUPREME COURT</v>
      </c>
      <c r="BK1255">
        <v>1</v>
      </c>
      <c r="BL1255" t="s">
        <v>102</v>
      </c>
      <c r="BM1255" t="str">
        <f>""</f>
        <v/>
      </c>
      <c r="BN1255" t="s">
        <v>8719</v>
      </c>
      <c r="BP1255" t="s">
        <v>2984</v>
      </c>
      <c r="BQ1255" t="s">
        <v>668</v>
      </c>
      <c r="BR1255" t="s">
        <v>545</v>
      </c>
      <c r="BS1255" s="5">
        <v>37067</v>
      </c>
      <c r="BT1255" s="2">
        <v>95368</v>
      </c>
      <c r="BU1255" s="2">
        <v>102750</v>
      </c>
      <c r="BV1255" t="s">
        <v>105</v>
      </c>
      <c r="BW1255" s="2">
        <v>95368</v>
      </c>
      <c r="BX1255" t="s">
        <v>105</v>
      </c>
      <c r="BZ1255" t="s">
        <v>123</v>
      </c>
      <c r="CA1255" t="str">
        <f t="shared" si="100"/>
        <v>7/1/2020 - 6/30/2021</v>
      </c>
      <c r="CF1255">
        <v>1</v>
      </c>
      <c r="CG1255" t="s">
        <v>98</v>
      </c>
      <c r="CH1255" t="s">
        <v>206</v>
      </c>
      <c r="CI1255" t="s">
        <v>206</v>
      </c>
      <c r="CL1255" t="s">
        <v>108</v>
      </c>
      <c r="CM1255" t="s">
        <v>109</v>
      </c>
      <c r="CN1255" t="str">
        <f>""</f>
        <v/>
      </c>
      <c r="CO1255" t="str">
        <f>""</f>
        <v/>
      </c>
      <c r="CP1255" t="str">
        <f>""</f>
        <v/>
      </c>
      <c r="CQ1255" t="str">
        <f>""</f>
        <v/>
      </c>
    </row>
    <row r="1256" spans="1:96" x14ac:dyDescent="0.2">
      <c r="A1256" t="s">
        <v>11942</v>
      </c>
      <c r="B1256" t="s">
        <v>96</v>
      </c>
      <c r="C1256" s="1">
        <v>44098</v>
      </c>
      <c r="D1256" s="1">
        <v>44105</v>
      </c>
      <c r="F1256" t="s">
        <v>97</v>
      </c>
      <c r="G1256" t="str">
        <f>"Assistant Academic Research Scientist "</f>
        <v xml:space="preserve">Assistant Academic Research Scientist </v>
      </c>
      <c r="H1256" t="s">
        <v>12170</v>
      </c>
      <c r="I1256" t="s">
        <v>685</v>
      </c>
      <c r="J1256" t="s">
        <v>98</v>
      </c>
      <c r="K1256" s="1">
        <v>44137</v>
      </c>
      <c r="L1256" s="1">
        <v>45231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4051</v>
      </c>
      <c r="U1256" t="str">
        <f>""</f>
        <v/>
      </c>
      <c r="V1256" t="s">
        <v>4052</v>
      </c>
      <c r="W1256" t="str">
        <f>""</f>
        <v/>
      </c>
      <c r="X1256" t="s">
        <v>213</v>
      </c>
      <c r="Y1256" t="s">
        <v>215</v>
      </c>
      <c r="Z1256" s="3">
        <v>30322</v>
      </c>
      <c r="AA1256" t="s">
        <v>101</v>
      </c>
      <c r="AC1256" s="4" t="str">
        <f>"+14047273300"</f>
        <v>+14047273300</v>
      </c>
      <c r="AE1256" t="str">
        <f>"611310"</f>
        <v>611310</v>
      </c>
      <c r="AF1256" t="s">
        <v>9018</v>
      </c>
      <c r="AG1256" t="s">
        <v>9351</v>
      </c>
      <c r="AI1256" t="s">
        <v>117</v>
      </c>
      <c r="AJ1256" t="s">
        <v>4054</v>
      </c>
      <c r="AK1256" t="str">
        <f>"Suite 130"</f>
        <v>Suite 130</v>
      </c>
      <c r="AL1256" t="s">
        <v>213</v>
      </c>
      <c r="AM1256" t="s">
        <v>215</v>
      </c>
      <c r="AN1256" s="3">
        <v>30322</v>
      </c>
      <c r="AO1256" t="s">
        <v>101</v>
      </c>
      <c r="AQ1256" t="str">
        <f>"+14047276224"</f>
        <v>+14047276224</v>
      </c>
      <c r="AS1256" t="s">
        <v>9019</v>
      </c>
      <c r="AT1256" t="s">
        <v>102</v>
      </c>
      <c r="AU1256" t="str">
        <f>""</f>
        <v/>
      </c>
      <c r="AV1256" t="str">
        <f>""</f>
        <v/>
      </c>
      <c r="AW1256" t="str">
        <f>""</f>
        <v/>
      </c>
      <c r="AX1256" t="str">
        <f>""</f>
        <v/>
      </c>
      <c r="AY1256" t="str">
        <f>""</f>
        <v/>
      </c>
      <c r="AZ1256" t="str">
        <f>""</f>
        <v/>
      </c>
      <c r="BA1256" t="str">
        <f>""</f>
        <v/>
      </c>
      <c r="BC1256" t="str">
        <f>""</f>
        <v/>
      </c>
      <c r="BD1256" t="str">
        <f>""</f>
        <v/>
      </c>
      <c r="BE1256" t="str">
        <f>""</f>
        <v/>
      </c>
      <c r="BF1256" t="str">
        <f>""</f>
        <v/>
      </c>
      <c r="BG1256" t="str">
        <f>""</f>
        <v/>
      </c>
      <c r="BH1256" t="str">
        <f>""</f>
        <v/>
      </c>
      <c r="BI1256" t="str">
        <f>""</f>
        <v/>
      </c>
      <c r="BJ1256" t="str">
        <f>""</f>
        <v/>
      </c>
      <c r="BK1256">
        <v>1</v>
      </c>
      <c r="BL1256" t="s">
        <v>107</v>
      </c>
      <c r="BM1256" t="str">
        <f>"Atlanta VA Medical Center"</f>
        <v>Atlanta VA Medical Center</v>
      </c>
      <c r="BN1256" t="s">
        <v>11943</v>
      </c>
      <c r="BP1256" t="s">
        <v>2706</v>
      </c>
      <c r="BQ1256" t="s">
        <v>481</v>
      </c>
      <c r="BR1256" t="s">
        <v>215</v>
      </c>
      <c r="BS1256" s="5">
        <v>30033</v>
      </c>
      <c r="BT1256" s="2">
        <v>51000</v>
      </c>
      <c r="BV1256" t="s">
        <v>105</v>
      </c>
      <c r="BW1256" s="2">
        <v>45053</v>
      </c>
      <c r="BX1256" t="s">
        <v>105</v>
      </c>
      <c r="BZ1256" t="s">
        <v>191</v>
      </c>
      <c r="CA1256" t="str">
        <f t="shared" si="100"/>
        <v>7/1/2020 - 6/30/2021</v>
      </c>
      <c r="CF1256">
        <v>1</v>
      </c>
      <c r="CG1256" t="s">
        <v>98</v>
      </c>
      <c r="CH1256" t="s">
        <v>206</v>
      </c>
      <c r="CI1256" t="s">
        <v>206</v>
      </c>
      <c r="CL1256" t="s">
        <v>108</v>
      </c>
      <c r="CM1256" t="s">
        <v>109</v>
      </c>
      <c r="CN1256" t="str">
        <f>""</f>
        <v/>
      </c>
      <c r="CO1256" t="str">
        <f>""</f>
        <v/>
      </c>
      <c r="CP1256" t="str">
        <f>""</f>
        <v/>
      </c>
      <c r="CQ1256" t="str">
        <f>""</f>
        <v/>
      </c>
    </row>
    <row r="1257" spans="1:96" x14ac:dyDescent="0.2">
      <c r="A1257" t="s">
        <v>11946</v>
      </c>
      <c r="B1257" t="s">
        <v>96</v>
      </c>
      <c r="C1257" s="1">
        <v>44098</v>
      </c>
      <c r="D1257" s="1">
        <v>44105</v>
      </c>
      <c r="F1257" t="s">
        <v>97</v>
      </c>
      <c r="G1257" t="str">
        <f>"Communication Specialist"</f>
        <v>Communication Specialist</v>
      </c>
      <c r="H1257" t="s">
        <v>12174</v>
      </c>
      <c r="I1257" t="s">
        <v>1795</v>
      </c>
      <c r="J1257" t="s">
        <v>98</v>
      </c>
      <c r="K1257" s="1">
        <v>44136</v>
      </c>
      <c r="L1257" s="1">
        <v>45230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11947</v>
      </c>
      <c r="U1257" t="str">
        <f>"Hogan &amp; Vandenberg, LLC"</f>
        <v>Hogan &amp; Vandenberg, LLC</v>
      </c>
      <c r="V1257" t="s">
        <v>11948</v>
      </c>
      <c r="W1257" t="str">
        <f>"Suite 1301"</f>
        <v>Suite 1301</v>
      </c>
      <c r="X1257" t="s">
        <v>218</v>
      </c>
      <c r="Y1257" t="s">
        <v>127</v>
      </c>
      <c r="Z1257" s="3">
        <v>19103</v>
      </c>
      <c r="AA1257" t="s">
        <v>101</v>
      </c>
      <c r="AC1257" s="4" t="str">
        <f>"+16106646271"</f>
        <v>+16106646271</v>
      </c>
      <c r="AE1257" t="str">
        <f>"541110"</f>
        <v>541110</v>
      </c>
      <c r="AF1257" t="s">
        <v>11949</v>
      </c>
      <c r="AG1257" t="s">
        <v>3951</v>
      </c>
      <c r="AH1257" t="s">
        <v>1705</v>
      </c>
      <c r="AI1257" t="s">
        <v>790</v>
      </c>
      <c r="AJ1257" t="s">
        <v>11948</v>
      </c>
      <c r="AK1257" t="str">
        <f>"Suite 1301"</f>
        <v>Suite 1301</v>
      </c>
      <c r="AL1257" t="s">
        <v>218</v>
      </c>
      <c r="AM1257" t="s">
        <v>127</v>
      </c>
      <c r="AN1257" s="3">
        <v>19103</v>
      </c>
      <c r="AO1257" t="s">
        <v>101</v>
      </c>
      <c r="AQ1257" t="str">
        <f>"+16106646271"</f>
        <v>+16106646271</v>
      </c>
      <c r="AS1257" t="s">
        <v>11950</v>
      </c>
      <c r="AT1257" t="s">
        <v>107</v>
      </c>
      <c r="AU1257" t="str">
        <f>"Arora"</f>
        <v>Arora</v>
      </c>
      <c r="AV1257" t="str">
        <f>"Sumita"</f>
        <v>Sumita</v>
      </c>
      <c r="AW1257" t="str">
        <f>""</f>
        <v/>
      </c>
      <c r="AX1257" t="str">
        <f>"1608 Walnut St"</f>
        <v>1608 Walnut St</v>
      </c>
      <c r="AY1257" t="str">
        <f>"Suite 1301"</f>
        <v>Suite 1301</v>
      </c>
      <c r="AZ1257" t="str">
        <f>"Philadelphia"</f>
        <v>Philadelphia</v>
      </c>
      <c r="BA1257" t="str">
        <f>"PA"</f>
        <v>PA</v>
      </c>
      <c r="BB1257" s="3">
        <v>19103</v>
      </c>
      <c r="BC1257" t="str">
        <f t="shared" ref="BC1257:BC1267" si="101">"UNITED STATES OF AMERICA"</f>
        <v>UNITED STATES OF AMERICA</v>
      </c>
      <c r="BD1257" t="str">
        <f>""</f>
        <v/>
      </c>
      <c r="BE1257" t="str">
        <f>"+16106646271"</f>
        <v>+16106646271</v>
      </c>
      <c r="BF1257" t="str">
        <f>""</f>
        <v/>
      </c>
      <c r="BG1257" t="str">
        <f>"sarora@hvlawgroup.com"</f>
        <v>sarora@hvlawgroup.com</v>
      </c>
      <c r="BH1257" t="str">
        <f>"Hogan &amp; Vandenberg, LLC"</f>
        <v>Hogan &amp; Vandenberg, LLC</v>
      </c>
      <c r="BI1257" t="str">
        <f>"PA"</f>
        <v>PA</v>
      </c>
      <c r="BJ1257" t="str">
        <f>"Supreme Court"</f>
        <v>Supreme Court</v>
      </c>
      <c r="BK1257">
        <v>1</v>
      </c>
      <c r="BL1257" t="s">
        <v>102</v>
      </c>
      <c r="BM1257" t="str">
        <f>""</f>
        <v/>
      </c>
      <c r="BN1257" t="s">
        <v>11951</v>
      </c>
      <c r="BP1257" t="s">
        <v>4769</v>
      </c>
      <c r="BQ1257" t="s">
        <v>170</v>
      </c>
      <c r="BR1257" t="s">
        <v>171</v>
      </c>
      <c r="BS1257" s="5">
        <v>1701</v>
      </c>
      <c r="BT1257" s="2">
        <v>22.15</v>
      </c>
      <c r="BV1257" t="s">
        <v>210</v>
      </c>
      <c r="BW1257" s="2">
        <v>22.15</v>
      </c>
      <c r="BX1257" t="s">
        <v>210</v>
      </c>
      <c r="BZ1257" t="s">
        <v>191</v>
      </c>
      <c r="CA1257" t="str">
        <f t="shared" si="100"/>
        <v>7/1/2020 - 6/30/2021</v>
      </c>
      <c r="CF1257">
        <v>1</v>
      </c>
      <c r="CG1257" t="s">
        <v>98</v>
      </c>
      <c r="CH1257" t="s">
        <v>206</v>
      </c>
      <c r="CI1257" t="s">
        <v>206</v>
      </c>
      <c r="CL1257" t="s">
        <v>108</v>
      </c>
      <c r="CM1257" t="s">
        <v>109</v>
      </c>
      <c r="CN1257" t="str">
        <f>""</f>
        <v/>
      </c>
      <c r="CO1257" t="str">
        <f>""</f>
        <v/>
      </c>
      <c r="CP1257" t="str">
        <f>""</f>
        <v/>
      </c>
      <c r="CQ1257" t="str">
        <f>""</f>
        <v/>
      </c>
    </row>
    <row r="1258" spans="1:96" x14ac:dyDescent="0.2">
      <c r="A1258" t="s">
        <v>11954</v>
      </c>
      <c r="B1258" t="s">
        <v>96</v>
      </c>
      <c r="C1258" s="1">
        <v>44098</v>
      </c>
      <c r="D1258" s="1">
        <v>44105</v>
      </c>
      <c r="F1258" t="s">
        <v>97</v>
      </c>
      <c r="G1258" t="str">
        <f>"Principal IT Technologist "</f>
        <v xml:space="preserve">Principal IT Technologist </v>
      </c>
      <c r="H1258" t="s">
        <v>12168</v>
      </c>
      <c r="I1258" t="s">
        <v>354</v>
      </c>
      <c r="J1258" t="s">
        <v>98</v>
      </c>
      <c r="K1258" s="1">
        <v>44102</v>
      </c>
      <c r="L1258" s="1">
        <v>45196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 t="s">
        <v>2456</v>
      </c>
      <c r="U1258" t="str">
        <f>""</f>
        <v/>
      </c>
      <c r="V1258" t="s">
        <v>2457</v>
      </c>
      <c r="W1258" t="str">
        <f>""</f>
        <v/>
      </c>
      <c r="X1258" t="s">
        <v>2458</v>
      </c>
      <c r="Y1258" t="s">
        <v>186</v>
      </c>
      <c r="Z1258" s="3">
        <v>55432</v>
      </c>
      <c r="AA1258" t="s">
        <v>101</v>
      </c>
      <c r="AC1258" s="4" t="str">
        <f>"+17635052710"</f>
        <v>+17635052710</v>
      </c>
      <c r="AE1258" t="str">
        <f>"334510"</f>
        <v>334510</v>
      </c>
      <c r="AF1258" t="s">
        <v>2459</v>
      </c>
      <c r="AG1258" t="s">
        <v>1182</v>
      </c>
      <c r="AH1258" t="s">
        <v>592</v>
      </c>
      <c r="AI1258" t="s">
        <v>2460</v>
      </c>
      <c r="AJ1258" t="s">
        <v>2461</v>
      </c>
      <c r="AK1258" t="str">
        <f>"LC300"</f>
        <v>LC300</v>
      </c>
      <c r="AL1258" t="s">
        <v>2458</v>
      </c>
      <c r="AM1258" t="s">
        <v>186</v>
      </c>
      <c r="AN1258" s="3">
        <v>55432</v>
      </c>
      <c r="AO1258" t="s">
        <v>101</v>
      </c>
      <c r="AQ1258" t="str">
        <f>"+17635052710"</f>
        <v>+17635052710</v>
      </c>
      <c r="AS1258" t="s">
        <v>2462</v>
      </c>
      <c r="AT1258" t="s">
        <v>107</v>
      </c>
      <c r="AU1258" t="str">
        <f>"Samaratunga "</f>
        <v xml:space="preserve">Samaratunga </v>
      </c>
      <c r="AV1258" t="str">
        <f>"Piyumi"</f>
        <v>Piyumi</v>
      </c>
      <c r="AW1258" t="str">
        <f>""</f>
        <v/>
      </c>
      <c r="AX1258" t="str">
        <f>"225 South 6th Street"</f>
        <v>225 South 6th Street</v>
      </c>
      <c r="AY1258" t="str">
        <f>"Suite 1830"</f>
        <v>Suite 1830</v>
      </c>
      <c r="AZ1258" t="str">
        <f>"Minneapolis"</f>
        <v>Minneapolis</v>
      </c>
      <c r="BA1258" t="str">
        <f>"MN"</f>
        <v>MN</v>
      </c>
      <c r="BB1258" s="3">
        <v>55402</v>
      </c>
      <c r="BC1258" t="str">
        <f t="shared" si="101"/>
        <v>UNITED STATES OF AMERICA</v>
      </c>
      <c r="BD1258" t="str">
        <f>""</f>
        <v/>
      </c>
      <c r="BE1258" t="str">
        <f>"+16123516804"</f>
        <v>+16123516804</v>
      </c>
      <c r="BF1258" t="str">
        <f>""</f>
        <v/>
      </c>
      <c r="BG1258" t="str">
        <f>"psamaratunga@constangy.com"</f>
        <v>psamaratunga@constangy.com</v>
      </c>
      <c r="BH1258" t="str">
        <f>"Constangy, Brooks, Smith &amp; Prophete LLP"</f>
        <v>Constangy, Brooks, Smith &amp; Prophete LLP</v>
      </c>
      <c r="BI1258" t="str">
        <f>"MN"</f>
        <v>MN</v>
      </c>
      <c r="BJ1258" t="str">
        <f>"Minnesota Supreme Court "</f>
        <v xml:space="preserve">Minnesota Supreme Court </v>
      </c>
      <c r="BK1258">
        <v>1</v>
      </c>
      <c r="BL1258" t="s">
        <v>102</v>
      </c>
      <c r="BM1258" t="str">
        <f>""</f>
        <v/>
      </c>
      <c r="BN1258" t="s">
        <v>6135</v>
      </c>
      <c r="BP1258" t="s">
        <v>5949</v>
      </c>
      <c r="BQ1258" t="s">
        <v>837</v>
      </c>
      <c r="BR1258" t="s">
        <v>186</v>
      </c>
      <c r="BS1258" s="5">
        <v>55112</v>
      </c>
      <c r="BT1258" s="2">
        <v>105851</v>
      </c>
      <c r="BU1258" s="2">
        <v>128978.85</v>
      </c>
      <c r="BV1258" t="s">
        <v>105</v>
      </c>
      <c r="BW1258" s="2">
        <v>105851</v>
      </c>
      <c r="BX1258" t="s">
        <v>105</v>
      </c>
      <c r="BZ1258" t="s">
        <v>159</v>
      </c>
      <c r="CA1258" t="str">
        <f t="shared" si="100"/>
        <v>7/1/2020 - 6/30/2021</v>
      </c>
      <c r="CF1258">
        <v>2</v>
      </c>
      <c r="CG1258" t="s">
        <v>98</v>
      </c>
      <c r="CH1258" t="s">
        <v>206</v>
      </c>
      <c r="CI1258" t="s">
        <v>206</v>
      </c>
      <c r="CL1258" t="s">
        <v>108</v>
      </c>
      <c r="CM1258" t="s">
        <v>109</v>
      </c>
      <c r="CN1258" t="str">
        <f>""</f>
        <v/>
      </c>
      <c r="CO1258" t="str">
        <f>""</f>
        <v/>
      </c>
      <c r="CP1258" t="str">
        <f>""</f>
        <v/>
      </c>
      <c r="CQ1258" t="str">
        <f>""</f>
        <v/>
      </c>
    </row>
    <row r="1259" spans="1:96" x14ac:dyDescent="0.2">
      <c r="A1259" t="s">
        <v>11957</v>
      </c>
      <c r="B1259" t="s">
        <v>96</v>
      </c>
      <c r="C1259" s="1">
        <v>44098</v>
      </c>
      <c r="D1259" s="1">
        <v>44105</v>
      </c>
      <c r="F1259" t="s">
        <v>97</v>
      </c>
      <c r="G1259" t="str">
        <f>"SAP Basis Administrator I"</f>
        <v>SAP Basis Administrator I</v>
      </c>
      <c r="H1259" t="s">
        <v>12176</v>
      </c>
      <c r="I1259" t="s">
        <v>246</v>
      </c>
      <c r="J1259" t="s">
        <v>98</v>
      </c>
      <c r="K1259" s="1">
        <v>44266</v>
      </c>
      <c r="L1259" s="1">
        <v>45361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 t="s">
        <v>11958</v>
      </c>
      <c r="U1259" t="str">
        <f>""</f>
        <v/>
      </c>
      <c r="V1259" t="s">
        <v>11959</v>
      </c>
      <c r="W1259" t="str">
        <f>"Suite 100"</f>
        <v>Suite 100</v>
      </c>
      <c r="X1259" t="s">
        <v>11050</v>
      </c>
      <c r="Y1259" t="s">
        <v>141</v>
      </c>
      <c r="Z1259" s="3">
        <v>95670</v>
      </c>
      <c r="AA1259" t="s">
        <v>101</v>
      </c>
      <c r="AC1259" s="4" t="str">
        <f>"+19166316500"</f>
        <v>+19166316500</v>
      </c>
      <c r="AE1259" t="str">
        <f>"423390"</f>
        <v>423390</v>
      </c>
      <c r="AF1259" t="s">
        <v>11960</v>
      </c>
      <c r="AG1259" t="s">
        <v>4836</v>
      </c>
      <c r="AI1259" t="s">
        <v>11961</v>
      </c>
      <c r="AJ1259" t="s">
        <v>11962</v>
      </c>
      <c r="AK1259" t="str">
        <f>"Suite 100"</f>
        <v>Suite 100</v>
      </c>
      <c r="AL1259" t="s">
        <v>4487</v>
      </c>
      <c r="AM1259" t="s">
        <v>141</v>
      </c>
      <c r="AN1259" s="3">
        <v>95670</v>
      </c>
      <c r="AO1259" t="s">
        <v>101</v>
      </c>
      <c r="AQ1259" t="str">
        <f>"+19166316500"</f>
        <v>+19166316500</v>
      </c>
      <c r="AS1259" t="s">
        <v>11963</v>
      </c>
      <c r="AT1259" t="s">
        <v>107</v>
      </c>
      <c r="AU1259" t="str">
        <f>"Lipman"</f>
        <v>Lipman</v>
      </c>
      <c r="AV1259" t="str">
        <f>"Jakob"</f>
        <v>Jakob</v>
      </c>
      <c r="AW1259" t="str">
        <f>"Seth"</f>
        <v>Seth</v>
      </c>
      <c r="AX1259" t="str">
        <f>"1390 Willow Pass Road "</f>
        <v xml:space="preserve">1390 Willow Pass Road </v>
      </c>
      <c r="AY1259" t="str">
        <f>"Suite 190"</f>
        <v>Suite 190</v>
      </c>
      <c r="AZ1259" t="str">
        <f>"Concord"</f>
        <v>Concord</v>
      </c>
      <c r="BA1259" t="str">
        <f>"CA"</f>
        <v>CA</v>
      </c>
      <c r="BB1259" s="3">
        <v>94520</v>
      </c>
      <c r="BC1259" t="str">
        <f t="shared" si="101"/>
        <v>UNITED STATES OF AMERICA</v>
      </c>
      <c r="BD1259" t="str">
        <f>""</f>
        <v/>
      </c>
      <c r="BE1259" t="str">
        <f>"+19257718181"</f>
        <v>+19257718181</v>
      </c>
      <c r="BF1259" t="str">
        <f>""</f>
        <v/>
      </c>
      <c r="BG1259" t="str">
        <f>"jake@visawolf.com"</f>
        <v>jake@visawolf.com</v>
      </c>
      <c r="BH1259" t="str">
        <f>"Lipman &amp; Wolf, LLP"</f>
        <v>Lipman &amp; Wolf, LLP</v>
      </c>
      <c r="BI1259" t="str">
        <f>"CA"</f>
        <v>CA</v>
      </c>
      <c r="BJ1259" t="str">
        <f>"Supreme Court"</f>
        <v>Supreme Court</v>
      </c>
      <c r="BK1259">
        <v>1</v>
      </c>
      <c r="BL1259" t="s">
        <v>102</v>
      </c>
      <c r="BM1259" t="str">
        <f>""</f>
        <v/>
      </c>
      <c r="BN1259" t="s">
        <v>11962</v>
      </c>
      <c r="BO1259" t="s">
        <v>667</v>
      </c>
      <c r="BP1259" t="s">
        <v>4487</v>
      </c>
      <c r="BQ1259" t="s">
        <v>474</v>
      </c>
      <c r="BR1259" t="s">
        <v>141</v>
      </c>
      <c r="BS1259" s="5">
        <v>95670</v>
      </c>
      <c r="BT1259" s="2">
        <v>97677</v>
      </c>
      <c r="BU1259" s="2">
        <v>118450.08</v>
      </c>
      <c r="BV1259" t="s">
        <v>105</v>
      </c>
      <c r="BW1259" s="2">
        <v>97677</v>
      </c>
      <c r="BX1259" t="s">
        <v>105</v>
      </c>
      <c r="BZ1259" t="s">
        <v>167</v>
      </c>
      <c r="CA1259" t="str">
        <f t="shared" si="100"/>
        <v>7/1/2020 - 6/30/2021</v>
      </c>
      <c r="CF1259">
        <v>1</v>
      </c>
      <c r="CG1259" t="s">
        <v>98</v>
      </c>
      <c r="CH1259" t="s">
        <v>206</v>
      </c>
      <c r="CI1259" t="s">
        <v>206</v>
      </c>
      <c r="CL1259" t="s">
        <v>108</v>
      </c>
      <c r="CM1259" t="s">
        <v>109</v>
      </c>
      <c r="CN1259" t="str">
        <f>"Lipman"</f>
        <v>Lipman</v>
      </c>
      <c r="CO1259" t="str">
        <f>"Jakob"</f>
        <v>Jakob</v>
      </c>
      <c r="CP1259" t="str">
        <f>"S"</f>
        <v>S</v>
      </c>
      <c r="CQ1259" t="str">
        <f>"Lipman &amp; Wolf, LLP"</f>
        <v>Lipman &amp; Wolf, LLP</v>
      </c>
      <c r="CR1259" t="s">
        <v>6419</v>
      </c>
    </row>
    <row r="1260" spans="1:96" x14ac:dyDescent="0.2">
      <c r="A1260" t="s">
        <v>11964</v>
      </c>
      <c r="B1260" t="s">
        <v>96</v>
      </c>
      <c r="C1260" s="1">
        <v>44098</v>
      </c>
      <c r="D1260" s="1">
        <v>44105</v>
      </c>
      <c r="F1260" t="s">
        <v>97</v>
      </c>
      <c r="G1260" t="str">
        <f>"QUALITY ASSURANCE ENGINEER II"</f>
        <v>QUALITY ASSURANCE ENGINEER II</v>
      </c>
      <c r="H1260" t="s">
        <v>12176</v>
      </c>
      <c r="I1260" t="s">
        <v>246</v>
      </c>
      <c r="J1260" t="s">
        <v>98</v>
      </c>
      <c r="K1260" s="1">
        <v>44109</v>
      </c>
      <c r="L1260" s="1">
        <v>45203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440</v>
      </c>
      <c r="U1260" t="str">
        <f>""</f>
        <v/>
      </c>
      <c r="V1260" t="s">
        <v>809</v>
      </c>
      <c r="W1260" t="str">
        <f>"SUITE 500"</f>
        <v>SUITE 500</v>
      </c>
      <c r="X1260" t="s">
        <v>433</v>
      </c>
      <c r="Y1260" t="s">
        <v>176</v>
      </c>
      <c r="Z1260" s="3">
        <v>98121</v>
      </c>
      <c r="AA1260" t="s">
        <v>101</v>
      </c>
      <c r="AC1260" s="4" t="str">
        <f>"+12062661000"</f>
        <v>+12062661000</v>
      </c>
      <c r="AE1260" t="str">
        <f>"454110"</f>
        <v>454110</v>
      </c>
      <c r="AF1260" t="s">
        <v>442</v>
      </c>
      <c r="AG1260" t="s">
        <v>443</v>
      </c>
      <c r="AH1260" t="s">
        <v>108</v>
      </c>
      <c r="AI1260" t="s">
        <v>434</v>
      </c>
      <c r="AJ1260" t="s">
        <v>809</v>
      </c>
      <c r="AK1260" t="str">
        <f>"SUITE 500"</f>
        <v>SUITE 500</v>
      </c>
      <c r="AL1260" t="s">
        <v>433</v>
      </c>
      <c r="AM1260" t="s">
        <v>176</v>
      </c>
      <c r="AN1260" s="3">
        <v>98121</v>
      </c>
      <c r="AO1260" t="s">
        <v>101</v>
      </c>
      <c r="AQ1260" t="str">
        <f>"+12062661000"</f>
        <v>+12062661000</v>
      </c>
      <c r="AS1260" t="s">
        <v>263</v>
      </c>
      <c r="AT1260" t="s">
        <v>107</v>
      </c>
      <c r="AU1260" t="str">
        <f>"MARANCI"</f>
        <v>MARANCI</v>
      </c>
      <c r="AV1260" t="str">
        <f>"DANIEL"</f>
        <v>DANIEL</v>
      </c>
      <c r="AW1260" t="str">
        <f>"N/A"</f>
        <v>N/A</v>
      </c>
      <c r="AX1260" t="str">
        <f>"100 HIGH STREET"</f>
        <v>100 HIGH STREET</v>
      </c>
      <c r="AY1260" t="str">
        <f>"3RD FLOOR C#5309335"</f>
        <v>3RD FLOOR C#5309335</v>
      </c>
      <c r="AZ1260" t="str">
        <f>"BOSTON"</f>
        <v>BOSTON</v>
      </c>
      <c r="BA1260" t="str">
        <f>"MA"</f>
        <v>MA</v>
      </c>
      <c r="BB1260" s="3">
        <v>2110</v>
      </c>
      <c r="BC1260" t="str">
        <f t="shared" si="101"/>
        <v>UNITED STATES OF AMERICA</v>
      </c>
      <c r="BD1260" t="str">
        <f>""</f>
        <v/>
      </c>
      <c r="BE1260" t="str">
        <f>"+16175740400"</f>
        <v>+16175740400</v>
      </c>
      <c r="BF1260" t="str">
        <f>""</f>
        <v/>
      </c>
      <c r="BG1260" t="str">
        <f>"AMAZONINDIA@FRAGOMEN.COM"</f>
        <v>AMAZONINDIA@FRAGOMEN.COM</v>
      </c>
      <c r="BH1260" t="str">
        <f>"FRAGOMEN, DEL REY, BERNSEN &amp; LOEWY, LLP"</f>
        <v>FRAGOMEN, DEL REY, BERNSEN &amp; LOEWY, LLP</v>
      </c>
      <c r="BI1260" t="str">
        <f>"MA"</f>
        <v>MA</v>
      </c>
      <c r="BJ1260" t="str">
        <f>"SUPREME JUDICIAL COURT"</f>
        <v>SUPREME JUDICIAL COURT</v>
      </c>
      <c r="BK1260">
        <v>1</v>
      </c>
      <c r="BL1260" t="s">
        <v>102</v>
      </c>
      <c r="BM1260" t="str">
        <f>""</f>
        <v/>
      </c>
      <c r="BN1260" t="s">
        <v>7046</v>
      </c>
      <c r="BP1260" t="s">
        <v>433</v>
      </c>
      <c r="BQ1260" t="s">
        <v>183</v>
      </c>
      <c r="BR1260" t="s">
        <v>176</v>
      </c>
      <c r="BS1260" s="5">
        <v>98121</v>
      </c>
      <c r="BT1260" s="2">
        <v>150000</v>
      </c>
      <c r="BV1260" t="s">
        <v>105</v>
      </c>
      <c r="BW1260" s="2">
        <v>113110</v>
      </c>
      <c r="BX1260" t="s">
        <v>105</v>
      </c>
      <c r="BZ1260" t="s">
        <v>167</v>
      </c>
      <c r="CA1260" t="str">
        <f t="shared" si="100"/>
        <v>7/1/2020 - 6/30/2021</v>
      </c>
      <c r="CF1260">
        <v>2</v>
      </c>
      <c r="CG1260" t="s">
        <v>98</v>
      </c>
      <c r="CH1260" t="s">
        <v>206</v>
      </c>
      <c r="CI1260" t="s">
        <v>206</v>
      </c>
      <c r="CL1260" t="s">
        <v>108</v>
      </c>
      <c r="CM1260" t="s">
        <v>109</v>
      </c>
      <c r="CN1260" t="str">
        <f>"SUNNY"</f>
        <v>SUNNY</v>
      </c>
      <c r="CO1260" t="str">
        <f>"JASMIN"</f>
        <v>JASMIN</v>
      </c>
      <c r="CP1260" t="str">
        <f>"N/A"</f>
        <v>N/A</v>
      </c>
      <c r="CQ1260" t="str">
        <f>"FRAGOMEN, DEL REY, BERNSEN &amp; LOEWY, LLP"</f>
        <v>FRAGOMEN, DEL REY, BERNSEN &amp; LOEWY, LLP</v>
      </c>
      <c r="CR1260" t="s">
        <v>650</v>
      </c>
    </row>
    <row r="1261" spans="1:96" x14ac:dyDescent="0.2">
      <c r="A1261" t="s">
        <v>11967</v>
      </c>
      <c r="B1261" t="s">
        <v>96</v>
      </c>
      <c r="C1261" s="1">
        <v>44098</v>
      </c>
      <c r="D1261" s="1">
        <v>44105</v>
      </c>
      <c r="F1261" t="s">
        <v>97</v>
      </c>
      <c r="G1261" t="str">
        <f>"Sr. Technical Manager"</f>
        <v>Sr. Technical Manager</v>
      </c>
      <c r="H1261" t="s">
        <v>12178</v>
      </c>
      <c r="I1261" t="s">
        <v>582</v>
      </c>
      <c r="J1261" t="s">
        <v>98</v>
      </c>
      <c r="K1261" s="1">
        <v>44098</v>
      </c>
      <c r="L1261" s="1">
        <v>45192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 t="s">
        <v>11968</v>
      </c>
      <c r="U1261" t="str">
        <f>""</f>
        <v/>
      </c>
      <c r="V1261" t="s">
        <v>11969</v>
      </c>
      <c r="W1261" t="str">
        <f>"Ste 300"</f>
        <v>Ste 300</v>
      </c>
      <c r="X1261" t="s">
        <v>10650</v>
      </c>
      <c r="Y1261" t="s">
        <v>781</v>
      </c>
      <c r="Z1261" s="3">
        <v>70002</v>
      </c>
      <c r="AA1261" t="s">
        <v>101</v>
      </c>
      <c r="AC1261" s="4" t="str">
        <f>"+13212063784"</f>
        <v>+13212063784</v>
      </c>
      <c r="AE1261" t="str">
        <f>"541611"</f>
        <v>541611</v>
      </c>
      <c r="AF1261" t="s">
        <v>11970</v>
      </c>
      <c r="AG1261" t="s">
        <v>11971</v>
      </c>
      <c r="AI1261" t="s">
        <v>2332</v>
      </c>
      <c r="AJ1261" t="s">
        <v>11969</v>
      </c>
      <c r="AK1261" t="str">
        <f>"Ste 300"</f>
        <v>Ste 300</v>
      </c>
      <c r="AL1261" t="s">
        <v>10650</v>
      </c>
      <c r="AM1261" t="s">
        <v>781</v>
      </c>
      <c r="AN1261" s="3">
        <v>70002</v>
      </c>
      <c r="AO1261" t="s">
        <v>101</v>
      </c>
      <c r="AQ1261" t="str">
        <f>"+18605807533"</f>
        <v>+18605807533</v>
      </c>
      <c r="AS1261" t="s">
        <v>6810</v>
      </c>
      <c r="AT1261" t="s">
        <v>107</v>
      </c>
      <c r="AU1261" t="str">
        <f>"Dowd"</f>
        <v>Dowd</v>
      </c>
      <c r="AV1261" t="str">
        <f>"Debra"</f>
        <v>Debra</v>
      </c>
      <c r="AW1261" t="str">
        <f>"JC"</f>
        <v>JC</v>
      </c>
      <c r="AX1261" t="str">
        <f>"812 Moorefield Park Drive"</f>
        <v>812 Moorefield Park Drive</v>
      </c>
      <c r="AY1261" t="str">
        <f>"Ste 210"</f>
        <v>Ste 210</v>
      </c>
      <c r="AZ1261" t="str">
        <f>"N. Chesterfield"</f>
        <v>N. Chesterfield</v>
      </c>
      <c r="BA1261" t="str">
        <f>"VA"</f>
        <v>VA</v>
      </c>
      <c r="BB1261" s="3">
        <v>23236</v>
      </c>
      <c r="BC1261" t="str">
        <f t="shared" si="101"/>
        <v>UNITED STATES OF AMERICA</v>
      </c>
      <c r="BD1261" t="str">
        <f>""</f>
        <v/>
      </c>
      <c r="BE1261" t="str">
        <f>"+18044136963"</f>
        <v>+18044136963</v>
      </c>
      <c r="BF1261" t="str">
        <f>""</f>
        <v/>
      </c>
      <c r="BG1261" t="str">
        <f>"debra@immigrationjourney.com"</f>
        <v>debra@immigrationjourney.com</v>
      </c>
      <c r="BH1261" t="str">
        <f>"Dowd and Company, PC"</f>
        <v>Dowd and Company, PC</v>
      </c>
      <c r="BI1261" t="str">
        <f>"VA"</f>
        <v>VA</v>
      </c>
      <c r="BJ1261" t="str">
        <f>"Supreme Court"</f>
        <v>Supreme Court</v>
      </c>
      <c r="BK1261">
        <v>1</v>
      </c>
      <c r="BL1261" t="s">
        <v>102</v>
      </c>
      <c r="BM1261" t="str">
        <f>""</f>
        <v/>
      </c>
      <c r="BN1261" t="s">
        <v>11972</v>
      </c>
      <c r="BO1261" t="s">
        <v>1914</v>
      </c>
      <c r="BP1261" t="s">
        <v>10650</v>
      </c>
      <c r="BQ1261" t="s">
        <v>369</v>
      </c>
      <c r="BR1261" t="s">
        <v>781</v>
      </c>
      <c r="BS1261" s="5">
        <v>70002</v>
      </c>
      <c r="BT1261" s="2">
        <v>153830.57999999999</v>
      </c>
      <c r="BV1261" t="s">
        <v>105</v>
      </c>
      <c r="BW1261" s="2">
        <v>100422</v>
      </c>
      <c r="BX1261" t="s">
        <v>105</v>
      </c>
      <c r="BZ1261" t="s">
        <v>167</v>
      </c>
      <c r="CA1261" t="str">
        <f t="shared" si="100"/>
        <v>7/1/2020 - 6/30/2021</v>
      </c>
      <c r="CF1261">
        <v>2</v>
      </c>
      <c r="CG1261" t="s">
        <v>98</v>
      </c>
      <c r="CH1261" t="s">
        <v>206</v>
      </c>
      <c r="CI1261" t="s">
        <v>206</v>
      </c>
      <c r="CL1261" t="s">
        <v>108</v>
      </c>
      <c r="CM1261" t="s">
        <v>109</v>
      </c>
      <c r="CN1261" t="str">
        <f>""</f>
        <v/>
      </c>
      <c r="CO1261" t="str">
        <f>""</f>
        <v/>
      </c>
      <c r="CP1261" t="str">
        <f>""</f>
        <v/>
      </c>
      <c r="CQ1261" t="str">
        <f>""</f>
        <v/>
      </c>
    </row>
    <row r="1262" spans="1:96" x14ac:dyDescent="0.2">
      <c r="A1262" t="s">
        <v>11976</v>
      </c>
      <c r="B1262" t="s">
        <v>96</v>
      </c>
      <c r="C1262" s="1">
        <v>44098</v>
      </c>
      <c r="D1262" s="1">
        <v>44105</v>
      </c>
      <c r="F1262" t="s">
        <v>97</v>
      </c>
      <c r="G1262" t="str">
        <f>"Civil Project Engineer"</f>
        <v>Civil Project Engineer</v>
      </c>
      <c r="H1262" t="s">
        <v>12205</v>
      </c>
      <c r="I1262" t="s">
        <v>665</v>
      </c>
      <c r="J1262" t="s">
        <v>98</v>
      </c>
      <c r="K1262" s="1">
        <v>44105</v>
      </c>
      <c r="L1262" s="1">
        <v>45199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11977</v>
      </c>
      <c r="U1262" t="str">
        <f>""</f>
        <v/>
      </c>
      <c r="V1262" t="s">
        <v>11978</v>
      </c>
      <c r="W1262" t="str">
        <f>""</f>
        <v/>
      </c>
      <c r="X1262" t="s">
        <v>7267</v>
      </c>
      <c r="Y1262" t="s">
        <v>190</v>
      </c>
      <c r="Z1262" s="3">
        <v>11423</v>
      </c>
      <c r="AA1262" t="s">
        <v>101</v>
      </c>
      <c r="AC1262" s="4" t="str">
        <f>"+19177554950"</f>
        <v>+19177554950</v>
      </c>
      <c r="AE1262" t="str">
        <f>"238910"</f>
        <v>238910</v>
      </c>
      <c r="AF1262" t="s">
        <v>6518</v>
      </c>
      <c r="AG1262" t="s">
        <v>7007</v>
      </c>
      <c r="AI1262" t="s">
        <v>2145</v>
      </c>
      <c r="AJ1262" t="s">
        <v>11978</v>
      </c>
      <c r="AK1262" t="str">
        <f>""</f>
        <v/>
      </c>
      <c r="AL1262" t="s">
        <v>7267</v>
      </c>
      <c r="AM1262" t="s">
        <v>190</v>
      </c>
      <c r="AN1262" s="3">
        <v>11423</v>
      </c>
      <c r="AO1262" t="s">
        <v>101</v>
      </c>
      <c r="AQ1262" t="str">
        <f>"+19177554950"</f>
        <v>+19177554950</v>
      </c>
      <c r="AS1262" t="s">
        <v>11979</v>
      </c>
      <c r="AT1262" t="s">
        <v>107</v>
      </c>
      <c r="AU1262" t="str">
        <f>"Wang"</f>
        <v>Wang</v>
      </c>
      <c r="AV1262" t="str">
        <f>"Weicheng"</f>
        <v>Weicheng</v>
      </c>
      <c r="AW1262" t="str">
        <f>""</f>
        <v/>
      </c>
      <c r="AX1262" t="str">
        <f>"197 Route 18"</f>
        <v>197 Route 18</v>
      </c>
      <c r="AY1262" t="str">
        <f>"Suite 309"</f>
        <v>Suite 309</v>
      </c>
      <c r="AZ1262" t="str">
        <f>"East Brunswick "</f>
        <v xml:space="preserve">East Brunswick </v>
      </c>
      <c r="BA1262" t="str">
        <f>"NJ"</f>
        <v>NJ</v>
      </c>
      <c r="BB1262" s="3">
        <v>8816</v>
      </c>
      <c r="BC1262" t="str">
        <f t="shared" si="101"/>
        <v>UNITED STATES OF AMERICA</v>
      </c>
      <c r="BD1262" t="str">
        <f>""</f>
        <v/>
      </c>
      <c r="BE1262" t="str">
        <f>"+17324188865"</f>
        <v>+17324188865</v>
      </c>
      <c r="BF1262" t="str">
        <f>""</f>
        <v/>
      </c>
      <c r="BG1262" t="str">
        <f>"wangwesq@aol.com"</f>
        <v>wangwesq@aol.com</v>
      </c>
      <c r="BH1262" t="str">
        <f>"Law Offices of Weicheng Wang"</f>
        <v>Law Offices of Weicheng Wang</v>
      </c>
      <c r="BI1262" t="str">
        <f>"NJ"</f>
        <v>NJ</v>
      </c>
      <c r="BJ1262" t="str">
        <f>"The Supreme Court of New Jersey"</f>
        <v>The Supreme Court of New Jersey</v>
      </c>
      <c r="BK1262">
        <v>1</v>
      </c>
      <c r="BL1262" t="s">
        <v>102</v>
      </c>
      <c r="BM1262" t="str">
        <f>""</f>
        <v/>
      </c>
      <c r="BN1262" t="s">
        <v>11980</v>
      </c>
      <c r="BP1262" t="s">
        <v>7267</v>
      </c>
      <c r="BQ1262" t="s">
        <v>2007</v>
      </c>
      <c r="BR1262" t="s">
        <v>190</v>
      </c>
      <c r="BS1262" s="5">
        <v>11423</v>
      </c>
      <c r="BT1262" s="2">
        <v>66165</v>
      </c>
      <c r="BU1262" s="2">
        <v>70000</v>
      </c>
      <c r="BV1262" t="s">
        <v>105</v>
      </c>
      <c r="BW1262" s="2">
        <v>66165</v>
      </c>
      <c r="BX1262" t="s">
        <v>105</v>
      </c>
      <c r="BZ1262" t="s">
        <v>191</v>
      </c>
      <c r="CA1262" t="str">
        <f t="shared" si="100"/>
        <v>7/1/2020 - 6/30/2021</v>
      </c>
      <c r="CF1262">
        <v>1</v>
      </c>
      <c r="CG1262" t="s">
        <v>98</v>
      </c>
      <c r="CH1262" t="s">
        <v>206</v>
      </c>
      <c r="CI1262" t="s">
        <v>206</v>
      </c>
      <c r="CL1262" t="s">
        <v>108</v>
      </c>
      <c r="CM1262" t="s">
        <v>109</v>
      </c>
      <c r="CN1262" t="str">
        <f>""</f>
        <v/>
      </c>
      <c r="CO1262" t="str">
        <f>""</f>
        <v/>
      </c>
      <c r="CP1262" t="str">
        <f>""</f>
        <v/>
      </c>
      <c r="CQ1262" t="str">
        <f>""</f>
        <v/>
      </c>
    </row>
    <row r="1263" spans="1:96" x14ac:dyDescent="0.2">
      <c r="A1263" t="s">
        <v>11981</v>
      </c>
      <c r="B1263" t="s">
        <v>96</v>
      </c>
      <c r="C1263" s="1">
        <v>44098</v>
      </c>
      <c r="D1263" s="1">
        <v>44105</v>
      </c>
      <c r="F1263" t="s">
        <v>97</v>
      </c>
      <c r="G1263" t="str">
        <f>"Director, Financial Planning &amp; Analysis - Corporate"</f>
        <v>Director, Financial Planning &amp; Analysis - Corporate</v>
      </c>
      <c r="H1263" t="s">
        <v>12199</v>
      </c>
      <c r="I1263" t="s">
        <v>1458</v>
      </c>
      <c r="J1263" t="s">
        <v>98</v>
      </c>
      <c r="K1263" s="1">
        <v>44262</v>
      </c>
      <c r="L1263" s="1">
        <v>45357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 t="s">
        <v>11056</v>
      </c>
      <c r="U1263" t="str">
        <f>""</f>
        <v/>
      </c>
      <c r="V1263" t="s">
        <v>7907</v>
      </c>
      <c r="W1263" t="str">
        <f>"14th Floor"</f>
        <v>14th Floor</v>
      </c>
      <c r="X1263" t="s">
        <v>277</v>
      </c>
      <c r="Y1263" t="s">
        <v>190</v>
      </c>
      <c r="Z1263" s="3">
        <v>10281</v>
      </c>
      <c r="AA1263" t="s">
        <v>101</v>
      </c>
      <c r="AC1263" s="4" t="str">
        <f>"+16469922424"</f>
        <v>+16469922424</v>
      </c>
      <c r="AE1263" t="str">
        <f>"221114"</f>
        <v>221114</v>
      </c>
      <c r="AF1263" t="s">
        <v>7034</v>
      </c>
      <c r="AG1263" t="s">
        <v>3456</v>
      </c>
      <c r="AI1263" t="s">
        <v>201</v>
      </c>
      <c r="AJ1263" t="s">
        <v>7907</v>
      </c>
      <c r="AK1263" t="str">
        <f>"14th Floor"</f>
        <v>14th Floor</v>
      </c>
      <c r="AL1263" t="s">
        <v>277</v>
      </c>
      <c r="AM1263" t="s">
        <v>190</v>
      </c>
      <c r="AN1263" s="3">
        <v>10281</v>
      </c>
      <c r="AO1263" t="s">
        <v>101</v>
      </c>
      <c r="AQ1263" t="str">
        <f>"+16469922453"</f>
        <v>+16469922453</v>
      </c>
      <c r="AS1263" t="s">
        <v>11057</v>
      </c>
      <c r="AT1263" t="s">
        <v>107</v>
      </c>
      <c r="AU1263" t="str">
        <f>"Keeney"</f>
        <v>Keeney</v>
      </c>
      <c r="AV1263" t="str">
        <f>"Melanie"</f>
        <v>Melanie</v>
      </c>
      <c r="AW1263" t="str">
        <f>"Gurley"</f>
        <v>Gurley</v>
      </c>
      <c r="AX1263" t="str">
        <f>"34 N. Meramec Avenue"</f>
        <v>34 N. Meramec Avenue</v>
      </c>
      <c r="AY1263" t="str">
        <f>"Suite 600"</f>
        <v>Suite 600</v>
      </c>
      <c r="AZ1263" t="str">
        <f>"St. Louis"</f>
        <v>St. Louis</v>
      </c>
      <c r="BA1263" t="str">
        <f>"MO"</f>
        <v>MO</v>
      </c>
      <c r="BB1263" s="3">
        <v>63105</v>
      </c>
      <c r="BC1263" t="str">
        <f t="shared" si="101"/>
        <v>UNITED STATES OF AMERICA</v>
      </c>
      <c r="BD1263" t="str">
        <f>""</f>
        <v/>
      </c>
      <c r="BE1263" t="str">
        <f>"+13148803611"</f>
        <v>+13148803611</v>
      </c>
      <c r="BF1263" t="str">
        <f>""</f>
        <v/>
      </c>
      <c r="BG1263" t="str">
        <f>"mkeeney@tuethkeeney.com"</f>
        <v>mkeeney@tuethkeeney.com</v>
      </c>
      <c r="BH1263" t="str">
        <f>"Tueth Keeney Cooper Mohan &amp; Jackstadt. P.C."</f>
        <v>Tueth Keeney Cooper Mohan &amp; Jackstadt. P.C.</v>
      </c>
      <c r="BI1263" t="str">
        <f>"MO"</f>
        <v>MO</v>
      </c>
      <c r="BJ1263" t="str">
        <f>"Missouri Supreme Court"</f>
        <v>Missouri Supreme Court</v>
      </c>
      <c r="BK1263">
        <v>1</v>
      </c>
      <c r="BL1263" t="s">
        <v>102</v>
      </c>
      <c r="BM1263" t="str">
        <f>""</f>
        <v/>
      </c>
      <c r="BN1263" t="s">
        <v>7907</v>
      </c>
      <c r="BO1263" t="s">
        <v>3544</v>
      </c>
      <c r="BP1263" t="s">
        <v>277</v>
      </c>
      <c r="BQ1263" t="s">
        <v>189</v>
      </c>
      <c r="BR1263" t="s">
        <v>190</v>
      </c>
      <c r="BS1263" s="5">
        <v>10281</v>
      </c>
      <c r="BT1263" s="2">
        <v>177600</v>
      </c>
      <c r="BV1263" t="s">
        <v>105</v>
      </c>
      <c r="BW1263" s="2">
        <v>164278</v>
      </c>
      <c r="BX1263" t="s">
        <v>105</v>
      </c>
      <c r="BZ1263" t="s">
        <v>167</v>
      </c>
      <c r="CA1263" t="str">
        <f t="shared" si="100"/>
        <v>7/1/2020 - 6/30/2021</v>
      </c>
      <c r="CF1263">
        <v>3</v>
      </c>
      <c r="CG1263" t="s">
        <v>98</v>
      </c>
      <c r="CH1263" t="s">
        <v>206</v>
      </c>
      <c r="CI1263" t="s">
        <v>206</v>
      </c>
      <c r="CL1263" t="s">
        <v>108</v>
      </c>
      <c r="CM1263" t="s">
        <v>109</v>
      </c>
      <c r="CN1263" t="str">
        <f>"Schaefer"</f>
        <v>Schaefer</v>
      </c>
      <c r="CO1263" t="str">
        <f>"Patricia"</f>
        <v>Patricia</v>
      </c>
      <c r="CP1263" t="str">
        <f>""</f>
        <v/>
      </c>
      <c r="CQ1263" t="str">
        <f>"Tueth Keeney Cooper Mohan &amp; Jackstadt, PC"</f>
        <v>Tueth Keeney Cooper Mohan &amp; Jackstadt, PC</v>
      </c>
      <c r="CR1263" t="s">
        <v>4966</v>
      </c>
    </row>
    <row r="1264" spans="1:96" x14ac:dyDescent="0.2">
      <c r="A1264" t="s">
        <v>11988</v>
      </c>
      <c r="B1264" t="s">
        <v>96</v>
      </c>
      <c r="C1264" s="1">
        <v>44098</v>
      </c>
      <c r="D1264" s="1">
        <v>44105</v>
      </c>
      <c r="F1264" t="s">
        <v>97</v>
      </c>
      <c r="G1264" t="str">
        <f>"Hospitalist"</f>
        <v>Hospitalist</v>
      </c>
      <c r="H1264" t="s">
        <v>12207</v>
      </c>
      <c r="I1264" t="s">
        <v>1665</v>
      </c>
      <c r="J1264" t="s">
        <v>98</v>
      </c>
      <c r="K1264" s="1">
        <v>44256</v>
      </c>
      <c r="L1264" s="1">
        <v>45350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 t="s">
        <v>11989</v>
      </c>
      <c r="U1264" t="str">
        <f>""</f>
        <v/>
      </c>
      <c r="V1264" t="s">
        <v>3970</v>
      </c>
      <c r="W1264" t="str">
        <f>"Suite 400"</f>
        <v>Suite 400</v>
      </c>
      <c r="X1264" t="s">
        <v>3971</v>
      </c>
      <c r="Y1264" t="s">
        <v>545</v>
      </c>
      <c r="Z1264" s="3">
        <v>37919</v>
      </c>
      <c r="AA1264" t="s">
        <v>101</v>
      </c>
      <c r="AC1264" s="4" t="str">
        <f>"+18656931000"</f>
        <v>+18656931000</v>
      </c>
      <c r="AE1264" t="str">
        <f>"621111"</f>
        <v>621111</v>
      </c>
      <c r="AF1264" t="s">
        <v>3972</v>
      </c>
      <c r="AG1264" t="s">
        <v>1788</v>
      </c>
      <c r="AI1264" t="s">
        <v>3973</v>
      </c>
      <c r="AJ1264" t="s">
        <v>3970</v>
      </c>
      <c r="AK1264" t="str">
        <f>"Suite 400"</f>
        <v>Suite 400</v>
      </c>
      <c r="AL1264" t="s">
        <v>3971</v>
      </c>
      <c r="AM1264" t="s">
        <v>545</v>
      </c>
      <c r="AN1264" s="3">
        <v>37919</v>
      </c>
      <c r="AO1264" t="s">
        <v>101</v>
      </c>
      <c r="AQ1264" t="str">
        <f>"+18656931000"</f>
        <v>+18656931000</v>
      </c>
      <c r="AS1264" t="s">
        <v>11990</v>
      </c>
      <c r="AT1264" t="s">
        <v>107</v>
      </c>
      <c r="AU1264" t="str">
        <f>"Taub"</f>
        <v>Taub</v>
      </c>
      <c r="AV1264" t="str">
        <f>"Elissa"</f>
        <v>Elissa</v>
      </c>
      <c r="AW1264" t="str">
        <f>"J"</f>
        <v>J</v>
      </c>
      <c r="AX1264" t="str">
        <f>"1028 Oakhaven Rd"</f>
        <v>1028 Oakhaven Rd</v>
      </c>
      <c r="AY1264" t="str">
        <f>""</f>
        <v/>
      </c>
      <c r="AZ1264" t="str">
        <f>"Memphis"</f>
        <v>Memphis</v>
      </c>
      <c r="BA1264" t="str">
        <f>"TN"</f>
        <v>TN</v>
      </c>
      <c r="BB1264" s="3">
        <v>38119</v>
      </c>
      <c r="BC1264" t="str">
        <f t="shared" si="101"/>
        <v>UNITED STATES OF AMERICA</v>
      </c>
      <c r="BD1264" t="str">
        <f>""</f>
        <v/>
      </c>
      <c r="BE1264" t="str">
        <f>"+19016826455"</f>
        <v>+19016826455</v>
      </c>
      <c r="BF1264" t="str">
        <f>""</f>
        <v/>
      </c>
      <c r="BG1264" t="str">
        <f>"etaub@visalaw.com"</f>
        <v>etaub@visalaw.com</v>
      </c>
      <c r="BH1264" t="str">
        <f>"Siskind Susser PC"</f>
        <v>Siskind Susser PC</v>
      </c>
      <c r="BI1264" t="str">
        <f>"FL"</f>
        <v>FL</v>
      </c>
      <c r="BJ1264" t="str">
        <f>"Supreme Court"</f>
        <v>Supreme Court</v>
      </c>
      <c r="BK1264">
        <v>1</v>
      </c>
      <c r="BL1264" t="s">
        <v>107</v>
      </c>
      <c r="BM1264" t="str">
        <f>"Morristown - Hamblen Hospital"</f>
        <v>Morristown - Hamblen Hospital</v>
      </c>
      <c r="BN1264" t="s">
        <v>11991</v>
      </c>
      <c r="BP1264" t="s">
        <v>3043</v>
      </c>
      <c r="BQ1264" t="s">
        <v>11992</v>
      </c>
      <c r="BR1264" t="s">
        <v>545</v>
      </c>
      <c r="BS1264" s="5">
        <v>37814</v>
      </c>
      <c r="BT1264" s="2">
        <v>273000</v>
      </c>
      <c r="BV1264" t="s">
        <v>105</v>
      </c>
      <c r="BW1264" s="2">
        <v>81536</v>
      </c>
      <c r="BX1264" t="s">
        <v>105</v>
      </c>
      <c r="BZ1264" t="s">
        <v>167</v>
      </c>
      <c r="CA1264" t="str">
        <f t="shared" si="100"/>
        <v>7/1/2020 - 6/30/2021</v>
      </c>
      <c r="CF1264">
        <v>2</v>
      </c>
      <c r="CG1264" t="s">
        <v>98</v>
      </c>
      <c r="CH1264" t="s">
        <v>206</v>
      </c>
      <c r="CI1264" t="s">
        <v>206</v>
      </c>
      <c r="CL1264" t="s">
        <v>108</v>
      </c>
      <c r="CM1264" t="s">
        <v>109</v>
      </c>
      <c r="CN1264" t="str">
        <f>"Schaffler"</f>
        <v>Schaffler</v>
      </c>
      <c r="CO1264" t="str">
        <f>"Macrae"</f>
        <v>Macrae</v>
      </c>
      <c r="CP1264" t="str">
        <f>""</f>
        <v/>
      </c>
      <c r="CQ1264" t="str">
        <f>"Siskind Susser PC"</f>
        <v>Siskind Susser PC</v>
      </c>
      <c r="CR1264" t="s">
        <v>3655</v>
      </c>
    </row>
    <row r="1265" spans="1:96" x14ac:dyDescent="0.2">
      <c r="A1265" t="s">
        <v>11993</v>
      </c>
      <c r="B1265" t="s">
        <v>96</v>
      </c>
      <c r="C1265" s="1">
        <v>44098</v>
      </c>
      <c r="D1265" s="1">
        <v>44105</v>
      </c>
      <c r="F1265" t="s">
        <v>97</v>
      </c>
      <c r="G1265" t="str">
        <f>"ADVANCED GRAPHIC DESIGNER"</f>
        <v>ADVANCED GRAPHIC DESIGNER</v>
      </c>
      <c r="H1265" t="s">
        <v>12222</v>
      </c>
      <c r="I1265" t="s">
        <v>694</v>
      </c>
      <c r="J1265" t="s">
        <v>98</v>
      </c>
      <c r="K1265" s="1">
        <v>44099</v>
      </c>
      <c r="L1265" s="1">
        <v>45193</v>
      </c>
      <c r="M1265">
        <v>10</v>
      </c>
      <c r="N1265">
        <v>2</v>
      </c>
      <c r="O1265">
        <v>2</v>
      </c>
      <c r="P1265">
        <v>2</v>
      </c>
      <c r="Q1265">
        <v>0</v>
      </c>
      <c r="R1265">
        <v>2</v>
      </c>
      <c r="S1265">
        <v>2</v>
      </c>
      <c r="T1265" t="s">
        <v>2068</v>
      </c>
      <c r="U1265" t="str">
        <f>""</f>
        <v/>
      </c>
      <c r="V1265" t="s">
        <v>2069</v>
      </c>
      <c r="W1265" t="str">
        <f>""</f>
        <v/>
      </c>
      <c r="X1265" t="s">
        <v>1025</v>
      </c>
      <c r="Y1265" t="s">
        <v>577</v>
      </c>
      <c r="Z1265" s="3">
        <v>33605</v>
      </c>
      <c r="AA1265" t="s">
        <v>101</v>
      </c>
      <c r="AC1265" s="4" t="str">
        <f>"+18135525000"</f>
        <v>+18135525000</v>
      </c>
      <c r="AE1265" t="str">
        <f>"5416"</f>
        <v>5416</v>
      </c>
      <c r="AF1265" t="s">
        <v>2070</v>
      </c>
      <c r="AG1265" t="s">
        <v>2071</v>
      </c>
      <c r="AI1265" t="s">
        <v>497</v>
      </c>
      <c r="AJ1265" t="s">
        <v>2072</v>
      </c>
      <c r="AK1265" t="str">
        <f>""</f>
        <v/>
      </c>
      <c r="AL1265" t="s">
        <v>1025</v>
      </c>
      <c r="AM1265" t="s">
        <v>577</v>
      </c>
      <c r="AN1265" s="3">
        <v>33605</v>
      </c>
      <c r="AO1265" t="s">
        <v>101</v>
      </c>
      <c r="AQ1265" t="str">
        <f>"+18135525000"</f>
        <v>+18135525000</v>
      </c>
      <c r="AS1265" t="s">
        <v>2073</v>
      </c>
      <c r="AT1265" t="s">
        <v>107</v>
      </c>
      <c r="AU1265" t="str">
        <f>"WHITE "</f>
        <v xml:space="preserve">WHITE </v>
      </c>
      <c r="AV1265" t="str">
        <f>"ROBERT"</f>
        <v>ROBERT</v>
      </c>
      <c r="AW1265" t="str">
        <f>"SAMUEL"</f>
        <v>SAMUEL</v>
      </c>
      <c r="AX1265" t="str">
        <f>"200 N MARTINGALE ROAD"</f>
        <v>200 N MARTINGALE ROAD</v>
      </c>
      <c r="AY1265" t="str">
        <f>"SUITE 800"</f>
        <v>SUITE 800</v>
      </c>
      <c r="AZ1265" t="str">
        <f>"SCHAUMBURG"</f>
        <v>SCHAUMBURG</v>
      </c>
      <c r="BA1265" t="str">
        <f>"IL"</f>
        <v>IL</v>
      </c>
      <c r="BB1265" s="3">
        <v>60173</v>
      </c>
      <c r="BC1265" t="str">
        <f t="shared" si="101"/>
        <v>UNITED STATES OF AMERICA</v>
      </c>
      <c r="BD1265" t="str">
        <f>""</f>
        <v/>
      </c>
      <c r="BE1265" t="str">
        <f>"+18477348811"</f>
        <v>+18477348811</v>
      </c>
      <c r="BF1265" t="str">
        <f>""</f>
        <v/>
      </c>
      <c r="BG1265" t="str">
        <f>"RWHITE@MASUDAFUNAI.COM"</f>
        <v>RWHITE@MASUDAFUNAI.COM</v>
      </c>
      <c r="BH1265" t="str">
        <f>"Masuda Funai Eifert &amp; Mitchell, Ltd."</f>
        <v>Masuda Funai Eifert &amp; Mitchell, Ltd.</v>
      </c>
      <c r="BI1265" t="str">
        <f>"IL"</f>
        <v>IL</v>
      </c>
      <c r="BJ1265" t="str">
        <f>"SUPREME COURT"</f>
        <v>SUPREME COURT</v>
      </c>
      <c r="BK1265">
        <v>10</v>
      </c>
      <c r="BL1265" t="s">
        <v>107</v>
      </c>
      <c r="BM1265" t="str">
        <f>"AT&amp;T MOBILITY LLC"</f>
        <v>AT&amp;T MOBILITY LLC</v>
      </c>
      <c r="BN1265" t="s">
        <v>11994</v>
      </c>
      <c r="BP1265" t="s">
        <v>2748</v>
      </c>
      <c r="BQ1265" t="s">
        <v>183</v>
      </c>
      <c r="BR1265" t="s">
        <v>176</v>
      </c>
      <c r="BS1265" s="5">
        <v>98011</v>
      </c>
      <c r="BT1265" s="2">
        <v>38.49</v>
      </c>
      <c r="BU1265" s="2">
        <v>90</v>
      </c>
      <c r="BV1265" t="s">
        <v>210</v>
      </c>
      <c r="BW1265" s="2">
        <v>38.49</v>
      </c>
      <c r="BX1265" t="s">
        <v>210</v>
      </c>
      <c r="BZ1265" t="s">
        <v>123</v>
      </c>
      <c r="CA1265" t="str">
        <f t="shared" si="100"/>
        <v>7/1/2020 - 6/30/2021</v>
      </c>
      <c r="CF1265">
        <v>2</v>
      </c>
      <c r="CG1265" t="s">
        <v>98</v>
      </c>
      <c r="CH1265" t="s">
        <v>206</v>
      </c>
      <c r="CI1265" t="s">
        <v>206</v>
      </c>
      <c r="CL1265" t="s">
        <v>108</v>
      </c>
      <c r="CM1265" t="s">
        <v>109</v>
      </c>
      <c r="CN1265" t="str">
        <f>""</f>
        <v/>
      </c>
      <c r="CO1265" t="str">
        <f>""</f>
        <v/>
      </c>
      <c r="CP1265" t="str">
        <f>""</f>
        <v/>
      </c>
      <c r="CQ1265" t="str">
        <f>""</f>
        <v/>
      </c>
    </row>
    <row r="1266" spans="1:96" x14ac:dyDescent="0.2">
      <c r="A1266" t="s">
        <v>11995</v>
      </c>
      <c r="B1266" t="s">
        <v>96</v>
      </c>
      <c r="C1266" s="1">
        <v>44098</v>
      </c>
      <c r="D1266" s="1">
        <v>44105</v>
      </c>
      <c r="F1266" t="s">
        <v>97</v>
      </c>
      <c r="G1266" t="str">
        <f>"Project Engineer"</f>
        <v>Project Engineer</v>
      </c>
      <c r="H1266" t="s">
        <v>12185</v>
      </c>
      <c r="I1266" t="s">
        <v>810</v>
      </c>
      <c r="J1266" t="s">
        <v>98</v>
      </c>
      <c r="K1266" s="1">
        <v>44105</v>
      </c>
      <c r="L1266" s="1">
        <v>45199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11996</v>
      </c>
      <c r="U1266" t="str">
        <f>""</f>
        <v/>
      </c>
      <c r="V1266" t="s">
        <v>11997</v>
      </c>
      <c r="W1266" t="str">
        <f>"Building 601, Suite A"</f>
        <v>Building 601, Suite A</v>
      </c>
      <c r="X1266" t="s">
        <v>1521</v>
      </c>
      <c r="Y1266" t="s">
        <v>577</v>
      </c>
      <c r="Z1266" s="3">
        <v>32808</v>
      </c>
      <c r="AA1266" t="s">
        <v>101</v>
      </c>
      <c r="AC1266" s="4" t="str">
        <f>"+14079852442"</f>
        <v>+14079852442</v>
      </c>
      <c r="AE1266" t="str">
        <f>"236220"</f>
        <v>236220</v>
      </c>
      <c r="AF1266" t="s">
        <v>11998</v>
      </c>
      <c r="AG1266" t="s">
        <v>1767</v>
      </c>
      <c r="AI1266" t="s">
        <v>4926</v>
      </c>
      <c r="AJ1266" t="s">
        <v>11997</v>
      </c>
      <c r="AK1266" t="str">
        <f>"Building 601, Suite A"</f>
        <v>Building 601, Suite A</v>
      </c>
      <c r="AL1266" t="s">
        <v>1521</v>
      </c>
      <c r="AM1266" t="s">
        <v>577</v>
      </c>
      <c r="AN1266" s="3">
        <v>32808</v>
      </c>
      <c r="AO1266" t="s">
        <v>101</v>
      </c>
      <c r="AQ1266" t="str">
        <f>"+14079852442"</f>
        <v>+14079852442</v>
      </c>
      <c r="AS1266" t="s">
        <v>11999</v>
      </c>
      <c r="AT1266" t="s">
        <v>107</v>
      </c>
      <c r="AU1266" t="str">
        <f>"Pabon Figueroa"</f>
        <v>Pabon Figueroa</v>
      </c>
      <c r="AV1266" t="str">
        <f>"Evelyn"</f>
        <v>Evelyn</v>
      </c>
      <c r="AW1266" t="str">
        <f>"J"</f>
        <v>J</v>
      </c>
      <c r="AX1266" t="str">
        <f>"201 East Pine Street"</f>
        <v>201 East Pine Street</v>
      </c>
      <c r="AY1266" t="str">
        <f>"Suite 445"</f>
        <v>Suite 445</v>
      </c>
      <c r="AZ1266" t="str">
        <f>"Orlando"</f>
        <v>Orlando</v>
      </c>
      <c r="BA1266" t="str">
        <f>"FL"</f>
        <v>FL</v>
      </c>
      <c r="BB1266" s="3">
        <v>32801</v>
      </c>
      <c r="BC1266" t="str">
        <f t="shared" si="101"/>
        <v>UNITED STATES OF AMERICA</v>
      </c>
      <c r="BD1266" t="str">
        <f>""</f>
        <v/>
      </c>
      <c r="BE1266" t="str">
        <f>"+14076477887"</f>
        <v>+14076477887</v>
      </c>
      <c r="BF1266" t="str">
        <f>""</f>
        <v/>
      </c>
      <c r="BG1266" t="str">
        <f>"epabonfigueroa@cplspa.com"</f>
        <v>epabonfigueroa@cplspa.com</v>
      </c>
      <c r="BH1266" t="str">
        <f>"CPLS, PA"</f>
        <v>CPLS, PA</v>
      </c>
      <c r="BI1266" t="str">
        <f>"FL"</f>
        <v>FL</v>
      </c>
      <c r="BJ1266" t="str">
        <f>"Florida Supreme Court"</f>
        <v>Florida Supreme Court</v>
      </c>
      <c r="BK1266">
        <v>1</v>
      </c>
      <c r="BL1266" t="s">
        <v>102</v>
      </c>
      <c r="BM1266" t="str">
        <f>""</f>
        <v/>
      </c>
      <c r="BN1266" t="s">
        <v>11997</v>
      </c>
      <c r="BO1266" t="s">
        <v>12000</v>
      </c>
      <c r="BP1266" t="s">
        <v>1521</v>
      </c>
      <c r="BQ1266" t="s">
        <v>377</v>
      </c>
      <c r="BR1266" t="s">
        <v>577</v>
      </c>
      <c r="BS1266" s="5">
        <v>32808</v>
      </c>
      <c r="BT1266" s="2">
        <v>60000</v>
      </c>
      <c r="BV1266" t="s">
        <v>105</v>
      </c>
      <c r="BW1266" s="2">
        <v>55765</v>
      </c>
      <c r="BX1266" t="s">
        <v>105</v>
      </c>
      <c r="BZ1266" t="s">
        <v>191</v>
      </c>
      <c r="CA1266" t="str">
        <f t="shared" si="100"/>
        <v>7/1/2020 - 6/30/2021</v>
      </c>
      <c r="CF1266">
        <v>1</v>
      </c>
      <c r="CG1266" t="s">
        <v>98</v>
      </c>
      <c r="CH1266" t="s">
        <v>206</v>
      </c>
      <c r="CI1266" t="s">
        <v>206</v>
      </c>
      <c r="CL1266" t="s">
        <v>108</v>
      </c>
      <c r="CM1266" t="s">
        <v>109</v>
      </c>
      <c r="CN1266" t="str">
        <f>""</f>
        <v/>
      </c>
      <c r="CO1266" t="str">
        <f>""</f>
        <v/>
      </c>
      <c r="CP1266" t="str">
        <f>""</f>
        <v/>
      </c>
      <c r="CQ1266" t="str">
        <f>""</f>
        <v/>
      </c>
    </row>
    <row r="1267" spans="1:96" x14ac:dyDescent="0.2">
      <c r="A1267" t="s">
        <v>12001</v>
      </c>
      <c r="B1267" t="s">
        <v>96</v>
      </c>
      <c r="C1267" s="1">
        <v>44098</v>
      </c>
      <c r="D1267" s="1">
        <v>44105</v>
      </c>
      <c r="F1267" t="s">
        <v>97</v>
      </c>
      <c r="G1267" t="str">
        <f>"PRINCIPAL SOFTWARE DEVELOPMENT ENGINEER"</f>
        <v>PRINCIPAL SOFTWARE DEVELOPMENT ENGINEER</v>
      </c>
      <c r="H1267" t="s">
        <v>12169</v>
      </c>
      <c r="I1267" t="s">
        <v>124</v>
      </c>
      <c r="J1267" t="s">
        <v>98</v>
      </c>
      <c r="K1267" s="1">
        <v>44275</v>
      </c>
      <c r="L1267" s="1">
        <v>45370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 t="s">
        <v>440</v>
      </c>
      <c r="U1267" t="str">
        <f>""</f>
        <v/>
      </c>
      <c r="V1267" t="s">
        <v>809</v>
      </c>
      <c r="W1267" t="str">
        <f>"SUITE 500"</f>
        <v>SUITE 500</v>
      </c>
      <c r="X1267" t="s">
        <v>433</v>
      </c>
      <c r="Y1267" t="s">
        <v>176</v>
      </c>
      <c r="Z1267" s="3">
        <v>98121</v>
      </c>
      <c r="AA1267" t="s">
        <v>101</v>
      </c>
      <c r="AC1267" s="4" t="str">
        <f>"+12062661000"</f>
        <v>+12062661000</v>
      </c>
      <c r="AE1267" t="str">
        <f>"454110"</f>
        <v>454110</v>
      </c>
      <c r="AF1267" t="s">
        <v>442</v>
      </c>
      <c r="AG1267" t="s">
        <v>443</v>
      </c>
      <c r="AH1267" t="s">
        <v>108</v>
      </c>
      <c r="AI1267" t="s">
        <v>434</v>
      </c>
      <c r="AJ1267" t="s">
        <v>809</v>
      </c>
      <c r="AK1267" t="str">
        <f>"SUITE 500"</f>
        <v>SUITE 500</v>
      </c>
      <c r="AL1267" t="s">
        <v>433</v>
      </c>
      <c r="AM1267" t="s">
        <v>176</v>
      </c>
      <c r="AN1267" s="3">
        <v>98121</v>
      </c>
      <c r="AO1267" t="s">
        <v>101</v>
      </c>
      <c r="AQ1267" t="str">
        <f>"+12062661000"</f>
        <v>+12062661000</v>
      </c>
      <c r="AS1267" t="s">
        <v>263</v>
      </c>
      <c r="AT1267" t="s">
        <v>107</v>
      </c>
      <c r="AU1267" t="str">
        <f>"MARANCI"</f>
        <v>MARANCI</v>
      </c>
      <c r="AV1267" t="str">
        <f>"DANIEL"</f>
        <v>DANIEL</v>
      </c>
      <c r="AW1267" t="str">
        <f>"N/A"</f>
        <v>N/A</v>
      </c>
      <c r="AX1267" t="str">
        <f>"100 HIGH STREET"</f>
        <v>100 HIGH STREET</v>
      </c>
      <c r="AY1267" t="str">
        <f>"3RD FLOOR C#5299016"</f>
        <v>3RD FLOOR C#5299016</v>
      </c>
      <c r="AZ1267" t="str">
        <f>"BOSTON"</f>
        <v>BOSTON</v>
      </c>
      <c r="BA1267" t="str">
        <f>"MA"</f>
        <v>MA</v>
      </c>
      <c r="BB1267" s="3">
        <v>2110</v>
      </c>
      <c r="BC1267" t="str">
        <f t="shared" si="101"/>
        <v>UNITED STATES OF AMERICA</v>
      </c>
      <c r="BD1267" t="str">
        <f>""</f>
        <v/>
      </c>
      <c r="BE1267" t="str">
        <f>"+16175740400"</f>
        <v>+16175740400</v>
      </c>
      <c r="BF1267" t="str">
        <f>""</f>
        <v/>
      </c>
      <c r="BG1267" t="str">
        <f>"AMAZONINDIA@FRAGOMEN.COM"</f>
        <v>AMAZONINDIA@FRAGOMEN.COM</v>
      </c>
      <c r="BH1267" t="str">
        <f>"FRAGOMEN, DEL REY, BERNSEN &amp; LOEWY, LLP"</f>
        <v>FRAGOMEN, DEL REY, BERNSEN &amp; LOEWY, LLP</v>
      </c>
      <c r="BI1267" t="str">
        <f>"MA"</f>
        <v>MA</v>
      </c>
      <c r="BJ1267" t="str">
        <f>"SUPREME JUDICIAL COURT"</f>
        <v>SUPREME JUDICIAL COURT</v>
      </c>
      <c r="BK1267">
        <v>1</v>
      </c>
      <c r="BL1267" t="s">
        <v>102</v>
      </c>
      <c r="BM1267" t="str">
        <f>""</f>
        <v/>
      </c>
      <c r="BN1267" t="s">
        <v>4176</v>
      </c>
      <c r="BP1267" t="s">
        <v>433</v>
      </c>
      <c r="BQ1267" t="s">
        <v>183</v>
      </c>
      <c r="BR1267" t="s">
        <v>176</v>
      </c>
      <c r="BS1267" s="5">
        <v>98121</v>
      </c>
      <c r="BT1267" s="2">
        <v>160000</v>
      </c>
      <c r="BV1267" t="s">
        <v>105</v>
      </c>
      <c r="BW1267" s="2">
        <v>155106</v>
      </c>
      <c r="BX1267" t="s">
        <v>105</v>
      </c>
      <c r="BZ1267" t="s">
        <v>159</v>
      </c>
      <c r="CA1267" t="str">
        <f t="shared" si="100"/>
        <v>7/1/2020 - 6/30/2021</v>
      </c>
      <c r="CF1267">
        <v>1</v>
      </c>
      <c r="CG1267" t="s">
        <v>98</v>
      </c>
      <c r="CH1267" t="s">
        <v>206</v>
      </c>
      <c r="CI1267" t="s">
        <v>206</v>
      </c>
      <c r="CL1267" t="s">
        <v>108</v>
      </c>
      <c r="CM1267" t="s">
        <v>109</v>
      </c>
      <c r="CN1267" t="str">
        <f>"SUNNY"</f>
        <v>SUNNY</v>
      </c>
      <c r="CO1267" t="str">
        <f>"JASMIN"</f>
        <v>JASMIN</v>
      </c>
      <c r="CP1267" t="str">
        <f>"N/A"</f>
        <v>N/A</v>
      </c>
      <c r="CQ1267" t="str">
        <f>"FRAGOMEN, DEL REY, BERNSEN &amp; LOEWY, LLP"</f>
        <v>FRAGOMEN, DEL REY, BERNSEN &amp; LOEWY, LLP</v>
      </c>
      <c r="CR1267" t="s">
        <v>650</v>
      </c>
    </row>
    <row r="1268" spans="1:96" x14ac:dyDescent="0.2">
      <c r="A1268" t="s">
        <v>12002</v>
      </c>
      <c r="B1268" t="s">
        <v>96</v>
      </c>
      <c r="C1268" s="1">
        <v>44098</v>
      </c>
      <c r="D1268" s="1">
        <v>44105</v>
      </c>
      <c r="F1268" t="s">
        <v>97</v>
      </c>
      <c r="G1268" t="str">
        <f>"Software Engineer"</f>
        <v>Software Engineer</v>
      </c>
      <c r="H1268" t="s">
        <v>12169</v>
      </c>
      <c r="I1268" t="s">
        <v>124</v>
      </c>
      <c r="J1268" t="s">
        <v>98</v>
      </c>
      <c r="K1268" s="1">
        <v>44279</v>
      </c>
      <c r="L1268" s="1">
        <v>45374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 t="s">
        <v>173</v>
      </c>
      <c r="U1268" t="str">
        <f>""</f>
        <v/>
      </c>
      <c r="V1268" t="s">
        <v>174</v>
      </c>
      <c r="W1268" t="str">
        <f>"N/A"</f>
        <v>N/A</v>
      </c>
      <c r="X1268" t="s">
        <v>175</v>
      </c>
      <c r="Y1268" t="s">
        <v>176</v>
      </c>
      <c r="Z1268" s="3">
        <v>98052</v>
      </c>
      <c r="AA1268" t="s">
        <v>101</v>
      </c>
      <c r="AC1268" s="4" t="str">
        <f>"+14258828080"</f>
        <v>+14258828080</v>
      </c>
      <c r="AE1268" t="str">
        <f>"51121"</f>
        <v>51121</v>
      </c>
      <c r="AF1268" t="s">
        <v>177</v>
      </c>
      <c r="AG1268" t="s">
        <v>178</v>
      </c>
      <c r="AI1268" t="s">
        <v>179</v>
      </c>
      <c r="AJ1268" t="s">
        <v>174</v>
      </c>
      <c r="AK1268" t="str">
        <f>""</f>
        <v/>
      </c>
      <c r="AL1268" t="s">
        <v>175</v>
      </c>
      <c r="AM1268" t="s">
        <v>176</v>
      </c>
      <c r="AN1268" s="3">
        <v>98052</v>
      </c>
      <c r="AO1268" t="s">
        <v>101</v>
      </c>
      <c r="AQ1268" t="str">
        <f>"+14258828080"</f>
        <v>+14258828080</v>
      </c>
      <c r="AS1268" t="s">
        <v>180</v>
      </c>
      <c r="AT1268" t="s">
        <v>102</v>
      </c>
      <c r="AU1268" t="str">
        <f>""</f>
        <v/>
      </c>
      <c r="AV1268" t="str">
        <f>""</f>
        <v/>
      </c>
      <c r="AW1268" t="str">
        <f>""</f>
        <v/>
      </c>
      <c r="AX1268" t="str">
        <f>""</f>
        <v/>
      </c>
      <c r="AY1268" t="str">
        <f>""</f>
        <v/>
      </c>
      <c r="AZ1268" t="str">
        <f>""</f>
        <v/>
      </c>
      <c r="BA1268" t="str">
        <f>""</f>
        <v/>
      </c>
      <c r="BC1268" t="str">
        <f>""</f>
        <v/>
      </c>
      <c r="BD1268" t="str">
        <f>""</f>
        <v/>
      </c>
      <c r="BE1268" t="str">
        <f>""</f>
        <v/>
      </c>
      <c r="BF1268" t="str">
        <f>""</f>
        <v/>
      </c>
      <c r="BG1268" t="str">
        <f>""</f>
        <v/>
      </c>
      <c r="BH1268" t="str">
        <f>""</f>
        <v/>
      </c>
      <c r="BI1268" t="str">
        <f>""</f>
        <v/>
      </c>
      <c r="BJ1268" t="str">
        <f>""</f>
        <v/>
      </c>
      <c r="BK1268">
        <v>1</v>
      </c>
      <c r="BL1268" t="s">
        <v>102</v>
      </c>
      <c r="BM1268" t="str">
        <f>""</f>
        <v/>
      </c>
      <c r="BN1268" t="s">
        <v>3336</v>
      </c>
      <c r="BP1268" t="s">
        <v>671</v>
      </c>
      <c r="BQ1268" t="s">
        <v>230</v>
      </c>
      <c r="BR1268" t="s">
        <v>141</v>
      </c>
      <c r="BS1268" s="5" t="s">
        <v>12320</v>
      </c>
      <c r="BT1268" s="2">
        <v>161603</v>
      </c>
      <c r="BV1268" t="s">
        <v>105</v>
      </c>
      <c r="BW1268" s="2">
        <v>120578</v>
      </c>
      <c r="BX1268" t="s">
        <v>105</v>
      </c>
      <c r="BZ1268" t="s">
        <v>167</v>
      </c>
      <c r="CA1268" t="str">
        <f t="shared" si="100"/>
        <v>7/1/2020 - 6/30/2021</v>
      </c>
      <c r="CF1268">
        <v>1</v>
      </c>
      <c r="CG1268" t="s">
        <v>98</v>
      </c>
      <c r="CH1268" t="s">
        <v>206</v>
      </c>
      <c r="CI1268" t="s">
        <v>206</v>
      </c>
      <c r="CL1268" t="s">
        <v>108</v>
      </c>
      <c r="CM1268" t="s">
        <v>109</v>
      </c>
      <c r="CN1268" t="str">
        <f>"DSOUZA"</f>
        <v>DSOUZA</v>
      </c>
      <c r="CO1268" t="str">
        <f>"MACLIFF"</f>
        <v>MACLIFF</v>
      </c>
      <c r="CP1268" t="str">
        <f>"N/A"</f>
        <v>N/A</v>
      </c>
      <c r="CQ1268" t="str">
        <f>"INTEGREON MANAGED SOLUTIONS (INDIA) PVT LTD"</f>
        <v>INTEGREON MANAGED SOLUTIONS (INDIA) PVT LTD</v>
      </c>
      <c r="CR1268" t="s">
        <v>1842</v>
      </c>
    </row>
    <row r="1269" spans="1:96" x14ac:dyDescent="0.2">
      <c r="A1269" t="s">
        <v>12007</v>
      </c>
      <c r="B1269" t="s">
        <v>96</v>
      </c>
      <c r="C1269" s="1">
        <v>44098</v>
      </c>
      <c r="D1269" s="1">
        <v>44105</v>
      </c>
      <c r="F1269" t="s">
        <v>97</v>
      </c>
      <c r="G1269" t="str">
        <f>"DATA ANALYST"</f>
        <v>DATA ANALYST</v>
      </c>
      <c r="H1269" t="s">
        <v>12168</v>
      </c>
      <c r="I1269" t="s">
        <v>249</v>
      </c>
      <c r="J1269" t="s">
        <v>98</v>
      </c>
      <c r="K1269" s="1">
        <v>44098</v>
      </c>
      <c r="L1269" s="1">
        <v>45192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9073</v>
      </c>
      <c r="U1269" t="str">
        <f>""</f>
        <v/>
      </c>
      <c r="V1269" t="s">
        <v>9074</v>
      </c>
      <c r="W1269" t="str">
        <f>"SUITE 2200"</f>
        <v>SUITE 2200</v>
      </c>
      <c r="X1269" t="s">
        <v>1206</v>
      </c>
      <c r="Y1269" t="s">
        <v>100</v>
      </c>
      <c r="Z1269" s="3">
        <v>7311</v>
      </c>
      <c r="AA1269" t="s">
        <v>101</v>
      </c>
      <c r="AC1269" s="4" t="str">
        <f>"+12015365828"</f>
        <v>+12015365828</v>
      </c>
      <c r="AE1269" t="str">
        <f>"541512"</f>
        <v>541512</v>
      </c>
      <c r="AF1269" t="s">
        <v>1918</v>
      </c>
      <c r="AG1269" t="s">
        <v>9075</v>
      </c>
      <c r="AH1269" t="s">
        <v>108</v>
      </c>
      <c r="AI1269" t="s">
        <v>9076</v>
      </c>
      <c r="AJ1269" t="s">
        <v>9074</v>
      </c>
      <c r="AK1269" t="str">
        <f>"SUITE 2200"</f>
        <v>SUITE 2200</v>
      </c>
      <c r="AL1269" t="s">
        <v>1206</v>
      </c>
      <c r="AM1269" t="s">
        <v>100</v>
      </c>
      <c r="AN1269" s="3">
        <v>7311</v>
      </c>
      <c r="AO1269" t="s">
        <v>101</v>
      </c>
      <c r="AQ1269" t="str">
        <f>"+12015365828"</f>
        <v>+12015365828</v>
      </c>
      <c r="AS1269" t="s">
        <v>9077</v>
      </c>
      <c r="AT1269" t="s">
        <v>107</v>
      </c>
      <c r="AU1269" t="str">
        <f>"ROSKOM "</f>
        <v xml:space="preserve">ROSKOM </v>
      </c>
      <c r="AV1269" t="str">
        <f>"ANNE"</f>
        <v>ANNE</v>
      </c>
      <c r="AW1269" t="str">
        <f>"R."</f>
        <v>R.</v>
      </c>
      <c r="AX1269" t="str">
        <f>"100 HIGH STREET"</f>
        <v>100 HIGH STREET</v>
      </c>
      <c r="AY1269" t="str">
        <f>"3RD FLOOR"</f>
        <v>3RD FLOOR</v>
      </c>
      <c r="AZ1269" t="str">
        <f>"BOSTON"</f>
        <v>BOSTON</v>
      </c>
      <c r="BA1269" t="str">
        <f>"MA"</f>
        <v>MA</v>
      </c>
      <c r="BB1269" s="3">
        <v>2110</v>
      </c>
      <c r="BC1269" t="str">
        <f>"UNITED STATES OF AMERICA"</f>
        <v>UNITED STATES OF AMERICA</v>
      </c>
      <c r="BD1269" t="str">
        <f>""</f>
        <v/>
      </c>
      <c r="BE1269" t="str">
        <f>"+16175740400"</f>
        <v>+16175740400</v>
      </c>
      <c r="BF1269" t="str">
        <f>""</f>
        <v/>
      </c>
      <c r="BG1269" t="str">
        <f>"KFORTUNE@FRAGOMEN.COM"</f>
        <v>KFORTUNE@FRAGOMEN.COM</v>
      </c>
      <c r="BH1269" t="str">
        <f>"FRAGOMEN, DEL REY, BERNSEN &amp; LOEWY, LLP"</f>
        <v>FRAGOMEN, DEL REY, BERNSEN &amp; LOEWY, LLP</v>
      </c>
      <c r="BI1269" t="str">
        <f>"CA"</f>
        <v>CA</v>
      </c>
      <c r="BJ1269" t="str">
        <f>"SUPREME COURT"</f>
        <v>SUPREME COURT</v>
      </c>
      <c r="BK1269">
        <v>1</v>
      </c>
      <c r="BL1269" t="s">
        <v>102</v>
      </c>
      <c r="BM1269" t="str">
        <f>""</f>
        <v/>
      </c>
      <c r="BN1269" t="s">
        <v>9074</v>
      </c>
      <c r="BO1269" t="s">
        <v>9078</v>
      </c>
      <c r="BP1269" t="s">
        <v>1206</v>
      </c>
      <c r="BQ1269" t="s">
        <v>1214</v>
      </c>
      <c r="BR1269" t="s">
        <v>100</v>
      </c>
      <c r="BS1269" s="5">
        <v>7311</v>
      </c>
      <c r="BT1269" s="2">
        <v>77000</v>
      </c>
      <c r="BV1269" t="s">
        <v>105</v>
      </c>
      <c r="BW1269" s="2">
        <v>67766</v>
      </c>
      <c r="BX1269" t="s">
        <v>105</v>
      </c>
      <c r="BZ1269" t="s">
        <v>167</v>
      </c>
      <c r="CA1269" t="str">
        <f t="shared" si="100"/>
        <v>7/1/2020 - 6/30/2021</v>
      </c>
      <c r="CF1269">
        <v>2</v>
      </c>
      <c r="CG1269" t="s">
        <v>98</v>
      </c>
      <c r="CH1269" t="s">
        <v>206</v>
      </c>
      <c r="CI1269" t="s">
        <v>206</v>
      </c>
      <c r="CL1269" t="s">
        <v>108</v>
      </c>
      <c r="CM1269" t="s">
        <v>109</v>
      </c>
      <c r="CN1269" t="str">
        <f>"FORTUNE"</f>
        <v>FORTUNE</v>
      </c>
      <c r="CO1269" t="str">
        <f>"KEESHA"</f>
        <v>KEESHA</v>
      </c>
      <c r="CP1269" t="str">
        <f>"L."</f>
        <v>L.</v>
      </c>
      <c r="CQ1269" t="str">
        <f>"FRAGOMEN, DEL REY, BERNSEN &amp; LOEWY, LLP"</f>
        <v>FRAGOMEN, DEL REY, BERNSEN &amp; LOEWY, LLP</v>
      </c>
      <c r="CR1269" t="s">
        <v>172</v>
      </c>
    </row>
    <row r="1270" spans="1:96" x14ac:dyDescent="0.2">
      <c r="A1270" t="s">
        <v>12011</v>
      </c>
      <c r="B1270" t="s">
        <v>96</v>
      </c>
      <c r="C1270" s="1">
        <v>44098</v>
      </c>
      <c r="D1270" s="1">
        <v>44105</v>
      </c>
      <c r="F1270" t="s">
        <v>97</v>
      </c>
      <c r="G1270" t="str">
        <f>"Software Developer"</f>
        <v>Software Developer</v>
      </c>
      <c r="H1270" t="s">
        <v>12169</v>
      </c>
      <c r="I1270" t="s">
        <v>124</v>
      </c>
      <c r="J1270" t="s">
        <v>98</v>
      </c>
      <c r="K1270" s="1">
        <v>44105</v>
      </c>
      <c r="L1270" s="1">
        <v>45199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5926</v>
      </c>
      <c r="U1270" t="str">
        <f>""</f>
        <v/>
      </c>
      <c r="V1270" t="s">
        <v>5927</v>
      </c>
      <c r="W1270" t="str">
        <f>"Suite 2010"</f>
        <v>Suite 2010</v>
      </c>
      <c r="X1270" t="s">
        <v>483</v>
      </c>
      <c r="Y1270" t="s">
        <v>114</v>
      </c>
      <c r="Z1270" s="3">
        <v>75063</v>
      </c>
      <c r="AA1270" t="s">
        <v>101</v>
      </c>
      <c r="AC1270" s="4" t="str">
        <f>"+14699554432"</f>
        <v>+14699554432</v>
      </c>
      <c r="AE1270" t="str">
        <f>"541511"</f>
        <v>541511</v>
      </c>
      <c r="AF1270" t="s">
        <v>1245</v>
      </c>
      <c r="AG1270" t="s">
        <v>5349</v>
      </c>
      <c r="AH1270" t="s">
        <v>714</v>
      </c>
      <c r="AI1270" t="s">
        <v>4107</v>
      </c>
      <c r="AJ1270" t="s">
        <v>5927</v>
      </c>
      <c r="AK1270" t="str">
        <f>"Suite 2010"</f>
        <v>Suite 2010</v>
      </c>
      <c r="AL1270" t="s">
        <v>483</v>
      </c>
      <c r="AM1270" t="s">
        <v>114</v>
      </c>
      <c r="AN1270" s="3">
        <v>75063</v>
      </c>
      <c r="AO1270" t="s">
        <v>101</v>
      </c>
      <c r="AQ1270" t="str">
        <f>"+14699554432"</f>
        <v>+14699554432</v>
      </c>
      <c r="AS1270" t="s">
        <v>5928</v>
      </c>
      <c r="AT1270" t="s">
        <v>102</v>
      </c>
      <c r="AU1270" t="str">
        <f>""</f>
        <v/>
      </c>
      <c r="AV1270" t="str">
        <f>""</f>
        <v/>
      </c>
      <c r="AW1270" t="str">
        <f>""</f>
        <v/>
      </c>
      <c r="AX1270" t="str">
        <f>""</f>
        <v/>
      </c>
      <c r="AY1270" t="str">
        <f>""</f>
        <v/>
      </c>
      <c r="AZ1270" t="str">
        <f>""</f>
        <v/>
      </c>
      <c r="BA1270" t="str">
        <f>""</f>
        <v/>
      </c>
      <c r="BC1270" t="str">
        <f>""</f>
        <v/>
      </c>
      <c r="BD1270" t="str">
        <f>""</f>
        <v/>
      </c>
      <c r="BE1270" t="str">
        <f>""</f>
        <v/>
      </c>
      <c r="BF1270" t="str">
        <f>""</f>
        <v/>
      </c>
      <c r="BG1270" t="str">
        <f>""</f>
        <v/>
      </c>
      <c r="BH1270" t="str">
        <f>""</f>
        <v/>
      </c>
      <c r="BI1270" t="str">
        <f>""</f>
        <v/>
      </c>
      <c r="BJ1270" t="str">
        <f>""</f>
        <v/>
      </c>
      <c r="BK1270">
        <v>1</v>
      </c>
      <c r="BL1270" t="s">
        <v>107</v>
      </c>
      <c r="BM1270" t="str">
        <f>"Union Bank"</f>
        <v>Union Bank</v>
      </c>
      <c r="BN1270" t="s">
        <v>12012</v>
      </c>
      <c r="BP1270" t="s">
        <v>604</v>
      </c>
      <c r="BQ1270" t="s">
        <v>121</v>
      </c>
      <c r="BR1270" t="s">
        <v>122</v>
      </c>
      <c r="BS1270" s="5">
        <v>28277</v>
      </c>
      <c r="BT1270" s="2">
        <v>85488</v>
      </c>
      <c r="BU1270" s="2">
        <v>85500</v>
      </c>
      <c r="BV1270" t="s">
        <v>105</v>
      </c>
      <c r="BW1270" s="2">
        <v>85488</v>
      </c>
      <c r="BX1270" t="s">
        <v>105</v>
      </c>
      <c r="BZ1270" t="s">
        <v>167</v>
      </c>
      <c r="CA1270" t="str">
        <f t="shared" si="100"/>
        <v>7/1/2020 - 6/30/2021</v>
      </c>
      <c r="CF1270">
        <v>1</v>
      </c>
      <c r="CG1270" t="s">
        <v>98</v>
      </c>
      <c r="CH1270" t="s">
        <v>206</v>
      </c>
      <c r="CI1270" t="s">
        <v>206</v>
      </c>
      <c r="CL1270" t="s">
        <v>108</v>
      </c>
      <c r="CM1270" t="s">
        <v>109</v>
      </c>
      <c r="CN1270" t="str">
        <f>"Kumar"</f>
        <v>Kumar</v>
      </c>
      <c r="CO1270" t="str">
        <f>"Satish"</f>
        <v>Satish</v>
      </c>
      <c r="CP1270" t="str">
        <f>"G"</f>
        <v>G</v>
      </c>
      <c r="CQ1270" t="str">
        <f>"10Bits, LLC"</f>
        <v>10Bits, LLC</v>
      </c>
      <c r="CR1270" t="s">
        <v>5928</v>
      </c>
    </row>
    <row r="1271" spans="1:96" x14ac:dyDescent="0.2">
      <c r="A1271" t="s">
        <v>12015</v>
      </c>
      <c r="B1271" t="s">
        <v>96</v>
      </c>
      <c r="C1271" s="1">
        <v>44098</v>
      </c>
      <c r="D1271" s="1">
        <v>44105</v>
      </c>
      <c r="F1271" t="s">
        <v>97</v>
      </c>
      <c r="G1271" t="str">
        <f>"Sr. Software Development Engineer in Test (SDET)"</f>
        <v>Sr. Software Development Engineer in Test (SDET)</v>
      </c>
      <c r="H1271" t="s">
        <v>12169</v>
      </c>
      <c r="I1271" t="s">
        <v>124</v>
      </c>
      <c r="J1271" t="s">
        <v>98</v>
      </c>
      <c r="K1271" s="1">
        <v>44104</v>
      </c>
      <c r="L1271" s="1">
        <v>45198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8541</v>
      </c>
      <c r="U1271" t="str">
        <f>""</f>
        <v/>
      </c>
      <c r="V1271" t="s">
        <v>6117</v>
      </c>
      <c r="W1271" t="str">
        <f>"Suite B352"</f>
        <v>Suite B352</v>
      </c>
      <c r="X1271" t="s">
        <v>2696</v>
      </c>
      <c r="Y1271" t="s">
        <v>114</v>
      </c>
      <c r="Z1271" s="3">
        <v>75234</v>
      </c>
      <c r="AA1271" t="s">
        <v>101</v>
      </c>
      <c r="AC1271" s="4" t="str">
        <f>"+14694449101"</f>
        <v>+14694449101</v>
      </c>
      <c r="AE1271" t="str">
        <f>"541511"</f>
        <v>541511</v>
      </c>
      <c r="AF1271" t="s">
        <v>4611</v>
      </c>
      <c r="AG1271" t="s">
        <v>8542</v>
      </c>
      <c r="AI1271" t="s">
        <v>508</v>
      </c>
      <c r="AJ1271" t="s">
        <v>6117</v>
      </c>
      <c r="AK1271" t="str">
        <f>"Suite B352"</f>
        <v>Suite B352</v>
      </c>
      <c r="AL1271" t="s">
        <v>2696</v>
      </c>
      <c r="AM1271" t="s">
        <v>114</v>
      </c>
      <c r="AN1271" s="3">
        <v>75234</v>
      </c>
      <c r="AO1271" t="s">
        <v>101</v>
      </c>
      <c r="AQ1271" t="str">
        <f>"+14694449101"</f>
        <v>+14694449101</v>
      </c>
      <c r="AS1271" t="s">
        <v>8543</v>
      </c>
      <c r="AT1271" t="s">
        <v>107</v>
      </c>
      <c r="AU1271" t="str">
        <f>"PARVATHANENI"</f>
        <v>PARVATHANENI</v>
      </c>
      <c r="AV1271" t="str">
        <f>"D. CHAND"</f>
        <v>D. CHAND</v>
      </c>
      <c r="AW1271" t="str">
        <f>""</f>
        <v/>
      </c>
      <c r="AX1271" t="str">
        <f>"3010 LBJ Freeway"</f>
        <v>3010 LBJ Freeway</v>
      </c>
      <c r="AY1271" t="str">
        <f>"Suite#130"</f>
        <v>Suite#130</v>
      </c>
      <c r="AZ1271" t="str">
        <f>"Dallas"</f>
        <v>Dallas</v>
      </c>
      <c r="BA1271" t="str">
        <f>"TX"</f>
        <v>TX</v>
      </c>
      <c r="BB1271" s="3">
        <v>75234</v>
      </c>
      <c r="BC1271" t="str">
        <f>"UNITED STATES OF AMERICA"</f>
        <v>UNITED STATES OF AMERICA</v>
      </c>
      <c r="BD1271" t="str">
        <f>""</f>
        <v/>
      </c>
      <c r="BE1271" t="str">
        <f>"+19723751000"</f>
        <v>+19723751000</v>
      </c>
      <c r="BF1271" t="str">
        <f>""</f>
        <v/>
      </c>
      <c r="BG1271" t="str">
        <f>"chand@spblawfirm.com"</f>
        <v>chand@spblawfirm.com</v>
      </c>
      <c r="BH1271" t="str">
        <f>"THE LAW FIRM OF SIM, PARVATHANENI AND BROWN PLLC"</f>
        <v>THE LAW FIRM OF SIM, PARVATHANENI AND BROWN PLLC</v>
      </c>
      <c r="BI1271" t="str">
        <f>"TX"</f>
        <v>TX</v>
      </c>
      <c r="BJ1271" t="str">
        <f>"SUPREME COURT OF TEXAS"</f>
        <v>SUPREME COURT OF TEXAS</v>
      </c>
      <c r="BK1271">
        <v>1</v>
      </c>
      <c r="BL1271" t="s">
        <v>107</v>
      </c>
      <c r="BM1271" t="str">
        <f>"Capital One"</f>
        <v>Capital One</v>
      </c>
      <c r="BN1271" t="s">
        <v>10387</v>
      </c>
      <c r="BP1271" t="s">
        <v>3767</v>
      </c>
      <c r="BQ1271" t="s">
        <v>454</v>
      </c>
      <c r="BR1271" t="s">
        <v>135</v>
      </c>
      <c r="BS1271" s="5">
        <v>22102</v>
      </c>
      <c r="BT1271" s="2">
        <v>100000</v>
      </c>
      <c r="BV1271" t="s">
        <v>105</v>
      </c>
      <c r="BW1271" s="2">
        <v>97406</v>
      </c>
      <c r="BX1271" t="s">
        <v>105</v>
      </c>
      <c r="BZ1271" t="s">
        <v>167</v>
      </c>
      <c r="CA1271" t="str">
        <f t="shared" si="100"/>
        <v>7/1/2020 - 6/30/2021</v>
      </c>
      <c r="CF1271">
        <v>2</v>
      </c>
      <c r="CG1271" t="s">
        <v>98</v>
      </c>
      <c r="CH1271" t="s">
        <v>206</v>
      </c>
      <c r="CI1271" t="s">
        <v>206</v>
      </c>
      <c r="CL1271" t="s">
        <v>108</v>
      </c>
      <c r="CM1271" t="s">
        <v>109</v>
      </c>
      <c r="CN1271" t="str">
        <f>""</f>
        <v/>
      </c>
      <c r="CO1271" t="str">
        <f>""</f>
        <v/>
      </c>
      <c r="CP1271" t="str">
        <f>""</f>
        <v/>
      </c>
      <c r="CQ1271" t="str">
        <f>""</f>
        <v/>
      </c>
    </row>
    <row r="1272" spans="1:96" x14ac:dyDescent="0.2">
      <c r="A1272" t="s">
        <v>12016</v>
      </c>
      <c r="B1272" t="s">
        <v>96</v>
      </c>
      <c r="C1272" s="1">
        <v>44098</v>
      </c>
      <c r="D1272" s="1">
        <v>44105</v>
      </c>
      <c r="F1272" t="s">
        <v>97</v>
      </c>
      <c r="G1272" t="str">
        <f>"Senior Program Manager"</f>
        <v>Senior Program Manager</v>
      </c>
      <c r="H1272" t="s">
        <v>12169</v>
      </c>
      <c r="I1272" t="s">
        <v>124</v>
      </c>
      <c r="J1272" t="s">
        <v>98</v>
      </c>
      <c r="K1272" s="1">
        <v>44105</v>
      </c>
      <c r="L1272" s="1">
        <v>45199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 t="s">
        <v>173</v>
      </c>
      <c r="U1272" t="str">
        <f>""</f>
        <v/>
      </c>
      <c r="V1272" t="s">
        <v>174</v>
      </c>
      <c r="W1272" t="str">
        <f>"N/A"</f>
        <v>N/A</v>
      </c>
      <c r="X1272" t="s">
        <v>175</v>
      </c>
      <c r="Y1272" t="s">
        <v>176</v>
      </c>
      <c r="Z1272" s="3">
        <v>98052</v>
      </c>
      <c r="AA1272" t="s">
        <v>101</v>
      </c>
      <c r="AC1272" s="4" t="str">
        <f>"+14258828080"</f>
        <v>+14258828080</v>
      </c>
      <c r="AE1272" t="str">
        <f>"51121"</f>
        <v>51121</v>
      </c>
      <c r="AF1272" t="s">
        <v>177</v>
      </c>
      <c r="AG1272" t="s">
        <v>178</v>
      </c>
      <c r="AI1272" t="s">
        <v>179</v>
      </c>
      <c r="AJ1272" t="s">
        <v>174</v>
      </c>
      <c r="AK1272" t="str">
        <f>""</f>
        <v/>
      </c>
      <c r="AL1272" t="s">
        <v>175</v>
      </c>
      <c r="AM1272" t="s">
        <v>176</v>
      </c>
      <c r="AN1272" s="3">
        <v>98052</v>
      </c>
      <c r="AO1272" t="s">
        <v>101</v>
      </c>
      <c r="AQ1272" t="str">
        <f>"+14258828080"</f>
        <v>+14258828080</v>
      </c>
      <c r="AS1272" t="s">
        <v>180</v>
      </c>
      <c r="AT1272" t="s">
        <v>102</v>
      </c>
      <c r="AU1272" t="str">
        <f>""</f>
        <v/>
      </c>
      <c r="AV1272" t="str">
        <f>""</f>
        <v/>
      </c>
      <c r="AW1272" t="str">
        <f>""</f>
        <v/>
      </c>
      <c r="AX1272" t="str">
        <f>""</f>
        <v/>
      </c>
      <c r="AY1272" t="str">
        <f>""</f>
        <v/>
      </c>
      <c r="AZ1272" t="str">
        <f>""</f>
        <v/>
      </c>
      <c r="BA1272" t="str">
        <f>""</f>
        <v/>
      </c>
      <c r="BC1272" t="str">
        <f>""</f>
        <v/>
      </c>
      <c r="BD1272" t="str">
        <f>""</f>
        <v/>
      </c>
      <c r="BE1272" t="str">
        <f>""</f>
        <v/>
      </c>
      <c r="BF1272" t="str">
        <f>""</f>
        <v/>
      </c>
      <c r="BG1272" t="str">
        <f>""</f>
        <v/>
      </c>
      <c r="BH1272" t="str">
        <f>""</f>
        <v/>
      </c>
      <c r="BI1272" t="str">
        <f>""</f>
        <v/>
      </c>
      <c r="BJ1272" t="str">
        <f>""</f>
        <v/>
      </c>
      <c r="BK1272">
        <v>1</v>
      </c>
      <c r="BL1272" t="s">
        <v>102</v>
      </c>
      <c r="BM1272" t="str">
        <f>""</f>
        <v/>
      </c>
      <c r="BN1272" t="s">
        <v>181</v>
      </c>
      <c r="BP1272" t="s">
        <v>197</v>
      </c>
      <c r="BQ1272" t="s">
        <v>183</v>
      </c>
      <c r="BR1272" t="s">
        <v>176</v>
      </c>
      <c r="BS1272" s="5">
        <v>98008</v>
      </c>
      <c r="BT1272" s="2">
        <v>160860</v>
      </c>
      <c r="BV1272" t="s">
        <v>105</v>
      </c>
      <c r="BW1272" s="2">
        <v>134098</v>
      </c>
      <c r="BX1272" t="s">
        <v>105</v>
      </c>
      <c r="BZ1272" t="s">
        <v>123</v>
      </c>
      <c r="CA1272" t="str">
        <f t="shared" si="100"/>
        <v>7/1/2020 - 6/30/2021</v>
      </c>
      <c r="CF1272">
        <v>1</v>
      </c>
      <c r="CG1272" t="s">
        <v>98</v>
      </c>
      <c r="CH1272" t="s">
        <v>206</v>
      </c>
      <c r="CI1272" t="s">
        <v>206</v>
      </c>
      <c r="CL1272" t="s">
        <v>108</v>
      </c>
      <c r="CM1272" t="s">
        <v>109</v>
      </c>
      <c r="CN1272" t="str">
        <f>"DSOUZA"</f>
        <v>DSOUZA</v>
      </c>
      <c r="CO1272" t="str">
        <f>"MACLIFF"</f>
        <v>MACLIFF</v>
      </c>
      <c r="CP1272" t="str">
        <f>"N/A"</f>
        <v>N/A</v>
      </c>
      <c r="CQ1272" t="str">
        <f>"INTEGREON MANAGED SOLUTIONS (INDIA) PVT LTD"</f>
        <v>INTEGREON MANAGED SOLUTIONS (INDIA) PVT LTD</v>
      </c>
      <c r="CR1272" t="s">
        <v>1842</v>
      </c>
    </row>
    <row r="1273" spans="1:96" x14ac:dyDescent="0.2">
      <c r="A1273" t="s">
        <v>12018</v>
      </c>
      <c r="B1273" t="s">
        <v>96</v>
      </c>
      <c r="C1273" s="1">
        <v>44098</v>
      </c>
      <c r="D1273" s="1">
        <v>44105</v>
      </c>
      <c r="F1273" t="s">
        <v>97</v>
      </c>
      <c r="G1273" t="str">
        <f>"Principal Engineer"</f>
        <v>Principal Engineer</v>
      </c>
      <c r="H1273" t="s">
        <v>12251</v>
      </c>
      <c r="I1273" t="s">
        <v>2603</v>
      </c>
      <c r="J1273" t="s">
        <v>98</v>
      </c>
      <c r="K1273" s="1">
        <v>44258</v>
      </c>
      <c r="L1273" s="1">
        <v>45353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 t="s">
        <v>6912</v>
      </c>
      <c r="U1273" t="str">
        <f>""</f>
        <v/>
      </c>
      <c r="V1273" t="s">
        <v>6913</v>
      </c>
      <c r="W1273" t="str">
        <f>""</f>
        <v/>
      </c>
      <c r="X1273" t="s">
        <v>3985</v>
      </c>
      <c r="Y1273" t="s">
        <v>114</v>
      </c>
      <c r="Z1273" s="3">
        <v>78238</v>
      </c>
      <c r="AA1273" t="s">
        <v>101</v>
      </c>
      <c r="AB1273" t="s">
        <v>2776</v>
      </c>
      <c r="AC1273" s="4" t="str">
        <f>"+12105222632"</f>
        <v>+12105222632</v>
      </c>
      <c r="AE1273" t="str">
        <f>"5417"</f>
        <v>5417</v>
      </c>
      <c r="AF1273" t="s">
        <v>6914</v>
      </c>
      <c r="AG1273" t="s">
        <v>1003</v>
      </c>
      <c r="AI1273" t="s">
        <v>6915</v>
      </c>
      <c r="AJ1273" t="s">
        <v>6913</v>
      </c>
      <c r="AK1273" t="str">
        <f>""</f>
        <v/>
      </c>
      <c r="AL1273" t="s">
        <v>1512</v>
      </c>
      <c r="AM1273" t="s">
        <v>114</v>
      </c>
      <c r="AN1273" s="3">
        <v>78238</v>
      </c>
      <c r="AO1273" t="s">
        <v>101</v>
      </c>
      <c r="AQ1273" t="str">
        <f>"+12105225325"</f>
        <v>+12105225325</v>
      </c>
      <c r="AS1273" t="s">
        <v>6916</v>
      </c>
      <c r="AT1273" t="s">
        <v>107</v>
      </c>
      <c r="AU1273" t="str">
        <f>"Schoonover"</f>
        <v>Schoonover</v>
      </c>
      <c r="AV1273" t="str">
        <f>"Martha"</f>
        <v>Martha</v>
      </c>
      <c r="AW1273" t="str">
        <f>"Jane"</f>
        <v>Jane</v>
      </c>
      <c r="AX1273" t="str">
        <f>"1750 Tysons Blvd."</f>
        <v>1750 Tysons Blvd.</v>
      </c>
      <c r="AY1273" t="str">
        <f>"Suite 1000"</f>
        <v>Suite 1000</v>
      </c>
      <c r="AZ1273" t="str">
        <f>"McLean"</f>
        <v>McLean</v>
      </c>
      <c r="BA1273" t="str">
        <f>"VA"</f>
        <v>VA</v>
      </c>
      <c r="BB1273" s="3">
        <v>22102</v>
      </c>
      <c r="BC1273" t="str">
        <f>"UNITED STATES OF AMERICA"</f>
        <v>UNITED STATES OF AMERICA</v>
      </c>
      <c r="BD1273" t="str">
        <f>""</f>
        <v/>
      </c>
      <c r="BE1273" t="str">
        <f>"+17037491374"</f>
        <v>+17037491374</v>
      </c>
      <c r="BF1273" t="str">
        <f>""</f>
        <v/>
      </c>
      <c r="BG1273" t="str">
        <f>"schoonoverm@gtlaw.com"</f>
        <v>schoonoverm@gtlaw.com</v>
      </c>
      <c r="BH1273" t="str">
        <f>"Greenberg Traurig LLP"</f>
        <v>Greenberg Traurig LLP</v>
      </c>
      <c r="BI1273" t="str">
        <f>"DC"</f>
        <v>DC</v>
      </c>
      <c r="BJ1273" t="str">
        <f>"DC Court of Appeals"</f>
        <v>DC Court of Appeals</v>
      </c>
      <c r="BK1273">
        <v>1</v>
      </c>
      <c r="BL1273" t="s">
        <v>102</v>
      </c>
      <c r="BM1273" t="str">
        <f>""</f>
        <v/>
      </c>
      <c r="BN1273" t="s">
        <v>6917</v>
      </c>
      <c r="BP1273" t="s">
        <v>1512</v>
      </c>
      <c r="BQ1273" t="s">
        <v>1513</v>
      </c>
      <c r="BR1273" t="s">
        <v>114</v>
      </c>
      <c r="BS1273" s="5">
        <v>78238</v>
      </c>
      <c r="BT1273" s="2">
        <v>100000</v>
      </c>
      <c r="BU1273" s="2">
        <v>130000</v>
      </c>
      <c r="BV1273" t="s">
        <v>105</v>
      </c>
      <c r="BW1273" s="2">
        <v>39790</v>
      </c>
      <c r="BX1273" t="s">
        <v>105</v>
      </c>
      <c r="BZ1273" t="s">
        <v>159</v>
      </c>
      <c r="CA1273" t="str">
        <f t="shared" si="100"/>
        <v>7/1/2020 - 6/30/2021</v>
      </c>
      <c r="CF1273">
        <v>1</v>
      </c>
      <c r="CG1273" t="s">
        <v>98</v>
      </c>
      <c r="CH1273" t="s">
        <v>206</v>
      </c>
      <c r="CI1273" t="s">
        <v>206</v>
      </c>
      <c r="CL1273" t="s">
        <v>108</v>
      </c>
      <c r="CM1273" t="s">
        <v>109</v>
      </c>
      <c r="CN1273" t="str">
        <f>"Bolayir"</f>
        <v>Bolayir</v>
      </c>
      <c r="CO1273" t="str">
        <f>"Kristin"</f>
        <v>Kristin</v>
      </c>
      <c r="CP1273" t="str">
        <f>"L"</f>
        <v>L</v>
      </c>
      <c r="CQ1273" t="str">
        <f>"Greenberg Traurig LLP"</f>
        <v>Greenberg Traurig LLP</v>
      </c>
      <c r="CR1273" t="s">
        <v>397</v>
      </c>
    </row>
    <row r="1274" spans="1:96" x14ac:dyDescent="0.2">
      <c r="A1274" t="s">
        <v>12019</v>
      </c>
      <c r="B1274" t="s">
        <v>96</v>
      </c>
      <c r="C1274" s="1">
        <v>44098</v>
      </c>
      <c r="D1274" s="1">
        <v>44105</v>
      </c>
      <c r="F1274" t="s">
        <v>97</v>
      </c>
      <c r="G1274" t="str">
        <f>"OCCUPATIONAL THERAPIST"</f>
        <v>OCCUPATIONAL THERAPIST</v>
      </c>
      <c r="H1274" t="s">
        <v>12287</v>
      </c>
      <c r="I1274" t="s">
        <v>4678</v>
      </c>
      <c r="J1274" t="s">
        <v>98</v>
      </c>
      <c r="K1274" s="1">
        <v>44105</v>
      </c>
      <c r="L1274" s="1">
        <v>45199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7920</v>
      </c>
      <c r="U1274" t="str">
        <f>""</f>
        <v/>
      </c>
      <c r="V1274" t="s">
        <v>7921</v>
      </c>
      <c r="W1274" t="str">
        <f>"SUITE #173"</f>
        <v>SUITE #173</v>
      </c>
      <c r="X1274" t="s">
        <v>2128</v>
      </c>
      <c r="Y1274" t="s">
        <v>141</v>
      </c>
      <c r="Z1274" s="3">
        <v>93063</v>
      </c>
      <c r="AA1274" t="s">
        <v>101</v>
      </c>
      <c r="AC1274" s="4" t="str">
        <f>"+18183145774"</f>
        <v>+18183145774</v>
      </c>
      <c r="AE1274" t="str">
        <f>"621340"</f>
        <v>621340</v>
      </c>
      <c r="AF1274" t="s">
        <v>2207</v>
      </c>
      <c r="AG1274" t="s">
        <v>7922</v>
      </c>
      <c r="AI1274" t="s">
        <v>425</v>
      </c>
      <c r="AJ1274" t="s">
        <v>7921</v>
      </c>
      <c r="AK1274" t="str">
        <f>"SUITE #173"</f>
        <v>SUITE #173</v>
      </c>
      <c r="AL1274" t="s">
        <v>2128</v>
      </c>
      <c r="AM1274" t="s">
        <v>141</v>
      </c>
      <c r="AN1274" s="3">
        <v>93063</v>
      </c>
      <c r="AO1274" t="s">
        <v>101</v>
      </c>
      <c r="AQ1274" t="str">
        <f>"+18183145774"</f>
        <v>+18183145774</v>
      </c>
      <c r="AS1274" t="s">
        <v>12020</v>
      </c>
      <c r="AT1274" t="s">
        <v>107</v>
      </c>
      <c r="AU1274" t="str">
        <f>"LEE"</f>
        <v>LEE</v>
      </c>
      <c r="AV1274" t="str">
        <f>"ROBERT"</f>
        <v>ROBERT</v>
      </c>
      <c r="AW1274" t="str">
        <f>""</f>
        <v/>
      </c>
      <c r="AX1274" t="str">
        <f>"8220 KATELLA AVE"</f>
        <v>8220 KATELLA AVE</v>
      </c>
      <c r="AY1274" t="str">
        <f>"SUITE 214"</f>
        <v>SUITE 214</v>
      </c>
      <c r="AZ1274" t="str">
        <f>"STANTON"</f>
        <v>STANTON</v>
      </c>
      <c r="BA1274" t="str">
        <f>"CA"</f>
        <v>CA</v>
      </c>
      <c r="BB1274" s="3">
        <v>90680</v>
      </c>
      <c r="BC1274" t="str">
        <f>"UNITED STATES OF AMERICA"</f>
        <v>UNITED STATES OF AMERICA</v>
      </c>
      <c r="BD1274" t="str">
        <f>""</f>
        <v/>
      </c>
      <c r="BE1274" t="str">
        <f>"+17146577460"</f>
        <v>+17146577460</v>
      </c>
      <c r="BF1274" t="str">
        <f>""</f>
        <v/>
      </c>
      <c r="BG1274" t="str">
        <f>"NICK@GLOBALLAWCENTERS.COM"</f>
        <v>NICK@GLOBALLAWCENTERS.COM</v>
      </c>
      <c r="BH1274" t="str">
        <f>"GLOBAL LAW CENTERS"</f>
        <v>GLOBAL LAW CENTERS</v>
      </c>
      <c r="BI1274" t="str">
        <f>"CA"</f>
        <v>CA</v>
      </c>
      <c r="BJ1274" t="str">
        <f>"CALIFORNIA SUPREME COURT"</f>
        <v>CALIFORNIA SUPREME COURT</v>
      </c>
      <c r="BK1274">
        <v>1</v>
      </c>
      <c r="BL1274" t="s">
        <v>102</v>
      </c>
      <c r="BM1274" t="str">
        <f>""</f>
        <v/>
      </c>
      <c r="BN1274" t="s">
        <v>12021</v>
      </c>
      <c r="BP1274" t="s">
        <v>651</v>
      </c>
      <c r="BQ1274" t="s">
        <v>230</v>
      </c>
      <c r="BR1274" t="s">
        <v>141</v>
      </c>
      <c r="BS1274" s="5">
        <v>95125</v>
      </c>
      <c r="BT1274" s="2">
        <v>48</v>
      </c>
      <c r="BV1274" t="s">
        <v>210</v>
      </c>
      <c r="BW1274" s="2">
        <v>41.98</v>
      </c>
      <c r="BX1274" t="s">
        <v>210</v>
      </c>
      <c r="BZ1274" t="s">
        <v>167</v>
      </c>
      <c r="CA1274" t="str">
        <f t="shared" si="100"/>
        <v>7/1/2020 - 6/30/2021</v>
      </c>
      <c r="CF1274">
        <v>1</v>
      </c>
      <c r="CG1274" t="s">
        <v>98</v>
      </c>
      <c r="CH1274" t="s">
        <v>206</v>
      </c>
      <c r="CI1274" t="s">
        <v>206</v>
      </c>
      <c r="CL1274" t="s">
        <v>108</v>
      </c>
      <c r="CM1274" t="s">
        <v>109</v>
      </c>
      <c r="CN1274" t="str">
        <f>""</f>
        <v/>
      </c>
      <c r="CO1274" t="str">
        <f>""</f>
        <v/>
      </c>
      <c r="CP1274" t="str">
        <f>""</f>
        <v/>
      </c>
      <c r="CQ1274" t="str">
        <f>""</f>
        <v/>
      </c>
    </row>
    <row r="1275" spans="1:96" x14ac:dyDescent="0.2">
      <c r="A1275" t="s">
        <v>12023</v>
      </c>
      <c r="B1275" t="s">
        <v>96</v>
      </c>
      <c r="C1275" s="1">
        <v>44098</v>
      </c>
      <c r="D1275" s="1">
        <v>44105</v>
      </c>
      <c r="F1275" t="s">
        <v>97</v>
      </c>
      <c r="G1275" t="str">
        <f>"Business Systems Analyst IV"</f>
        <v>Business Systems Analyst IV</v>
      </c>
      <c r="H1275" t="s">
        <v>12181</v>
      </c>
      <c r="I1275" t="s">
        <v>110</v>
      </c>
      <c r="J1275" t="s">
        <v>98</v>
      </c>
      <c r="K1275" s="1">
        <v>44188</v>
      </c>
      <c r="L1275" s="1">
        <v>45282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 t="s">
        <v>3421</v>
      </c>
      <c r="U1275" t="str">
        <f>""</f>
        <v/>
      </c>
      <c r="V1275" t="s">
        <v>9749</v>
      </c>
      <c r="W1275" t="str">
        <f>""</f>
        <v/>
      </c>
      <c r="X1275" t="s">
        <v>9750</v>
      </c>
      <c r="Y1275" t="s">
        <v>345</v>
      </c>
      <c r="Z1275" s="3">
        <v>60169</v>
      </c>
      <c r="AA1275" t="s">
        <v>101</v>
      </c>
      <c r="AC1275" s="4" t="str">
        <f>"+18474854719"</f>
        <v>+18474854719</v>
      </c>
      <c r="AE1275" t="str">
        <f>"541519"</f>
        <v>541519</v>
      </c>
      <c r="AF1275" t="s">
        <v>3422</v>
      </c>
      <c r="AG1275" t="s">
        <v>9751</v>
      </c>
      <c r="AI1275" t="s">
        <v>9752</v>
      </c>
      <c r="AJ1275" t="s">
        <v>9749</v>
      </c>
      <c r="AK1275" t="str">
        <f>""</f>
        <v/>
      </c>
      <c r="AL1275" t="s">
        <v>9750</v>
      </c>
      <c r="AM1275" t="s">
        <v>345</v>
      </c>
      <c r="AN1275" s="3">
        <v>60169</v>
      </c>
      <c r="AO1275" t="s">
        <v>101</v>
      </c>
      <c r="AQ1275" t="str">
        <f>"+18474854719"</f>
        <v>+18474854719</v>
      </c>
      <c r="AS1275" t="s">
        <v>3423</v>
      </c>
      <c r="AT1275" t="s">
        <v>107</v>
      </c>
      <c r="AU1275" t="str">
        <f>"Basaman"</f>
        <v>Basaman</v>
      </c>
      <c r="AV1275" t="str">
        <f>"Christopher "</f>
        <v xml:space="preserve">Christopher </v>
      </c>
      <c r="AW1275" t="str">
        <f>"W."</f>
        <v>W.</v>
      </c>
      <c r="AX1275" t="str">
        <f>"90 Matawan Road "</f>
        <v xml:space="preserve">90 Matawan Road </v>
      </c>
      <c r="AY1275" t="str">
        <f>"4th Floor"</f>
        <v>4th Floor</v>
      </c>
      <c r="AZ1275" t="str">
        <f>"Matawan "</f>
        <v xml:space="preserve">Matawan </v>
      </c>
      <c r="BA1275" t="str">
        <f>"NJ"</f>
        <v>NJ</v>
      </c>
      <c r="BB1275" s="3">
        <v>7747</v>
      </c>
      <c r="BC1275" t="str">
        <f>"UNITED STATES OF AMERICA"</f>
        <v>UNITED STATES OF AMERICA</v>
      </c>
      <c r="BD1275" t="str">
        <f>""</f>
        <v/>
      </c>
      <c r="BE1275" t="str">
        <f>"+17328625000"</f>
        <v>+17328625000</v>
      </c>
      <c r="BF1275" t="str">
        <f>"5148"</f>
        <v>5148</v>
      </c>
      <c r="BG1275" t="str">
        <f>"dcascella@fragomen.com"</f>
        <v>dcascella@fragomen.com</v>
      </c>
      <c r="BH1275" t="str">
        <f>"Fragomen, Del Rey, Bernsen &amp; Loewy, LLP"</f>
        <v>Fragomen, Del Rey, Bernsen &amp; Loewy, LLP</v>
      </c>
      <c r="BI1275" t="str">
        <f>"NJ"</f>
        <v>NJ</v>
      </c>
      <c r="BJ1275" t="str">
        <f>"Supreme Court "</f>
        <v xml:space="preserve">Supreme Court </v>
      </c>
      <c r="BK1275">
        <v>1</v>
      </c>
      <c r="BL1275" t="s">
        <v>102</v>
      </c>
      <c r="BM1275" t="str">
        <f>""</f>
        <v/>
      </c>
      <c r="BN1275" t="s">
        <v>9749</v>
      </c>
      <c r="BP1275" t="s">
        <v>9750</v>
      </c>
      <c r="BQ1275" t="s">
        <v>788</v>
      </c>
      <c r="BR1275" t="s">
        <v>345</v>
      </c>
      <c r="BS1275" s="5">
        <v>60169</v>
      </c>
      <c r="BT1275" s="2">
        <v>107515</v>
      </c>
      <c r="BU1275" s="2">
        <v>131500</v>
      </c>
      <c r="BV1275" t="s">
        <v>105</v>
      </c>
      <c r="BW1275" s="2">
        <v>107515</v>
      </c>
      <c r="BX1275" t="s">
        <v>105</v>
      </c>
      <c r="BZ1275" t="s">
        <v>159</v>
      </c>
      <c r="CA1275" t="str">
        <f t="shared" si="100"/>
        <v>7/1/2020 - 6/30/2021</v>
      </c>
      <c r="CF1275">
        <v>2</v>
      </c>
      <c r="CG1275" t="s">
        <v>98</v>
      </c>
      <c r="CH1275" t="s">
        <v>206</v>
      </c>
      <c r="CI1275" t="s">
        <v>206</v>
      </c>
      <c r="CL1275" t="s">
        <v>108</v>
      </c>
      <c r="CM1275" t="s">
        <v>109</v>
      </c>
      <c r="CN1275" t="str">
        <f>""</f>
        <v/>
      </c>
      <c r="CO1275" t="str">
        <f>""</f>
        <v/>
      </c>
      <c r="CP1275" t="str">
        <f>""</f>
        <v/>
      </c>
      <c r="CQ1275" t="str">
        <f>""</f>
        <v/>
      </c>
    </row>
    <row r="1276" spans="1:96" x14ac:dyDescent="0.2">
      <c r="A1276" t="s">
        <v>12034</v>
      </c>
      <c r="B1276" t="s">
        <v>96</v>
      </c>
      <c r="C1276" s="1">
        <v>44098</v>
      </c>
      <c r="D1276" s="1">
        <v>44105</v>
      </c>
      <c r="F1276" t="s">
        <v>97</v>
      </c>
      <c r="G1276" t="str">
        <f>"Group Purchasing Manager, Battery Cell"</f>
        <v>Group Purchasing Manager, Battery Cell</v>
      </c>
      <c r="H1276" t="s">
        <v>12288</v>
      </c>
      <c r="I1276" t="s">
        <v>4652</v>
      </c>
      <c r="J1276" t="s">
        <v>98</v>
      </c>
      <c r="K1276" s="1">
        <v>44109</v>
      </c>
      <c r="L1276" s="1">
        <v>45203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1760</v>
      </c>
      <c r="U1276" t="str">
        <f>""</f>
        <v/>
      </c>
      <c r="V1276" t="s">
        <v>1761</v>
      </c>
      <c r="W1276" t="str">
        <f>""</f>
        <v/>
      </c>
      <c r="X1276" t="s">
        <v>1594</v>
      </c>
      <c r="Y1276" t="s">
        <v>265</v>
      </c>
      <c r="Z1276" s="3">
        <v>48170</v>
      </c>
      <c r="AA1276" t="s">
        <v>101</v>
      </c>
      <c r="AC1276" s="4" t="str">
        <f>"+17348927091"</f>
        <v>+17348927091</v>
      </c>
      <c r="AE1276" t="str">
        <f>"336111"</f>
        <v>336111</v>
      </c>
      <c r="AF1276" t="s">
        <v>1762</v>
      </c>
      <c r="AG1276" t="s">
        <v>1648</v>
      </c>
      <c r="AI1276" t="s">
        <v>1763</v>
      </c>
      <c r="AJ1276" t="s">
        <v>1764</v>
      </c>
      <c r="AK1276" t="str">
        <f>"SUITE 10"</f>
        <v>SUITE 10</v>
      </c>
      <c r="AL1276" t="s">
        <v>651</v>
      </c>
      <c r="AM1276" t="s">
        <v>141</v>
      </c>
      <c r="AN1276" s="3">
        <v>95134</v>
      </c>
      <c r="AO1276" t="s">
        <v>101</v>
      </c>
      <c r="AQ1276" t="str">
        <f>"+17348927091"</f>
        <v>+17348927091</v>
      </c>
      <c r="AS1276" t="s">
        <v>1765</v>
      </c>
      <c r="AT1276" t="s">
        <v>107</v>
      </c>
      <c r="AU1276" t="str">
        <f>"Meerschwam"</f>
        <v>Meerschwam</v>
      </c>
      <c r="AV1276" t="str">
        <f>"Aviva"</f>
        <v>Aviva</v>
      </c>
      <c r="AW1276" t="str">
        <f>""</f>
        <v/>
      </c>
      <c r="AX1276" t="str">
        <f>"1400 Broadway"</f>
        <v>1400 Broadway</v>
      </c>
      <c r="AY1276" t="str">
        <f>"9th Floor"</f>
        <v>9th Floor</v>
      </c>
      <c r="AZ1276" t="str">
        <f>"New York"</f>
        <v>New York</v>
      </c>
      <c r="BA1276" t="str">
        <f>"NY"</f>
        <v>NY</v>
      </c>
      <c r="BB1276" s="3">
        <v>10018</v>
      </c>
      <c r="BC1276" t="str">
        <f>"UNITED STATES OF AMERICA"</f>
        <v>UNITED STATES OF AMERICA</v>
      </c>
      <c r="BD1276" t="str">
        <f>""</f>
        <v/>
      </c>
      <c r="BE1276" t="str">
        <f>"+12126888555"</f>
        <v>+12126888555</v>
      </c>
      <c r="BF1276" t="str">
        <f>""</f>
        <v/>
      </c>
      <c r="BG1276" t="str">
        <f>"tina.beak@fragomen.com"</f>
        <v>tina.beak@fragomen.com</v>
      </c>
      <c r="BH1276" t="str">
        <f>"FRAGOMEN, DEL REY, BERNSEN &amp; LOEWY LLP"</f>
        <v>FRAGOMEN, DEL REY, BERNSEN &amp; LOEWY LLP</v>
      </c>
      <c r="BI1276" t="str">
        <f>"NY"</f>
        <v>NY</v>
      </c>
      <c r="BJ1276" t="str">
        <f>"APPELLATE DIVISION, FIRST JUDICIAL DEPARTMENT"</f>
        <v>APPELLATE DIVISION, FIRST JUDICIAL DEPARTMENT</v>
      </c>
      <c r="BK1276">
        <v>1</v>
      </c>
      <c r="BL1276" t="s">
        <v>102</v>
      </c>
      <c r="BM1276" t="str">
        <f>""</f>
        <v/>
      </c>
      <c r="BN1276" t="s">
        <v>3276</v>
      </c>
      <c r="BP1276" t="s">
        <v>2078</v>
      </c>
      <c r="BQ1276" t="s">
        <v>377</v>
      </c>
      <c r="BR1276" t="s">
        <v>141</v>
      </c>
      <c r="BS1276" s="5">
        <v>92618</v>
      </c>
      <c r="BT1276" s="2">
        <v>185000</v>
      </c>
      <c r="BV1276" t="s">
        <v>105</v>
      </c>
      <c r="BW1276" s="2">
        <v>142834</v>
      </c>
      <c r="BX1276" t="s">
        <v>105</v>
      </c>
      <c r="BZ1276" t="s">
        <v>123</v>
      </c>
      <c r="CA1276" t="str">
        <f t="shared" si="100"/>
        <v>7/1/2020 - 6/30/2021</v>
      </c>
      <c r="CF1276">
        <v>1</v>
      </c>
      <c r="CG1276" t="s">
        <v>98</v>
      </c>
      <c r="CH1276" t="s">
        <v>206</v>
      </c>
      <c r="CI1276" t="s">
        <v>206</v>
      </c>
      <c r="CL1276" t="s">
        <v>108</v>
      </c>
      <c r="CM1276" t="s">
        <v>109</v>
      </c>
      <c r="CN1276" t="str">
        <f>""</f>
        <v/>
      </c>
      <c r="CO1276" t="str">
        <f>""</f>
        <v/>
      </c>
      <c r="CP1276" t="str">
        <f>""</f>
        <v/>
      </c>
      <c r="CQ1276" t="str">
        <f>""</f>
        <v/>
      </c>
    </row>
    <row r="1277" spans="1:96" x14ac:dyDescent="0.2">
      <c r="A1277" t="s">
        <v>12037</v>
      </c>
      <c r="B1277" t="s">
        <v>96</v>
      </c>
      <c r="C1277" s="1">
        <v>44098</v>
      </c>
      <c r="D1277" s="1">
        <v>44105</v>
      </c>
      <c r="F1277" t="s">
        <v>97</v>
      </c>
      <c r="G1277" t="str">
        <f>"Mechanical Engineer (6686.3932.8)"</f>
        <v>Mechanical Engineer (6686.3932.8)</v>
      </c>
      <c r="H1277" t="s">
        <v>12196</v>
      </c>
      <c r="I1277" t="s">
        <v>322</v>
      </c>
      <c r="J1277" t="s">
        <v>98</v>
      </c>
      <c r="K1277" s="1">
        <v>44105</v>
      </c>
      <c r="L1277" s="1">
        <v>45199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 t="s">
        <v>12038</v>
      </c>
      <c r="U1277" t="str">
        <f>""</f>
        <v/>
      </c>
      <c r="V1277" t="s">
        <v>7043</v>
      </c>
      <c r="W1277" t="str">
        <f>"1200"</f>
        <v>1200</v>
      </c>
      <c r="X1277" t="s">
        <v>595</v>
      </c>
      <c r="Y1277" t="s">
        <v>114</v>
      </c>
      <c r="Z1277" s="3">
        <v>75201</v>
      </c>
      <c r="AA1277" t="s">
        <v>101</v>
      </c>
      <c r="AB1277" t="s">
        <v>5160</v>
      </c>
      <c r="AC1277" s="4" t="str">
        <f>"+17202863016"</f>
        <v>+17202863016</v>
      </c>
      <c r="AE1277" t="str">
        <f>"237990"</f>
        <v>237990</v>
      </c>
      <c r="AF1277" t="s">
        <v>2346</v>
      </c>
      <c r="AG1277" t="s">
        <v>3395</v>
      </c>
      <c r="AI1277" t="s">
        <v>7044</v>
      </c>
      <c r="AJ1277" t="s">
        <v>12039</v>
      </c>
      <c r="AK1277" t="str">
        <f>""</f>
        <v/>
      </c>
      <c r="AL1277" t="s">
        <v>394</v>
      </c>
      <c r="AM1277" t="s">
        <v>114</v>
      </c>
      <c r="AN1277" s="3">
        <v>77072</v>
      </c>
      <c r="AO1277" t="s">
        <v>101</v>
      </c>
      <c r="AQ1277" t="str">
        <f>"+8323517229"</f>
        <v>+8323517229</v>
      </c>
      <c r="AS1277" t="s">
        <v>7045</v>
      </c>
      <c r="AT1277" t="s">
        <v>107</v>
      </c>
      <c r="AU1277" t="str">
        <f>"Barnes"</f>
        <v>Barnes</v>
      </c>
      <c r="AV1277" t="str">
        <f>"Ingrid"</f>
        <v>Ingrid</v>
      </c>
      <c r="AW1277" t="str">
        <f>"Kessinger"</f>
        <v>Kessinger</v>
      </c>
      <c r="AX1277" t="str">
        <f>"2400 N. Glenville Drive, Building A"</f>
        <v>2400 N. Glenville Drive, Building A</v>
      </c>
      <c r="AY1277" t="str">
        <f>"Suite 100"</f>
        <v>Suite 100</v>
      </c>
      <c r="AZ1277" t="str">
        <f>"Richardson"</f>
        <v>Richardson</v>
      </c>
      <c r="BA1277" t="str">
        <f>"TX"</f>
        <v>TX</v>
      </c>
      <c r="BB1277" s="3">
        <v>75082</v>
      </c>
      <c r="BC1277" t="str">
        <f>"UNITED STATES OF AMERICA"</f>
        <v>UNITED STATES OF AMERICA</v>
      </c>
      <c r="BD1277" t="str">
        <f>""</f>
        <v/>
      </c>
      <c r="BE1277" t="str">
        <f>"+14695052608"</f>
        <v>+14695052608</v>
      </c>
      <c r="BF1277" t="str">
        <f>""</f>
        <v/>
      </c>
      <c r="BG1277" t="str">
        <f>"rmedinarios@balglobal.com"</f>
        <v>rmedinarios@balglobal.com</v>
      </c>
      <c r="BH1277" t="str">
        <f>"Berry Appleman  &amp; Leiden LLP"</f>
        <v>Berry Appleman  &amp; Leiden LLP</v>
      </c>
      <c r="BI1277" t="str">
        <f>"TX"</f>
        <v>TX</v>
      </c>
      <c r="BJ1277" t="str">
        <f>"Supreme Court of Texas"</f>
        <v>Supreme Court of Texas</v>
      </c>
      <c r="BK1277">
        <v>1</v>
      </c>
      <c r="BL1277" t="s">
        <v>102</v>
      </c>
      <c r="BM1277" t="str">
        <f>""</f>
        <v/>
      </c>
      <c r="BN1277" t="s">
        <v>12040</v>
      </c>
      <c r="BP1277" t="s">
        <v>755</v>
      </c>
      <c r="BQ1277" t="s">
        <v>454</v>
      </c>
      <c r="BR1277" t="s">
        <v>135</v>
      </c>
      <c r="BS1277" s="5">
        <v>20171</v>
      </c>
      <c r="BT1277" s="2">
        <v>76500</v>
      </c>
      <c r="BV1277" t="s">
        <v>105</v>
      </c>
      <c r="BW1277" s="2">
        <v>73165</v>
      </c>
      <c r="BX1277" t="s">
        <v>105</v>
      </c>
      <c r="CA1277" t="str">
        <f>""</f>
        <v/>
      </c>
      <c r="CB1277" t="s">
        <v>244</v>
      </c>
      <c r="CC1277">
        <v>2020</v>
      </c>
      <c r="CD1277" t="s">
        <v>12041</v>
      </c>
      <c r="CE1277" t="s">
        <v>12042</v>
      </c>
      <c r="CF1277">
        <v>2</v>
      </c>
      <c r="CG1277" t="s">
        <v>98</v>
      </c>
      <c r="CH1277" t="s">
        <v>206</v>
      </c>
      <c r="CI1277" t="s">
        <v>206</v>
      </c>
      <c r="CL1277" t="s">
        <v>108</v>
      </c>
      <c r="CM1277" t="s">
        <v>109</v>
      </c>
      <c r="CN1277" t="str">
        <f>"Medina-Rios"</f>
        <v>Medina-Rios</v>
      </c>
      <c r="CO1277" t="str">
        <f>"Rachel"</f>
        <v>Rachel</v>
      </c>
      <c r="CP1277" t="str">
        <f>""</f>
        <v/>
      </c>
      <c r="CQ1277" t="str">
        <f>"Berry Appleman &amp; Leiden LLP"</f>
        <v>Berry Appleman &amp; Leiden LLP</v>
      </c>
      <c r="CR1277" t="s">
        <v>5476</v>
      </c>
    </row>
    <row r="1278" spans="1:96" x14ac:dyDescent="0.2">
      <c r="A1278" t="s">
        <v>12045</v>
      </c>
      <c r="B1278" t="s">
        <v>96</v>
      </c>
      <c r="C1278" s="1">
        <v>44098</v>
      </c>
      <c r="D1278" s="1">
        <v>44105</v>
      </c>
      <c r="F1278" t="s">
        <v>97</v>
      </c>
      <c r="G1278" t="str">
        <f>"Associate Research Scientist"</f>
        <v>Associate Research Scientist</v>
      </c>
      <c r="H1278" t="s">
        <v>12190</v>
      </c>
      <c r="I1278" t="s">
        <v>1072</v>
      </c>
      <c r="J1278" t="s">
        <v>98</v>
      </c>
      <c r="K1278" s="1">
        <v>44166</v>
      </c>
      <c r="L1278" s="1">
        <v>45260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 t="s">
        <v>487</v>
      </c>
      <c r="U1278" t="str">
        <f>""</f>
        <v/>
      </c>
      <c r="V1278" t="s">
        <v>488</v>
      </c>
      <c r="W1278" t="str">
        <f>"Box 57B"</f>
        <v>Box 57B</v>
      </c>
      <c r="X1278" t="s">
        <v>277</v>
      </c>
      <c r="Y1278" t="s">
        <v>190</v>
      </c>
      <c r="Z1278" s="3">
        <v>10032</v>
      </c>
      <c r="AA1278" t="s">
        <v>101</v>
      </c>
      <c r="AC1278" s="4" t="str">
        <f>"+12123058267"</f>
        <v>+12123058267</v>
      </c>
      <c r="AE1278" t="str">
        <f>"611310"</f>
        <v>611310</v>
      </c>
      <c r="AF1278" t="s">
        <v>489</v>
      </c>
      <c r="AG1278" t="s">
        <v>490</v>
      </c>
      <c r="AH1278" t="s">
        <v>491</v>
      </c>
      <c r="AI1278" t="s">
        <v>117</v>
      </c>
      <c r="AJ1278" t="s">
        <v>488</v>
      </c>
      <c r="AK1278" t="str">
        <f>"Box 57B"</f>
        <v>Box 57B</v>
      </c>
      <c r="AL1278" t="s">
        <v>277</v>
      </c>
      <c r="AM1278" t="s">
        <v>190</v>
      </c>
      <c r="AN1278" s="3">
        <v>10032</v>
      </c>
      <c r="AO1278" t="s">
        <v>101</v>
      </c>
      <c r="AQ1278" t="str">
        <f>"+12123058267"</f>
        <v>+12123058267</v>
      </c>
      <c r="AS1278" t="s">
        <v>492</v>
      </c>
      <c r="AT1278" t="s">
        <v>102</v>
      </c>
      <c r="AU1278" t="str">
        <f>""</f>
        <v/>
      </c>
      <c r="AV1278" t="str">
        <f>""</f>
        <v/>
      </c>
      <c r="AW1278" t="str">
        <f>""</f>
        <v/>
      </c>
      <c r="AX1278" t="str">
        <f>""</f>
        <v/>
      </c>
      <c r="AY1278" t="str">
        <f>""</f>
        <v/>
      </c>
      <c r="AZ1278" t="str">
        <f>""</f>
        <v/>
      </c>
      <c r="BA1278" t="str">
        <f>""</f>
        <v/>
      </c>
      <c r="BC1278" t="str">
        <f>""</f>
        <v/>
      </c>
      <c r="BD1278" t="str">
        <f>""</f>
        <v/>
      </c>
      <c r="BE1278" t="str">
        <f>""</f>
        <v/>
      </c>
      <c r="BF1278" t="str">
        <f>""</f>
        <v/>
      </c>
      <c r="BG1278" t="str">
        <f>""</f>
        <v/>
      </c>
      <c r="BH1278" t="str">
        <f>""</f>
        <v/>
      </c>
      <c r="BI1278" t="str">
        <f>""</f>
        <v/>
      </c>
      <c r="BJ1278" t="str">
        <f>""</f>
        <v/>
      </c>
      <c r="BK1278">
        <v>1</v>
      </c>
      <c r="BL1278" t="s">
        <v>102</v>
      </c>
      <c r="BM1278" t="str">
        <f>""</f>
        <v/>
      </c>
      <c r="BN1278" t="s">
        <v>488</v>
      </c>
      <c r="BP1278" t="s">
        <v>277</v>
      </c>
      <c r="BQ1278" t="s">
        <v>189</v>
      </c>
      <c r="BR1278" t="s">
        <v>190</v>
      </c>
      <c r="BS1278" s="5">
        <v>10032</v>
      </c>
      <c r="BT1278" s="2">
        <v>66100</v>
      </c>
      <c r="BV1278" t="s">
        <v>105</v>
      </c>
      <c r="BW1278" s="2">
        <v>66100</v>
      </c>
      <c r="BX1278" t="s">
        <v>105</v>
      </c>
      <c r="CA1278" t="str">
        <f>""</f>
        <v/>
      </c>
      <c r="CB1278" t="s">
        <v>106</v>
      </c>
      <c r="CC1278">
        <v>2020</v>
      </c>
      <c r="CF1278">
        <v>1</v>
      </c>
      <c r="CG1278" t="s">
        <v>98</v>
      </c>
      <c r="CH1278" t="s">
        <v>206</v>
      </c>
      <c r="CI1278" t="s">
        <v>206</v>
      </c>
      <c r="CL1278" t="s">
        <v>108</v>
      </c>
      <c r="CM1278" t="s">
        <v>109</v>
      </c>
      <c r="CN1278" t="str">
        <f>""</f>
        <v/>
      </c>
      <c r="CO1278" t="str">
        <f>""</f>
        <v/>
      </c>
      <c r="CP1278" t="str">
        <f>""</f>
        <v/>
      </c>
      <c r="CQ1278" t="str">
        <f>""</f>
        <v/>
      </c>
    </row>
    <row r="1279" spans="1:96" x14ac:dyDescent="0.2">
      <c r="A1279" t="s">
        <v>12048</v>
      </c>
      <c r="B1279" t="s">
        <v>96</v>
      </c>
      <c r="C1279" s="1">
        <v>44098</v>
      </c>
      <c r="D1279" s="1">
        <v>44105</v>
      </c>
      <c r="F1279" t="s">
        <v>97</v>
      </c>
      <c r="G1279" t="str">
        <f>"Marketing Operations Senior Specialist"</f>
        <v>Marketing Operations Senior Specialist</v>
      </c>
      <c r="H1279" t="s">
        <v>12174</v>
      </c>
      <c r="I1279" t="s">
        <v>1795</v>
      </c>
      <c r="J1279" t="s">
        <v>98</v>
      </c>
      <c r="K1279" s="1">
        <v>44105</v>
      </c>
      <c r="L1279" s="1">
        <v>45200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5143</v>
      </c>
      <c r="U1279" t="str">
        <f>""</f>
        <v/>
      </c>
      <c r="V1279" t="s">
        <v>1276</v>
      </c>
      <c r="W1279" t="str">
        <f>""</f>
        <v/>
      </c>
      <c r="X1279" t="s">
        <v>1277</v>
      </c>
      <c r="Y1279" t="s">
        <v>127</v>
      </c>
      <c r="Z1279" s="3">
        <v>19073</v>
      </c>
      <c r="AA1279" t="s">
        <v>101</v>
      </c>
      <c r="AC1279" s="4" t="str">
        <f>"+16106612354"</f>
        <v>+16106612354</v>
      </c>
      <c r="AE1279" t="str">
        <f>"54151"</f>
        <v>54151</v>
      </c>
      <c r="AF1279" t="s">
        <v>128</v>
      </c>
      <c r="AG1279" t="s">
        <v>129</v>
      </c>
      <c r="AH1279" t="s">
        <v>108</v>
      </c>
      <c r="AI1279" t="s">
        <v>130</v>
      </c>
      <c r="AJ1279" t="s">
        <v>1276</v>
      </c>
      <c r="AK1279" t="str">
        <f>"N/A"</f>
        <v>N/A</v>
      </c>
      <c r="AL1279" t="s">
        <v>1277</v>
      </c>
      <c r="AM1279" t="s">
        <v>127</v>
      </c>
      <c r="AN1279" s="3">
        <v>19073</v>
      </c>
      <c r="AO1279" t="s">
        <v>101</v>
      </c>
      <c r="AQ1279" t="str">
        <f>"+16106612354"</f>
        <v>+16106612354</v>
      </c>
      <c r="AS1279" t="s">
        <v>131</v>
      </c>
      <c r="AT1279" t="s">
        <v>107</v>
      </c>
      <c r="AU1279" t="str">
        <f>"RALSTON"</f>
        <v>RALSTON</v>
      </c>
      <c r="AV1279" t="str">
        <f>"C. WILLIAM"</f>
        <v>C. WILLIAM</v>
      </c>
      <c r="AW1279" t="str">
        <f>"N/A"</f>
        <v>N/A</v>
      </c>
      <c r="AX1279" t="str">
        <f>"90 Matawan Road"</f>
        <v>90 Matawan Road</v>
      </c>
      <c r="AY1279" t="str">
        <f>"4th Floor"</f>
        <v>4th Floor</v>
      </c>
      <c r="AZ1279" t="str">
        <f>"Matawan"</f>
        <v>Matawan</v>
      </c>
      <c r="BA1279" t="str">
        <f>"NJ"</f>
        <v>NJ</v>
      </c>
      <c r="BB1279" s="3">
        <v>7747</v>
      </c>
      <c r="BC1279" t="str">
        <f>"UNITED STATES OF AMERICA"</f>
        <v>UNITED STATES OF AMERICA</v>
      </c>
      <c r="BD1279" t="str">
        <f>""</f>
        <v/>
      </c>
      <c r="BE1279" t="str">
        <f>"+17328625000"</f>
        <v>+17328625000</v>
      </c>
      <c r="BF1279" t="str">
        <f>""</f>
        <v/>
      </c>
      <c r="BG1279" t="str">
        <f>"EANTOKAL@FRAGOMEN.COM"</f>
        <v>EANTOKAL@FRAGOMEN.COM</v>
      </c>
      <c r="BH1279" t="str">
        <f>"FRAGOMEN, DEL REY, BERNSEN &amp; LOEWY, LLP"</f>
        <v>FRAGOMEN, DEL REY, BERNSEN &amp; LOEWY, LLP</v>
      </c>
      <c r="BI1279" t="str">
        <f>"NJ"</f>
        <v>NJ</v>
      </c>
      <c r="BJ1279" t="str">
        <f>"SUPREME COURT"</f>
        <v>SUPREME COURT</v>
      </c>
      <c r="BK1279">
        <v>1</v>
      </c>
      <c r="BL1279" t="s">
        <v>102</v>
      </c>
      <c r="BM1279" t="str">
        <f>""</f>
        <v/>
      </c>
      <c r="BN1279" t="s">
        <v>1276</v>
      </c>
      <c r="BP1279" t="s">
        <v>1277</v>
      </c>
      <c r="BQ1279" t="s">
        <v>1556</v>
      </c>
      <c r="BR1279" t="s">
        <v>127</v>
      </c>
      <c r="BS1279" s="5">
        <v>19073</v>
      </c>
      <c r="BT1279" s="2">
        <v>135600</v>
      </c>
      <c r="BV1279" t="s">
        <v>105</v>
      </c>
      <c r="BW1279" s="2">
        <v>78083</v>
      </c>
      <c r="BX1279" t="s">
        <v>105</v>
      </c>
      <c r="BZ1279" t="s">
        <v>123</v>
      </c>
      <c r="CA1279" t="str">
        <f t="shared" ref="CA1279:CA1294" si="102">"7/1/2020 - 6/30/2021"</f>
        <v>7/1/2020 - 6/30/2021</v>
      </c>
      <c r="CF1279">
        <v>1</v>
      </c>
      <c r="CG1279" t="s">
        <v>98</v>
      </c>
      <c r="CH1279" t="s">
        <v>206</v>
      </c>
      <c r="CI1279" t="s">
        <v>206</v>
      </c>
      <c r="CL1279" t="s">
        <v>108</v>
      </c>
      <c r="CM1279" t="s">
        <v>109</v>
      </c>
      <c r="CN1279" t="str">
        <f>"RALSTON"</f>
        <v>RALSTON</v>
      </c>
      <c r="CO1279" t="str">
        <f>"C. WILLIAM"</f>
        <v>C. WILLIAM</v>
      </c>
      <c r="CP1279" t="str">
        <f>""</f>
        <v/>
      </c>
      <c r="CQ1279" t="str">
        <f>"FRAGOMEN, DEL REY, BERNSEN &amp; LOEWY, LLP"</f>
        <v>FRAGOMEN, DEL REY, BERNSEN &amp; LOEWY, LLP</v>
      </c>
      <c r="CR1279" t="s">
        <v>5449</v>
      </c>
    </row>
    <row r="1280" spans="1:96" x14ac:dyDescent="0.2">
      <c r="A1280" t="s">
        <v>12054</v>
      </c>
      <c r="B1280" t="s">
        <v>96</v>
      </c>
      <c r="C1280" s="1">
        <v>44098</v>
      </c>
      <c r="D1280" s="1">
        <v>44105</v>
      </c>
      <c r="F1280" t="s">
        <v>97</v>
      </c>
      <c r="G1280" t="str">
        <f>"Manager, RCA Engineering"</f>
        <v>Manager, RCA Engineering</v>
      </c>
      <c r="H1280" t="s">
        <v>12178</v>
      </c>
      <c r="I1280" t="s">
        <v>582</v>
      </c>
      <c r="J1280" t="s">
        <v>98</v>
      </c>
      <c r="K1280" s="1">
        <v>44103</v>
      </c>
      <c r="L1280" s="1">
        <v>45197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 t="s">
        <v>5582</v>
      </c>
      <c r="U1280" t="str">
        <f>""</f>
        <v/>
      </c>
      <c r="V1280" t="s">
        <v>5583</v>
      </c>
      <c r="W1280" t="str">
        <f>"Suite 1400"</f>
        <v>Suite 1400</v>
      </c>
      <c r="X1280" t="s">
        <v>213</v>
      </c>
      <c r="Y1280" t="s">
        <v>215</v>
      </c>
      <c r="Z1280" s="3">
        <v>30328</v>
      </c>
      <c r="AA1280" t="s">
        <v>101</v>
      </c>
      <c r="AC1280" s="4" t="str">
        <f>"+18042738047"</f>
        <v>+18042738047</v>
      </c>
      <c r="AE1280" t="str">
        <f>"541611"</f>
        <v>541611</v>
      </c>
      <c r="AF1280" t="s">
        <v>5584</v>
      </c>
      <c r="AG1280" t="s">
        <v>2370</v>
      </c>
      <c r="AI1280" t="s">
        <v>5585</v>
      </c>
      <c r="AJ1280" t="s">
        <v>5583</v>
      </c>
      <c r="AK1280" t="str">
        <f>"Suite 1400"</f>
        <v>Suite 1400</v>
      </c>
      <c r="AL1280" t="s">
        <v>213</v>
      </c>
      <c r="AM1280" t="s">
        <v>215</v>
      </c>
      <c r="AN1280" s="3">
        <v>30328</v>
      </c>
      <c r="AO1280" t="s">
        <v>101</v>
      </c>
      <c r="AQ1280" t="str">
        <f>"+17703792380"</f>
        <v>+17703792380</v>
      </c>
      <c r="AS1280" t="s">
        <v>5586</v>
      </c>
      <c r="AT1280" t="s">
        <v>107</v>
      </c>
      <c r="AU1280" t="str">
        <f>"Sherman"</f>
        <v>Sherman</v>
      </c>
      <c r="AV1280" t="str">
        <f>"Kyle"</f>
        <v>Kyle</v>
      </c>
      <c r="AW1280" t="str">
        <f>""</f>
        <v/>
      </c>
      <c r="AX1280" t="str">
        <f>"1355 Peachtree St NE"</f>
        <v>1355 Peachtree St NE</v>
      </c>
      <c r="AY1280" t="str">
        <f>"Suite 900"</f>
        <v>Suite 900</v>
      </c>
      <c r="AZ1280" t="str">
        <f>"Atlanta"</f>
        <v>Atlanta</v>
      </c>
      <c r="BA1280" t="str">
        <f>"GA"</f>
        <v>GA</v>
      </c>
      <c r="BB1280" s="3">
        <v>30309</v>
      </c>
      <c r="BC1280" t="str">
        <f>"UNITED STATES OF AMERICA"</f>
        <v>UNITED STATES OF AMERICA</v>
      </c>
      <c r="BD1280" t="str">
        <f>""</f>
        <v/>
      </c>
      <c r="BE1280" t="str">
        <f>"+14048565532"</f>
        <v>+14048565532</v>
      </c>
      <c r="BF1280" t="str">
        <f>""</f>
        <v/>
      </c>
      <c r="BG1280" t="str">
        <f>"gmorajuarez@fragomen.com"</f>
        <v>gmorajuarez@fragomen.com</v>
      </c>
      <c r="BH1280" t="str">
        <f>"Fragomen, Del Rey, Bernsen, &amp; Lowey LLP"</f>
        <v>Fragomen, Del Rey, Bernsen, &amp; Lowey LLP</v>
      </c>
      <c r="BI1280" t="str">
        <f>"GA"</f>
        <v>GA</v>
      </c>
      <c r="BJ1280" t="str">
        <f>"Supreme Court"</f>
        <v>Supreme Court</v>
      </c>
      <c r="BK1280">
        <v>1</v>
      </c>
      <c r="BL1280" t="s">
        <v>102</v>
      </c>
      <c r="BM1280" t="str">
        <f>""</f>
        <v/>
      </c>
      <c r="BN1280" t="s">
        <v>10700</v>
      </c>
      <c r="BO1280" t="s">
        <v>754</v>
      </c>
      <c r="BP1280" t="s">
        <v>5306</v>
      </c>
      <c r="BQ1280" t="s">
        <v>529</v>
      </c>
      <c r="BR1280" t="s">
        <v>127</v>
      </c>
      <c r="BS1280" s="5">
        <v>19422</v>
      </c>
      <c r="BT1280" s="2">
        <v>107869</v>
      </c>
      <c r="BU1280" s="2">
        <v>120000</v>
      </c>
      <c r="BV1280" t="s">
        <v>105</v>
      </c>
      <c r="BW1280" s="2">
        <v>107869</v>
      </c>
      <c r="BX1280" t="s">
        <v>105</v>
      </c>
      <c r="BZ1280" t="s">
        <v>191</v>
      </c>
      <c r="CA1280" t="str">
        <f t="shared" si="102"/>
        <v>7/1/2020 - 6/30/2021</v>
      </c>
      <c r="CF1280">
        <v>2</v>
      </c>
      <c r="CG1280" t="s">
        <v>98</v>
      </c>
      <c r="CH1280" t="s">
        <v>206</v>
      </c>
      <c r="CI1280" t="s">
        <v>206</v>
      </c>
      <c r="CL1280" t="s">
        <v>108</v>
      </c>
      <c r="CM1280" t="s">
        <v>109</v>
      </c>
      <c r="CN1280" t="str">
        <f>""</f>
        <v/>
      </c>
      <c r="CO1280" t="str">
        <f>""</f>
        <v/>
      </c>
      <c r="CP1280" t="str">
        <f>""</f>
        <v/>
      </c>
      <c r="CQ1280" t="str">
        <f>""</f>
        <v/>
      </c>
    </row>
    <row r="1281" spans="1:96" x14ac:dyDescent="0.2">
      <c r="A1281" t="s">
        <v>12055</v>
      </c>
      <c r="B1281" t="s">
        <v>96</v>
      </c>
      <c r="C1281" s="1">
        <v>44098</v>
      </c>
      <c r="D1281" s="1">
        <v>44105</v>
      </c>
      <c r="F1281" t="s">
        <v>97</v>
      </c>
      <c r="G1281" t="str">
        <f>"Mobile Developer"</f>
        <v>Mobile Developer</v>
      </c>
      <c r="H1281" t="s">
        <v>12181</v>
      </c>
      <c r="I1281" t="s">
        <v>110</v>
      </c>
      <c r="J1281" t="s">
        <v>98</v>
      </c>
      <c r="K1281" s="1">
        <v>44109</v>
      </c>
      <c r="L1281" s="1">
        <v>45201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4917</v>
      </c>
      <c r="U1281" t="str">
        <f>"Fluxtek Solutions Inc."</f>
        <v>Fluxtek Solutions Inc.</v>
      </c>
      <c r="V1281" t="s">
        <v>12056</v>
      </c>
      <c r="W1281" t="str">
        <f>"STE # 270"</f>
        <v>STE # 270</v>
      </c>
      <c r="X1281" t="s">
        <v>394</v>
      </c>
      <c r="Y1281" t="s">
        <v>114</v>
      </c>
      <c r="Z1281" s="3">
        <v>77036</v>
      </c>
      <c r="AA1281" t="s">
        <v>101</v>
      </c>
      <c r="AC1281" s="4" t="str">
        <f>"+18325582010"</f>
        <v>+18325582010</v>
      </c>
      <c r="AD1281">
        <v>147</v>
      </c>
      <c r="AE1281" t="str">
        <f>"541511"</f>
        <v>541511</v>
      </c>
      <c r="AF1281" t="s">
        <v>5417</v>
      </c>
      <c r="AG1281" t="s">
        <v>11338</v>
      </c>
      <c r="AH1281" t="s">
        <v>8329</v>
      </c>
      <c r="AI1281" t="s">
        <v>508</v>
      </c>
      <c r="AJ1281" t="s">
        <v>12056</v>
      </c>
      <c r="AK1281" t="str">
        <f>"STE # 270"</f>
        <v>STE # 270</v>
      </c>
      <c r="AL1281" t="s">
        <v>394</v>
      </c>
      <c r="AM1281" t="s">
        <v>114</v>
      </c>
      <c r="AN1281" s="3">
        <v>77036</v>
      </c>
      <c r="AO1281" t="s">
        <v>101</v>
      </c>
      <c r="AQ1281" t="str">
        <f>"+18325582010"</f>
        <v>+18325582010</v>
      </c>
      <c r="AR1281">
        <v>147</v>
      </c>
      <c r="AS1281" t="s">
        <v>4918</v>
      </c>
      <c r="AT1281" t="s">
        <v>102</v>
      </c>
      <c r="AU1281" t="str">
        <f>""</f>
        <v/>
      </c>
      <c r="AV1281" t="str">
        <f>""</f>
        <v/>
      </c>
      <c r="AW1281" t="str">
        <f>""</f>
        <v/>
      </c>
      <c r="AX1281" t="str">
        <f>""</f>
        <v/>
      </c>
      <c r="AY1281" t="str">
        <f>""</f>
        <v/>
      </c>
      <c r="AZ1281" t="str">
        <f>""</f>
        <v/>
      </c>
      <c r="BA1281" t="str">
        <f>""</f>
        <v/>
      </c>
      <c r="BC1281" t="str">
        <f>""</f>
        <v/>
      </c>
      <c r="BD1281" t="str">
        <f>""</f>
        <v/>
      </c>
      <c r="BE1281" t="str">
        <f>""</f>
        <v/>
      </c>
      <c r="BF1281" t="str">
        <f>""</f>
        <v/>
      </c>
      <c r="BG1281" t="str">
        <f>""</f>
        <v/>
      </c>
      <c r="BH1281" t="str">
        <f>""</f>
        <v/>
      </c>
      <c r="BI1281" t="str">
        <f>""</f>
        <v/>
      </c>
      <c r="BJ1281" t="str">
        <f>""</f>
        <v/>
      </c>
      <c r="BK1281">
        <v>1</v>
      </c>
      <c r="BL1281" t="s">
        <v>107</v>
      </c>
      <c r="BM1281" t="str">
        <f>"Fidelity Talent Source LLC.  subsidiary of FMR LLC"</f>
        <v>Fidelity Talent Source LLC.  subsidiary of FMR LLC</v>
      </c>
      <c r="BN1281" t="s">
        <v>3509</v>
      </c>
      <c r="BP1281" t="s">
        <v>3510</v>
      </c>
      <c r="BQ1281" t="s">
        <v>1033</v>
      </c>
      <c r="BR1281" t="s">
        <v>1035</v>
      </c>
      <c r="BS1281" s="5">
        <v>3054</v>
      </c>
      <c r="BT1281" s="2">
        <v>84000</v>
      </c>
      <c r="BU1281" s="2">
        <v>85000</v>
      </c>
      <c r="BV1281" t="s">
        <v>105</v>
      </c>
      <c r="BW1281" s="2">
        <v>83928</v>
      </c>
      <c r="BX1281" t="s">
        <v>105</v>
      </c>
      <c r="BZ1281" t="s">
        <v>167</v>
      </c>
      <c r="CA1281" t="str">
        <f t="shared" si="102"/>
        <v>7/1/2020 - 6/30/2021</v>
      </c>
      <c r="CF1281">
        <v>2</v>
      </c>
      <c r="CG1281" t="s">
        <v>98</v>
      </c>
      <c r="CH1281" t="s">
        <v>206</v>
      </c>
      <c r="CI1281" t="s">
        <v>206</v>
      </c>
      <c r="CL1281" t="s">
        <v>108</v>
      </c>
      <c r="CM1281" t="s">
        <v>109</v>
      </c>
      <c r="CN1281" t="str">
        <f>"N/A"</f>
        <v>N/A</v>
      </c>
      <c r="CO1281" t="str">
        <f>"N/A"</f>
        <v>N/A</v>
      </c>
      <c r="CP1281" t="str">
        <f>"N/A"</f>
        <v>N/A</v>
      </c>
      <c r="CQ1281" t="str">
        <f>"N/A N/A"</f>
        <v>N/A N/A</v>
      </c>
      <c r="CR1281" t="s">
        <v>108</v>
      </c>
    </row>
    <row r="1282" spans="1:96" x14ac:dyDescent="0.2">
      <c r="A1282" t="s">
        <v>12057</v>
      </c>
      <c r="B1282" t="s">
        <v>96</v>
      </c>
      <c r="C1282" s="1">
        <v>44098</v>
      </c>
      <c r="D1282" s="1">
        <v>44105</v>
      </c>
      <c r="F1282" t="s">
        <v>97</v>
      </c>
      <c r="G1282" t="str">
        <f>"Director"</f>
        <v>Director</v>
      </c>
      <c r="H1282" t="s">
        <v>12212</v>
      </c>
      <c r="I1282" t="s">
        <v>3344</v>
      </c>
      <c r="J1282" t="s">
        <v>98</v>
      </c>
      <c r="K1282" s="1">
        <v>44230</v>
      </c>
      <c r="L1282" s="1">
        <v>45324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 t="s">
        <v>2617</v>
      </c>
      <c r="U1282" t="str">
        <f>""</f>
        <v/>
      </c>
      <c r="V1282" t="s">
        <v>12058</v>
      </c>
      <c r="W1282" t="str">
        <f>"5th Floor"</f>
        <v>5th Floor</v>
      </c>
      <c r="X1282" t="s">
        <v>1213</v>
      </c>
      <c r="Y1282" t="s">
        <v>100</v>
      </c>
      <c r="Z1282" s="3">
        <v>7310</v>
      </c>
      <c r="AA1282" t="s">
        <v>101</v>
      </c>
      <c r="AC1282" s="4" t="str">
        <f>"+12018505049"</f>
        <v>+12018505049</v>
      </c>
      <c r="AE1282" t="str">
        <f>"523110"</f>
        <v>523110</v>
      </c>
      <c r="AF1282" t="s">
        <v>2619</v>
      </c>
      <c r="AG1282" t="s">
        <v>2620</v>
      </c>
      <c r="AI1282" t="s">
        <v>221</v>
      </c>
      <c r="AJ1282" t="s">
        <v>12058</v>
      </c>
      <c r="AK1282" t="str">
        <f>"5th Floor"</f>
        <v>5th Floor</v>
      </c>
      <c r="AL1282" t="s">
        <v>1213</v>
      </c>
      <c r="AM1282" t="s">
        <v>100</v>
      </c>
      <c r="AN1282" s="3">
        <v>7310</v>
      </c>
      <c r="AO1282" t="s">
        <v>101</v>
      </c>
      <c r="AQ1282" t="str">
        <f>"+12018505049"</f>
        <v>+12018505049</v>
      </c>
      <c r="AS1282" t="s">
        <v>2621</v>
      </c>
      <c r="AT1282" t="s">
        <v>107</v>
      </c>
      <c r="AU1282" t="str">
        <f>"BEARDSLEY"</f>
        <v>BEARDSLEY</v>
      </c>
      <c r="AV1282" t="str">
        <f>"RACHEL"</f>
        <v>RACHEL</v>
      </c>
      <c r="AW1282" t="str">
        <f>"JANE"</f>
        <v>JANE</v>
      </c>
      <c r="AX1282" t="str">
        <f>"1400 BROADWAY"</f>
        <v>1400 BROADWAY</v>
      </c>
      <c r="AY1282" t="str">
        <f>""</f>
        <v/>
      </c>
      <c r="AZ1282" t="str">
        <f>"NEW YORK"</f>
        <v>NEW YORK</v>
      </c>
      <c r="BA1282" t="str">
        <f>"NY"</f>
        <v>NY</v>
      </c>
      <c r="BB1282" s="3">
        <v>10018</v>
      </c>
      <c r="BC1282" t="str">
        <f>"UNITED STATES OF AMERICA"</f>
        <v>UNITED STATES OF AMERICA</v>
      </c>
      <c r="BD1282" t="str">
        <f>""</f>
        <v/>
      </c>
      <c r="BE1282" t="str">
        <f>"+12126888555"</f>
        <v>+12126888555</v>
      </c>
      <c r="BF1282" t="str">
        <f>"0"</f>
        <v>0</v>
      </c>
      <c r="BG1282" t="str">
        <f>"esmirnova@FRAGOMEN.COM"</f>
        <v>esmirnova@FRAGOMEN.COM</v>
      </c>
      <c r="BH1282" t="str">
        <f>"Fragomen, Del Rey, Bernsen &amp; Loewy, LLP"</f>
        <v>Fragomen, Del Rey, Bernsen &amp; Loewy, LLP</v>
      </c>
      <c r="BI1282" t="str">
        <f>"NY"</f>
        <v>NY</v>
      </c>
      <c r="BJ1282" t="str">
        <f>"SUPREME COURT"</f>
        <v>SUPREME COURT</v>
      </c>
      <c r="BK1282">
        <v>1</v>
      </c>
      <c r="BL1282" t="s">
        <v>102</v>
      </c>
      <c r="BM1282" t="str">
        <f>""</f>
        <v/>
      </c>
      <c r="BN1282" t="s">
        <v>12059</v>
      </c>
      <c r="BP1282" t="s">
        <v>595</v>
      </c>
      <c r="BQ1282" t="s">
        <v>484</v>
      </c>
      <c r="BR1282" t="s">
        <v>114</v>
      </c>
      <c r="BS1282" s="5">
        <v>75201</v>
      </c>
      <c r="BT1282" s="2">
        <v>104000</v>
      </c>
      <c r="BU1282" s="2">
        <v>229500</v>
      </c>
      <c r="BV1282" t="s">
        <v>105</v>
      </c>
      <c r="BW1282" s="2">
        <v>103709</v>
      </c>
      <c r="BX1282" t="s">
        <v>105</v>
      </c>
      <c r="BZ1282" t="s">
        <v>159</v>
      </c>
      <c r="CA1282" t="str">
        <f t="shared" si="102"/>
        <v>7/1/2020 - 6/30/2021</v>
      </c>
      <c r="CF1282">
        <v>1</v>
      </c>
      <c r="CG1282" t="s">
        <v>98</v>
      </c>
      <c r="CH1282" t="s">
        <v>206</v>
      </c>
      <c r="CI1282" t="s">
        <v>206</v>
      </c>
      <c r="CL1282" t="s">
        <v>108</v>
      </c>
      <c r="CM1282" t="s">
        <v>109</v>
      </c>
      <c r="CN1282" t="str">
        <f>"Smirnova"</f>
        <v>Smirnova</v>
      </c>
      <c r="CO1282" t="str">
        <f>"Elizaveta"</f>
        <v>Elizaveta</v>
      </c>
      <c r="CP1282" t="str">
        <f>""</f>
        <v/>
      </c>
      <c r="CQ1282" t="str">
        <f>"Fragomen, Del Rey, Bernsen &amp; Loewy, LLP"</f>
        <v>Fragomen, Del Rey, Bernsen &amp; Loewy, LLP</v>
      </c>
      <c r="CR1282" t="s">
        <v>2150</v>
      </c>
    </row>
    <row r="1283" spans="1:96" x14ac:dyDescent="0.2">
      <c r="A1283" t="s">
        <v>12062</v>
      </c>
      <c r="B1283" t="s">
        <v>96</v>
      </c>
      <c r="C1283" s="1">
        <v>44098</v>
      </c>
      <c r="D1283" s="1">
        <v>44105</v>
      </c>
      <c r="F1283" t="s">
        <v>97</v>
      </c>
      <c r="G1283" t="str">
        <f>"Quality Engineer"</f>
        <v>Quality Engineer</v>
      </c>
      <c r="H1283" t="s">
        <v>12224</v>
      </c>
      <c r="I1283" t="s">
        <v>198</v>
      </c>
      <c r="J1283" t="s">
        <v>98</v>
      </c>
      <c r="K1283" s="1">
        <v>44109</v>
      </c>
      <c r="L1283" s="1">
        <v>45203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 t="s">
        <v>12063</v>
      </c>
      <c r="U1283" t="str">
        <f>""</f>
        <v/>
      </c>
      <c r="V1283" t="s">
        <v>12064</v>
      </c>
      <c r="W1283" t="str">
        <f>""</f>
        <v/>
      </c>
      <c r="X1283" t="s">
        <v>805</v>
      </c>
      <c r="Y1283" t="s">
        <v>114</v>
      </c>
      <c r="Z1283" s="3">
        <v>77064</v>
      </c>
      <c r="AA1283" t="s">
        <v>101</v>
      </c>
      <c r="AC1283" s="4" t="str">
        <f>"+12816681668"</f>
        <v>+12816681668</v>
      </c>
      <c r="AE1283" t="str">
        <f>"54151"</f>
        <v>54151</v>
      </c>
      <c r="AF1283" t="s">
        <v>7231</v>
      </c>
      <c r="AG1283" t="s">
        <v>3419</v>
      </c>
      <c r="AI1283" t="s">
        <v>898</v>
      </c>
      <c r="AJ1283" t="s">
        <v>12065</v>
      </c>
      <c r="AK1283" t="str">
        <f>""</f>
        <v/>
      </c>
      <c r="AL1283" t="s">
        <v>394</v>
      </c>
      <c r="AM1283" t="s">
        <v>114</v>
      </c>
      <c r="AN1283" s="3">
        <v>77064</v>
      </c>
      <c r="AO1283" t="s">
        <v>101</v>
      </c>
      <c r="AQ1283" t="str">
        <f>"+12815177801"</f>
        <v>+12815177801</v>
      </c>
      <c r="AS1283" t="s">
        <v>12066</v>
      </c>
      <c r="AT1283" t="s">
        <v>107</v>
      </c>
      <c r="AU1283" t="str">
        <f>"Guan"</f>
        <v>Guan</v>
      </c>
      <c r="AV1283" t="str">
        <f>"Hong-Jin"</f>
        <v>Hong-Jin</v>
      </c>
      <c r="AW1283" t="str">
        <f>""</f>
        <v/>
      </c>
      <c r="AX1283" t="str">
        <f>"100 Century Center Court"</f>
        <v>100 Century Center Court</v>
      </c>
      <c r="AY1283" t="str">
        <f>"Suite 415"</f>
        <v>Suite 415</v>
      </c>
      <c r="AZ1283" t="str">
        <f>"San Jose"</f>
        <v>San Jose</v>
      </c>
      <c r="BA1283" t="str">
        <f>"CA"</f>
        <v>CA</v>
      </c>
      <c r="BB1283" s="3">
        <v>95112</v>
      </c>
      <c r="BC1283" t="str">
        <f>"UNITED STATES OF AMERICA"</f>
        <v>UNITED STATES OF AMERICA</v>
      </c>
      <c r="BD1283" t="str">
        <f>""</f>
        <v/>
      </c>
      <c r="BE1283" t="str">
        <f>"+14085738585"</f>
        <v>+14085738585</v>
      </c>
      <c r="BF1283" t="str">
        <f>""</f>
        <v/>
      </c>
      <c r="BG1283" t="str">
        <f>"immigration@paclaw.com"</f>
        <v>immigration@paclaw.com</v>
      </c>
      <c r="BH1283" t="str">
        <f>"Pacific Law Group LLP"</f>
        <v>Pacific Law Group LLP</v>
      </c>
      <c r="BI1283" t="str">
        <f>"CA"</f>
        <v>CA</v>
      </c>
      <c r="BJ1283" t="str">
        <f>"California Supreme Court"</f>
        <v>California Supreme Court</v>
      </c>
      <c r="BK1283">
        <v>1</v>
      </c>
      <c r="BL1283" t="s">
        <v>102</v>
      </c>
      <c r="BM1283" t="str">
        <f>""</f>
        <v/>
      </c>
      <c r="BN1283" t="s">
        <v>12067</v>
      </c>
      <c r="BP1283" t="s">
        <v>394</v>
      </c>
      <c r="BQ1283" t="s">
        <v>395</v>
      </c>
      <c r="BR1283" t="s">
        <v>114</v>
      </c>
      <c r="BS1283" s="5">
        <v>77064</v>
      </c>
      <c r="BT1283" s="2">
        <v>75000</v>
      </c>
      <c r="BV1283" t="s">
        <v>105</v>
      </c>
      <c r="BW1283" s="2">
        <v>74880</v>
      </c>
      <c r="BX1283" t="s">
        <v>105</v>
      </c>
      <c r="BZ1283" t="s">
        <v>191</v>
      </c>
      <c r="CA1283" t="str">
        <f t="shared" si="102"/>
        <v>7/1/2020 - 6/30/2021</v>
      </c>
      <c r="CF1283">
        <v>1</v>
      </c>
      <c r="CG1283" t="s">
        <v>98</v>
      </c>
      <c r="CH1283" t="s">
        <v>206</v>
      </c>
      <c r="CI1283" t="s">
        <v>206</v>
      </c>
      <c r="CL1283" t="s">
        <v>108</v>
      </c>
      <c r="CM1283" t="s">
        <v>109</v>
      </c>
      <c r="CN1283" t="str">
        <f>""</f>
        <v/>
      </c>
      <c r="CO1283" t="str">
        <f>""</f>
        <v/>
      </c>
      <c r="CP1283" t="str">
        <f>""</f>
        <v/>
      </c>
      <c r="CQ1283" t="str">
        <f>""</f>
        <v/>
      </c>
    </row>
    <row r="1284" spans="1:96" x14ac:dyDescent="0.2">
      <c r="A1284" t="s">
        <v>12068</v>
      </c>
      <c r="B1284" t="s">
        <v>96</v>
      </c>
      <c r="C1284" s="1">
        <v>44098</v>
      </c>
      <c r="D1284" s="1">
        <v>44105</v>
      </c>
      <c r="F1284" t="s">
        <v>97</v>
      </c>
      <c r="G1284" t="str">
        <f>"Mechanical Project Engineer II"</f>
        <v>Mechanical Project Engineer II</v>
      </c>
      <c r="H1284" t="s">
        <v>12196</v>
      </c>
      <c r="I1284" t="s">
        <v>322</v>
      </c>
      <c r="J1284" t="s">
        <v>98</v>
      </c>
      <c r="K1284" s="1">
        <v>44162</v>
      </c>
      <c r="L1284" s="1">
        <v>45256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 t="s">
        <v>12069</v>
      </c>
      <c r="U1284" t="str">
        <f>""</f>
        <v/>
      </c>
      <c r="V1284" t="s">
        <v>12070</v>
      </c>
      <c r="W1284" t="str">
        <f>""</f>
        <v/>
      </c>
      <c r="X1284" t="s">
        <v>12047</v>
      </c>
      <c r="Y1284" t="s">
        <v>280</v>
      </c>
      <c r="Z1284" s="3">
        <v>6611</v>
      </c>
      <c r="AA1284" t="s">
        <v>101</v>
      </c>
      <c r="AC1284" s="4" t="str">
        <f>"+12036015200"</f>
        <v>+12036015200</v>
      </c>
      <c r="AE1284" t="str">
        <f>"423450"</f>
        <v>423450</v>
      </c>
      <c r="AF1284" t="s">
        <v>12071</v>
      </c>
      <c r="AG1284" t="s">
        <v>9304</v>
      </c>
      <c r="AI1284" t="s">
        <v>12072</v>
      </c>
      <c r="AJ1284" t="s">
        <v>12070</v>
      </c>
      <c r="AK1284" t="str">
        <f>""</f>
        <v/>
      </c>
      <c r="AL1284" t="s">
        <v>12047</v>
      </c>
      <c r="AM1284" t="s">
        <v>280</v>
      </c>
      <c r="AN1284" s="3">
        <v>6611</v>
      </c>
      <c r="AO1284" t="s">
        <v>101</v>
      </c>
      <c r="AQ1284" t="str">
        <f>"+12036015200"</f>
        <v>+12036015200</v>
      </c>
      <c r="AR1284">
        <v>4885</v>
      </c>
      <c r="AS1284" t="s">
        <v>12073</v>
      </c>
      <c r="AT1284" t="s">
        <v>107</v>
      </c>
      <c r="AU1284" t="str">
        <f>"White"</f>
        <v>White</v>
      </c>
      <c r="AV1284" t="str">
        <f>"Michelle"</f>
        <v>Michelle</v>
      </c>
      <c r="AW1284" t="str">
        <f>"A"</f>
        <v>A</v>
      </c>
      <c r="AX1284" t="str">
        <f>"333 SE 2nd Avenue"</f>
        <v>333 SE 2nd Avenue</v>
      </c>
      <c r="AY1284" t="str">
        <f>"Suite 2700"</f>
        <v>Suite 2700</v>
      </c>
      <c r="AZ1284" t="str">
        <f>"Miami"</f>
        <v>Miami</v>
      </c>
      <c r="BA1284" t="str">
        <f>"FL"</f>
        <v>FL</v>
      </c>
      <c r="BB1284" s="3">
        <v>33131</v>
      </c>
      <c r="BC1284" t="str">
        <f>"UNITED STATES OF AMERICA"</f>
        <v>UNITED STATES OF AMERICA</v>
      </c>
      <c r="BD1284" t="str">
        <f>""</f>
        <v/>
      </c>
      <c r="BE1284" t="str">
        <f>"+13054007549"</f>
        <v>+13054007549</v>
      </c>
      <c r="BF1284" t="str">
        <f>""</f>
        <v/>
      </c>
      <c r="BG1284" t="str">
        <f>"mawhite@littler.com"</f>
        <v>mawhite@littler.com</v>
      </c>
      <c r="BH1284" t="str">
        <f>"Littler Mendelson P.C."</f>
        <v>Littler Mendelson P.C.</v>
      </c>
      <c r="BI1284" t="str">
        <f>"FL"</f>
        <v>FL</v>
      </c>
      <c r="BJ1284" t="str">
        <f>"Supreme Court of Florida"</f>
        <v>Supreme Court of Florida</v>
      </c>
      <c r="BK1284">
        <v>1</v>
      </c>
      <c r="BL1284" t="s">
        <v>102</v>
      </c>
      <c r="BM1284" t="str">
        <f>""</f>
        <v/>
      </c>
      <c r="BN1284" t="s">
        <v>12074</v>
      </c>
      <c r="BP1284" t="s">
        <v>12047</v>
      </c>
      <c r="BQ1284" t="s">
        <v>8634</v>
      </c>
      <c r="BR1284" t="s">
        <v>280</v>
      </c>
      <c r="BS1284" s="5">
        <v>6611</v>
      </c>
      <c r="BT1284" s="2">
        <v>94182</v>
      </c>
      <c r="BU1284" s="2">
        <v>100000</v>
      </c>
      <c r="BV1284" t="s">
        <v>105</v>
      </c>
      <c r="BW1284" s="2">
        <v>94182</v>
      </c>
      <c r="BX1284" t="s">
        <v>105</v>
      </c>
      <c r="BZ1284" t="s">
        <v>123</v>
      </c>
      <c r="CA1284" t="str">
        <f t="shared" si="102"/>
        <v>7/1/2020 - 6/30/2021</v>
      </c>
      <c r="CF1284">
        <v>1</v>
      </c>
      <c r="CG1284" t="s">
        <v>98</v>
      </c>
      <c r="CH1284" t="s">
        <v>206</v>
      </c>
      <c r="CI1284" t="s">
        <v>206</v>
      </c>
      <c r="CL1284" t="s">
        <v>108</v>
      </c>
      <c r="CM1284" t="s">
        <v>109</v>
      </c>
      <c r="CN1284" t="str">
        <f>"White"</f>
        <v>White</v>
      </c>
      <c r="CO1284" t="str">
        <f>"Michelle"</f>
        <v>Michelle</v>
      </c>
      <c r="CP1284" t="str">
        <f>"A"</f>
        <v>A</v>
      </c>
      <c r="CQ1284" t="str">
        <f>"Littler Mendelson, P.C"</f>
        <v>Littler Mendelson, P.C</v>
      </c>
      <c r="CR1284" t="s">
        <v>4092</v>
      </c>
    </row>
    <row r="1285" spans="1:96" x14ac:dyDescent="0.2">
      <c r="A1285" t="s">
        <v>12077</v>
      </c>
      <c r="B1285" t="s">
        <v>96</v>
      </c>
      <c r="C1285" s="1">
        <v>44098</v>
      </c>
      <c r="D1285" s="1">
        <v>44105</v>
      </c>
      <c r="F1285" t="s">
        <v>97</v>
      </c>
      <c r="G1285" t="str">
        <f>"Sr. Electrical Engineer"</f>
        <v>Sr. Electrical Engineer</v>
      </c>
      <c r="H1285" t="s">
        <v>12186</v>
      </c>
      <c r="I1285" t="s">
        <v>232</v>
      </c>
      <c r="J1285" t="s">
        <v>98</v>
      </c>
      <c r="K1285" s="1">
        <v>44156</v>
      </c>
      <c r="L1285" s="1">
        <v>45250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 t="s">
        <v>6112</v>
      </c>
      <c r="U1285" t="str">
        <f>""</f>
        <v/>
      </c>
      <c r="V1285" t="s">
        <v>6113</v>
      </c>
      <c r="W1285" t="str">
        <f>"N/A"</f>
        <v>N/A</v>
      </c>
      <c r="X1285" t="s">
        <v>982</v>
      </c>
      <c r="Y1285" t="s">
        <v>265</v>
      </c>
      <c r="Z1285" s="3">
        <v>48150</v>
      </c>
      <c r="AA1285" t="s">
        <v>101</v>
      </c>
      <c r="AC1285" s="4" t="str">
        <f>"+17348552654"</f>
        <v>+17348552654</v>
      </c>
      <c r="AE1285" t="str">
        <f>"336111"</f>
        <v>336111</v>
      </c>
      <c r="AF1285" t="s">
        <v>5508</v>
      </c>
      <c r="AG1285" t="s">
        <v>927</v>
      </c>
      <c r="AH1285" t="s">
        <v>108</v>
      </c>
      <c r="AI1285" t="s">
        <v>6114</v>
      </c>
      <c r="AJ1285" t="s">
        <v>6113</v>
      </c>
      <c r="AK1285" t="str">
        <f>"N/A"</f>
        <v>N/A</v>
      </c>
      <c r="AL1285" t="s">
        <v>982</v>
      </c>
      <c r="AM1285" t="s">
        <v>265</v>
      </c>
      <c r="AN1285" s="3">
        <v>48150</v>
      </c>
      <c r="AO1285" t="s">
        <v>101</v>
      </c>
      <c r="AQ1285" t="str">
        <f>"+17348552654"</f>
        <v>+17348552654</v>
      </c>
      <c r="AS1285" t="s">
        <v>6115</v>
      </c>
      <c r="AT1285" t="s">
        <v>107</v>
      </c>
      <c r="AU1285" t="str">
        <f>"Terebelo"</f>
        <v>Terebelo</v>
      </c>
      <c r="AV1285" t="str">
        <f>"Michal"</f>
        <v>Michal</v>
      </c>
      <c r="AW1285" t="str">
        <f>"Duer"</f>
        <v>Duer</v>
      </c>
      <c r="AX1285" t="str">
        <f>"5250 Corporate Drive"</f>
        <v>5250 Corporate Drive</v>
      </c>
      <c r="AY1285" t="str">
        <f>"Ste. 300"</f>
        <v>Ste. 300</v>
      </c>
      <c r="AZ1285" t="str">
        <f>"Troy"</f>
        <v>Troy</v>
      </c>
      <c r="BA1285" t="str">
        <f>"MI"</f>
        <v>MI</v>
      </c>
      <c r="BB1285" s="3">
        <v>48098</v>
      </c>
      <c r="BC1285" t="str">
        <f>"UNITED STATES OF AMERICA"</f>
        <v>UNITED STATES OF AMERICA</v>
      </c>
      <c r="BD1285" t="str">
        <f>""</f>
        <v/>
      </c>
      <c r="BE1285" t="str">
        <f>"+12486434900"</f>
        <v>+12486434900</v>
      </c>
      <c r="BF1285" t="str">
        <f>""</f>
        <v/>
      </c>
      <c r="BG1285" t="str">
        <f>"Swati@employmentimmigration.com"</f>
        <v>Swati@employmentimmigration.com</v>
      </c>
      <c r="BH1285" t="str">
        <f>"Fakhoury Global Immigration, USA PC"</f>
        <v>Fakhoury Global Immigration, USA PC</v>
      </c>
      <c r="BI1285" t="str">
        <f>"MI"</f>
        <v>MI</v>
      </c>
      <c r="BJ1285" t="str">
        <f>"Supreme Court"</f>
        <v>Supreme Court</v>
      </c>
      <c r="BK1285">
        <v>1</v>
      </c>
      <c r="BL1285" t="s">
        <v>102</v>
      </c>
      <c r="BM1285" t="str">
        <f>""</f>
        <v/>
      </c>
      <c r="BN1285" t="s">
        <v>6112</v>
      </c>
      <c r="BO1285" t="s">
        <v>6116</v>
      </c>
      <c r="BP1285" t="s">
        <v>1498</v>
      </c>
      <c r="BQ1285" t="s">
        <v>719</v>
      </c>
      <c r="BR1285" t="s">
        <v>265</v>
      </c>
      <c r="BS1285" s="5">
        <v>48335</v>
      </c>
      <c r="BT1285" s="2">
        <v>111151.6</v>
      </c>
      <c r="BV1285" t="s">
        <v>105</v>
      </c>
      <c r="BW1285" s="2">
        <v>95680</v>
      </c>
      <c r="BX1285" t="s">
        <v>105</v>
      </c>
      <c r="BZ1285" t="s">
        <v>167</v>
      </c>
      <c r="CA1285" t="str">
        <f t="shared" si="102"/>
        <v>7/1/2020 - 6/30/2021</v>
      </c>
      <c r="CF1285">
        <v>2</v>
      </c>
      <c r="CG1285" t="s">
        <v>98</v>
      </c>
      <c r="CH1285" t="s">
        <v>206</v>
      </c>
      <c r="CI1285" t="s">
        <v>206</v>
      </c>
      <c r="CL1285" t="s">
        <v>108</v>
      </c>
      <c r="CM1285" t="s">
        <v>109</v>
      </c>
      <c r="CN1285" t="str">
        <f>"Terebelo"</f>
        <v>Terebelo</v>
      </c>
      <c r="CO1285" t="str">
        <f>"Michal"</f>
        <v>Michal</v>
      </c>
      <c r="CP1285" t="str">
        <f>"D"</f>
        <v>D</v>
      </c>
      <c r="CQ1285" t="str">
        <f>"Fakhoury Global Immigration, USA PC"</f>
        <v>Fakhoury Global Immigration, USA PC</v>
      </c>
      <c r="CR1285" t="s">
        <v>4694</v>
      </c>
    </row>
    <row r="1286" spans="1:96" x14ac:dyDescent="0.2">
      <c r="A1286" t="s">
        <v>12078</v>
      </c>
      <c r="B1286" t="s">
        <v>96</v>
      </c>
      <c r="C1286" s="1">
        <v>44098</v>
      </c>
      <c r="D1286" s="1">
        <v>44105</v>
      </c>
      <c r="F1286" t="s">
        <v>97</v>
      </c>
      <c r="G1286" t="str">
        <f>"Software Engineer"</f>
        <v>Software Engineer</v>
      </c>
      <c r="H1286" t="s">
        <v>12169</v>
      </c>
      <c r="I1286" t="s">
        <v>124</v>
      </c>
      <c r="J1286" t="s">
        <v>98</v>
      </c>
      <c r="K1286" s="1">
        <v>44279</v>
      </c>
      <c r="L1286" s="1">
        <v>45374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 t="s">
        <v>173</v>
      </c>
      <c r="U1286" t="str">
        <f>""</f>
        <v/>
      </c>
      <c r="V1286" t="s">
        <v>174</v>
      </c>
      <c r="W1286" t="str">
        <f>"N/A"</f>
        <v>N/A</v>
      </c>
      <c r="X1286" t="s">
        <v>175</v>
      </c>
      <c r="Y1286" t="s">
        <v>176</v>
      </c>
      <c r="Z1286" s="3">
        <v>98052</v>
      </c>
      <c r="AA1286" t="s">
        <v>101</v>
      </c>
      <c r="AC1286" s="4" t="str">
        <f>"+14258828080"</f>
        <v>+14258828080</v>
      </c>
      <c r="AE1286" t="str">
        <f>"51121"</f>
        <v>51121</v>
      </c>
      <c r="AF1286" t="s">
        <v>177</v>
      </c>
      <c r="AG1286" t="s">
        <v>178</v>
      </c>
      <c r="AI1286" t="s">
        <v>179</v>
      </c>
      <c r="AJ1286" t="s">
        <v>174</v>
      </c>
      <c r="AK1286" t="str">
        <f>""</f>
        <v/>
      </c>
      <c r="AL1286" t="s">
        <v>175</v>
      </c>
      <c r="AM1286" t="s">
        <v>176</v>
      </c>
      <c r="AN1286" s="3">
        <v>98052</v>
      </c>
      <c r="AO1286" t="s">
        <v>101</v>
      </c>
      <c r="AQ1286" t="str">
        <f>"+14258828080"</f>
        <v>+14258828080</v>
      </c>
      <c r="AS1286" t="s">
        <v>180</v>
      </c>
      <c r="AT1286" t="s">
        <v>102</v>
      </c>
      <c r="AU1286" t="str">
        <f>""</f>
        <v/>
      </c>
      <c r="AV1286" t="str">
        <f>""</f>
        <v/>
      </c>
      <c r="AW1286" t="str">
        <f>""</f>
        <v/>
      </c>
      <c r="AX1286" t="str">
        <f>""</f>
        <v/>
      </c>
      <c r="AY1286" t="str">
        <f>""</f>
        <v/>
      </c>
      <c r="AZ1286" t="str">
        <f>""</f>
        <v/>
      </c>
      <c r="BA1286" t="str">
        <f>""</f>
        <v/>
      </c>
      <c r="BC1286" t="str">
        <f>""</f>
        <v/>
      </c>
      <c r="BD1286" t="str">
        <f>""</f>
        <v/>
      </c>
      <c r="BE1286" t="str">
        <f>""</f>
        <v/>
      </c>
      <c r="BF1286" t="str">
        <f>""</f>
        <v/>
      </c>
      <c r="BG1286" t="str">
        <f>""</f>
        <v/>
      </c>
      <c r="BH1286" t="str">
        <f>""</f>
        <v/>
      </c>
      <c r="BI1286" t="str">
        <f>""</f>
        <v/>
      </c>
      <c r="BJ1286" t="str">
        <f>""</f>
        <v/>
      </c>
      <c r="BK1286">
        <v>1</v>
      </c>
      <c r="BL1286" t="s">
        <v>102</v>
      </c>
      <c r="BM1286" t="str">
        <f>""</f>
        <v/>
      </c>
      <c r="BN1286" t="s">
        <v>962</v>
      </c>
      <c r="BP1286" t="s">
        <v>175</v>
      </c>
      <c r="BQ1286" t="s">
        <v>183</v>
      </c>
      <c r="BR1286" t="s">
        <v>176</v>
      </c>
      <c r="BS1286" s="5">
        <v>98052</v>
      </c>
      <c r="BT1286" s="2">
        <v>198912</v>
      </c>
      <c r="BV1286" t="s">
        <v>105</v>
      </c>
      <c r="BW1286" s="2">
        <v>155106</v>
      </c>
      <c r="BX1286" t="s">
        <v>105</v>
      </c>
      <c r="BZ1286" t="s">
        <v>159</v>
      </c>
      <c r="CA1286" t="str">
        <f t="shared" si="102"/>
        <v>7/1/2020 - 6/30/2021</v>
      </c>
      <c r="CF1286">
        <v>1</v>
      </c>
      <c r="CG1286" t="s">
        <v>98</v>
      </c>
      <c r="CH1286" t="s">
        <v>206</v>
      </c>
      <c r="CI1286" t="s">
        <v>206</v>
      </c>
      <c r="CL1286" t="s">
        <v>108</v>
      </c>
      <c r="CM1286" t="s">
        <v>109</v>
      </c>
      <c r="CN1286" t="str">
        <f>"DSOUZA"</f>
        <v>DSOUZA</v>
      </c>
      <c r="CO1286" t="str">
        <f>"MACLIFF"</f>
        <v>MACLIFF</v>
      </c>
      <c r="CP1286" t="str">
        <f>"N/A"</f>
        <v>N/A</v>
      </c>
      <c r="CQ1286" t="str">
        <f>"INTEGREON MANAGED SOLUTIONS (INDIA) PVT LTD"</f>
        <v>INTEGREON MANAGED SOLUTIONS (INDIA) PVT LTD</v>
      </c>
      <c r="CR1286" t="s">
        <v>1842</v>
      </c>
    </row>
    <row r="1287" spans="1:96" x14ac:dyDescent="0.2">
      <c r="A1287" t="s">
        <v>12080</v>
      </c>
      <c r="B1287" t="s">
        <v>96</v>
      </c>
      <c r="C1287" s="1">
        <v>44098</v>
      </c>
      <c r="D1287" s="1">
        <v>44105</v>
      </c>
      <c r="F1287" t="s">
        <v>97</v>
      </c>
      <c r="G1287" t="str">
        <f>"Industrial Engineer"</f>
        <v>Industrial Engineer</v>
      </c>
      <c r="H1287" t="s">
        <v>12224</v>
      </c>
      <c r="I1287" t="s">
        <v>198</v>
      </c>
      <c r="J1287" t="s">
        <v>98</v>
      </c>
      <c r="K1287" s="1">
        <v>44105</v>
      </c>
      <c r="L1287" s="1">
        <v>45199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12081</v>
      </c>
      <c r="U1287" t="str">
        <f>""</f>
        <v/>
      </c>
      <c r="V1287" t="s">
        <v>12082</v>
      </c>
      <c r="W1287" t="str">
        <f>""</f>
        <v/>
      </c>
      <c r="X1287" t="s">
        <v>2775</v>
      </c>
      <c r="Y1287" t="s">
        <v>114</v>
      </c>
      <c r="Z1287" s="3">
        <v>76177</v>
      </c>
      <c r="AA1287" t="s">
        <v>101</v>
      </c>
      <c r="AC1287" s="4" t="str">
        <f>"+18175679200"</f>
        <v>+18175679200</v>
      </c>
      <c r="AE1287" t="str">
        <f>"811211"</f>
        <v>811211</v>
      </c>
      <c r="AF1287" t="s">
        <v>3738</v>
      </c>
      <c r="AG1287" t="s">
        <v>1386</v>
      </c>
      <c r="AH1287" t="s">
        <v>2895</v>
      </c>
      <c r="AI1287" t="s">
        <v>298</v>
      </c>
      <c r="AJ1287" t="s">
        <v>12083</v>
      </c>
      <c r="AK1287" t="str">
        <f>""</f>
        <v/>
      </c>
      <c r="AL1287" t="s">
        <v>1001</v>
      </c>
      <c r="AM1287" t="s">
        <v>114</v>
      </c>
      <c r="AN1287" s="3">
        <v>76177</v>
      </c>
      <c r="AO1287" t="s">
        <v>101</v>
      </c>
      <c r="AQ1287" t="str">
        <f>"+18478777869"</f>
        <v>+18478777869</v>
      </c>
      <c r="AS1287" t="s">
        <v>12084</v>
      </c>
      <c r="AT1287" t="s">
        <v>107</v>
      </c>
      <c r="AU1287" t="str">
        <f>"Chang"</f>
        <v>Chang</v>
      </c>
      <c r="AV1287" t="str">
        <f>"Yu-Ju"</f>
        <v>Yu-Ju</v>
      </c>
      <c r="AW1287" t="str">
        <f>""</f>
        <v/>
      </c>
      <c r="AX1287" t="str">
        <f>"12700 Hillcrest Road, Suite 271"</f>
        <v>12700 Hillcrest Road, Suite 271</v>
      </c>
      <c r="AY1287" t="str">
        <f>""</f>
        <v/>
      </c>
      <c r="AZ1287" t="str">
        <f>"Dallas"</f>
        <v>Dallas</v>
      </c>
      <c r="BA1287" t="str">
        <f>"TX"</f>
        <v>TX</v>
      </c>
      <c r="BB1287" s="3">
        <v>75230</v>
      </c>
      <c r="BC1287" t="str">
        <f>"UNITED STATES OF AMERICA"</f>
        <v>UNITED STATES OF AMERICA</v>
      </c>
      <c r="BD1287" t="str">
        <f>""</f>
        <v/>
      </c>
      <c r="BE1287" t="str">
        <f>"+19726611188"</f>
        <v>+19726611188</v>
      </c>
      <c r="BF1287" t="str">
        <f>""</f>
        <v/>
      </c>
      <c r="BG1287" t="str">
        <f>"yc@vcandchang.com"</f>
        <v>yc@vcandchang.com</v>
      </c>
      <c r="BH1287" t="str">
        <f>"Yu-Ju Chang, Attorney at Law"</f>
        <v>Yu-Ju Chang, Attorney at Law</v>
      </c>
      <c r="BI1287" t="str">
        <f>"NY"</f>
        <v>NY</v>
      </c>
      <c r="BJ1287" t="str">
        <f>"THE NEW YORK STATE COURT OF APPEALS"</f>
        <v>THE NEW YORK STATE COURT OF APPEALS</v>
      </c>
      <c r="BK1287">
        <v>1</v>
      </c>
      <c r="BL1287" t="s">
        <v>102</v>
      </c>
      <c r="BM1287" t="str">
        <f>""</f>
        <v/>
      </c>
      <c r="BN1287" t="s">
        <v>12082</v>
      </c>
      <c r="BP1287" t="s">
        <v>12085</v>
      </c>
      <c r="BQ1287" t="s">
        <v>792</v>
      </c>
      <c r="BR1287" t="s">
        <v>114</v>
      </c>
      <c r="BS1287" s="5">
        <v>76177</v>
      </c>
      <c r="BT1287" s="2">
        <v>69389</v>
      </c>
      <c r="BV1287" t="s">
        <v>105</v>
      </c>
      <c r="BW1287" s="2">
        <v>69389</v>
      </c>
      <c r="BX1287" t="s">
        <v>105</v>
      </c>
      <c r="BZ1287" t="s">
        <v>191</v>
      </c>
      <c r="CA1287" t="str">
        <f t="shared" si="102"/>
        <v>7/1/2020 - 6/30/2021</v>
      </c>
      <c r="CF1287">
        <v>1</v>
      </c>
      <c r="CG1287" t="s">
        <v>98</v>
      </c>
      <c r="CH1287" t="s">
        <v>206</v>
      </c>
      <c r="CI1287" t="s">
        <v>206</v>
      </c>
      <c r="CL1287" t="s">
        <v>108</v>
      </c>
      <c r="CM1287" t="s">
        <v>109</v>
      </c>
      <c r="CN1287" t="str">
        <f>""</f>
        <v/>
      </c>
      <c r="CO1287" t="str">
        <f>""</f>
        <v/>
      </c>
      <c r="CP1287" t="str">
        <f>""</f>
        <v/>
      </c>
      <c r="CQ1287" t="str">
        <f>""</f>
        <v/>
      </c>
    </row>
    <row r="1288" spans="1:96" x14ac:dyDescent="0.2">
      <c r="A1288" t="s">
        <v>12086</v>
      </c>
      <c r="B1288" t="s">
        <v>96</v>
      </c>
      <c r="C1288" s="1">
        <v>44098</v>
      </c>
      <c r="D1288" s="1">
        <v>44105</v>
      </c>
      <c r="F1288" t="s">
        <v>97</v>
      </c>
      <c r="G1288" t="str">
        <f>"Software Development Engineer"</f>
        <v>Software Development Engineer</v>
      </c>
      <c r="H1288" t="s">
        <v>12169</v>
      </c>
      <c r="I1288" t="s">
        <v>124</v>
      </c>
      <c r="J1288" t="s">
        <v>98</v>
      </c>
      <c r="K1288" s="1">
        <v>44130</v>
      </c>
      <c r="L1288" s="1">
        <v>45224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12087</v>
      </c>
      <c r="U1288" t="str">
        <f>""</f>
        <v/>
      </c>
      <c r="V1288" t="s">
        <v>12088</v>
      </c>
      <c r="W1288" t="str">
        <f>""</f>
        <v/>
      </c>
      <c r="X1288" t="s">
        <v>261</v>
      </c>
      <c r="Y1288" t="s">
        <v>176</v>
      </c>
      <c r="Z1288" s="3">
        <v>98199</v>
      </c>
      <c r="AA1288" t="s">
        <v>101</v>
      </c>
      <c r="AC1288" s="4" t="str">
        <f>"+16175139689"</f>
        <v>+16175139689</v>
      </c>
      <c r="AE1288" t="str">
        <f>"511210"</f>
        <v>511210</v>
      </c>
      <c r="AF1288" t="s">
        <v>4285</v>
      </c>
      <c r="AG1288" t="s">
        <v>12089</v>
      </c>
      <c r="AI1288" t="s">
        <v>5144</v>
      </c>
      <c r="AJ1288" t="s">
        <v>12088</v>
      </c>
      <c r="AK1288" t="str">
        <f>""</f>
        <v/>
      </c>
      <c r="AL1288" t="s">
        <v>261</v>
      </c>
      <c r="AM1288" t="s">
        <v>176</v>
      </c>
      <c r="AN1288" s="3">
        <v>98199</v>
      </c>
      <c r="AO1288" t="s">
        <v>101</v>
      </c>
      <c r="AQ1288" t="str">
        <f>"+16175139689"</f>
        <v>+16175139689</v>
      </c>
      <c r="AS1288" t="s">
        <v>12090</v>
      </c>
      <c r="AT1288" t="s">
        <v>107</v>
      </c>
      <c r="AU1288" t="str">
        <f>"Schaham Gordon"</f>
        <v>Schaham Gordon</v>
      </c>
      <c r="AV1288" t="str">
        <f>"Gali"</f>
        <v>Gali</v>
      </c>
      <c r="AW1288" t="str">
        <f>""</f>
        <v/>
      </c>
      <c r="AX1288" t="str">
        <f>"461 2nd Street"</f>
        <v>461 2nd Street</v>
      </c>
      <c r="AY1288" t="str">
        <f>"#C301"</f>
        <v>#C301</v>
      </c>
      <c r="AZ1288" t="str">
        <f>"San Francisco"</f>
        <v>San Francisco</v>
      </c>
      <c r="BA1288" t="str">
        <f>"CA"</f>
        <v>CA</v>
      </c>
      <c r="BB1288" s="3">
        <v>94107</v>
      </c>
      <c r="BC1288" t="str">
        <f>"UNITED STATES OF AMERICA"</f>
        <v>UNITED STATES OF AMERICA</v>
      </c>
      <c r="BD1288" t="str">
        <f>""</f>
        <v/>
      </c>
      <c r="BE1288" t="str">
        <f>"+14152841601"</f>
        <v>+14152841601</v>
      </c>
      <c r="BF1288" t="str">
        <f>""</f>
        <v/>
      </c>
      <c r="BG1288" t="str">
        <f>"team@gordonlawgrouppc.com"</f>
        <v>team@gordonlawgrouppc.com</v>
      </c>
      <c r="BH1288" t="str">
        <f>"Gordon Law Group PC"</f>
        <v>Gordon Law Group PC</v>
      </c>
      <c r="BI1288" t="str">
        <f>"CA"</f>
        <v>CA</v>
      </c>
      <c r="BJ1288" t="str">
        <f>"Supreme Court"</f>
        <v>Supreme Court</v>
      </c>
      <c r="BK1288">
        <v>1</v>
      </c>
      <c r="BL1288" t="s">
        <v>102</v>
      </c>
      <c r="BM1288" t="str">
        <f>""</f>
        <v/>
      </c>
      <c r="BN1288" t="s">
        <v>12088</v>
      </c>
      <c r="BP1288" t="s">
        <v>261</v>
      </c>
      <c r="BQ1288" t="s">
        <v>183</v>
      </c>
      <c r="BR1288" t="s">
        <v>176</v>
      </c>
      <c r="BS1288" s="5">
        <v>98199</v>
      </c>
      <c r="BT1288" s="2">
        <v>96000</v>
      </c>
      <c r="BV1288" t="s">
        <v>105</v>
      </c>
      <c r="BW1288" s="2">
        <v>92102</v>
      </c>
      <c r="BX1288" t="s">
        <v>105</v>
      </c>
      <c r="BZ1288" t="s">
        <v>191</v>
      </c>
      <c r="CA1288" t="str">
        <f t="shared" si="102"/>
        <v>7/1/2020 - 6/30/2021</v>
      </c>
      <c r="CF1288">
        <v>1</v>
      </c>
      <c r="CG1288" t="s">
        <v>98</v>
      </c>
      <c r="CH1288" t="s">
        <v>206</v>
      </c>
      <c r="CI1288" t="s">
        <v>206</v>
      </c>
      <c r="CL1288" t="s">
        <v>108</v>
      </c>
      <c r="CM1288" t="s">
        <v>109</v>
      </c>
      <c r="CN1288" t="str">
        <f>""</f>
        <v/>
      </c>
      <c r="CO1288" t="str">
        <f>""</f>
        <v/>
      </c>
      <c r="CP1288" t="str">
        <f>""</f>
        <v/>
      </c>
      <c r="CQ1288" t="str">
        <f>""</f>
        <v/>
      </c>
    </row>
    <row r="1289" spans="1:96" x14ac:dyDescent="0.2">
      <c r="A1289" t="s">
        <v>12094</v>
      </c>
      <c r="B1289" t="s">
        <v>96</v>
      </c>
      <c r="C1289" s="1">
        <v>44098</v>
      </c>
      <c r="D1289" s="1">
        <v>44105</v>
      </c>
      <c r="F1289" t="s">
        <v>97</v>
      </c>
      <c r="G1289" t="str">
        <f>"Cybersecurity Enablement Engineer"</f>
        <v>Cybersecurity Enablement Engineer</v>
      </c>
      <c r="H1289" t="s">
        <v>12197</v>
      </c>
      <c r="I1289" t="s">
        <v>137</v>
      </c>
      <c r="J1289" t="s">
        <v>98</v>
      </c>
      <c r="K1289" s="1">
        <v>44109</v>
      </c>
      <c r="L1289" s="1">
        <v>45203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 t="s">
        <v>9539</v>
      </c>
      <c r="U1289" t="str">
        <f>""</f>
        <v/>
      </c>
      <c r="V1289" t="s">
        <v>6490</v>
      </c>
      <c r="W1289" t="str">
        <f>"Office 229 E-4"</f>
        <v>Office 229 E-4</v>
      </c>
      <c r="X1289" t="s">
        <v>1240</v>
      </c>
      <c r="Y1289" t="s">
        <v>265</v>
      </c>
      <c r="Z1289" s="3">
        <v>48126</v>
      </c>
      <c r="AA1289" t="s">
        <v>101</v>
      </c>
      <c r="AC1289" s="4" t="str">
        <f>"+13138450173"</f>
        <v>+13138450173</v>
      </c>
      <c r="AE1289" t="str">
        <f>"33611"</f>
        <v>33611</v>
      </c>
      <c r="AF1289" t="s">
        <v>2375</v>
      </c>
      <c r="AG1289" t="s">
        <v>2376</v>
      </c>
      <c r="AH1289" t="s">
        <v>2377</v>
      </c>
      <c r="AI1289" t="s">
        <v>2378</v>
      </c>
      <c r="AJ1289" t="s">
        <v>2373</v>
      </c>
      <c r="AK1289" t="str">
        <f>"OFFICE 229 E-4"</f>
        <v>OFFICE 229 E-4</v>
      </c>
      <c r="AL1289" t="s">
        <v>2374</v>
      </c>
      <c r="AM1289" t="s">
        <v>265</v>
      </c>
      <c r="AN1289" s="3">
        <v>48126</v>
      </c>
      <c r="AO1289" t="s">
        <v>101</v>
      </c>
      <c r="AQ1289" t="str">
        <f>"+13138450173"</f>
        <v>+13138450173</v>
      </c>
      <c r="AS1289" t="s">
        <v>2379</v>
      </c>
      <c r="AT1289" t="s">
        <v>107</v>
      </c>
      <c r="AU1289" t="str">
        <f>"Sherman"</f>
        <v>Sherman</v>
      </c>
      <c r="AV1289" t="str">
        <f>"Kyle"</f>
        <v>Kyle</v>
      </c>
      <c r="AW1289" t="str">
        <f>""</f>
        <v/>
      </c>
      <c r="AX1289" t="str">
        <f>"1355 Peachtree St. NE"</f>
        <v>1355 Peachtree St. NE</v>
      </c>
      <c r="AY1289" t="str">
        <f>"Suite 900"</f>
        <v>Suite 900</v>
      </c>
      <c r="AZ1289" t="str">
        <f>"Atlanta"</f>
        <v>Atlanta</v>
      </c>
      <c r="BA1289" t="str">
        <f>"GA"</f>
        <v>GA</v>
      </c>
      <c r="BB1289" s="3">
        <v>30309</v>
      </c>
      <c r="BC1289" t="str">
        <f>"UNITED STATES OF AMERICA"</f>
        <v>UNITED STATES OF AMERICA</v>
      </c>
      <c r="BD1289" t="str">
        <f>""</f>
        <v/>
      </c>
      <c r="BE1289" t="str">
        <f>"+14048565532"</f>
        <v>+14048565532</v>
      </c>
      <c r="BF1289" t="str">
        <f>""</f>
        <v/>
      </c>
      <c r="BG1289" t="str">
        <f>"aahoward@fragomen.com"</f>
        <v>aahoward@fragomen.com</v>
      </c>
      <c r="BH1289" t="str">
        <f>"Fragomen, Del Rey, Bernsen &amp; Loewy, LLP"</f>
        <v>Fragomen, Del Rey, Bernsen &amp; Loewy, LLP</v>
      </c>
      <c r="BI1289" t="str">
        <f>"GA"</f>
        <v>GA</v>
      </c>
      <c r="BJ1289" t="str">
        <f>"Supreme Court"</f>
        <v>Supreme Court</v>
      </c>
      <c r="BK1289">
        <v>1</v>
      </c>
      <c r="BL1289" t="s">
        <v>102</v>
      </c>
      <c r="BM1289" t="str">
        <f>""</f>
        <v/>
      </c>
      <c r="BN1289" t="s">
        <v>12095</v>
      </c>
      <c r="BP1289" t="s">
        <v>4549</v>
      </c>
      <c r="BQ1289" t="s">
        <v>533</v>
      </c>
      <c r="BR1289" t="s">
        <v>265</v>
      </c>
      <c r="BS1289" s="5">
        <v>48187</v>
      </c>
      <c r="BT1289" s="2">
        <v>105664</v>
      </c>
      <c r="BU1289" s="2">
        <v>187200</v>
      </c>
      <c r="BV1289" t="s">
        <v>105</v>
      </c>
      <c r="BW1289" s="2">
        <v>105664</v>
      </c>
      <c r="BX1289" t="s">
        <v>105</v>
      </c>
      <c r="BZ1289" t="s">
        <v>159</v>
      </c>
      <c r="CA1289" t="str">
        <f t="shared" si="102"/>
        <v>7/1/2020 - 6/30/2021</v>
      </c>
      <c r="CF1289">
        <v>1</v>
      </c>
      <c r="CG1289" t="s">
        <v>98</v>
      </c>
      <c r="CH1289" t="s">
        <v>206</v>
      </c>
      <c r="CI1289" t="s">
        <v>206</v>
      </c>
      <c r="CL1289" t="s">
        <v>108</v>
      </c>
      <c r="CM1289" t="s">
        <v>109</v>
      </c>
      <c r="CN1289" t="str">
        <f>""</f>
        <v/>
      </c>
      <c r="CO1289" t="str">
        <f>""</f>
        <v/>
      </c>
      <c r="CP1289" t="str">
        <f>""</f>
        <v/>
      </c>
      <c r="CQ1289" t="str">
        <f>""</f>
        <v/>
      </c>
    </row>
    <row r="1290" spans="1:96" x14ac:dyDescent="0.2">
      <c r="A1290" t="s">
        <v>12096</v>
      </c>
      <c r="B1290" t="s">
        <v>96</v>
      </c>
      <c r="C1290" s="1">
        <v>44098</v>
      </c>
      <c r="D1290" s="1">
        <v>44105</v>
      </c>
      <c r="F1290" t="s">
        <v>97</v>
      </c>
      <c r="G1290" t="str">
        <f>"Senior Software Engineer"</f>
        <v>Senior Software Engineer</v>
      </c>
      <c r="H1290" t="s">
        <v>12169</v>
      </c>
      <c r="I1290" t="s">
        <v>124</v>
      </c>
      <c r="J1290" t="s">
        <v>98</v>
      </c>
      <c r="K1290" s="1">
        <v>44116</v>
      </c>
      <c r="L1290" s="1">
        <v>45210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 t="s">
        <v>9500</v>
      </c>
      <c r="U1290" t="str">
        <f>""</f>
        <v/>
      </c>
      <c r="V1290" t="s">
        <v>9501</v>
      </c>
      <c r="W1290" t="str">
        <f>""</f>
        <v/>
      </c>
      <c r="X1290" t="s">
        <v>585</v>
      </c>
      <c r="Y1290" t="s">
        <v>141</v>
      </c>
      <c r="Z1290" s="3">
        <v>95002</v>
      </c>
      <c r="AA1290" t="s">
        <v>101</v>
      </c>
      <c r="AC1290" s="4" t="str">
        <f>"+16509699500"</f>
        <v>+16509699500</v>
      </c>
      <c r="AE1290" t="str">
        <f>"511210"</f>
        <v>511210</v>
      </c>
      <c r="AF1290" t="s">
        <v>9502</v>
      </c>
      <c r="AG1290" t="s">
        <v>5195</v>
      </c>
      <c r="AI1290" t="s">
        <v>646</v>
      </c>
      <c r="AJ1290" t="s">
        <v>9501</v>
      </c>
      <c r="AK1290" t="str">
        <f>""</f>
        <v/>
      </c>
      <c r="AL1290" t="s">
        <v>585</v>
      </c>
      <c r="AM1290" t="s">
        <v>141</v>
      </c>
      <c r="AN1290" s="3">
        <v>95002</v>
      </c>
      <c r="AO1290" t="s">
        <v>101</v>
      </c>
      <c r="AQ1290" t="str">
        <f>"+16509699500"</f>
        <v>+16509699500</v>
      </c>
      <c r="AS1290" t="s">
        <v>9503</v>
      </c>
      <c r="AT1290" t="s">
        <v>107</v>
      </c>
      <c r="AU1290" t="str">
        <f>"Schulz"</f>
        <v>Schulz</v>
      </c>
      <c r="AV1290" t="str">
        <f>"C. Matthew"</f>
        <v>C. Matthew</v>
      </c>
      <c r="AW1290" t="str">
        <f>""</f>
        <v/>
      </c>
      <c r="AX1290" t="str">
        <f>"1999 Harrison Street, Suite 1300"</f>
        <v>1999 Harrison Street, Suite 1300</v>
      </c>
      <c r="AY1290" t="str">
        <f>""</f>
        <v/>
      </c>
      <c r="AZ1290" t="str">
        <f>"Oakland"</f>
        <v>Oakland</v>
      </c>
      <c r="BA1290" t="str">
        <f>"CA"</f>
        <v>CA</v>
      </c>
      <c r="BB1290" s="3">
        <v>94612</v>
      </c>
      <c r="BC1290" t="str">
        <f>"UNITED STATES OF AMERICA"</f>
        <v>UNITED STATES OF AMERICA</v>
      </c>
      <c r="BD1290" t="str">
        <f>""</f>
        <v/>
      </c>
      <c r="BE1290" t="str">
        <f>"+16507980361"</f>
        <v>+16507980361</v>
      </c>
      <c r="BF1290" t="str">
        <f>""</f>
        <v/>
      </c>
      <c r="BG1290" t="str">
        <f>"matthew.schulz@dentons.com"</f>
        <v>matthew.schulz@dentons.com</v>
      </c>
      <c r="BH1290" t="str">
        <f>"Dentons US LLP"</f>
        <v>Dentons US LLP</v>
      </c>
      <c r="BI1290" t="str">
        <f>"CA"</f>
        <v>CA</v>
      </c>
      <c r="BJ1290" t="str">
        <f>"Supreme Court"</f>
        <v>Supreme Court</v>
      </c>
      <c r="BK1290">
        <v>1</v>
      </c>
      <c r="BL1290" t="s">
        <v>102</v>
      </c>
      <c r="BM1290" t="str">
        <f>""</f>
        <v/>
      </c>
      <c r="BN1290" t="s">
        <v>9501</v>
      </c>
      <c r="BP1290" t="s">
        <v>585</v>
      </c>
      <c r="BQ1290" t="s">
        <v>230</v>
      </c>
      <c r="BR1290" t="s">
        <v>141</v>
      </c>
      <c r="BS1290" s="5">
        <v>95002</v>
      </c>
      <c r="BT1290" s="2">
        <v>145725</v>
      </c>
      <c r="BU1290" s="2">
        <v>160000</v>
      </c>
      <c r="BV1290" t="s">
        <v>105</v>
      </c>
      <c r="BW1290" s="2">
        <v>145725</v>
      </c>
      <c r="BX1290" t="s">
        <v>105</v>
      </c>
      <c r="BZ1290" t="s">
        <v>123</v>
      </c>
      <c r="CA1290" t="str">
        <f t="shared" si="102"/>
        <v>7/1/2020 - 6/30/2021</v>
      </c>
      <c r="CF1290">
        <v>1</v>
      </c>
      <c r="CG1290" t="s">
        <v>98</v>
      </c>
      <c r="CH1290" t="s">
        <v>206</v>
      </c>
      <c r="CI1290" t="s">
        <v>206</v>
      </c>
      <c r="CL1290" t="s">
        <v>108</v>
      </c>
      <c r="CM1290" t="s">
        <v>109</v>
      </c>
      <c r="CN1290" t="str">
        <f>"Schulz"</f>
        <v>Schulz</v>
      </c>
      <c r="CO1290" t="str">
        <f>"C. Matthew"</f>
        <v>C. Matthew</v>
      </c>
      <c r="CP1290" t="str">
        <f>""</f>
        <v/>
      </c>
      <c r="CQ1290" t="str">
        <f>"Dentons US LLP"</f>
        <v>Dentons US LLP</v>
      </c>
      <c r="CR1290" t="s">
        <v>4413</v>
      </c>
    </row>
    <row r="1291" spans="1:96" x14ac:dyDescent="0.2">
      <c r="A1291" t="s">
        <v>12097</v>
      </c>
      <c r="B1291" t="s">
        <v>96</v>
      </c>
      <c r="C1291" s="1">
        <v>44098</v>
      </c>
      <c r="D1291" s="1">
        <v>44105</v>
      </c>
      <c r="F1291" t="s">
        <v>97</v>
      </c>
      <c r="G1291" t="str">
        <f>"Consultant"</f>
        <v>Consultant</v>
      </c>
      <c r="H1291" t="s">
        <v>12214</v>
      </c>
      <c r="I1291" t="s">
        <v>276</v>
      </c>
      <c r="J1291" t="s">
        <v>98</v>
      </c>
      <c r="K1291" s="1">
        <v>44105</v>
      </c>
      <c r="L1291" s="1">
        <v>45199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838</v>
      </c>
      <c r="U1291" t="str">
        <f>""</f>
        <v/>
      </c>
      <c r="V1291" t="s">
        <v>839</v>
      </c>
      <c r="W1291" t="str">
        <f>""</f>
        <v/>
      </c>
      <c r="X1291" t="s">
        <v>833</v>
      </c>
      <c r="Y1291" t="s">
        <v>345</v>
      </c>
      <c r="Z1291" s="3">
        <v>60601</v>
      </c>
      <c r="AA1291" t="s">
        <v>101</v>
      </c>
      <c r="AC1291" s="4" t="str">
        <f>"+13126930161"</f>
        <v>+13126930161</v>
      </c>
      <c r="AE1291" t="str">
        <f>"5416"</f>
        <v>5416</v>
      </c>
      <c r="AF1291" t="s">
        <v>840</v>
      </c>
      <c r="AG1291" t="s">
        <v>841</v>
      </c>
      <c r="AI1291" t="s">
        <v>417</v>
      </c>
      <c r="AJ1291" t="s">
        <v>842</v>
      </c>
      <c r="AK1291" t="str">
        <f>""</f>
        <v/>
      </c>
      <c r="AL1291" t="s">
        <v>843</v>
      </c>
      <c r="AM1291" t="s">
        <v>345</v>
      </c>
      <c r="AN1291" s="3">
        <v>60601</v>
      </c>
      <c r="AO1291" t="s">
        <v>101</v>
      </c>
      <c r="AQ1291" t="str">
        <f>"+13126932825"</f>
        <v>+13126932825</v>
      </c>
      <c r="AS1291" t="s">
        <v>844</v>
      </c>
      <c r="AT1291" t="s">
        <v>102</v>
      </c>
      <c r="AU1291" t="str">
        <f>""</f>
        <v/>
      </c>
      <c r="AV1291" t="str">
        <f>""</f>
        <v/>
      </c>
      <c r="AW1291" t="str">
        <f>""</f>
        <v/>
      </c>
      <c r="AX1291" t="str">
        <f>""</f>
        <v/>
      </c>
      <c r="AY1291" t="str">
        <f>""</f>
        <v/>
      </c>
      <c r="AZ1291" t="str">
        <f>""</f>
        <v/>
      </c>
      <c r="BA1291" t="str">
        <f>""</f>
        <v/>
      </c>
      <c r="BC1291" t="str">
        <f>""</f>
        <v/>
      </c>
      <c r="BD1291" t="str">
        <f>""</f>
        <v/>
      </c>
      <c r="BE1291" t="str">
        <f>""</f>
        <v/>
      </c>
      <c r="BF1291" t="str">
        <f>""</f>
        <v/>
      </c>
      <c r="BG1291" t="str">
        <f>""</f>
        <v/>
      </c>
      <c r="BH1291" t="str">
        <f>""</f>
        <v/>
      </c>
      <c r="BI1291" t="str">
        <f>""</f>
        <v/>
      </c>
      <c r="BJ1291" t="str">
        <f>""</f>
        <v/>
      </c>
      <c r="BK1291">
        <v>1</v>
      </c>
      <c r="BL1291" t="s">
        <v>102</v>
      </c>
      <c r="BM1291" t="str">
        <f>""</f>
        <v/>
      </c>
      <c r="BN1291" t="s">
        <v>11400</v>
      </c>
      <c r="BP1291" t="s">
        <v>1152</v>
      </c>
      <c r="BQ1291" t="s">
        <v>640</v>
      </c>
      <c r="BR1291" t="s">
        <v>641</v>
      </c>
      <c r="BS1291" s="5">
        <v>72712</v>
      </c>
      <c r="BT1291" s="2">
        <v>90000</v>
      </c>
      <c r="BU1291" s="2">
        <v>120000</v>
      </c>
      <c r="BV1291" t="s">
        <v>105</v>
      </c>
      <c r="BW1291" s="2">
        <v>78166</v>
      </c>
      <c r="BX1291" t="s">
        <v>105</v>
      </c>
      <c r="BZ1291" t="s">
        <v>167</v>
      </c>
      <c r="CA1291" t="str">
        <f t="shared" si="102"/>
        <v>7/1/2020 - 6/30/2021</v>
      </c>
      <c r="CF1291">
        <v>1</v>
      </c>
      <c r="CG1291" t="s">
        <v>98</v>
      </c>
      <c r="CH1291" t="s">
        <v>206</v>
      </c>
      <c r="CI1291" t="s">
        <v>206</v>
      </c>
      <c r="CL1291" t="s">
        <v>108</v>
      </c>
      <c r="CM1291" t="s">
        <v>109</v>
      </c>
      <c r="CN1291" t="str">
        <f>""</f>
        <v/>
      </c>
      <c r="CO1291" t="str">
        <f>""</f>
        <v/>
      </c>
      <c r="CP1291" t="str">
        <f>""</f>
        <v/>
      </c>
      <c r="CQ1291" t="str">
        <f>""</f>
        <v/>
      </c>
    </row>
    <row r="1292" spans="1:96" x14ac:dyDescent="0.2">
      <c r="A1292" t="s">
        <v>12100</v>
      </c>
      <c r="B1292" t="s">
        <v>96</v>
      </c>
      <c r="C1292" s="1">
        <v>44098</v>
      </c>
      <c r="D1292" s="1">
        <v>44105</v>
      </c>
      <c r="F1292" t="s">
        <v>97</v>
      </c>
      <c r="G1292" t="str">
        <f>"Application Developer IV"</f>
        <v>Application Developer IV</v>
      </c>
      <c r="H1292" t="s">
        <v>12169</v>
      </c>
      <c r="I1292" t="s">
        <v>124</v>
      </c>
      <c r="J1292" t="s">
        <v>98</v>
      </c>
      <c r="K1292" s="1">
        <v>44105</v>
      </c>
      <c r="L1292" s="1">
        <v>45199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 t="s">
        <v>3947</v>
      </c>
      <c r="U1292" t="str">
        <f>""</f>
        <v/>
      </c>
      <c r="V1292" t="s">
        <v>3948</v>
      </c>
      <c r="W1292" t="str">
        <f>"One AMC Way"</f>
        <v>One AMC Way</v>
      </c>
      <c r="X1292" t="s">
        <v>3949</v>
      </c>
      <c r="Y1292" t="s">
        <v>193</v>
      </c>
      <c r="Z1292" s="3">
        <v>66211</v>
      </c>
      <c r="AA1292" t="s">
        <v>101</v>
      </c>
      <c r="AC1292" s="4" t="str">
        <f>"+19132132243"</f>
        <v>+19132132243</v>
      </c>
      <c r="AE1292" t="str">
        <f>"512131"</f>
        <v>512131</v>
      </c>
      <c r="AF1292" t="s">
        <v>3950</v>
      </c>
      <c r="AG1292" t="s">
        <v>200</v>
      </c>
      <c r="AH1292" t="s">
        <v>3951</v>
      </c>
      <c r="AI1292" t="s">
        <v>3952</v>
      </c>
      <c r="AJ1292" t="s">
        <v>3953</v>
      </c>
      <c r="AK1292" t="str">
        <f>"One AMC Way"</f>
        <v>One AMC Way</v>
      </c>
      <c r="AL1292" t="s">
        <v>3949</v>
      </c>
      <c r="AM1292" t="s">
        <v>193</v>
      </c>
      <c r="AN1292" s="3">
        <v>66211</v>
      </c>
      <c r="AO1292" t="s">
        <v>101</v>
      </c>
      <c r="AQ1292" t="str">
        <f>"+19132132243"</f>
        <v>+19132132243</v>
      </c>
      <c r="AS1292" t="s">
        <v>3954</v>
      </c>
      <c r="AT1292" t="s">
        <v>107</v>
      </c>
      <c r="AU1292" t="str">
        <f>"Benet"</f>
        <v>Benet</v>
      </c>
      <c r="AV1292" t="str">
        <f>"William"</f>
        <v>William</v>
      </c>
      <c r="AW1292" t="str">
        <f>"N."</f>
        <v>N.</v>
      </c>
      <c r="AX1292" t="str">
        <f>"2000 S Colorado Blvd."</f>
        <v>2000 S Colorado Blvd.</v>
      </c>
      <c r="AY1292" t="str">
        <f>"Tower 3, Suite 900"</f>
        <v>Tower 3, Suite 900</v>
      </c>
      <c r="AZ1292" t="str">
        <f>"Denver"</f>
        <v>Denver</v>
      </c>
      <c r="BA1292" t="str">
        <f>"CO"</f>
        <v>CO</v>
      </c>
      <c r="BB1292" s="3">
        <v>80222</v>
      </c>
      <c r="BC1292" t="str">
        <f>"UNITED STATES OF AMERICA"</f>
        <v>UNITED STATES OF AMERICA</v>
      </c>
      <c r="BD1292" t="str">
        <f>""</f>
        <v/>
      </c>
      <c r="BE1292" t="str">
        <f>"+13037646800"</f>
        <v>+13037646800</v>
      </c>
      <c r="BF1292" t="str">
        <f>""</f>
        <v/>
      </c>
      <c r="BG1292" t="str">
        <f>"william.benet@ogletree.com"</f>
        <v>william.benet@ogletree.com</v>
      </c>
      <c r="BH1292" t="str">
        <f>"Ogletree Deakins"</f>
        <v>Ogletree Deakins</v>
      </c>
      <c r="BI1292" t="str">
        <f>"MN"</f>
        <v>MN</v>
      </c>
      <c r="BJ1292" t="str">
        <f>"Minnesota Supreme Court"</f>
        <v>Minnesota Supreme Court</v>
      </c>
      <c r="BK1292">
        <v>1</v>
      </c>
      <c r="BL1292" t="s">
        <v>102</v>
      </c>
      <c r="BM1292" t="str">
        <f>""</f>
        <v/>
      </c>
      <c r="BN1292" t="s">
        <v>3955</v>
      </c>
      <c r="BP1292" t="s">
        <v>3949</v>
      </c>
      <c r="BQ1292" t="s">
        <v>1372</v>
      </c>
      <c r="BR1292" t="s">
        <v>193</v>
      </c>
      <c r="BS1292" s="5">
        <v>66211</v>
      </c>
      <c r="BT1292" s="2">
        <v>52.19</v>
      </c>
      <c r="BU1292" s="2">
        <v>53.04</v>
      </c>
      <c r="BV1292" t="s">
        <v>210</v>
      </c>
      <c r="BW1292" s="2">
        <v>52.19</v>
      </c>
      <c r="BX1292" t="s">
        <v>210</v>
      </c>
      <c r="BZ1292" t="s">
        <v>159</v>
      </c>
      <c r="CA1292" t="str">
        <f t="shared" si="102"/>
        <v>7/1/2020 - 6/30/2021</v>
      </c>
      <c r="CF1292">
        <v>1</v>
      </c>
      <c r="CG1292" t="s">
        <v>98</v>
      </c>
      <c r="CH1292" t="s">
        <v>206</v>
      </c>
      <c r="CI1292" t="s">
        <v>206</v>
      </c>
      <c r="CL1292" t="s">
        <v>108</v>
      </c>
      <c r="CM1292" t="s">
        <v>109</v>
      </c>
      <c r="CN1292" t="str">
        <f>"Windhausen"</f>
        <v>Windhausen</v>
      </c>
      <c r="CO1292" t="str">
        <f>"Michelle"</f>
        <v>Michelle</v>
      </c>
      <c r="CP1292" t="str">
        <f>"A"</f>
        <v>A</v>
      </c>
      <c r="CQ1292" t="str">
        <f>"Ogletree Deakins"</f>
        <v>Ogletree Deakins</v>
      </c>
      <c r="CR1292" t="s">
        <v>1785</v>
      </c>
    </row>
    <row r="1293" spans="1:96" x14ac:dyDescent="0.2">
      <c r="A1293" t="s">
        <v>12101</v>
      </c>
      <c r="B1293" t="s">
        <v>96</v>
      </c>
      <c r="C1293" s="1">
        <v>44098</v>
      </c>
      <c r="D1293" s="1">
        <v>44105</v>
      </c>
      <c r="F1293" t="s">
        <v>97</v>
      </c>
      <c r="G1293" t="str">
        <f>"QA Engineer "</f>
        <v xml:space="preserve">QA Engineer </v>
      </c>
      <c r="H1293" t="s">
        <v>12168</v>
      </c>
      <c r="I1293" t="s">
        <v>319</v>
      </c>
      <c r="J1293" t="s">
        <v>98</v>
      </c>
      <c r="K1293" s="1">
        <v>44105</v>
      </c>
      <c r="L1293" s="1">
        <v>45199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4539</v>
      </c>
      <c r="U1293" t="str">
        <f>""</f>
        <v/>
      </c>
      <c r="V1293" t="s">
        <v>4540</v>
      </c>
      <c r="W1293" t="str">
        <f>"Ste. 600"</f>
        <v>Ste. 600</v>
      </c>
      <c r="X1293" t="s">
        <v>847</v>
      </c>
      <c r="Y1293" t="s">
        <v>215</v>
      </c>
      <c r="Z1293" s="3">
        <v>30005</v>
      </c>
      <c r="AA1293" t="s">
        <v>101</v>
      </c>
      <c r="AC1293" s="4" t="str">
        <f>"+16784561442"</f>
        <v>+16784561442</v>
      </c>
      <c r="AD1293">
        <v>0</v>
      </c>
      <c r="AE1293" t="str">
        <f>"334118"</f>
        <v>334118</v>
      </c>
      <c r="AF1293" t="s">
        <v>2825</v>
      </c>
      <c r="AG1293" t="s">
        <v>834</v>
      </c>
      <c r="AI1293" t="s">
        <v>351</v>
      </c>
      <c r="AJ1293" t="s">
        <v>8847</v>
      </c>
      <c r="AK1293" t="str">
        <f>"Ste. 700"</f>
        <v>Ste. 700</v>
      </c>
      <c r="AL1293" t="s">
        <v>5446</v>
      </c>
      <c r="AM1293" t="s">
        <v>171</v>
      </c>
      <c r="AN1293" s="3">
        <v>2110</v>
      </c>
      <c r="AO1293" t="s">
        <v>101</v>
      </c>
      <c r="AQ1293" t="str">
        <f>"+18572542364"</f>
        <v>+18572542364</v>
      </c>
      <c r="AS1293" t="s">
        <v>8848</v>
      </c>
      <c r="AT1293" t="s">
        <v>107</v>
      </c>
      <c r="AU1293" t="str">
        <f>"Rosser"</f>
        <v>Rosser</v>
      </c>
      <c r="AV1293" t="str">
        <f>"Adam"</f>
        <v>Adam</v>
      </c>
      <c r="AW1293" t="str">
        <f>"John"</f>
        <v>John</v>
      </c>
      <c r="AX1293" t="str">
        <f>"2200 Pennsylvania Avenue NW"</f>
        <v>2200 Pennsylvania Avenue NW</v>
      </c>
      <c r="AY1293" t="str">
        <f>"Hunton Andrews Kurth LLP"</f>
        <v>Hunton Andrews Kurth LLP</v>
      </c>
      <c r="AZ1293" t="str">
        <f>"Washington"</f>
        <v>Washington</v>
      </c>
      <c r="BA1293" t="str">
        <f>"DC"</f>
        <v>DC</v>
      </c>
      <c r="BB1293" s="3">
        <v>20037</v>
      </c>
      <c r="BC1293" t="str">
        <f>"UNITED STATES OF AMERICA"</f>
        <v>UNITED STATES OF AMERICA</v>
      </c>
      <c r="BD1293" t="str">
        <f>""</f>
        <v/>
      </c>
      <c r="BE1293" t="str">
        <f>"+12024192026"</f>
        <v>+12024192026</v>
      </c>
      <c r="BF1293" t="str">
        <f>"000"</f>
        <v>000</v>
      </c>
      <c r="BG1293" t="str">
        <f>"arosser@hunton.com"</f>
        <v>arosser@hunton.com</v>
      </c>
      <c r="BH1293" t="str">
        <f>"Hunton Andrews Kurth LLP"</f>
        <v>Hunton Andrews Kurth LLP</v>
      </c>
      <c r="BI1293" t="str">
        <f>"DC"</f>
        <v>DC</v>
      </c>
      <c r="BJ1293" t="str">
        <f>"DC - Court of Appeals"</f>
        <v>DC - Court of Appeals</v>
      </c>
      <c r="BK1293">
        <v>1</v>
      </c>
      <c r="BL1293" t="s">
        <v>102</v>
      </c>
      <c r="BM1293" t="str">
        <f>""</f>
        <v/>
      </c>
      <c r="BN1293" t="s">
        <v>8847</v>
      </c>
      <c r="BO1293" t="s">
        <v>6860</v>
      </c>
      <c r="BP1293" t="s">
        <v>5446</v>
      </c>
      <c r="BQ1293" t="s">
        <v>209</v>
      </c>
      <c r="BR1293" t="s">
        <v>171</v>
      </c>
      <c r="BS1293" s="5">
        <v>2110</v>
      </c>
      <c r="BT1293" s="2">
        <v>73000</v>
      </c>
      <c r="BU1293" s="2">
        <v>103000</v>
      </c>
      <c r="BV1293" t="s">
        <v>105</v>
      </c>
      <c r="BW1293" s="2">
        <v>72030</v>
      </c>
      <c r="BX1293" t="s">
        <v>105</v>
      </c>
      <c r="BZ1293" t="s">
        <v>167</v>
      </c>
      <c r="CA1293" t="str">
        <f t="shared" si="102"/>
        <v>7/1/2020 - 6/30/2021</v>
      </c>
      <c r="CF1293">
        <v>1</v>
      </c>
      <c r="CG1293" t="s">
        <v>98</v>
      </c>
      <c r="CH1293" t="s">
        <v>206</v>
      </c>
      <c r="CI1293" t="s">
        <v>206</v>
      </c>
      <c r="CL1293" t="s">
        <v>108</v>
      </c>
      <c r="CM1293" t="s">
        <v>109</v>
      </c>
      <c r="CN1293" t="str">
        <f>"Gomez Limon"</f>
        <v>Gomez Limon</v>
      </c>
      <c r="CO1293" t="str">
        <f>"Alejandra "</f>
        <v xml:space="preserve">Alejandra </v>
      </c>
      <c r="CP1293" t="str">
        <f>""</f>
        <v/>
      </c>
      <c r="CQ1293" t="str">
        <f>"Hunton Andrews Kurth LLP"</f>
        <v>Hunton Andrews Kurth LLP</v>
      </c>
      <c r="CR1293" t="s">
        <v>4545</v>
      </c>
    </row>
    <row r="1294" spans="1:96" x14ac:dyDescent="0.2">
      <c r="A1294" t="s">
        <v>12105</v>
      </c>
      <c r="B1294" t="s">
        <v>96</v>
      </c>
      <c r="C1294" s="1">
        <v>44098</v>
      </c>
      <c r="D1294" s="1">
        <v>44105</v>
      </c>
      <c r="F1294" t="s">
        <v>97</v>
      </c>
      <c r="G1294" t="str">
        <f>"ETL Architect"</f>
        <v>ETL Architect</v>
      </c>
      <c r="H1294" t="s">
        <v>12176</v>
      </c>
      <c r="I1294" t="s">
        <v>246</v>
      </c>
      <c r="J1294" t="s">
        <v>98</v>
      </c>
      <c r="K1294" s="1">
        <v>44198</v>
      </c>
      <c r="L1294" s="1">
        <v>45292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 t="s">
        <v>9302</v>
      </c>
      <c r="U1294" t="str">
        <f>""</f>
        <v/>
      </c>
      <c r="V1294" t="s">
        <v>9303</v>
      </c>
      <c r="W1294" t="str">
        <f>""</f>
        <v/>
      </c>
      <c r="X1294" t="s">
        <v>2945</v>
      </c>
      <c r="Y1294" t="s">
        <v>345</v>
      </c>
      <c r="Z1294" s="3">
        <v>60008</v>
      </c>
      <c r="AA1294" t="s">
        <v>101</v>
      </c>
      <c r="AC1294" s="4" t="str">
        <f>"+16307733800"</f>
        <v>+16307733800</v>
      </c>
      <c r="AE1294" t="str">
        <f>"524210"</f>
        <v>524210</v>
      </c>
      <c r="AF1294" t="s">
        <v>7202</v>
      </c>
      <c r="AG1294" t="s">
        <v>9304</v>
      </c>
      <c r="AH1294" t="s">
        <v>2280</v>
      </c>
      <c r="AI1294" t="s">
        <v>2338</v>
      </c>
      <c r="AJ1294" t="s">
        <v>9303</v>
      </c>
      <c r="AK1294" t="str">
        <f>""</f>
        <v/>
      </c>
      <c r="AL1294" t="s">
        <v>2945</v>
      </c>
      <c r="AM1294" t="s">
        <v>345</v>
      </c>
      <c r="AN1294" s="3">
        <v>60008</v>
      </c>
      <c r="AO1294" t="s">
        <v>101</v>
      </c>
      <c r="AQ1294" t="str">
        <f>"+16307733800"</f>
        <v>+16307733800</v>
      </c>
      <c r="AS1294" t="s">
        <v>108</v>
      </c>
      <c r="AT1294" t="s">
        <v>107</v>
      </c>
      <c r="AU1294" t="str">
        <f>"SMALLEY"</f>
        <v>SMALLEY</v>
      </c>
      <c r="AV1294" t="str">
        <f>"STEPHEN"</f>
        <v>STEPHEN</v>
      </c>
      <c r="AW1294" t="str">
        <f>"H."</f>
        <v>H.</v>
      </c>
      <c r="AX1294" t="str">
        <f>"P.O. BOX 31608"</f>
        <v>P.O. BOX 31608</v>
      </c>
      <c r="AY1294" t="str">
        <f>""</f>
        <v/>
      </c>
      <c r="AZ1294" t="str">
        <f>"Raleigh"</f>
        <v>Raleigh</v>
      </c>
      <c r="BA1294" t="str">
        <f>"NC"</f>
        <v>NC</v>
      </c>
      <c r="BB1294" s="3">
        <v>27622</v>
      </c>
      <c r="BC1294" t="str">
        <f>"UNITED STATES OF AMERICA"</f>
        <v>UNITED STATES OF AMERICA</v>
      </c>
      <c r="BD1294" t="str">
        <f>""</f>
        <v/>
      </c>
      <c r="BE1294" t="str">
        <f>"+19197899700"</f>
        <v>+19197899700</v>
      </c>
      <c r="BF1294" t="str">
        <f>""</f>
        <v/>
      </c>
      <c r="BG1294" t="str">
        <f>"ALEISHA.LEE@OGLETREEDEAKINS.COM"</f>
        <v>ALEISHA.LEE@OGLETREEDEAKINS.COM</v>
      </c>
      <c r="BH1294" t="str">
        <f>"OGLETREE, DEAKINS, NASH, SMOAK &amp; STEWART, P.C."</f>
        <v>OGLETREE, DEAKINS, NASH, SMOAK &amp; STEWART, P.C.</v>
      </c>
      <c r="BI1294" t="str">
        <f>"NC"</f>
        <v>NC</v>
      </c>
      <c r="BJ1294" t="str">
        <f>"NC Supreme Court"</f>
        <v>NC Supreme Court</v>
      </c>
      <c r="BK1294">
        <v>1</v>
      </c>
      <c r="BL1294" t="s">
        <v>102</v>
      </c>
      <c r="BM1294" t="str">
        <f>""</f>
        <v/>
      </c>
      <c r="BN1294" t="s">
        <v>11790</v>
      </c>
      <c r="BO1294" t="s">
        <v>9061</v>
      </c>
      <c r="BP1294" t="s">
        <v>833</v>
      </c>
      <c r="BQ1294" t="s">
        <v>788</v>
      </c>
      <c r="BR1294" t="s">
        <v>345</v>
      </c>
      <c r="BS1294" s="5">
        <v>60607</v>
      </c>
      <c r="BT1294" s="2">
        <v>110000</v>
      </c>
      <c r="BV1294" t="s">
        <v>105</v>
      </c>
      <c r="BW1294" s="2">
        <v>104624</v>
      </c>
      <c r="BX1294" t="s">
        <v>105</v>
      </c>
      <c r="BZ1294" t="s">
        <v>123</v>
      </c>
      <c r="CA1294" t="str">
        <f t="shared" si="102"/>
        <v>7/1/2020 - 6/30/2021</v>
      </c>
      <c r="CF1294">
        <v>2</v>
      </c>
      <c r="CG1294" t="s">
        <v>98</v>
      </c>
      <c r="CH1294" t="s">
        <v>206</v>
      </c>
      <c r="CI1294" t="s">
        <v>206</v>
      </c>
      <c r="CL1294" t="s">
        <v>108</v>
      </c>
      <c r="CM1294" t="s">
        <v>109</v>
      </c>
      <c r="CN1294" t="str">
        <f>"SMALLEY"</f>
        <v>SMALLEY</v>
      </c>
      <c r="CO1294" t="str">
        <f>"STEPHEN"</f>
        <v>STEPHEN</v>
      </c>
      <c r="CP1294" t="str">
        <f>"H."</f>
        <v>H.</v>
      </c>
      <c r="CQ1294" t="str">
        <f>"OGLETREE, DEAKINS, NASH, SMOAK &amp; STEWART, P.C."</f>
        <v>OGLETREE, DEAKINS, NASH, SMOAK &amp; STEWART, P.C.</v>
      </c>
      <c r="CR1294" t="s">
        <v>5484</v>
      </c>
    </row>
    <row r="1295" spans="1:96" x14ac:dyDescent="0.2">
      <c r="A1295" t="s">
        <v>12109</v>
      </c>
      <c r="B1295" t="s">
        <v>96</v>
      </c>
      <c r="C1295" s="1">
        <v>44098</v>
      </c>
      <c r="D1295" s="1">
        <v>44105</v>
      </c>
      <c r="F1295" t="s">
        <v>97</v>
      </c>
      <c r="G1295" t="str">
        <f>"Manager, Tech Publications "</f>
        <v xml:space="preserve">Manager, Tech Publications </v>
      </c>
      <c r="H1295" t="s">
        <v>12178</v>
      </c>
      <c r="I1295" t="s">
        <v>582</v>
      </c>
      <c r="J1295" t="s">
        <v>98</v>
      </c>
      <c r="K1295" s="1">
        <v>44197</v>
      </c>
      <c r="L1295" s="1">
        <v>45291</v>
      </c>
      <c r="M1295">
        <v>30</v>
      </c>
      <c r="N1295">
        <v>5</v>
      </c>
      <c r="O1295">
        <v>5</v>
      </c>
      <c r="P1295">
        <v>5</v>
      </c>
      <c r="Q1295">
        <v>5</v>
      </c>
      <c r="R1295">
        <v>5</v>
      </c>
      <c r="S1295">
        <v>5</v>
      </c>
      <c r="T1295" t="s">
        <v>7067</v>
      </c>
      <c r="U1295" t="str">
        <f>""</f>
        <v/>
      </c>
      <c r="V1295" t="s">
        <v>7068</v>
      </c>
      <c r="W1295" t="str">
        <f>""</f>
        <v/>
      </c>
      <c r="X1295" t="s">
        <v>155</v>
      </c>
      <c r="Y1295" t="s">
        <v>141</v>
      </c>
      <c r="Z1295" s="3">
        <v>94043</v>
      </c>
      <c r="AA1295" t="s">
        <v>101</v>
      </c>
      <c r="AC1295" s="4" t="str">
        <f>"+16505845000"</f>
        <v>+16505845000</v>
      </c>
      <c r="AE1295" t="str">
        <f>"541512"</f>
        <v>541512</v>
      </c>
      <c r="AF1295" t="s">
        <v>1548</v>
      </c>
      <c r="AG1295" t="s">
        <v>1549</v>
      </c>
      <c r="AH1295" t="s">
        <v>1080</v>
      </c>
      <c r="AI1295" t="s">
        <v>221</v>
      </c>
      <c r="AJ1295" t="s">
        <v>7068</v>
      </c>
      <c r="AK1295" t="str">
        <f>""</f>
        <v/>
      </c>
      <c r="AL1295" t="s">
        <v>155</v>
      </c>
      <c r="AM1295" t="s">
        <v>141</v>
      </c>
      <c r="AN1295" s="3">
        <v>94043</v>
      </c>
      <c r="AO1295" t="s">
        <v>101</v>
      </c>
      <c r="AQ1295" t="str">
        <f>"+16505847480"</f>
        <v>+16505847480</v>
      </c>
      <c r="AS1295" t="s">
        <v>7069</v>
      </c>
      <c r="AT1295" t="s">
        <v>107</v>
      </c>
      <c r="AU1295" t="str">
        <f>"Castro"</f>
        <v>Castro</v>
      </c>
      <c r="AV1295" t="str">
        <f>"J. Gabriel"</f>
        <v>J. Gabriel</v>
      </c>
      <c r="AW1295" t="str">
        <f>""</f>
        <v/>
      </c>
      <c r="AX1295" t="str">
        <f>"555 W. Fifth Street"</f>
        <v>555 W. Fifth Street</v>
      </c>
      <c r="AY1295" t="str">
        <f>"Suite 4510"</f>
        <v>Suite 4510</v>
      </c>
      <c r="AZ1295" t="str">
        <f>"Los Angeles"</f>
        <v>Los Angeles</v>
      </c>
      <c r="BA1295" t="str">
        <f>"CA"</f>
        <v>CA</v>
      </c>
      <c r="BB1295" s="3">
        <v>90013</v>
      </c>
      <c r="BC1295" t="str">
        <f>"UNITED STATES OF AMERICA"</f>
        <v>UNITED STATES OF AMERICA</v>
      </c>
      <c r="BD1295" t="str">
        <f>""</f>
        <v/>
      </c>
      <c r="BE1295" t="str">
        <f>"+12136247500"</f>
        <v>+12136247500</v>
      </c>
      <c r="BF1295" t="str">
        <f>""</f>
        <v/>
      </c>
      <c r="BG1295" t="str">
        <f>"FLAG-LA@tsmimmigration.com"</f>
        <v>FLAG-LA@tsmimmigration.com</v>
      </c>
      <c r="BH1295" t="str">
        <f>"Tafapolsky Smith Mehlman LLP"</f>
        <v>Tafapolsky Smith Mehlman LLP</v>
      </c>
      <c r="BI1295" t="str">
        <f>"CA"</f>
        <v>CA</v>
      </c>
      <c r="BJ1295" t="str">
        <f>"Supreme Court"</f>
        <v>Supreme Court</v>
      </c>
      <c r="BK1295">
        <v>30</v>
      </c>
      <c r="BL1295" t="s">
        <v>102</v>
      </c>
      <c r="BM1295" t="str">
        <f>""</f>
        <v/>
      </c>
      <c r="BN1295" t="s">
        <v>12110</v>
      </c>
      <c r="BP1295" t="s">
        <v>812</v>
      </c>
      <c r="BQ1295" t="s">
        <v>813</v>
      </c>
      <c r="BR1295" t="s">
        <v>814</v>
      </c>
      <c r="BS1295" s="5">
        <v>97124</v>
      </c>
      <c r="BT1295" s="2">
        <v>124462</v>
      </c>
      <c r="BU1295" s="2">
        <v>199462</v>
      </c>
      <c r="BV1295" t="s">
        <v>105</v>
      </c>
      <c r="BW1295" s="2">
        <v>124462</v>
      </c>
      <c r="BX1295" t="s">
        <v>105</v>
      </c>
      <c r="CA1295" t="str">
        <f>""</f>
        <v/>
      </c>
      <c r="CB1295" t="s">
        <v>244</v>
      </c>
      <c r="CC1295">
        <v>2020</v>
      </c>
      <c r="CD1295" t="s">
        <v>995</v>
      </c>
      <c r="CE1295" t="s">
        <v>12111</v>
      </c>
      <c r="CF1295">
        <v>1</v>
      </c>
      <c r="CG1295" t="s">
        <v>98</v>
      </c>
      <c r="CH1295" t="s">
        <v>206</v>
      </c>
      <c r="CI1295" t="s">
        <v>206</v>
      </c>
      <c r="CL1295" t="s">
        <v>108</v>
      </c>
      <c r="CM1295" t="s">
        <v>109</v>
      </c>
      <c r="CN1295" t="str">
        <f>"Zanetti"</f>
        <v>Zanetti</v>
      </c>
      <c r="CO1295" t="str">
        <f>"Lauren "</f>
        <v xml:space="preserve">Lauren </v>
      </c>
      <c r="CP1295" t="str">
        <f>"B"</f>
        <v>B</v>
      </c>
      <c r="CQ1295" t="str">
        <f>"Tafapolsky Smith Mehlman LLP"</f>
        <v>Tafapolsky Smith Mehlman LLP</v>
      </c>
      <c r="CR1295" t="s">
        <v>7070</v>
      </c>
    </row>
    <row r="1296" spans="1:96" x14ac:dyDescent="0.2">
      <c r="A1296" t="s">
        <v>12114</v>
      </c>
      <c r="B1296" t="s">
        <v>96</v>
      </c>
      <c r="C1296" s="1">
        <v>44098</v>
      </c>
      <c r="D1296" s="1">
        <v>44105</v>
      </c>
      <c r="F1296" t="s">
        <v>97</v>
      </c>
      <c r="G1296" t="str">
        <f>"Sr. Clinical Physicist"</f>
        <v>Sr. Clinical Physicist</v>
      </c>
      <c r="H1296" t="s">
        <v>12173</v>
      </c>
      <c r="I1296" t="s">
        <v>917</v>
      </c>
      <c r="J1296" t="s">
        <v>98</v>
      </c>
      <c r="K1296" s="1">
        <v>44179</v>
      </c>
      <c r="L1296" s="1">
        <v>45273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 t="s">
        <v>1006</v>
      </c>
      <c r="U1296" t="str">
        <f>""</f>
        <v/>
      </c>
      <c r="V1296" t="s">
        <v>1007</v>
      </c>
      <c r="W1296" t="str">
        <f>""</f>
        <v/>
      </c>
      <c r="X1296" t="s">
        <v>1008</v>
      </c>
      <c r="Y1296" t="s">
        <v>195</v>
      </c>
      <c r="Z1296" s="3">
        <v>21218</v>
      </c>
      <c r="AA1296" t="s">
        <v>101</v>
      </c>
      <c r="AC1296" s="4" t="str">
        <f>"+16672087012"</f>
        <v>+16672087012</v>
      </c>
      <c r="AE1296" t="str">
        <f>"611310"</f>
        <v>611310</v>
      </c>
      <c r="AF1296" t="s">
        <v>5588</v>
      </c>
      <c r="AG1296" t="s">
        <v>5589</v>
      </c>
      <c r="AI1296" t="s">
        <v>1009</v>
      </c>
      <c r="AJ1296" t="s">
        <v>1010</v>
      </c>
      <c r="AK1296" t="str">
        <f>"Reed Hall, Suite 405"</f>
        <v>Reed Hall, Suite 405</v>
      </c>
      <c r="AL1296" t="s">
        <v>1008</v>
      </c>
      <c r="AM1296" t="s">
        <v>195</v>
      </c>
      <c r="AN1296" s="3">
        <v>21205</v>
      </c>
      <c r="AO1296" t="s">
        <v>101</v>
      </c>
      <c r="AQ1296" t="str">
        <f>"+16672087015"</f>
        <v>+16672087015</v>
      </c>
      <c r="AS1296" t="s">
        <v>5590</v>
      </c>
      <c r="AT1296" t="s">
        <v>102</v>
      </c>
      <c r="AU1296" t="str">
        <f>""</f>
        <v/>
      </c>
      <c r="AV1296" t="str">
        <f>""</f>
        <v/>
      </c>
      <c r="AW1296" t="str">
        <f>""</f>
        <v/>
      </c>
      <c r="AX1296" t="str">
        <f>""</f>
        <v/>
      </c>
      <c r="AY1296" t="str">
        <f>""</f>
        <v/>
      </c>
      <c r="AZ1296" t="str">
        <f>""</f>
        <v/>
      </c>
      <c r="BA1296" t="str">
        <f>""</f>
        <v/>
      </c>
      <c r="BC1296" t="str">
        <f>""</f>
        <v/>
      </c>
      <c r="BD1296" t="str">
        <f>""</f>
        <v/>
      </c>
      <c r="BE1296" t="str">
        <f>""</f>
        <v/>
      </c>
      <c r="BF1296" t="str">
        <f>""</f>
        <v/>
      </c>
      <c r="BG1296" t="str">
        <f>""</f>
        <v/>
      </c>
      <c r="BH1296" t="str">
        <f>""</f>
        <v/>
      </c>
      <c r="BI1296" t="str">
        <f>""</f>
        <v/>
      </c>
      <c r="BJ1296" t="str">
        <f>""</f>
        <v/>
      </c>
      <c r="BK1296">
        <v>1</v>
      </c>
      <c r="BL1296" t="s">
        <v>102</v>
      </c>
      <c r="BM1296" t="str">
        <f>""</f>
        <v/>
      </c>
      <c r="BN1296" t="s">
        <v>12115</v>
      </c>
      <c r="BP1296" t="s">
        <v>1008</v>
      </c>
      <c r="BQ1296" t="s">
        <v>1011</v>
      </c>
      <c r="BR1296" t="s">
        <v>195</v>
      </c>
      <c r="BS1296" s="5">
        <v>21287</v>
      </c>
      <c r="BT1296" s="2">
        <v>149379</v>
      </c>
      <c r="BV1296" t="s">
        <v>105</v>
      </c>
      <c r="BW1296" s="2">
        <v>62234</v>
      </c>
      <c r="BX1296" t="s">
        <v>105</v>
      </c>
      <c r="BZ1296" t="s">
        <v>167</v>
      </c>
      <c r="CA1296" t="str">
        <f>"7/1/2020 - 6/30/2021"</f>
        <v>7/1/2020 - 6/30/2021</v>
      </c>
      <c r="CF1296">
        <v>5</v>
      </c>
      <c r="CG1296" t="s">
        <v>98</v>
      </c>
      <c r="CH1296" t="s">
        <v>206</v>
      </c>
      <c r="CI1296" t="s">
        <v>206</v>
      </c>
      <c r="CL1296" t="s">
        <v>108</v>
      </c>
      <c r="CM1296" t="s">
        <v>109</v>
      </c>
      <c r="CN1296" t="str">
        <f>""</f>
        <v/>
      </c>
      <c r="CO1296" t="str">
        <f>""</f>
        <v/>
      </c>
      <c r="CP1296" t="str">
        <f>""</f>
        <v/>
      </c>
      <c r="CQ1296" t="str">
        <f>""</f>
        <v/>
      </c>
    </row>
    <row r="1297" spans="1:96" x14ac:dyDescent="0.2">
      <c r="A1297" t="s">
        <v>12117</v>
      </c>
      <c r="B1297" t="s">
        <v>96</v>
      </c>
      <c r="C1297" s="1">
        <v>44098</v>
      </c>
      <c r="D1297" s="1">
        <v>44105</v>
      </c>
      <c r="F1297" t="s">
        <v>97</v>
      </c>
      <c r="G1297" t="str">
        <f>"Postdoctoral Researcher"</f>
        <v>Postdoctoral Researcher</v>
      </c>
      <c r="H1297" t="s">
        <v>12248</v>
      </c>
      <c r="I1297" t="s">
        <v>653</v>
      </c>
      <c r="J1297" t="s">
        <v>98</v>
      </c>
      <c r="K1297" s="1">
        <v>44098</v>
      </c>
      <c r="L1297" s="1">
        <v>45192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12118</v>
      </c>
      <c r="U1297" t="str">
        <f>""</f>
        <v/>
      </c>
      <c r="V1297" t="s">
        <v>12119</v>
      </c>
      <c r="W1297" t="str">
        <f>"OISS SRB MC 7150"</f>
        <v>OISS SRB MC 7150</v>
      </c>
      <c r="X1297" t="s">
        <v>3483</v>
      </c>
      <c r="Y1297" t="s">
        <v>141</v>
      </c>
      <c r="Z1297" s="3">
        <v>93106</v>
      </c>
      <c r="AA1297" t="s">
        <v>101</v>
      </c>
      <c r="AC1297" s="4" t="str">
        <f>"+18058935636"</f>
        <v>+18058935636</v>
      </c>
      <c r="AE1297" t="str">
        <f>"611310"</f>
        <v>611310</v>
      </c>
      <c r="AF1297" t="s">
        <v>2893</v>
      </c>
      <c r="AG1297" t="s">
        <v>3484</v>
      </c>
      <c r="AH1297" t="s">
        <v>1435</v>
      </c>
      <c r="AI1297" t="s">
        <v>221</v>
      </c>
      <c r="AJ1297" t="s">
        <v>12119</v>
      </c>
      <c r="AK1297" t="str">
        <f>"OISS SRB MC 7150"</f>
        <v>OISS SRB MC 7150</v>
      </c>
      <c r="AL1297" t="s">
        <v>3483</v>
      </c>
      <c r="AM1297" t="s">
        <v>141</v>
      </c>
      <c r="AN1297" s="3">
        <v>93106</v>
      </c>
      <c r="AO1297" t="s">
        <v>101</v>
      </c>
      <c r="AQ1297" t="str">
        <f>"+18058935636"</f>
        <v>+18058935636</v>
      </c>
      <c r="AS1297" t="s">
        <v>3485</v>
      </c>
      <c r="AT1297" t="s">
        <v>107</v>
      </c>
      <c r="AU1297" t="str">
        <f>"Rosenthal"</f>
        <v>Rosenthal</v>
      </c>
      <c r="AV1297" t="str">
        <f>"Clifford"</f>
        <v>Clifford</v>
      </c>
      <c r="AW1297" t="str">
        <f>"Evan"</f>
        <v>Evan</v>
      </c>
      <c r="AX1297" t="str">
        <f>"1416 2nd Street"</f>
        <v>1416 2nd Street</v>
      </c>
      <c r="AY1297" t="str">
        <f>""</f>
        <v/>
      </c>
      <c r="AZ1297" t="str">
        <f>"Santa Monica"</f>
        <v>Santa Monica</v>
      </c>
      <c r="BA1297" t="str">
        <f>"CA"</f>
        <v>CA</v>
      </c>
      <c r="BB1297" s="3">
        <v>90401</v>
      </c>
      <c r="BC1297" t="str">
        <f>"UNITED STATES OF AMERICA"</f>
        <v>UNITED STATES OF AMERICA</v>
      </c>
      <c r="BD1297" t="str">
        <f>""</f>
        <v/>
      </c>
      <c r="BE1297" t="str">
        <f>"+13105704088"</f>
        <v>+13105704088</v>
      </c>
      <c r="BF1297" t="str">
        <f>""</f>
        <v/>
      </c>
      <c r="BG1297" t="str">
        <f>"crosenthal@wolfsdorf.com"</f>
        <v>crosenthal@wolfsdorf.com</v>
      </c>
      <c r="BH1297" t="str">
        <f>"Wolfsdorf Rosenthal LLP"</f>
        <v>Wolfsdorf Rosenthal LLP</v>
      </c>
      <c r="BI1297" t="str">
        <f>"CA"</f>
        <v>CA</v>
      </c>
      <c r="BJ1297" t="str">
        <f>"Supreme Court"</f>
        <v>Supreme Court</v>
      </c>
      <c r="BK1297">
        <v>1</v>
      </c>
      <c r="BL1297" t="s">
        <v>102</v>
      </c>
      <c r="BM1297" t="str">
        <f>""</f>
        <v/>
      </c>
      <c r="BN1297" t="s">
        <v>12120</v>
      </c>
      <c r="BO1297" t="s">
        <v>12121</v>
      </c>
      <c r="BP1297" t="s">
        <v>3483</v>
      </c>
      <c r="BQ1297" t="s">
        <v>2518</v>
      </c>
      <c r="BR1297" t="s">
        <v>141</v>
      </c>
      <c r="BS1297" s="5">
        <v>93106</v>
      </c>
      <c r="BT1297" s="2">
        <v>70000</v>
      </c>
      <c r="BV1297" t="s">
        <v>105</v>
      </c>
      <c r="BW1297" s="2">
        <v>55596</v>
      </c>
      <c r="BX1297" t="s">
        <v>105</v>
      </c>
      <c r="CA1297" t="str">
        <f>""</f>
        <v/>
      </c>
      <c r="CB1297" t="s">
        <v>106</v>
      </c>
      <c r="CC1297">
        <v>2020</v>
      </c>
      <c r="CF1297">
        <v>1</v>
      </c>
      <c r="CG1297" t="s">
        <v>98</v>
      </c>
      <c r="CH1297" t="s">
        <v>206</v>
      </c>
      <c r="CI1297" t="s">
        <v>206</v>
      </c>
      <c r="CL1297" t="s">
        <v>108</v>
      </c>
      <c r="CM1297" t="s">
        <v>109</v>
      </c>
      <c r="CN1297" t="str">
        <f>"Kasper"</f>
        <v>Kasper</v>
      </c>
      <c r="CO1297" t="str">
        <f>"Sasha"</f>
        <v>Sasha</v>
      </c>
      <c r="CP1297" t="str">
        <f>""</f>
        <v/>
      </c>
      <c r="CQ1297" t="str">
        <f>"Wolfsdorf Rosenthal LLP"</f>
        <v>Wolfsdorf Rosenthal LLP</v>
      </c>
      <c r="CR1297" t="s">
        <v>1709</v>
      </c>
    </row>
    <row r="1298" spans="1:96" x14ac:dyDescent="0.2">
      <c r="A1298" t="s">
        <v>12128</v>
      </c>
      <c r="B1298" t="s">
        <v>96</v>
      </c>
      <c r="C1298" s="1">
        <v>44098</v>
      </c>
      <c r="D1298" s="1">
        <v>44105</v>
      </c>
      <c r="F1298" t="s">
        <v>97</v>
      </c>
      <c r="G1298" t="str">
        <f>"Vice President, Life Sciences"</f>
        <v>Vice President, Life Sciences</v>
      </c>
      <c r="H1298" t="s">
        <v>12189</v>
      </c>
      <c r="I1298" t="s">
        <v>730</v>
      </c>
      <c r="J1298" t="s">
        <v>98</v>
      </c>
      <c r="K1298" s="1">
        <v>44116</v>
      </c>
      <c r="L1298" s="1">
        <v>45210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 t="s">
        <v>10792</v>
      </c>
      <c r="U1298" t="str">
        <f>""</f>
        <v/>
      </c>
      <c r="V1298" t="s">
        <v>10793</v>
      </c>
      <c r="W1298" t="str">
        <f>""</f>
        <v/>
      </c>
      <c r="X1298" t="s">
        <v>175</v>
      </c>
      <c r="Y1298" t="s">
        <v>176</v>
      </c>
      <c r="Z1298" s="3">
        <v>98052</v>
      </c>
      <c r="AA1298" t="s">
        <v>101</v>
      </c>
      <c r="AC1298" s="4" t="str">
        <f>"+14256157474"</f>
        <v>+14256157474</v>
      </c>
      <c r="AE1298" t="str">
        <f>"541910"</f>
        <v>541910</v>
      </c>
      <c r="AF1298" t="s">
        <v>10794</v>
      </c>
      <c r="AG1298" t="s">
        <v>9550</v>
      </c>
      <c r="AI1298" t="s">
        <v>10795</v>
      </c>
      <c r="AJ1298" t="s">
        <v>10796</v>
      </c>
      <c r="AK1298" t="str">
        <f>""</f>
        <v/>
      </c>
      <c r="AL1298" t="s">
        <v>175</v>
      </c>
      <c r="AM1298" t="s">
        <v>176</v>
      </c>
      <c r="AN1298" s="3">
        <v>98052</v>
      </c>
      <c r="AO1298" t="s">
        <v>101</v>
      </c>
      <c r="AQ1298" t="str">
        <f>"+19059082169"</f>
        <v>+19059082169</v>
      </c>
      <c r="AS1298" t="s">
        <v>10797</v>
      </c>
      <c r="AT1298" t="s">
        <v>107</v>
      </c>
      <c r="AU1298" t="str">
        <f>"Mavunkel"</f>
        <v>Mavunkel</v>
      </c>
      <c r="AV1298" t="str">
        <f>"Marsha"</f>
        <v>Marsha</v>
      </c>
      <c r="AW1298" t="str">
        <f>"T"</f>
        <v>T</v>
      </c>
      <c r="AX1298" t="str">
        <f>"1201 Third Ave"</f>
        <v>1201 Third Ave</v>
      </c>
      <c r="AY1298" t="str">
        <f>"Suite 3400"</f>
        <v>Suite 3400</v>
      </c>
      <c r="AZ1298" t="str">
        <f>"Seattle"</f>
        <v>Seattle</v>
      </c>
      <c r="BA1298" t="str">
        <f>"WA"</f>
        <v>WA</v>
      </c>
      <c r="BB1298" s="3">
        <v>98101</v>
      </c>
      <c r="BC1298" t="str">
        <f>"UNITED STATES OF AMERICA"</f>
        <v>UNITED STATES OF AMERICA</v>
      </c>
      <c r="BD1298" t="str">
        <f>""</f>
        <v/>
      </c>
      <c r="BE1298" t="str">
        <f>"+12066542268"</f>
        <v>+12066542268</v>
      </c>
      <c r="BF1298" t="str">
        <f>""</f>
        <v/>
      </c>
      <c r="BG1298" t="str">
        <f>"derck@ryanlaw.com"</f>
        <v>derck@ryanlaw.com</v>
      </c>
      <c r="BH1298" t="str">
        <f>"Ryan, Swanson &amp; Cleveland, PLLC"</f>
        <v>Ryan, Swanson &amp; Cleveland, PLLC</v>
      </c>
      <c r="BI1298" t="str">
        <f>"WA"</f>
        <v>WA</v>
      </c>
      <c r="BJ1298" t="str">
        <f>"Supreme"</f>
        <v>Supreme</v>
      </c>
      <c r="BK1298">
        <v>1</v>
      </c>
      <c r="BL1298" t="s">
        <v>102</v>
      </c>
      <c r="BM1298" t="str">
        <f>""</f>
        <v/>
      </c>
      <c r="BN1298" t="s">
        <v>10793</v>
      </c>
      <c r="BP1298" t="s">
        <v>175</v>
      </c>
      <c r="BQ1298" t="s">
        <v>183</v>
      </c>
      <c r="BR1298" t="s">
        <v>176</v>
      </c>
      <c r="BS1298" s="5">
        <v>98052</v>
      </c>
      <c r="BT1298" s="2">
        <v>140000</v>
      </c>
      <c r="BV1298" t="s">
        <v>105</v>
      </c>
      <c r="BW1298" s="2">
        <v>133619</v>
      </c>
      <c r="BX1298" t="s">
        <v>105</v>
      </c>
      <c r="BZ1298" t="s">
        <v>167</v>
      </c>
      <c r="CA1298" t="str">
        <f t="shared" ref="CA1298:CA1329" si="103">"7/1/2020 - 6/30/2021"</f>
        <v>7/1/2020 - 6/30/2021</v>
      </c>
      <c r="CF1298">
        <v>2</v>
      </c>
      <c r="CG1298" t="s">
        <v>98</v>
      </c>
      <c r="CH1298" t="s">
        <v>206</v>
      </c>
      <c r="CI1298" t="s">
        <v>206</v>
      </c>
      <c r="CL1298" t="s">
        <v>108</v>
      </c>
      <c r="CM1298" t="s">
        <v>109</v>
      </c>
      <c r="CN1298" t="str">
        <f>""</f>
        <v/>
      </c>
      <c r="CO1298" t="str">
        <f>""</f>
        <v/>
      </c>
      <c r="CP1298" t="str">
        <f>""</f>
        <v/>
      </c>
      <c r="CQ1298" t="str">
        <f>""</f>
        <v/>
      </c>
    </row>
    <row r="1299" spans="1:96" x14ac:dyDescent="0.2">
      <c r="A1299" t="s">
        <v>12129</v>
      </c>
      <c r="B1299" t="s">
        <v>96</v>
      </c>
      <c r="C1299" s="1">
        <v>44098</v>
      </c>
      <c r="D1299" s="1">
        <v>44105</v>
      </c>
      <c r="F1299" t="s">
        <v>97</v>
      </c>
      <c r="G1299" t="str">
        <f>"Software Architect"</f>
        <v>Software Architect</v>
      </c>
      <c r="H1299" t="s">
        <v>12168</v>
      </c>
      <c r="I1299" t="s">
        <v>160</v>
      </c>
      <c r="J1299" t="s">
        <v>98</v>
      </c>
      <c r="K1299" s="1">
        <v>44197</v>
      </c>
      <c r="L1299" s="1">
        <v>45291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1522</v>
      </c>
      <c r="U1299" t="str">
        <f>""</f>
        <v/>
      </c>
      <c r="V1299" t="s">
        <v>1281</v>
      </c>
      <c r="W1299" t="str">
        <f>""</f>
        <v/>
      </c>
      <c r="X1299" t="s">
        <v>538</v>
      </c>
      <c r="Y1299" t="s">
        <v>135</v>
      </c>
      <c r="Z1299" s="3">
        <v>22030</v>
      </c>
      <c r="AA1299" t="s">
        <v>101</v>
      </c>
      <c r="AC1299" s="4" t="str">
        <f>"+17032678000"</f>
        <v>+17032678000</v>
      </c>
      <c r="AD1299">
        <v>0</v>
      </c>
      <c r="AE1299" t="str">
        <f>"541512"</f>
        <v>541512</v>
      </c>
      <c r="AF1299" t="s">
        <v>1282</v>
      </c>
      <c r="AG1299" t="s">
        <v>1283</v>
      </c>
      <c r="AI1299" t="s">
        <v>1284</v>
      </c>
      <c r="AJ1299" t="s">
        <v>1281</v>
      </c>
      <c r="AK1299" t="str">
        <f>""</f>
        <v/>
      </c>
      <c r="AL1299" t="s">
        <v>538</v>
      </c>
      <c r="AM1299" t="s">
        <v>135</v>
      </c>
      <c r="AN1299" s="3">
        <v>22030</v>
      </c>
      <c r="AO1299" t="s">
        <v>101</v>
      </c>
      <c r="AQ1299" t="str">
        <f>"+17324282390"</f>
        <v>+17324282390</v>
      </c>
      <c r="AS1299" t="s">
        <v>1285</v>
      </c>
      <c r="AT1299" t="s">
        <v>107</v>
      </c>
      <c r="AU1299" t="str">
        <f>"SMITH"</f>
        <v>SMITH</v>
      </c>
      <c r="AV1299" t="str">
        <f>"MICHAEL"</f>
        <v>MICHAEL</v>
      </c>
      <c r="AW1299" t="str">
        <f>"FRANCIS"</f>
        <v>FRANCIS</v>
      </c>
      <c r="AX1299" t="str">
        <f>"1101 15TH STREET, NW"</f>
        <v>1101 15TH STREET, NW</v>
      </c>
      <c r="AY1299" t="str">
        <f>"SUITE 700"</f>
        <v>SUITE 700</v>
      </c>
      <c r="AZ1299" t="str">
        <f>"WASHINGTON"</f>
        <v>WASHINGTON</v>
      </c>
      <c r="BA1299" t="str">
        <f>"DC"</f>
        <v>DC</v>
      </c>
      <c r="BB1299" s="3">
        <v>20005</v>
      </c>
      <c r="BC1299" t="str">
        <f>"UNITED STATES OF AMERICA"</f>
        <v>UNITED STATES OF AMERICA</v>
      </c>
      <c r="BD1299" t="str">
        <f>""</f>
        <v/>
      </c>
      <c r="BE1299" t="str">
        <f>"+12022235515"</f>
        <v>+12022235515</v>
      </c>
      <c r="BF1299" t="str">
        <f>""</f>
        <v/>
      </c>
      <c r="BG1299" t="str">
        <f>"LCATeamPham@Fragomen.com"</f>
        <v>LCATeamPham@Fragomen.com</v>
      </c>
      <c r="BH1299" t="str">
        <f>"Fragomen, Del Rey, Bernsen &amp; Loewy, LLP"</f>
        <v>Fragomen, Del Rey, Bernsen &amp; Loewy, LLP</v>
      </c>
      <c r="BI1299" t="str">
        <f>"DC"</f>
        <v>DC</v>
      </c>
      <c r="BJ1299" t="str">
        <f>"DISTRICT OF COLUMBIA COURT OF APPEALS"</f>
        <v>DISTRICT OF COLUMBIA COURT OF APPEALS</v>
      </c>
      <c r="BK1299">
        <v>1</v>
      </c>
      <c r="BL1299" t="s">
        <v>107</v>
      </c>
      <c r="BM1299" t="str">
        <f>"The PNC Financial Services Group, Inc."</f>
        <v>The PNC Financial Services Group, Inc.</v>
      </c>
      <c r="BN1299" t="s">
        <v>3787</v>
      </c>
      <c r="BP1299" t="s">
        <v>333</v>
      </c>
      <c r="BQ1299" t="s">
        <v>861</v>
      </c>
      <c r="BR1299" t="s">
        <v>127</v>
      </c>
      <c r="BS1299" s="5">
        <v>15222</v>
      </c>
      <c r="BT1299" s="2">
        <v>107500</v>
      </c>
      <c r="BV1299" t="s">
        <v>105</v>
      </c>
      <c r="BW1299" s="2">
        <v>61485</v>
      </c>
      <c r="BX1299" t="s">
        <v>105</v>
      </c>
      <c r="BZ1299" t="s">
        <v>167</v>
      </c>
      <c r="CA1299" t="str">
        <f t="shared" si="103"/>
        <v>7/1/2020 - 6/30/2021</v>
      </c>
      <c r="CF1299">
        <v>2</v>
      </c>
      <c r="CG1299" t="s">
        <v>98</v>
      </c>
      <c r="CH1299" t="s">
        <v>206</v>
      </c>
      <c r="CI1299" t="s">
        <v>206</v>
      </c>
      <c r="CL1299" t="s">
        <v>108</v>
      </c>
      <c r="CM1299" t="s">
        <v>109</v>
      </c>
      <c r="CN1299" t="str">
        <f>"ALI"</f>
        <v>ALI</v>
      </c>
      <c r="CO1299" t="str">
        <f>"ADAM"</f>
        <v>ADAM</v>
      </c>
      <c r="CP1299" t="str">
        <f>"P"</f>
        <v>P</v>
      </c>
      <c r="CQ1299" t="str">
        <f>"Fragomen, Del Rey, Bernsen &amp; Loewy, LLP"</f>
        <v>Fragomen, Del Rey, Bernsen &amp; Loewy, LLP</v>
      </c>
      <c r="CR1299" t="s">
        <v>4452</v>
      </c>
    </row>
    <row r="1300" spans="1:96" x14ac:dyDescent="0.2">
      <c r="A1300" t="s">
        <v>12130</v>
      </c>
      <c r="B1300" t="s">
        <v>96</v>
      </c>
      <c r="C1300" s="1">
        <v>44098</v>
      </c>
      <c r="D1300" s="1">
        <v>44105</v>
      </c>
      <c r="F1300" t="s">
        <v>97</v>
      </c>
      <c r="G1300" t="str">
        <f>"Postdoctoral Associate"</f>
        <v>Postdoctoral Associate</v>
      </c>
      <c r="H1300" t="s">
        <v>12260</v>
      </c>
      <c r="I1300" t="s">
        <v>2091</v>
      </c>
      <c r="J1300" t="s">
        <v>98</v>
      </c>
      <c r="K1300" s="1">
        <v>44119</v>
      </c>
      <c r="L1300" s="1">
        <v>45152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 t="s">
        <v>3682</v>
      </c>
      <c r="U1300" t="str">
        <f>""</f>
        <v/>
      </c>
      <c r="V1300" t="s">
        <v>5735</v>
      </c>
      <c r="W1300" t="str">
        <f>"708 WPU"</f>
        <v>708 WPU</v>
      </c>
      <c r="X1300" t="s">
        <v>333</v>
      </c>
      <c r="Y1300" t="s">
        <v>127</v>
      </c>
      <c r="Z1300" s="3">
        <v>15213</v>
      </c>
      <c r="AA1300" t="s">
        <v>101</v>
      </c>
      <c r="AC1300" s="4" t="str">
        <f>"+14126480129"</f>
        <v>+14126480129</v>
      </c>
      <c r="AE1300" t="str">
        <f>"611310"</f>
        <v>611310</v>
      </c>
      <c r="AF1300" t="s">
        <v>5736</v>
      </c>
      <c r="AG1300" t="s">
        <v>2876</v>
      </c>
      <c r="AH1300" t="s">
        <v>5737</v>
      </c>
      <c r="AI1300" t="s">
        <v>221</v>
      </c>
      <c r="AJ1300" t="s">
        <v>5735</v>
      </c>
      <c r="AK1300" t="str">
        <f>"708 WPU"</f>
        <v>708 WPU</v>
      </c>
      <c r="AL1300" t="s">
        <v>333</v>
      </c>
      <c r="AM1300" t="s">
        <v>127</v>
      </c>
      <c r="AN1300" s="3">
        <v>15213</v>
      </c>
      <c r="AO1300" t="s">
        <v>101</v>
      </c>
      <c r="AQ1300" t="str">
        <f>"+14126247120"</f>
        <v>+14126247120</v>
      </c>
      <c r="AS1300" t="s">
        <v>5738</v>
      </c>
      <c r="AT1300" t="s">
        <v>102</v>
      </c>
      <c r="AU1300" t="str">
        <f>""</f>
        <v/>
      </c>
      <c r="AV1300" t="str">
        <f>""</f>
        <v/>
      </c>
      <c r="AW1300" t="str">
        <f>""</f>
        <v/>
      </c>
      <c r="AX1300" t="str">
        <f>""</f>
        <v/>
      </c>
      <c r="AY1300" t="str">
        <f>""</f>
        <v/>
      </c>
      <c r="AZ1300" t="str">
        <f>""</f>
        <v/>
      </c>
      <c r="BA1300" t="str">
        <f>""</f>
        <v/>
      </c>
      <c r="BC1300" t="str">
        <f>""</f>
        <v/>
      </c>
      <c r="BD1300" t="str">
        <f>""</f>
        <v/>
      </c>
      <c r="BE1300" t="str">
        <f>""</f>
        <v/>
      </c>
      <c r="BF1300" t="str">
        <f>""</f>
        <v/>
      </c>
      <c r="BG1300" t="str">
        <f>""</f>
        <v/>
      </c>
      <c r="BH1300" t="str">
        <f>""</f>
        <v/>
      </c>
      <c r="BI1300" t="str">
        <f>""</f>
        <v/>
      </c>
      <c r="BJ1300" t="str">
        <f>""</f>
        <v/>
      </c>
      <c r="BK1300">
        <v>1</v>
      </c>
      <c r="BL1300" t="s">
        <v>102</v>
      </c>
      <c r="BM1300" t="str">
        <f>""</f>
        <v/>
      </c>
      <c r="BN1300" t="s">
        <v>12044</v>
      </c>
      <c r="BP1300" t="s">
        <v>333</v>
      </c>
      <c r="BQ1300" t="s">
        <v>861</v>
      </c>
      <c r="BR1300" t="s">
        <v>127</v>
      </c>
      <c r="BS1300" s="5">
        <v>15260</v>
      </c>
      <c r="BT1300" s="2">
        <v>56014</v>
      </c>
      <c r="BV1300" t="s">
        <v>105</v>
      </c>
      <c r="BW1300" s="2">
        <v>56014</v>
      </c>
      <c r="BX1300" t="s">
        <v>105</v>
      </c>
      <c r="BZ1300" t="s">
        <v>191</v>
      </c>
      <c r="CA1300" t="str">
        <f t="shared" si="103"/>
        <v>7/1/2020 - 6/30/2021</v>
      </c>
      <c r="CF1300">
        <v>2</v>
      </c>
      <c r="CG1300" t="s">
        <v>98</v>
      </c>
      <c r="CH1300" t="s">
        <v>206</v>
      </c>
      <c r="CI1300" t="s">
        <v>206</v>
      </c>
      <c r="CL1300" t="s">
        <v>108</v>
      </c>
      <c r="CM1300" t="s">
        <v>109</v>
      </c>
      <c r="CN1300" t="str">
        <f>""</f>
        <v/>
      </c>
      <c r="CO1300" t="str">
        <f>""</f>
        <v/>
      </c>
      <c r="CP1300" t="str">
        <f>""</f>
        <v/>
      </c>
      <c r="CQ1300" t="str">
        <f>""</f>
        <v/>
      </c>
    </row>
    <row r="1301" spans="1:96" x14ac:dyDescent="0.2">
      <c r="A1301" t="s">
        <v>12134</v>
      </c>
      <c r="B1301" t="s">
        <v>96</v>
      </c>
      <c r="C1301" s="1">
        <v>44098</v>
      </c>
      <c r="D1301" s="1">
        <v>44105</v>
      </c>
      <c r="F1301" t="s">
        <v>97</v>
      </c>
      <c r="G1301" t="str">
        <f>"Advanced Engineer, Security"</f>
        <v>Advanced Engineer, Security</v>
      </c>
      <c r="H1301" t="s">
        <v>12178</v>
      </c>
      <c r="I1301" t="s">
        <v>582</v>
      </c>
      <c r="J1301" t="s">
        <v>98</v>
      </c>
      <c r="K1301" s="1">
        <v>44269</v>
      </c>
      <c r="L1301" s="1">
        <v>45364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 t="s">
        <v>12135</v>
      </c>
      <c r="U1301" t="str">
        <f>""</f>
        <v/>
      </c>
      <c r="V1301" t="s">
        <v>12136</v>
      </c>
      <c r="W1301" t="str">
        <f>""</f>
        <v/>
      </c>
      <c r="X1301" t="s">
        <v>4412</v>
      </c>
      <c r="Y1301" t="s">
        <v>114</v>
      </c>
      <c r="Z1301" s="3">
        <v>76051</v>
      </c>
      <c r="AA1301" t="s">
        <v>101</v>
      </c>
      <c r="AC1301" s="4" t="str">
        <f>"+18177227649"</f>
        <v>+18177227649</v>
      </c>
      <c r="AE1301" t="str">
        <f>"511210"</f>
        <v>511210</v>
      </c>
      <c r="AF1301" t="s">
        <v>12137</v>
      </c>
      <c r="AG1301" t="s">
        <v>12138</v>
      </c>
      <c r="AI1301" t="s">
        <v>12139</v>
      </c>
      <c r="AJ1301" t="s">
        <v>12136</v>
      </c>
      <c r="AK1301" t="str">
        <f>""</f>
        <v/>
      </c>
      <c r="AL1301" t="s">
        <v>4412</v>
      </c>
      <c r="AM1301" t="s">
        <v>114</v>
      </c>
      <c r="AN1301" s="3">
        <v>76051</v>
      </c>
      <c r="AO1301" t="s">
        <v>101</v>
      </c>
      <c r="AQ1301" t="str">
        <f>"+18177227649"</f>
        <v>+18177227649</v>
      </c>
      <c r="AS1301" t="s">
        <v>382</v>
      </c>
      <c r="AT1301" t="s">
        <v>107</v>
      </c>
      <c r="AU1301" t="str">
        <f>"Villalobos"</f>
        <v>Villalobos</v>
      </c>
      <c r="AV1301" t="str">
        <f>"Melina"</f>
        <v>Melina</v>
      </c>
      <c r="AW1301" t="str">
        <f>""</f>
        <v/>
      </c>
      <c r="AX1301" t="str">
        <f>"8529 Six Forks Road, Forum IV"</f>
        <v>8529 Six Forks Road, Forum IV</v>
      </c>
      <c r="AY1301" t="str">
        <f>"Suite 600"</f>
        <v>Suite 600</v>
      </c>
      <c r="AZ1301" t="str">
        <f>"Raleigh"</f>
        <v>Raleigh</v>
      </c>
      <c r="BA1301" t="str">
        <f>"NC"</f>
        <v>NC</v>
      </c>
      <c r="BB1301" s="3">
        <v>27615</v>
      </c>
      <c r="BC1301" t="str">
        <f>"UNITED STATES OF AMERICA"</f>
        <v>UNITED STATES OF AMERICA</v>
      </c>
      <c r="BD1301" t="str">
        <f>""</f>
        <v/>
      </c>
      <c r="BE1301" t="str">
        <f>"+19197899700"</f>
        <v>+19197899700</v>
      </c>
      <c r="BF1301" t="str">
        <f>""</f>
        <v/>
      </c>
      <c r="BG1301" t="str">
        <f>"alex.johnson@ogletreedeakins.com"</f>
        <v>alex.johnson@ogletreedeakins.com</v>
      </c>
      <c r="BH1301" t="str">
        <f>"Ogletree, Deakins, Nash, Smoak &amp; Stewart, P.C."</f>
        <v>Ogletree, Deakins, Nash, Smoak &amp; Stewart, P.C.</v>
      </c>
      <c r="BI1301" t="str">
        <f>"IN"</f>
        <v>IN</v>
      </c>
      <c r="BJ1301" t="str">
        <f>"IN Supreme Court"</f>
        <v>IN Supreme Court</v>
      </c>
      <c r="BK1301">
        <v>1</v>
      </c>
      <c r="BL1301" t="s">
        <v>102</v>
      </c>
      <c r="BM1301" t="str">
        <f>""</f>
        <v/>
      </c>
      <c r="BN1301" t="s">
        <v>12136</v>
      </c>
      <c r="BP1301" t="s">
        <v>4412</v>
      </c>
      <c r="BQ1301" t="s">
        <v>792</v>
      </c>
      <c r="BR1301" t="s">
        <v>114</v>
      </c>
      <c r="BS1301" s="5">
        <v>76051</v>
      </c>
      <c r="BT1301" s="2">
        <v>148000</v>
      </c>
      <c r="BU1301" s="2">
        <v>158000</v>
      </c>
      <c r="BV1301" t="s">
        <v>105</v>
      </c>
      <c r="BW1301" s="2">
        <v>136552</v>
      </c>
      <c r="BX1301" t="s">
        <v>105</v>
      </c>
      <c r="BZ1301" t="s">
        <v>167</v>
      </c>
      <c r="CA1301" t="str">
        <f t="shared" si="103"/>
        <v>7/1/2020 - 6/30/2021</v>
      </c>
      <c r="CF1301">
        <v>2</v>
      </c>
      <c r="CG1301" t="s">
        <v>98</v>
      </c>
      <c r="CH1301" t="s">
        <v>206</v>
      </c>
      <c r="CI1301" t="s">
        <v>206</v>
      </c>
      <c r="CL1301" t="s">
        <v>108</v>
      </c>
      <c r="CM1301" t="s">
        <v>109</v>
      </c>
      <c r="CN1301" t="str">
        <f>"Villalobos"</f>
        <v>Villalobos</v>
      </c>
      <c r="CO1301" t="str">
        <f>"Melina"</f>
        <v>Melina</v>
      </c>
      <c r="CP1301" t="str">
        <f>"V"</f>
        <v>V</v>
      </c>
      <c r="CQ1301" t="str">
        <f>"Ogletree, Deakins, Nash, Smoak &amp; Stewart, P.C."</f>
        <v>Ogletree, Deakins, Nash, Smoak &amp; Stewart, P.C.</v>
      </c>
      <c r="CR1301" t="s">
        <v>3732</v>
      </c>
    </row>
    <row r="1302" spans="1:96" x14ac:dyDescent="0.2">
      <c r="A1302" t="s">
        <v>12140</v>
      </c>
      <c r="B1302" t="s">
        <v>96</v>
      </c>
      <c r="C1302" s="1">
        <v>44098</v>
      </c>
      <c r="D1302" s="1">
        <v>44105</v>
      </c>
      <c r="F1302" t="s">
        <v>97</v>
      </c>
      <c r="G1302" t="str">
        <f>"Postdoctoral Scholar"</f>
        <v>Postdoctoral Scholar</v>
      </c>
      <c r="H1302" t="s">
        <v>12184</v>
      </c>
      <c r="I1302" t="s">
        <v>1475</v>
      </c>
      <c r="J1302" t="s">
        <v>98</v>
      </c>
      <c r="K1302" s="1">
        <v>44175</v>
      </c>
      <c r="L1302" s="1">
        <v>44539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 t="s">
        <v>2962</v>
      </c>
      <c r="U1302" t="str">
        <f>""</f>
        <v/>
      </c>
      <c r="V1302" t="s">
        <v>2963</v>
      </c>
      <c r="W1302" t="str">
        <f>""</f>
        <v/>
      </c>
      <c r="X1302" t="s">
        <v>2964</v>
      </c>
      <c r="Y1302" t="s">
        <v>127</v>
      </c>
      <c r="Z1302" s="3">
        <v>16802</v>
      </c>
      <c r="AA1302" t="s">
        <v>101</v>
      </c>
      <c r="AC1302" s="4" t="str">
        <f>"+18148650423"</f>
        <v>+18148650423</v>
      </c>
      <c r="AE1302" t="str">
        <f>"611310"</f>
        <v>611310</v>
      </c>
      <c r="AF1302" t="s">
        <v>5309</v>
      </c>
      <c r="AG1302" t="s">
        <v>5310</v>
      </c>
      <c r="AI1302" t="s">
        <v>2966</v>
      </c>
      <c r="AJ1302" t="s">
        <v>2963</v>
      </c>
      <c r="AK1302" t="str">
        <f>""</f>
        <v/>
      </c>
      <c r="AL1302" t="s">
        <v>2964</v>
      </c>
      <c r="AM1302" t="s">
        <v>127</v>
      </c>
      <c r="AN1302" s="3">
        <v>16802</v>
      </c>
      <c r="AO1302" t="s">
        <v>101</v>
      </c>
      <c r="AQ1302" t="str">
        <f>"+18148650423"</f>
        <v>+18148650423</v>
      </c>
      <c r="AS1302" t="s">
        <v>2967</v>
      </c>
      <c r="AT1302" t="s">
        <v>102</v>
      </c>
      <c r="AU1302" t="str">
        <f>""</f>
        <v/>
      </c>
      <c r="AV1302" t="str">
        <f>""</f>
        <v/>
      </c>
      <c r="AW1302" t="str">
        <f>""</f>
        <v/>
      </c>
      <c r="AX1302" t="str">
        <f>""</f>
        <v/>
      </c>
      <c r="AY1302" t="str">
        <f>""</f>
        <v/>
      </c>
      <c r="AZ1302" t="str">
        <f>""</f>
        <v/>
      </c>
      <c r="BA1302" t="str">
        <f>""</f>
        <v/>
      </c>
      <c r="BC1302" t="str">
        <f>""</f>
        <v/>
      </c>
      <c r="BD1302" t="str">
        <f>""</f>
        <v/>
      </c>
      <c r="BE1302" t="str">
        <f>""</f>
        <v/>
      </c>
      <c r="BF1302" t="str">
        <f>""</f>
        <v/>
      </c>
      <c r="BG1302" t="str">
        <f>""</f>
        <v/>
      </c>
      <c r="BH1302" t="str">
        <f>""</f>
        <v/>
      </c>
      <c r="BI1302" t="str">
        <f>""</f>
        <v/>
      </c>
      <c r="BJ1302" t="str">
        <f>""</f>
        <v/>
      </c>
      <c r="BK1302">
        <v>1</v>
      </c>
      <c r="BL1302" t="s">
        <v>102</v>
      </c>
      <c r="BM1302" t="str">
        <f>""</f>
        <v/>
      </c>
      <c r="BN1302" t="s">
        <v>5542</v>
      </c>
      <c r="BO1302" t="s">
        <v>12141</v>
      </c>
      <c r="BP1302" t="s">
        <v>2964</v>
      </c>
      <c r="BQ1302" t="s">
        <v>5543</v>
      </c>
      <c r="BR1302" t="s">
        <v>127</v>
      </c>
      <c r="BS1302" s="5">
        <v>16802</v>
      </c>
      <c r="BT1302" s="2">
        <v>60000</v>
      </c>
      <c r="BV1302" t="s">
        <v>105</v>
      </c>
      <c r="BW1302" s="2">
        <v>39146</v>
      </c>
      <c r="BX1302" t="s">
        <v>105</v>
      </c>
      <c r="BZ1302" t="s">
        <v>191</v>
      </c>
      <c r="CA1302" t="str">
        <f t="shared" si="103"/>
        <v>7/1/2020 - 6/30/2021</v>
      </c>
      <c r="CF1302">
        <v>1</v>
      </c>
      <c r="CG1302" t="s">
        <v>98</v>
      </c>
      <c r="CH1302" t="s">
        <v>206</v>
      </c>
      <c r="CI1302" t="s">
        <v>206</v>
      </c>
      <c r="CL1302" t="s">
        <v>108</v>
      </c>
      <c r="CM1302" t="s">
        <v>109</v>
      </c>
      <c r="CN1302" t="str">
        <f>""</f>
        <v/>
      </c>
      <c r="CO1302" t="str">
        <f>""</f>
        <v/>
      </c>
      <c r="CP1302" t="str">
        <f>""</f>
        <v/>
      </c>
      <c r="CQ1302" t="str">
        <f>""</f>
        <v/>
      </c>
    </row>
    <row r="1303" spans="1:96" x14ac:dyDescent="0.2">
      <c r="A1303" t="s">
        <v>12149</v>
      </c>
      <c r="B1303" t="s">
        <v>96</v>
      </c>
      <c r="C1303" s="1">
        <v>44098</v>
      </c>
      <c r="D1303" s="1">
        <v>44105</v>
      </c>
      <c r="F1303" t="s">
        <v>97</v>
      </c>
      <c r="G1303" t="str">
        <f>"ASSISTANT BIOSTATISTICIAN"</f>
        <v>ASSISTANT BIOSTATISTICIAN</v>
      </c>
      <c r="H1303" t="s">
        <v>12180</v>
      </c>
      <c r="I1303" t="s">
        <v>2051</v>
      </c>
      <c r="J1303" t="s">
        <v>98</v>
      </c>
      <c r="K1303" s="1">
        <v>44167</v>
      </c>
      <c r="L1303" s="1">
        <v>45261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1251</v>
      </c>
      <c r="U1303" t="str">
        <f>""</f>
        <v/>
      </c>
      <c r="V1303" t="s">
        <v>1252</v>
      </c>
      <c r="W1303" t="str">
        <f>""</f>
        <v/>
      </c>
      <c r="X1303" t="s">
        <v>1253</v>
      </c>
      <c r="Y1303" t="s">
        <v>190</v>
      </c>
      <c r="Z1303" s="3">
        <v>11030</v>
      </c>
      <c r="AA1303" t="s">
        <v>101</v>
      </c>
      <c r="AC1303" s="4" t="str">
        <f>"+15165175015"</f>
        <v>+15165175015</v>
      </c>
      <c r="AE1303" t="str">
        <f>"541715"</f>
        <v>541715</v>
      </c>
      <c r="AF1303" t="s">
        <v>1254</v>
      </c>
      <c r="AG1303" t="s">
        <v>1255</v>
      </c>
      <c r="AI1303" t="s">
        <v>5433</v>
      </c>
      <c r="AJ1303" t="s">
        <v>1252</v>
      </c>
      <c r="AK1303" t="str">
        <f>""</f>
        <v/>
      </c>
      <c r="AL1303" t="s">
        <v>1253</v>
      </c>
      <c r="AM1303" t="s">
        <v>190</v>
      </c>
      <c r="AN1303" s="3">
        <v>11030</v>
      </c>
      <c r="AO1303" t="s">
        <v>101</v>
      </c>
      <c r="AQ1303" t="str">
        <f>"+15165175015"</f>
        <v>+15165175015</v>
      </c>
      <c r="AS1303" t="s">
        <v>1256</v>
      </c>
      <c r="AT1303" t="s">
        <v>107</v>
      </c>
      <c r="AU1303" t="str">
        <f>"FISHER"</f>
        <v>FISHER</v>
      </c>
      <c r="AV1303" t="str">
        <f>"THEDA"</f>
        <v>THEDA</v>
      </c>
      <c r="AW1303" t="str">
        <f>""</f>
        <v/>
      </c>
      <c r="AX1303" t="str">
        <f>"430 PARK AVENUE"</f>
        <v>430 PARK AVENUE</v>
      </c>
      <c r="AY1303" t="str">
        <f>"10TH FLOOR"</f>
        <v>10TH FLOOR</v>
      </c>
      <c r="AZ1303" t="str">
        <f>"NEW YORK"</f>
        <v>NEW YORK</v>
      </c>
      <c r="BA1303" t="str">
        <f>"NY"</f>
        <v>NY</v>
      </c>
      <c r="BB1303" s="3">
        <v>10022</v>
      </c>
      <c r="BC1303" t="str">
        <f>"UNITED STATES OF AMERICA"</f>
        <v>UNITED STATES OF AMERICA</v>
      </c>
      <c r="BD1303" t="str">
        <f>""</f>
        <v/>
      </c>
      <c r="BE1303" t="str">
        <f>"+12128489886"</f>
        <v>+12128489886</v>
      </c>
      <c r="BF1303" t="str">
        <f>""</f>
        <v/>
      </c>
      <c r="BG1303" t="str">
        <f>"Theda.Fisher@withersworldwide.com"</f>
        <v>Theda.Fisher@withersworldwide.com</v>
      </c>
      <c r="BH1303" t="str">
        <f>"WITHERS BERGMAN LLP"</f>
        <v>WITHERS BERGMAN LLP</v>
      </c>
      <c r="BI1303" t="str">
        <f>"NY"</f>
        <v>NY</v>
      </c>
      <c r="BJ1303" t="str">
        <f>"COURT OF APPEALS"</f>
        <v>COURT OF APPEALS</v>
      </c>
      <c r="BK1303">
        <v>1</v>
      </c>
      <c r="BL1303" t="s">
        <v>102</v>
      </c>
      <c r="BM1303" t="str">
        <f>""</f>
        <v/>
      </c>
      <c r="BN1303" t="s">
        <v>1252</v>
      </c>
      <c r="BP1303" t="s">
        <v>1253</v>
      </c>
      <c r="BQ1303" t="s">
        <v>1167</v>
      </c>
      <c r="BR1303" t="s">
        <v>190</v>
      </c>
      <c r="BS1303" s="5">
        <v>11030</v>
      </c>
      <c r="BT1303" s="2">
        <v>90000</v>
      </c>
      <c r="BV1303" t="s">
        <v>105</v>
      </c>
      <c r="BW1303" s="2">
        <v>89898</v>
      </c>
      <c r="BX1303" t="s">
        <v>105</v>
      </c>
      <c r="BZ1303" t="s">
        <v>167</v>
      </c>
      <c r="CA1303" t="str">
        <f t="shared" si="103"/>
        <v>7/1/2020 - 6/30/2021</v>
      </c>
      <c r="CF1303">
        <v>2</v>
      </c>
      <c r="CG1303" t="s">
        <v>98</v>
      </c>
      <c r="CH1303" t="s">
        <v>206</v>
      </c>
      <c r="CI1303" t="s">
        <v>206</v>
      </c>
      <c r="CL1303" t="s">
        <v>108</v>
      </c>
      <c r="CM1303" t="s">
        <v>109</v>
      </c>
      <c r="CN1303" t="str">
        <f>""</f>
        <v/>
      </c>
      <c r="CO1303" t="str">
        <f>""</f>
        <v/>
      </c>
      <c r="CP1303" t="str">
        <f>""</f>
        <v/>
      </c>
      <c r="CQ1303" t="str">
        <f>""</f>
        <v/>
      </c>
    </row>
    <row r="1304" spans="1:96" x14ac:dyDescent="0.2">
      <c r="A1304" t="s">
        <v>12150</v>
      </c>
      <c r="B1304" t="s">
        <v>96</v>
      </c>
      <c r="C1304" s="1">
        <v>44098</v>
      </c>
      <c r="D1304" s="1">
        <v>44105</v>
      </c>
      <c r="F1304" t="s">
        <v>97</v>
      </c>
      <c r="G1304" t="str">
        <f>"Principal Clinical Data Manager"</f>
        <v>Principal Clinical Data Manager</v>
      </c>
      <c r="H1304" t="s">
        <v>12172</v>
      </c>
      <c r="I1304" t="s">
        <v>1184</v>
      </c>
      <c r="J1304" t="s">
        <v>98</v>
      </c>
      <c r="K1304" s="1">
        <v>44132</v>
      </c>
      <c r="L1304" s="1">
        <v>45226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 t="s">
        <v>731</v>
      </c>
      <c r="U1304" t="str">
        <f>""</f>
        <v/>
      </c>
      <c r="V1304" t="s">
        <v>732</v>
      </c>
      <c r="W1304" t="str">
        <f>""</f>
        <v/>
      </c>
      <c r="X1304" t="s">
        <v>140</v>
      </c>
      <c r="Y1304" t="s">
        <v>141</v>
      </c>
      <c r="Z1304" s="3">
        <v>94107</v>
      </c>
      <c r="AA1304" t="s">
        <v>101</v>
      </c>
      <c r="AC1304" s="4" t="str">
        <f>"+16507315582"</f>
        <v>+16507315582</v>
      </c>
      <c r="AE1304" t="str">
        <f>"335210"</f>
        <v>335210</v>
      </c>
      <c r="AF1304" t="s">
        <v>733</v>
      </c>
      <c r="AG1304" t="s">
        <v>734</v>
      </c>
      <c r="AI1304" t="s">
        <v>735</v>
      </c>
      <c r="AJ1304" t="s">
        <v>732</v>
      </c>
      <c r="AK1304" t="str">
        <f>""</f>
        <v/>
      </c>
      <c r="AL1304" t="s">
        <v>140</v>
      </c>
      <c r="AM1304" t="s">
        <v>141</v>
      </c>
      <c r="AN1304" s="3">
        <v>94107</v>
      </c>
      <c r="AO1304" t="s">
        <v>101</v>
      </c>
      <c r="AQ1304" t="str">
        <f>"+13108802679"</f>
        <v>+13108802679</v>
      </c>
      <c r="AS1304" t="s">
        <v>8138</v>
      </c>
      <c r="AT1304" t="s">
        <v>107</v>
      </c>
      <c r="AU1304" t="str">
        <f>"AVAREGAN"</f>
        <v>AVAREGAN</v>
      </c>
      <c r="AV1304" t="str">
        <f>"NEGIN"</f>
        <v>NEGIN</v>
      </c>
      <c r="AW1304" t="str">
        <f>""</f>
        <v/>
      </c>
      <c r="AX1304" t="str">
        <f>"555 MONTGOMERY STREET"</f>
        <v>555 MONTGOMERY STREET</v>
      </c>
      <c r="AY1304" t="str">
        <f>"4TH FLOOR"</f>
        <v>4TH FLOOR</v>
      </c>
      <c r="AZ1304" t="str">
        <f>"SAN FRANCISCO"</f>
        <v>SAN FRANCISCO</v>
      </c>
      <c r="BA1304" t="str">
        <f>"CA"</f>
        <v>CA</v>
      </c>
      <c r="BB1304" s="3">
        <v>94111</v>
      </c>
      <c r="BC1304" t="str">
        <f>"UNITED STATES OF AMERICA"</f>
        <v>UNITED STATES OF AMERICA</v>
      </c>
      <c r="BD1304" t="str">
        <f>""</f>
        <v/>
      </c>
      <c r="BE1304" t="str">
        <f>"+14159861446"</f>
        <v>+14159861446</v>
      </c>
      <c r="BF1304" t="str">
        <f>""</f>
        <v/>
      </c>
      <c r="BG1304" t="str">
        <f>"immigrationspecialist@fragomen.com"</f>
        <v>immigrationspecialist@fragomen.com</v>
      </c>
      <c r="BH1304" t="str">
        <f>"FRAGOMEN, DEL REY, BERNSEN &amp; LOEWY, LLP"</f>
        <v>FRAGOMEN, DEL REY, BERNSEN &amp; LOEWY, LLP</v>
      </c>
      <c r="BI1304" t="str">
        <f>"CA"</f>
        <v>CA</v>
      </c>
      <c r="BJ1304" t="str">
        <f>"SUPREME COURT"</f>
        <v>SUPREME COURT</v>
      </c>
      <c r="BK1304">
        <v>1</v>
      </c>
      <c r="BL1304" t="s">
        <v>102</v>
      </c>
      <c r="BM1304" t="str">
        <f>""</f>
        <v/>
      </c>
      <c r="BN1304" t="s">
        <v>12151</v>
      </c>
      <c r="BP1304" t="s">
        <v>140</v>
      </c>
      <c r="BQ1304" t="s">
        <v>147</v>
      </c>
      <c r="BR1304" t="s">
        <v>141</v>
      </c>
      <c r="BS1304" s="5">
        <v>94107</v>
      </c>
      <c r="BT1304" s="2">
        <v>128794</v>
      </c>
      <c r="BU1304" s="2">
        <v>160000</v>
      </c>
      <c r="BV1304" t="s">
        <v>105</v>
      </c>
      <c r="BW1304" s="2">
        <v>128794</v>
      </c>
      <c r="BX1304" t="s">
        <v>105</v>
      </c>
      <c r="BZ1304" t="s">
        <v>159</v>
      </c>
      <c r="CA1304" t="str">
        <f t="shared" si="103"/>
        <v>7/1/2020 - 6/30/2021</v>
      </c>
      <c r="CF1304">
        <v>2</v>
      </c>
      <c r="CG1304" t="s">
        <v>98</v>
      </c>
      <c r="CH1304" t="s">
        <v>206</v>
      </c>
      <c r="CI1304" t="s">
        <v>206</v>
      </c>
      <c r="CL1304" t="s">
        <v>108</v>
      </c>
      <c r="CM1304" t="s">
        <v>109</v>
      </c>
      <c r="CN1304" t="str">
        <f>"AVAREGAN C#5234111"</f>
        <v>AVAREGAN C#5234111</v>
      </c>
      <c r="CO1304" t="str">
        <f>"NEGIN"</f>
        <v>NEGIN</v>
      </c>
      <c r="CP1304" t="str">
        <f>""</f>
        <v/>
      </c>
      <c r="CQ1304" t="str">
        <f>"FRAGOMEN, DEL REY, BERNSEN &amp; LOEWY, LLP"</f>
        <v>FRAGOMEN, DEL REY, BERNSEN &amp; LOEWY, LLP</v>
      </c>
      <c r="CR1304" t="s">
        <v>3603</v>
      </c>
    </row>
    <row r="1305" spans="1:96" x14ac:dyDescent="0.2">
      <c r="A1305" t="s">
        <v>12155</v>
      </c>
      <c r="B1305" t="s">
        <v>96</v>
      </c>
      <c r="C1305" s="1">
        <v>44098</v>
      </c>
      <c r="D1305" s="1">
        <v>44105</v>
      </c>
      <c r="F1305" t="s">
        <v>97</v>
      </c>
      <c r="G1305" t="str">
        <f>"Senior Engineer"</f>
        <v>Senior Engineer</v>
      </c>
      <c r="H1305" t="s">
        <v>12169</v>
      </c>
      <c r="I1305" t="s">
        <v>124</v>
      </c>
      <c r="J1305" t="s">
        <v>98</v>
      </c>
      <c r="K1305" s="1">
        <v>44280</v>
      </c>
      <c r="L1305" s="1">
        <v>45375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 t="s">
        <v>2519</v>
      </c>
      <c r="U1305" t="str">
        <f>""</f>
        <v/>
      </c>
      <c r="V1305" t="s">
        <v>2520</v>
      </c>
      <c r="W1305" t="str">
        <f>""</f>
        <v/>
      </c>
      <c r="X1305" t="s">
        <v>1339</v>
      </c>
      <c r="Y1305" t="s">
        <v>186</v>
      </c>
      <c r="Z1305" s="3">
        <v>55403</v>
      </c>
      <c r="AA1305" t="s">
        <v>101</v>
      </c>
      <c r="AC1305" s="4" t="str">
        <f>"+16123046073"</f>
        <v>+16123046073</v>
      </c>
      <c r="AE1305" t="str">
        <f>"45399"</f>
        <v>45399</v>
      </c>
      <c r="AF1305" t="s">
        <v>1968</v>
      </c>
      <c r="AG1305" t="s">
        <v>1003</v>
      </c>
      <c r="AH1305" t="s">
        <v>2895</v>
      </c>
      <c r="AI1305" t="s">
        <v>2521</v>
      </c>
      <c r="AJ1305" t="s">
        <v>3831</v>
      </c>
      <c r="AK1305" t="str">
        <f>"CC-17613"</f>
        <v>CC-17613</v>
      </c>
      <c r="AL1305" t="s">
        <v>1339</v>
      </c>
      <c r="AM1305" t="s">
        <v>186</v>
      </c>
      <c r="AN1305" s="3">
        <v>55402</v>
      </c>
      <c r="AO1305" t="s">
        <v>101</v>
      </c>
      <c r="AQ1305" t="str">
        <f>"+16126964229"</f>
        <v>+16126964229</v>
      </c>
      <c r="AS1305" t="s">
        <v>3832</v>
      </c>
      <c r="AT1305" t="s">
        <v>107</v>
      </c>
      <c r="AU1305" t="str">
        <f>"Carlson"</f>
        <v>Carlson</v>
      </c>
      <c r="AV1305" t="str">
        <f>"Beth"</f>
        <v>Beth</v>
      </c>
      <c r="AW1305" t="str">
        <f>"E."</f>
        <v>E.</v>
      </c>
      <c r="AX1305" t="str">
        <f>"90 S 7th Street"</f>
        <v>90 S 7th Street</v>
      </c>
      <c r="AY1305" t="str">
        <f>"Suite 2200"</f>
        <v>Suite 2200</v>
      </c>
      <c r="AZ1305" t="str">
        <f>"Minneapolis"</f>
        <v>Minneapolis</v>
      </c>
      <c r="BA1305" t="str">
        <f>"MN"</f>
        <v>MN</v>
      </c>
      <c r="BB1305" s="3">
        <v>55402</v>
      </c>
      <c r="BC1305" t="str">
        <f>"UNITED STATES OF AMERICA"</f>
        <v>UNITED STATES OF AMERICA</v>
      </c>
      <c r="BD1305" t="str">
        <f>""</f>
        <v/>
      </c>
      <c r="BE1305" t="str">
        <f>"+16127667652"</f>
        <v>+16127667652</v>
      </c>
      <c r="BF1305" t="str">
        <f>""</f>
        <v/>
      </c>
      <c r="BG1305" t="str">
        <f>"beth.carlson@faegredrinker.com"</f>
        <v>beth.carlson@faegredrinker.com</v>
      </c>
      <c r="BH1305" t="str">
        <f>"Faegre Drinker Biddle Reath"</f>
        <v>Faegre Drinker Biddle Reath</v>
      </c>
      <c r="BI1305" t="str">
        <f>"MN"</f>
        <v>MN</v>
      </c>
      <c r="BJ1305" t="str">
        <f>"Minnesota Supreme Court"</f>
        <v>Minnesota Supreme Court</v>
      </c>
      <c r="BK1305">
        <v>1</v>
      </c>
      <c r="BL1305" t="s">
        <v>102</v>
      </c>
      <c r="BM1305" t="str">
        <f>""</f>
        <v/>
      </c>
      <c r="BN1305" t="s">
        <v>3833</v>
      </c>
      <c r="BP1305" t="s">
        <v>1339</v>
      </c>
      <c r="BQ1305" t="s">
        <v>185</v>
      </c>
      <c r="BR1305" t="s">
        <v>186</v>
      </c>
      <c r="BS1305" s="5">
        <v>55402</v>
      </c>
      <c r="BT1305" s="2">
        <v>122741</v>
      </c>
      <c r="BU1305" s="2">
        <v>172100</v>
      </c>
      <c r="BV1305" t="s">
        <v>105</v>
      </c>
      <c r="BW1305" s="2">
        <v>122741</v>
      </c>
      <c r="BX1305" t="s">
        <v>105</v>
      </c>
      <c r="BZ1305" t="s">
        <v>159</v>
      </c>
      <c r="CA1305" t="str">
        <f t="shared" si="103"/>
        <v>7/1/2020 - 6/30/2021</v>
      </c>
      <c r="CF1305">
        <v>2</v>
      </c>
      <c r="CG1305" t="s">
        <v>98</v>
      </c>
      <c r="CH1305" t="s">
        <v>206</v>
      </c>
      <c r="CI1305" t="s">
        <v>206</v>
      </c>
      <c r="CL1305" t="s">
        <v>108</v>
      </c>
      <c r="CM1305" t="s">
        <v>109</v>
      </c>
      <c r="CN1305" t="str">
        <f>""</f>
        <v/>
      </c>
      <c r="CO1305" t="str">
        <f>""</f>
        <v/>
      </c>
      <c r="CP1305" t="str">
        <f>""</f>
        <v/>
      </c>
      <c r="CQ1305" t="str">
        <f>""</f>
        <v/>
      </c>
    </row>
    <row r="1306" spans="1:96" x14ac:dyDescent="0.2">
      <c r="A1306" t="s">
        <v>12156</v>
      </c>
      <c r="B1306" t="s">
        <v>96</v>
      </c>
      <c r="C1306" s="1">
        <v>44098</v>
      </c>
      <c r="D1306" s="1">
        <v>44105</v>
      </c>
      <c r="F1306" t="s">
        <v>97</v>
      </c>
      <c r="G1306" t="str">
        <f>"Application Programmer V"</f>
        <v>Application Programmer V</v>
      </c>
      <c r="H1306" t="s">
        <v>12169</v>
      </c>
      <c r="I1306" t="s">
        <v>124</v>
      </c>
      <c r="J1306" t="s">
        <v>98</v>
      </c>
      <c r="K1306" s="1">
        <v>44187</v>
      </c>
      <c r="L1306" s="1">
        <v>45281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 t="s">
        <v>6579</v>
      </c>
      <c r="U1306" t="str">
        <f>""</f>
        <v/>
      </c>
      <c r="V1306" t="s">
        <v>6580</v>
      </c>
      <c r="W1306" t="str">
        <f>"Suite 100"</f>
        <v>Suite 100</v>
      </c>
      <c r="X1306" t="s">
        <v>604</v>
      </c>
      <c r="Y1306" t="s">
        <v>122</v>
      </c>
      <c r="Z1306" s="3">
        <v>28203</v>
      </c>
      <c r="AA1306" t="s">
        <v>101</v>
      </c>
      <c r="AC1306" s="4" t="str">
        <f>"+17047318009"</f>
        <v>+17047318009</v>
      </c>
      <c r="AE1306" t="str">
        <f>"541511"</f>
        <v>541511</v>
      </c>
      <c r="AF1306" t="s">
        <v>6352</v>
      </c>
      <c r="AG1306" t="s">
        <v>4796</v>
      </c>
      <c r="AI1306" t="s">
        <v>6581</v>
      </c>
      <c r="AJ1306" t="s">
        <v>6582</v>
      </c>
      <c r="AK1306" t="str">
        <f>"Suite 100"</f>
        <v>Suite 100</v>
      </c>
      <c r="AL1306" t="s">
        <v>604</v>
      </c>
      <c r="AM1306" t="s">
        <v>122</v>
      </c>
      <c r="AN1306" s="3">
        <v>28203</v>
      </c>
      <c r="AO1306" t="s">
        <v>101</v>
      </c>
      <c r="AQ1306" t="str">
        <f>"+17047192788"</f>
        <v>+17047192788</v>
      </c>
      <c r="AS1306" t="s">
        <v>6583</v>
      </c>
      <c r="AT1306" t="s">
        <v>107</v>
      </c>
      <c r="AU1306" t="str">
        <f>"Hammond"</f>
        <v>Hammond</v>
      </c>
      <c r="AV1306" t="str">
        <f>"Michael"</f>
        <v>Michael</v>
      </c>
      <c r="AW1306" t="str">
        <f>"F."</f>
        <v>F.</v>
      </c>
      <c r="AX1306" t="str">
        <f>"441 Vine Street"</f>
        <v>441 Vine Street</v>
      </c>
      <c r="AY1306" t="str">
        <f>"Suite 3200"</f>
        <v>Suite 3200</v>
      </c>
      <c r="AZ1306" t="str">
        <f>"Cincinnati"</f>
        <v>Cincinnati</v>
      </c>
      <c r="BA1306" t="str">
        <f>"OH"</f>
        <v>OH</v>
      </c>
      <c r="BB1306" s="3">
        <v>45202</v>
      </c>
      <c r="BC1306" t="str">
        <f>"UNITED STATES OF AMERICA"</f>
        <v>UNITED STATES OF AMERICA</v>
      </c>
      <c r="BD1306" t="str">
        <f>""</f>
        <v/>
      </c>
      <c r="BE1306" t="str">
        <f>"+15132876866"</f>
        <v>+15132876866</v>
      </c>
      <c r="BF1306" t="str">
        <f>""</f>
        <v/>
      </c>
      <c r="BG1306" t="str">
        <f>"agr@hammondlawgroup.com"</f>
        <v>agr@hammondlawgroup.com</v>
      </c>
      <c r="BH1306" t="str">
        <f>"Hammond Neal Moore, LLC"</f>
        <v>Hammond Neal Moore, LLC</v>
      </c>
      <c r="BI1306" t="str">
        <f>"OH"</f>
        <v>OH</v>
      </c>
      <c r="BJ1306" t="str">
        <f>"Supreme Court"</f>
        <v>Supreme Court</v>
      </c>
      <c r="BK1306">
        <v>1</v>
      </c>
      <c r="BL1306" t="s">
        <v>107</v>
      </c>
      <c r="BM1306" t="str">
        <f>"Bank of America (BOA)"</f>
        <v>Bank of America (BOA)</v>
      </c>
      <c r="BN1306" t="s">
        <v>8839</v>
      </c>
      <c r="BP1306" t="s">
        <v>604</v>
      </c>
      <c r="BQ1306" t="s">
        <v>121</v>
      </c>
      <c r="BR1306" t="s">
        <v>122</v>
      </c>
      <c r="BS1306" s="5">
        <v>28202</v>
      </c>
      <c r="BT1306" s="2">
        <v>104042</v>
      </c>
      <c r="BU1306" s="2">
        <v>145000</v>
      </c>
      <c r="BV1306" t="s">
        <v>105</v>
      </c>
      <c r="BW1306" s="2">
        <v>104042</v>
      </c>
      <c r="BX1306" t="s">
        <v>105</v>
      </c>
      <c r="BZ1306" t="s">
        <v>123</v>
      </c>
      <c r="CA1306" t="str">
        <f t="shared" si="103"/>
        <v>7/1/2020 - 6/30/2021</v>
      </c>
      <c r="CF1306">
        <v>2</v>
      </c>
      <c r="CG1306" t="s">
        <v>98</v>
      </c>
      <c r="CH1306" t="s">
        <v>206</v>
      </c>
      <c r="CI1306" t="s">
        <v>206</v>
      </c>
      <c r="CL1306" t="s">
        <v>108</v>
      </c>
      <c r="CM1306" t="s">
        <v>109</v>
      </c>
      <c r="CN1306" t="str">
        <f>""</f>
        <v/>
      </c>
      <c r="CO1306" t="str">
        <f>""</f>
        <v/>
      </c>
      <c r="CP1306" t="str">
        <f>""</f>
        <v/>
      </c>
      <c r="CQ1306" t="str">
        <f>""</f>
        <v/>
      </c>
    </row>
    <row r="1307" spans="1:96" x14ac:dyDescent="0.2">
      <c r="A1307" t="s">
        <v>12160</v>
      </c>
      <c r="B1307" t="s">
        <v>96</v>
      </c>
      <c r="C1307" s="1">
        <v>44098</v>
      </c>
      <c r="D1307" s="1">
        <v>44105</v>
      </c>
      <c r="F1307" t="s">
        <v>97</v>
      </c>
      <c r="G1307" t="str">
        <f>"Actuarial Analyst"</f>
        <v>Actuarial Analyst</v>
      </c>
      <c r="H1307" t="s">
        <v>12188</v>
      </c>
      <c r="I1307" t="s">
        <v>3481</v>
      </c>
      <c r="J1307" t="s">
        <v>98</v>
      </c>
      <c r="K1307" s="1">
        <v>44104</v>
      </c>
      <c r="L1307" s="1">
        <v>45198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 t="s">
        <v>2419</v>
      </c>
      <c r="U1307" t="str">
        <f>""</f>
        <v/>
      </c>
      <c r="V1307" t="s">
        <v>2420</v>
      </c>
      <c r="W1307" t="str">
        <f>""</f>
        <v/>
      </c>
      <c r="X1307" t="s">
        <v>147</v>
      </c>
      <c r="Y1307" t="s">
        <v>141</v>
      </c>
      <c r="Z1307" s="3">
        <v>94107</v>
      </c>
      <c r="AA1307" t="s">
        <v>101</v>
      </c>
      <c r="AC1307" s="4" t="str">
        <f>"+18442653288"</f>
        <v>+18442653288</v>
      </c>
      <c r="AE1307" t="str">
        <f>"524292"</f>
        <v>524292</v>
      </c>
      <c r="AF1307" t="s">
        <v>2421</v>
      </c>
      <c r="AG1307" t="s">
        <v>2422</v>
      </c>
      <c r="AI1307" t="s">
        <v>2423</v>
      </c>
      <c r="AJ1307" t="s">
        <v>2424</v>
      </c>
      <c r="AK1307" t="str">
        <f>""</f>
        <v/>
      </c>
      <c r="AL1307" t="s">
        <v>140</v>
      </c>
      <c r="AM1307" t="s">
        <v>141</v>
      </c>
      <c r="AN1307" s="3">
        <v>94107</v>
      </c>
      <c r="AO1307" t="s">
        <v>101</v>
      </c>
      <c r="AQ1307" t="str">
        <f>"+18442653288"</f>
        <v>+18442653288</v>
      </c>
      <c r="AS1307" t="s">
        <v>2425</v>
      </c>
      <c r="AT1307" t="s">
        <v>107</v>
      </c>
      <c r="AU1307" t="str">
        <f>"NAGAHORI"</f>
        <v>NAGAHORI</v>
      </c>
      <c r="AV1307" t="str">
        <f>"RANDI"</f>
        <v>RANDI</v>
      </c>
      <c r="AW1307" t="str">
        <f>""</f>
        <v/>
      </c>
      <c r="AX1307" t="str">
        <f>"235 MONTGOMERY STREET"</f>
        <v>235 MONTGOMERY STREET</v>
      </c>
      <c r="AY1307" t="str">
        <f>"SUITE 629"</f>
        <v>SUITE 629</v>
      </c>
      <c r="AZ1307" t="str">
        <f>"SAN FRANCISCO"</f>
        <v>SAN FRANCISCO</v>
      </c>
      <c r="BA1307" t="str">
        <f>"CA"</f>
        <v>CA</v>
      </c>
      <c r="BB1307" s="3">
        <v>94104</v>
      </c>
      <c r="BC1307" t="str">
        <f>"UNITED STATES OF AMERICA"</f>
        <v>UNITED STATES OF AMERICA</v>
      </c>
      <c r="BD1307" t="str">
        <f>""</f>
        <v/>
      </c>
      <c r="BE1307" t="str">
        <f>"+14158053900"</f>
        <v>+14158053900</v>
      </c>
      <c r="BF1307" t="str">
        <f>""</f>
        <v/>
      </c>
      <c r="BG1307" t="str">
        <f>"LCA@GOLAWCORP.COM"</f>
        <v>LCA@GOLAWCORP.COM</v>
      </c>
      <c r="BH1307" t="str">
        <f>"GOESCHL LAW CORPORATION"</f>
        <v>GOESCHL LAW CORPORATION</v>
      </c>
      <c r="BI1307" t="str">
        <f>"CA"</f>
        <v>CA</v>
      </c>
      <c r="BJ1307" t="str">
        <f>"SUPREME COURT"</f>
        <v>SUPREME COURT</v>
      </c>
      <c r="BK1307">
        <v>1</v>
      </c>
      <c r="BL1307" t="s">
        <v>102</v>
      </c>
      <c r="BM1307" t="str">
        <f>""</f>
        <v/>
      </c>
      <c r="BN1307" t="s">
        <v>2420</v>
      </c>
      <c r="BP1307" t="s">
        <v>147</v>
      </c>
      <c r="BQ1307" t="s">
        <v>147</v>
      </c>
      <c r="BR1307" t="s">
        <v>141</v>
      </c>
      <c r="BS1307" s="5">
        <v>94107</v>
      </c>
      <c r="BT1307" s="2">
        <v>100000</v>
      </c>
      <c r="BV1307" t="s">
        <v>105</v>
      </c>
      <c r="BW1307" s="2">
        <v>74984</v>
      </c>
      <c r="BX1307" t="s">
        <v>105</v>
      </c>
      <c r="BZ1307" t="s">
        <v>191</v>
      </c>
      <c r="CA1307" t="str">
        <f t="shared" si="103"/>
        <v>7/1/2020 - 6/30/2021</v>
      </c>
      <c r="CF1307">
        <v>2</v>
      </c>
      <c r="CG1307" t="s">
        <v>98</v>
      </c>
      <c r="CH1307" t="s">
        <v>206</v>
      </c>
      <c r="CI1307" t="s">
        <v>206</v>
      </c>
      <c r="CL1307" t="s">
        <v>108</v>
      </c>
      <c r="CM1307" t="s">
        <v>718</v>
      </c>
      <c r="CN1307" t="str">
        <f>""</f>
        <v/>
      </c>
      <c r="CO1307" t="str">
        <f>""</f>
        <v/>
      </c>
      <c r="CP1307" t="str">
        <f>""</f>
        <v/>
      </c>
      <c r="CQ1307" t="str">
        <f>""</f>
        <v/>
      </c>
    </row>
    <row r="1308" spans="1:96" x14ac:dyDescent="0.2">
      <c r="A1308" t="s">
        <v>12165</v>
      </c>
      <c r="B1308" t="s">
        <v>96</v>
      </c>
      <c r="C1308" s="1">
        <v>44098</v>
      </c>
      <c r="D1308" s="1">
        <v>44105</v>
      </c>
      <c r="F1308" t="s">
        <v>97</v>
      </c>
      <c r="G1308" t="str">
        <f>"Research Specialist"</f>
        <v>Research Specialist</v>
      </c>
      <c r="H1308" t="s">
        <v>12170</v>
      </c>
      <c r="I1308" t="s">
        <v>685</v>
      </c>
      <c r="J1308" t="s">
        <v>98</v>
      </c>
      <c r="K1308" s="1">
        <v>44105</v>
      </c>
      <c r="L1308" s="1">
        <v>45199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 t="s">
        <v>1374</v>
      </c>
      <c r="U1308" t="str">
        <f>""</f>
        <v/>
      </c>
      <c r="V1308" t="s">
        <v>1375</v>
      </c>
      <c r="W1308" t="str">
        <f>"121-20 University Services Building"</f>
        <v>121-20 University Services Building</v>
      </c>
      <c r="X1308" t="s">
        <v>1376</v>
      </c>
      <c r="Y1308" t="s">
        <v>608</v>
      </c>
      <c r="Z1308" s="3">
        <v>52242</v>
      </c>
      <c r="AA1308" t="s">
        <v>101</v>
      </c>
      <c r="AC1308" s="4" t="str">
        <f>"+13193355316"</f>
        <v>+13193355316</v>
      </c>
      <c r="AE1308" t="str">
        <f>"611310"</f>
        <v>611310</v>
      </c>
      <c r="AF1308" t="s">
        <v>1377</v>
      </c>
      <c r="AG1308" t="s">
        <v>196</v>
      </c>
      <c r="AH1308" t="s">
        <v>1378</v>
      </c>
      <c r="AI1308" t="s">
        <v>1379</v>
      </c>
      <c r="AJ1308" t="s">
        <v>1375</v>
      </c>
      <c r="AK1308" t="str">
        <f>"121-20 University Services Building"</f>
        <v>121-20 University Services Building</v>
      </c>
      <c r="AL1308" t="s">
        <v>1376</v>
      </c>
      <c r="AM1308" t="s">
        <v>608</v>
      </c>
      <c r="AN1308" s="3">
        <v>52242</v>
      </c>
      <c r="AO1308" t="s">
        <v>101</v>
      </c>
      <c r="AQ1308" t="str">
        <f>"+13193355316"</f>
        <v>+13193355316</v>
      </c>
      <c r="AS1308" t="s">
        <v>1380</v>
      </c>
      <c r="AT1308" t="s">
        <v>102</v>
      </c>
      <c r="AU1308" t="str">
        <f>""</f>
        <v/>
      </c>
      <c r="AV1308" t="str">
        <f>""</f>
        <v/>
      </c>
      <c r="AW1308" t="str">
        <f>""</f>
        <v/>
      </c>
      <c r="AX1308" t="str">
        <f>""</f>
        <v/>
      </c>
      <c r="AY1308" t="str">
        <f>""</f>
        <v/>
      </c>
      <c r="AZ1308" t="str">
        <f>""</f>
        <v/>
      </c>
      <c r="BA1308" t="str">
        <f>""</f>
        <v/>
      </c>
      <c r="BC1308" t="str">
        <f>""</f>
        <v/>
      </c>
      <c r="BD1308" t="str">
        <f>""</f>
        <v/>
      </c>
      <c r="BE1308" t="str">
        <f>""</f>
        <v/>
      </c>
      <c r="BF1308" t="str">
        <f>""</f>
        <v/>
      </c>
      <c r="BG1308" t="str">
        <f>""</f>
        <v/>
      </c>
      <c r="BH1308" t="str">
        <f>""</f>
        <v/>
      </c>
      <c r="BI1308" t="str">
        <f>""</f>
        <v/>
      </c>
      <c r="BJ1308" t="str">
        <f>""</f>
        <v/>
      </c>
      <c r="BK1308">
        <v>1</v>
      </c>
      <c r="BL1308" t="s">
        <v>102</v>
      </c>
      <c r="BM1308" t="str">
        <f>""</f>
        <v/>
      </c>
      <c r="BN1308" t="s">
        <v>1374</v>
      </c>
      <c r="BO1308" t="s">
        <v>12166</v>
      </c>
      <c r="BP1308" t="s">
        <v>1376</v>
      </c>
      <c r="BQ1308" t="s">
        <v>1372</v>
      </c>
      <c r="BR1308" t="s">
        <v>608</v>
      </c>
      <c r="BS1308" s="5">
        <v>52242</v>
      </c>
      <c r="BT1308" s="2">
        <v>50011</v>
      </c>
      <c r="BU1308" s="2">
        <v>50012</v>
      </c>
      <c r="BV1308" t="s">
        <v>105</v>
      </c>
      <c r="BW1308" s="2">
        <v>43243</v>
      </c>
      <c r="BX1308" t="s">
        <v>105</v>
      </c>
      <c r="BZ1308" t="s">
        <v>191</v>
      </c>
      <c r="CA1308" t="str">
        <f t="shared" si="103"/>
        <v>7/1/2020 - 6/30/2021</v>
      </c>
      <c r="CF1308">
        <v>1</v>
      </c>
      <c r="CG1308" t="s">
        <v>98</v>
      </c>
      <c r="CH1308" t="s">
        <v>206</v>
      </c>
      <c r="CI1308" t="s">
        <v>206</v>
      </c>
      <c r="CL1308" t="s">
        <v>108</v>
      </c>
      <c r="CM1308" t="s">
        <v>109</v>
      </c>
      <c r="CN1308" t="str">
        <f>""</f>
        <v/>
      </c>
      <c r="CO1308" t="str">
        <f>""</f>
        <v/>
      </c>
      <c r="CP1308" t="str">
        <f>""</f>
        <v/>
      </c>
      <c r="CQ1308" t="str">
        <f>""</f>
        <v/>
      </c>
    </row>
    <row r="1309" spans="1:96" x14ac:dyDescent="0.2">
      <c r="A1309" t="s">
        <v>12167</v>
      </c>
      <c r="B1309" t="s">
        <v>96</v>
      </c>
      <c r="C1309" s="1">
        <v>44098</v>
      </c>
      <c r="D1309" s="1">
        <v>44105</v>
      </c>
      <c r="F1309" t="s">
        <v>97</v>
      </c>
      <c r="G1309" t="str">
        <f>"Data Analyst"</f>
        <v>Data Analyst</v>
      </c>
      <c r="H1309" t="s">
        <v>12168</v>
      </c>
      <c r="I1309" t="s">
        <v>249</v>
      </c>
      <c r="J1309" t="s">
        <v>98</v>
      </c>
      <c r="K1309" s="1">
        <v>44111</v>
      </c>
      <c r="L1309" s="1">
        <v>45205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8088</v>
      </c>
      <c r="U1309" t="str">
        <f>"Solarelectricway"</f>
        <v>Solarelectricway</v>
      </c>
      <c r="V1309" t="s">
        <v>8089</v>
      </c>
      <c r="W1309" t="str">
        <f>"Suite C453"</f>
        <v>Suite C453</v>
      </c>
      <c r="X1309" t="s">
        <v>1791</v>
      </c>
      <c r="Y1309" t="s">
        <v>190</v>
      </c>
      <c r="Z1309" s="3">
        <v>11232</v>
      </c>
      <c r="AA1309" t="s">
        <v>101</v>
      </c>
      <c r="AC1309" s="4" t="str">
        <f>"+18889985337"</f>
        <v>+18889985337</v>
      </c>
      <c r="AE1309" t="str">
        <f>"423610"</f>
        <v>423610</v>
      </c>
      <c r="AF1309" t="s">
        <v>8090</v>
      </c>
      <c r="AG1309" t="s">
        <v>4568</v>
      </c>
      <c r="AI1309" t="s">
        <v>508</v>
      </c>
      <c r="AJ1309" t="s">
        <v>8089</v>
      </c>
      <c r="AK1309" t="str">
        <f>"Suite C453"</f>
        <v>Suite C453</v>
      </c>
      <c r="AL1309" t="s">
        <v>1791</v>
      </c>
      <c r="AM1309" t="s">
        <v>190</v>
      </c>
      <c r="AN1309" s="3">
        <v>11232</v>
      </c>
      <c r="AO1309" t="s">
        <v>101</v>
      </c>
      <c r="AQ1309" t="str">
        <f>"+18889985337"</f>
        <v>+18889985337</v>
      </c>
      <c r="AS1309" t="s">
        <v>8091</v>
      </c>
      <c r="AT1309" t="s">
        <v>107</v>
      </c>
      <c r="AU1309" t="str">
        <f>"Cao"</f>
        <v>Cao</v>
      </c>
      <c r="AV1309" t="str">
        <f>"Ying"</f>
        <v>Ying</v>
      </c>
      <c r="AW1309" t="str">
        <f>""</f>
        <v/>
      </c>
      <c r="AX1309" t="str">
        <f>"51 JFK Pkwy, First Floor West"</f>
        <v>51 JFK Pkwy, First Floor West</v>
      </c>
      <c r="AY1309" t="str">
        <f>"Room 140"</f>
        <v>Room 140</v>
      </c>
      <c r="AZ1309" t="str">
        <f>"Short Hills"</f>
        <v>Short Hills</v>
      </c>
      <c r="BA1309" t="str">
        <f>"NJ"</f>
        <v>NJ</v>
      </c>
      <c r="BB1309" s="3">
        <v>7078</v>
      </c>
      <c r="BC1309" t="str">
        <f>"UNITED STATES OF AMERICA"</f>
        <v>UNITED STATES OF AMERICA</v>
      </c>
      <c r="BD1309" t="str">
        <f>""</f>
        <v/>
      </c>
      <c r="BE1309" t="str">
        <f>"+19733101688"</f>
        <v>+19733101688</v>
      </c>
      <c r="BF1309" t="str">
        <f>""</f>
        <v/>
      </c>
      <c r="BG1309" t="str">
        <f>"ycao@yclawllc.com"</f>
        <v>ycao@yclawllc.com</v>
      </c>
      <c r="BH1309" t="str">
        <f>"Ying Cao Law LLC"</f>
        <v>Ying Cao Law LLC</v>
      </c>
      <c r="BI1309" t="str">
        <f>"NJ"</f>
        <v>NJ</v>
      </c>
      <c r="BJ1309" t="str">
        <f>"New Jersey Supreme Court"</f>
        <v>New Jersey Supreme Court</v>
      </c>
      <c r="BK1309">
        <v>1</v>
      </c>
      <c r="BL1309" t="s">
        <v>102</v>
      </c>
      <c r="BM1309" t="str">
        <f>""</f>
        <v/>
      </c>
      <c r="BN1309" t="s">
        <v>8089</v>
      </c>
      <c r="BO1309" t="s">
        <v>8092</v>
      </c>
      <c r="BP1309" t="s">
        <v>1791</v>
      </c>
      <c r="BQ1309" t="s">
        <v>1792</v>
      </c>
      <c r="BR1309" t="s">
        <v>190</v>
      </c>
      <c r="BS1309" s="5">
        <v>11232</v>
      </c>
      <c r="BT1309" s="2">
        <v>50000</v>
      </c>
      <c r="BV1309" t="s">
        <v>105</v>
      </c>
      <c r="BW1309" s="2">
        <v>44179</v>
      </c>
      <c r="BX1309" t="s">
        <v>105</v>
      </c>
      <c r="BZ1309" t="s">
        <v>191</v>
      </c>
      <c r="CA1309" t="str">
        <f t="shared" si="103"/>
        <v>7/1/2020 - 6/30/2021</v>
      </c>
      <c r="CF1309">
        <v>1</v>
      </c>
      <c r="CG1309" t="s">
        <v>98</v>
      </c>
      <c r="CH1309" t="s">
        <v>206</v>
      </c>
      <c r="CI1309" t="s">
        <v>206</v>
      </c>
      <c r="CL1309" t="s">
        <v>108</v>
      </c>
      <c r="CM1309" t="s">
        <v>109</v>
      </c>
      <c r="CN1309" t="str">
        <f>""</f>
        <v/>
      </c>
      <c r="CO1309" t="str">
        <f>""</f>
        <v/>
      </c>
      <c r="CP1309" t="str">
        <f>""</f>
        <v/>
      </c>
      <c r="CQ1309" t="str">
        <f>""</f>
        <v/>
      </c>
    </row>
    <row r="1310" spans="1:96" x14ac:dyDescent="0.2">
      <c r="A1310" t="s">
        <v>1642</v>
      </c>
      <c r="B1310" t="s">
        <v>96</v>
      </c>
      <c r="C1310" s="1">
        <v>44099</v>
      </c>
      <c r="D1310" s="1">
        <v>44106</v>
      </c>
      <c r="F1310" t="s">
        <v>97</v>
      </c>
      <c r="G1310" t="str">
        <f>"Manager JC50"</f>
        <v>Manager JC50</v>
      </c>
      <c r="H1310" t="s">
        <v>12181</v>
      </c>
      <c r="I1310" t="s">
        <v>110</v>
      </c>
      <c r="J1310" t="s">
        <v>98</v>
      </c>
      <c r="K1310" s="1">
        <v>44107</v>
      </c>
      <c r="L1310" s="1">
        <v>45201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 t="s">
        <v>111</v>
      </c>
      <c r="U1310" t="str">
        <f>"CTSUS"</f>
        <v>CTSUS</v>
      </c>
      <c r="V1310" t="s">
        <v>112</v>
      </c>
      <c r="W1310" t="str">
        <f>""</f>
        <v/>
      </c>
      <c r="X1310" t="s">
        <v>113</v>
      </c>
      <c r="Y1310" t="s">
        <v>114</v>
      </c>
      <c r="Z1310" s="3">
        <v>77845</v>
      </c>
      <c r="AA1310" t="s">
        <v>101</v>
      </c>
      <c r="AB1310" t="s">
        <v>114</v>
      </c>
      <c r="AC1310" s="4" t="str">
        <f>"+19793296682"</f>
        <v>+19793296682</v>
      </c>
      <c r="AE1310" t="str">
        <f>"541512"</f>
        <v>541512</v>
      </c>
      <c r="AF1310" t="s">
        <v>115</v>
      </c>
      <c r="AG1310" t="s">
        <v>116</v>
      </c>
      <c r="AH1310" t="s">
        <v>108</v>
      </c>
      <c r="AI1310" t="s">
        <v>117</v>
      </c>
      <c r="AJ1310" t="s">
        <v>118</v>
      </c>
      <c r="AK1310" t="str">
        <f>""</f>
        <v/>
      </c>
      <c r="AL1310" t="s">
        <v>119</v>
      </c>
      <c r="AM1310" t="s">
        <v>114</v>
      </c>
      <c r="AN1310" s="3">
        <v>77845</v>
      </c>
      <c r="AO1310" t="s">
        <v>101</v>
      </c>
      <c r="AQ1310" t="str">
        <f>"+19793296682"</f>
        <v>+19793296682</v>
      </c>
      <c r="AS1310" t="s">
        <v>120</v>
      </c>
      <c r="AT1310" t="s">
        <v>102</v>
      </c>
      <c r="AU1310" t="str">
        <f>""</f>
        <v/>
      </c>
      <c r="AV1310" t="str">
        <f>""</f>
        <v/>
      </c>
      <c r="AW1310" t="str">
        <f>""</f>
        <v/>
      </c>
      <c r="AX1310" t="str">
        <f>""</f>
        <v/>
      </c>
      <c r="AY1310" t="str">
        <f>""</f>
        <v/>
      </c>
      <c r="AZ1310" t="str">
        <f>""</f>
        <v/>
      </c>
      <c r="BA1310" t="str">
        <f>""</f>
        <v/>
      </c>
      <c r="BC1310" t="str">
        <f>""</f>
        <v/>
      </c>
      <c r="BD1310" t="str">
        <f>""</f>
        <v/>
      </c>
      <c r="BE1310" t="str">
        <f>""</f>
        <v/>
      </c>
      <c r="BF1310" t="str">
        <f>""</f>
        <v/>
      </c>
      <c r="BG1310" t="str">
        <f>""</f>
        <v/>
      </c>
      <c r="BH1310" t="str">
        <f>""</f>
        <v/>
      </c>
      <c r="BI1310" t="str">
        <f>""</f>
        <v/>
      </c>
      <c r="BJ1310" t="str">
        <f>""</f>
        <v/>
      </c>
      <c r="BK1310">
        <v>1</v>
      </c>
      <c r="BL1310" t="s">
        <v>107</v>
      </c>
      <c r="BM1310" t="str">
        <f>"EBAY INC"</f>
        <v>EBAY INC</v>
      </c>
      <c r="BN1310" t="s">
        <v>1643</v>
      </c>
      <c r="BP1310" t="s">
        <v>585</v>
      </c>
      <c r="BQ1310" t="s">
        <v>230</v>
      </c>
      <c r="BR1310" t="s">
        <v>141</v>
      </c>
      <c r="BS1310" s="5">
        <v>95131</v>
      </c>
      <c r="BT1310" s="2">
        <v>122990</v>
      </c>
      <c r="BV1310" t="s">
        <v>105</v>
      </c>
      <c r="BW1310" s="2">
        <v>122990</v>
      </c>
      <c r="BX1310" t="s">
        <v>105</v>
      </c>
      <c r="BZ1310" t="s">
        <v>123</v>
      </c>
      <c r="CA1310" t="str">
        <f t="shared" si="103"/>
        <v>7/1/2020 - 6/30/2021</v>
      </c>
      <c r="CF1310">
        <v>1</v>
      </c>
      <c r="CG1310" t="s">
        <v>98</v>
      </c>
      <c r="CH1310" t="s">
        <v>98</v>
      </c>
      <c r="CI1310" t="s">
        <v>206</v>
      </c>
      <c r="CJ1310" t="s">
        <v>98</v>
      </c>
      <c r="CK1310" t="s">
        <v>12323</v>
      </c>
      <c r="CL1310" t="s">
        <v>108</v>
      </c>
      <c r="CM1310" t="s">
        <v>109</v>
      </c>
      <c r="CN1310" t="str">
        <f>""</f>
        <v/>
      </c>
      <c r="CO1310" t="str">
        <f>""</f>
        <v/>
      </c>
      <c r="CP1310" t="str">
        <f>""</f>
        <v/>
      </c>
      <c r="CQ1310" t="str">
        <f>""</f>
        <v/>
      </c>
    </row>
    <row r="1311" spans="1:96" x14ac:dyDescent="0.2">
      <c r="A1311" t="s">
        <v>1838</v>
      </c>
      <c r="B1311" t="s">
        <v>96</v>
      </c>
      <c r="C1311" s="1">
        <v>44099</v>
      </c>
      <c r="D1311" s="1">
        <v>44106</v>
      </c>
      <c r="F1311" t="s">
        <v>97</v>
      </c>
      <c r="G1311" t="str">
        <f>"Software Engineer"</f>
        <v>Software Engineer</v>
      </c>
      <c r="H1311" t="s">
        <v>12239</v>
      </c>
      <c r="I1311" t="s">
        <v>378</v>
      </c>
      <c r="J1311" t="s">
        <v>98</v>
      </c>
      <c r="K1311" s="1">
        <v>44111</v>
      </c>
      <c r="L1311" s="1">
        <v>45205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1408</v>
      </c>
      <c r="U1311" t="str">
        <f>""</f>
        <v/>
      </c>
      <c r="V1311" t="s">
        <v>1409</v>
      </c>
      <c r="W1311" t="str">
        <f>"Ste. 1101"</f>
        <v>Ste. 1101</v>
      </c>
      <c r="X1311" t="s">
        <v>277</v>
      </c>
      <c r="Y1311" t="s">
        <v>190</v>
      </c>
      <c r="Z1311" s="3">
        <v>10016</v>
      </c>
      <c r="AA1311" t="s">
        <v>101</v>
      </c>
      <c r="AC1311" s="4" t="str">
        <f>"+12126866655"</f>
        <v>+12126866655</v>
      </c>
      <c r="AE1311" t="str">
        <f>"541511"</f>
        <v>541511</v>
      </c>
      <c r="AF1311" t="s">
        <v>1410</v>
      </c>
      <c r="AG1311" t="s">
        <v>1411</v>
      </c>
      <c r="AI1311" t="s">
        <v>1412</v>
      </c>
      <c r="AJ1311" t="s">
        <v>1409</v>
      </c>
      <c r="AK1311" t="str">
        <f>"Ste. 1101"</f>
        <v>Ste. 1101</v>
      </c>
      <c r="AL1311" t="s">
        <v>277</v>
      </c>
      <c r="AM1311" t="s">
        <v>190</v>
      </c>
      <c r="AN1311" s="3">
        <v>10016</v>
      </c>
      <c r="AO1311" t="s">
        <v>101</v>
      </c>
      <c r="AQ1311" t="str">
        <f>"+12126866655"</f>
        <v>+12126866655</v>
      </c>
      <c r="AS1311" t="s">
        <v>1413</v>
      </c>
      <c r="AT1311" t="s">
        <v>107</v>
      </c>
      <c r="AU1311" t="str">
        <f>"Burns"</f>
        <v>Burns</v>
      </c>
      <c r="AV1311" t="str">
        <f>"Michelle"</f>
        <v>Michelle</v>
      </c>
      <c r="AW1311" t="str">
        <f>"Campbell"</f>
        <v>Campbell</v>
      </c>
      <c r="AX1311" t="str">
        <f>"5250 Corporate Drive"</f>
        <v>5250 Corporate Drive</v>
      </c>
      <c r="AY1311" t="str">
        <f>"Ste. 300"</f>
        <v>Ste. 300</v>
      </c>
      <c r="AZ1311" t="str">
        <f>"Troy"</f>
        <v>Troy</v>
      </c>
      <c r="BA1311" t="str">
        <f>"MI"</f>
        <v>MI</v>
      </c>
      <c r="BB1311" s="3">
        <v>48098</v>
      </c>
      <c r="BC1311" t="str">
        <f>"UNITED STATES OF AMERICA"</f>
        <v>UNITED STATES OF AMERICA</v>
      </c>
      <c r="BD1311" t="str">
        <f>""</f>
        <v/>
      </c>
      <c r="BE1311" t="str">
        <f>"+12486434900"</f>
        <v>+12486434900</v>
      </c>
      <c r="BF1311" t="str">
        <f>""</f>
        <v/>
      </c>
      <c r="BG1311" t="str">
        <f>"michelleb@employmentimmigration.com"</f>
        <v>michelleb@employmentimmigration.com</v>
      </c>
      <c r="BH1311" t="str">
        <f>"Fakhoury Global Immigration, USA PC"</f>
        <v>Fakhoury Global Immigration, USA PC</v>
      </c>
      <c r="BI1311" t="str">
        <f>"MI"</f>
        <v>MI</v>
      </c>
      <c r="BJ1311" t="str">
        <f>"Supreme Court"</f>
        <v>Supreme Court</v>
      </c>
      <c r="BK1311">
        <v>1</v>
      </c>
      <c r="BL1311" t="s">
        <v>102</v>
      </c>
      <c r="BM1311" t="str">
        <f>""</f>
        <v/>
      </c>
      <c r="BN1311" t="s">
        <v>1839</v>
      </c>
      <c r="BO1311" t="s">
        <v>1840</v>
      </c>
      <c r="BP1311" t="s">
        <v>297</v>
      </c>
      <c r="BQ1311" t="s">
        <v>556</v>
      </c>
      <c r="BR1311" t="s">
        <v>114</v>
      </c>
      <c r="BS1311" s="5">
        <v>75023</v>
      </c>
      <c r="BT1311" s="2">
        <v>115000</v>
      </c>
      <c r="BV1311" t="s">
        <v>105</v>
      </c>
      <c r="BW1311" s="2">
        <v>78645</v>
      </c>
      <c r="BX1311" t="s">
        <v>105</v>
      </c>
      <c r="BZ1311" t="s">
        <v>167</v>
      </c>
      <c r="CA1311" t="str">
        <f t="shared" si="103"/>
        <v>7/1/2020 - 6/30/2021</v>
      </c>
      <c r="CF1311">
        <v>1</v>
      </c>
      <c r="CG1311" t="s">
        <v>98</v>
      </c>
      <c r="CH1311" t="s">
        <v>98</v>
      </c>
      <c r="CI1311" t="s">
        <v>206</v>
      </c>
      <c r="CJ1311" t="s">
        <v>98</v>
      </c>
      <c r="CK1311" t="s">
        <v>12323</v>
      </c>
      <c r="CL1311" t="s">
        <v>108</v>
      </c>
      <c r="CM1311" t="s">
        <v>109</v>
      </c>
      <c r="CN1311" t="str">
        <f>"Burns"</f>
        <v>Burns</v>
      </c>
      <c r="CO1311" t="str">
        <f>"Michelle"</f>
        <v>Michelle</v>
      </c>
      <c r="CP1311" t="str">
        <f>"C"</f>
        <v>C</v>
      </c>
      <c r="CQ1311" t="str">
        <f>"Fakhoury Global Immigration, USA PC"</f>
        <v>Fakhoury Global Immigration, USA PC</v>
      </c>
      <c r="CR1311" t="s">
        <v>1414</v>
      </c>
    </row>
    <row r="1312" spans="1:96" x14ac:dyDescent="0.2">
      <c r="A1312" t="s">
        <v>2180</v>
      </c>
      <c r="B1312" t="s">
        <v>96</v>
      </c>
      <c r="C1312" s="1">
        <v>44099</v>
      </c>
      <c r="D1312" s="1">
        <v>44106</v>
      </c>
      <c r="F1312" t="s">
        <v>97</v>
      </c>
      <c r="G1312" t="str">
        <f>"Electrical Engineer, AR/VR"</f>
        <v>Electrical Engineer, AR/VR</v>
      </c>
      <c r="H1312" t="s">
        <v>12179</v>
      </c>
      <c r="I1312" t="s">
        <v>1357</v>
      </c>
      <c r="J1312" t="s">
        <v>98</v>
      </c>
      <c r="K1312" s="1">
        <v>44113</v>
      </c>
      <c r="L1312" s="1">
        <v>45207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1321</v>
      </c>
      <c r="U1312" t="str">
        <f>""</f>
        <v/>
      </c>
      <c r="V1312" t="s">
        <v>1322</v>
      </c>
      <c r="W1312" t="str">
        <f>"AKA 1601 Willow Road"</f>
        <v>AKA 1601 Willow Road</v>
      </c>
      <c r="X1312" t="s">
        <v>468</v>
      </c>
      <c r="Y1312" t="s">
        <v>141</v>
      </c>
      <c r="Z1312" s="3">
        <v>94025</v>
      </c>
      <c r="AA1312" t="s">
        <v>101</v>
      </c>
      <c r="AC1312" s="4" t="str">
        <f>"+14085335781"</f>
        <v>+14085335781</v>
      </c>
      <c r="AE1312" t="str">
        <f>"518210"</f>
        <v>518210</v>
      </c>
      <c r="AF1312" t="s">
        <v>469</v>
      </c>
      <c r="AG1312" t="s">
        <v>470</v>
      </c>
      <c r="AI1312" t="s">
        <v>1097</v>
      </c>
      <c r="AJ1312" t="s">
        <v>1322</v>
      </c>
      <c r="AK1312" t="str">
        <f>"AKA 1601 Willow Road"</f>
        <v>AKA 1601 Willow Road</v>
      </c>
      <c r="AL1312" t="s">
        <v>468</v>
      </c>
      <c r="AM1312" t="s">
        <v>141</v>
      </c>
      <c r="AN1312" s="3">
        <v>94025</v>
      </c>
      <c r="AO1312" t="s">
        <v>101</v>
      </c>
      <c r="AQ1312" t="str">
        <f>"+14085335781"</f>
        <v>+14085335781</v>
      </c>
      <c r="AS1312" t="s">
        <v>108</v>
      </c>
      <c r="AT1312" t="s">
        <v>107</v>
      </c>
      <c r="AU1312" t="str">
        <f>"McCarthy"</f>
        <v>McCarthy</v>
      </c>
      <c r="AV1312" t="str">
        <f>"Susan"</f>
        <v>Susan</v>
      </c>
      <c r="AW1312" t="str">
        <f>""</f>
        <v/>
      </c>
      <c r="AX1312" t="str">
        <f>"P.O. Box 31608"</f>
        <v>P.O. Box 31608</v>
      </c>
      <c r="AY1312" t="str">
        <f>""</f>
        <v/>
      </c>
      <c r="AZ1312" t="str">
        <f>"Raleigh"</f>
        <v>Raleigh</v>
      </c>
      <c r="BA1312" t="str">
        <f>"NC"</f>
        <v>NC</v>
      </c>
      <c r="BB1312" s="3">
        <v>27622</v>
      </c>
      <c r="BC1312" t="str">
        <f>"UNITED STATES OF AMERICA"</f>
        <v>UNITED STATES OF AMERICA</v>
      </c>
      <c r="BD1312" t="str">
        <f>""</f>
        <v/>
      </c>
      <c r="BE1312" t="str">
        <f>"+19193077002"</f>
        <v>+19193077002</v>
      </c>
      <c r="BF1312" t="str">
        <f>""</f>
        <v/>
      </c>
      <c r="BG1312" t="str">
        <f>"martha.mccluskey@ogletreedeakins.com"</f>
        <v>martha.mccluskey@ogletreedeakins.com</v>
      </c>
      <c r="BH1312" t="str">
        <f>"Ogletree, Deakins, Nash, Smoak &amp; Stewart, P.C."</f>
        <v>Ogletree, Deakins, Nash, Smoak &amp; Stewart, P.C.</v>
      </c>
      <c r="BI1312" t="str">
        <f>"NJ"</f>
        <v>NJ</v>
      </c>
      <c r="BJ1312" t="str">
        <f>"Supreme Court of New Jersey"</f>
        <v>Supreme Court of New Jersey</v>
      </c>
      <c r="BK1312">
        <v>1</v>
      </c>
      <c r="BL1312" t="s">
        <v>102</v>
      </c>
      <c r="BM1312" t="str">
        <f>""</f>
        <v/>
      </c>
      <c r="BN1312" t="s">
        <v>1322</v>
      </c>
      <c r="BO1312" t="s">
        <v>2181</v>
      </c>
      <c r="BP1312" t="s">
        <v>468</v>
      </c>
      <c r="BQ1312" t="s">
        <v>994</v>
      </c>
      <c r="BR1312" t="s">
        <v>141</v>
      </c>
      <c r="BS1312" s="5">
        <v>94025</v>
      </c>
      <c r="BT1312" s="2">
        <v>145000</v>
      </c>
      <c r="BV1312" t="s">
        <v>105</v>
      </c>
      <c r="BW1312" s="2">
        <v>141398</v>
      </c>
      <c r="BX1312" t="s">
        <v>105</v>
      </c>
      <c r="BZ1312" t="s">
        <v>159</v>
      </c>
      <c r="CA1312" t="str">
        <f t="shared" si="103"/>
        <v>7/1/2020 - 6/30/2021</v>
      </c>
      <c r="CF1312">
        <v>2</v>
      </c>
      <c r="CG1312" t="s">
        <v>98</v>
      </c>
      <c r="CH1312" t="s">
        <v>98</v>
      </c>
      <c r="CI1312" t="s">
        <v>206</v>
      </c>
      <c r="CJ1312" t="s">
        <v>98</v>
      </c>
      <c r="CK1312" t="s">
        <v>12323</v>
      </c>
      <c r="CL1312" t="s">
        <v>108</v>
      </c>
      <c r="CM1312" t="s">
        <v>109</v>
      </c>
      <c r="CN1312" t="str">
        <f>"McCarthy"</f>
        <v>McCarthy</v>
      </c>
      <c r="CO1312" t="str">
        <f>"Susan"</f>
        <v>Susan</v>
      </c>
      <c r="CP1312" t="str">
        <f>""</f>
        <v/>
      </c>
      <c r="CQ1312" t="str">
        <f>"Ogletree, Deakins, Nash, Smoak &amp; Stewart, P.C."</f>
        <v>Ogletree, Deakins, Nash, Smoak &amp; Stewart, P.C.</v>
      </c>
      <c r="CR1312" t="s">
        <v>2182</v>
      </c>
    </row>
    <row r="1313" spans="1:96" x14ac:dyDescent="0.2">
      <c r="A1313" t="s">
        <v>2194</v>
      </c>
      <c r="B1313" t="s">
        <v>96</v>
      </c>
      <c r="C1313" s="1">
        <v>44099</v>
      </c>
      <c r="D1313" s="1">
        <v>44106</v>
      </c>
      <c r="F1313" t="s">
        <v>97</v>
      </c>
      <c r="G1313" t="str">
        <f>"Software Developer"</f>
        <v>Software Developer</v>
      </c>
      <c r="H1313" t="s">
        <v>12169</v>
      </c>
      <c r="I1313" t="s">
        <v>124</v>
      </c>
      <c r="J1313" t="s">
        <v>98</v>
      </c>
      <c r="K1313" s="1">
        <v>44238</v>
      </c>
      <c r="L1313" s="1">
        <v>45332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 t="s">
        <v>2195</v>
      </c>
      <c r="U1313" t="str">
        <f>""</f>
        <v/>
      </c>
      <c r="V1313" t="s">
        <v>2196</v>
      </c>
      <c r="W1313" t="str">
        <f>"Suite 102"</f>
        <v>Suite 102</v>
      </c>
      <c r="X1313" t="s">
        <v>2197</v>
      </c>
      <c r="Y1313" t="s">
        <v>100</v>
      </c>
      <c r="Z1313" s="3">
        <v>8520</v>
      </c>
      <c r="AA1313" t="s">
        <v>101</v>
      </c>
      <c r="AC1313" s="4" t="str">
        <f>"+17325104500"</f>
        <v>+17325104500</v>
      </c>
      <c r="AE1313" t="str">
        <f>"541511"</f>
        <v>541511</v>
      </c>
      <c r="AF1313" t="s">
        <v>2198</v>
      </c>
      <c r="AG1313" t="s">
        <v>2199</v>
      </c>
      <c r="AH1313" t="s">
        <v>477</v>
      </c>
      <c r="AI1313" t="s">
        <v>508</v>
      </c>
      <c r="AJ1313" t="s">
        <v>2196</v>
      </c>
      <c r="AK1313" t="str">
        <f>"Suite 102"</f>
        <v>Suite 102</v>
      </c>
      <c r="AL1313" t="s">
        <v>2197</v>
      </c>
      <c r="AM1313" t="s">
        <v>100</v>
      </c>
      <c r="AN1313" s="3">
        <v>8520</v>
      </c>
      <c r="AO1313" t="s">
        <v>101</v>
      </c>
      <c r="AQ1313" t="str">
        <f>"+17325104500"</f>
        <v>+17325104500</v>
      </c>
      <c r="AS1313" t="s">
        <v>2200</v>
      </c>
      <c r="AT1313" t="s">
        <v>102</v>
      </c>
      <c r="AU1313" t="str">
        <f>""</f>
        <v/>
      </c>
      <c r="AV1313" t="str">
        <f>""</f>
        <v/>
      </c>
      <c r="AW1313" t="str">
        <f>""</f>
        <v/>
      </c>
      <c r="AX1313" t="str">
        <f>""</f>
        <v/>
      </c>
      <c r="AY1313" t="str">
        <f>""</f>
        <v/>
      </c>
      <c r="AZ1313" t="str">
        <f>""</f>
        <v/>
      </c>
      <c r="BA1313" t="str">
        <f>""</f>
        <v/>
      </c>
      <c r="BC1313" t="str">
        <f>""</f>
        <v/>
      </c>
      <c r="BD1313" t="str">
        <f>""</f>
        <v/>
      </c>
      <c r="BE1313" t="str">
        <f>""</f>
        <v/>
      </c>
      <c r="BF1313" t="str">
        <f>""</f>
        <v/>
      </c>
      <c r="BG1313" t="str">
        <f>""</f>
        <v/>
      </c>
      <c r="BH1313" t="str">
        <f>""</f>
        <v/>
      </c>
      <c r="BI1313" t="str">
        <f>""</f>
        <v/>
      </c>
      <c r="BJ1313" t="str">
        <f>""</f>
        <v/>
      </c>
      <c r="BK1313">
        <v>1</v>
      </c>
      <c r="BL1313" t="s">
        <v>107</v>
      </c>
      <c r="BM1313" t="str">
        <f>"Wells Fargo Bank"</f>
        <v>Wells Fargo Bank</v>
      </c>
      <c r="BN1313" t="s">
        <v>2201</v>
      </c>
      <c r="BP1313" t="s">
        <v>604</v>
      </c>
      <c r="BQ1313" t="s">
        <v>121</v>
      </c>
      <c r="BR1313" t="s">
        <v>122</v>
      </c>
      <c r="BS1313" s="5">
        <v>28202</v>
      </c>
      <c r="BT1313" s="2">
        <v>42</v>
      </c>
      <c r="BU1313" s="2">
        <v>43</v>
      </c>
      <c r="BV1313" t="s">
        <v>210</v>
      </c>
      <c r="BW1313" s="2">
        <v>41.1</v>
      </c>
      <c r="BX1313" t="s">
        <v>210</v>
      </c>
      <c r="BZ1313" t="s">
        <v>167</v>
      </c>
      <c r="CA1313" t="str">
        <f t="shared" si="103"/>
        <v>7/1/2020 - 6/30/2021</v>
      </c>
      <c r="CF1313">
        <v>1</v>
      </c>
      <c r="CG1313" t="s">
        <v>98</v>
      </c>
      <c r="CH1313" t="s">
        <v>98</v>
      </c>
      <c r="CI1313" t="s">
        <v>206</v>
      </c>
      <c r="CJ1313" t="s">
        <v>98</v>
      </c>
      <c r="CK1313" t="s">
        <v>12323</v>
      </c>
      <c r="CL1313" t="s">
        <v>108</v>
      </c>
      <c r="CM1313" t="s">
        <v>109</v>
      </c>
      <c r="CN1313" t="str">
        <f>""</f>
        <v/>
      </c>
      <c r="CO1313" t="str">
        <f>""</f>
        <v/>
      </c>
      <c r="CP1313" t="str">
        <f>""</f>
        <v/>
      </c>
      <c r="CQ1313" t="str">
        <f>""</f>
        <v/>
      </c>
    </row>
    <row r="1314" spans="1:96" x14ac:dyDescent="0.2">
      <c r="A1314" t="s">
        <v>2637</v>
      </c>
      <c r="B1314" t="s">
        <v>96</v>
      </c>
      <c r="C1314" s="1">
        <v>44099</v>
      </c>
      <c r="D1314" s="1">
        <v>44106</v>
      </c>
      <c r="F1314" t="s">
        <v>97</v>
      </c>
      <c r="G1314" t="str">
        <f>"Senior Software Developer"</f>
        <v>Senior Software Developer</v>
      </c>
      <c r="H1314" t="s">
        <v>12169</v>
      </c>
      <c r="I1314" t="s">
        <v>124</v>
      </c>
      <c r="J1314" t="s">
        <v>98</v>
      </c>
      <c r="K1314" s="1">
        <v>44106</v>
      </c>
      <c r="L1314" s="1">
        <v>45200</v>
      </c>
      <c r="M1314">
        <v>6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 t="s">
        <v>2638</v>
      </c>
      <c r="U1314" t="str">
        <f>"Mastech InfoTrellis, Inc."</f>
        <v>Mastech InfoTrellis, Inc.</v>
      </c>
      <c r="V1314" t="s">
        <v>1081</v>
      </c>
      <c r="W1314" t="str">
        <f>"Bldg. 210, Ste 400"</f>
        <v>Bldg. 210, Ste 400</v>
      </c>
      <c r="X1314" t="s">
        <v>1082</v>
      </c>
      <c r="Y1314" t="s">
        <v>127</v>
      </c>
      <c r="Z1314" s="3">
        <v>15108</v>
      </c>
      <c r="AA1314" t="s">
        <v>101</v>
      </c>
      <c r="AB1314" t="s">
        <v>2510</v>
      </c>
      <c r="AC1314" s="4" t="str">
        <f>"+14127879553"</f>
        <v>+14127879553</v>
      </c>
      <c r="AE1314" t="str">
        <f>"541511"</f>
        <v>541511</v>
      </c>
      <c r="AF1314" t="s">
        <v>1083</v>
      </c>
      <c r="AG1314" t="s">
        <v>1084</v>
      </c>
      <c r="AI1314" t="s">
        <v>1085</v>
      </c>
      <c r="AJ1314" t="s">
        <v>1081</v>
      </c>
      <c r="AK1314" t="str">
        <f>"Bldg. 210, Ste 400"</f>
        <v>Bldg. 210, Ste 400</v>
      </c>
      <c r="AL1314" t="s">
        <v>1082</v>
      </c>
      <c r="AM1314" t="s">
        <v>127</v>
      </c>
      <c r="AN1314" s="3">
        <v>15108</v>
      </c>
      <c r="AO1314" t="s">
        <v>101</v>
      </c>
      <c r="AQ1314" t="str">
        <f>"+14127879553"</f>
        <v>+14127879553</v>
      </c>
      <c r="AS1314" t="s">
        <v>1086</v>
      </c>
      <c r="AT1314" t="s">
        <v>102</v>
      </c>
      <c r="AU1314" t="str">
        <f>""</f>
        <v/>
      </c>
      <c r="AV1314" t="str">
        <f>""</f>
        <v/>
      </c>
      <c r="AW1314" t="str">
        <f>""</f>
        <v/>
      </c>
      <c r="AX1314" t="str">
        <f>""</f>
        <v/>
      </c>
      <c r="AY1314" t="str">
        <f>""</f>
        <v/>
      </c>
      <c r="AZ1314" t="str">
        <f>""</f>
        <v/>
      </c>
      <c r="BA1314" t="str">
        <f>""</f>
        <v/>
      </c>
      <c r="BC1314" t="str">
        <f>""</f>
        <v/>
      </c>
      <c r="BD1314" t="str">
        <f>""</f>
        <v/>
      </c>
      <c r="BE1314" t="str">
        <f>""</f>
        <v/>
      </c>
      <c r="BF1314" t="str">
        <f>""</f>
        <v/>
      </c>
      <c r="BG1314" t="str">
        <f>""</f>
        <v/>
      </c>
      <c r="BH1314" t="str">
        <f>""</f>
        <v/>
      </c>
      <c r="BI1314" t="str">
        <f>""</f>
        <v/>
      </c>
      <c r="BJ1314" t="str">
        <f>""</f>
        <v/>
      </c>
      <c r="BK1314">
        <v>6</v>
      </c>
      <c r="BL1314" t="s">
        <v>107</v>
      </c>
      <c r="BM1314" t="str">
        <f>" Dell Inc"</f>
        <v xml:space="preserve"> Dell Inc</v>
      </c>
      <c r="BN1314" t="s">
        <v>2639</v>
      </c>
      <c r="BP1314" t="s">
        <v>1534</v>
      </c>
      <c r="BQ1314" t="s">
        <v>668</v>
      </c>
      <c r="BR1314" t="s">
        <v>114</v>
      </c>
      <c r="BS1314" s="5">
        <v>78682</v>
      </c>
      <c r="BT1314" s="2">
        <v>106080</v>
      </c>
      <c r="BU1314" s="2">
        <v>121080</v>
      </c>
      <c r="BV1314" t="s">
        <v>105</v>
      </c>
      <c r="BW1314" s="2">
        <v>106080</v>
      </c>
      <c r="BX1314" t="s">
        <v>105</v>
      </c>
      <c r="BZ1314" t="s">
        <v>123</v>
      </c>
      <c r="CA1314" t="str">
        <f t="shared" si="103"/>
        <v>7/1/2020 - 6/30/2021</v>
      </c>
      <c r="CF1314">
        <v>2</v>
      </c>
      <c r="CG1314" t="s">
        <v>98</v>
      </c>
      <c r="CH1314" t="s">
        <v>98</v>
      </c>
      <c r="CI1314" t="s">
        <v>206</v>
      </c>
      <c r="CJ1314" t="s">
        <v>98</v>
      </c>
      <c r="CK1314" t="s">
        <v>12323</v>
      </c>
      <c r="CL1314" t="s">
        <v>108</v>
      </c>
      <c r="CM1314" t="s">
        <v>109</v>
      </c>
      <c r="CN1314" t="str">
        <f>""</f>
        <v/>
      </c>
      <c r="CO1314" t="str">
        <f>""</f>
        <v/>
      </c>
      <c r="CP1314" t="str">
        <f>""</f>
        <v/>
      </c>
      <c r="CQ1314" t="str">
        <f>""</f>
        <v/>
      </c>
    </row>
    <row r="1315" spans="1:96" x14ac:dyDescent="0.2">
      <c r="A1315" t="s">
        <v>2824</v>
      </c>
      <c r="B1315" t="s">
        <v>96</v>
      </c>
      <c r="C1315" s="1">
        <v>44099</v>
      </c>
      <c r="D1315" s="1">
        <v>44106</v>
      </c>
      <c r="F1315" t="s">
        <v>97</v>
      </c>
      <c r="G1315" t="str">
        <f>"Software Engineer"</f>
        <v>Software Engineer</v>
      </c>
      <c r="H1315" t="s">
        <v>12169</v>
      </c>
      <c r="I1315" t="s">
        <v>124</v>
      </c>
      <c r="J1315" t="s">
        <v>98</v>
      </c>
      <c r="K1315" s="1">
        <v>44282</v>
      </c>
      <c r="L1315" s="1">
        <v>45377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 t="s">
        <v>412</v>
      </c>
      <c r="U1315" t="str">
        <f>""</f>
        <v/>
      </c>
      <c r="V1315" t="s">
        <v>413</v>
      </c>
      <c r="W1315" t="str">
        <f>"(*ALSO KNOWN AS 1601 WILLOW ROAD)"</f>
        <v>(*ALSO KNOWN AS 1601 WILLOW ROAD)</v>
      </c>
      <c r="X1315" t="s">
        <v>414</v>
      </c>
      <c r="Y1315" t="s">
        <v>141</v>
      </c>
      <c r="Z1315" s="3">
        <v>94025</v>
      </c>
      <c r="AA1315" t="s">
        <v>101</v>
      </c>
      <c r="AB1315" t="s">
        <v>141</v>
      </c>
      <c r="AC1315" s="4" t="str">
        <f>"+14085335781"</f>
        <v>+14085335781</v>
      </c>
      <c r="AE1315" t="str">
        <f>"51913"</f>
        <v>51913</v>
      </c>
      <c r="AF1315" t="s">
        <v>415</v>
      </c>
      <c r="AG1315" t="s">
        <v>416</v>
      </c>
      <c r="AI1315" t="s">
        <v>417</v>
      </c>
      <c r="AJ1315" t="s">
        <v>413</v>
      </c>
      <c r="AK1315" t="str">
        <f>"(*ALSO KNOWN AS 1601 WILLOW RD.*)"</f>
        <v>(*ALSO KNOWN AS 1601 WILLOW RD.*)</v>
      </c>
      <c r="AL1315" t="s">
        <v>414</v>
      </c>
      <c r="AM1315" t="s">
        <v>141</v>
      </c>
      <c r="AN1315" s="3">
        <v>94025</v>
      </c>
      <c r="AO1315" t="s">
        <v>101</v>
      </c>
      <c r="AQ1315" t="str">
        <f>"+14085335781"</f>
        <v>+14085335781</v>
      </c>
      <c r="AS1315" t="s">
        <v>418</v>
      </c>
      <c r="AT1315" t="s">
        <v>107</v>
      </c>
      <c r="AU1315" t="str">
        <f>"Nesch"</f>
        <v>Nesch</v>
      </c>
      <c r="AV1315" t="str">
        <f>"Elena"</f>
        <v>Elena</v>
      </c>
      <c r="AW1315" t="str">
        <f>"N/A"</f>
        <v>N/A</v>
      </c>
      <c r="AX1315" t="str">
        <f>"2400 N. GLENVILLE DRIVE"</f>
        <v>2400 N. GLENVILLE DRIVE</v>
      </c>
      <c r="AY1315" t="str">
        <f>"BUILDING A, SUITE 100"</f>
        <v>BUILDING A, SUITE 100</v>
      </c>
      <c r="AZ1315" t="str">
        <f>"RICHARDSON"</f>
        <v>RICHARDSON</v>
      </c>
      <c r="BA1315" t="str">
        <f>"TX"</f>
        <v>TX</v>
      </c>
      <c r="BB1315" s="3">
        <v>75082</v>
      </c>
      <c r="BC1315" t="str">
        <f>"UNITED STATES OF AMERICA"</f>
        <v>UNITED STATES OF AMERICA</v>
      </c>
      <c r="BD1315" t="str">
        <f>""</f>
        <v/>
      </c>
      <c r="BE1315" t="str">
        <f>"+14692909204"</f>
        <v>+14692909204</v>
      </c>
      <c r="BF1315" t="str">
        <f>""</f>
        <v/>
      </c>
      <c r="BG1315" t="str">
        <f>"slara@balglobal.com"</f>
        <v>slara@balglobal.com</v>
      </c>
      <c r="BH1315" t="str">
        <f>"BERRY APPLEMAN &amp; LEIDEN LLP"</f>
        <v>BERRY APPLEMAN &amp; LEIDEN LLP</v>
      </c>
      <c r="BI1315" t="str">
        <f>"NC"</f>
        <v>NC</v>
      </c>
      <c r="BJ1315" t="str">
        <f>"The Supreme Court of North Carolina"</f>
        <v>The Supreme Court of North Carolina</v>
      </c>
      <c r="BK1315">
        <v>1</v>
      </c>
      <c r="BL1315" t="s">
        <v>102</v>
      </c>
      <c r="BM1315" t="str">
        <f>""</f>
        <v/>
      </c>
      <c r="BN1315" t="s">
        <v>1323</v>
      </c>
      <c r="BP1315" t="s">
        <v>277</v>
      </c>
      <c r="BQ1315" t="s">
        <v>189</v>
      </c>
      <c r="BR1315" t="s">
        <v>190</v>
      </c>
      <c r="BS1315" s="5">
        <v>10003</v>
      </c>
      <c r="BT1315" s="2">
        <v>159602.63</v>
      </c>
      <c r="BV1315" t="s">
        <v>105</v>
      </c>
      <c r="BW1315" s="2">
        <v>122221</v>
      </c>
      <c r="BX1315" t="s">
        <v>105</v>
      </c>
      <c r="BZ1315" t="s">
        <v>123</v>
      </c>
      <c r="CA1315" t="str">
        <f t="shared" si="103"/>
        <v>7/1/2020 - 6/30/2021</v>
      </c>
      <c r="CF1315">
        <v>2</v>
      </c>
      <c r="CG1315" t="s">
        <v>98</v>
      </c>
      <c r="CH1315" t="s">
        <v>98</v>
      </c>
      <c r="CI1315" t="s">
        <v>206</v>
      </c>
      <c r="CJ1315" t="s">
        <v>98</v>
      </c>
      <c r="CK1315" t="s">
        <v>12323</v>
      </c>
      <c r="CL1315" t="s">
        <v>108</v>
      </c>
      <c r="CM1315" t="s">
        <v>109</v>
      </c>
      <c r="CN1315" t="str">
        <f>""</f>
        <v/>
      </c>
      <c r="CO1315" t="str">
        <f>""</f>
        <v/>
      </c>
      <c r="CP1315" t="str">
        <f>""</f>
        <v/>
      </c>
      <c r="CQ1315" t="str">
        <f>""</f>
        <v/>
      </c>
    </row>
    <row r="1316" spans="1:96" x14ac:dyDescent="0.2">
      <c r="A1316" t="s">
        <v>2910</v>
      </c>
      <c r="B1316" t="s">
        <v>96</v>
      </c>
      <c r="C1316" s="1">
        <v>44099</v>
      </c>
      <c r="D1316" s="1">
        <v>44106</v>
      </c>
      <c r="F1316" t="s">
        <v>97</v>
      </c>
      <c r="G1316" t="str">
        <f>"Applications Consultant 3"</f>
        <v>Applications Consultant 3</v>
      </c>
      <c r="H1316" t="s">
        <v>12169</v>
      </c>
      <c r="I1316" t="s">
        <v>124</v>
      </c>
      <c r="J1316" t="s">
        <v>98</v>
      </c>
      <c r="K1316" s="1">
        <v>44105</v>
      </c>
      <c r="L1316" s="1">
        <v>45199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 t="s">
        <v>1421</v>
      </c>
      <c r="U1316" t="str">
        <f>""</f>
        <v/>
      </c>
      <c r="V1316" t="s">
        <v>1422</v>
      </c>
      <c r="W1316" t="str">
        <f>"SUITE 300"</f>
        <v>SUITE 300</v>
      </c>
      <c r="X1316" t="s">
        <v>843</v>
      </c>
      <c r="Y1316" t="s">
        <v>345</v>
      </c>
      <c r="Z1316" s="3">
        <v>60606</v>
      </c>
      <c r="AA1316" t="s">
        <v>101</v>
      </c>
      <c r="AC1316" s="4" t="str">
        <f>"+13123955000"</f>
        <v>+13123955000</v>
      </c>
      <c r="AE1316" t="str">
        <f>"5416"</f>
        <v>5416</v>
      </c>
      <c r="AF1316" t="s">
        <v>1423</v>
      </c>
      <c r="AG1316" t="s">
        <v>1424</v>
      </c>
      <c r="AI1316" t="s">
        <v>1425</v>
      </c>
      <c r="AJ1316" t="s">
        <v>1422</v>
      </c>
      <c r="AK1316" t="str">
        <f>"SUITE 300"</f>
        <v>SUITE 300</v>
      </c>
      <c r="AL1316" t="s">
        <v>843</v>
      </c>
      <c r="AM1316" t="s">
        <v>345</v>
      </c>
      <c r="AN1316" s="3">
        <v>60606</v>
      </c>
      <c r="AO1316" t="s">
        <v>101</v>
      </c>
      <c r="AQ1316" t="str">
        <f>"+13123958209"</f>
        <v>+13123958209</v>
      </c>
      <c r="AS1316" t="s">
        <v>1426</v>
      </c>
      <c r="AT1316" t="s">
        <v>102</v>
      </c>
      <c r="AU1316" t="str">
        <f>""</f>
        <v/>
      </c>
      <c r="AV1316" t="str">
        <f>""</f>
        <v/>
      </c>
      <c r="AW1316" t="str">
        <f>""</f>
        <v/>
      </c>
      <c r="AX1316" t="str">
        <f>""</f>
        <v/>
      </c>
      <c r="AY1316" t="str">
        <f>""</f>
        <v/>
      </c>
      <c r="AZ1316" t="str">
        <f>""</f>
        <v/>
      </c>
      <c r="BA1316" t="str">
        <f>""</f>
        <v/>
      </c>
      <c r="BC1316" t="str">
        <f>""</f>
        <v/>
      </c>
      <c r="BD1316" t="str">
        <f>""</f>
        <v/>
      </c>
      <c r="BE1316" t="str">
        <f>""</f>
        <v/>
      </c>
      <c r="BF1316" t="str">
        <f>""</f>
        <v/>
      </c>
      <c r="BG1316" t="str">
        <f>""</f>
        <v/>
      </c>
      <c r="BH1316" t="str">
        <f>""</f>
        <v/>
      </c>
      <c r="BI1316" t="str">
        <f>""</f>
        <v/>
      </c>
      <c r="BJ1316" t="str">
        <f>""</f>
        <v/>
      </c>
      <c r="BK1316">
        <v>1</v>
      </c>
      <c r="BL1316" t="s">
        <v>107</v>
      </c>
      <c r="BM1316" t="str">
        <f>"BECTON DICKINSON AND COMPANY INC"</f>
        <v>BECTON DICKINSON AND COMPANY INC</v>
      </c>
      <c r="BN1316" t="s">
        <v>2911</v>
      </c>
      <c r="BP1316" t="s">
        <v>2912</v>
      </c>
      <c r="BQ1316" t="s">
        <v>1307</v>
      </c>
      <c r="BR1316" t="s">
        <v>100</v>
      </c>
      <c r="BS1316" s="5">
        <v>7417</v>
      </c>
      <c r="BT1316" s="2">
        <v>122221</v>
      </c>
      <c r="BU1316" s="2">
        <v>135577</v>
      </c>
      <c r="BV1316" t="s">
        <v>105</v>
      </c>
      <c r="BW1316" s="2">
        <v>122221</v>
      </c>
      <c r="BX1316" t="s">
        <v>105</v>
      </c>
      <c r="BZ1316" t="s">
        <v>123</v>
      </c>
      <c r="CA1316" t="str">
        <f t="shared" si="103"/>
        <v>7/1/2020 - 6/30/2021</v>
      </c>
      <c r="CF1316">
        <v>2</v>
      </c>
      <c r="CG1316" t="s">
        <v>98</v>
      </c>
      <c r="CH1316" t="s">
        <v>98</v>
      </c>
      <c r="CI1316" t="s">
        <v>206</v>
      </c>
      <c r="CJ1316" t="s">
        <v>98</v>
      </c>
      <c r="CK1316" t="s">
        <v>12323</v>
      </c>
      <c r="CL1316" t="s">
        <v>108</v>
      </c>
      <c r="CM1316" t="s">
        <v>109</v>
      </c>
      <c r="CN1316" t="str">
        <f>""</f>
        <v/>
      </c>
      <c r="CO1316" t="str">
        <f>""</f>
        <v/>
      </c>
      <c r="CP1316" t="str">
        <f>""</f>
        <v/>
      </c>
      <c r="CQ1316" t="str">
        <f>""</f>
        <v/>
      </c>
    </row>
    <row r="1317" spans="1:96" x14ac:dyDescent="0.2">
      <c r="A1317" t="s">
        <v>2959</v>
      </c>
      <c r="B1317" t="s">
        <v>96</v>
      </c>
      <c r="C1317" s="1">
        <v>44099</v>
      </c>
      <c r="D1317" s="1">
        <v>44106</v>
      </c>
      <c r="F1317" t="s">
        <v>97</v>
      </c>
      <c r="G1317" t="str">
        <f>"Applications Consultant 2"</f>
        <v>Applications Consultant 2</v>
      </c>
      <c r="H1317" t="s">
        <v>12169</v>
      </c>
      <c r="I1317" t="s">
        <v>124</v>
      </c>
      <c r="J1317" t="s">
        <v>98</v>
      </c>
      <c r="K1317" s="1">
        <v>44099</v>
      </c>
      <c r="L1317" s="1">
        <v>45185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 t="s">
        <v>1421</v>
      </c>
      <c r="U1317" t="str">
        <f>""</f>
        <v/>
      </c>
      <c r="V1317" t="s">
        <v>1422</v>
      </c>
      <c r="W1317" t="str">
        <f>"SUITE 300"</f>
        <v>SUITE 300</v>
      </c>
      <c r="X1317" t="s">
        <v>843</v>
      </c>
      <c r="Y1317" t="s">
        <v>345</v>
      </c>
      <c r="Z1317" s="3">
        <v>60606</v>
      </c>
      <c r="AA1317" t="s">
        <v>101</v>
      </c>
      <c r="AC1317" s="4" t="str">
        <f>"+13123955000"</f>
        <v>+13123955000</v>
      </c>
      <c r="AE1317" t="str">
        <f>"5416"</f>
        <v>5416</v>
      </c>
      <c r="AF1317" t="s">
        <v>1423</v>
      </c>
      <c r="AG1317" t="s">
        <v>1424</v>
      </c>
      <c r="AI1317" t="s">
        <v>1425</v>
      </c>
      <c r="AJ1317" t="s">
        <v>1422</v>
      </c>
      <c r="AK1317" t="str">
        <f>"SUITE 300"</f>
        <v>SUITE 300</v>
      </c>
      <c r="AL1317" t="s">
        <v>843</v>
      </c>
      <c r="AM1317" t="s">
        <v>345</v>
      </c>
      <c r="AN1317" s="3">
        <v>60606</v>
      </c>
      <c r="AO1317" t="s">
        <v>101</v>
      </c>
      <c r="AQ1317" t="str">
        <f>"+13123958209"</f>
        <v>+13123958209</v>
      </c>
      <c r="AS1317" t="s">
        <v>1426</v>
      </c>
      <c r="AT1317" t="s">
        <v>102</v>
      </c>
      <c r="AU1317" t="str">
        <f>""</f>
        <v/>
      </c>
      <c r="AV1317" t="str">
        <f>""</f>
        <v/>
      </c>
      <c r="AW1317" t="str">
        <f>""</f>
        <v/>
      </c>
      <c r="AX1317" t="str">
        <f>""</f>
        <v/>
      </c>
      <c r="AY1317" t="str">
        <f>""</f>
        <v/>
      </c>
      <c r="AZ1317" t="str">
        <f>""</f>
        <v/>
      </c>
      <c r="BA1317" t="str">
        <f>""</f>
        <v/>
      </c>
      <c r="BC1317" t="str">
        <f>""</f>
        <v/>
      </c>
      <c r="BD1317" t="str">
        <f>""</f>
        <v/>
      </c>
      <c r="BE1317" t="str">
        <f>""</f>
        <v/>
      </c>
      <c r="BF1317" t="str">
        <f>""</f>
        <v/>
      </c>
      <c r="BG1317" t="str">
        <f>""</f>
        <v/>
      </c>
      <c r="BH1317" t="str">
        <f>""</f>
        <v/>
      </c>
      <c r="BI1317" t="str">
        <f>""</f>
        <v/>
      </c>
      <c r="BJ1317" t="str">
        <f>""</f>
        <v/>
      </c>
      <c r="BK1317">
        <v>1</v>
      </c>
      <c r="BL1317" t="s">
        <v>107</v>
      </c>
      <c r="BM1317" t="str">
        <f>"American Family Mutual Insurance Co Inc"</f>
        <v>American Family Mutual Insurance Co Inc</v>
      </c>
      <c r="BN1317" t="s">
        <v>2960</v>
      </c>
      <c r="BP1317" t="s">
        <v>712</v>
      </c>
      <c r="BQ1317" t="s">
        <v>1019</v>
      </c>
      <c r="BR1317" t="s">
        <v>330</v>
      </c>
      <c r="BS1317" s="5">
        <v>53783</v>
      </c>
      <c r="BT1317" s="2">
        <v>87838</v>
      </c>
      <c r="BU1317" s="2">
        <v>97846</v>
      </c>
      <c r="BV1317" t="s">
        <v>105</v>
      </c>
      <c r="BW1317" s="2">
        <v>81058</v>
      </c>
      <c r="BX1317" t="s">
        <v>105</v>
      </c>
      <c r="BZ1317" t="s">
        <v>167</v>
      </c>
      <c r="CA1317" t="str">
        <f t="shared" si="103"/>
        <v>7/1/2020 - 6/30/2021</v>
      </c>
      <c r="CF1317">
        <v>2</v>
      </c>
      <c r="CG1317" t="s">
        <v>98</v>
      </c>
      <c r="CH1317" t="s">
        <v>98</v>
      </c>
      <c r="CI1317" t="s">
        <v>206</v>
      </c>
      <c r="CJ1317" t="s">
        <v>98</v>
      </c>
      <c r="CK1317" t="s">
        <v>12323</v>
      </c>
      <c r="CL1317" t="s">
        <v>108</v>
      </c>
      <c r="CM1317" t="s">
        <v>109</v>
      </c>
      <c r="CN1317" t="str">
        <f>""</f>
        <v/>
      </c>
      <c r="CO1317" t="str">
        <f>""</f>
        <v/>
      </c>
      <c r="CP1317" t="str">
        <f>""</f>
        <v/>
      </c>
      <c r="CQ1317" t="str">
        <f>""</f>
        <v/>
      </c>
    </row>
    <row r="1318" spans="1:96" x14ac:dyDescent="0.2">
      <c r="A1318" t="s">
        <v>5071</v>
      </c>
      <c r="B1318" t="s">
        <v>96</v>
      </c>
      <c r="C1318" s="1">
        <v>44099</v>
      </c>
      <c r="D1318" s="1">
        <v>44106</v>
      </c>
      <c r="F1318" t="s">
        <v>97</v>
      </c>
      <c r="G1318" t="str">
        <f>"Application Developer"</f>
        <v>Application Developer</v>
      </c>
      <c r="H1318" t="s">
        <v>12169</v>
      </c>
      <c r="I1318" t="s">
        <v>124</v>
      </c>
      <c r="J1318" t="s">
        <v>98</v>
      </c>
      <c r="K1318" s="1">
        <v>44166</v>
      </c>
      <c r="L1318" s="1">
        <v>45260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 t="s">
        <v>5072</v>
      </c>
      <c r="U1318" t="str">
        <f>""</f>
        <v/>
      </c>
      <c r="V1318" t="s">
        <v>5073</v>
      </c>
      <c r="W1318" t="str">
        <f>"Suite 124"</f>
        <v>Suite 124</v>
      </c>
      <c r="X1318" t="s">
        <v>4818</v>
      </c>
      <c r="Y1318" t="s">
        <v>141</v>
      </c>
      <c r="Z1318" s="3">
        <v>91362</v>
      </c>
      <c r="AA1318" t="s">
        <v>101</v>
      </c>
      <c r="AC1318" s="4" t="str">
        <f>"+18054903003"</f>
        <v>+18054903003</v>
      </c>
      <c r="AE1318" t="str">
        <f>"541511"</f>
        <v>541511</v>
      </c>
      <c r="AF1318" t="s">
        <v>5074</v>
      </c>
      <c r="AG1318" t="s">
        <v>5075</v>
      </c>
      <c r="AI1318" t="s">
        <v>646</v>
      </c>
      <c r="AJ1318" t="s">
        <v>5073</v>
      </c>
      <c r="AK1318" t="str">
        <f>"Suite 124"</f>
        <v>Suite 124</v>
      </c>
      <c r="AL1318" t="s">
        <v>4818</v>
      </c>
      <c r="AM1318" t="s">
        <v>141</v>
      </c>
      <c r="AN1318" s="3">
        <v>91362</v>
      </c>
      <c r="AO1318" t="s">
        <v>101</v>
      </c>
      <c r="AQ1318" t="str">
        <f>"+18054903003"</f>
        <v>+18054903003</v>
      </c>
      <c r="AS1318" t="s">
        <v>5076</v>
      </c>
      <c r="AT1318" t="s">
        <v>107</v>
      </c>
      <c r="AU1318" t="str">
        <f>"Sikal"</f>
        <v>Sikal</v>
      </c>
      <c r="AV1318" t="str">
        <f>"Sowmiya"</f>
        <v>Sowmiya</v>
      </c>
      <c r="AW1318" t="str">
        <f>""</f>
        <v/>
      </c>
      <c r="AX1318" t="str">
        <f>"5755 North Point Pkwy"</f>
        <v>5755 North Point Pkwy</v>
      </c>
      <c r="AY1318" t="str">
        <f>"Ste 24"</f>
        <v>Ste 24</v>
      </c>
      <c r="AZ1318" t="str">
        <f>"Alpharetta"</f>
        <v>Alpharetta</v>
      </c>
      <c r="BA1318" t="str">
        <f>"GA"</f>
        <v>GA</v>
      </c>
      <c r="BB1318" s="3">
        <v>30022</v>
      </c>
      <c r="BC1318" t="str">
        <f>"UNITED STATES OF AMERICA"</f>
        <v>UNITED STATES OF AMERICA</v>
      </c>
      <c r="BD1318" t="str">
        <f>"GA"</f>
        <v>GA</v>
      </c>
      <c r="BE1318" t="str">
        <f>"+17706192884"</f>
        <v>+17706192884</v>
      </c>
      <c r="BF1318" t="str">
        <f>""</f>
        <v/>
      </c>
      <c r="BG1318" t="str">
        <f>"lca@sikal.com"</f>
        <v>lca@sikal.com</v>
      </c>
      <c r="BH1318" t="str">
        <f>"Sikal, Adhipathi &amp; Rowles, LLC"</f>
        <v>Sikal, Adhipathi &amp; Rowles, LLC</v>
      </c>
      <c r="BI1318" t="str">
        <f>"TN"</f>
        <v>TN</v>
      </c>
      <c r="BJ1318" t="str">
        <f>"Supreme Court of Tennessee"</f>
        <v>Supreme Court of Tennessee</v>
      </c>
      <c r="BK1318">
        <v>1</v>
      </c>
      <c r="BL1318" t="s">
        <v>107</v>
      </c>
      <c r="BM1318" t="str">
        <f>"Landmark Health LLC"</f>
        <v>Landmark Health LLC</v>
      </c>
      <c r="BN1318" t="s">
        <v>5077</v>
      </c>
      <c r="BP1318" t="s">
        <v>1736</v>
      </c>
      <c r="BQ1318" t="s">
        <v>203</v>
      </c>
      <c r="BR1318" t="s">
        <v>195</v>
      </c>
      <c r="BS1318" s="5">
        <v>21043</v>
      </c>
      <c r="BT1318" s="2">
        <v>98000</v>
      </c>
      <c r="BV1318" t="s">
        <v>105</v>
      </c>
      <c r="BW1318" s="2">
        <v>94037</v>
      </c>
      <c r="BX1318" t="s">
        <v>105</v>
      </c>
      <c r="BZ1318" t="s">
        <v>167</v>
      </c>
      <c r="CA1318" t="str">
        <f t="shared" si="103"/>
        <v>7/1/2020 - 6/30/2021</v>
      </c>
      <c r="CF1318">
        <v>2</v>
      </c>
      <c r="CG1318" t="s">
        <v>98</v>
      </c>
      <c r="CH1318" t="s">
        <v>98</v>
      </c>
      <c r="CI1318" t="s">
        <v>206</v>
      </c>
      <c r="CJ1318" t="s">
        <v>98</v>
      </c>
      <c r="CK1318" t="s">
        <v>12323</v>
      </c>
      <c r="CL1318" t="s">
        <v>108</v>
      </c>
      <c r="CM1318" t="s">
        <v>109</v>
      </c>
      <c r="CN1318" t="str">
        <f>""</f>
        <v/>
      </c>
      <c r="CO1318" t="str">
        <f>""</f>
        <v/>
      </c>
      <c r="CP1318" t="str">
        <f>""</f>
        <v/>
      </c>
      <c r="CQ1318" t="str">
        <f>""</f>
        <v/>
      </c>
    </row>
    <row r="1319" spans="1:96" x14ac:dyDescent="0.2">
      <c r="A1319" t="s">
        <v>5086</v>
      </c>
      <c r="B1319" t="s">
        <v>96</v>
      </c>
      <c r="C1319" s="1">
        <v>44099</v>
      </c>
      <c r="D1319" s="1">
        <v>44106</v>
      </c>
      <c r="F1319" t="s">
        <v>97</v>
      </c>
      <c r="G1319" t="str">
        <f>"Computer Systems Engineer/Architect"</f>
        <v>Computer Systems Engineer/Architect</v>
      </c>
      <c r="H1319" t="s">
        <v>12168</v>
      </c>
      <c r="I1319" t="s">
        <v>160</v>
      </c>
      <c r="J1319" t="s">
        <v>98</v>
      </c>
      <c r="K1319" s="1">
        <v>44112</v>
      </c>
      <c r="L1319" s="1">
        <v>45189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 t="s">
        <v>5087</v>
      </c>
      <c r="U1319" t="str">
        <f>""</f>
        <v/>
      </c>
      <c r="V1319" t="s">
        <v>5088</v>
      </c>
      <c r="W1319" t="str">
        <f>"Suite 2600"</f>
        <v>Suite 2600</v>
      </c>
      <c r="X1319" t="s">
        <v>3115</v>
      </c>
      <c r="Y1319" t="s">
        <v>215</v>
      </c>
      <c r="Z1319" s="3">
        <v>30092</v>
      </c>
      <c r="AA1319" t="s">
        <v>101</v>
      </c>
      <c r="AC1319" s="4" t="str">
        <f>"+14702464817"</f>
        <v>+14702464817</v>
      </c>
      <c r="AE1319" t="str">
        <f>"541511"</f>
        <v>541511</v>
      </c>
      <c r="AF1319" t="s">
        <v>5089</v>
      </c>
      <c r="AG1319" t="s">
        <v>5090</v>
      </c>
      <c r="AH1319" t="s">
        <v>5091</v>
      </c>
      <c r="AI1319" t="s">
        <v>646</v>
      </c>
      <c r="AJ1319" t="s">
        <v>5088</v>
      </c>
      <c r="AK1319" t="str">
        <f>"Suite 2600"</f>
        <v>Suite 2600</v>
      </c>
      <c r="AL1319" t="s">
        <v>3115</v>
      </c>
      <c r="AM1319" t="s">
        <v>215</v>
      </c>
      <c r="AN1319" s="3">
        <v>30092</v>
      </c>
      <c r="AO1319" t="s">
        <v>101</v>
      </c>
      <c r="AQ1319" t="str">
        <f>"+14702464817"</f>
        <v>+14702464817</v>
      </c>
      <c r="AS1319" t="s">
        <v>5092</v>
      </c>
      <c r="AT1319" t="s">
        <v>102</v>
      </c>
      <c r="AU1319" t="str">
        <f>""</f>
        <v/>
      </c>
      <c r="AV1319" t="str">
        <f>""</f>
        <v/>
      </c>
      <c r="AW1319" t="str">
        <f>""</f>
        <v/>
      </c>
      <c r="AX1319" t="str">
        <f>""</f>
        <v/>
      </c>
      <c r="AY1319" t="str">
        <f>""</f>
        <v/>
      </c>
      <c r="AZ1319" t="str">
        <f>""</f>
        <v/>
      </c>
      <c r="BA1319" t="str">
        <f>""</f>
        <v/>
      </c>
      <c r="BC1319" t="str">
        <f>""</f>
        <v/>
      </c>
      <c r="BD1319" t="str">
        <f>""</f>
        <v/>
      </c>
      <c r="BE1319" t="str">
        <f>""</f>
        <v/>
      </c>
      <c r="BF1319" t="str">
        <f>""</f>
        <v/>
      </c>
      <c r="BG1319" t="str">
        <f>""</f>
        <v/>
      </c>
      <c r="BH1319" t="str">
        <f>""</f>
        <v/>
      </c>
      <c r="BI1319" t="str">
        <f>""</f>
        <v/>
      </c>
      <c r="BJ1319" t="str">
        <f>""</f>
        <v/>
      </c>
      <c r="BK1319">
        <v>1</v>
      </c>
      <c r="BL1319" t="s">
        <v>107</v>
      </c>
      <c r="BM1319" t="str">
        <f>"Mindtree/Microsoft"</f>
        <v>Mindtree/Microsoft</v>
      </c>
      <c r="BN1319" t="s">
        <v>5093</v>
      </c>
      <c r="BP1319" t="s">
        <v>5094</v>
      </c>
      <c r="BQ1319" t="s">
        <v>183</v>
      </c>
      <c r="BR1319" t="s">
        <v>176</v>
      </c>
      <c r="BS1319" s="5">
        <v>98007</v>
      </c>
      <c r="BT1319" s="2">
        <v>77875</v>
      </c>
      <c r="BV1319" t="s">
        <v>105</v>
      </c>
      <c r="BW1319" s="2">
        <v>77875</v>
      </c>
      <c r="BX1319" t="s">
        <v>105</v>
      </c>
      <c r="BZ1319" t="s">
        <v>167</v>
      </c>
      <c r="CA1319" t="str">
        <f t="shared" si="103"/>
        <v>7/1/2020 - 6/30/2021</v>
      </c>
      <c r="CF1319">
        <v>2</v>
      </c>
      <c r="CG1319" t="s">
        <v>98</v>
      </c>
      <c r="CH1319" t="s">
        <v>98</v>
      </c>
      <c r="CI1319" t="s">
        <v>206</v>
      </c>
      <c r="CJ1319" t="s">
        <v>98</v>
      </c>
      <c r="CK1319" t="s">
        <v>12323</v>
      </c>
      <c r="CL1319" t="s">
        <v>108</v>
      </c>
      <c r="CM1319" t="s">
        <v>109</v>
      </c>
      <c r="CN1319" t="str">
        <f>""</f>
        <v/>
      </c>
      <c r="CO1319" t="str">
        <f>""</f>
        <v/>
      </c>
      <c r="CP1319" t="str">
        <f>""</f>
        <v/>
      </c>
      <c r="CQ1319" t="str">
        <f>""</f>
        <v/>
      </c>
    </row>
    <row r="1320" spans="1:96" x14ac:dyDescent="0.2">
      <c r="A1320" t="s">
        <v>5370</v>
      </c>
      <c r="B1320" t="s">
        <v>96</v>
      </c>
      <c r="C1320" s="1">
        <v>44099</v>
      </c>
      <c r="D1320" s="1">
        <v>44106</v>
      </c>
      <c r="F1320" t="s">
        <v>97</v>
      </c>
      <c r="G1320" t="str">
        <f>"Software Developer, Applications"</f>
        <v>Software Developer, Applications</v>
      </c>
      <c r="H1320" t="s">
        <v>12169</v>
      </c>
      <c r="I1320" t="s">
        <v>124</v>
      </c>
      <c r="J1320" t="s">
        <v>98</v>
      </c>
      <c r="K1320" s="1">
        <v>44105</v>
      </c>
      <c r="L1320" s="1">
        <v>45200</v>
      </c>
      <c r="M1320">
        <v>10</v>
      </c>
      <c r="N1320">
        <v>7</v>
      </c>
      <c r="O1320">
        <v>0</v>
      </c>
      <c r="P1320">
        <v>2</v>
      </c>
      <c r="Q1320">
        <v>0</v>
      </c>
      <c r="R1320">
        <v>1</v>
      </c>
      <c r="S1320">
        <v>0</v>
      </c>
      <c r="T1320" t="s">
        <v>4439</v>
      </c>
      <c r="U1320" t="str">
        <f>"Tata Elxsi"</f>
        <v>Tata Elxsi</v>
      </c>
      <c r="V1320" t="s">
        <v>4440</v>
      </c>
      <c r="W1320" t="str">
        <f>"Suite 215"</f>
        <v>Suite 215</v>
      </c>
      <c r="X1320" t="s">
        <v>247</v>
      </c>
      <c r="Y1320" t="s">
        <v>141</v>
      </c>
      <c r="Z1320" s="3">
        <v>95051</v>
      </c>
      <c r="AA1320" t="s">
        <v>101</v>
      </c>
      <c r="AC1320" s="4" t="str">
        <f>"+14088948282"</f>
        <v>+14088948282</v>
      </c>
      <c r="AE1320" t="str">
        <f>"541511"</f>
        <v>541511</v>
      </c>
      <c r="AF1320" t="s">
        <v>4441</v>
      </c>
      <c r="AG1320" t="s">
        <v>4442</v>
      </c>
      <c r="AH1320" t="s">
        <v>108</v>
      </c>
      <c r="AI1320" t="s">
        <v>4443</v>
      </c>
      <c r="AJ1320" t="s">
        <v>4444</v>
      </c>
      <c r="AK1320" t="str">
        <f>"Suite 300"</f>
        <v>Suite 300</v>
      </c>
      <c r="AL1320" t="s">
        <v>218</v>
      </c>
      <c r="AM1320" t="s">
        <v>127</v>
      </c>
      <c r="AN1320" s="3">
        <v>19103</v>
      </c>
      <c r="AO1320" t="s">
        <v>101</v>
      </c>
      <c r="AQ1320" t="str">
        <f>"+14088948282"</f>
        <v>+14088948282</v>
      </c>
      <c r="AR1320">
        <v>2012</v>
      </c>
      <c r="AS1320" t="s">
        <v>4445</v>
      </c>
      <c r="AT1320" t="s">
        <v>107</v>
      </c>
      <c r="AU1320" t="str">
        <f>"Moore"</f>
        <v>Moore</v>
      </c>
      <c r="AV1320" t="str">
        <f>"Angela"</f>
        <v>Angela</v>
      </c>
      <c r="AW1320" t="str">
        <f>"G."</f>
        <v>G.</v>
      </c>
      <c r="AX1320" t="str">
        <f>"One Market Plaza, Spear Tower"</f>
        <v>One Market Plaza, Spear Tower</v>
      </c>
      <c r="AY1320" t="str">
        <f>"Suite 2200"</f>
        <v>Suite 2200</v>
      </c>
      <c r="AZ1320" t="str">
        <f>"San Francisco"</f>
        <v>San Francisco</v>
      </c>
      <c r="BA1320" t="str">
        <f>"CA"</f>
        <v>CA</v>
      </c>
      <c r="BB1320" s="3">
        <v>94105</v>
      </c>
      <c r="BC1320" t="str">
        <f>"UNITED STATES OF AMERICA"</f>
        <v>UNITED STATES OF AMERICA</v>
      </c>
      <c r="BD1320" t="str">
        <f>""</f>
        <v/>
      </c>
      <c r="BE1320" t="str">
        <f>"+14159573120"</f>
        <v>+14159573120</v>
      </c>
      <c r="BF1320" t="str">
        <f>""</f>
        <v/>
      </c>
      <c r="BG1320" t="str">
        <f>"agmoore@duanemorris.com"</f>
        <v>agmoore@duanemorris.com</v>
      </c>
      <c r="BH1320" t="str">
        <f>"Duane Morris LLP"</f>
        <v>Duane Morris LLP</v>
      </c>
      <c r="BI1320" t="str">
        <f>"CA"</f>
        <v>CA</v>
      </c>
      <c r="BJ1320" t="str">
        <f>"Supreme Court"</f>
        <v>Supreme Court</v>
      </c>
      <c r="BK1320">
        <v>10</v>
      </c>
      <c r="BL1320" t="s">
        <v>102</v>
      </c>
      <c r="BM1320" t="str">
        <f>""</f>
        <v/>
      </c>
      <c r="BN1320" t="s">
        <v>5371</v>
      </c>
      <c r="BO1320" t="s">
        <v>754</v>
      </c>
      <c r="BP1320" t="s">
        <v>218</v>
      </c>
      <c r="BQ1320" t="s">
        <v>510</v>
      </c>
      <c r="BR1320" t="s">
        <v>127</v>
      </c>
      <c r="BS1320" s="5">
        <v>19103</v>
      </c>
      <c r="BT1320" s="2">
        <v>89773</v>
      </c>
      <c r="BU1320" s="2">
        <v>109773</v>
      </c>
      <c r="BV1320" t="s">
        <v>105</v>
      </c>
      <c r="BW1320" s="2">
        <v>89773</v>
      </c>
      <c r="BX1320" t="s">
        <v>105</v>
      </c>
      <c r="BZ1320" t="s">
        <v>167</v>
      </c>
      <c r="CA1320" t="str">
        <f t="shared" si="103"/>
        <v>7/1/2020 - 6/30/2021</v>
      </c>
      <c r="CF1320">
        <v>1</v>
      </c>
      <c r="CG1320" t="s">
        <v>98</v>
      </c>
      <c r="CH1320" t="s">
        <v>98</v>
      </c>
      <c r="CI1320" t="s">
        <v>206</v>
      </c>
      <c r="CJ1320" t="s">
        <v>98</v>
      </c>
      <c r="CK1320" t="s">
        <v>12323</v>
      </c>
      <c r="CL1320" t="s">
        <v>108</v>
      </c>
      <c r="CM1320" t="s">
        <v>109</v>
      </c>
      <c r="CN1320" t="str">
        <f>"Moore                      LCA #106"</f>
        <v>Moore                      LCA #106</v>
      </c>
      <c r="CO1320" t="str">
        <f>"Angela "</f>
        <v xml:space="preserve">Angela </v>
      </c>
      <c r="CP1320" t="str">
        <f>"G. "</f>
        <v xml:space="preserve">G. </v>
      </c>
      <c r="CQ1320" t="str">
        <f>"Duane Morris LLP"</f>
        <v>Duane Morris LLP</v>
      </c>
      <c r="CR1320" t="s">
        <v>4446</v>
      </c>
    </row>
    <row r="1321" spans="1:96" x14ac:dyDescent="0.2">
      <c r="A1321" t="s">
        <v>5555</v>
      </c>
      <c r="B1321" t="s">
        <v>96</v>
      </c>
      <c r="C1321" s="1">
        <v>44099</v>
      </c>
      <c r="D1321" s="1">
        <v>44106</v>
      </c>
      <c r="F1321" t="s">
        <v>97</v>
      </c>
      <c r="G1321" t="str">
        <f>"Software Engineer 2"</f>
        <v>Software Engineer 2</v>
      </c>
      <c r="H1321" t="s">
        <v>12169</v>
      </c>
      <c r="I1321" t="s">
        <v>124</v>
      </c>
      <c r="J1321" t="s">
        <v>98</v>
      </c>
      <c r="K1321" s="1">
        <v>44105</v>
      </c>
      <c r="L1321" s="1">
        <v>45199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 t="s">
        <v>1421</v>
      </c>
      <c r="U1321" t="str">
        <f>""</f>
        <v/>
      </c>
      <c r="V1321" t="s">
        <v>1422</v>
      </c>
      <c r="W1321" t="str">
        <f>"SUITE 300"</f>
        <v>SUITE 300</v>
      </c>
      <c r="X1321" t="s">
        <v>843</v>
      </c>
      <c r="Y1321" t="s">
        <v>345</v>
      </c>
      <c r="Z1321" s="3">
        <v>60606</v>
      </c>
      <c r="AA1321" t="s">
        <v>101</v>
      </c>
      <c r="AC1321" s="4" t="str">
        <f>"+13123955000"</f>
        <v>+13123955000</v>
      </c>
      <c r="AE1321" t="str">
        <f>"5416"</f>
        <v>5416</v>
      </c>
      <c r="AF1321" t="s">
        <v>1423</v>
      </c>
      <c r="AG1321" t="s">
        <v>1424</v>
      </c>
      <c r="AI1321" t="s">
        <v>1425</v>
      </c>
      <c r="AJ1321" t="s">
        <v>1422</v>
      </c>
      <c r="AK1321" t="str">
        <f>"SUITE 300"</f>
        <v>SUITE 300</v>
      </c>
      <c r="AL1321" t="s">
        <v>843</v>
      </c>
      <c r="AM1321" t="s">
        <v>345</v>
      </c>
      <c r="AN1321" s="3">
        <v>60606</v>
      </c>
      <c r="AO1321" t="s">
        <v>101</v>
      </c>
      <c r="AQ1321" t="str">
        <f>"+13123958209"</f>
        <v>+13123958209</v>
      </c>
      <c r="AS1321" t="s">
        <v>1426</v>
      </c>
      <c r="AT1321" t="s">
        <v>102</v>
      </c>
      <c r="AU1321" t="str">
        <f>""</f>
        <v/>
      </c>
      <c r="AV1321" t="str">
        <f>""</f>
        <v/>
      </c>
      <c r="AW1321" t="str">
        <f>""</f>
        <v/>
      </c>
      <c r="AX1321" t="str">
        <f>""</f>
        <v/>
      </c>
      <c r="AY1321" t="str">
        <f>""</f>
        <v/>
      </c>
      <c r="AZ1321" t="str">
        <f>""</f>
        <v/>
      </c>
      <c r="BA1321" t="str">
        <f>""</f>
        <v/>
      </c>
      <c r="BC1321" t="str">
        <f>""</f>
        <v/>
      </c>
      <c r="BD1321" t="str">
        <f>""</f>
        <v/>
      </c>
      <c r="BE1321" t="str">
        <f>""</f>
        <v/>
      </c>
      <c r="BF1321" t="str">
        <f>""</f>
        <v/>
      </c>
      <c r="BG1321" t="str">
        <f>""</f>
        <v/>
      </c>
      <c r="BH1321" t="str">
        <f>""</f>
        <v/>
      </c>
      <c r="BI1321" t="str">
        <f>""</f>
        <v/>
      </c>
      <c r="BJ1321" t="str">
        <f>""</f>
        <v/>
      </c>
      <c r="BK1321">
        <v>1</v>
      </c>
      <c r="BL1321" t="s">
        <v>102</v>
      </c>
      <c r="BM1321" t="str">
        <f>""</f>
        <v/>
      </c>
      <c r="BN1321" t="s">
        <v>5556</v>
      </c>
      <c r="BP1321" t="s">
        <v>5557</v>
      </c>
      <c r="BQ1321" t="s">
        <v>4422</v>
      </c>
      <c r="BR1321" t="s">
        <v>127</v>
      </c>
      <c r="BS1321" s="5">
        <v>19607</v>
      </c>
      <c r="BT1321" s="2">
        <v>81848</v>
      </c>
      <c r="BV1321" t="s">
        <v>105</v>
      </c>
      <c r="BW1321" s="2">
        <v>81848</v>
      </c>
      <c r="BX1321" t="s">
        <v>105</v>
      </c>
      <c r="BZ1321" t="s">
        <v>167</v>
      </c>
      <c r="CA1321" t="str">
        <f t="shared" si="103"/>
        <v>7/1/2020 - 6/30/2021</v>
      </c>
      <c r="CF1321">
        <v>1</v>
      </c>
      <c r="CG1321" t="s">
        <v>98</v>
      </c>
      <c r="CH1321" t="s">
        <v>98</v>
      </c>
      <c r="CI1321" t="s">
        <v>206</v>
      </c>
      <c r="CJ1321" t="s">
        <v>98</v>
      </c>
      <c r="CK1321" t="s">
        <v>12323</v>
      </c>
      <c r="CL1321" t="s">
        <v>108</v>
      </c>
      <c r="CM1321" t="s">
        <v>109</v>
      </c>
      <c r="CN1321" t="str">
        <f>""</f>
        <v/>
      </c>
      <c r="CO1321" t="str">
        <f>""</f>
        <v/>
      </c>
      <c r="CP1321" t="str">
        <f>""</f>
        <v/>
      </c>
      <c r="CQ1321" t="str">
        <f>""</f>
        <v/>
      </c>
    </row>
    <row r="1322" spans="1:96" x14ac:dyDescent="0.2">
      <c r="A1322" t="s">
        <v>5703</v>
      </c>
      <c r="B1322" t="s">
        <v>96</v>
      </c>
      <c r="C1322" s="1">
        <v>44099</v>
      </c>
      <c r="D1322" s="1">
        <v>44106</v>
      </c>
      <c r="F1322" t="s">
        <v>97</v>
      </c>
      <c r="G1322" t="str">
        <f>" Software Developer"</f>
        <v xml:space="preserve"> Software Developer</v>
      </c>
      <c r="H1322" t="s">
        <v>12169</v>
      </c>
      <c r="I1322" t="s">
        <v>124</v>
      </c>
      <c r="J1322" t="s">
        <v>98</v>
      </c>
      <c r="K1322" s="1">
        <v>44100</v>
      </c>
      <c r="L1322" s="1">
        <v>45193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 t="s">
        <v>503</v>
      </c>
      <c r="U1322" t="str">
        <f>""</f>
        <v/>
      </c>
      <c r="V1322" t="s">
        <v>504</v>
      </c>
      <c r="W1322" t="str">
        <f>"SUITE 102"</f>
        <v>SUITE 102</v>
      </c>
      <c r="X1322" t="s">
        <v>162</v>
      </c>
      <c r="Y1322" t="s">
        <v>100</v>
      </c>
      <c r="Z1322" s="3">
        <v>8536</v>
      </c>
      <c r="AA1322" t="s">
        <v>101</v>
      </c>
      <c r="AB1322" t="s">
        <v>505</v>
      </c>
      <c r="AC1322" s="4" t="str">
        <f>"+16096069010"</f>
        <v>+16096069010</v>
      </c>
      <c r="AE1322" t="str">
        <f>"541511"</f>
        <v>541511</v>
      </c>
      <c r="AF1322" t="s">
        <v>1963</v>
      </c>
      <c r="AG1322" t="s">
        <v>5704</v>
      </c>
      <c r="AH1322" t="s">
        <v>108</v>
      </c>
      <c r="AI1322" t="s">
        <v>799</v>
      </c>
      <c r="AJ1322" t="s">
        <v>800</v>
      </c>
      <c r="AK1322" t="str">
        <f>"SUITE 102"</f>
        <v>SUITE 102</v>
      </c>
      <c r="AL1322" t="s">
        <v>801</v>
      </c>
      <c r="AM1322" t="s">
        <v>100</v>
      </c>
      <c r="AN1322" s="3">
        <v>8536</v>
      </c>
      <c r="AO1322" t="s">
        <v>101</v>
      </c>
      <c r="AQ1322" t="str">
        <f>"+16096069010"</f>
        <v>+16096069010</v>
      </c>
      <c r="AR1322">
        <v>1253</v>
      </c>
      <c r="AS1322" t="s">
        <v>509</v>
      </c>
      <c r="AT1322" t="s">
        <v>102</v>
      </c>
      <c r="AU1322" t="str">
        <f>""</f>
        <v/>
      </c>
      <c r="AV1322" t="str">
        <f>""</f>
        <v/>
      </c>
      <c r="AW1322" t="str">
        <f>""</f>
        <v/>
      </c>
      <c r="AX1322" t="str">
        <f>""</f>
        <v/>
      </c>
      <c r="AY1322" t="str">
        <f>""</f>
        <v/>
      </c>
      <c r="AZ1322" t="str">
        <f>""</f>
        <v/>
      </c>
      <c r="BA1322" t="str">
        <f>""</f>
        <v/>
      </c>
      <c r="BC1322" t="str">
        <f>""</f>
        <v/>
      </c>
      <c r="BD1322" t="str">
        <f>""</f>
        <v/>
      </c>
      <c r="BE1322" t="str">
        <f>""</f>
        <v/>
      </c>
      <c r="BF1322" t="str">
        <f>""</f>
        <v/>
      </c>
      <c r="BG1322" t="str">
        <f>""</f>
        <v/>
      </c>
      <c r="BH1322" t="str">
        <f>""</f>
        <v/>
      </c>
      <c r="BI1322" t="str">
        <f>""</f>
        <v/>
      </c>
      <c r="BJ1322" t="str">
        <f>""</f>
        <v/>
      </c>
      <c r="BK1322">
        <v>1</v>
      </c>
      <c r="BL1322" t="s">
        <v>107</v>
      </c>
      <c r="BM1322" t="str">
        <f>"Freddie Mac"</f>
        <v>Freddie Mac</v>
      </c>
      <c r="BN1322" t="s">
        <v>5705</v>
      </c>
      <c r="BP1322" t="s">
        <v>958</v>
      </c>
      <c r="BQ1322" t="s">
        <v>454</v>
      </c>
      <c r="BR1322" t="s">
        <v>135</v>
      </c>
      <c r="BS1322" s="5">
        <v>22102</v>
      </c>
      <c r="BT1322" s="2">
        <v>97500</v>
      </c>
      <c r="BU1322" s="2">
        <v>118250</v>
      </c>
      <c r="BV1322" t="s">
        <v>105</v>
      </c>
      <c r="BW1322" s="2">
        <v>97406</v>
      </c>
      <c r="BX1322" t="s">
        <v>105</v>
      </c>
      <c r="BZ1322" t="s">
        <v>167</v>
      </c>
      <c r="CA1322" t="str">
        <f t="shared" si="103"/>
        <v>7/1/2020 - 6/30/2021</v>
      </c>
      <c r="CF1322">
        <v>2</v>
      </c>
      <c r="CG1322" t="s">
        <v>98</v>
      </c>
      <c r="CH1322" t="s">
        <v>98</v>
      </c>
      <c r="CI1322" t="s">
        <v>206</v>
      </c>
      <c r="CJ1322" t="s">
        <v>98</v>
      </c>
      <c r="CK1322" t="s">
        <v>12323</v>
      </c>
      <c r="CL1322" t="s">
        <v>108</v>
      </c>
      <c r="CM1322" t="s">
        <v>109</v>
      </c>
      <c r="CN1322" t="str">
        <f>"N/A"</f>
        <v>N/A</v>
      </c>
      <c r="CO1322" t="str">
        <f>"N/A"</f>
        <v>N/A</v>
      </c>
      <c r="CP1322" t="str">
        <f>"N/A"</f>
        <v>N/A</v>
      </c>
      <c r="CQ1322" t="str">
        <f>"COMPUNNEL SOFTWARE GROUP, INC     "</f>
        <v xml:space="preserve">COMPUNNEL SOFTWARE GROUP, INC     </v>
      </c>
      <c r="CR1322" t="s">
        <v>509</v>
      </c>
    </row>
    <row r="1323" spans="1:96" x14ac:dyDescent="0.2">
      <c r="A1323" t="s">
        <v>5893</v>
      </c>
      <c r="B1323" t="s">
        <v>96</v>
      </c>
      <c r="C1323" s="1">
        <v>44099</v>
      </c>
      <c r="D1323" s="1">
        <v>44106</v>
      </c>
      <c r="F1323" t="s">
        <v>97</v>
      </c>
      <c r="G1323" t="str">
        <f>"Business Systems Analyst 2"</f>
        <v>Business Systems Analyst 2</v>
      </c>
      <c r="H1323" t="s">
        <v>12181</v>
      </c>
      <c r="I1323" t="s">
        <v>110</v>
      </c>
      <c r="J1323" t="s">
        <v>98</v>
      </c>
      <c r="K1323" s="1">
        <v>44099</v>
      </c>
      <c r="L1323" s="1">
        <v>45186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 t="s">
        <v>1421</v>
      </c>
      <c r="U1323" t="str">
        <f>""</f>
        <v/>
      </c>
      <c r="V1323" t="s">
        <v>1422</v>
      </c>
      <c r="W1323" t="str">
        <f>"SUITE 300"</f>
        <v>SUITE 300</v>
      </c>
      <c r="X1323" t="s">
        <v>843</v>
      </c>
      <c r="Y1323" t="s">
        <v>345</v>
      </c>
      <c r="Z1323" s="3">
        <v>60606</v>
      </c>
      <c r="AA1323" t="s">
        <v>101</v>
      </c>
      <c r="AC1323" s="4" t="str">
        <f>"+13123955000"</f>
        <v>+13123955000</v>
      </c>
      <c r="AE1323" t="str">
        <f>"5416"</f>
        <v>5416</v>
      </c>
      <c r="AF1323" t="s">
        <v>1423</v>
      </c>
      <c r="AG1323" t="s">
        <v>1424</v>
      </c>
      <c r="AI1323" t="s">
        <v>1425</v>
      </c>
      <c r="AJ1323" t="s">
        <v>1422</v>
      </c>
      <c r="AK1323" t="str">
        <f>"SUITE 300"</f>
        <v>SUITE 300</v>
      </c>
      <c r="AL1323" t="s">
        <v>843</v>
      </c>
      <c r="AM1323" t="s">
        <v>345</v>
      </c>
      <c r="AN1323" s="3">
        <v>60606</v>
      </c>
      <c r="AO1323" t="s">
        <v>101</v>
      </c>
      <c r="AQ1323" t="str">
        <f>"+13123958209"</f>
        <v>+13123958209</v>
      </c>
      <c r="AS1323" t="s">
        <v>1426</v>
      </c>
      <c r="AT1323" t="s">
        <v>102</v>
      </c>
      <c r="AU1323" t="str">
        <f>""</f>
        <v/>
      </c>
      <c r="AV1323" t="str">
        <f>""</f>
        <v/>
      </c>
      <c r="AW1323" t="str">
        <f>""</f>
        <v/>
      </c>
      <c r="AX1323" t="str">
        <f>""</f>
        <v/>
      </c>
      <c r="AY1323" t="str">
        <f>""</f>
        <v/>
      </c>
      <c r="AZ1323" t="str">
        <f>""</f>
        <v/>
      </c>
      <c r="BA1323" t="str">
        <f>""</f>
        <v/>
      </c>
      <c r="BC1323" t="str">
        <f>""</f>
        <v/>
      </c>
      <c r="BD1323" t="str">
        <f>""</f>
        <v/>
      </c>
      <c r="BE1323" t="str">
        <f>""</f>
        <v/>
      </c>
      <c r="BF1323" t="str">
        <f>""</f>
        <v/>
      </c>
      <c r="BG1323" t="str">
        <f>""</f>
        <v/>
      </c>
      <c r="BH1323" t="str">
        <f>""</f>
        <v/>
      </c>
      <c r="BI1323" t="str">
        <f>""</f>
        <v/>
      </c>
      <c r="BJ1323" t="str">
        <f>""</f>
        <v/>
      </c>
      <c r="BK1323">
        <v>1</v>
      </c>
      <c r="BL1323" t="s">
        <v>107</v>
      </c>
      <c r="BM1323" t="str">
        <f>"GE POWER DIGITAL"</f>
        <v>GE POWER DIGITAL</v>
      </c>
      <c r="BN1323" t="s">
        <v>5894</v>
      </c>
      <c r="BP1323" t="s">
        <v>5895</v>
      </c>
      <c r="BQ1323" t="s">
        <v>5895</v>
      </c>
      <c r="BR1323" t="s">
        <v>594</v>
      </c>
      <c r="BS1323" s="5">
        <v>29615</v>
      </c>
      <c r="BT1323" s="2">
        <v>60000</v>
      </c>
      <c r="BU1323" s="2">
        <v>74576</v>
      </c>
      <c r="BV1323" t="s">
        <v>105</v>
      </c>
      <c r="BW1323" s="2">
        <v>57408</v>
      </c>
      <c r="BX1323" t="s">
        <v>105</v>
      </c>
      <c r="BZ1323" t="s">
        <v>167</v>
      </c>
      <c r="CA1323" t="str">
        <f t="shared" si="103"/>
        <v>7/1/2020 - 6/30/2021</v>
      </c>
      <c r="CF1323">
        <v>2</v>
      </c>
      <c r="CG1323" t="s">
        <v>98</v>
      </c>
      <c r="CH1323" t="s">
        <v>98</v>
      </c>
      <c r="CI1323" t="s">
        <v>206</v>
      </c>
      <c r="CJ1323" t="s">
        <v>98</v>
      </c>
      <c r="CK1323" t="s">
        <v>12323</v>
      </c>
      <c r="CL1323" t="s">
        <v>108</v>
      </c>
      <c r="CM1323" t="s">
        <v>109</v>
      </c>
      <c r="CN1323" t="str">
        <f>""</f>
        <v/>
      </c>
      <c r="CO1323" t="str">
        <f>""</f>
        <v/>
      </c>
      <c r="CP1323" t="str">
        <f>""</f>
        <v/>
      </c>
      <c r="CQ1323" t="str">
        <f>""</f>
        <v/>
      </c>
    </row>
    <row r="1324" spans="1:96" x14ac:dyDescent="0.2">
      <c r="A1324" t="s">
        <v>5999</v>
      </c>
      <c r="B1324" t="s">
        <v>96</v>
      </c>
      <c r="C1324" s="1">
        <v>44099</v>
      </c>
      <c r="D1324" s="1">
        <v>44106</v>
      </c>
      <c r="F1324" t="s">
        <v>97</v>
      </c>
      <c r="G1324" t="str">
        <f>"Senior Software Developer"</f>
        <v>Senior Software Developer</v>
      </c>
      <c r="H1324" t="s">
        <v>12169</v>
      </c>
      <c r="I1324" t="s">
        <v>124</v>
      </c>
      <c r="J1324" t="s">
        <v>98</v>
      </c>
      <c r="K1324" s="1">
        <v>44102</v>
      </c>
      <c r="L1324" s="1">
        <v>45196</v>
      </c>
      <c r="M1324">
        <v>6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 t="s">
        <v>2509</v>
      </c>
      <c r="U1324" t="str">
        <f>"Mastech Digital InfoTech, Inc."</f>
        <v>Mastech Digital InfoTech, Inc.</v>
      </c>
      <c r="V1324" t="s">
        <v>1081</v>
      </c>
      <c r="W1324" t="str">
        <f>"Bldg. 210, Suite 400"</f>
        <v>Bldg. 210, Suite 400</v>
      </c>
      <c r="X1324" t="s">
        <v>1082</v>
      </c>
      <c r="Y1324" t="s">
        <v>127</v>
      </c>
      <c r="Z1324" s="3">
        <v>15108</v>
      </c>
      <c r="AA1324" t="s">
        <v>101</v>
      </c>
      <c r="AB1324" t="s">
        <v>2510</v>
      </c>
      <c r="AC1324" s="4" t="str">
        <f>"+14127879553"</f>
        <v>+14127879553</v>
      </c>
      <c r="AE1324" t="str">
        <f>"541511"</f>
        <v>541511</v>
      </c>
      <c r="AF1324" t="s">
        <v>1083</v>
      </c>
      <c r="AG1324" t="s">
        <v>1084</v>
      </c>
      <c r="AI1324" t="s">
        <v>1085</v>
      </c>
      <c r="AJ1324" t="s">
        <v>1081</v>
      </c>
      <c r="AK1324" t="str">
        <f>"Bldg. 210, Ste 400"</f>
        <v>Bldg. 210, Ste 400</v>
      </c>
      <c r="AL1324" t="s">
        <v>1082</v>
      </c>
      <c r="AM1324" t="s">
        <v>127</v>
      </c>
      <c r="AN1324" s="3">
        <v>15108</v>
      </c>
      <c r="AO1324" t="s">
        <v>101</v>
      </c>
      <c r="AQ1324" t="str">
        <f>"+14127879553"</f>
        <v>+14127879553</v>
      </c>
      <c r="AS1324" t="s">
        <v>1086</v>
      </c>
      <c r="AT1324" t="s">
        <v>102</v>
      </c>
      <c r="AU1324" t="str">
        <f>""</f>
        <v/>
      </c>
      <c r="AV1324" t="str">
        <f>""</f>
        <v/>
      </c>
      <c r="AW1324" t="str">
        <f>""</f>
        <v/>
      </c>
      <c r="AX1324" t="str">
        <f>""</f>
        <v/>
      </c>
      <c r="AY1324" t="str">
        <f>""</f>
        <v/>
      </c>
      <c r="AZ1324" t="str">
        <f>""</f>
        <v/>
      </c>
      <c r="BA1324" t="str">
        <f>""</f>
        <v/>
      </c>
      <c r="BC1324" t="str">
        <f>""</f>
        <v/>
      </c>
      <c r="BD1324" t="str">
        <f>""</f>
        <v/>
      </c>
      <c r="BE1324" t="str">
        <f>""</f>
        <v/>
      </c>
      <c r="BF1324" t="str">
        <f>""</f>
        <v/>
      </c>
      <c r="BG1324" t="str">
        <f>""</f>
        <v/>
      </c>
      <c r="BH1324" t="str">
        <f>""</f>
        <v/>
      </c>
      <c r="BI1324" t="str">
        <f>""</f>
        <v/>
      </c>
      <c r="BJ1324" t="str">
        <f>""</f>
        <v/>
      </c>
      <c r="BK1324">
        <v>6</v>
      </c>
      <c r="BL1324" t="s">
        <v>107</v>
      </c>
      <c r="BM1324" t="str">
        <f>"United Services Automobile Association (USAA)"</f>
        <v>United Services Automobile Association (USAA)</v>
      </c>
      <c r="BN1324" t="s">
        <v>1900</v>
      </c>
      <c r="BP1324" t="s">
        <v>297</v>
      </c>
      <c r="BQ1324" t="s">
        <v>556</v>
      </c>
      <c r="BR1324" t="s">
        <v>114</v>
      </c>
      <c r="BS1324" s="5">
        <v>75024</v>
      </c>
      <c r="BT1324" s="2">
        <v>53.05</v>
      </c>
      <c r="BU1324" s="2">
        <v>53.15</v>
      </c>
      <c r="BV1324" t="s">
        <v>210</v>
      </c>
      <c r="BW1324" s="2">
        <v>53.05</v>
      </c>
      <c r="BX1324" t="s">
        <v>210</v>
      </c>
      <c r="BZ1324" t="s">
        <v>123</v>
      </c>
      <c r="CA1324" t="str">
        <f t="shared" si="103"/>
        <v>7/1/2020 - 6/30/2021</v>
      </c>
      <c r="CF1324">
        <v>2</v>
      </c>
      <c r="CG1324" t="s">
        <v>98</v>
      </c>
      <c r="CH1324" t="s">
        <v>98</v>
      </c>
      <c r="CI1324" t="s">
        <v>206</v>
      </c>
      <c r="CJ1324" t="s">
        <v>98</v>
      </c>
      <c r="CK1324" t="s">
        <v>12323</v>
      </c>
      <c r="CL1324" t="s">
        <v>108</v>
      </c>
      <c r="CM1324" t="s">
        <v>109</v>
      </c>
      <c r="CN1324" t="str">
        <f>""</f>
        <v/>
      </c>
      <c r="CO1324" t="str">
        <f>""</f>
        <v/>
      </c>
      <c r="CP1324" t="str">
        <f>""</f>
        <v/>
      </c>
      <c r="CQ1324" t="str">
        <f>""</f>
        <v/>
      </c>
    </row>
    <row r="1325" spans="1:96" x14ac:dyDescent="0.2">
      <c r="A1325" t="s">
        <v>6023</v>
      </c>
      <c r="B1325" t="s">
        <v>96</v>
      </c>
      <c r="C1325" s="1">
        <v>44099</v>
      </c>
      <c r="D1325" s="1">
        <v>44106</v>
      </c>
      <c r="F1325" t="s">
        <v>97</v>
      </c>
      <c r="G1325" t="str">
        <f>"Test Consultant 2"</f>
        <v>Test Consultant 2</v>
      </c>
      <c r="H1325" t="s">
        <v>12168</v>
      </c>
      <c r="I1325" t="s">
        <v>319</v>
      </c>
      <c r="J1325" t="s">
        <v>98</v>
      </c>
      <c r="K1325" s="1">
        <v>44099</v>
      </c>
      <c r="L1325" s="1">
        <v>45183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 t="s">
        <v>1421</v>
      </c>
      <c r="U1325" t="str">
        <f>""</f>
        <v/>
      </c>
      <c r="V1325" t="s">
        <v>1422</v>
      </c>
      <c r="W1325" t="str">
        <f>"SUITE 300"</f>
        <v>SUITE 300</v>
      </c>
      <c r="X1325" t="s">
        <v>843</v>
      </c>
      <c r="Y1325" t="s">
        <v>345</v>
      </c>
      <c r="Z1325" s="3">
        <v>60606</v>
      </c>
      <c r="AA1325" t="s">
        <v>101</v>
      </c>
      <c r="AC1325" s="4" t="str">
        <f>"+13123955000"</f>
        <v>+13123955000</v>
      </c>
      <c r="AE1325" t="str">
        <f>"5416"</f>
        <v>5416</v>
      </c>
      <c r="AF1325" t="s">
        <v>1423</v>
      </c>
      <c r="AG1325" t="s">
        <v>1424</v>
      </c>
      <c r="AI1325" t="s">
        <v>1425</v>
      </c>
      <c r="AJ1325" t="s">
        <v>1422</v>
      </c>
      <c r="AK1325" t="str">
        <f>"SUITE 300"</f>
        <v>SUITE 300</v>
      </c>
      <c r="AL1325" t="s">
        <v>843</v>
      </c>
      <c r="AM1325" t="s">
        <v>345</v>
      </c>
      <c r="AN1325" s="3">
        <v>60606</v>
      </c>
      <c r="AO1325" t="s">
        <v>101</v>
      </c>
      <c r="AQ1325" t="str">
        <f>"+13123958209"</f>
        <v>+13123958209</v>
      </c>
      <c r="AS1325" t="s">
        <v>1426</v>
      </c>
      <c r="AT1325" t="s">
        <v>102</v>
      </c>
      <c r="AU1325" t="str">
        <f>""</f>
        <v/>
      </c>
      <c r="AV1325" t="str">
        <f>""</f>
        <v/>
      </c>
      <c r="AW1325" t="str">
        <f>""</f>
        <v/>
      </c>
      <c r="AX1325" t="str">
        <f>""</f>
        <v/>
      </c>
      <c r="AY1325" t="str">
        <f>""</f>
        <v/>
      </c>
      <c r="AZ1325" t="str">
        <f>""</f>
        <v/>
      </c>
      <c r="BA1325" t="str">
        <f>""</f>
        <v/>
      </c>
      <c r="BC1325" t="str">
        <f>""</f>
        <v/>
      </c>
      <c r="BD1325" t="str">
        <f>""</f>
        <v/>
      </c>
      <c r="BE1325" t="str">
        <f>""</f>
        <v/>
      </c>
      <c r="BF1325" t="str">
        <f>""</f>
        <v/>
      </c>
      <c r="BG1325" t="str">
        <f>""</f>
        <v/>
      </c>
      <c r="BH1325" t="str">
        <f>""</f>
        <v/>
      </c>
      <c r="BI1325" t="str">
        <f>""</f>
        <v/>
      </c>
      <c r="BJ1325" t="str">
        <f>""</f>
        <v/>
      </c>
      <c r="BK1325">
        <v>1</v>
      </c>
      <c r="BL1325" t="s">
        <v>107</v>
      </c>
      <c r="BM1325" t="str">
        <f>"KEMPER CORPORATION"</f>
        <v>KEMPER CORPORATION</v>
      </c>
      <c r="BN1325" t="s">
        <v>6024</v>
      </c>
      <c r="BP1325" t="s">
        <v>1896</v>
      </c>
      <c r="BQ1325" t="s">
        <v>1243</v>
      </c>
      <c r="BR1325" t="s">
        <v>577</v>
      </c>
      <c r="BS1325" s="5">
        <v>32258</v>
      </c>
      <c r="BT1325" s="2">
        <v>60000</v>
      </c>
      <c r="BU1325" s="2">
        <v>86708</v>
      </c>
      <c r="BV1325" t="s">
        <v>105</v>
      </c>
      <c r="BW1325" s="2">
        <v>51314</v>
      </c>
      <c r="BX1325" t="s">
        <v>105</v>
      </c>
      <c r="BZ1325" t="s">
        <v>167</v>
      </c>
      <c r="CA1325" t="str">
        <f t="shared" si="103"/>
        <v>7/1/2020 - 6/30/2021</v>
      </c>
      <c r="CF1325">
        <v>3</v>
      </c>
      <c r="CG1325" t="s">
        <v>98</v>
      </c>
      <c r="CH1325" t="s">
        <v>98</v>
      </c>
      <c r="CI1325" t="s">
        <v>206</v>
      </c>
      <c r="CJ1325" t="s">
        <v>98</v>
      </c>
      <c r="CK1325" t="s">
        <v>12323</v>
      </c>
      <c r="CL1325" t="s">
        <v>108</v>
      </c>
      <c r="CM1325" t="s">
        <v>109</v>
      </c>
      <c r="CN1325" t="str">
        <f>""</f>
        <v/>
      </c>
      <c r="CO1325" t="str">
        <f>""</f>
        <v/>
      </c>
      <c r="CP1325" t="str">
        <f>""</f>
        <v/>
      </c>
      <c r="CQ1325" t="str">
        <f>""</f>
        <v/>
      </c>
    </row>
    <row r="1326" spans="1:96" x14ac:dyDescent="0.2">
      <c r="A1326" t="s">
        <v>6087</v>
      </c>
      <c r="B1326" t="s">
        <v>96</v>
      </c>
      <c r="C1326" s="1">
        <v>44099</v>
      </c>
      <c r="D1326" s="1">
        <v>44106</v>
      </c>
      <c r="F1326" t="s">
        <v>97</v>
      </c>
      <c r="G1326" t="str">
        <f>"Manager JC50"</f>
        <v>Manager JC50</v>
      </c>
      <c r="H1326" t="s">
        <v>12181</v>
      </c>
      <c r="I1326" t="s">
        <v>110</v>
      </c>
      <c r="J1326" t="s">
        <v>98</v>
      </c>
      <c r="K1326" s="1">
        <v>44109</v>
      </c>
      <c r="L1326" s="1">
        <v>45203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 t="s">
        <v>111</v>
      </c>
      <c r="U1326" t="str">
        <f>"CTSUS"</f>
        <v>CTSUS</v>
      </c>
      <c r="V1326" t="s">
        <v>112</v>
      </c>
      <c r="W1326" t="str">
        <f>""</f>
        <v/>
      </c>
      <c r="X1326" t="s">
        <v>113</v>
      </c>
      <c r="Y1326" t="s">
        <v>114</v>
      </c>
      <c r="Z1326" s="3">
        <v>77845</v>
      </c>
      <c r="AA1326" t="s">
        <v>101</v>
      </c>
      <c r="AB1326" t="s">
        <v>114</v>
      </c>
      <c r="AC1326" s="4" t="str">
        <f>"+19793296682"</f>
        <v>+19793296682</v>
      </c>
      <c r="AE1326" t="str">
        <f>"541512"</f>
        <v>541512</v>
      </c>
      <c r="AF1326" t="s">
        <v>115</v>
      </c>
      <c r="AG1326" t="s">
        <v>116</v>
      </c>
      <c r="AH1326" t="s">
        <v>108</v>
      </c>
      <c r="AI1326" t="s">
        <v>117</v>
      </c>
      <c r="AJ1326" t="s">
        <v>118</v>
      </c>
      <c r="AK1326" t="str">
        <f>""</f>
        <v/>
      </c>
      <c r="AL1326" t="s">
        <v>119</v>
      </c>
      <c r="AM1326" t="s">
        <v>114</v>
      </c>
      <c r="AN1326" s="3">
        <v>77845</v>
      </c>
      <c r="AO1326" t="s">
        <v>101</v>
      </c>
      <c r="AQ1326" t="str">
        <f>"+19793296682"</f>
        <v>+19793296682</v>
      </c>
      <c r="AS1326" t="s">
        <v>120</v>
      </c>
      <c r="AT1326" t="s">
        <v>102</v>
      </c>
      <c r="AU1326" t="str">
        <f>""</f>
        <v/>
      </c>
      <c r="AV1326" t="str">
        <f>""</f>
        <v/>
      </c>
      <c r="AW1326" t="str">
        <f>""</f>
        <v/>
      </c>
      <c r="AX1326" t="str">
        <f>""</f>
        <v/>
      </c>
      <c r="AY1326" t="str">
        <f>""</f>
        <v/>
      </c>
      <c r="AZ1326" t="str">
        <f>""</f>
        <v/>
      </c>
      <c r="BA1326" t="str">
        <f>""</f>
        <v/>
      </c>
      <c r="BC1326" t="str">
        <f>""</f>
        <v/>
      </c>
      <c r="BD1326" t="str">
        <f>""</f>
        <v/>
      </c>
      <c r="BE1326" t="str">
        <f>""</f>
        <v/>
      </c>
      <c r="BF1326" t="str">
        <f>""</f>
        <v/>
      </c>
      <c r="BG1326" t="str">
        <f>""</f>
        <v/>
      </c>
      <c r="BH1326" t="str">
        <f>""</f>
        <v/>
      </c>
      <c r="BI1326" t="str">
        <f>""</f>
        <v/>
      </c>
      <c r="BJ1326" t="str">
        <f>""</f>
        <v/>
      </c>
      <c r="BK1326">
        <v>1</v>
      </c>
      <c r="BL1326" t="s">
        <v>102</v>
      </c>
      <c r="BM1326" t="str">
        <f>""</f>
        <v/>
      </c>
      <c r="BN1326" t="s">
        <v>6088</v>
      </c>
      <c r="BP1326" t="s">
        <v>3466</v>
      </c>
      <c r="BQ1326" t="s">
        <v>547</v>
      </c>
      <c r="BR1326" t="s">
        <v>280</v>
      </c>
      <c r="BS1326" s="5">
        <v>6040</v>
      </c>
      <c r="BT1326" s="2">
        <v>93309</v>
      </c>
      <c r="BV1326" t="s">
        <v>105</v>
      </c>
      <c r="BW1326" s="2">
        <v>93309</v>
      </c>
      <c r="BX1326" t="s">
        <v>105</v>
      </c>
      <c r="BZ1326" t="s">
        <v>123</v>
      </c>
      <c r="CA1326" t="str">
        <f t="shared" si="103"/>
        <v>7/1/2020 - 6/30/2021</v>
      </c>
      <c r="CF1326">
        <v>1</v>
      </c>
      <c r="CG1326" t="s">
        <v>98</v>
      </c>
      <c r="CH1326" t="s">
        <v>98</v>
      </c>
      <c r="CI1326" t="s">
        <v>206</v>
      </c>
      <c r="CJ1326" t="s">
        <v>98</v>
      </c>
      <c r="CK1326" t="s">
        <v>12323</v>
      </c>
      <c r="CL1326" t="s">
        <v>108</v>
      </c>
      <c r="CM1326" t="s">
        <v>109</v>
      </c>
      <c r="CN1326" t="str">
        <f>""</f>
        <v/>
      </c>
      <c r="CO1326" t="str">
        <f>""</f>
        <v/>
      </c>
      <c r="CP1326" t="str">
        <f>""</f>
        <v/>
      </c>
      <c r="CQ1326" t="str">
        <f>""</f>
        <v/>
      </c>
    </row>
    <row r="1327" spans="1:96" x14ac:dyDescent="0.2">
      <c r="A1327" t="s">
        <v>6137</v>
      </c>
      <c r="B1327" t="s">
        <v>96</v>
      </c>
      <c r="C1327" s="1">
        <v>44099</v>
      </c>
      <c r="D1327" s="1">
        <v>44106</v>
      </c>
      <c r="F1327" t="s">
        <v>97</v>
      </c>
      <c r="G1327" t="str">
        <f>"Java Developer"</f>
        <v>Java Developer</v>
      </c>
      <c r="H1327" t="s">
        <v>12169</v>
      </c>
      <c r="I1327" t="s">
        <v>124</v>
      </c>
      <c r="J1327" t="s">
        <v>98</v>
      </c>
      <c r="K1327" s="1">
        <v>44105</v>
      </c>
      <c r="L1327" s="1">
        <v>45199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3545</v>
      </c>
      <c r="U1327" t="str">
        <f>""</f>
        <v/>
      </c>
      <c r="V1327" t="s">
        <v>3546</v>
      </c>
      <c r="W1327" t="str">
        <f>"SUITE 201A"</f>
        <v>SUITE 201A</v>
      </c>
      <c r="X1327" t="s">
        <v>3547</v>
      </c>
      <c r="Y1327" t="s">
        <v>1035</v>
      </c>
      <c r="Z1327" s="3">
        <v>3079</v>
      </c>
      <c r="AA1327" t="s">
        <v>101</v>
      </c>
      <c r="AC1327" s="4" t="str">
        <f>"+15159745604"</f>
        <v>+15159745604</v>
      </c>
      <c r="AE1327" t="str">
        <f>"541511"</f>
        <v>541511</v>
      </c>
      <c r="AF1327" t="s">
        <v>3548</v>
      </c>
      <c r="AG1327" t="s">
        <v>3195</v>
      </c>
      <c r="AI1327" t="s">
        <v>1789</v>
      </c>
      <c r="AJ1327" t="s">
        <v>3546</v>
      </c>
      <c r="AK1327" t="str">
        <f>"SUITE 201A"</f>
        <v>SUITE 201A</v>
      </c>
      <c r="AL1327" t="s">
        <v>3547</v>
      </c>
      <c r="AM1327" t="s">
        <v>1035</v>
      </c>
      <c r="AN1327" s="3">
        <v>3079</v>
      </c>
      <c r="AO1327" t="s">
        <v>101</v>
      </c>
      <c r="AQ1327" t="str">
        <f>"+15159745604"</f>
        <v>+15159745604</v>
      </c>
      <c r="AS1327" t="s">
        <v>3549</v>
      </c>
      <c r="AT1327" t="s">
        <v>107</v>
      </c>
      <c r="AU1327" t="str">
        <f>"NAIR"</f>
        <v>NAIR</v>
      </c>
      <c r="AV1327" t="str">
        <f>"NANDINI"</f>
        <v>NANDINI</v>
      </c>
      <c r="AW1327" t="str">
        <f>"P."</f>
        <v>P.</v>
      </c>
      <c r="AX1327" t="str">
        <f>"343 THORNALL STREET"</f>
        <v>343 THORNALL STREET</v>
      </c>
      <c r="AY1327" t="str">
        <f>"6TH FLOOR, SUITE 640"</f>
        <v>6TH FLOOR, SUITE 640</v>
      </c>
      <c r="AZ1327" t="str">
        <f>"EDISON"</f>
        <v>EDISON</v>
      </c>
      <c r="BA1327" t="str">
        <f>"NJ"</f>
        <v>NJ</v>
      </c>
      <c r="BB1327" s="3">
        <v>8837</v>
      </c>
      <c r="BC1327" t="str">
        <f>"UNITED STATES OF AMERICA"</f>
        <v>UNITED STATES OF AMERICA</v>
      </c>
      <c r="BD1327" t="str">
        <f>""</f>
        <v/>
      </c>
      <c r="BE1327" t="str">
        <f>"+17324944800"</f>
        <v>+17324944800</v>
      </c>
      <c r="BF1327" t="str">
        <f>""</f>
        <v/>
      </c>
      <c r="BG1327" t="str">
        <f>"NNAIRNJ@GMLAW.COM"</f>
        <v>NNAIRNJ@GMLAW.COM</v>
      </c>
      <c r="BH1327" t="str">
        <f>"GREENSPOON MARDER LLP"</f>
        <v>GREENSPOON MARDER LLP</v>
      </c>
      <c r="BI1327" t="str">
        <f>"NY"</f>
        <v>NY</v>
      </c>
      <c r="BJ1327" t="str">
        <f>"NY SUPREME COURT; THIRD DEPARTMENT"</f>
        <v>NY SUPREME COURT; THIRD DEPARTMENT</v>
      </c>
      <c r="BK1327">
        <v>1</v>
      </c>
      <c r="BL1327" t="s">
        <v>107</v>
      </c>
      <c r="BM1327" t="str">
        <f>"Freddie Mac"</f>
        <v>Freddie Mac</v>
      </c>
      <c r="BN1327" t="s">
        <v>5083</v>
      </c>
      <c r="BP1327" t="s">
        <v>958</v>
      </c>
      <c r="BQ1327" t="s">
        <v>454</v>
      </c>
      <c r="BR1327" t="s">
        <v>135</v>
      </c>
      <c r="BS1327" s="5">
        <v>22102</v>
      </c>
      <c r="BT1327" s="2">
        <v>97406</v>
      </c>
      <c r="BV1327" t="s">
        <v>105</v>
      </c>
      <c r="BW1327" s="2">
        <v>97406</v>
      </c>
      <c r="BX1327" t="s">
        <v>105</v>
      </c>
      <c r="BZ1327" t="s">
        <v>167</v>
      </c>
      <c r="CA1327" t="str">
        <f t="shared" si="103"/>
        <v>7/1/2020 - 6/30/2021</v>
      </c>
      <c r="CF1327">
        <v>2</v>
      </c>
      <c r="CG1327" t="s">
        <v>98</v>
      </c>
      <c r="CH1327" t="s">
        <v>98</v>
      </c>
      <c r="CI1327" t="s">
        <v>206</v>
      </c>
      <c r="CJ1327" t="s">
        <v>98</v>
      </c>
      <c r="CK1327" t="s">
        <v>12323</v>
      </c>
      <c r="CL1327" t="s">
        <v>108</v>
      </c>
      <c r="CM1327" t="s">
        <v>109</v>
      </c>
      <c r="CN1327" t="str">
        <f>""</f>
        <v/>
      </c>
      <c r="CO1327" t="str">
        <f>""</f>
        <v/>
      </c>
      <c r="CP1327" t="str">
        <f>""</f>
        <v/>
      </c>
      <c r="CQ1327" t="str">
        <f>""</f>
        <v/>
      </c>
    </row>
    <row r="1328" spans="1:96" x14ac:dyDescent="0.2">
      <c r="A1328" t="s">
        <v>6280</v>
      </c>
      <c r="B1328" t="s">
        <v>96</v>
      </c>
      <c r="C1328" s="1">
        <v>44099</v>
      </c>
      <c r="D1328" s="1">
        <v>44106</v>
      </c>
      <c r="F1328" t="s">
        <v>97</v>
      </c>
      <c r="G1328" t="str">
        <f>"Senior Systems Analyst JC60"</f>
        <v>Senior Systems Analyst JC60</v>
      </c>
      <c r="H1328" t="s">
        <v>12181</v>
      </c>
      <c r="I1328" t="s">
        <v>110</v>
      </c>
      <c r="J1328" t="s">
        <v>98</v>
      </c>
      <c r="K1328" s="1">
        <v>44206</v>
      </c>
      <c r="L1328" s="1">
        <v>45300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 t="s">
        <v>111</v>
      </c>
      <c r="U1328" t="str">
        <f>"CTSUS"</f>
        <v>CTSUS</v>
      </c>
      <c r="V1328" t="s">
        <v>112</v>
      </c>
      <c r="W1328" t="str">
        <f>""</f>
        <v/>
      </c>
      <c r="X1328" t="s">
        <v>113</v>
      </c>
      <c r="Y1328" t="s">
        <v>114</v>
      </c>
      <c r="Z1328" s="3">
        <v>77845</v>
      </c>
      <c r="AA1328" t="s">
        <v>101</v>
      </c>
      <c r="AB1328" t="s">
        <v>114</v>
      </c>
      <c r="AC1328" s="4" t="str">
        <f>"+19793296682"</f>
        <v>+19793296682</v>
      </c>
      <c r="AE1328" t="str">
        <f>"541512"</f>
        <v>541512</v>
      </c>
      <c r="AF1328" t="s">
        <v>115</v>
      </c>
      <c r="AG1328" t="s">
        <v>116</v>
      </c>
      <c r="AH1328" t="s">
        <v>108</v>
      </c>
      <c r="AI1328" t="s">
        <v>117</v>
      </c>
      <c r="AJ1328" t="s">
        <v>118</v>
      </c>
      <c r="AK1328" t="str">
        <f>""</f>
        <v/>
      </c>
      <c r="AL1328" t="s">
        <v>119</v>
      </c>
      <c r="AM1328" t="s">
        <v>114</v>
      </c>
      <c r="AN1328" s="3">
        <v>77845</v>
      </c>
      <c r="AO1328" t="s">
        <v>101</v>
      </c>
      <c r="AQ1328" t="str">
        <f>"+19793296682"</f>
        <v>+19793296682</v>
      </c>
      <c r="AS1328" t="s">
        <v>120</v>
      </c>
      <c r="AT1328" t="s">
        <v>102</v>
      </c>
      <c r="AU1328" t="str">
        <f>""</f>
        <v/>
      </c>
      <c r="AV1328" t="str">
        <f>""</f>
        <v/>
      </c>
      <c r="AW1328" t="str">
        <f>""</f>
        <v/>
      </c>
      <c r="AX1328" t="str">
        <f>""</f>
        <v/>
      </c>
      <c r="AY1328" t="str">
        <f>""</f>
        <v/>
      </c>
      <c r="AZ1328" t="str">
        <f>""</f>
        <v/>
      </c>
      <c r="BA1328" t="str">
        <f>""</f>
        <v/>
      </c>
      <c r="BC1328" t="str">
        <f>""</f>
        <v/>
      </c>
      <c r="BD1328" t="str">
        <f>""</f>
        <v/>
      </c>
      <c r="BE1328" t="str">
        <f>""</f>
        <v/>
      </c>
      <c r="BF1328" t="str">
        <f>""</f>
        <v/>
      </c>
      <c r="BG1328" t="str">
        <f>""</f>
        <v/>
      </c>
      <c r="BH1328" t="str">
        <f>""</f>
        <v/>
      </c>
      <c r="BI1328" t="str">
        <f>""</f>
        <v/>
      </c>
      <c r="BJ1328" t="str">
        <f>""</f>
        <v/>
      </c>
      <c r="BK1328">
        <v>1</v>
      </c>
      <c r="BL1328" t="s">
        <v>102</v>
      </c>
      <c r="BM1328" t="str">
        <f>""</f>
        <v/>
      </c>
      <c r="BN1328" t="s">
        <v>6281</v>
      </c>
      <c r="BP1328" t="s">
        <v>6282</v>
      </c>
      <c r="BQ1328" t="s">
        <v>1624</v>
      </c>
      <c r="BR1328" t="s">
        <v>352</v>
      </c>
      <c r="BS1328" s="5">
        <v>46038</v>
      </c>
      <c r="BT1328" s="2">
        <v>70907</v>
      </c>
      <c r="BV1328" t="s">
        <v>105</v>
      </c>
      <c r="BW1328" s="2">
        <v>70907</v>
      </c>
      <c r="BX1328" t="s">
        <v>105</v>
      </c>
      <c r="BZ1328" t="s">
        <v>167</v>
      </c>
      <c r="CA1328" t="str">
        <f t="shared" si="103"/>
        <v>7/1/2020 - 6/30/2021</v>
      </c>
      <c r="CF1328">
        <v>1</v>
      </c>
      <c r="CG1328" t="s">
        <v>98</v>
      </c>
      <c r="CH1328" t="s">
        <v>98</v>
      </c>
      <c r="CI1328" t="s">
        <v>206</v>
      </c>
      <c r="CJ1328" t="s">
        <v>98</v>
      </c>
      <c r="CK1328" t="s">
        <v>12323</v>
      </c>
      <c r="CL1328" t="s">
        <v>108</v>
      </c>
      <c r="CM1328" t="s">
        <v>109</v>
      </c>
      <c r="CN1328" t="str">
        <f>""</f>
        <v/>
      </c>
      <c r="CO1328" t="str">
        <f>""</f>
        <v/>
      </c>
      <c r="CP1328" t="str">
        <f>""</f>
        <v/>
      </c>
      <c r="CQ1328" t="str">
        <f>""</f>
        <v/>
      </c>
    </row>
    <row r="1329" spans="1:96" x14ac:dyDescent="0.2">
      <c r="A1329" t="s">
        <v>6300</v>
      </c>
      <c r="B1329" t="s">
        <v>96</v>
      </c>
      <c r="C1329" s="1">
        <v>44099</v>
      </c>
      <c r="D1329" s="1">
        <v>44106</v>
      </c>
      <c r="F1329" t="s">
        <v>97</v>
      </c>
      <c r="G1329" t="str">
        <f>"Senior Systems Analyst JC60"</f>
        <v>Senior Systems Analyst JC60</v>
      </c>
      <c r="H1329" t="s">
        <v>12181</v>
      </c>
      <c r="I1329" t="s">
        <v>110</v>
      </c>
      <c r="J1329" t="s">
        <v>98</v>
      </c>
      <c r="K1329" s="1">
        <v>44227</v>
      </c>
      <c r="L1329" s="1">
        <v>45321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 t="s">
        <v>111</v>
      </c>
      <c r="U1329" t="str">
        <f>"CTSUS"</f>
        <v>CTSUS</v>
      </c>
      <c r="V1329" t="s">
        <v>112</v>
      </c>
      <c r="W1329" t="str">
        <f>""</f>
        <v/>
      </c>
      <c r="X1329" t="s">
        <v>113</v>
      </c>
      <c r="Y1329" t="s">
        <v>114</v>
      </c>
      <c r="Z1329" s="3">
        <v>77845</v>
      </c>
      <c r="AA1329" t="s">
        <v>101</v>
      </c>
      <c r="AB1329" t="s">
        <v>114</v>
      </c>
      <c r="AC1329" s="4" t="str">
        <f>"+19793296682"</f>
        <v>+19793296682</v>
      </c>
      <c r="AE1329" t="str">
        <f>"541512"</f>
        <v>541512</v>
      </c>
      <c r="AF1329" t="s">
        <v>115</v>
      </c>
      <c r="AG1329" t="s">
        <v>116</v>
      </c>
      <c r="AH1329" t="s">
        <v>108</v>
      </c>
      <c r="AI1329" t="s">
        <v>117</v>
      </c>
      <c r="AJ1329" t="s">
        <v>118</v>
      </c>
      <c r="AK1329" t="str">
        <f>""</f>
        <v/>
      </c>
      <c r="AL1329" t="s">
        <v>119</v>
      </c>
      <c r="AM1329" t="s">
        <v>114</v>
      </c>
      <c r="AN1329" s="3">
        <v>77845</v>
      </c>
      <c r="AO1329" t="s">
        <v>101</v>
      </c>
      <c r="AQ1329" t="str">
        <f>"+19793296682"</f>
        <v>+19793296682</v>
      </c>
      <c r="AS1329" t="s">
        <v>120</v>
      </c>
      <c r="AT1329" t="s">
        <v>102</v>
      </c>
      <c r="AU1329" t="str">
        <f>""</f>
        <v/>
      </c>
      <c r="AV1329" t="str">
        <f>""</f>
        <v/>
      </c>
      <c r="AW1329" t="str">
        <f>""</f>
        <v/>
      </c>
      <c r="AX1329" t="str">
        <f>""</f>
        <v/>
      </c>
      <c r="AY1329" t="str">
        <f>""</f>
        <v/>
      </c>
      <c r="AZ1329" t="str">
        <f>""</f>
        <v/>
      </c>
      <c r="BA1329" t="str">
        <f>""</f>
        <v/>
      </c>
      <c r="BC1329" t="str">
        <f>""</f>
        <v/>
      </c>
      <c r="BD1329" t="str">
        <f>""</f>
        <v/>
      </c>
      <c r="BE1329" t="str">
        <f>""</f>
        <v/>
      </c>
      <c r="BF1329" t="str">
        <f>""</f>
        <v/>
      </c>
      <c r="BG1329" t="str">
        <f>""</f>
        <v/>
      </c>
      <c r="BH1329" t="str">
        <f>""</f>
        <v/>
      </c>
      <c r="BI1329" t="str">
        <f>""</f>
        <v/>
      </c>
      <c r="BJ1329" t="str">
        <f>""</f>
        <v/>
      </c>
      <c r="BK1329">
        <v>1</v>
      </c>
      <c r="BL1329" t="s">
        <v>102</v>
      </c>
      <c r="BM1329" t="str">
        <f>""</f>
        <v/>
      </c>
      <c r="BN1329" t="s">
        <v>6301</v>
      </c>
      <c r="BP1329" t="s">
        <v>1107</v>
      </c>
      <c r="BQ1329" t="s">
        <v>1034</v>
      </c>
      <c r="BR1329" t="s">
        <v>577</v>
      </c>
      <c r="BS1329" s="5">
        <v>33626</v>
      </c>
      <c r="BT1329" s="2">
        <v>72218</v>
      </c>
      <c r="BV1329" t="s">
        <v>105</v>
      </c>
      <c r="BW1329" s="2">
        <v>72218</v>
      </c>
      <c r="BX1329" t="s">
        <v>105</v>
      </c>
      <c r="BZ1329" t="s">
        <v>167</v>
      </c>
      <c r="CA1329" t="str">
        <f t="shared" si="103"/>
        <v>7/1/2020 - 6/30/2021</v>
      </c>
      <c r="CF1329">
        <v>1</v>
      </c>
      <c r="CG1329" t="s">
        <v>98</v>
      </c>
      <c r="CH1329" t="s">
        <v>98</v>
      </c>
      <c r="CI1329" t="s">
        <v>206</v>
      </c>
      <c r="CJ1329" t="s">
        <v>98</v>
      </c>
      <c r="CK1329" t="s">
        <v>12323</v>
      </c>
      <c r="CL1329" t="s">
        <v>108</v>
      </c>
      <c r="CM1329" t="s">
        <v>109</v>
      </c>
      <c r="CN1329" t="str">
        <f>""</f>
        <v/>
      </c>
      <c r="CO1329" t="str">
        <f>""</f>
        <v/>
      </c>
      <c r="CP1329" t="str">
        <f>""</f>
        <v/>
      </c>
      <c r="CQ1329" t="str">
        <f>""</f>
        <v/>
      </c>
    </row>
    <row r="1330" spans="1:96" x14ac:dyDescent="0.2">
      <c r="A1330" t="s">
        <v>6416</v>
      </c>
      <c r="B1330" t="s">
        <v>96</v>
      </c>
      <c r="C1330" s="1">
        <v>44099</v>
      </c>
      <c r="D1330" s="1">
        <v>44106</v>
      </c>
      <c r="F1330" t="s">
        <v>97</v>
      </c>
      <c r="G1330" t="str">
        <f>"Developer "</f>
        <v xml:space="preserve">Developer </v>
      </c>
      <c r="H1330" t="s">
        <v>12239</v>
      </c>
      <c r="I1330" t="s">
        <v>378</v>
      </c>
      <c r="J1330" t="s">
        <v>98</v>
      </c>
      <c r="K1330" s="1">
        <v>44099</v>
      </c>
      <c r="L1330" s="1">
        <v>45193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 t="s">
        <v>864</v>
      </c>
      <c r="U1330" t="str">
        <f>""</f>
        <v/>
      </c>
      <c r="V1330" t="s">
        <v>865</v>
      </c>
      <c r="W1330" t="str">
        <f>"SUITE 320"</f>
        <v>SUITE 320</v>
      </c>
      <c r="X1330" t="s">
        <v>866</v>
      </c>
      <c r="Y1330" t="s">
        <v>195</v>
      </c>
      <c r="Z1330" s="3">
        <v>20850</v>
      </c>
      <c r="AA1330" t="s">
        <v>101</v>
      </c>
      <c r="AC1330" s="4" t="str">
        <f>"+13012319083"</f>
        <v>+13012319083</v>
      </c>
      <c r="AE1330" t="str">
        <f>"541511"</f>
        <v>541511</v>
      </c>
      <c r="AF1330" t="s">
        <v>867</v>
      </c>
      <c r="AG1330" t="s">
        <v>868</v>
      </c>
      <c r="AI1330" t="s">
        <v>869</v>
      </c>
      <c r="AJ1330" t="s">
        <v>865</v>
      </c>
      <c r="AK1330" t="str">
        <f>"SUITE 320"</f>
        <v>SUITE 320</v>
      </c>
      <c r="AL1330" t="s">
        <v>866</v>
      </c>
      <c r="AM1330" t="s">
        <v>195</v>
      </c>
      <c r="AN1330" s="3">
        <v>20850</v>
      </c>
      <c r="AO1330" t="s">
        <v>101</v>
      </c>
      <c r="AQ1330" t="str">
        <f>"+13012319083"</f>
        <v>+13012319083</v>
      </c>
      <c r="AS1330" t="s">
        <v>870</v>
      </c>
      <c r="AT1330" t="s">
        <v>107</v>
      </c>
      <c r="AU1330" t="str">
        <f>"CHOWDHURY"</f>
        <v>CHOWDHURY</v>
      </c>
      <c r="AV1330" t="str">
        <f>"ANINDITA"</f>
        <v>ANINDITA</v>
      </c>
      <c r="AW1330" t="str">
        <f>"A"</f>
        <v>A</v>
      </c>
      <c r="AX1330" t="str">
        <f>"6720-B Rockledge Drive"</f>
        <v>6720-B Rockledge Drive</v>
      </c>
      <c r="AY1330" t="str">
        <f>"Suite 430"</f>
        <v>Suite 430</v>
      </c>
      <c r="AZ1330" t="str">
        <f>"Bethesda"</f>
        <v>Bethesda</v>
      </c>
      <c r="BA1330" t="str">
        <f>"MD"</f>
        <v>MD</v>
      </c>
      <c r="BB1330" s="3">
        <v>20817</v>
      </c>
      <c r="BC1330" t="str">
        <f t="shared" ref="BC1330:BC1343" si="104">"UNITED STATES OF AMERICA"</f>
        <v>UNITED STATES OF AMERICA</v>
      </c>
      <c r="BD1330" t="str">
        <f>""</f>
        <v/>
      </c>
      <c r="BE1330" t="str">
        <f>"+12026184540"</f>
        <v>+12026184540</v>
      </c>
      <c r="BF1330" t="str">
        <f>""</f>
        <v/>
      </c>
      <c r="BG1330" t="str">
        <f>"ANINDITA@USILAW.COM"</f>
        <v>ANINDITA@USILAW.COM</v>
      </c>
      <c r="BH1330" t="str">
        <f>"USILAW, INC"</f>
        <v>USILAW, INC</v>
      </c>
      <c r="BI1330" t="str">
        <f>"DC"</f>
        <v>DC</v>
      </c>
      <c r="BJ1330" t="str">
        <f>"COURT OF APPEALS"</f>
        <v>COURT OF APPEALS</v>
      </c>
      <c r="BK1330">
        <v>1</v>
      </c>
      <c r="BL1330" t="s">
        <v>107</v>
      </c>
      <c r="BM1330" t="str">
        <f>"Citicorp Credit Services Inc."</f>
        <v>Citicorp Credit Services Inc.</v>
      </c>
      <c r="BN1330" t="s">
        <v>4319</v>
      </c>
      <c r="BP1330" t="s">
        <v>483</v>
      </c>
      <c r="BQ1330" t="s">
        <v>484</v>
      </c>
      <c r="BR1330" t="s">
        <v>114</v>
      </c>
      <c r="BS1330" s="5">
        <v>75039</v>
      </c>
      <c r="BT1330" s="2">
        <v>78645</v>
      </c>
      <c r="BU1330" s="2">
        <v>100200</v>
      </c>
      <c r="BV1330" t="s">
        <v>105</v>
      </c>
      <c r="BW1330" s="2">
        <v>78645</v>
      </c>
      <c r="BX1330" t="s">
        <v>105</v>
      </c>
      <c r="BZ1330" t="s">
        <v>167</v>
      </c>
      <c r="CA1330" t="str">
        <f t="shared" ref="CA1330:CA1361" si="105">"7/1/2020 - 6/30/2021"</f>
        <v>7/1/2020 - 6/30/2021</v>
      </c>
      <c r="CF1330">
        <v>1</v>
      </c>
      <c r="CG1330" t="s">
        <v>98</v>
      </c>
      <c r="CH1330" t="s">
        <v>98</v>
      </c>
      <c r="CI1330" t="s">
        <v>206</v>
      </c>
      <c r="CJ1330" t="s">
        <v>98</v>
      </c>
      <c r="CK1330" t="s">
        <v>12323</v>
      </c>
      <c r="CL1330" t="s">
        <v>108</v>
      </c>
      <c r="CM1330" t="s">
        <v>109</v>
      </c>
      <c r="CN1330" t="str">
        <f>""</f>
        <v/>
      </c>
      <c r="CO1330" t="str">
        <f>""</f>
        <v/>
      </c>
      <c r="CP1330" t="str">
        <f>""</f>
        <v/>
      </c>
      <c r="CQ1330" t="str">
        <f>""</f>
        <v/>
      </c>
    </row>
    <row r="1331" spans="1:96" x14ac:dyDescent="0.2">
      <c r="A1331" t="s">
        <v>6463</v>
      </c>
      <c r="B1331" t="s">
        <v>96</v>
      </c>
      <c r="C1331" s="1">
        <v>44099</v>
      </c>
      <c r="D1331" s="1">
        <v>44106</v>
      </c>
      <c r="F1331" t="s">
        <v>97</v>
      </c>
      <c r="G1331" t="str">
        <f>"Sr. Software Developer"</f>
        <v>Sr. Software Developer</v>
      </c>
      <c r="H1331" t="s">
        <v>12169</v>
      </c>
      <c r="I1331" t="s">
        <v>124</v>
      </c>
      <c r="J1331" t="s">
        <v>98</v>
      </c>
      <c r="K1331" s="1">
        <v>44102</v>
      </c>
      <c r="L1331" s="1">
        <v>45196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 t="s">
        <v>6464</v>
      </c>
      <c r="U1331" t="str">
        <f>"PALNAR"</f>
        <v>PALNAR</v>
      </c>
      <c r="V1331" t="s">
        <v>6465</v>
      </c>
      <c r="W1331" t="str">
        <f>"SUITE 209"</f>
        <v>SUITE 209</v>
      </c>
      <c r="X1331" t="s">
        <v>2572</v>
      </c>
      <c r="Y1331" t="s">
        <v>100</v>
      </c>
      <c r="Z1331" s="3">
        <v>8512</v>
      </c>
      <c r="AA1331" t="s">
        <v>101</v>
      </c>
      <c r="AC1331" s="4" t="str">
        <f>"+16094260564"</f>
        <v>+16094260564</v>
      </c>
      <c r="AE1331" t="str">
        <f>"541512"</f>
        <v>541512</v>
      </c>
      <c r="AF1331" t="s">
        <v>6466</v>
      </c>
      <c r="AG1331" t="s">
        <v>6467</v>
      </c>
      <c r="AI1331" t="s">
        <v>6468</v>
      </c>
      <c r="AJ1331" t="s">
        <v>6465</v>
      </c>
      <c r="AK1331" t="str">
        <f>"SUITE 209"</f>
        <v>SUITE 209</v>
      </c>
      <c r="AL1331" t="s">
        <v>2572</v>
      </c>
      <c r="AM1331" t="s">
        <v>100</v>
      </c>
      <c r="AN1331" s="3">
        <v>8512</v>
      </c>
      <c r="AO1331" t="s">
        <v>101</v>
      </c>
      <c r="AQ1331" t="str">
        <f>"+16094260564"</f>
        <v>+16094260564</v>
      </c>
      <c r="AS1331" t="s">
        <v>6469</v>
      </c>
      <c r="AT1331" t="s">
        <v>107</v>
      </c>
      <c r="AU1331" t="str">
        <f>"SEADIE"</f>
        <v>SEADIE</v>
      </c>
      <c r="AV1331" t="str">
        <f>"KESHAB"</f>
        <v>KESHAB</v>
      </c>
      <c r="AW1331" t="str">
        <f>"RAJ"</f>
        <v>RAJ</v>
      </c>
      <c r="AX1331" t="str">
        <f>"246 WEST 38TH STREET"</f>
        <v>246 WEST 38TH STREET</v>
      </c>
      <c r="AY1331" t="str">
        <f>"8TH FL."</f>
        <v>8TH FL.</v>
      </c>
      <c r="AZ1331" t="str">
        <f>"NEW YORK"</f>
        <v>NEW YORK</v>
      </c>
      <c r="BA1331" t="str">
        <f>"NY"</f>
        <v>NY</v>
      </c>
      <c r="BB1331" s="3">
        <v>10018</v>
      </c>
      <c r="BC1331" t="str">
        <f t="shared" si="104"/>
        <v>UNITED STATES OF AMERICA</v>
      </c>
      <c r="BD1331" t="str">
        <f>""</f>
        <v/>
      </c>
      <c r="BE1331" t="str">
        <f>"+12125716002"</f>
        <v>+12125716002</v>
      </c>
      <c r="BF1331" t="str">
        <f>"104"</f>
        <v>104</v>
      </c>
      <c r="BG1331" t="str">
        <f>"KESHAB@SEADIE.COM"</f>
        <v>KESHAB@SEADIE.COM</v>
      </c>
      <c r="BH1331" t="str">
        <f>"LAW OFFICE OF KESHAB RAJ SEADIE, P.C."</f>
        <v>LAW OFFICE OF KESHAB RAJ SEADIE, P.C.</v>
      </c>
      <c r="BI1331" t="str">
        <f>"NY"</f>
        <v>NY</v>
      </c>
      <c r="BJ1331" t="str">
        <f>"APPELLATE COURT"</f>
        <v>APPELLATE COURT</v>
      </c>
      <c r="BK1331">
        <v>1</v>
      </c>
      <c r="BL1331" t="s">
        <v>107</v>
      </c>
      <c r="BM1331" t="str">
        <f>"RevSpring"</f>
        <v>RevSpring</v>
      </c>
      <c r="BN1331" t="s">
        <v>6470</v>
      </c>
      <c r="BO1331" t="s">
        <v>787</v>
      </c>
      <c r="BP1331" t="s">
        <v>2047</v>
      </c>
      <c r="BQ1331" t="s">
        <v>2050</v>
      </c>
      <c r="BR1331" t="s">
        <v>265</v>
      </c>
      <c r="BS1331" s="5">
        <v>48105</v>
      </c>
      <c r="BT1331" s="2">
        <v>93018</v>
      </c>
      <c r="BV1331" t="s">
        <v>105</v>
      </c>
      <c r="BW1331" s="2">
        <v>93018</v>
      </c>
      <c r="BX1331" t="s">
        <v>105</v>
      </c>
      <c r="BZ1331" t="s">
        <v>123</v>
      </c>
      <c r="CA1331" t="str">
        <f t="shared" si="105"/>
        <v>7/1/2020 - 6/30/2021</v>
      </c>
      <c r="CF1331">
        <v>1</v>
      </c>
      <c r="CG1331" t="s">
        <v>98</v>
      </c>
      <c r="CH1331" t="s">
        <v>98</v>
      </c>
      <c r="CI1331" t="s">
        <v>206</v>
      </c>
      <c r="CJ1331" t="s">
        <v>98</v>
      </c>
      <c r="CK1331" t="s">
        <v>12323</v>
      </c>
      <c r="CL1331" t="s">
        <v>108</v>
      </c>
      <c r="CM1331" t="s">
        <v>109</v>
      </c>
      <c r="CN1331" t="str">
        <f>""</f>
        <v/>
      </c>
      <c r="CO1331" t="str">
        <f>""</f>
        <v/>
      </c>
      <c r="CP1331" t="str">
        <f>""</f>
        <v/>
      </c>
      <c r="CQ1331" t="str">
        <f>""</f>
        <v/>
      </c>
    </row>
    <row r="1332" spans="1:96" x14ac:dyDescent="0.2">
      <c r="A1332" t="s">
        <v>6539</v>
      </c>
      <c r="B1332" t="s">
        <v>96</v>
      </c>
      <c r="C1332" s="1">
        <v>44099</v>
      </c>
      <c r="D1332" s="1">
        <v>44106</v>
      </c>
      <c r="F1332" t="s">
        <v>97</v>
      </c>
      <c r="G1332" t="str">
        <f>"Test Engineer"</f>
        <v>Test Engineer</v>
      </c>
      <c r="H1332" t="s">
        <v>12168</v>
      </c>
      <c r="I1332" t="s">
        <v>319</v>
      </c>
      <c r="J1332" t="s">
        <v>98</v>
      </c>
      <c r="K1332" s="1">
        <v>44116</v>
      </c>
      <c r="L1332" s="1">
        <v>45210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1408</v>
      </c>
      <c r="U1332" t="str">
        <f>""</f>
        <v/>
      </c>
      <c r="V1332" t="s">
        <v>1409</v>
      </c>
      <c r="W1332" t="str">
        <f>"Ste. 1101"</f>
        <v>Ste. 1101</v>
      </c>
      <c r="X1332" t="s">
        <v>277</v>
      </c>
      <c r="Y1332" t="s">
        <v>190</v>
      </c>
      <c r="Z1332" s="3">
        <v>10016</v>
      </c>
      <c r="AA1332" t="s">
        <v>101</v>
      </c>
      <c r="AC1332" s="4" t="str">
        <f>"+12126866655"</f>
        <v>+12126866655</v>
      </c>
      <c r="AE1332" t="str">
        <f>"541511"</f>
        <v>541511</v>
      </c>
      <c r="AF1332" t="s">
        <v>1410</v>
      </c>
      <c r="AG1332" t="s">
        <v>1411</v>
      </c>
      <c r="AI1332" t="s">
        <v>1412</v>
      </c>
      <c r="AJ1332" t="s">
        <v>1409</v>
      </c>
      <c r="AK1332" t="str">
        <f>"Ste. 1101"</f>
        <v>Ste. 1101</v>
      </c>
      <c r="AL1332" t="s">
        <v>277</v>
      </c>
      <c r="AM1332" t="s">
        <v>190</v>
      </c>
      <c r="AN1332" s="3">
        <v>10016</v>
      </c>
      <c r="AO1332" t="s">
        <v>101</v>
      </c>
      <c r="AQ1332" t="str">
        <f>"+12126866655"</f>
        <v>+12126866655</v>
      </c>
      <c r="AS1332" t="s">
        <v>1413</v>
      </c>
      <c r="AT1332" t="s">
        <v>107</v>
      </c>
      <c r="AU1332" t="str">
        <f>"Burns"</f>
        <v>Burns</v>
      </c>
      <c r="AV1332" t="str">
        <f>"Michelle"</f>
        <v>Michelle</v>
      </c>
      <c r="AW1332" t="str">
        <f>"Campbell"</f>
        <v>Campbell</v>
      </c>
      <c r="AX1332" t="str">
        <f>"5250 Corporate Drive"</f>
        <v>5250 Corporate Drive</v>
      </c>
      <c r="AY1332" t="str">
        <f>"Ste. 300"</f>
        <v>Ste. 300</v>
      </c>
      <c r="AZ1332" t="str">
        <f>"Troy"</f>
        <v>Troy</v>
      </c>
      <c r="BA1332" t="str">
        <f>"MI"</f>
        <v>MI</v>
      </c>
      <c r="BB1332" s="3">
        <v>48098</v>
      </c>
      <c r="BC1332" t="str">
        <f t="shared" si="104"/>
        <v>UNITED STATES OF AMERICA</v>
      </c>
      <c r="BD1332" t="str">
        <f>""</f>
        <v/>
      </c>
      <c r="BE1332" t="str">
        <f>"+12486434900"</f>
        <v>+12486434900</v>
      </c>
      <c r="BF1332" t="str">
        <f>""</f>
        <v/>
      </c>
      <c r="BG1332" t="str">
        <f>"michelleb@employmentimmigration.com"</f>
        <v>michelleb@employmentimmigration.com</v>
      </c>
      <c r="BH1332" t="str">
        <f>"Fakhoury Global Immigration, USA PC"</f>
        <v>Fakhoury Global Immigration, USA PC</v>
      </c>
      <c r="BI1332" t="str">
        <f>"MI"</f>
        <v>MI</v>
      </c>
      <c r="BJ1332" t="str">
        <f>"Supreme Court"</f>
        <v>Supreme Court</v>
      </c>
      <c r="BK1332">
        <v>1</v>
      </c>
      <c r="BL1332" t="s">
        <v>107</v>
      </c>
      <c r="BM1332" t="str">
        <f>"FedEx"</f>
        <v>FedEx</v>
      </c>
      <c r="BN1332" t="s">
        <v>6540</v>
      </c>
      <c r="BP1332" t="s">
        <v>3119</v>
      </c>
      <c r="BQ1332" t="s">
        <v>2573</v>
      </c>
      <c r="BR1332" t="s">
        <v>545</v>
      </c>
      <c r="BS1332" s="5">
        <v>38017</v>
      </c>
      <c r="BT1332" s="2">
        <v>90000</v>
      </c>
      <c r="BV1332" t="s">
        <v>105</v>
      </c>
      <c r="BW1332" s="2">
        <v>55474</v>
      </c>
      <c r="BX1332" t="s">
        <v>105</v>
      </c>
      <c r="BZ1332" t="s">
        <v>167</v>
      </c>
      <c r="CA1332" t="str">
        <f t="shared" si="105"/>
        <v>7/1/2020 - 6/30/2021</v>
      </c>
      <c r="CF1332">
        <v>1</v>
      </c>
      <c r="CG1332" t="s">
        <v>98</v>
      </c>
      <c r="CH1332" t="s">
        <v>98</v>
      </c>
      <c r="CI1332" t="s">
        <v>206</v>
      </c>
      <c r="CJ1332" t="s">
        <v>98</v>
      </c>
      <c r="CK1332" t="s">
        <v>12323</v>
      </c>
      <c r="CL1332" t="s">
        <v>108</v>
      </c>
      <c r="CM1332" t="s">
        <v>109</v>
      </c>
      <c r="CN1332" t="str">
        <f>"Burns"</f>
        <v>Burns</v>
      </c>
      <c r="CO1332" t="str">
        <f>"Michelle"</f>
        <v>Michelle</v>
      </c>
      <c r="CP1332" t="str">
        <f>"C"</f>
        <v>C</v>
      </c>
      <c r="CQ1332" t="str">
        <f>"Fakhoury Global Immigration, USA PC"</f>
        <v>Fakhoury Global Immigration, USA PC</v>
      </c>
      <c r="CR1332" t="s">
        <v>1414</v>
      </c>
    </row>
    <row r="1333" spans="1:96" x14ac:dyDescent="0.2">
      <c r="A1333" t="s">
        <v>6572</v>
      </c>
      <c r="B1333" t="s">
        <v>96</v>
      </c>
      <c r="C1333" s="1">
        <v>44099</v>
      </c>
      <c r="D1333" s="1">
        <v>44106</v>
      </c>
      <c r="F1333" t="s">
        <v>97</v>
      </c>
      <c r="G1333" t="str">
        <f>"Software Engineer"</f>
        <v>Software Engineer</v>
      </c>
      <c r="H1333" t="s">
        <v>12176</v>
      </c>
      <c r="I1333" t="s">
        <v>246</v>
      </c>
      <c r="J1333" t="s">
        <v>98</v>
      </c>
      <c r="K1333" s="1">
        <v>44105</v>
      </c>
      <c r="L1333" s="1">
        <v>45199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283</v>
      </c>
      <c r="U1333" t="str">
        <f>""</f>
        <v/>
      </c>
      <c r="V1333" t="s">
        <v>284</v>
      </c>
      <c r="W1333" t="str">
        <f>""</f>
        <v/>
      </c>
      <c r="X1333" t="s">
        <v>157</v>
      </c>
      <c r="Y1333" t="s">
        <v>141</v>
      </c>
      <c r="Z1333" s="3">
        <v>92121</v>
      </c>
      <c r="AA1333" t="s">
        <v>101</v>
      </c>
      <c r="AC1333" s="4" t="str">
        <f>"+18584722865"</f>
        <v>+18584722865</v>
      </c>
      <c r="AE1333" t="str">
        <f>"334220"</f>
        <v>334220</v>
      </c>
      <c r="AF1333" t="s">
        <v>285</v>
      </c>
      <c r="AG1333" t="s">
        <v>286</v>
      </c>
      <c r="AI1333" t="s">
        <v>287</v>
      </c>
      <c r="AJ1333" t="s">
        <v>284</v>
      </c>
      <c r="AK1333" t="str">
        <f>""</f>
        <v/>
      </c>
      <c r="AL1333" t="s">
        <v>157</v>
      </c>
      <c r="AM1333" t="s">
        <v>141</v>
      </c>
      <c r="AN1333" s="3">
        <v>92121</v>
      </c>
      <c r="AO1333" t="s">
        <v>101</v>
      </c>
      <c r="AQ1333" t="str">
        <f>"+18584722865"</f>
        <v>+18584722865</v>
      </c>
      <c r="AS1333" t="s">
        <v>288</v>
      </c>
      <c r="AT1333" t="s">
        <v>107</v>
      </c>
      <c r="AU1333" t="str">
        <f>"Faure Wenger"</f>
        <v>Faure Wenger</v>
      </c>
      <c r="AV1333" t="str">
        <f>"Karine"</f>
        <v>Karine</v>
      </c>
      <c r="AW1333" t="str">
        <f>"Isabelle"</f>
        <v>Isabelle</v>
      </c>
      <c r="AX1333" t="str">
        <f>"PO Box 910129"</f>
        <v>PO Box 910129</v>
      </c>
      <c r="AY1333" t="str">
        <f>""</f>
        <v/>
      </c>
      <c r="AZ1333" t="str">
        <f>"San Diego"</f>
        <v>San Diego</v>
      </c>
      <c r="BA1333" t="str">
        <f>"CA"</f>
        <v>CA</v>
      </c>
      <c r="BB1333" s="3">
        <v>92191</v>
      </c>
      <c r="BC1333" t="str">
        <f t="shared" si="104"/>
        <v>UNITED STATES OF AMERICA</v>
      </c>
      <c r="BD1333" t="str">
        <f>""</f>
        <v/>
      </c>
      <c r="BE1333" t="str">
        <f>"+18587931600"</f>
        <v>+18587931600</v>
      </c>
      <c r="BF1333" t="str">
        <f>""</f>
        <v/>
      </c>
      <c r="BG1333" t="str">
        <f>"ekalnin@fragomen.com"</f>
        <v>ekalnin@fragomen.com</v>
      </c>
      <c r="BH1333" t="str">
        <f>"Fragomen, Del Rey, Bernsen and Loewy, LLP "</f>
        <v xml:space="preserve">Fragomen, Del Rey, Bernsen and Loewy, LLP </v>
      </c>
      <c r="BI1333" t="str">
        <f>"CA"</f>
        <v>CA</v>
      </c>
      <c r="BJ1333" t="str">
        <f>"Supreme Court"</f>
        <v>Supreme Court</v>
      </c>
      <c r="BK1333">
        <v>1</v>
      </c>
      <c r="BL1333" t="s">
        <v>102</v>
      </c>
      <c r="BM1333" t="str">
        <f>""</f>
        <v/>
      </c>
      <c r="BN1333" t="s">
        <v>6573</v>
      </c>
      <c r="BO1333" t="s">
        <v>6286</v>
      </c>
      <c r="BP1333" t="s">
        <v>157</v>
      </c>
      <c r="BQ1333" t="s">
        <v>158</v>
      </c>
      <c r="BR1333" t="s">
        <v>141</v>
      </c>
      <c r="BS1333" s="5">
        <v>92126</v>
      </c>
      <c r="BT1333" s="2">
        <v>98592</v>
      </c>
      <c r="BU1333" s="2">
        <v>114200</v>
      </c>
      <c r="BV1333" t="s">
        <v>105</v>
      </c>
      <c r="BW1333" s="2">
        <v>98592</v>
      </c>
      <c r="BX1333" t="s">
        <v>105</v>
      </c>
      <c r="BZ1333" t="s">
        <v>167</v>
      </c>
      <c r="CA1333" t="str">
        <f t="shared" si="105"/>
        <v>7/1/2020 - 6/30/2021</v>
      </c>
      <c r="CF1333">
        <v>1</v>
      </c>
      <c r="CG1333" t="s">
        <v>98</v>
      </c>
      <c r="CH1333" t="s">
        <v>98</v>
      </c>
      <c r="CI1333" t="s">
        <v>206</v>
      </c>
      <c r="CJ1333" t="s">
        <v>98</v>
      </c>
      <c r="CK1333" t="s">
        <v>12323</v>
      </c>
      <c r="CL1333" t="s">
        <v>108</v>
      </c>
      <c r="CM1333" t="s">
        <v>109</v>
      </c>
      <c r="CN1333" t="str">
        <f>""</f>
        <v/>
      </c>
      <c r="CO1333" t="str">
        <f>""</f>
        <v/>
      </c>
      <c r="CP1333" t="str">
        <f>""</f>
        <v/>
      </c>
      <c r="CQ1333" t="str">
        <f>""</f>
        <v/>
      </c>
    </row>
    <row r="1334" spans="1:96" x14ac:dyDescent="0.2">
      <c r="A1334" t="s">
        <v>6711</v>
      </c>
      <c r="B1334" t="s">
        <v>96</v>
      </c>
      <c r="C1334" s="1">
        <v>44099</v>
      </c>
      <c r="D1334" s="1">
        <v>44106</v>
      </c>
      <c r="F1334" t="s">
        <v>97</v>
      </c>
      <c r="G1334" t="str">
        <f>"DATABASE ADMINISTRATOR"</f>
        <v>DATABASE ADMINISTRATOR</v>
      </c>
      <c r="H1334" t="s">
        <v>12225</v>
      </c>
      <c r="I1334" t="s">
        <v>628</v>
      </c>
      <c r="J1334" t="s">
        <v>98</v>
      </c>
      <c r="K1334" s="1">
        <v>44109</v>
      </c>
      <c r="L1334" s="1">
        <v>45203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2667</v>
      </c>
      <c r="U1334" t="str">
        <f>"PROBYS"</f>
        <v>PROBYS</v>
      </c>
      <c r="V1334" t="s">
        <v>1168</v>
      </c>
      <c r="W1334" t="str">
        <f>""</f>
        <v/>
      </c>
      <c r="X1334" t="s">
        <v>1169</v>
      </c>
      <c r="Y1334" t="s">
        <v>215</v>
      </c>
      <c r="Z1334" s="3">
        <v>30096</v>
      </c>
      <c r="AA1334" t="s">
        <v>101</v>
      </c>
      <c r="AC1334" s="4" t="str">
        <f>"+16783101230"</f>
        <v>+16783101230</v>
      </c>
      <c r="AE1334" t="str">
        <f>"541511"</f>
        <v>541511</v>
      </c>
      <c r="AF1334" t="s">
        <v>2668</v>
      </c>
      <c r="AG1334" t="s">
        <v>2669</v>
      </c>
      <c r="AI1334" t="s">
        <v>2670</v>
      </c>
      <c r="AJ1334" t="s">
        <v>1168</v>
      </c>
      <c r="AK1334" t="str">
        <f>""</f>
        <v/>
      </c>
      <c r="AL1334" t="s">
        <v>1169</v>
      </c>
      <c r="AM1334" t="s">
        <v>215</v>
      </c>
      <c r="AN1334" s="3">
        <v>30096</v>
      </c>
      <c r="AO1334" t="s">
        <v>101</v>
      </c>
      <c r="AQ1334" t="str">
        <f>"+16783101230"</f>
        <v>+16783101230</v>
      </c>
      <c r="AS1334" t="s">
        <v>1170</v>
      </c>
      <c r="AT1334" t="s">
        <v>107</v>
      </c>
      <c r="AU1334" t="str">
        <f>"YILDIRIM"</f>
        <v>YILDIRIM</v>
      </c>
      <c r="AV1334" t="str">
        <f>"EREN"</f>
        <v>EREN</v>
      </c>
      <c r="AW1334" t="str">
        <f>""</f>
        <v/>
      </c>
      <c r="AX1334" t="str">
        <f>"2400 MEADOWBROOK PARKWAY"</f>
        <v>2400 MEADOWBROOK PARKWAY</v>
      </c>
      <c r="AY1334" t="str">
        <f>""</f>
        <v/>
      </c>
      <c r="AZ1334" t="str">
        <f>"DULUTH"</f>
        <v>DULUTH</v>
      </c>
      <c r="BA1334" t="str">
        <f>"GA"</f>
        <v>GA</v>
      </c>
      <c r="BB1334" s="3">
        <v>30096</v>
      </c>
      <c r="BC1334" t="str">
        <f t="shared" si="104"/>
        <v>UNITED STATES OF AMERICA</v>
      </c>
      <c r="BD1334" t="str">
        <f>""</f>
        <v/>
      </c>
      <c r="BE1334" t="str">
        <f>"+16783101230"</f>
        <v>+16783101230</v>
      </c>
      <c r="BF1334" t="str">
        <f>""</f>
        <v/>
      </c>
      <c r="BG1334" t="str">
        <f>"IMMIGRATION@ACSICORP.COM"</f>
        <v>IMMIGRATION@ACSICORP.COM</v>
      </c>
      <c r="BH1334" t="str">
        <f>"ACS Group"</f>
        <v>ACS Group</v>
      </c>
      <c r="BI1334" t="str">
        <f>"GA"</f>
        <v>GA</v>
      </c>
      <c r="BJ1334" t="str">
        <f>"FULTON COUNTY SUPERIOR COURT"</f>
        <v>FULTON COUNTY SUPERIOR COURT</v>
      </c>
      <c r="BK1334">
        <v>1</v>
      </c>
      <c r="BL1334" t="s">
        <v>107</v>
      </c>
      <c r="BM1334" t="str">
        <f>"DELOITTE"</f>
        <v>DELOITTE</v>
      </c>
      <c r="BN1334" t="s">
        <v>6712</v>
      </c>
      <c r="BO1334" t="s">
        <v>6713</v>
      </c>
      <c r="BP1334" t="s">
        <v>480</v>
      </c>
      <c r="BQ1334" t="s">
        <v>214</v>
      </c>
      <c r="BR1334" t="s">
        <v>215</v>
      </c>
      <c r="BS1334" s="5">
        <v>30303</v>
      </c>
      <c r="BT1334" s="2">
        <v>117000</v>
      </c>
      <c r="BV1334" t="s">
        <v>105</v>
      </c>
      <c r="BW1334" s="2">
        <v>99237</v>
      </c>
      <c r="BX1334" t="s">
        <v>105</v>
      </c>
      <c r="BZ1334" t="s">
        <v>123</v>
      </c>
      <c r="CA1334" t="str">
        <f t="shared" si="105"/>
        <v>7/1/2020 - 6/30/2021</v>
      </c>
      <c r="CF1334">
        <v>2</v>
      </c>
      <c r="CG1334" t="s">
        <v>98</v>
      </c>
      <c r="CH1334" t="s">
        <v>98</v>
      </c>
      <c r="CI1334" t="s">
        <v>206</v>
      </c>
      <c r="CJ1334" t="s">
        <v>98</v>
      </c>
      <c r="CK1334" t="s">
        <v>12323</v>
      </c>
      <c r="CL1334" t="s">
        <v>108</v>
      </c>
      <c r="CM1334" t="s">
        <v>109</v>
      </c>
      <c r="CN1334" t="str">
        <f>""</f>
        <v/>
      </c>
      <c r="CO1334" t="str">
        <f>""</f>
        <v/>
      </c>
      <c r="CP1334" t="str">
        <f>""</f>
        <v/>
      </c>
      <c r="CQ1334" t="str">
        <f>""</f>
        <v/>
      </c>
    </row>
    <row r="1335" spans="1:96" x14ac:dyDescent="0.2">
      <c r="A1335" t="s">
        <v>6715</v>
      </c>
      <c r="B1335" t="s">
        <v>96</v>
      </c>
      <c r="C1335" s="1">
        <v>44099</v>
      </c>
      <c r="D1335" s="1">
        <v>44106</v>
      </c>
      <c r="F1335" t="s">
        <v>97</v>
      </c>
      <c r="G1335" t="str">
        <f>"Information Technology Project Manager"</f>
        <v>Information Technology Project Manager</v>
      </c>
      <c r="H1335" t="s">
        <v>12168</v>
      </c>
      <c r="I1335" t="s">
        <v>367</v>
      </c>
      <c r="J1335" t="s">
        <v>98</v>
      </c>
      <c r="K1335" s="1">
        <v>44099</v>
      </c>
      <c r="L1335" s="1">
        <v>45193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 t="s">
        <v>559</v>
      </c>
      <c r="U1335" t="str">
        <f>""</f>
        <v/>
      </c>
      <c r="V1335" t="s">
        <v>560</v>
      </c>
      <c r="W1335" t="str">
        <f>"Ste. 3000"</f>
        <v>Ste. 3000</v>
      </c>
      <c r="X1335" t="s">
        <v>561</v>
      </c>
      <c r="Y1335" t="s">
        <v>100</v>
      </c>
      <c r="Z1335" s="3">
        <v>8817</v>
      </c>
      <c r="AA1335" t="s">
        <v>101</v>
      </c>
      <c r="AC1335" s="4" t="str">
        <f>"+17322486147"</f>
        <v>+17322486147</v>
      </c>
      <c r="AE1335" t="str">
        <f>"541511"</f>
        <v>541511</v>
      </c>
      <c r="AF1335" t="s">
        <v>562</v>
      </c>
      <c r="AG1335" t="s">
        <v>563</v>
      </c>
      <c r="AH1335" t="s">
        <v>108</v>
      </c>
      <c r="AI1335" t="s">
        <v>564</v>
      </c>
      <c r="AJ1335" t="s">
        <v>4567</v>
      </c>
      <c r="AK1335" t="str">
        <f>"Suite 3000 	"</f>
        <v xml:space="preserve">Suite 3000 	</v>
      </c>
      <c r="AL1335" t="s">
        <v>561</v>
      </c>
      <c r="AM1335" t="s">
        <v>100</v>
      </c>
      <c r="AN1335" s="3">
        <v>8817</v>
      </c>
      <c r="AO1335" t="s">
        <v>101</v>
      </c>
      <c r="AQ1335" t="str">
        <f>"+17322486189"</f>
        <v>+17322486189</v>
      </c>
      <c r="AS1335" t="s">
        <v>565</v>
      </c>
      <c r="AT1335" t="s">
        <v>107</v>
      </c>
      <c r="AU1335" t="str">
        <f>"Chowdhury		"</f>
        <v xml:space="preserve">Chowdhury		</v>
      </c>
      <c r="AV1335" t="str">
        <f>"Anindita	"</f>
        <v xml:space="preserve">Anindita	</v>
      </c>
      <c r="AW1335" t="str">
        <f>"A.	"</f>
        <v xml:space="preserve">A.	</v>
      </c>
      <c r="AX1335" t="str">
        <f>"6720-B Rockledge Drive 	 "</f>
        <v xml:space="preserve">6720-B Rockledge Drive 	 </v>
      </c>
      <c r="AY1335" t="str">
        <f>"Suite 430"</f>
        <v>Suite 430</v>
      </c>
      <c r="AZ1335" t="str">
        <f>"Bethesda"</f>
        <v>Bethesda</v>
      </c>
      <c r="BA1335" t="str">
        <f>"MD"</f>
        <v>MD</v>
      </c>
      <c r="BB1335" s="3">
        <v>20817</v>
      </c>
      <c r="BC1335" t="str">
        <f t="shared" si="104"/>
        <v>UNITED STATES OF AMERICA</v>
      </c>
      <c r="BD1335" t="str">
        <f>""</f>
        <v/>
      </c>
      <c r="BE1335" t="str">
        <f>"+12026184540"</f>
        <v>+12026184540</v>
      </c>
      <c r="BF1335" t="str">
        <f>""</f>
        <v/>
      </c>
      <c r="BG1335" t="str">
        <f>"anindita@usilaw.com"</f>
        <v>anindita@usilaw.com</v>
      </c>
      <c r="BH1335" t="str">
        <f>"Usilaw, Inc				"</f>
        <v xml:space="preserve">Usilaw, Inc				</v>
      </c>
      <c r="BI1335" t="str">
        <f>"DC"</f>
        <v>DC</v>
      </c>
      <c r="BJ1335" t="str">
        <f>"Court of Appeals"</f>
        <v>Court of Appeals</v>
      </c>
      <c r="BK1335">
        <v>1</v>
      </c>
      <c r="BL1335" t="s">
        <v>107</v>
      </c>
      <c r="BM1335" t="str">
        <f>"Chevron Corporation"</f>
        <v>Chevron Corporation</v>
      </c>
      <c r="BN1335" t="s">
        <v>5677</v>
      </c>
      <c r="BP1335" t="s">
        <v>394</v>
      </c>
      <c r="BQ1335" t="s">
        <v>395</v>
      </c>
      <c r="BR1335" t="s">
        <v>114</v>
      </c>
      <c r="BS1335" s="5">
        <v>77002</v>
      </c>
      <c r="BT1335" s="2">
        <v>84490</v>
      </c>
      <c r="BU1335" s="2">
        <v>96470</v>
      </c>
      <c r="BV1335" t="s">
        <v>105</v>
      </c>
      <c r="BW1335" s="2">
        <v>84490</v>
      </c>
      <c r="BX1335" t="s">
        <v>105</v>
      </c>
      <c r="BZ1335" t="s">
        <v>123</v>
      </c>
      <c r="CA1335" t="str">
        <f t="shared" si="105"/>
        <v>7/1/2020 - 6/30/2021</v>
      </c>
      <c r="CF1335">
        <v>2</v>
      </c>
      <c r="CG1335" t="s">
        <v>98</v>
      </c>
      <c r="CH1335" t="s">
        <v>98</v>
      </c>
      <c r="CI1335" t="s">
        <v>206</v>
      </c>
      <c r="CJ1335" t="s">
        <v>98</v>
      </c>
      <c r="CK1335" t="s">
        <v>12323</v>
      </c>
      <c r="CL1335" t="s">
        <v>108</v>
      </c>
      <c r="CM1335" t="s">
        <v>109</v>
      </c>
      <c r="CN1335" t="str">
        <f>""</f>
        <v/>
      </c>
      <c r="CO1335" t="str">
        <f>""</f>
        <v/>
      </c>
      <c r="CP1335" t="str">
        <f>""</f>
        <v/>
      </c>
      <c r="CQ1335" t="str">
        <f>""</f>
        <v/>
      </c>
    </row>
    <row r="1336" spans="1:96" x14ac:dyDescent="0.2">
      <c r="A1336" t="s">
        <v>6861</v>
      </c>
      <c r="B1336" t="s">
        <v>96</v>
      </c>
      <c r="C1336" s="1">
        <v>44099</v>
      </c>
      <c r="D1336" s="1">
        <v>44106</v>
      </c>
      <c r="F1336" t="s">
        <v>97</v>
      </c>
      <c r="G1336" t="str">
        <f>"Senior Staff Systems Engineer"</f>
        <v>Senior Staff Systems Engineer</v>
      </c>
      <c r="H1336" t="s">
        <v>12186</v>
      </c>
      <c r="I1336" t="s">
        <v>232</v>
      </c>
      <c r="J1336" t="s">
        <v>98</v>
      </c>
      <c r="K1336" s="1">
        <v>44105</v>
      </c>
      <c r="L1336" s="1">
        <v>45199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283</v>
      </c>
      <c r="U1336" t="str">
        <f>""</f>
        <v/>
      </c>
      <c r="V1336" t="s">
        <v>284</v>
      </c>
      <c r="W1336" t="str">
        <f>""</f>
        <v/>
      </c>
      <c r="X1336" t="s">
        <v>157</v>
      </c>
      <c r="Y1336" t="s">
        <v>141</v>
      </c>
      <c r="Z1336" s="3">
        <v>92121</v>
      </c>
      <c r="AA1336" t="s">
        <v>101</v>
      </c>
      <c r="AC1336" s="4" t="str">
        <f>"+18584722865"</f>
        <v>+18584722865</v>
      </c>
      <c r="AE1336" t="str">
        <f>"334220"</f>
        <v>334220</v>
      </c>
      <c r="AF1336" t="s">
        <v>285</v>
      </c>
      <c r="AG1336" t="s">
        <v>286</v>
      </c>
      <c r="AI1336" t="s">
        <v>287</v>
      </c>
      <c r="AJ1336" t="s">
        <v>284</v>
      </c>
      <c r="AK1336" t="str">
        <f>""</f>
        <v/>
      </c>
      <c r="AL1336" t="s">
        <v>157</v>
      </c>
      <c r="AM1336" t="s">
        <v>141</v>
      </c>
      <c r="AN1336" s="3">
        <v>92121</v>
      </c>
      <c r="AO1336" t="s">
        <v>101</v>
      </c>
      <c r="AQ1336" t="str">
        <f>"+18584722865"</f>
        <v>+18584722865</v>
      </c>
      <c r="AS1336" t="s">
        <v>288</v>
      </c>
      <c r="AT1336" t="s">
        <v>107</v>
      </c>
      <c r="AU1336" t="str">
        <f>"Faure Wenger"</f>
        <v>Faure Wenger</v>
      </c>
      <c r="AV1336" t="str">
        <f>"Karine"</f>
        <v>Karine</v>
      </c>
      <c r="AW1336" t="str">
        <f>"Isabelle"</f>
        <v>Isabelle</v>
      </c>
      <c r="AX1336" t="str">
        <f>"PO Box 910129"</f>
        <v>PO Box 910129</v>
      </c>
      <c r="AY1336" t="str">
        <f>""</f>
        <v/>
      </c>
      <c r="AZ1336" t="str">
        <f>"San Diego"</f>
        <v>San Diego</v>
      </c>
      <c r="BA1336" t="str">
        <f>"CA"</f>
        <v>CA</v>
      </c>
      <c r="BB1336" s="3">
        <v>92191</v>
      </c>
      <c r="BC1336" t="str">
        <f t="shared" si="104"/>
        <v>UNITED STATES OF AMERICA</v>
      </c>
      <c r="BD1336" t="str">
        <f>""</f>
        <v/>
      </c>
      <c r="BE1336" t="str">
        <f>"+18587931600"</f>
        <v>+18587931600</v>
      </c>
      <c r="BF1336" t="str">
        <f>""</f>
        <v/>
      </c>
      <c r="BG1336" t="str">
        <f>"ekalnin@fragomen.com"</f>
        <v>ekalnin@fragomen.com</v>
      </c>
      <c r="BH1336" t="str">
        <f>"Fragomen, Del Rey, Bernsen and Loewy, LLP "</f>
        <v xml:space="preserve">Fragomen, Del Rey, Bernsen and Loewy, LLP </v>
      </c>
      <c r="BI1336" t="str">
        <f>"CA"</f>
        <v>CA</v>
      </c>
      <c r="BJ1336" t="str">
        <f>"Supreme Court"</f>
        <v>Supreme Court</v>
      </c>
      <c r="BK1336">
        <v>1</v>
      </c>
      <c r="BL1336" t="s">
        <v>102</v>
      </c>
      <c r="BM1336" t="str">
        <f>""</f>
        <v/>
      </c>
      <c r="BN1336" t="s">
        <v>6862</v>
      </c>
      <c r="BO1336" t="s">
        <v>6863</v>
      </c>
      <c r="BP1336" t="s">
        <v>157</v>
      </c>
      <c r="BQ1336" t="s">
        <v>158</v>
      </c>
      <c r="BR1336" t="s">
        <v>141</v>
      </c>
      <c r="BS1336" s="5">
        <v>92129</v>
      </c>
      <c r="BT1336" s="2">
        <v>148762</v>
      </c>
      <c r="BU1336" s="2">
        <v>216600</v>
      </c>
      <c r="BV1336" t="s">
        <v>105</v>
      </c>
      <c r="BW1336" s="2">
        <v>148762</v>
      </c>
      <c r="BX1336" t="s">
        <v>105</v>
      </c>
      <c r="BZ1336" t="s">
        <v>159</v>
      </c>
      <c r="CA1336" t="str">
        <f t="shared" si="105"/>
        <v>7/1/2020 - 6/30/2021</v>
      </c>
      <c r="CF1336">
        <v>1</v>
      </c>
      <c r="CG1336" t="s">
        <v>98</v>
      </c>
      <c r="CH1336" t="s">
        <v>98</v>
      </c>
      <c r="CI1336" t="s">
        <v>206</v>
      </c>
      <c r="CJ1336" t="s">
        <v>98</v>
      </c>
      <c r="CK1336" t="s">
        <v>12323</v>
      </c>
      <c r="CL1336" t="s">
        <v>108</v>
      </c>
      <c r="CM1336" t="s">
        <v>109</v>
      </c>
      <c r="CN1336" t="str">
        <f>""</f>
        <v/>
      </c>
      <c r="CO1336" t="str">
        <f>""</f>
        <v/>
      </c>
      <c r="CP1336" t="str">
        <f>""</f>
        <v/>
      </c>
      <c r="CQ1336" t="str">
        <f>""</f>
        <v/>
      </c>
    </row>
    <row r="1337" spans="1:96" x14ac:dyDescent="0.2">
      <c r="A1337" t="s">
        <v>6920</v>
      </c>
      <c r="B1337" t="s">
        <v>96</v>
      </c>
      <c r="C1337" s="1">
        <v>44099</v>
      </c>
      <c r="D1337" s="1">
        <v>44106</v>
      </c>
      <c r="F1337" t="s">
        <v>97</v>
      </c>
      <c r="G1337" t="str">
        <f>"PowerBI Developer"</f>
        <v>PowerBI Developer</v>
      </c>
      <c r="H1337" t="s">
        <v>12176</v>
      </c>
      <c r="I1337" t="s">
        <v>246</v>
      </c>
      <c r="J1337" t="s">
        <v>98</v>
      </c>
      <c r="K1337" s="1">
        <v>44105</v>
      </c>
      <c r="L1337" s="1">
        <v>45199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 t="s">
        <v>2226</v>
      </c>
      <c r="U1337" t="str">
        <f>""</f>
        <v/>
      </c>
      <c r="V1337" t="s">
        <v>2227</v>
      </c>
      <c r="W1337" t="str">
        <f>"Suite A301"</f>
        <v>Suite A301</v>
      </c>
      <c r="X1337" t="s">
        <v>595</v>
      </c>
      <c r="Y1337" t="s">
        <v>114</v>
      </c>
      <c r="Z1337" s="3">
        <v>75234</v>
      </c>
      <c r="AA1337" t="s">
        <v>101</v>
      </c>
      <c r="AC1337" s="4" t="str">
        <f>"+19727938586"</f>
        <v>+19727938586</v>
      </c>
      <c r="AE1337" t="str">
        <f>"541511"</f>
        <v>541511</v>
      </c>
      <c r="AF1337" t="s">
        <v>2228</v>
      </c>
      <c r="AG1337" t="s">
        <v>2229</v>
      </c>
      <c r="AI1337" t="s">
        <v>508</v>
      </c>
      <c r="AJ1337" t="s">
        <v>2227</v>
      </c>
      <c r="AK1337" t="str">
        <f>"Suite A301"</f>
        <v>Suite A301</v>
      </c>
      <c r="AL1337" t="s">
        <v>595</v>
      </c>
      <c r="AM1337" t="s">
        <v>114</v>
      </c>
      <c r="AN1337" s="3">
        <v>75234</v>
      </c>
      <c r="AO1337" t="s">
        <v>101</v>
      </c>
      <c r="AQ1337" t="str">
        <f>"+19727938586"</f>
        <v>+19727938586</v>
      </c>
      <c r="AS1337" t="s">
        <v>2230</v>
      </c>
      <c r="AT1337" t="s">
        <v>107</v>
      </c>
      <c r="AU1337" t="str">
        <f>"Truett"</f>
        <v>Truett</v>
      </c>
      <c r="AV1337" t="str">
        <f>"Charla"</f>
        <v>Charla</v>
      </c>
      <c r="AW1337" t="str">
        <f>"L"</f>
        <v>L</v>
      </c>
      <c r="AX1337" t="str">
        <f>"13355 Noel Road, LB 39"</f>
        <v>13355 Noel Road, LB 39</v>
      </c>
      <c r="AY1337" t="str">
        <f>"One Galleria Tower, Suite 1940"</f>
        <v>One Galleria Tower, Suite 1940</v>
      </c>
      <c r="AZ1337" t="str">
        <f>"Dallas"</f>
        <v>Dallas</v>
      </c>
      <c r="BA1337" t="str">
        <f>"TX"</f>
        <v>TX</v>
      </c>
      <c r="BB1337" s="3">
        <v>75240</v>
      </c>
      <c r="BC1337" t="str">
        <f t="shared" si="104"/>
        <v>UNITED STATES OF AMERICA</v>
      </c>
      <c r="BD1337" t="str">
        <f>""</f>
        <v/>
      </c>
      <c r="BE1337" t="str">
        <f>"+19723869544"</f>
        <v>+19723869544</v>
      </c>
      <c r="BF1337" t="str">
        <f>""</f>
        <v/>
      </c>
      <c r="BG1337" t="str">
        <f>"charla@rickgump.com"</f>
        <v>charla@rickgump.com</v>
      </c>
      <c r="BH1337" t="str">
        <f>"Law Offices of Richard A. Gump, Jr. "</f>
        <v xml:space="preserve">Law Offices of Richard A. Gump, Jr. </v>
      </c>
      <c r="BI1337" t="str">
        <f>"TX"</f>
        <v>TX</v>
      </c>
      <c r="BJ1337" t="str">
        <f>"Supreme Court"</f>
        <v>Supreme Court</v>
      </c>
      <c r="BK1337">
        <v>1</v>
      </c>
      <c r="BL1337" t="s">
        <v>107</v>
      </c>
      <c r="BM1337" t="str">
        <f>"Massachusetts Executive Office of Education"</f>
        <v>Massachusetts Executive Office of Education</v>
      </c>
      <c r="BN1337" t="s">
        <v>6921</v>
      </c>
      <c r="BP1337" t="s">
        <v>4605</v>
      </c>
      <c r="BQ1337" t="s">
        <v>4606</v>
      </c>
      <c r="BR1337" t="s">
        <v>171</v>
      </c>
      <c r="BS1337" s="5">
        <v>2148</v>
      </c>
      <c r="BT1337" s="2">
        <v>102750</v>
      </c>
      <c r="BV1337" t="s">
        <v>105</v>
      </c>
      <c r="BW1337" s="2">
        <v>96242</v>
      </c>
      <c r="BX1337" t="s">
        <v>105</v>
      </c>
      <c r="BZ1337" t="s">
        <v>167</v>
      </c>
      <c r="CA1337" t="str">
        <f t="shared" si="105"/>
        <v>7/1/2020 - 6/30/2021</v>
      </c>
      <c r="CF1337">
        <v>1</v>
      </c>
      <c r="CG1337" t="s">
        <v>98</v>
      </c>
      <c r="CH1337" t="s">
        <v>98</v>
      </c>
      <c r="CI1337" t="s">
        <v>206</v>
      </c>
      <c r="CJ1337" t="s">
        <v>98</v>
      </c>
      <c r="CK1337" t="s">
        <v>12323</v>
      </c>
      <c r="CL1337" t="s">
        <v>108</v>
      </c>
      <c r="CM1337" t="s">
        <v>109</v>
      </c>
      <c r="CN1337" t="str">
        <f>"Truett"</f>
        <v>Truett</v>
      </c>
      <c r="CO1337" t="str">
        <f>"Charla"</f>
        <v>Charla</v>
      </c>
      <c r="CP1337" t="str">
        <f>"L"</f>
        <v>L</v>
      </c>
      <c r="CQ1337" t="str">
        <f>"Law Offices of Richard A Gump, Jr."</f>
        <v>Law Offices of Richard A Gump, Jr.</v>
      </c>
      <c r="CR1337" t="s">
        <v>2231</v>
      </c>
    </row>
    <row r="1338" spans="1:96" x14ac:dyDescent="0.2">
      <c r="A1338" t="s">
        <v>6957</v>
      </c>
      <c r="B1338" t="s">
        <v>96</v>
      </c>
      <c r="C1338" s="1">
        <v>44099</v>
      </c>
      <c r="D1338" s="1">
        <v>44106</v>
      </c>
      <c r="F1338" t="s">
        <v>97</v>
      </c>
      <c r="G1338" t="str">
        <f>"Data Architect"</f>
        <v>Data Architect</v>
      </c>
      <c r="H1338" t="s">
        <v>12168</v>
      </c>
      <c r="I1338" t="s">
        <v>354</v>
      </c>
      <c r="J1338" t="s">
        <v>98</v>
      </c>
      <c r="K1338" s="1">
        <v>44099</v>
      </c>
      <c r="L1338" s="1">
        <v>45193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 t="s">
        <v>6958</v>
      </c>
      <c r="U1338" t="str">
        <f>""</f>
        <v/>
      </c>
      <c r="V1338" t="s">
        <v>6959</v>
      </c>
      <c r="W1338" t="str">
        <f>"Ste. 295"</f>
        <v>Ste. 295</v>
      </c>
      <c r="X1338" t="s">
        <v>3829</v>
      </c>
      <c r="Y1338" t="s">
        <v>608</v>
      </c>
      <c r="Z1338" s="3">
        <v>50266</v>
      </c>
      <c r="AA1338" t="s">
        <v>101</v>
      </c>
      <c r="AC1338" s="4" t="str">
        <f>"+15154739538"</f>
        <v>+15154739538</v>
      </c>
      <c r="AE1338" t="str">
        <f>"518210"</f>
        <v>518210</v>
      </c>
      <c r="AF1338" t="s">
        <v>1065</v>
      </c>
      <c r="AG1338" t="s">
        <v>2434</v>
      </c>
      <c r="AH1338" t="s">
        <v>1435</v>
      </c>
      <c r="AI1338" t="s">
        <v>807</v>
      </c>
      <c r="AJ1338" t="s">
        <v>6959</v>
      </c>
      <c r="AK1338" t="str">
        <f>"Ste. 295"</f>
        <v>Ste. 295</v>
      </c>
      <c r="AL1338" t="s">
        <v>3829</v>
      </c>
      <c r="AM1338" t="s">
        <v>608</v>
      </c>
      <c r="AN1338" s="3">
        <v>50266</v>
      </c>
      <c r="AO1338" t="s">
        <v>101</v>
      </c>
      <c r="AQ1338" t="str">
        <f>"+15154739538"</f>
        <v>+15154739538</v>
      </c>
      <c r="AS1338" t="s">
        <v>6009</v>
      </c>
      <c r="AT1338" t="s">
        <v>107</v>
      </c>
      <c r="AU1338" t="str">
        <f>"Harding"</f>
        <v>Harding</v>
      </c>
      <c r="AV1338" t="str">
        <f>"Richard"</f>
        <v>Richard</v>
      </c>
      <c r="AW1338" t="str">
        <f>"Alan"</f>
        <v>Alan</v>
      </c>
      <c r="AX1338" t="str">
        <f>"30300 Agoura Road"</f>
        <v>30300 Agoura Road</v>
      </c>
      <c r="AY1338" t="str">
        <f>"Ste. B100"</f>
        <v>Ste. B100</v>
      </c>
      <c r="AZ1338" t="str">
        <f>"Agoura Hills"</f>
        <v>Agoura Hills</v>
      </c>
      <c r="BA1338" t="str">
        <f>"CA"</f>
        <v>CA</v>
      </c>
      <c r="BB1338" s="3">
        <v>91301</v>
      </c>
      <c r="BC1338" t="str">
        <f t="shared" si="104"/>
        <v>UNITED STATES OF AMERICA</v>
      </c>
      <c r="BD1338" t="str">
        <f>""</f>
        <v/>
      </c>
      <c r="BE1338" t="str">
        <f>"+18189146482"</f>
        <v>+18189146482</v>
      </c>
      <c r="BF1338" t="str">
        <f>""</f>
        <v/>
      </c>
      <c r="BG1338" t="str">
        <f>"Admin@gotcherlaw.com"</f>
        <v>Admin@gotcherlaw.com</v>
      </c>
      <c r="BH1338" t="str">
        <f>"Global Immigration Partners, Inc"</f>
        <v>Global Immigration Partners, Inc</v>
      </c>
      <c r="BI1338" t="str">
        <f>"CA"</f>
        <v>CA</v>
      </c>
      <c r="BJ1338" t="str">
        <f>"California Supreme Court"</f>
        <v>California Supreme Court</v>
      </c>
      <c r="BK1338">
        <v>1</v>
      </c>
      <c r="BL1338" t="s">
        <v>102</v>
      </c>
      <c r="BM1338" t="str">
        <f>""</f>
        <v/>
      </c>
      <c r="BN1338" t="s">
        <v>6960</v>
      </c>
      <c r="BP1338" t="s">
        <v>3369</v>
      </c>
      <c r="BQ1338" t="s">
        <v>529</v>
      </c>
      <c r="BR1338" t="s">
        <v>195</v>
      </c>
      <c r="BS1338" s="5">
        <v>20871</v>
      </c>
      <c r="BT1338" s="2">
        <v>98000</v>
      </c>
      <c r="BV1338" t="s">
        <v>105</v>
      </c>
      <c r="BW1338" s="2">
        <v>97594</v>
      </c>
      <c r="BX1338" t="s">
        <v>105</v>
      </c>
      <c r="BZ1338" t="s">
        <v>167</v>
      </c>
      <c r="CA1338" t="str">
        <f t="shared" si="105"/>
        <v>7/1/2020 - 6/30/2021</v>
      </c>
      <c r="CF1338">
        <v>1</v>
      </c>
      <c r="CG1338" t="s">
        <v>98</v>
      </c>
      <c r="CH1338" t="s">
        <v>98</v>
      </c>
      <c r="CI1338" t="s">
        <v>206</v>
      </c>
      <c r="CJ1338" t="s">
        <v>98</v>
      </c>
      <c r="CK1338" t="s">
        <v>12323</v>
      </c>
      <c r="CL1338" t="s">
        <v>108</v>
      </c>
      <c r="CM1338" t="s">
        <v>109</v>
      </c>
      <c r="CN1338" t="str">
        <f>"Harding"</f>
        <v>Harding</v>
      </c>
      <c r="CO1338" t="str">
        <f>"Richard"</f>
        <v>Richard</v>
      </c>
      <c r="CP1338" t="str">
        <f>"A."</f>
        <v>A.</v>
      </c>
      <c r="CQ1338" t="str">
        <f>"Global Immigration Partners, Inc"</f>
        <v>Global Immigration Partners, Inc</v>
      </c>
      <c r="CR1338" t="s">
        <v>1275</v>
      </c>
    </row>
    <row r="1339" spans="1:96" x14ac:dyDescent="0.2">
      <c r="A1339" t="s">
        <v>7041</v>
      </c>
      <c r="B1339" t="s">
        <v>96</v>
      </c>
      <c r="C1339" s="1">
        <v>44099</v>
      </c>
      <c r="D1339" s="1">
        <v>44106</v>
      </c>
      <c r="F1339" t="s">
        <v>97</v>
      </c>
      <c r="G1339" t="str">
        <f>"Software Engineer"</f>
        <v>Software Engineer</v>
      </c>
      <c r="H1339" t="s">
        <v>12169</v>
      </c>
      <c r="I1339" t="s">
        <v>124</v>
      </c>
      <c r="J1339" t="s">
        <v>98</v>
      </c>
      <c r="K1339" s="1">
        <v>44109</v>
      </c>
      <c r="L1339" s="1">
        <v>45203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 t="s">
        <v>6061</v>
      </c>
      <c r="U1339" t="str">
        <f>""</f>
        <v/>
      </c>
      <c r="V1339" t="s">
        <v>6062</v>
      </c>
      <c r="W1339" t="str">
        <f>"Ste. 304A"</f>
        <v>Ste. 304A</v>
      </c>
      <c r="X1339" t="s">
        <v>1066</v>
      </c>
      <c r="Y1339" t="s">
        <v>122</v>
      </c>
      <c r="Z1339" s="3">
        <v>27615</v>
      </c>
      <c r="AA1339" t="s">
        <v>101</v>
      </c>
      <c r="AC1339" s="4" t="str">
        <f>"+19193426329"</f>
        <v>+19193426329</v>
      </c>
      <c r="AE1339" t="str">
        <f>"541511"</f>
        <v>541511</v>
      </c>
      <c r="AF1339" t="s">
        <v>6063</v>
      </c>
      <c r="AG1339" t="s">
        <v>6064</v>
      </c>
      <c r="AH1339" t="s">
        <v>6065</v>
      </c>
      <c r="AI1339" t="s">
        <v>6066</v>
      </c>
      <c r="AJ1339" t="s">
        <v>6062</v>
      </c>
      <c r="AK1339" t="str">
        <f>"Ste. 304A"</f>
        <v>Ste. 304A</v>
      </c>
      <c r="AL1339" t="s">
        <v>1066</v>
      </c>
      <c r="AM1339" t="s">
        <v>122</v>
      </c>
      <c r="AN1339" s="3">
        <v>27615</v>
      </c>
      <c r="AO1339" t="s">
        <v>101</v>
      </c>
      <c r="AQ1339" t="str">
        <f>"+19193426329"</f>
        <v>+19193426329</v>
      </c>
      <c r="AS1339" t="s">
        <v>6067</v>
      </c>
      <c r="AT1339" t="s">
        <v>107</v>
      </c>
      <c r="AU1339" t="str">
        <f>"Harding"</f>
        <v>Harding</v>
      </c>
      <c r="AV1339" t="str">
        <f>"Richard"</f>
        <v>Richard</v>
      </c>
      <c r="AW1339" t="str">
        <f>"Alan"</f>
        <v>Alan</v>
      </c>
      <c r="AX1339" t="str">
        <f>"30300 Agoura Road"</f>
        <v>30300 Agoura Road</v>
      </c>
      <c r="AY1339" t="str">
        <f>"Ste. B100"</f>
        <v>Ste. B100</v>
      </c>
      <c r="AZ1339" t="str">
        <f>"Agoura Hills"</f>
        <v>Agoura Hills</v>
      </c>
      <c r="BA1339" t="str">
        <f>"CA"</f>
        <v>CA</v>
      </c>
      <c r="BB1339" s="3">
        <v>91301</v>
      </c>
      <c r="BC1339" t="str">
        <f t="shared" si="104"/>
        <v>UNITED STATES OF AMERICA</v>
      </c>
      <c r="BD1339" t="str">
        <f>""</f>
        <v/>
      </c>
      <c r="BE1339" t="str">
        <f>"+18189146482"</f>
        <v>+18189146482</v>
      </c>
      <c r="BF1339" t="str">
        <f>""</f>
        <v/>
      </c>
      <c r="BG1339" t="str">
        <f>"Admin@gotcherlaw.com"</f>
        <v>Admin@gotcherlaw.com</v>
      </c>
      <c r="BH1339" t="str">
        <f>"Global Immigration Partners, Inc"</f>
        <v>Global Immigration Partners, Inc</v>
      </c>
      <c r="BI1339" t="str">
        <f>"CA"</f>
        <v>CA</v>
      </c>
      <c r="BJ1339" t="str">
        <f>"California Supreme Court"</f>
        <v>California Supreme Court</v>
      </c>
      <c r="BK1339">
        <v>1</v>
      </c>
      <c r="BL1339" t="s">
        <v>102</v>
      </c>
      <c r="BM1339" t="str">
        <f>""</f>
        <v/>
      </c>
      <c r="BN1339" t="s">
        <v>7042</v>
      </c>
      <c r="BP1339" t="s">
        <v>2684</v>
      </c>
      <c r="BQ1339" t="s">
        <v>2685</v>
      </c>
      <c r="BR1339" t="s">
        <v>594</v>
      </c>
      <c r="BS1339" s="5">
        <v>29715</v>
      </c>
      <c r="BT1339" s="2">
        <v>85488</v>
      </c>
      <c r="BV1339" t="s">
        <v>105</v>
      </c>
      <c r="BW1339" s="2">
        <v>85488</v>
      </c>
      <c r="BX1339" t="s">
        <v>105</v>
      </c>
      <c r="BZ1339" t="s">
        <v>167</v>
      </c>
      <c r="CA1339" t="str">
        <f t="shared" si="105"/>
        <v>7/1/2020 - 6/30/2021</v>
      </c>
      <c r="CF1339">
        <v>1</v>
      </c>
      <c r="CG1339" t="s">
        <v>98</v>
      </c>
      <c r="CH1339" t="s">
        <v>98</v>
      </c>
      <c r="CI1339" t="s">
        <v>206</v>
      </c>
      <c r="CJ1339" t="s">
        <v>98</v>
      </c>
      <c r="CK1339" t="s">
        <v>12323</v>
      </c>
      <c r="CL1339" t="s">
        <v>108</v>
      </c>
      <c r="CM1339" t="s">
        <v>109</v>
      </c>
      <c r="CN1339" t="str">
        <f>"Harding"</f>
        <v>Harding</v>
      </c>
      <c r="CO1339" t="str">
        <f>"Richard"</f>
        <v>Richard</v>
      </c>
      <c r="CP1339" t="str">
        <f>"A."</f>
        <v>A.</v>
      </c>
      <c r="CQ1339" t="str">
        <f>"Global Immigration Partners, Inc"</f>
        <v>Global Immigration Partners, Inc</v>
      </c>
      <c r="CR1339" t="s">
        <v>1275</v>
      </c>
    </row>
    <row r="1340" spans="1:96" x14ac:dyDescent="0.2">
      <c r="A1340" t="s">
        <v>7085</v>
      </c>
      <c r="B1340" t="s">
        <v>96</v>
      </c>
      <c r="C1340" s="1">
        <v>44099</v>
      </c>
      <c r="D1340" s="1">
        <v>44106</v>
      </c>
      <c r="F1340" t="s">
        <v>97</v>
      </c>
      <c r="G1340" t="str">
        <f>"Senior Informatica Developer"</f>
        <v>Senior Informatica Developer</v>
      </c>
      <c r="H1340" t="s">
        <v>12169</v>
      </c>
      <c r="I1340" t="s">
        <v>124</v>
      </c>
      <c r="J1340" t="s">
        <v>98</v>
      </c>
      <c r="K1340" s="1">
        <v>44192</v>
      </c>
      <c r="L1340" s="1">
        <v>45286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 t="s">
        <v>7086</v>
      </c>
      <c r="U1340" t="str">
        <f>""</f>
        <v/>
      </c>
      <c r="V1340" t="s">
        <v>7087</v>
      </c>
      <c r="W1340" t="str">
        <f>"Suite 403"</f>
        <v>Suite 403</v>
      </c>
      <c r="X1340" t="s">
        <v>947</v>
      </c>
      <c r="Y1340" t="s">
        <v>100</v>
      </c>
      <c r="Z1340" s="3">
        <v>8540</v>
      </c>
      <c r="AA1340" t="s">
        <v>101</v>
      </c>
      <c r="AC1340" s="4" t="str">
        <f>"+17322186500"</f>
        <v>+17322186500</v>
      </c>
      <c r="AE1340" t="str">
        <f>"541511"</f>
        <v>541511</v>
      </c>
      <c r="AF1340" t="s">
        <v>7088</v>
      </c>
      <c r="AG1340" t="s">
        <v>7089</v>
      </c>
      <c r="AI1340" t="s">
        <v>508</v>
      </c>
      <c r="AJ1340" t="s">
        <v>7087</v>
      </c>
      <c r="AK1340" t="str">
        <f>"Suite 403"</f>
        <v>Suite 403</v>
      </c>
      <c r="AL1340" t="s">
        <v>947</v>
      </c>
      <c r="AM1340" t="s">
        <v>100</v>
      </c>
      <c r="AN1340" s="3">
        <v>8540</v>
      </c>
      <c r="AO1340" t="s">
        <v>101</v>
      </c>
      <c r="AQ1340" t="str">
        <f>"+17322186500"</f>
        <v>+17322186500</v>
      </c>
      <c r="AS1340" t="s">
        <v>7090</v>
      </c>
      <c r="AT1340" t="s">
        <v>107</v>
      </c>
      <c r="AU1340" t="str">
        <f>"Ilindra"</f>
        <v>Ilindra</v>
      </c>
      <c r="AV1340" t="str">
        <f>"Bhanu"</f>
        <v>Bhanu</v>
      </c>
      <c r="AW1340" t="str">
        <f>"B"</f>
        <v>B</v>
      </c>
      <c r="AX1340" t="str">
        <f>"P.O. Box 1114"</f>
        <v>P.O. Box 1114</v>
      </c>
      <c r="AY1340" t="str">
        <f>""</f>
        <v/>
      </c>
      <c r="AZ1340" t="str">
        <f>"Herndon"</f>
        <v>Herndon</v>
      </c>
      <c r="BA1340" t="str">
        <f>"VA"</f>
        <v>VA</v>
      </c>
      <c r="BB1340" s="3">
        <v>20170</v>
      </c>
      <c r="BC1340" t="str">
        <f t="shared" si="104"/>
        <v>UNITED STATES OF AMERICA</v>
      </c>
      <c r="BD1340" t="str">
        <f>""</f>
        <v/>
      </c>
      <c r="BE1340" t="str">
        <f>"+17034967722"</f>
        <v>+17034967722</v>
      </c>
      <c r="BF1340" t="str">
        <f>""</f>
        <v/>
      </c>
      <c r="BG1340" t="str">
        <f>"bhanu@bbilawgroup.com"</f>
        <v>bhanu@bbilawgroup.com</v>
      </c>
      <c r="BH1340" t="str">
        <f>"BBI Law Group, P.C."</f>
        <v>BBI Law Group, P.C.</v>
      </c>
      <c r="BI1340" t="str">
        <f>"NY"</f>
        <v>NY</v>
      </c>
      <c r="BJ1340" t="str">
        <f>"THIRD APPELLATE COURT"</f>
        <v>THIRD APPELLATE COURT</v>
      </c>
      <c r="BK1340">
        <v>1</v>
      </c>
      <c r="BL1340" t="s">
        <v>107</v>
      </c>
      <c r="BM1340" t="str">
        <f>"Cigna"</f>
        <v>Cigna</v>
      </c>
      <c r="BN1340" t="s">
        <v>3579</v>
      </c>
      <c r="BP1340" t="s">
        <v>297</v>
      </c>
      <c r="BQ1340" t="s">
        <v>556</v>
      </c>
      <c r="BR1340" t="s">
        <v>114</v>
      </c>
      <c r="BS1340" s="5">
        <v>75093</v>
      </c>
      <c r="BT1340" s="2">
        <v>93600</v>
      </c>
      <c r="BV1340" t="s">
        <v>105</v>
      </c>
      <c r="BW1340" s="2">
        <v>93558</v>
      </c>
      <c r="BX1340" t="s">
        <v>105</v>
      </c>
      <c r="BZ1340" t="s">
        <v>167</v>
      </c>
      <c r="CA1340" t="str">
        <f t="shared" si="105"/>
        <v>7/1/2020 - 6/30/2021</v>
      </c>
      <c r="CF1340">
        <v>1</v>
      </c>
      <c r="CG1340" t="s">
        <v>98</v>
      </c>
      <c r="CH1340" t="s">
        <v>98</v>
      </c>
      <c r="CI1340" t="s">
        <v>206</v>
      </c>
      <c r="CJ1340" t="s">
        <v>98</v>
      </c>
      <c r="CK1340" t="s">
        <v>12323</v>
      </c>
      <c r="CL1340" t="s">
        <v>108</v>
      </c>
      <c r="CM1340" t="s">
        <v>109</v>
      </c>
      <c r="CN1340" t="str">
        <f>"ILINDRA"</f>
        <v>ILINDRA</v>
      </c>
      <c r="CO1340" t="str">
        <f>"BHANU"</f>
        <v>BHANU</v>
      </c>
      <c r="CP1340" t="str">
        <f>"B"</f>
        <v>B</v>
      </c>
      <c r="CQ1340" t="str">
        <f>"BBI LAW GROUP P.C."</f>
        <v>BBI LAW GROUP P.C.</v>
      </c>
      <c r="CR1340" t="s">
        <v>7091</v>
      </c>
    </row>
    <row r="1341" spans="1:96" x14ac:dyDescent="0.2">
      <c r="A1341" t="s">
        <v>7153</v>
      </c>
      <c r="B1341" t="s">
        <v>96</v>
      </c>
      <c r="C1341" s="1">
        <v>44099</v>
      </c>
      <c r="D1341" s="1">
        <v>44106</v>
      </c>
      <c r="F1341" t="s">
        <v>97</v>
      </c>
      <c r="G1341" t="str">
        <f>"BUSINESS ANLAYST 3"</f>
        <v>BUSINESS ANLAYST 3</v>
      </c>
      <c r="H1341" t="s">
        <v>12181</v>
      </c>
      <c r="I1341" t="s">
        <v>110</v>
      </c>
      <c r="J1341" t="s">
        <v>98</v>
      </c>
      <c r="K1341" s="1">
        <v>44106</v>
      </c>
      <c r="L1341" s="1">
        <v>45200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511</v>
      </c>
      <c r="U1341" t="str">
        <f>""</f>
        <v/>
      </c>
      <c r="V1341" t="s">
        <v>518</v>
      </c>
      <c r="W1341" t="str">
        <f>"STE. 300"</f>
        <v>STE. 300</v>
      </c>
      <c r="X1341" t="s">
        <v>519</v>
      </c>
      <c r="Y1341" t="s">
        <v>171</v>
      </c>
      <c r="Z1341" s="3">
        <v>1772</v>
      </c>
      <c r="AA1341" t="s">
        <v>101</v>
      </c>
      <c r="AC1341" s="4" t="str">
        <f>"+15083897451"</f>
        <v>+15083897451</v>
      </c>
      <c r="AE1341" t="str">
        <f>"541511"</f>
        <v>541511</v>
      </c>
      <c r="AF1341" t="s">
        <v>515</v>
      </c>
      <c r="AG1341" t="s">
        <v>516</v>
      </c>
      <c r="AI1341" t="s">
        <v>517</v>
      </c>
      <c r="AJ1341" t="s">
        <v>2797</v>
      </c>
      <c r="AK1341" t="str">
        <f>"STE. 300"</f>
        <v>STE. 300</v>
      </c>
      <c r="AL1341" t="s">
        <v>519</v>
      </c>
      <c r="AM1341" t="s">
        <v>171</v>
      </c>
      <c r="AN1341" s="3">
        <v>1772</v>
      </c>
      <c r="AO1341" t="s">
        <v>101</v>
      </c>
      <c r="AQ1341" t="str">
        <f>"+15083497451"</f>
        <v>+15083497451</v>
      </c>
      <c r="AS1341" t="s">
        <v>520</v>
      </c>
      <c r="AT1341" t="s">
        <v>107</v>
      </c>
      <c r="AU1341" t="str">
        <f>"CARTER"</f>
        <v>CARTER</v>
      </c>
      <c r="AV1341" t="str">
        <f>"KIRK"</f>
        <v>KIRK</v>
      </c>
      <c r="AW1341" t="str">
        <f>"A."</f>
        <v>A.</v>
      </c>
      <c r="AX1341" t="str">
        <f>"161 WORCESTER RD."</f>
        <v>161 WORCESTER RD.</v>
      </c>
      <c r="AY1341" t="str">
        <f>"STE. 501"</f>
        <v>STE. 501</v>
      </c>
      <c r="AZ1341" t="str">
        <f>"FRAMINGHAM"</f>
        <v>FRAMINGHAM</v>
      </c>
      <c r="BA1341" t="str">
        <f>"MA"</f>
        <v>MA</v>
      </c>
      <c r="BB1341" s="3">
        <v>1701</v>
      </c>
      <c r="BC1341" t="str">
        <f t="shared" si="104"/>
        <v>UNITED STATES OF AMERICA</v>
      </c>
      <c r="BD1341" t="str">
        <f>""</f>
        <v/>
      </c>
      <c r="BE1341" t="str">
        <f>"+15085323514"</f>
        <v>+15085323514</v>
      </c>
      <c r="BF1341" t="str">
        <f>""</f>
        <v/>
      </c>
      <c r="BG1341" t="str">
        <f>"CRUSSO@FLETCHERTILTON.COM"</f>
        <v>CRUSSO@FLETCHERTILTON.COM</v>
      </c>
      <c r="BH1341" t="str">
        <f>"FLETCHER TILTON, P.C."</f>
        <v>FLETCHER TILTON, P.C.</v>
      </c>
      <c r="BI1341" t="str">
        <f>"MA"</f>
        <v>MA</v>
      </c>
      <c r="BJ1341" t="str">
        <f>"SUPREME JUDICIAL COURT"</f>
        <v>SUPREME JUDICIAL COURT</v>
      </c>
      <c r="BK1341">
        <v>1</v>
      </c>
      <c r="BL1341" t="s">
        <v>107</v>
      </c>
      <c r="BM1341" t="str">
        <f>"NEW YORK LIFE INSURANCE COMPANY"</f>
        <v>NEW YORK LIFE INSURANCE COMPANY</v>
      </c>
      <c r="BN1341" t="s">
        <v>7154</v>
      </c>
      <c r="BP1341" t="s">
        <v>1206</v>
      </c>
      <c r="BQ1341" t="s">
        <v>1214</v>
      </c>
      <c r="BR1341" t="s">
        <v>100</v>
      </c>
      <c r="BS1341" s="5">
        <v>7302</v>
      </c>
      <c r="BT1341" s="2">
        <v>120000</v>
      </c>
      <c r="BV1341" t="s">
        <v>105</v>
      </c>
      <c r="BW1341" s="2">
        <v>114067</v>
      </c>
      <c r="BX1341" t="s">
        <v>105</v>
      </c>
      <c r="BZ1341" t="s">
        <v>123</v>
      </c>
      <c r="CA1341" t="str">
        <f t="shared" si="105"/>
        <v>7/1/2020 - 6/30/2021</v>
      </c>
      <c r="CF1341">
        <v>2</v>
      </c>
      <c r="CG1341" t="s">
        <v>98</v>
      </c>
      <c r="CH1341" t="s">
        <v>98</v>
      </c>
      <c r="CI1341" t="s">
        <v>206</v>
      </c>
      <c r="CJ1341" t="s">
        <v>98</v>
      </c>
      <c r="CK1341" t="s">
        <v>12323</v>
      </c>
      <c r="CL1341" t="s">
        <v>108</v>
      </c>
      <c r="CM1341" t="s">
        <v>109</v>
      </c>
      <c r="CN1341" t="str">
        <f>""</f>
        <v/>
      </c>
      <c r="CO1341" t="str">
        <f>""</f>
        <v/>
      </c>
      <c r="CP1341" t="str">
        <f>""</f>
        <v/>
      </c>
      <c r="CQ1341" t="str">
        <f>""</f>
        <v/>
      </c>
    </row>
    <row r="1342" spans="1:96" x14ac:dyDescent="0.2">
      <c r="A1342" t="s">
        <v>7227</v>
      </c>
      <c r="B1342" t="s">
        <v>96</v>
      </c>
      <c r="C1342" s="1">
        <v>44099</v>
      </c>
      <c r="D1342" s="1">
        <v>44106</v>
      </c>
      <c r="F1342" t="s">
        <v>97</v>
      </c>
      <c r="G1342" t="str">
        <f>"SOFTWARE ENGINEER &amp; TESTER"</f>
        <v>SOFTWARE ENGINEER &amp; TESTER</v>
      </c>
      <c r="H1342" t="s">
        <v>12168</v>
      </c>
      <c r="I1342" t="s">
        <v>319</v>
      </c>
      <c r="J1342" t="s">
        <v>98</v>
      </c>
      <c r="K1342" s="1">
        <v>44106</v>
      </c>
      <c r="L1342" s="1">
        <v>45200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 t="s">
        <v>3691</v>
      </c>
      <c r="U1342" t="str">
        <f>""</f>
        <v/>
      </c>
      <c r="V1342" t="s">
        <v>3692</v>
      </c>
      <c r="W1342" t="str">
        <f>"EDISON SQUARE WEST, SUITE 3002"</f>
        <v>EDISON SQUARE WEST, SUITE 3002</v>
      </c>
      <c r="X1342" t="s">
        <v>211</v>
      </c>
      <c r="Y1342" t="s">
        <v>100</v>
      </c>
      <c r="Z1342" s="3">
        <v>8817</v>
      </c>
      <c r="AA1342" t="s">
        <v>101</v>
      </c>
      <c r="AC1342" s="4" t="str">
        <f>"+17322486119"</f>
        <v>+17322486119</v>
      </c>
      <c r="AE1342" t="str">
        <f>"541330"</f>
        <v>541330</v>
      </c>
      <c r="AF1342" t="s">
        <v>3693</v>
      </c>
      <c r="AG1342" t="s">
        <v>3694</v>
      </c>
      <c r="AI1342" t="s">
        <v>3695</v>
      </c>
      <c r="AJ1342" t="s">
        <v>3692</v>
      </c>
      <c r="AK1342" t="str">
        <f>"EDISON SQUARE WEST, SUITE 3002"</f>
        <v>EDISON SQUARE WEST, SUITE 3002</v>
      </c>
      <c r="AL1342" t="s">
        <v>211</v>
      </c>
      <c r="AM1342" t="s">
        <v>100</v>
      </c>
      <c r="AN1342" s="3">
        <v>8817</v>
      </c>
      <c r="AO1342" t="s">
        <v>101</v>
      </c>
      <c r="AQ1342" t="str">
        <f>"+17322486119"</f>
        <v>+17322486119</v>
      </c>
      <c r="AS1342" t="s">
        <v>3696</v>
      </c>
      <c r="AT1342" t="s">
        <v>107</v>
      </c>
      <c r="AU1342" t="str">
        <f>"JETHMALANI"</f>
        <v>JETHMALANI</v>
      </c>
      <c r="AV1342" t="str">
        <f>"ANIL"</f>
        <v>ANIL</v>
      </c>
      <c r="AW1342" t="str">
        <f>""</f>
        <v/>
      </c>
      <c r="AX1342" t="str">
        <f>"42 BROADWAY"</f>
        <v>42 BROADWAY</v>
      </c>
      <c r="AY1342" t="str">
        <f>"SUITE 1548"</f>
        <v>SUITE 1548</v>
      </c>
      <c r="AZ1342" t="str">
        <f>"NEW YORK"</f>
        <v>NEW YORK</v>
      </c>
      <c r="BA1342" t="str">
        <f>"NY"</f>
        <v>NY</v>
      </c>
      <c r="BB1342" s="3">
        <v>10004</v>
      </c>
      <c r="BC1342" t="str">
        <f t="shared" si="104"/>
        <v>UNITED STATES OF AMERICA</v>
      </c>
      <c r="BD1342" t="str">
        <f>""</f>
        <v/>
      </c>
      <c r="BE1342" t="str">
        <f>"+12124069257"</f>
        <v>+12124069257</v>
      </c>
      <c r="BF1342" t="str">
        <f>""</f>
        <v/>
      </c>
      <c r="BG1342" t="str">
        <f>"sharon@jnattorney.com"</f>
        <v>sharon@jnattorney.com</v>
      </c>
      <c r="BH1342" t="str">
        <f>"Jethmalani &amp; Nallaseth PLLC"</f>
        <v>Jethmalani &amp; Nallaseth PLLC</v>
      </c>
      <c r="BI1342" t="str">
        <f>"NY"</f>
        <v>NY</v>
      </c>
      <c r="BJ1342" t="str">
        <f>"SUPREME COURT"</f>
        <v>SUPREME COURT</v>
      </c>
      <c r="BK1342">
        <v>1</v>
      </c>
      <c r="BL1342" t="s">
        <v>107</v>
      </c>
      <c r="BM1342" t="str">
        <f>"CNH INDUSTRIAL AMERICA LLC"</f>
        <v>CNH INDUSTRIAL AMERICA LLC</v>
      </c>
      <c r="BN1342" t="s">
        <v>7228</v>
      </c>
      <c r="BP1342" t="s">
        <v>5131</v>
      </c>
      <c r="BQ1342" t="s">
        <v>1382</v>
      </c>
      <c r="BR1342" t="s">
        <v>345</v>
      </c>
      <c r="BS1342" s="5">
        <v>60527</v>
      </c>
      <c r="BT1342" s="2">
        <v>76000</v>
      </c>
      <c r="BU1342" s="2">
        <v>86000</v>
      </c>
      <c r="BV1342" t="s">
        <v>105</v>
      </c>
      <c r="BW1342" s="2">
        <v>75754</v>
      </c>
      <c r="BX1342" t="s">
        <v>105</v>
      </c>
      <c r="BZ1342" t="s">
        <v>167</v>
      </c>
      <c r="CA1342" t="str">
        <f t="shared" si="105"/>
        <v>7/1/2020 - 6/30/2021</v>
      </c>
      <c r="CF1342">
        <v>2</v>
      </c>
      <c r="CG1342" t="s">
        <v>98</v>
      </c>
      <c r="CH1342" t="s">
        <v>98</v>
      </c>
      <c r="CI1342" t="s">
        <v>206</v>
      </c>
      <c r="CJ1342" t="s">
        <v>98</v>
      </c>
      <c r="CK1342" t="s">
        <v>12323</v>
      </c>
      <c r="CL1342" t="s">
        <v>108</v>
      </c>
      <c r="CM1342" t="s">
        <v>109</v>
      </c>
      <c r="CN1342" t="str">
        <f>""</f>
        <v/>
      </c>
      <c r="CO1342" t="str">
        <f>""</f>
        <v/>
      </c>
      <c r="CP1342" t="str">
        <f>""</f>
        <v/>
      </c>
      <c r="CQ1342" t="str">
        <f>""</f>
        <v/>
      </c>
    </row>
    <row r="1343" spans="1:96" x14ac:dyDescent="0.2">
      <c r="A1343" t="s">
        <v>7378</v>
      </c>
      <c r="B1343" t="s">
        <v>96</v>
      </c>
      <c r="C1343" s="1">
        <v>44099</v>
      </c>
      <c r="D1343" s="1">
        <v>44106</v>
      </c>
      <c r="F1343" t="s">
        <v>97</v>
      </c>
      <c r="G1343" t="str">
        <f>"DOTNET DEVELOPER"</f>
        <v>DOTNET DEVELOPER</v>
      </c>
      <c r="H1343" t="s">
        <v>12169</v>
      </c>
      <c r="I1343" t="s">
        <v>124</v>
      </c>
      <c r="J1343" t="s">
        <v>98</v>
      </c>
      <c r="K1343" s="1">
        <v>44109</v>
      </c>
      <c r="L1343" s="1">
        <v>45203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6857</v>
      </c>
      <c r="U1343" t="str">
        <f>""</f>
        <v/>
      </c>
      <c r="V1343" t="s">
        <v>6858</v>
      </c>
      <c r="W1343" t="str">
        <f>"SUITE # 350"</f>
        <v>SUITE # 350</v>
      </c>
      <c r="X1343" t="s">
        <v>2211</v>
      </c>
      <c r="Y1343" t="s">
        <v>195</v>
      </c>
      <c r="Z1343" s="3">
        <v>21045</v>
      </c>
      <c r="AA1343" t="s">
        <v>101</v>
      </c>
      <c r="AC1343" s="4" t="str">
        <f>"+14088721008"</f>
        <v>+14088721008</v>
      </c>
      <c r="AE1343" t="str">
        <f>"541511"</f>
        <v>541511</v>
      </c>
      <c r="AF1343" t="s">
        <v>5222</v>
      </c>
      <c r="AG1343" t="s">
        <v>5052</v>
      </c>
      <c r="AH1343" t="s">
        <v>108</v>
      </c>
      <c r="AI1343" t="s">
        <v>818</v>
      </c>
      <c r="AJ1343" t="s">
        <v>6858</v>
      </c>
      <c r="AK1343" t="str">
        <f>""</f>
        <v/>
      </c>
      <c r="AL1343" t="s">
        <v>2211</v>
      </c>
      <c r="AM1343" t="s">
        <v>195</v>
      </c>
      <c r="AN1343" s="3">
        <v>21045</v>
      </c>
      <c r="AO1343" t="s">
        <v>101</v>
      </c>
      <c r="AQ1343" t="str">
        <f>"+14108721008"</f>
        <v>+14108721008</v>
      </c>
      <c r="AS1343" t="s">
        <v>6859</v>
      </c>
      <c r="AT1343" t="s">
        <v>107</v>
      </c>
      <c r="AU1343" t="str">
        <f>"ISHAR"</f>
        <v>ISHAR</v>
      </c>
      <c r="AV1343" t="str">
        <f>"IQBAL"</f>
        <v>IQBAL</v>
      </c>
      <c r="AW1343" t="str">
        <f>"S"</f>
        <v>S</v>
      </c>
      <c r="AX1343" t="str">
        <f>"3000 MARCUS AVE"</f>
        <v>3000 MARCUS AVE</v>
      </c>
      <c r="AY1343" t="str">
        <f>"STE: 1W2"</f>
        <v>STE: 1W2</v>
      </c>
      <c r="AZ1343" t="str">
        <f>"LAKE SUCCESS"</f>
        <v>LAKE SUCCESS</v>
      </c>
      <c r="BA1343" t="str">
        <f>"NY"</f>
        <v>NY</v>
      </c>
      <c r="BB1343" s="3">
        <v>11042</v>
      </c>
      <c r="BC1343" t="str">
        <f t="shared" si="104"/>
        <v>UNITED STATES OF AMERICA</v>
      </c>
      <c r="BD1343" t="str">
        <f>""</f>
        <v/>
      </c>
      <c r="BE1343" t="str">
        <f>"+12129975500"</f>
        <v>+12129975500</v>
      </c>
      <c r="BF1343" t="str">
        <f>""</f>
        <v/>
      </c>
      <c r="BG1343" t="str">
        <f>"RUMI@ISHARLAW.COM"</f>
        <v>RUMI@ISHARLAW.COM</v>
      </c>
      <c r="BH1343" t="str">
        <f>"ISHAR LAW FIRM, PC"</f>
        <v>ISHAR LAW FIRM, PC</v>
      </c>
      <c r="BI1343" t="str">
        <f>"NY"</f>
        <v>NY</v>
      </c>
      <c r="BJ1343" t="str">
        <f>"NEW YORK STATE COURT OF APPEAL"</f>
        <v>NEW YORK STATE COURT OF APPEAL</v>
      </c>
      <c r="BK1343">
        <v>1</v>
      </c>
      <c r="BL1343" t="s">
        <v>107</v>
      </c>
      <c r="BM1343" t="str">
        <f>"UPS (UNITED PARCEL SERVICE)"</f>
        <v>UPS (UNITED PARCEL SERVICE)</v>
      </c>
      <c r="BN1343" t="s">
        <v>7379</v>
      </c>
      <c r="BP1343" t="s">
        <v>7380</v>
      </c>
      <c r="BQ1343" t="s">
        <v>1273</v>
      </c>
      <c r="BR1343" t="s">
        <v>195</v>
      </c>
      <c r="BS1343" s="5">
        <v>21093</v>
      </c>
      <c r="BT1343" s="2">
        <v>94100</v>
      </c>
      <c r="BV1343" t="s">
        <v>105</v>
      </c>
      <c r="BW1343" s="2">
        <v>94037</v>
      </c>
      <c r="BX1343" t="s">
        <v>105</v>
      </c>
      <c r="BZ1343" t="s">
        <v>167</v>
      </c>
      <c r="CA1343" t="str">
        <f t="shared" si="105"/>
        <v>7/1/2020 - 6/30/2021</v>
      </c>
      <c r="CF1343">
        <v>2</v>
      </c>
      <c r="CG1343" t="s">
        <v>98</v>
      </c>
      <c r="CH1343" t="s">
        <v>98</v>
      </c>
      <c r="CI1343" t="s">
        <v>206</v>
      </c>
      <c r="CJ1343" t="s">
        <v>98</v>
      </c>
      <c r="CK1343" t="s">
        <v>12323</v>
      </c>
      <c r="CL1343" t="s">
        <v>108</v>
      </c>
      <c r="CM1343" t="s">
        <v>109</v>
      </c>
      <c r="CN1343" t="str">
        <f>"ISHAR"</f>
        <v>ISHAR</v>
      </c>
      <c r="CO1343" t="str">
        <f>"IQBAL"</f>
        <v>IQBAL</v>
      </c>
      <c r="CP1343" t="str">
        <f>"S"</f>
        <v>S</v>
      </c>
      <c r="CQ1343" t="str">
        <f>"ISHAR LAW FIRM, PC"</f>
        <v>ISHAR LAW FIRM, PC</v>
      </c>
      <c r="CR1343" t="s">
        <v>2602</v>
      </c>
    </row>
    <row r="1344" spans="1:96" x14ac:dyDescent="0.2">
      <c r="A1344" t="s">
        <v>7479</v>
      </c>
      <c r="B1344" t="s">
        <v>96</v>
      </c>
      <c r="C1344" s="1">
        <v>44099</v>
      </c>
      <c r="D1344" s="1">
        <v>44106</v>
      </c>
      <c r="F1344" t="s">
        <v>97</v>
      </c>
      <c r="G1344" t="str">
        <f>"Test Consultant 2"</f>
        <v>Test Consultant 2</v>
      </c>
      <c r="H1344" t="s">
        <v>12168</v>
      </c>
      <c r="I1344" t="s">
        <v>319</v>
      </c>
      <c r="J1344" t="s">
        <v>98</v>
      </c>
      <c r="K1344" s="1">
        <v>44107</v>
      </c>
      <c r="L1344" s="1">
        <v>45201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 t="s">
        <v>1421</v>
      </c>
      <c r="U1344" t="str">
        <f>""</f>
        <v/>
      </c>
      <c r="V1344" t="s">
        <v>1422</v>
      </c>
      <c r="W1344" t="str">
        <f>"SUITE 300"</f>
        <v>SUITE 300</v>
      </c>
      <c r="X1344" t="s">
        <v>843</v>
      </c>
      <c r="Y1344" t="s">
        <v>345</v>
      </c>
      <c r="Z1344" s="3">
        <v>60606</v>
      </c>
      <c r="AA1344" t="s">
        <v>101</v>
      </c>
      <c r="AC1344" s="4" t="str">
        <f>"+13123955000"</f>
        <v>+13123955000</v>
      </c>
      <c r="AE1344" t="str">
        <f>"5416"</f>
        <v>5416</v>
      </c>
      <c r="AF1344" t="s">
        <v>1423</v>
      </c>
      <c r="AG1344" t="s">
        <v>1424</v>
      </c>
      <c r="AI1344" t="s">
        <v>1425</v>
      </c>
      <c r="AJ1344" t="s">
        <v>1422</v>
      </c>
      <c r="AK1344" t="str">
        <f>"SUITE 300"</f>
        <v>SUITE 300</v>
      </c>
      <c r="AL1344" t="s">
        <v>843</v>
      </c>
      <c r="AM1344" t="s">
        <v>345</v>
      </c>
      <c r="AN1344" s="3">
        <v>60606</v>
      </c>
      <c r="AO1344" t="s">
        <v>101</v>
      </c>
      <c r="AQ1344" t="str">
        <f>"+13123958209"</f>
        <v>+13123958209</v>
      </c>
      <c r="AS1344" t="s">
        <v>1426</v>
      </c>
      <c r="AT1344" t="s">
        <v>102</v>
      </c>
      <c r="AU1344" t="str">
        <f>""</f>
        <v/>
      </c>
      <c r="AV1344" t="str">
        <f>""</f>
        <v/>
      </c>
      <c r="AW1344" t="str">
        <f>""</f>
        <v/>
      </c>
      <c r="AX1344" t="str">
        <f>""</f>
        <v/>
      </c>
      <c r="AY1344" t="str">
        <f>""</f>
        <v/>
      </c>
      <c r="AZ1344" t="str">
        <f>""</f>
        <v/>
      </c>
      <c r="BA1344" t="str">
        <f>""</f>
        <v/>
      </c>
      <c r="BC1344" t="str">
        <f>""</f>
        <v/>
      </c>
      <c r="BD1344" t="str">
        <f>""</f>
        <v/>
      </c>
      <c r="BE1344" t="str">
        <f>""</f>
        <v/>
      </c>
      <c r="BF1344" t="str">
        <f>""</f>
        <v/>
      </c>
      <c r="BG1344" t="str">
        <f>""</f>
        <v/>
      </c>
      <c r="BH1344" t="str">
        <f>""</f>
        <v/>
      </c>
      <c r="BI1344" t="str">
        <f>""</f>
        <v/>
      </c>
      <c r="BJ1344" t="str">
        <f>""</f>
        <v/>
      </c>
      <c r="BK1344">
        <v>1</v>
      </c>
      <c r="BL1344" t="s">
        <v>102</v>
      </c>
      <c r="BM1344" t="str">
        <f>""</f>
        <v/>
      </c>
      <c r="BN1344" t="s">
        <v>7480</v>
      </c>
      <c r="BP1344" t="s">
        <v>3778</v>
      </c>
      <c r="BQ1344" t="s">
        <v>335</v>
      </c>
      <c r="BR1344" t="s">
        <v>280</v>
      </c>
      <c r="BS1344" s="5">
        <v>6901</v>
      </c>
      <c r="BT1344" s="2">
        <v>72530</v>
      </c>
      <c r="BU1344" s="2">
        <v>77390</v>
      </c>
      <c r="BV1344" t="s">
        <v>105</v>
      </c>
      <c r="BW1344" s="2">
        <v>72530</v>
      </c>
      <c r="BX1344" t="s">
        <v>105</v>
      </c>
      <c r="BZ1344" t="s">
        <v>167</v>
      </c>
      <c r="CA1344" t="str">
        <f t="shared" si="105"/>
        <v>7/1/2020 - 6/30/2021</v>
      </c>
      <c r="CF1344">
        <v>1</v>
      </c>
      <c r="CG1344" t="s">
        <v>98</v>
      </c>
      <c r="CH1344" t="s">
        <v>98</v>
      </c>
      <c r="CI1344" t="s">
        <v>206</v>
      </c>
      <c r="CJ1344" t="s">
        <v>98</v>
      </c>
      <c r="CK1344" t="s">
        <v>12323</v>
      </c>
      <c r="CL1344" t="s">
        <v>108</v>
      </c>
      <c r="CM1344" t="s">
        <v>109</v>
      </c>
      <c r="CN1344" t="str">
        <f>""</f>
        <v/>
      </c>
      <c r="CO1344" t="str">
        <f>""</f>
        <v/>
      </c>
      <c r="CP1344" t="str">
        <f>""</f>
        <v/>
      </c>
      <c r="CQ1344" t="str">
        <f>""</f>
        <v/>
      </c>
    </row>
    <row r="1345" spans="1:96" x14ac:dyDescent="0.2">
      <c r="A1345" t="s">
        <v>7486</v>
      </c>
      <c r="B1345" t="s">
        <v>96</v>
      </c>
      <c r="C1345" s="1">
        <v>44099</v>
      </c>
      <c r="D1345" s="1">
        <v>44106</v>
      </c>
      <c r="F1345" t="s">
        <v>97</v>
      </c>
      <c r="G1345" t="str">
        <f>"APPLICATIONS DEVELOPMENT ANALYST"</f>
        <v>APPLICATIONS DEVELOPMENT ANALYST</v>
      </c>
      <c r="H1345" t="s">
        <v>12181</v>
      </c>
      <c r="I1345" t="s">
        <v>110</v>
      </c>
      <c r="J1345" t="s">
        <v>98</v>
      </c>
      <c r="K1345" s="1">
        <v>44255</v>
      </c>
      <c r="L1345" s="1">
        <v>45349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 t="s">
        <v>7487</v>
      </c>
      <c r="U1345" t="str">
        <f>"NOT APPLICABLE"</f>
        <v>NOT APPLICABLE</v>
      </c>
      <c r="V1345" t="s">
        <v>7488</v>
      </c>
      <c r="W1345" t="str">
        <f>""</f>
        <v/>
      </c>
      <c r="X1345" t="s">
        <v>5191</v>
      </c>
      <c r="Y1345" t="s">
        <v>577</v>
      </c>
      <c r="Z1345" s="3">
        <v>32309</v>
      </c>
      <c r="AA1345" t="s">
        <v>101</v>
      </c>
      <c r="AC1345" s="4" t="str">
        <f>"+18508941952"</f>
        <v>+18508941952</v>
      </c>
      <c r="AE1345" t="str">
        <f>"541511"</f>
        <v>541511</v>
      </c>
      <c r="AF1345" t="s">
        <v>7489</v>
      </c>
      <c r="AG1345" t="s">
        <v>4139</v>
      </c>
      <c r="AI1345" t="s">
        <v>425</v>
      </c>
      <c r="AJ1345" t="s">
        <v>7488</v>
      </c>
      <c r="AK1345" t="str">
        <f>""</f>
        <v/>
      </c>
      <c r="AL1345" t="s">
        <v>5191</v>
      </c>
      <c r="AM1345" t="s">
        <v>577</v>
      </c>
      <c r="AN1345" s="3">
        <v>32309</v>
      </c>
      <c r="AO1345" t="s">
        <v>101</v>
      </c>
      <c r="AQ1345" t="str">
        <f>"+18508941952"</f>
        <v>+18508941952</v>
      </c>
      <c r="AS1345" t="s">
        <v>7490</v>
      </c>
      <c r="AT1345" t="s">
        <v>107</v>
      </c>
      <c r="AU1345" t="str">
        <f>"GOKARE"</f>
        <v>GOKARE</v>
      </c>
      <c r="AV1345" t="str">
        <f>"MANJUNATH"</f>
        <v>MANJUNATH</v>
      </c>
      <c r="AW1345" t="str">
        <f>"A"</f>
        <v>A</v>
      </c>
      <c r="AX1345" t="str">
        <f>"11545 PARK WOODS CIRCLE"</f>
        <v>11545 PARK WOODS CIRCLE</v>
      </c>
      <c r="AY1345" t="str">
        <f>"SUITE D"</f>
        <v>SUITE D</v>
      </c>
      <c r="AZ1345" t="str">
        <f>"ALPHARETTA"</f>
        <v>ALPHARETTA</v>
      </c>
      <c r="BA1345" t="str">
        <f>"GA"</f>
        <v>GA</v>
      </c>
      <c r="BB1345" s="3">
        <v>30005</v>
      </c>
      <c r="BC1345" t="str">
        <f>"UNITED STATES OF AMERICA"</f>
        <v>UNITED STATES OF AMERICA</v>
      </c>
      <c r="BD1345" t="str">
        <f>""</f>
        <v/>
      </c>
      <c r="BE1345" t="str">
        <f>"+16788679390"</f>
        <v>+16788679390</v>
      </c>
      <c r="BF1345" t="str">
        <f>"104"</f>
        <v>104</v>
      </c>
      <c r="BG1345" t="str">
        <f>"LCA@GOKARLAW.COM"</f>
        <v>LCA@GOKARLAW.COM</v>
      </c>
      <c r="BH1345" t="str">
        <f>"MANJUNATH GOKARE PC D/B/A GOKARE LAW FIRM"</f>
        <v>MANJUNATH GOKARE PC D/B/A GOKARE LAW FIRM</v>
      </c>
      <c r="BI1345" t="str">
        <f>"GA"</f>
        <v>GA</v>
      </c>
      <c r="BJ1345" t="str">
        <f>"SUPREME COURT"</f>
        <v>SUPREME COURT</v>
      </c>
      <c r="BK1345">
        <v>1</v>
      </c>
      <c r="BL1345" t="s">
        <v>102</v>
      </c>
      <c r="BM1345" t="str">
        <f>""</f>
        <v/>
      </c>
      <c r="BN1345" t="s">
        <v>7491</v>
      </c>
      <c r="BO1345" t="s">
        <v>7492</v>
      </c>
      <c r="BP1345" t="s">
        <v>5191</v>
      </c>
      <c r="BQ1345" t="s">
        <v>1659</v>
      </c>
      <c r="BR1345" t="s">
        <v>577</v>
      </c>
      <c r="BS1345" s="5">
        <v>32309</v>
      </c>
      <c r="BT1345" s="2">
        <v>69035</v>
      </c>
      <c r="BU1345" s="2">
        <v>110000</v>
      </c>
      <c r="BV1345" t="s">
        <v>105</v>
      </c>
      <c r="BW1345" s="2">
        <v>69035</v>
      </c>
      <c r="BX1345" t="s">
        <v>105</v>
      </c>
      <c r="BZ1345" t="s">
        <v>159</v>
      </c>
      <c r="CA1345" t="str">
        <f t="shared" si="105"/>
        <v>7/1/2020 - 6/30/2021</v>
      </c>
      <c r="CF1345">
        <v>2</v>
      </c>
      <c r="CG1345" t="s">
        <v>98</v>
      </c>
      <c r="CH1345" t="s">
        <v>98</v>
      </c>
      <c r="CI1345" t="s">
        <v>206</v>
      </c>
      <c r="CJ1345" t="s">
        <v>98</v>
      </c>
      <c r="CK1345" t="s">
        <v>12323</v>
      </c>
      <c r="CL1345" t="s">
        <v>108</v>
      </c>
      <c r="CM1345" t="s">
        <v>109</v>
      </c>
      <c r="CN1345" t="str">
        <f>"NOT APPLICABLE"</f>
        <v>NOT APPLICABLE</v>
      </c>
      <c r="CO1345" t="str">
        <f>"NOT APPLICABLE"</f>
        <v>NOT APPLICABLE</v>
      </c>
      <c r="CP1345" t="str">
        <f>""</f>
        <v/>
      </c>
      <c r="CQ1345" t="str">
        <f>"NOT APPLICABLE"</f>
        <v>NOT APPLICABLE</v>
      </c>
      <c r="CR1345" t="s">
        <v>2600</v>
      </c>
    </row>
    <row r="1346" spans="1:96" x14ac:dyDescent="0.2">
      <c r="A1346" t="s">
        <v>7539</v>
      </c>
      <c r="B1346" t="s">
        <v>96</v>
      </c>
      <c r="C1346" s="1">
        <v>44099</v>
      </c>
      <c r="D1346" s="1">
        <v>44106</v>
      </c>
      <c r="F1346" t="s">
        <v>97</v>
      </c>
      <c r="G1346" t="str">
        <f>"Associate Director JC40"</f>
        <v>Associate Director JC40</v>
      </c>
      <c r="H1346" t="s">
        <v>12181</v>
      </c>
      <c r="I1346" t="s">
        <v>110</v>
      </c>
      <c r="J1346" t="s">
        <v>98</v>
      </c>
      <c r="K1346" s="1">
        <v>44244</v>
      </c>
      <c r="L1346" s="1">
        <v>45338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 t="s">
        <v>111</v>
      </c>
      <c r="U1346" t="str">
        <f>"CTSUS"</f>
        <v>CTSUS</v>
      </c>
      <c r="V1346" t="s">
        <v>112</v>
      </c>
      <c r="W1346" t="str">
        <f>""</f>
        <v/>
      </c>
      <c r="X1346" t="s">
        <v>113</v>
      </c>
      <c r="Y1346" t="s">
        <v>114</v>
      </c>
      <c r="Z1346" s="3">
        <v>77845</v>
      </c>
      <c r="AA1346" t="s">
        <v>101</v>
      </c>
      <c r="AB1346" t="s">
        <v>114</v>
      </c>
      <c r="AC1346" s="4" t="str">
        <f>"+19793296682"</f>
        <v>+19793296682</v>
      </c>
      <c r="AE1346" t="str">
        <f>"541512"</f>
        <v>541512</v>
      </c>
      <c r="AF1346" t="s">
        <v>115</v>
      </c>
      <c r="AG1346" t="s">
        <v>116</v>
      </c>
      <c r="AH1346" t="s">
        <v>108</v>
      </c>
      <c r="AI1346" t="s">
        <v>117</v>
      </c>
      <c r="AJ1346" t="s">
        <v>118</v>
      </c>
      <c r="AK1346" t="str">
        <f>""</f>
        <v/>
      </c>
      <c r="AL1346" t="s">
        <v>119</v>
      </c>
      <c r="AM1346" t="s">
        <v>114</v>
      </c>
      <c r="AN1346" s="3">
        <v>77845</v>
      </c>
      <c r="AO1346" t="s">
        <v>101</v>
      </c>
      <c r="AQ1346" t="str">
        <f>"+19793296682"</f>
        <v>+19793296682</v>
      </c>
      <c r="AS1346" t="s">
        <v>120</v>
      </c>
      <c r="AT1346" t="s">
        <v>102</v>
      </c>
      <c r="AU1346" t="str">
        <f>""</f>
        <v/>
      </c>
      <c r="AV1346" t="str">
        <f>""</f>
        <v/>
      </c>
      <c r="AW1346" t="str">
        <f>""</f>
        <v/>
      </c>
      <c r="AX1346" t="str">
        <f>""</f>
        <v/>
      </c>
      <c r="AY1346" t="str">
        <f>""</f>
        <v/>
      </c>
      <c r="AZ1346" t="str">
        <f>""</f>
        <v/>
      </c>
      <c r="BA1346" t="str">
        <f>""</f>
        <v/>
      </c>
      <c r="BC1346" t="str">
        <f>""</f>
        <v/>
      </c>
      <c r="BD1346" t="str">
        <f>""</f>
        <v/>
      </c>
      <c r="BE1346" t="str">
        <f>""</f>
        <v/>
      </c>
      <c r="BF1346" t="str">
        <f>""</f>
        <v/>
      </c>
      <c r="BG1346" t="str">
        <f>""</f>
        <v/>
      </c>
      <c r="BH1346" t="str">
        <f>""</f>
        <v/>
      </c>
      <c r="BI1346" t="str">
        <f>""</f>
        <v/>
      </c>
      <c r="BJ1346" t="str">
        <f>""</f>
        <v/>
      </c>
      <c r="BK1346">
        <v>1</v>
      </c>
      <c r="BL1346" t="s">
        <v>107</v>
      </c>
      <c r="BM1346" t="str">
        <f>"Emblem Health Services Company, LLC"</f>
        <v>Emblem Health Services Company, LLC</v>
      </c>
      <c r="BN1346" t="s">
        <v>7540</v>
      </c>
      <c r="BP1346" t="s">
        <v>277</v>
      </c>
      <c r="BQ1346" t="s">
        <v>189</v>
      </c>
      <c r="BR1346" t="s">
        <v>190</v>
      </c>
      <c r="BS1346" s="5">
        <v>10041</v>
      </c>
      <c r="BT1346" s="2">
        <v>135866</v>
      </c>
      <c r="BV1346" t="s">
        <v>105</v>
      </c>
      <c r="BW1346" s="2">
        <v>135866</v>
      </c>
      <c r="BX1346" t="s">
        <v>105</v>
      </c>
      <c r="BZ1346" t="s">
        <v>159</v>
      </c>
      <c r="CA1346" t="str">
        <f t="shared" si="105"/>
        <v>7/1/2020 - 6/30/2021</v>
      </c>
      <c r="CF1346">
        <v>1</v>
      </c>
      <c r="CG1346" t="s">
        <v>98</v>
      </c>
      <c r="CH1346" t="s">
        <v>98</v>
      </c>
      <c r="CI1346" t="s">
        <v>206</v>
      </c>
      <c r="CJ1346" t="s">
        <v>98</v>
      </c>
      <c r="CK1346" t="s">
        <v>12323</v>
      </c>
      <c r="CL1346" t="s">
        <v>108</v>
      </c>
      <c r="CM1346" t="s">
        <v>109</v>
      </c>
      <c r="CN1346" t="str">
        <f>""</f>
        <v/>
      </c>
      <c r="CO1346" t="str">
        <f>""</f>
        <v/>
      </c>
      <c r="CP1346" t="str">
        <f>""</f>
        <v/>
      </c>
      <c r="CQ1346" t="str">
        <f>""</f>
        <v/>
      </c>
    </row>
    <row r="1347" spans="1:96" x14ac:dyDescent="0.2">
      <c r="A1347" t="s">
        <v>7571</v>
      </c>
      <c r="B1347" t="s">
        <v>96</v>
      </c>
      <c r="C1347" s="1">
        <v>44099</v>
      </c>
      <c r="D1347" s="1">
        <v>44106</v>
      </c>
      <c r="F1347" t="s">
        <v>97</v>
      </c>
      <c r="G1347" t="str">
        <f>"Application Developer"</f>
        <v>Application Developer</v>
      </c>
      <c r="H1347" t="s">
        <v>12169</v>
      </c>
      <c r="I1347" t="s">
        <v>124</v>
      </c>
      <c r="J1347" t="s">
        <v>98</v>
      </c>
      <c r="K1347" s="1">
        <v>44197</v>
      </c>
      <c r="L1347" s="1">
        <v>45291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 t="s">
        <v>1934</v>
      </c>
      <c r="U1347" t="str">
        <f>"Caprus IT Inc"</f>
        <v>Caprus IT Inc</v>
      </c>
      <c r="V1347" t="s">
        <v>1935</v>
      </c>
      <c r="W1347" t="str">
        <f>"Suite # 135"</f>
        <v>Suite # 135</v>
      </c>
      <c r="X1347" t="s">
        <v>555</v>
      </c>
      <c r="Y1347" t="s">
        <v>114</v>
      </c>
      <c r="Z1347" s="3">
        <v>75034</v>
      </c>
      <c r="AA1347" t="s">
        <v>101</v>
      </c>
      <c r="AB1347" t="s">
        <v>1936</v>
      </c>
      <c r="AC1347" s="4" t="str">
        <f>"+14699208100"</f>
        <v>+14699208100</v>
      </c>
      <c r="AD1347">
        <v>102</v>
      </c>
      <c r="AE1347" t="str">
        <f>"541511"</f>
        <v>541511</v>
      </c>
      <c r="AF1347" t="s">
        <v>1937</v>
      </c>
      <c r="AG1347" t="s">
        <v>1938</v>
      </c>
      <c r="AH1347" t="s">
        <v>5627</v>
      </c>
      <c r="AI1347" t="s">
        <v>1939</v>
      </c>
      <c r="AJ1347" t="s">
        <v>1935</v>
      </c>
      <c r="AK1347" t="str">
        <f>"Suite # 135"</f>
        <v>Suite # 135</v>
      </c>
      <c r="AL1347" t="s">
        <v>555</v>
      </c>
      <c r="AM1347" t="s">
        <v>114</v>
      </c>
      <c r="AN1347" s="3">
        <v>75034</v>
      </c>
      <c r="AO1347" t="s">
        <v>101</v>
      </c>
      <c r="AQ1347" t="str">
        <f>"+14699208102"</f>
        <v>+14699208102</v>
      </c>
      <c r="AS1347" t="s">
        <v>1940</v>
      </c>
      <c r="AT1347" t="s">
        <v>102</v>
      </c>
      <c r="AU1347" t="str">
        <f>""</f>
        <v/>
      </c>
      <c r="AV1347" t="str">
        <f>""</f>
        <v/>
      </c>
      <c r="AW1347" t="str">
        <f>""</f>
        <v/>
      </c>
      <c r="AX1347" t="str">
        <f>""</f>
        <v/>
      </c>
      <c r="AY1347" t="str">
        <f>""</f>
        <v/>
      </c>
      <c r="AZ1347" t="str">
        <f>""</f>
        <v/>
      </c>
      <c r="BA1347" t="str">
        <f>""</f>
        <v/>
      </c>
      <c r="BC1347" t="str">
        <f>""</f>
        <v/>
      </c>
      <c r="BD1347" t="str">
        <f>""</f>
        <v/>
      </c>
      <c r="BE1347" t="str">
        <f>""</f>
        <v/>
      </c>
      <c r="BF1347" t="str">
        <f>""</f>
        <v/>
      </c>
      <c r="BG1347" t="str">
        <f>""</f>
        <v/>
      </c>
      <c r="BH1347" t="str">
        <f>""</f>
        <v/>
      </c>
      <c r="BI1347" t="str">
        <f>""</f>
        <v/>
      </c>
      <c r="BJ1347" t="str">
        <f>""</f>
        <v/>
      </c>
      <c r="BK1347">
        <v>1</v>
      </c>
      <c r="BL1347" t="s">
        <v>102</v>
      </c>
      <c r="BM1347" t="str">
        <f>""</f>
        <v/>
      </c>
      <c r="BN1347" t="s">
        <v>1935</v>
      </c>
      <c r="BO1347" t="s">
        <v>7572</v>
      </c>
      <c r="BP1347" t="s">
        <v>555</v>
      </c>
      <c r="BQ1347" t="s">
        <v>556</v>
      </c>
      <c r="BR1347" t="s">
        <v>114</v>
      </c>
      <c r="BS1347" s="5">
        <v>75034</v>
      </c>
      <c r="BT1347" s="2">
        <v>93558</v>
      </c>
      <c r="BV1347" t="s">
        <v>105</v>
      </c>
      <c r="BW1347" s="2">
        <v>93558</v>
      </c>
      <c r="BX1347" t="s">
        <v>105</v>
      </c>
      <c r="BZ1347" t="s">
        <v>167</v>
      </c>
      <c r="CA1347" t="str">
        <f t="shared" si="105"/>
        <v>7/1/2020 - 6/30/2021</v>
      </c>
      <c r="CF1347">
        <v>1</v>
      </c>
      <c r="CG1347" t="s">
        <v>98</v>
      </c>
      <c r="CH1347" t="s">
        <v>98</v>
      </c>
      <c r="CI1347" t="s">
        <v>206</v>
      </c>
      <c r="CJ1347" t="s">
        <v>98</v>
      </c>
      <c r="CK1347" t="s">
        <v>12323</v>
      </c>
      <c r="CL1347" t="s">
        <v>108</v>
      </c>
      <c r="CM1347" t="s">
        <v>109</v>
      </c>
      <c r="CN1347" t="str">
        <f>""</f>
        <v/>
      </c>
      <c r="CO1347" t="str">
        <f>""</f>
        <v/>
      </c>
      <c r="CP1347" t="str">
        <f>""</f>
        <v/>
      </c>
      <c r="CQ1347" t="str">
        <f>""</f>
        <v/>
      </c>
    </row>
    <row r="1348" spans="1:96" x14ac:dyDescent="0.2">
      <c r="A1348" t="s">
        <v>7581</v>
      </c>
      <c r="B1348" t="s">
        <v>96</v>
      </c>
      <c r="C1348" s="1">
        <v>44099</v>
      </c>
      <c r="D1348" s="1">
        <v>44106</v>
      </c>
      <c r="F1348" t="s">
        <v>97</v>
      </c>
      <c r="G1348" t="str">
        <f>"Senior Guidewire Developer"</f>
        <v>Senior Guidewire Developer</v>
      </c>
      <c r="H1348" t="s">
        <v>12169</v>
      </c>
      <c r="I1348" t="s">
        <v>124</v>
      </c>
      <c r="J1348" t="s">
        <v>98</v>
      </c>
      <c r="K1348" s="1">
        <v>44099</v>
      </c>
      <c r="L1348" s="1">
        <v>45193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 t="s">
        <v>5395</v>
      </c>
      <c r="U1348" t="str">
        <f>"Blackcomb Consultancy"</f>
        <v>Blackcomb Consultancy</v>
      </c>
      <c r="V1348" t="s">
        <v>5396</v>
      </c>
      <c r="W1348" t="str">
        <f>""</f>
        <v/>
      </c>
      <c r="X1348" t="s">
        <v>5397</v>
      </c>
      <c r="Y1348" t="s">
        <v>345</v>
      </c>
      <c r="Z1348" s="3">
        <v>60555</v>
      </c>
      <c r="AA1348" t="s">
        <v>101</v>
      </c>
      <c r="AC1348" s="4" t="str">
        <f>"+16302355826"</f>
        <v>+16302355826</v>
      </c>
      <c r="AE1348" t="str">
        <f>"54151"</f>
        <v>54151</v>
      </c>
      <c r="AF1348" t="s">
        <v>5398</v>
      </c>
      <c r="AG1348" t="s">
        <v>5399</v>
      </c>
      <c r="AI1348" t="s">
        <v>3683</v>
      </c>
      <c r="AJ1348" t="s">
        <v>5400</v>
      </c>
      <c r="AK1348" t="str">
        <f>""</f>
        <v/>
      </c>
      <c r="AL1348" t="s">
        <v>5401</v>
      </c>
      <c r="AM1348" t="s">
        <v>345</v>
      </c>
      <c r="AN1348" s="3">
        <v>60555</v>
      </c>
      <c r="AO1348" t="s">
        <v>101</v>
      </c>
      <c r="AQ1348" t="str">
        <f>"+16302353558"</f>
        <v>+16302353558</v>
      </c>
      <c r="AS1348" t="s">
        <v>5402</v>
      </c>
      <c r="AT1348" t="s">
        <v>107</v>
      </c>
      <c r="AU1348" t="str">
        <f>"Lamboley"</f>
        <v>Lamboley</v>
      </c>
      <c r="AV1348" t="str">
        <f>"Harold"</f>
        <v>Harold</v>
      </c>
      <c r="AW1348" t="str">
        <f>"Joseph"</f>
        <v>Joseph</v>
      </c>
      <c r="AX1348" t="str">
        <f>"One Evergreen Avenue"</f>
        <v>One Evergreen Avenue</v>
      </c>
      <c r="AY1348" t="str">
        <f>"Suite 20"</f>
        <v>Suite 20</v>
      </c>
      <c r="AZ1348" t="str">
        <f>"Hamden"</f>
        <v>Hamden</v>
      </c>
      <c r="BA1348" t="str">
        <f>"CT"</f>
        <v>CT</v>
      </c>
      <c r="BB1348" s="3">
        <v>6518</v>
      </c>
      <c r="BC1348" t="str">
        <f>"UNITED STATES OF AMERICA"</f>
        <v>UNITED STATES OF AMERICA</v>
      </c>
      <c r="BD1348" t="str">
        <f>""</f>
        <v/>
      </c>
      <c r="BE1348" t="str">
        <f>"+12032878042"</f>
        <v>+12032878042</v>
      </c>
      <c r="BF1348" t="str">
        <f>"13"</f>
        <v>13</v>
      </c>
      <c r="BG1348" t="str">
        <f>"Harold@lamboleylawfirm.com"</f>
        <v>Harold@lamboleylawfirm.com</v>
      </c>
      <c r="BH1348" t="str">
        <f>"Lamboley Law FIrm LLC"</f>
        <v>Lamboley Law FIrm LLC</v>
      </c>
      <c r="BI1348" t="str">
        <f>"CT"</f>
        <v>CT</v>
      </c>
      <c r="BJ1348" t="str">
        <f>"Superior Court"</f>
        <v>Superior Court</v>
      </c>
      <c r="BK1348">
        <v>1</v>
      </c>
      <c r="BL1348" t="s">
        <v>107</v>
      </c>
      <c r="BM1348" t="str">
        <f>"Alfa Insurance"</f>
        <v>Alfa Insurance</v>
      </c>
      <c r="BN1348" t="s">
        <v>7582</v>
      </c>
      <c r="BP1348" t="s">
        <v>5196</v>
      </c>
      <c r="BQ1348" t="s">
        <v>529</v>
      </c>
      <c r="BR1348" t="s">
        <v>708</v>
      </c>
      <c r="BS1348" s="5">
        <v>36116</v>
      </c>
      <c r="BT1348" s="2">
        <v>98000</v>
      </c>
      <c r="BV1348" t="s">
        <v>105</v>
      </c>
      <c r="BW1348" s="2">
        <v>95077</v>
      </c>
      <c r="BX1348" t="s">
        <v>105</v>
      </c>
      <c r="BZ1348" t="s">
        <v>123</v>
      </c>
      <c r="CA1348" t="str">
        <f t="shared" si="105"/>
        <v>7/1/2020 - 6/30/2021</v>
      </c>
      <c r="CF1348">
        <v>2</v>
      </c>
      <c r="CG1348" t="s">
        <v>98</v>
      </c>
      <c r="CH1348" t="s">
        <v>98</v>
      </c>
      <c r="CI1348" t="s">
        <v>206</v>
      </c>
      <c r="CJ1348" t="s">
        <v>98</v>
      </c>
      <c r="CK1348" t="s">
        <v>12323</v>
      </c>
      <c r="CL1348" t="s">
        <v>108</v>
      </c>
      <c r="CM1348" t="s">
        <v>109</v>
      </c>
      <c r="CN1348" t="str">
        <f>"N/A"</f>
        <v>N/A</v>
      </c>
      <c r="CO1348" t="str">
        <f>"N/A"</f>
        <v>N/A</v>
      </c>
      <c r="CP1348" t="str">
        <f>"N/A"</f>
        <v>N/A</v>
      </c>
      <c r="CQ1348" t="str">
        <f>"LAMBOLEY LAW FIRM, LLC"</f>
        <v>LAMBOLEY LAW FIRM, LLC</v>
      </c>
      <c r="CR1348" t="s">
        <v>2883</v>
      </c>
    </row>
    <row r="1349" spans="1:96" x14ac:dyDescent="0.2">
      <c r="A1349" t="s">
        <v>7585</v>
      </c>
      <c r="B1349" t="s">
        <v>96</v>
      </c>
      <c r="C1349" s="1">
        <v>44099</v>
      </c>
      <c r="D1349" s="1">
        <v>44106</v>
      </c>
      <c r="F1349" t="s">
        <v>97</v>
      </c>
      <c r="G1349" t="str">
        <f>"SOFTWARE ENGINEER &amp; TESTER"</f>
        <v>SOFTWARE ENGINEER &amp; TESTER</v>
      </c>
      <c r="H1349" t="s">
        <v>12168</v>
      </c>
      <c r="I1349" t="s">
        <v>319</v>
      </c>
      <c r="J1349" t="s">
        <v>98</v>
      </c>
      <c r="K1349" s="1">
        <v>44106</v>
      </c>
      <c r="L1349" s="1">
        <v>44502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 t="s">
        <v>3691</v>
      </c>
      <c r="U1349" t="str">
        <f>""</f>
        <v/>
      </c>
      <c r="V1349" t="s">
        <v>3692</v>
      </c>
      <c r="W1349" t="str">
        <f>"EDISON SQUARE WEST, SUITE 3002"</f>
        <v>EDISON SQUARE WEST, SUITE 3002</v>
      </c>
      <c r="X1349" t="s">
        <v>211</v>
      </c>
      <c r="Y1349" t="s">
        <v>100</v>
      </c>
      <c r="Z1349" s="3">
        <v>8817</v>
      </c>
      <c r="AA1349" t="s">
        <v>101</v>
      </c>
      <c r="AC1349" s="4" t="str">
        <f>"+17322486119"</f>
        <v>+17322486119</v>
      </c>
      <c r="AE1349" t="str">
        <f>"541330"</f>
        <v>541330</v>
      </c>
      <c r="AF1349" t="s">
        <v>3693</v>
      </c>
      <c r="AG1349" t="s">
        <v>3694</v>
      </c>
      <c r="AI1349" t="s">
        <v>3695</v>
      </c>
      <c r="AJ1349" t="s">
        <v>3692</v>
      </c>
      <c r="AK1349" t="str">
        <f>"EDISON SQUARE WEST, SUITE 3002"</f>
        <v>EDISON SQUARE WEST, SUITE 3002</v>
      </c>
      <c r="AL1349" t="s">
        <v>211</v>
      </c>
      <c r="AM1349" t="s">
        <v>100</v>
      </c>
      <c r="AN1349" s="3">
        <v>8817</v>
      </c>
      <c r="AO1349" t="s">
        <v>101</v>
      </c>
      <c r="AQ1349" t="str">
        <f>"+17322486119"</f>
        <v>+17322486119</v>
      </c>
      <c r="AS1349" t="s">
        <v>3696</v>
      </c>
      <c r="AT1349" t="s">
        <v>107</v>
      </c>
      <c r="AU1349" t="str">
        <f>"JETHMALANI"</f>
        <v>JETHMALANI</v>
      </c>
      <c r="AV1349" t="str">
        <f>"ANIL"</f>
        <v>ANIL</v>
      </c>
      <c r="AW1349" t="str">
        <f>""</f>
        <v/>
      </c>
      <c r="AX1349" t="str">
        <f>"42 BROADWAY"</f>
        <v>42 BROADWAY</v>
      </c>
      <c r="AY1349" t="str">
        <f>"SUITE 1548"</f>
        <v>SUITE 1548</v>
      </c>
      <c r="AZ1349" t="str">
        <f>"NEW YORK"</f>
        <v>NEW YORK</v>
      </c>
      <c r="BA1349" t="str">
        <f>"NY"</f>
        <v>NY</v>
      </c>
      <c r="BB1349" s="3">
        <v>10004</v>
      </c>
      <c r="BC1349" t="str">
        <f>"UNITED STATES OF AMERICA"</f>
        <v>UNITED STATES OF AMERICA</v>
      </c>
      <c r="BD1349" t="str">
        <f>""</f>
        <v/>
      </c>
      <c r="BE1349" t="str">
        <f>"+12124069257"</f>
        <v>+12124069257</v>
      </c>
      <c r="BF1349" t="str">
        <f>""</f>
        <v/>
      </c>
      <c r="BG1349" t="str">
        <f>"BINDIA@jnattorney.com"</f>
        <v>BINDIA@jnattorney.com</v>
      </c>
      <c r="BH1349" t="str">
        <f>"Jethmalani &amp; Nallaseth PLLC"</f>
        <v>Jethmalani &amp; Nallaseth PLLC</v>
      </c>
      <c r="BI1349" t="str">
        <f>"NY"</f>
        <v>NY</v>
      </c>
      <c r="BJ1349" t="str">
        <f>"SUPREME COURT"</f>
        <v>SUPREME COURT</v>
      </c>
      <c r="BK1349">
        <v>1</v>
      </c>
      <c r="BL1349" t="s">
        <v>107</v>
      </c>
      <c r="BM1349" t="str">
        <f>"THALES AVIONICS INC."</f>
        <v>THALES AVIONICS INC.</v>
      </c>
      <c r="BN1349" t="s">
        <v>7586</v>
      </c>
      <c r="BP1349" t="s">
        <v>1254</v>
      </c>
      <c r="BQ1349" t="s">
        <v>2487</v>
      </c>
      <c r="BR1349" t="s">
        <v>577</v>
      </c>
      <c r="BS1349" s="5">
        <v>32901</v>
      </c>
      <c r="BT1349" s="2">
        <v>88000</v>
      </c>
      <c r="BU1349" s="2">
        <v>98000</v>
      </c>
      <c r="BV1349" t="s">
        <v>105</v>
      </c>
      <c r="BW1349" s="2">
        <v>61776</v>
      </c>
      <c r="BX1349" t="s">
        <v>105</v>
      </c>
      <c r="BZ1349" t="s">
        <v>167</v>
      </c>
      <c r="CA1349" t="str">
        <f t="shared" si="105"/>
        <v>7/1/2020 - 6/30/2021</v>
      </c>
      <c r="CF1349">
        <v>2</v>
      </c>
      <c r="CG1349" t="s">
        <v>98</v>
      </c>
      <c r="CH1349" t="s">
        <v>98</v>
      </c>
      <c r="CI1349" t="s">
        <v>206</v>
      </c>
      <c r="CJ1349" t="s">
        <v>98</v>
      </c>
      <c r="CK1349" t="s">
        <v>12323</v>
      </c>
      <c r="CL1349" t="s">
        <v>108</v>
      </c>
      <c r="CM1349" t="s">
        <v>109</v>
      </c>
      <c r="CN1349" t="str">
        <f>""</f>
        <v/>
      </c>
      <c r="CO1349" t="str">
        <f>""</f>
        <v/>
      </c>
      <c r="CP1349" t="str">
        <f>""</f>
        <v/>
      </c>
      <c r="CQ1349" t="str">
        <f>""</f>
        <v/>
      </c>
    </row>
    <row r="1350" spans="1:96" x14ac:dyDescent="0.2">
      <c r="A1350" t="s">
        <v>7982</v>
      </c>
      <c r="B1350" t="s">
        <v>96</v>
      </c>
      <c r="C1350" s="1">
        <v>44099</v>
      </c>
      <c r="D1350" s="1">
        <v>44106</v>
      </c>
      <c r="F1350" t="s">
        <v>97</v>
      </c>
      <c r="G1350" t="str">
        <f>".NET Application Developer "</f>
        <v xml:space="preserve">.NET Application Developer </v>
      </c>
      <c r="H1350" t="s">
        <v>12169</v>
      </c>
      <c r="I1350" t="s">
        <v>124</v>
      </c>
      <c r="J1350" t="s">
        <v>98</v>
      </c>
      <c r="K1350" s="1">
        <v>44237</v>
      </c>
      <c r="L1350" s="1">
        <v>45331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 t="s">
        <v>6210</v>
      </c>
      <c r="U1350" t="str">
        <f>""</f>
        <v/>
      </c>
      <c r="V1350" t="s">
        <v>6211</v>
      </c>
      <c r="W1350" t="str">
        <f>"SUITE 6"</f>
        <v>SUITE 6</v>
      </c>
      <c r="X1350" t="s">
        <v>921</v>
      </c>
      <c r="Y1350" t="s">
        <v>100</v>
      </c>
      <c r="Z1350" s="3">
        <v>7601</v>
      </c>
      <c r="AA1350" t="s">
        <v>101</v>
      </c>
      <c r="AC1350" s="4" t="str">
        <f>"+12014893500"</f>
        <v>+12014893500</v>
      </c>
      <c r="AE1350" t="str">
        <f>"541512"</f>
        <v>541512</v>
      </c>
      <c r="AF1350" t="s">
        <v>6212</v>
      </c>
      <c r="AG1350" t="s">
        <v>6213</v>
      </c>
      <c r="AI1350" t="s">
        <v>497</v>
      </c>
      <c r="AJ1350" t="s">
        <v>6211</v>
      </c>
      <c r="AK1350" t="str">
        <f>"SUITE 6"</f>
        <v>SUITE 6</v>
      </c>
      <c r="AL1350" t="s">
        <v>921</v>
      </c>
      <c r="AM1350" t="s">
        <v>100</v>
      </c>
      <c r="AN1350" s="3">
        <v>7601</v>
      </c>
      <c r="AO1350" t="s">
        <v>101</v>
      </c>
      <c r="AQ1350" t="str">
        <f>"+12014893500"</f>
        <v>+12014893500</v>
      </c>
      <c r="AS1350" t="s">
        <v>6214</v>
      </c>
      <c r="AT1350" t="s">
        <v>107</v>
      </c>
      <c r="AU1350" t="str">
        <f>"SEADIE"</f>
        <v>SEADIE</v>
      </c>
      <c r="AV1350" t="str">
        <f>"KESHAB"</f>
        <v>KESHAB</v>
      </c>
      <c r="AW1350" t="str">
        <f>"RAJ"</f>
        <v>RAJ</v>
      </c>
      <c r="AX1350" t="str">
        <f>"246 WEST 38TH STREET"</f>
        <v>246 WEST 38TH STREET</v>
      </c>
      <c r="AY1350" t="str">
        <f>"8TH FL."</f>
        <v>8TH FL.</v>
      </c>
      <c r="AZ1350" t="str">
        <f>"NEW YORK"</f>
        <v>NEW YORK</v>
      </c>
      <c r="BA1350" t="str">
        <f>"NY"</f>
        <v>NY</v>
      </c>
      <c r="BB1350" s="3">
        <v>10018</v>
      </c>
      <c r="BC1350" t="str">
        <f>"UNITED STATES OF AMERICA"</f>
        <v>UNITED STATES OF AMERICA</v>
      </c>
      <c r="BD1350" t="str">
        <f>""</f>
        <v/>
      </c>
      <c r="BE1350" t="str">
        <f>"+12125716002"</f>
        <v>+12125716002</v>
      </c>
      <c r="BF1350" t="str">
        <f>"104"</f>
        <v>104</v>
      </c>
      <c r="BG1350" t="str">
        <f>"KESHAB@SEADIE.COM"</f>
        <v>KESHAB@SEADIE.COM</v>
      </c>
      <c r="BH1350" t="str">
        <f>"LAW OFFICE OF KESHAB RAJ SEADIE, P.C."</f>
        <v>LAW OFFICE OF KESHAB RAJ SEADIE, P.C.</v>
      </c>
      <c r="BI1350" t="str">
        <f>"NY"</f>
        <v>NY</v>
      </c>
      <c r="BJ1350" t="str">
        <f>"APPELLATE COURT"</f>
        <v>APPELLATE COURT</v>
      </c>
      <c r="BK1350">
        <v>1</v>
      </c>
      <c r="BL1350" t="s">
        <v>107</v>
      </c>
      <c r="BM1350" t="str">
        <f>"New York Human Resource Administration"</f>
        <v>New York Human Resource Administration</v>
      </c>
      <c r="BN1350" t="s">
        <v>7983</v>
      </c>
      <c r="BO1350" t="s">
        <v>7984</v>
      </c>
      <c r="BP1350" t="s">
        <v>277</v>
      </c>
      <c r="BQ1350" t="s">
        <v>189</v>
      </c>
      <c r="BR1350" t="s">
        <v>190</v>
      </c>
      <c r="BS1350" s="5">
        <v>10007</v>
      </c>
      <c r="BT1350" s="2">
        <v>100526</v>
      </c>
      <c r="BV1350" t="s">
        <v>105</v>
      </c>
      <c r="BW1350" s="2">
        <v>100526</v>
      </c>
      <c r="BX1350" t="s">
        <v>105</v>
      </c>
      <c r="BZ1350" t="s">
        <v>167</v>
      </c>
      <c r="CA1350" t="str">
        <f t="shared" si="105"/>
        <v>7/1/2020 - 6/30/2021</v>
      </c>
      <c r="CF1350">
        <v>1</v>
      </c>
      <c r="CG1350" t="s">
        <v>98</v>
      </c>
      <c r="CH1350" t="s">
        <v>98</v>
      </c>
      <c r="CI1350" t="s">
        <v>206</v>
      </c>
      <c r="CJ1350" t="s">
        <v>98</v>
      </c>
      <c r="CK1350" t="s">
        <v>12323</v>
      </c>
      <c r="CL1350" t="s">
        <v>108</v>
      </c>
      <c r="CM1350" t="s">
        <v>109</v>
      </c>
      <c r="CN1350" t="str">
        <f>""</f>
        <v/>
      </c>
      <c r="CO1350" t="str">
        <f>""</f>
        <v/>
      </c>
      <c r="CP1350" t="str">
        <f>""</f>
        <v/>
      </c>
      <c r="CQ1350" t="str">
        <f>""</f>
        <v/>
      </c>
    </row>
    <row r="1351" spans="1:96" x14ac:dyDescent="0.2">
      <c r="A1351" t="s">
        <v>8106</v>
      </c>
      <c r="B1351" t="s">
        <v>96</v>
      </c>
      <c r="C1351" s="1">
        <v>44099</v>
      </c>
      <c r="D1351" s="1">
        <v>44106</v>
      </c>
      <c r="F1351" t="s">
        <v>97</v>
      </c>
      <c r="G1351" t="str">
        <f>"Consultant - US "</f>
        <v xml:space="preserve">Consultant - US </v>
      </c>
      <c r="H1351" t="s">
        <v>12168</v>
      </c>
      <c r="I1351" t="s">
        <v>367</v>
      </c>
      <c r="J1351" t="s">
        <v>98</v>
      </c>
      <c r="K1351" s="1">
        <v>44110</v>
      </c>
      <c r="L1351" s="1">
        <v>45202</v>
      </c>
      <c r="M1351">
        <v>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5</v>
      </c>
      <c r="T1351" t="s">
        <v>723</v>
      </c>
      <c r="U1351" t="str">
        <f>""</f>
        <v/>
      </c>
      <c r="V1351" t="s">
        <v>724</v>
      </c>
      <c r="W1351" t="str">
        <f>"STE C150"</f>
        <v>STE C150</v>
      </c>
      <c r="X1351" t="s">
        <v>725</v>
      </c>
      <c r="Y1351" t="s">
        <v>114</v>
      </c>
      <c r="Z1351" s="3">
        <v>75082</v>
      </c>
      <c r="AA1351" t="s">
        <v>101</v>
      </c>
      <c r="AC1351" s="4" t="str">
        <f>"+12143062100"</f>
        <v>+12143062100</v>
      </c>
      <c r="AE1351" t="str">
        <f>"541511"</f>
        <v>541511</v>
      </c>
      <c r="AF1351" t="s">
        <v>726</v>
      </c>
      <c r="AG1351" t="s">
        <v>727</v>
      </c>
      <c r="AI1351" t="s">
        <v>728</v>
      </c>
      <c r="AJ1351" t="s">
        <v>724</v>
      </c>
      <c r="AK1351" t="str">
        <f>"STE C150"</f>
        <v>STE C150</v>
      </c>
      <c r="AL1351" t="s">
        <v>725</v>
      </c>
      <c r="AM1351" t="s">
        <v>114</v>
      </c>
      <c r="AN1351" s="3">
        <v>75082</v>
      </c>
      <c r="AO1351" t="s">
        <v>101</v>
      </c>
      <c r="AQ1351" t="str">
        <f>"+12143062100"</f>
        <v>+12143062100</v>
      </c>
      <c r="AS1351" t="s">
        <v>729</v>
      </c>
      <c r="AT1351" t="s">
        <v>102</v>
      </c>
      <c r="AU1351" t="str">
        <f>""</f>
        <v/>
      </c>
      <c r="AV1351" t="str">
        <f>""</f>
        <v/>
      </c>
      <c r="AW1351" t="str">
        <f>""</f>
        <v/>
      </c>
      <c r="AX1351" t="str">
        <f>""</f>
        <v/>
      </c>
      <c r="AY1351" t="str">
        <f>""</f>
        <v/>
      </c>
      <c r="AZ1351" t="str">
        <f>""</f>
        <v/>
      </c>
      <c r="BA1351" t="str">
        <f>""</f>
        <v/>
      </c>
      <c r="BC1351" t="str">
        <f>""</f>
        <v/>
      </c>
      <c r="BD1351" t="str">
        <f>""</f>
        <v/>
      </c>
      <c r="BE1351" t="str">
        <f>""</f>
        <v/>
      </c>
      <c r="BF1351" t="str">
        <f>""</f>
        <v/>
      </c>
      <c r="BG1351" t="str">
        <f>""</f>
        <v/>
      </c>
      <c r="BH1351" t="str">
        <f>""</f>
        <v/>
      </c>
      <c r="BI1351" t="str">
        <f>""</f>
        <v/>
      </c>
      <c r="BJ1351" t="str">
        <f>""</f>
        <v/>
      </c>
      <c r="BK1351">
        <v>5</v>
      </c>
      <c r="BL1351" t="s">
        <v>107</v>
      </c>
      <c r="BM1351" t="str">
        <f>"Alcon Vision LLC."</f>
        <v>Alcon Vision LLC.</v>
      </c>
      <c r="BN1351" t="s">
        <v>5919</v>
      </c>
      <c r="BP1351" t="s">
        <v>5345</v>
      </c>
      <c r="BQ1351" t="s">
        <v>792</v>
      </c>
      <c r="BR1351" t="s">
        <v>114</v>
      </c>
      <c r="BS1351" s="5" t="s">
        <v>12322</v>
      </c>
      <c r="BT1351" s="2">
        <v>74027</v>
      </c>
      <c r="BU1351" s="2">
        <v>90618</v>
      </c>
      <c r="BV1351" t="s">
        <v>105</v>
      </c>
      <c r="BW1351" s="2">
        <v>74027</v>
      </c>
      <c r="BX1351" t="s">
        <v>105</v>
      </c>
      <c r="BZ1351" t="s">
        <v>167</v>
      </c>
      <c r="CA1351" t="str">
        <f t="shared" si="105"/>
        <v>7/1/2020 - 6/30/2021</v>
      </c>
      <c r="CF1351">
        <v>1</v>
      </c>
      <c r="CG1351" t="s">
        <v>98</v>
      </c>
      <c r="CH1351" t="s">
        <v>98</v>
      </c>
      <c r="CI1351" t="s">
        <v>206</v>
      </c>
      <c r="CJ1351" t="s">
        <v>98</v>
      </c>
      <c r="CK1351" t="s">
        <v>12323</v>
      </c>
      <c r="CL1351" t="s">
        <v>108</v>
      </c>
      <c r="CM1351" t="s">
        <v>109</v>
      </c>
      <c r="CN1351" t="str">
        <f>"ALI"</f>
        <v>ALI</v>
      </c>
      <c r="CO1351" t="str">
        <f>"ASIF"</f>
        <v>ASIF</v>
      </c>
      <c r="CP1351" t="str">
        <f>""</f>
        <v/>
      </c>
      <c r="CQ1351" t="str">
        <f>"INFOSYS LIMITED"</f>
        <v>INFOSYS LIMITED</v>
      </c>
      <c r="CR1351" t="s">
        <v>796</v>
      </c>
    </row>
    <row r="1352" spans="1:96" x14ac:dyDescent="0.2">
      <c r="A1352" t="s">
        <v>8155</v>
      </c>
      <c r="B1352" t="s">
        <v>96</v>
      </c>
      <c r="C1352" s="1">
        <v>44099</v>
      </c>
      <c r="D1352" s="1">
        <v>44106</v>
      </c>
      <c r="F1352" t="s">
        <v>97</v>
      </c>
      <c r="G1352" t="str">
        <f>"MTS 1, Software Engineer"</f>
        <v>MTS 1, Software Engineer</v>
      </c>
      <c r="H1352" t="s">
        <v>12169</v>
      </c>
      <c r="I1352" t="s">
        <v>124</v>
      </c>
      <c r="J1352" t="s">
        <v>98</v>
      </c>
      <c r="K1352" s="1">
        <v>44116</v>
      </c>
      <c r="L1352" s="1">
        <v>45210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 t="s">
        <v>1266</v>
      </c>
      <c r="U1352" t="str">
        <f>""</f>
        <v/>
      </c>
      <c r="V1352" t="s">
        <v>1267</v>
      </c>
      <c r="W1352" t="str">
        <f>"N/A"</f>
        <v>N/A</v>
      </c>
      <c r="X1352" t="s">
        <v>585</v>
      </c>
      <c r="Y1352" t="s">
        <v>141</v>
      </c>
      <c r="Z1352" s="3">
        <v>95125</v>
      </c>
      <c r="AA1352" t="s">
        <v>101</v>
      </c>
      <c r="AB1352" t="s">
        <v>108</v>
      </c>
      <c r="AC1352" s="4" t="str">
        <f>"+14083768590"</f>
        <v>+14083768590</v>
      </c>
      <c r="AD1352">
        <v>0</v>
      </c>
      <c r="AE1352" t="str">
        <f>"454110"</f>
        <v>454110</v>
      </c>
      <c r="AF1352" t="s">
        <v>1268</v>
      </c>
      <c r="AG1352" t="s">
        <v>1269</v>
      </c>
      <c r="AI1352" t="s">
        <v>254</v>
      </c>
      <c r="AJ1352" t="s">
        <v>1267</v>
      </c>
      <c r="AK1352" t="str">
        <f>""</f>
        <v/>
      </c>
      <c r="AL1352" t="s">
        <v>585</v>
      </c>
      <c r="AM1352" t="s">
        <v>141</v>
      </c>
      <c r="AN1352" s="3">
        <v>95125</v>
      </c>
      <c r="AO1352" t="s">
        <v>101</v>
      </c>
      <c r="AQ1352" t="str">
        <f>"+14083768590"</f>
        <v>+14083768590</v>
      </c>
      <c r="AR1352">
        <v>0</v>
      </c>
      <c r="AS1352" t="s">
        <v>1270</v>
      </c>
      <c r="AT1352" t="s">
        <v>107</v>
      </c>
      <c r="AU1352" t="str">
        <f>"Evans"</f>
        <v>Evans</v>
      </c>
      <c r="AV1352" t="str">
        <f>"Tonjanique"</f>
        <v>Tonjanique</v>
      </c>
      <c r="AW1352" t="str">
        <f>""</f>
        <v/>
      </c>
      <c r="AX1352" t="str">
        <f>"2101 Wilson Blvd."</f>
        <v>2101 Wilson Blvd.</v>
      </c>
      <c r="AY1352" t="str">
        <f>"Suite 1100"</f>
        <v>Suite 1100</v>
      </c>
      <c r="AZ1352" t="str">
        <f>"Arlington"</f>
        <v>Arlington</v>
      </c>
      <c r="BA1352" t="str">
        <f>"VA"</f>
        <v>VA</v>
      </c>
      <c r="BB1352" s="3">
        <v>22201</v>
      </c>
      <c r="BC1352" t="str">
        <f>"UNITED STATES OF AMERICA"</f>
        <v>UNITED STATES OF AMERICA</v>
      </c>
      <c r="BD1352" t="str">
        <f>""</f>
        <v/>
      </c>
      <c r="BE1352" t="str">
        <f>"+17036784000"</f>
        <v>+17036784000</v>
      </c>
      <c r="BF1352" t="str">
        <f>""</f>
        <v/>
      </c>
      <c r="BG1352" t="str">
        <f>"tonjanique@eiglaw.com"</f>
        <v>tonjanique@eiglaw.com</v>
      </c>
      <c r="BH1352" t="str">
        <f>"Erickson Immigration Group"</f>
        <v>Erickson Immigration Group</v>
      </c>
      <c r="BI1352" t="str">
        <f>"DC"</f>
        <v>DC</v>
      </c>
      <c r="BJ1352" t="str">
        <f>"Court of Appeals"</f>
        <v>Court of Appeals</v>
      </c>
      <c r="BK1352">
        <v>1</v>
      </c>
      <c r="BL1352" t="s">
        <v>102</v>
      </c>
      <c r="BM1352" t="str">
        <f>""</f>
        <v/>
      </c>
      <c r="BN1352" t="s">
        <v>1271</v>
      </c>
      <c r="BP1352" t="s">
        <v>585</v>
      </c>
      <c r="BQ1352" t="s">
        <v>230</v>
      </c>
      <c r="BR1352" t="s">
        <v>141</v>
      </c>
      <c r="BS1352" s="5">
        <v>95125</v>
      </c>
      <c r="BT1352" s="2">
        <v>173400</v>
      </c>
      <c r="BV1352" t="s">
        <v>105</v>
      </c>
      <c r="BW1352" s="2">
        <v>170872</v>
      </c>
      <c r="BX1352" t="s">
        <v>105</v>
      </c>
      <c r="BZ1352" t="s">
        <v>159</v>
      </c>
      <c r="CA1352" t="str">
        <f t="shared" si="105"/>
        <v>7/1/2020 - 6/30/2021</v>
      </c>
      <c r="CF1352">
        <v>2</v>
      </c>
      <c r="CG1352" t="s">
        <v>98</v>
      </c>
      <c r="CH1352" t="s">
        <v>98</v>
      </c>
      <c r="CI1352" t="s">
        <v>206</v>
      </c>
      <c r="CJ1352" t="s">
        <v>98</v>
      </c>
      <c r="CK1352" t="s">
        <v>12323</v>
      </c>
      <c r="CL1352" t="s">
        <v>108</v>
      </c>
      <c r="CM1352" t="s">
        <v>109</v>
      </c>
      <c r="CN1352" t="str">
        <f>"McCray"</f>
        <v>McCray</v>
      </c>
      <c r="CO1352" t="str">
        <f>"Mark"</f>
        <v>Mark</v>
      </c>
      <c r="CP1352" t="str">
        <f>"C"</f>
        <v>C</v>
      </c>
      <c r="CQ1352" t="str">
        <f>"Erickson Immigration Group"</f>
        <v>Erickson Immigration Group</v>
      </c>
      <c r="CR1352" t="s">
        <v>589</v>
      </c>
    </row>
    <row r="1353" spans="1:96" x14ac:dyDescent="0.2">
      <c r="A1353" t="s">
        <v>8174</v>
      </c>
      <c r="B1353" t="s">
        <v>96</v>
      </c>
      <c r="C1353" s="1">
        <v>44099</v>
      </c>
      <c r="D1353" s="1">
        <v>44106</v>
      </c>
      <c r="F1353" t="s">
        <v>97</v>
      </c>
      <c r="G1353" t="str">
        <f>"SENIOR PROGRAMMER ANALYST"</f>
        <v>SENIOR PROGRAMMER ANALYST</v>
      </c>
      <c r="H1353" t="s">
        <v>12169</v>
      </c>
      <c r="I1353" t="s">
        <v>124</v>
      </c>
      <c r="J1353" t="s">
        <v>98</v>
      </c>
      <c r="K1353" s="1">
        <v>44099</v>
      </c>
      <c r="L1353" s="1">
        <v>44878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 t="s">
        <v>4906</v>
      </c>
      <c r="U1353" t="str">
        <f>""</f>
        <v/>
      </c>
      <c r="V1353" t="s">
        <v>4907</v>
      </c>
      <c r="W1353" t="str">
        <f>"SUITE 212"</f>
        <v>SUITE 212</v>
      </c>
      <c r="X1353" t="s">
        <v>403</v>
      </c>
      <c r="Y1353" t="s">
        <v>100</v>
      </c>
      <c r="Z1353" s="3">
        <v>8540</v>
      </c>
      <c r="AA1353" t="s">
        <v>101</v>
      </c>
      <c r="AC1353" s="4" t="str">
        <f>"+17324331997"</f>
        <v>+17324331997</v>
      </c>
      <c r="AE1353" t="str">
        <f>"541511"</f>
        <v>541511</v>
      </c>
      <c r="AF1353" t="s">
        <v>4908</v>
      </c>
      <c r="AG1353" t="s">
        <v>4909</v>
      </c>
      <c r="AH1353" t="s">
        <v>108</v>
      </c>
      <c r="AI1353" t="s">
        <v>497</v>
      </c>
      <c r="AJ1353" t="s">
        <v>4907</v>
      </c>
      <c r="AK1353" t="str">
        <f>"SUITE 212"</f>
        <v>SUITE 212</v>
      </c>
      <c r="AL1353" t="s">
        <v>403</v>
      </c>
      <c r="AM1353" t="s">
        <v>100</v>
      </c>
      <c r="AN1353" s="3">
        <v>8540</v>
      </c>
      <c r="AO1353" t="s">
        <v>101</v>
      </c>
      <c r="AQ1353" t="str">
        <f>"+17324331997"</f>
        <v>+17324331997</v>
      </c>
      <c r="AS1353" t="s">
        <v>4910</v>
      </c>
      <c r="AT1353" t="s">
        <v>107</v>
      </c>
      <c r="AU1353" t="str">
        <f>"EMANDI"</f>
        <v>EMANDI</v>
      </c>
      <c r="AV1353" t="str">
        <f>"RANI"</f>
        <v>RANI</v>
      </c>
      <c r="AW1353" t="str">
        <f>"MADHAVI"</f>
        <v>MADHAVI</v>
      </c>
      <c r="AX1353" t="str">
        <f>"42 WESTERN DRIVE"</f>
        <v>42 WESTERN DRIVE</v>
      </c>
      <c r="AY1353" t="str">
        <f>""</f>
        <v/>
      </c>
      <c r="AZ1353" t="str">
        <f>"SHORT HILLS"</f>
        <v>SHORT HILLS</v>
      </c>
      <c r="BA1353" t="str">
        <f>"NJ"</f>
        <v>NJ</v>
      </c>
      <c r="BB1353" s="3">
        <v>7078</v>
      </c>
      <c r="BC1353" t="str">
        <f>"UNITED STATES OF AMERICA"</f>
        <v>UNITED STATES OF AMERICA</v>
      </c>
      <c r="BD1353" t="str">
        <f>""</f>
        <v/>
      </c>
      <c r="BE1353" t="str">
        <f>"+12126867782"</f>
        <v>+12126867782</v>
      </c>
      <c r="BF1353" t="str">
        <f>""</f>
        <v/>
      </c>
      <c r="BG1353" t="str">
        <f>"RANI@EMANDILAW.COM"</f>
        <v>RANI@EMANDILAW.COM</v>
      </c>
      <c r="BH1353" t="str">
        <f>"EMANDI LAW FIRM P.C."</f>
        <v>EMANDI LAW FIRM P.C.</v>
      </c>
      <c r="BI1353" t="str">
        <f>"NY"</f>
        <v>NY</v>
      </c>
      <c r="BJ1353" t="str">
        <f>"SUPREME COURT"</f>
        <v>SUPREME COURT</v>
      </c>
      <c r="BK1353">
        <v>1</v>
      </c>
      <c r="BL1353" t="s">
        <v>107</v>
      </c>
      <c r="BM1353" t="str">
        <f>"COMCAST INC"</f>
        <v>COMCAST INC</v>
      </c>
      <c r="BN1353" t="s">
        <v>8175</v>
      </c>
      <c r="BP1353" t="s">
        <v>271</v>
      </c>
      <c r="BQ1353" t="s">
        <v>165</v>
      </c>
      <c r="BR1353" t="s">
        <v>166</v>
      </c>
      <c r="BS1353" s="5">
        <v>80112</v>
      </c>
      <c r="BT1353" s="2">
        <v>100000</v>
      </c>
      <c r="BV1353" t="s">
        <v>105</v>
      </c>
      <c r="BW1353" s="2">
        <v>92477</v>
      </c>
      <c r="BX1353" t="s">
        <v>105</v>
      </c>
      <c r="BZ1353" t="s">
        <v>167</v>
      </c>
      <c r="CA1353" t="str">
        <f t="shared" si="105"/>
        <v>7/1/2020 - 6/30/2021</v>
      </c>
      <c r="CF1353">
        <v>1</v>
      </c>
      <c r="CG1353" t="s">
        <v>98</v>
      </c>
      <c r="CH1353" t="s">
        <v>98</v>
      </c>
      <c r="CI1353" t="s">
        <v>206</v>
      </c>
      <c r="CJ1353" t="s">
        <v>98</v>
      </c>
      <c r="CK1353" t="s">
        <v>12323</v>
      </c>
      <c r="CL1353" t="s">
        <v>108</v>
      </c>
      <c r="CM1353" t="s">
        <v>109</v>
      </c>
      <c r="CN1353" t="str">
        <f>"EMANDI"</f>
        <v>EMANDI</v>
      </c>
      <c r="CO1353" t="str">
        <f>"RANI"</f>
        <v>RANI</v>
      </c>
      <c r="CP1353" t="str">
        <f>"M"</f>
        <v>M</v>
      </c>
      <c r="CQ1353" t="str">
        <f>"EMANDI LAW FIRM P.C."</f>
        <v>EMANDI LAW FIRM P.C.</v>
      </c>
      <c r="CR1353" t="s">
        <v>2786</v>
      </c>
    </row>
    <row r="1354" spans="1:96" x14ac:dyDescent="0.2">
      <c r="A1354" t="s">
        <v>8284</v>
      </c>
      <c r="B1354" t="s">
        <v>96</v>
      </c>
      <c r="C1354" s="1">
        <v>44099</v>
      </c>
      <c r="D1354" s="1">
        <v>44106</v>
      </c>
      <c r="F1354" t="s">
        <v>97</v>
      </c>
      <c r="G1354" t="str">
        <f>"Web Development Senior"</f>
        <v>Web Development Senior</v>
      </c>
      <c r="H1354" t="s">
        <v>12169</v>
      </c>
      <c r="I1354" t="s">
        <v>124</v>
      </c>
      <c r="J1354" t="s">
        <v>98</v>
      </c>
      <c r="K1354" s="1">
        <v>44211</v>
      </c>
      <c r="L1354" s="1">
        <v>45305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 t="s">
        <v>8188</v>
      </c>
      <c r="U1354" t="str">
        <f>""</f>
        <v/>
      </c>
      <c r="V1354" t="s">
        <v>8189</v>
      </c>
      <c r="W1354" t="str">
        <f>"Suite 265"</f>
        <v>Suite 265</v>
      </c>
      <c r="X1354" t="s">
        <v>982</v>
      </c>
      <c r="Y1354" t="s">
        <v>265</v>
      </c>
      <c r="Z1354" s="3">
        <v>48152</v>
      </c>
      <c r="AA1354" t="s">
        <v>101</v>
      </c>
      <c r="AC1354" s="4" t="str">
        <f>"+17347449373"</f>
        <v>+17347449373</v>
      </c>
      <c r="AE1354" t="str">
        <f>"541511"</f>
        <v>541511</v>
      </c>
      <c r="AF1354" t="s">
        <v>8190</v>
      </c>
      <c r="AG1354" t="s">
        <v>8191</v>
      </c>
      <c r="AI1354" t="s">
        <v>3667</v>
      </c>
      <c r="AJ1354" t="s">
        <v>8192</v>
      </c>
      <c r="AK1354" t="str">
        <f>"Suite 265"</f>
        <v>Suite 265</v>
      </c>
      <c r="AL1354" t="s">
        <v>982</v>
      </c>
      <c r="AM1354" t="s">
        <v>265</v>
      </c>
      <c r="AN1354" s="3">
        <v>48152</v>
      </c>
      <c r="AO1354" t="s">
        <v>101</v>
      </c>
      <c r="AQ1354" t="str">
        <f>"+17347449373"</f>
        <v>+17347449373</v>
      </c>
      <c r="AS1354" t="s">
        <v>8193</v>
      </c>
      <c r="AT1354" t="s">
        <v>107</v>
      </c>
      <c r="AU1354" t="str">
        <f>"Lamboley"</f>
        <v>Lamboley</v>
      </c>
      <c r="AV1354" t="str">
        <f>"Harold"</f>
        <v>Harold</v>
      </c>
      <c r="AW1354" t="str">
        <f>"Joseph"</f>
        <v>Joseph</v>
      </c>
      <c r="AX1354" t="str">
        <f>"One Evergreen Avenue"</f>
        <v>One Evergreen Avenue</v>
      </c>
      <c r="AY1354" t="str">
        <f>"Suite 20"</f>
        <v>Suite 20</v>
      </c>
      <c r="AZ1354" t="str">
        <f>"Hamden"</f>
        <v>Hamden</v>
      </c>
      <c r="BA1354" t="str">
        <f>"CT"</f>
        <v>CT</v>
      </c>
      <c r="BB1354" s="3">
        <v>6518</v>
      </c>
      <c r="BC1354" t="str">
        <f>"UNITED STATES OF AMERICA"</f>
        <v>UNITED STATES OF AMERICA</v>
      </c>
      <c r="BD1354" t="str">
        <f>""</f>
        <v/>
      </c>
      <c r="BE1354" t="str">
        <f>"+12032878042"</f>
        <v>+12032878042</v>
      </c>
      <c r="BF1354" t="str">
        <f>"13"</f>
        <v>13</v>
      </c>
      <c r="BG1354" t="str">
        <f>"Harold@lamboleylawfirm.com"</f>
        <v>Harold@lamboleylawfirm.com</v>
      </c>
      <c r="BH1354" t="str">
        <f>"Lamboley Law FIrm LLC"</f>
        <v>Lamboley Law FIrm LLC</v>
      </c>
      <c r="BI1354" t="str">
        <f>"CT"</f>
        <v>CT</v>
      </c>
      <c r="BJ1354" t="str">
        <f>"Superior Court"</f>
        <v>Superior Court</v>
      </c>
      <c r="BK1354">
        <v>1</v>
      </c>
      <c r="BL1354" t="s">
        <v>107</v>
      </c>
      <c r="BM1354" t="str">
        <f>" Ford Motor Company"</f>
        <v xml:space="preserve"> Ford Motor Company</v>
      </c>
      <c r="BN1354" t="s">
        <v>8285</v>
      </c>
      <c r="BP1354" t="s">
        <v>1240</v>
      </c>
      <c r="BQ1354" t="s">
        <v>533</v>
      </c>
      <c r="BR1354" t="s">
        <v>265</v>
      </c>
      <c r="BS1354" s="5">
        <v>48126</v>
      </c>
      <c r="BT1354" s="2">
        <v>44</v>
      </c>
      <c r="BV1354" t="s">
        <v>210</v>
      </c>
      <c r="BW1354" s="2">
        <v>38.1</v>
      </c>
      <c r="BX1354" t="s">
        <v>210</v>
      </c>
      <c r="BZ1354" t="s">
        <v>167</v>
      </c>
      <c r="CA1354" t="str">
        <f t="shared" si="105"/>
        <v>7/1/2020 - 6/30/2021</v>
      </c>
      <c r="CF1354">
        <v>1</v>
      </c>
      <c r="CG1354" t="s">
        <v>98</v>
      </c>
      <c r="CH1354" t="s">
        <v>98</v>
      </c>
      <c r="CI1354" t="s">
        <v>206</v>
      </c>
      <c r="CJ1354" t="s">
        <v>98</v>
      </c>
      <c r="CK1354" t="s">
        <v>12323</v>
      </c>
      <c r="CL1354" t="s">
        <v>108</v>
      </c>
      <c r="CM1354" t="s">
        <v>109</v>
      </c>
      <c r="CN1354" t="str">
        <f>"N/A"</f>
        <v>N/A</v>
      </c>
      <c r="CO1354" t="str">
        <f>"N/A"</f>
        <v>N/A</v>
      </c>
      <c r="CP1354" t="str">
        <f>"N/A"</f>
        <v>N/A</v>
      </c>
      <c r="CQ1354" t="str">
        <f>"LAMBOLEY LAW FIRM, LLC"</f>
        <v>LAMBOLEY LAW FIRM, LLC</v>
      </c>
      <c r="CR1354" t="s">
        <v>2883</v>
      </c>
    </row>
    <row r="1355" spans="1:96" x14ac:dyDescent="0.2">
      <c r="A1355" t="s">
        <v>8295</v>
      </c>
      <c r="B1355" t="s">
        <v>96</v>
      </c>
      <c r="C1355" s="1">
        <v>44099</v>
      </c>
      <c r="D1355" s="1">
        <v>44106</v>
      </c>
      <c r="F1355" t="s">
        <v>97</v>
      </c>
      <c r="G1355" t="str">
        <f>"Project Manager "</f>
        <v xml:space="preserve">Project Manager </v>
      </c>
      <c r="H1355" t="s">
        <v>12178</v>
      </c>
      <c r="I1355" t="s">
        <v>582</v>
      </c>
      <c r="J1355" t="s">
        <v>98</v>
      </c>
      <c r="K1355" s="1">
        <v>44228</v>
      </c>
      <c r="L1355" s="1">
        <v>45322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 t="s">
        <v>8296</v>
      </c>
      <c r="U1355" t="str">
        <f>""</f>
        <v/>
      </c>
      <c r="V1355" t="s">
        <v>8297</v>
      </c>
      <c r="W1355" t="str">
        <f>"Suite 220"</f>
        <v>Suite 220</v>
      </c>
      <c r="X1355" t="s">
        <v>182</v>
      </c>
      <c r="Y1355" t="s">
        <v>176</v>
      </c>
      <c r="Z1355" s="3">
        <v>98008</v>
      </c>
      <c r="AA1355" t="s">
        <v>101</v>
      </c>
      <c r="AC1355" s="4" t="str">
        <f>"+14253650857"</f>
        <v>+14253650857</v>
      </c>
      <c r="AE1355" t="str">
        <f>"541519"</f>
        <v>541519</v>
      </c>
      <c r="AF1355" t="s">
        <v>8298</v>
      </c>
      <c r="AG1355" t="s">
        <v>8299</v>
      </c>
      <c r="AI1355" t="s">
        <v>8300</v>
      </c>
      <c r="AJ1355" t="s">
        <v>8297</v>
      </c>
      <c r="AK1355" t="str">
        <f>"Suite 220"</f>
        <v>Suite 220</v>
      </c>
      <c r="AL1355" t="s">
        <v>182</v>
      </c>
      <c r="AM1355" t="s">
        <v>176</v>
      </c>
      <c r="AN1355" s="3">
        <v>98008</v>
      </c>
      <c r="AO1355" t="s">
        <v>101</v>
      </c>
      <c r="AQ1355" t="str">
        <f>"+14253650857"</f>
        <v>+14253650857</v>
      </c>
      <c r="AS1355" t="s">
        <v>8301</v>
      </c>
      <c r="AT1355" t="s">
        <v>107</v>
      </c>
      <c r="AU1355" t="str">
        <f>"Macaskill "</f>
        <v xml:space="preserve">Macaskill </v>
      </c>
      <c r="AV1355" t="str">
        <f>"Dane"</f>
        <v>Dane</v>
      </c>
      <c r="AW1355" t="str">
        <f>""</f>
        <v/>
      </c>
      <c r="AX1355" t="str">
        <f>"195 Plymouth St"</f>
        <v>195 Plymouth St</v>
      </c>
      <c r="AY1355" t="str">
        <f>"Suite 3/12"</f>
        <v>Suite 3/12</v>
      </c>
      <c r="AZ1355" t="str">
        <f>"Brooklyn"</f>
        <v>Brooklyn</v>
      </c>
      <c r="BA1355" t="str">
        <f>"NY"</f>
        <v>NY</v>
      </c>
      <c r="BB1355" s="3">
        <v>11201</v>
      </c>
      <c r="BC1355" t="str">
        <f>"UNITED STATES OF AMERICA"</f>
        <v>UNITED STATES OF AMERICA</v>
      </c>
      <c r="BD1355" t="str">
        <f>""</f>
        <v/>
      </c>
      <c r="BE1355" t="str">
        <f>"+19179603802"</f>
        <v>+19179603802</v>
      </c>
      <c r="BF1355" t="str">
        <f>""</f>
        <v/>
      </c>
      <c r="BG1355" t="str">
        <f>"dane@corstange.com"</f>
        <v>dane@corstange.com</v>
      </c>
      <c r="BH1355" t="str">
        <f>"Corstange Law "</f>
        <v xml:space="preserve">Corstange Law </v>
      </c>
      <c r="BI1355" t="str">
        <f>"OH"</f>
        <v>OH</v>
      </c>
      <c r="BJ1355" t="str">
        <f>"Supreme Court of Ohio"</f>
        <v>Supreme Court of Ohio</v>
      </c>
      <c r="BK1355">
        <v>1</v>
      </c>
      <c r="BL1355" t="s">
        <v>107</v>
      </c>
      <c r="BM1355" t="str">
        <f>"Walmart "</f>
        <v xml:space="preserve">Walmart </v>
      </c>
      <c r="BN1355" t="s">
        <v>8302</v>
      </c>
      <c r="BP1355" t="s">
        <v>1152</v>
      </c>
      <c r="BQ1355" t="s">
        <v>640</v>
      </c>
      <c r="BR1355" t="s">
        <v>641</v>
      </c>
      <c r="BS1355" s="5">
        <v>72712</v>
      </c>
      <c r="BT1355" s="2">
        <v>101400</v>
      </c>
      <c r="BV1355" t="s">
        <v>105</v>
      </c>
      <c r="BW1355" s="2">
        <v>100506</v>
      </c>
      <c r="BX1355" t="s">
        <v>105</v>
      </c>
      <c r="BZ1355" t="s">
        <v>167</v>
      </c>
      <c r="CA1355" t="str">
        <f t="shared" si="105"/>
        <v>7/1/2020 - 6/30/2021</v>
      </c>
      <c r="CF1355">
        <v>1</v>
      </c>
      <c r="CG1355" t="s">
        <v>98</v>
      </c>
      <c r="CH1355" t="s">
        <v>98</v>
      </c>
      <c r="CI1355" t="s">
        <v>206</v>
      </c>
      <c r="CJ1355" t="s">
        <v>98</v>
      </c>
      <c r="CK1355" t="s">
        <v>12323</v>
      </c>
      <c r="CL1355" t="s">
        <v>108</v>
      </c>
      <c r="CM1355" t="s">
        <v>109</v>
      </c>
      <c r="CN1355" t="str">
        <f>""</f>
        <v/>
      </c>
      <c r="CO1355" t="str">
        <f>""</f>
        <v/>
      </c>
      <c r="CP1355" t="str">
        <f>""</f>
        <v/>
      </c>
      <c r="CQ1355" t="str">
        <f>""</f>
        <v/>
      </c>
    </row>
    <row r="1356" spans="1:96" x14ac:dyDescent="0.2">
      <c r="A1356" t="s">
        <v>8304</v>
      </c>
      <c r="B1356" t="s">
        <v>96</v>
      </c>
      <c r="C1356" s="1">
        <v>44099</v>
      </c>
      <c r="D1356" s="1">
        <v>44106</v>
      </c>
      <c r="F1356" t="s">
        <v>97</v>
      </c>
      <c r="G1356" t="str">
        <f>"Information Technology Project Manager"</f>
        <v>Information Technology Project Manager</v>
      </c>
      <c r="H1356" t="s">
        <v>12168</v>
      </c>
      <c r="I1356" t="s">
        <v>367</v>
      </c>
      <c r="J1356" t="s">
        <v>98</v>
      </c>
      <c r="K1356" s="1">
        <v>44099</v>
      </c>
      <c r="L1356" s="1">
        <v>45193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 t="s">
        <v>3729</v>
      </c>
      <c r="U1356" t="str">
        <f>""</f>
        <v/>
      </c>
      <c r="V1356" t="s">
        <v>560</v>
      </c>
      <c r="W1356" t="str">
        <f>"Ste. 3000"</f>
        <v>Ste. 3000</v>
      </c>
      <c r="X1356" t="s">
        <v>561</v>
      </c>
      <c r="Y1356" t="s">
        <v>100</v>
      </c>
      <c r="Z1356" s="3">
        <v>8817</v>
      </c>
      <c r="AA1356" t="s">
        <v>101</v>
      </c>
      <c r="AC1356" s="4" t="str">
        <f>"+17322486147"</f>
        <v>+17322486147</v>
      </c>
      <c r="AE1356" t="str">
        <f>"541511"</f>
        <v>541511</v>
      </c>
      <c r="AF1356" t="s">
        <v>562</v>
      </c>
      <c r="AG1356" t="s">
        <v>563</v>
      </c>
      <c r="AH1356" t="s">
        <v>108</v>
      </c>
      <c r="AI1356" t="s">
        <v>564</v>
      </c>
      <c r="AJ1356" t="s">
        <v>6242</v>
      </c>
      <c r="AK1356" t="str">
        <f>"Suite 3000"</f>
        <v>Suite 3000</v>
      </c>
      <c r="AL1356" t="s">
        <v>561</v>
      </c>
      <c r="AM1356" t="s">
        <v>100</v>
      </c>
      <c r="AN1356" s="3">
        <v>8817</v>
      </c>
      <c r="AO1356" t="s">
        <v>101</v>
      </c>
      <c r="AQ1356" t="str">
        <f>"+17322486189"</f>
        <v>+17322486189</v>
      </c>
      <c r="AS1356" t="s">
        <v>565</v>
      </c>
      <c r="AT1356" t="s">
        <v>107</v>
      </c>
      <c r="AU1356" t="str">
        <f>"Chowdhury		"</f>
        <v xml:space="preserve">Chowdhury		</v>
      </c>
      <c r="AV1356" t="str">
        <f>"Anindita	"</f>
        <v xml:space="preserve">Anindita	</v>
      </c>
      <c r="AW1356" t="str">
        <f>"A."</f>
        <v>A.</v>
      </c>
      <c r="AX1356" t="str">
        <f>"6720-B Rockledge Drive 	 "</f>
        <v xml:space="preserve">6720-B Rockledge Drive 	 </v>
      </c>
      <c r="AY1356" t="str">
        <f>"Suite 430"</f>
        <v>Suite 430</v>
      </c>
      <c r="AZ1356" t="str">
        <f>"Bethesda"</f>
        <v>Bethesda</v>
      </c>
      <c r="BA1356" t="str">
        <f>"MD"</f>
        <v>MD</v>
      </c>
      <c r="BB1356" s="3">
        <v>20817</v>
      </c>
      <c r="BC1356" t="str">
        <f>"UNITED STATES OF AMERICA"</f>
        <v>UNITED STATES OF AMERICA</v>
      </c>
      <c r="BD1356" t="str">
        <f>""</f>
        <v/>
      </c>
      <c r="BE1356" t="str">
        <f>"+12026184540"</f>
        <v>+12026184540</v>
      </c>
      <c r="BF1356" t="str">
        <f>""</f>
        <v/>
      </c>
      <c r="BG1356" t="str">
        <f>"anindita@usilaw.com"</f>
        <v>anindita@usilaw.com</v>
      </c>
      <c r="BH1356" t="str">
        <f>"Usilaw, Inc				"</f>
        <v xml:space="preserve">Usilaw, Inc				</v>
      </c>
      <c r="BI1356" t="str">
        <f>"DC"</f>
        <v>DC</v>
      </c>
      <c r="BJ1356" t="str">
        <f>"Court of Appeals"</f>
        <v>Court of Appeals</v>
      </c>
      <c r="BK1356">
        <v>1</v>
      </c>
      <c r="BL1356" t="s">
        <v>107</v>
      </c>
      <c r="BM1356" t="str">
        <f>"Johnson &amp; Johnson"</f>
        <v>Johnson &amp; Johnson</v>
      </c>
      <c r="BN1356" t="s">
        <v>8305</v>
      </c>
      <c r="BP1356" t="s">
        <v>8306</v>
      </c>
      <c r="BQ1356" t="s">
        <v>535</v>
      </c>
      <c r="BR1356" t="s">
        <v>100</v>
      </c>
      <c r="BS1356" s="5">
        <v>8807</v>
      </c>
      <c r="BT1356" s="2">
        <v>67766</v>
      </c>
      <c r="BU1356" s="2">
        <v>86370</v>
      </c>
      <c r="BV1356" t="s">
        <v>105</v>
      </c>
      <c r="BW1356" s="2">
        <v>67766</v>
      </c>
      <c r="BX1356" t="s">
        <v>105</v>
      </c>
      <c r="BZ1356" t="s">
        <v>167</v>
      </c>
      <c r="CA1356" t="str">
        <f t="shared" si="105"/>
        <v>7/1/2020 - 6/30/2021</v>
      </c>
      <c r="CF1356">
        <v>2</v>
      </c>
      <c r="CG1356" t="s">
        <v>98</v>
      </c>
      <c r="CH1356" t="s">
        <v>98</v>
      </c>
      <c r="CI1356" t="s">
        <v>206</v>
      </c>
      <c r="CJ1356" t="s">
        <v>98</v>
      </c>
      <c r="CK1356" t="s">
        <v>12323</v>
      </c>
      <c r="CL1356" t="s">
        <v>108</v>
      </c>
      <c r="CM1356" t="s">
        <v>109</v>
      </c>
      <c r="CN1356" t="str">
        <f>""</f>
        <v/>
      </c>
      <c r="CO1356" t="str">
        <f>""</f>
        <v/>
      </c>
      <c r="CP1356" t="str">
        <f>""</f>
        <v/>
      </c>
      <c r="CQ1356" t="str">
        <f>""</f>
        <v/>
      </c>
    </row>
    <row r="1357" spans="1:96" x14ac:dyDescent="0.2">
      <c r="A1357" t="s">
        <v>8343</v>
      </c>
      <c r="B1357" t="s">
        <v>96</v>
      </c>
      <c r="C1357" s="1">
        <v>44099</v>
      </c>
      <c r="D1357" s="1">
        <v>44106</v>
      </c>
      <c r="F1357" t="s">
        <v>97</v>
      </c>
      <c r="G1357" t="str">
        <f>"QUALITY ASSURANCE ENGINEER 2"</f>
        <v>QUALITY ASSURANCE ENGINEER 2</v>
      </c>
      <c r="H1357" t="s">
        <v>12168</v>
      </c>
      <c r="I1357" t="s">
        <v>319</v>
      </c>
      <c r="J1357" t="s">
        <v>98</v>
      </c>
      <c r="K1357" s="1">
        <v>44253</v>
      </c>
      <c r="L1357" s="1">
        <v>45347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 t="s">
        <v>1889</v>
      </c>
      <c r="U1357" t="str">
        <f>""</f>
        <v/>
      </c>
      <c r="V1357" t="s">
        <v>1890</v>
      </c>
      <c r="W1357" t="str">
        <f>""</f>
        <v/>
      </c>
      <c r="X1357" t="s">
        <v>103</v>
      </c>
      <c r="Y1357" t="s">
        <v>100</v>
      </c>
      <c r="Z1357" s="3">
        <v>8854</v>
      </c>
      <c r="AA1357" t="s">
        <v>101</v>
      </c>
      <c r="AC1357" s="4" t="str">
        <f>"+17325908109"</f>
        <v>+17325908109</v>
      </c>
      <c r="AE1357" t="str">
        <f>"541512"</f>
        <v>541512</v>
      </c>
      <c r="AF1357" t="s">
        <v>1891</v>
      </c>
      <c r="AG1357" t="s">
        <v>1892</v>
      </c>
      <c r="AI1357" t="s">
        <v>1893</v>
      </c>
      <c r="AJ1357" t="s">
        <v>1894</v>
      </c>
      <c r="AK1357" t="str">
        <f>""</f>
        <v/>
      </c>
      <c r="AL1357" t="s">
        <v>804</v>
      </c>
      <c r="AM1357" t="s">
        <v>100</v>
      </c>
      <c r="AN1357" s="3">
        <v>8854</v>
      </c>
      <c r="AO1357" t="s">
        <v>101</v>
      </c>
      <c r="AQ1357" t="str">
        <f>"+17325908109"</f>
        <v>+17325908109</v>
      </c>
      <c r="AS1357" t="s">
        <v>1895</v>
      </c>
      <c r="AT1357" t="s">
        <v>102</v>
      </c>
      <c r="AU1357" t="str">
        <f>""</f>
        <v/>
      </c>
      <c r="AV1357" t="str">
        <f>""</f>
        <v/>
      </c>
      <c r="AW1357" t="str">
        <f>""</f>
        <v/>
      </c>
      <c r="AX1357" t="str">
        <f>""</f>
        <v/>
      </c>
      <c r="AY1357" t="str">
        <f>""</f>
        <v/>
      </c>
      <c r="AZ1357" t="str">
        <f>""</f>
        <v/>
      </c>
      <c r="BA1357" t="str">
        <f>""</f>
        <v/>
      </c>
      <c r="BC1357" t="str">
        <f>""</f>
        <v/>
      </c>
      <c r="BD1357" t="str">
        <f>""</f>
        <v/>
      </c>
      <c r="BE1357" t="str">
        <f>""</f>
        <v/>
      </c>
      <c r="BF1357" t="str">
        <f>""</f>
        <v/>
      </c>
      <c r="BG1357" t="str">
        <f>""</f>
        <v/>
      </c>
      <c r="BH1357" t="str">
        <f>""</f>
        <v/>
      </c>
      <c r="BI1357" t="str">
        <f>""</f>
        <v/>
      </c>
      <c r="BJ1357" t="str">
        <f>""</f>
        <v/>
      </c>
      <c r="BK1357">
        <v>1</v>
      </c>
      <c r="BL1357" t="s">
        <v>107</v>
      </c>
      <c r="BM1357" t="str">
        <f>"FIRST DATA CORPORATION"</f>
        <v>FIRST DATA CORPORATION</v>
      </c>
      <c r="BN1357" t="s">
        <v>8344</v>
      </c>
      <c r="BP1357" t="s">
        <v>189</v>
      </c>
      <c r="BQ1357" t="s">
        <v>189</v>
      </c>
      <c r="BR1357" t="s">
        <v>190</v>
      </c>
      <c r="BS1357" s="5">
        <v>10013</v>
      </c>
      <c r="BT1357" s="2">
        <v>120000</v>
      </c>
      <c r="BV1357" t="s">
        <v>105</v>
      </c>
      <c r="BW1357" s="2">
        <v>67766</v>
      </c>
      <c r="BX1357" t="s">
        <v>105</v>
      </c>
      <c r="BZ1357" t="s">
        <v>167</v>
      </c>
      <c r="CA1357" t="str">
        <f t="shared" si="105"/>
        <v>7/1/2020 - 6/30/2021</v>
      </c>
      <c r="CF1357">
        <v>1</v>
      </c>
      <c r="CG1357" t="s">
        <v>98</v>
      </c>
      <c r="CH1357" t="s">
        <v>98</v>
      </c>
      <c r="CI1357" t="s">
        <v>206</v>
      </c>
      <c r="CJ1357" t="s">
        <v>98</v>
      </c>
      <c r="CK1357" t="s">
        <v>12323</v>
      </c>
      <c r="CL1357" t="s">
        <v>108</v>
      </c>
      <c r="CM1357" t="s">
        <v>109</v>
      </c>
      <c r="CN1357" t="str">
        <f>""</f>
        <v/>
      </c>
      <c r="CO1357" t="str">
        <f>""</f>
        <v/>
      </c>
      <c r="CP1357" t="str">
        <f>""</f>
        <v/>
      </c>
      <c r="CQ1357" t="str">
        <f>""</f>
        <v/>
      </c>
    </row>
    <row r="1358" spans="1:96" x14ac:dyDescent="0.2">
      <c r="A1358" t="s">
        <v>8452</v>
      </c>
      <c r="B1358" t="s">
        <v>96</v>
      </c>
      <c r="C1358" s="1">
        <v>44099</v>
      </c>
      <c r="D1358" s="1">
        <v>44106</v>
      </c>
      <c r="F1358" t="s">
        <v>97</v>
      </c>
      <c r="G1358" t="str">
        <f>"Applications Consultant 2"</f>
        <v>Applications Consultant 2</v>
      </c>
      <c r="H1358" t="s">
        <v>12169</v>
      </c>
      <c r="I1358" t="s">
        <v>124</v>
      </c>
      <c r="J1358" t="s">
        <v>98</v>
      </c>
      <c r="K1358" s="1">
        <v>44105</v>
      </c>
      <c r="L1358" s="1">
        <v>45199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 t="s">
        <v>1421</v>
      </c>
      <c r="U1358" t="str">
        <f>""</f>
        <v/>
      </c>
      <c r="V1358" t="s">
        <v>4901</v>
      </c>
      <c r="W1358" t="str">
        <f>"Suite 300"</f>
        <v>Suite 300</v>
      </c>
      <c r="X1358" t="s">
        <v>833</v>
      </c>
      <c r="Y1358" t="s">
        <v>345</v>
      </c>
      <c r="Z1358" s="3">
        <v>60606</v>
      </c>
      <c r="AA1358" t="s">
        <v>101</v>
      </c>
      <c r="AC1358" s="4" t="str">
        <f>"+13123955000"</f>
        <v>+13123955000</v>
      </c>
      <c r="AE1358" t="str">
        <f>"5416"</f>
        <v>5416</v>
      </c>
      <c r="AF1358" t="s">
        <v>1385</v>
      </c>
      <c r="AG1358" t="s">
        <v>1386</v>
      </c>
      <c r="AI1358" t="s">
        <v>4902</v>
      </c>
      <c r="AJ1358" t="s">
        <v>4566</v>
      </c>
      <c r="AK1358" t="str">
        <f>""</f>
        <v/>
      </c>
      <c r="AL1358" t="s">
        <v>3243</v>
      </c>
      <c r="AM1358" t="s">
        <v>345</v>
      </c>
      <c r="AN1358" s="3">
        <v>60018</v>
      </c>
      <c r="AO1358" t="s">
        <v>101</v>
      </c>
      <c r="AQ1358" t="str">
        <f>"+18473846100"</f>
        <v>+18473846100</v>
      </c>
      <c r="AS1358" t="s">
        <v>4903</v>
      </c>
      <c r="AT1358" t="s">
        <v>102</v>
      </c>
      <c r="AU1358" t="str">
        <f>""</f>
        <v/>
      </c>
      <c r="AV1358" t="str">
        <f>""</f>
        <v/>
      </c>
      <c r="AW1358" t="str">
        <f>""</f>
        <v/>
      </c>
      <c r="AX1358" t="str">
        <f>""</f>
        <v/>
      </c>
      <c r="AY1358" t="str">
        <f>""</f>
        <v/>
      </c>
      <c r="AZ1358" t="str">
        <f>""</f>
        <v/>
      </c>
      <c r="BA1358" t="str">
        <f>""</f>
        <v/>
      </c>
      <c r="BC1358" t="str">
        <f>""</f>
        <v/>
      </c>
      <c r="BD1358" t="str">
        <f>""</f>
        <v/>
      </c>
      <c r="BE1358" t="str">
        <f>""</f>
        <v/>
      </c>
      <c r="BF1358" t="str">
        <f>""</f>
        <v/>
      </c>
      <c r="BG1358" t="str">
        <f>""</f>
        <v/>
      </c>
      <c r="BH1358" t="str">
        <f>""</f>
        <v/>
      </c>
      <c r="BI1358" t="str">
        <f>""</f>
        <v/>
      </c>
      <c r="BJ1358" t="str">
        <f>""</f>
        <v/>
      </c>
      <c r="BK1358">
        <v>1</v>
      </c>
      <c r="BL1358" t="s">
        <v>107</v>
      </c>
      <c r="BM1358" t="str">
        <f>"The Hartford Financial Services Group"</f>
        <v>The Hartford Financial Services Group</v>
      </c>
      <c r="BN1358" t="s">
        <v>1140</v>
      </c>
      <c r="BP1358" t="s">
        <v>1142</v>
      </c>
      <c r="BQ1358" t="s">
        <v>547</v>
      </c>
      <c r="BR1358" t="s">
        <v>280</v>
      </c>
      <c r="BS1358" s="5">
        <v>6155</v>
      </c>
      <c r="BT1358" s="2">
        <v>85571</v>
      </c>
      <c r="BU1358" s="2">
        <v>92000</v>
      </c>
      <c r="BV1358" t="s">
        <v>105</v>
      </c>
      <c r="BW1358" s="2">
        <v>85571</v>
      </c>
      <c r="BX1358" t="s">
        <v>105</v>
      </c>
      <c r="BZ1358" t="s">
        <v>167</v>
      </c>
      <c r="CA1358" t="str">
        <f t="shared" si="105"/>
        <v>7/1/2020 - 6/30/2021</v>
      </c>
      <c r="CF1358">
        <v>1</v>
      </c>
      <c r="CG1358" t="s">
        <v>98</v>
      </c>
      <c r="CH1358" t="s">
        <v>98</v>
      </c>
      <c r="CI1358" t="s">
        <v>206</v>
      </c>
      <c r="CJ1358" t="s">
        <v>98</v>
      </c>
      <c r="CK1358" t="s">
        <v>12323</v>
      </c>
      <c r="CL1358" t="s">
        <v>108</v>
      </c>
      <c r="CM1358" t="s">
        <v>109</v>
      </c>
      <c r="CN1358" t="str">
        <f>""</f>
        <v/>
      </c>
      <c r="CO1358" t="str">
        <f>""</f>
        <v/>
      </c>
      <c r="CP1358" t="str">
        <f>""</f>
        <v/>
      </c>
      <c r="CQ1358" t="str">
        <f>""</f>
        <v/>
      </c>
    </row>
    <row r="1359" spans="1:96" x14ac:dyDescent="0.2">
      <c r="A1359" t="s">
        <v>8629</v>
      </c>
      <c r="B1359" t="s">
        <v>96</v>
      </c>
      <c r="C1359" s="1">
        <v>44099</v>
      </c>
      <c r="D1359" s="1">
        <v>44106</v>
      </c>
      <c r="F1359" t="s">
        <v>97</v>
      </c>
      <c r="G1359" t="str">
        <f>"Oracle Netsuite Developer"</f>
        <v>Oracle Netsuite Developer</v>
      </c>
      <c r="H1359" t="s">
        <v>12169</v>
      </c>
      <c r="I1359" t="s">
        <v>124</v>
      </c>
      <c r="J1359" t="s">
        <v>98</v>
      </c>
      <c r="K1359" s="1">
        <v>44105</v>
      </c>
      <c r="L1359" s="1">
        <v>45199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8179</v>
      </c>
      <c r="U1359" t="str">
        <f>""</f>
        <v/>
      </c>
      <c r="V1359" t="s">
        <v>8180</v>
      </c>
      <c r="W1359" t="str">
        <f>"Suite 299"</f>
        <v>Suite 299</v>
      </c>
      <c r="X1359" t="s">
        <v>103</v>
      </c>
      <c r="Y1359" t="s">
        <v>100</v>
      </c>
      <c r="Z1359" s="3">
        <v>8854</v>
      </c>
      <c r="AA1359" t="s">
        <v>101</v>
      </c>
      <c r="AC1359" s="4" t="str">
        <f>"+17329934446"</f>
        <v>+17329934446</v>
      </c>
      <c r="AE1359" t="str">
        <f>"541511"</f>
        <v>541511</v>
      </c>
      <c r="AF1359" t="s">
        <v>5262</v>
      </c>
      <c r="AG1359" t="s">
        <v>2328</v>
      </c>
      <c r="AI1359" t="s">
        <v>818</v>
      </c>
      <c r="AJ1359" t="s">
        <v>8180</v>
      </c>
      <c r="AK1359" t="str">
        <f>"Suite 299"</f>
        <v>Suite 299</v>
      </c>
      <c r="AL1359" t="s">
        <v>103</v>
      </c>
      <c r="AM1359" t="s">
        <v>100</v>
      </c>
      <c r="AN1359" s="3">
        <v>8854</v>
      </c>
      <c r="AO1359" t="s">
        <v>101</v>
      </c>
      <c r="AQ1359" t="str">
        <f>"+17329934446"</f>
        <v>+17329934446</v>
      </c>
      <c r="AS1359" t="s">
        <v>8630</v>
      </c>
      <c r="AT1359" t="s">
        <v>102</v>
      </c>
      <c r="AU1359" t="str">
        <f>""</f>
        <v/>
      </c>
      <c r="AV1359" t="str">
        <f>""</f>
        <v/>
      </c>
      <c r="AW1359" t="str">
        <f>""</f>
        <v/>
      </c>
      <c r="AX1359" t="str">
        <f>""</f>
        <v/>
      </c>
      <c r="AY1359" t="str">
        <f>""</f>
        <v/>
      </c>
      <c r="AZ1359" t="str">
        <f>""</f>
        <v/>
      </c>
      <c r="BA1359" t="str">
        <f>""</f>
        <v/>
      </c>
      <c r="BC1359" t="str">
        <f>""</f>
        <v/>
      </c>
      <c r="BD1359" t="str">
        <f>""</f>
        <v/>
      </c>
      <c r="BE1359" t="str">
        <f>""</f>
        <v/>
      </c>
      <c r="BF1359" t="str">
        <f>""</f>
        <v/>
      </c>
      <c r="BG1359" t="str">
        <f>""</f>
        <v/>
      </c>
      <c r="BH1359" t="str">
        <f>""</f>
        <v/>
      </c>
      <c r="BI1359" t="str">
        <f>""</f>
        <v/>
      </c>
      <c r="BJ1359" t="str">
        <f>""</f>
        <v/>
      </c>
      <c r="BK1359">
        <v>1</v>
      </c>
      <c r="BL1359" t="s">
        <v>107</v>
      </c>
      <c r="BM1359" t="str">
        <f>"Controlled Products, LLC"</f>
        <v>Controlled Products, LLC</v>
      </c>
      <c r="BN1359" t="s">
        <v>8631</v>
      </c>
      <c r="BP1359" t="s">
        <v>8362</v>
      </c>
      <c r="BQ1359" t="s">
        <v>5639</v>
      </c>
      <c r="BR1359" t="s">
        <v>215</v>
      </c>
      <c r="BS1359" s="5">
        <v>30721</v>
      </c>
      <c r="BT1359" s="2">
        <v>68578</v>
      </c>
      <c r="BU1359" s="2">
        <v>69000</v>
      </c>
      <c r="BV1359" t="s">
        <v>105</v>
      </c>
      <c r="BW1359" s="2">
        <v>68578</v>
      </c>
      <c r="BX1359" t="s">
        <v>105</v>
      </c>
      <c r="BZ1359" t="s">
        <v>167</v>
      </c>
      <c r="CA1359" t="str">
        <f t="shared" si="105"/>
        <v>7/1/2020 - 6/30/2021</v>
      </c>
      <c r="CF1359">
        <v>1</v>
      </c>
      <c r="CG1359" t="s">
        <v>98</v>
      </c>
      <c r="CH1359" t="s">
        <v>98</v>
      </c>
      <c r="CI1359" t="s">
        <v>206</v>
      </c>
      <c r="CJ1359" t="s">
        <v>98</v>
      </c>
      <c r="CK1359" t="s">
        <v>12323</v>
      </c>
      <c r="CL1359" t="s">
        <v>108</v>
      </c>
      <c r="CM1359" t="s">
        <v>109</v>
      </c>
      <c r="CN1359" t="str">
        <f>""</f>
        <v/>
      </c>
      <c r="CO1359" t="str">
        <f>""</f>
        <v/>
      </c>
      <c r="CP1359" t="str">
        <f>""</f>
        <v/>
      </c>
      <c r="CQ1359" t="str">
        <f>""</f>
        <v/>
      </c>
    </row>
    <row r="1360" spans="1:96" x14ac:dyDescent="0.2">
      <c r="A1360" t="s">
        <v>8651</v>
      </c>
      <c r="B1360" t="s">
        <v>96</v>
      </c>
      <c r="C1360" s="1">
        <v>44099</v>
      </c>
      <c r="D1360" s="1">
        <v>44106</v>
      </c>
      <c r="F1360" t="s">
        <v>97</v>
      </c>
      <c r="G1360" t="str">
        <f>"Software Architect"</f>
        <v>Software Architect</v>
      </c>
      <c r="H1360" t="s">
        <v>12169</v>
      </c>
      <c r="I1360" t="s">
        <v>124</v>
      </c>
      <c r="J1360" t="s">
        <v>98</v>
      </c>
      <c r="K1360" s="1">
        <v>44099</v>
      </c>
      <c r="L1360" s="1">
        <v>45193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 t="s">
        <v>7416</v>
      </c>
      <c r="U1360" t="str">
        <f>""</f>
        <v/>
      </c>
      <c r="V1360" t="s">
        <v>7417</v>
      </c>
      <c r="W1360" t="str">
        <f>"SUITE 300"</f>
        <v>SUITE 300</v>
      </c>
      <c r="X1360" t="s">
        <v>1985</v>
      </c>
      <c r="Y1360" t="s">
        <v>345</v>
      </c>
      <c r="Z1360" s="3">
        <v>60173</v>
      </c>
      <c r="AA1360" t="s">
        <v>101</v>
      </c>
      <c r="AC1360" s="4" t="str">
        <f>"+18473640486"</f>
        <v>+18473640486</v>
      </c>
      <c r="AE1360" t="str">
        <f>"541511"</f>
        <v>541511</v>
      </c>
      <c r="AF1360" t="s">
        <v>637</v>
      </c>
      <c r="AG1360" t="s">
        <v>7418</v>
      </c>
      <c r="AI1360" t="s">
        <v>425</v>
      </c>
      <c r="AJ1360" t="s">
        <v>7417</v>
      </c>
      <c r="AK1360" t="str">
        <f>"SUITE 300"</f>
        <v>SUITE 300</v>
      </c>
      <c r="AL1360" t="s">
        <v>1985</v>
      </c>
      <c r="AM1360" t="s">
        <v>345</v>
      </c>
      <c r="AN1360" s="3">
        <v>60173</v>
      </c>
      <c r="AO1360" t="s">
        <v>101</v>
      </c>
      <c r="AQ1360" t="str">
        <f>"+18473640486"</f>
        <v>+18473640486</v>
      </c>
      <c r="AS1360" t="s">
        <v>7419</v>
      </c>
      <c r="AT1360" t="s">
        <v>107</v>
      </c>
      <c r="AU1360" t="str">
        <f>"ESILY"</f>
        <v>ESILY</v>
      </c>
      <c r="AV1360" t="str">
        <f>"HADY"</f>
        <v>HADY</v>
      </c>
      <c r="AW1360" t="str">
        <f>""</f>
        <v/>
      </c>
      <c r="AX1360" t="str">
        <f>"802 E WOODFIELD ROAD"</f>
        <v>802 E WOODFIELD ROAD</v>
      </c>
      <c r="AY1360" t="str">
        <f>"SUITE G 400"</f>
        <v>SUITE G 400</v>
      </c>
      <c r="AZ1360" t="str">
        <f>"SCHAUMBURG"</f>
        <v>SCHAUMBURG</v>
      </c>
      <c r="BA1360" t="str">
        <f>"IL"</f>
        <v>IL</v>
      </c>
      <c r="BB1360" s="3">
        <v>60173</v>
      </c>
      <c r="BC1360" t="str">
        <f>"UNITED STATES OF AMERICA"</f>
        <v>UNITED STATES OF AMERICA</v>
      </c>
      <c r="BD1360" t="str">
        <f>""</f>
        <v/>
      </c>
      <c r="BE1360" t="str">
        <f>"+18479951515"</f>
        <v>+18479951515</v>
      </c>
      <c r="BF1360" t="str">
        <f>"240"</f>
        <v>240</v>
      </c>
      <c r="BG1360" t="str">
        <f>"ICERT@BIZLEGALSERVICES.COM"</f>
        <v>ICERT@BIZLEGALSERVICES.COM</v>
      </c>
      <c r="BH1360" t="str">
        <f>"INTERNATIONAL LEGAL AND BUSINESS SERVICES GROUP LLP"</f>
        <v>INTERNATIONAL LEGAL AND BUSINESS SERVICES GROUP LLP</v>
      </c>
      <c r="BI1360" t="str">
        <f>"IL"</f>
        <v>IL</v>
      </c>
      <c r="BJ1360" t="str">
        <f>"ILLINOIS SUPREME COURT"</f>
        <v>ILLINOIS SUPREME COURT</v>
      </c>
      <c r="BK1360">
        <v>1</v>
      </c>
      <c r="BL1360" t="s">
        <v>107</v>
      </c>
      <c r="BM1360" t="str">
        <f>"Kaiser Permanente"</f>
        <v>Kaiser Permanente</v>
      </c>
      <c r="BN1360" t="s">
        <v>8652</v>
      </c>
      <c r="BP1360" t="s">
        <v>3033</v>
      </c>
      <c r="BQ1360" t="s">
        <v>365</v>
      </c>
      <c r="BR1360" t="s">
        <v>141</v>
      </c>
      <c r="BS1360" s="5">
        <v>91103</v>
      </c>
      <c r="BT1360" s="2">
        <v>99632</v>
      </c>
      <c r="BU1360" s="2">
        <v>99633</v>
      </c>
      <c r="BV1360" t="s">
        <v>105</v>
      </c>
      <c r="BW1360" s="2">
        <v>99632</v>
      </c>
      <c r="BX1360" t="s">
        <v>105</v>
      </c>
      <c r="BZ1360" t="s">
        <v>167</v>
      </c>
      <c r="CA1360" t="str">
        <f t="shared" si="105"/>
        <v>7/1/2020 - 6/30/2021</v>
      </c>
      <c r="CF1360">
        <v>2</v>
      </c>
      <c r="CG1360" t="s">
        <v>98</v>
      </c>
      <c r="CH1360" t="s">
        <v>98</v>
      </c>
      <c r="CI1360" t="s">
        <v>206</v>
      </c>
      <c r="CJ1360" t="s">
        <v>98</v>
      </c>
      <c r="CK1360" t="s">
        <v>12323</v>
      </c>
      <c r="CL1360" t="s">
        <v>108</v>
      </c>
      <c r="CM1360" t="s">
        <v>109</v>
      </c>
      <c r="CN1360" t="str">
        <f>""</f>
        <v/>
      </c>
      <c r="CO1360" t="str">
        <f>""</f>
        <v/>
      </c>
      <c r="CP1360" t="str">
        <f>""</f>
        <v/>
      </c>
      <c r="CQ1360" t="str">
        <f>""</f>
        <v/>
      </c>
    </row>
    <row r="1361" spans="1:96" x14ac:dyDescent="0.2">
      <c r="A1361" t="s">
        <v>8677</v>
      </c>
      <c r="B1361" t="s">
        <v>96</v>
      </c>
      <c r="C1361" s="1">
        <v>44099</v>
      </c>
      <c r="D1361" s="1">
        <v>44106</v>
      </c>
      <c r="F1361" t="s">
        <v>97</v>
      </c>
      <c r="G1361" t="str">
        <f>"Lead Software Developer"</f>
        <v>Lead Software Developer</v>
      </c>
      <c r="H1361" t="s">
        <v>12169</v>
      </c>
      <c r="I1361" t="s">
        <v>124</v>
      </c>
      <c r="J1361" t="s">
        <v>98</v>
      </c>
      <c r="K1361" s="1">
        <v>44106</v>
      </c>
      <c r="L1361" s="1">
        <v>45200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6627</v>
      </c>
      <c r="U1361" t="str">
        <f>""</f>
        <v/>
      </c>
      <c r="V1361" t="s">
        <v>2762</v>
      </c>
      <c r="W1361" t="str">
        <f>"Suite G"</f>
        <v>Suite G</v>
      </c>
      <c r="X1361" t="s">
        <v>2646</v>
      </c>
      <c r="Y1361" t="s">
        <v>100</v>
      </c>
      <c r="Z1361" s="3">
        <v>8816</v>
      </c>
      <c r="AA1361" t="s">
        <v>101</v>
      </c>
      <c r="AC1361" s="4" t="str">
        <f>"+18884100270"</f>
        <v>+18884100270</v>
      </c>
      <c r="AE1361" t="str">
        <f>"541511"</f>
        <v>541511</v>
      </c>
      <c r="AF1361" t="s">
        <v>2763</v>
      </c>
      <c r="AG1361" t="s">
        <v>2764</v>
      </c>
      <c r="AI1361" t="s">
        <v>508</v>
      </c>
      <c r="AJ1361" t="s">
        <v>2762</v>
      </c>
      <c r="AK1361" t="str">
        <f>"Suite G"</f>
        <v>Suite G</v>
      </c>
      <c r="AL1361" t="s">
        <v>2646</v>
      </c>
      <c r="AM1361" t="s">
        <v>100</v>
      </c>
      <c r="AN1361" s="3">
        <v>8816</v>
      </c>
      <c r="AO1361" t="s">
        <v>101</v>
      </c>
      <c r="AQ1361" t="str">
        <f>"+18884100270"</f>
        <v>+18884100270</v>
      </c>
      <c r="AS1361" t="s">
        <v>6628</v>
      </c>
      <c r="AT1361" t="s">
        <v>102</v>
      </c>
      <c r="AU1361" t="str">
        <f>""</f>
        <v/>
      </c>
      <c r="AV1361" t="str">
        <f>""</f>
        <v/>
      </c>
      <c r="AW1361" t="str">
        <f>""</f>
        <v/>
      </c>
      <c r="AX1361" t="str">
        <f>""</f>
        <v/>
      </c>
      <c r="AY1361" t="str">
        <f>""</f>
        <v/>
      </c>
      <c r="AZ1361" t="str">
        <f>""</f>
        <v/>
      </c>
      <c r="BA1361" t="str">
        <f>""</f>
        <v/>
      </c>
      <c r="BC1361" t="str">
        <f>""</f>
        <v/>
      </c>
      <c r="BD1361" t="str">
        <f>""</f>
        <v/>
      </c>
      <c r="BE1361" t="str">
        <f>""</f>
        <v/>
      </c>
      <c r="BF1361" t="str">
        <f>""</f>
        <v/>
      </c>
      <c r="BG1361" t="str">
        <f>""</f>
        <v/>
      </c>
      <c r="BH1361" t="str">
        <f>""</f>
        <v/>
      </c>
      <c r="BI1361" t="str">
        <f>""</f>
        <v/>
      </c>
      <c r="BJ1361" t="str">
        <f>""</f>
        <v/>
      </c>
      <c r="BK1361">
        <v>1</v>
      </c>
      <c r="BL1361" t="s">
        <v>107</v>
      </c>
      <c r="BM1361" t="str">
        <f>"Worldwide Express LLC"</f>
        <v>Worldwide Express LLC</v>
      </c>
      <c r="BN1361" t="s">
        <v>8678</v>
      </c>
      <c r="BO1361" t="s">
        <v>1056</v>
      </c>
      <c r="BP1361" t="s">
        <v>595</v>
      </c>
      <c r="BQ1361" t="s">
        <v>484</v>
      </c>
      <c r="BR1361" t="s">
        <v>114</v>
      </c>
      <c r="BS1361" s="5">
        <v>75219</v>
      </c>
      <c r="BT1361" s="2">
        <v>60</v>
      </c>
      <c r="BU1361" s="2">
        <v>70</v>
      </c>
      <c r="BV1361" t="s">
        <v>210</v>
      </c>
      <c r="BW1361" s="2">
        <v>44.98</v>
      </c>
      <c r="BX1361" t="s">
        <v>210</v>
      </c>
      <c r="BZ1361" t="s">
        <v>167</v>
      </c>
      <c r="CA1361" t="str">
        <f t="shared" si="105"/>
        <v>7/1/2020 - 6/30/2021</v>
      </c>
      <c r="CF1361">
        <v>2</v>
      </c>
      <c r="CG1361" t="s">
        <v>98</v>
      </c>
      <c r="CH1361" t="s">
        <v>98</v>
      </c>
      <c r="CI1361" t="s">
        <v>206</v>
      </c>
      <c r="CJ1361" t="s">
        <v>98</v>
      </c>
      <c r="CK1361" t="s">
        <v>12323</v>
      </c>
      <c r="CL1361" t="s">
        <v>108</v>
      </c>
      <c r="CM1361" t="s">
        <v>109</v>
      </c>
      <c r="CN1361" t="str">
        <f>""</f>
        <v/>
      </c>
      <c r="CO1361" t="str">
        <f>""</f>
        <v/>
      </c>
      <c r="CP1361" t="str">
        <f>""</f>
        <v/>
      </c>
      <c r="CQ1361" t="str">
        <f>""</f>
        <v/>
      </c>
    </row>
    <row r="1362" spans="1:96" x14ac:dyDescent="0.2">
      <c r="A1362" t="s">
        <v>8721</v>
      </c>
      <c r="B1362" t="s">
        <v>96</v>
      </c>
      <c r="C1362" s="1">
        <v>44099</v>
      </c>
      <c r="D1362" s="1">
        <v>44106</v>
      </c>
      <c r="F1362" t="s">
        <v>97</v>
      </c>
      <c r="G1362" t="str">
        <f>"Senior Software Developer"</f>
        <v>Senior Software Developer</v>
      </c>
      <c r="H1362" t="s">
        <v>12169</v>
      </c>
      <c r="I1362" t="s">
        <v>124</v>
      </c>
      <c r="J1362" t="s">
        <v>98</v>
      </c>
      <c r="K1362" s="1">
        <v>44106</v>
      </c>
      <c r="L1362" s="1">
        <v>45200</v>
      </c>
      <c r="M1362">
        <v>6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 t="s">
        <v>1634</v>
      </c>
      <c r="U1362" t="str">
        <f>"Mastech Digital Technologies, Inc."</f>
        <v>Mastech Digital Technologies, Inc.</v>
      </c>
      <c r="V1362" t="s">
        <v>1081</v>
      </c>
      <c r="W1362" t="str">
        <f>"Building 210, Suite 400"</f>
        <v>Building 210, Suite 400</v>
      </c>
      <c r="X1362" t="s">
        <v>1082</v>
      </c>
      <c r="Y1362" t="s">
        <v>127</v>
      </c>
      <c r="Z1362" s="3">
        <v>15018</v>
      </c>
      <c r="AA1362" t="s">
        <v>101</v>
      </c>
      <c r="AB1362" t="s">
        <v>127</v>
      </c>
      <c r="AC1362" s="4" t="str">
        <f>"+14127879553"</f>
        <v>+14127879553</v>
      </c>
      <c r="AE1362" t="str">
        <f>"541511"</f>
        <v>541511</v>
      </c>
      <c r="AF1362" t="s">
        <v>1083</v>
      </c>
      <c r="AG1362" t="s">
        <v>1084</v>
      </c>
      <c r="AI1362" t="s">
        <v>1085</v>
      </c>
      <c r="AJ1362" t="s">
        <v>1081</v>
      </c>
      <c r="AK1362" t="str">
        <f>"Bldg. 210, Ste 400"</f>
        <v>Bldg. 210, Ste 400</v>
      </c>
      <c r="AL1362" t="s">
        <v>1082</v>
      </c>
      <c r="AM1362" t="s">
        <v>127</v>
      </c>
      <c r="AN1362" s="3">
        <v>15108</v>
      </c>
      <c r="AO1362" t="s">
        <v>101</v>
      </c>
      <c r="AQ1362" t="str">
        <f>"+14127879553"</f>
        <v>+14127879553</v>
      </c>
      <c r="AS1362" t="s">
        <v>1086</v>
      </c>
      <c r="AT1362" t="s">
        <v>102</v>
      </c>
      <c r="AU1362" t="str">
        <f>""</f>
        <v/>
      </c>
      <c r="AV1362" t="str">
        <f>""</f>
        <v/>
      </c>
      <c r="AW1362" t="str">
        <f>""</f>
        <v/>
      </c>
      <c r="AX1362" t="str">
        <f>""</f>
        <v/>
      </c>
      <c r="AY1362" t="str">
        <f>""</f>
        <v/>
      </c>
      <c r="AZ1362" t="str">
        <f>""</f>
        <v/>
      </c>
      <c r="BA1362" t="str">
        <f>""</f>
        <v/>
      </c>
      <c r="BC1362" t="str">
        <f>""</f>
        <v/>
      </c>
      <c r="BD1362" t="str">
        <f>""</f>
        <v/>
      </c>
      <c r="BE1362" t="str">
        <f>""</f>
        <v/>
      </c>
      <c r="BF1362" t="str">
        <f>""</f>
        <v/>
      </c>
      <c r="BG1362" t="str">
        <f>""</f>
        <v/>
      </c>
      <c r="BH1362" t="str">
        <f>""</f>
        <v/>
      </c>
      <c r="BI1362" t="str">
        <f>""</f>
        <v/>
      </c>
      <c r="BJ1362" t="str">
        <f>""</f>
        <v/>
      </c>
      <c r="BK1362">
        <v>6</v>
      </c>
      <c r="BL1362" t="s">
        <v>107</v>
      </c>
      <c r="BM1362" t="str">
        <f>"United States Postal Service"</f>
        <v>United States Postal Service</v>
      </c>
      <c r="BN1362" t="s">
        <v>8722</v>
      </c>
      <c r="BP1362" t="s">
        <v>3882</v>
      </c>
      <c r="BQ1362" t="s">
        <v>3961</v>
      </c>
      <c r="BR1362" t="s">
        <v>186</v>
      </c>
      <c r="BS1362" s="5">
        <v>55121</v>
      </c>
      <c r="BT1362" s="2">
        <v>50.83</v>
      </c>
      <c r="BU1362" s="2">
        <v>50.93</v>
      </c>
      <c r="BV1362" t="s">
        <v>210</v>
      </c>
      <c r="BW1362" s="2">
        <v>50.83</v>
      </c>
      <c r="BX1362" t="s">
        <v>210</v>
      </c>
      <c r="BZ1362" t="s">
        <v>123</v>
      </c>
      <c r="CA1362" t="str">
        <f t="shared" ref="CA1362:CA1393" si="106">"7/1/2020 - 6/30/2021"</f>
        <v>7/1/2020 - 6/30/2021</v>
      </c>
      <c r="CF1362">
        <v>2</v>
      </c>
      <c r="CG1362" t="s">
        <v>98</v>
      </c>
      <c r="CH1362" t="s">
        <v>98</v>
      </c>
      <c r="CI1362" t="s">
        <v>206</v>
      </c>
      <c r="CJ1362" t="s">
        <v>98</v>
      </c>
      <c r="CK1362" t="s">
        <v>12323</v>
      </c>
      <c r="CL1362" t="s">
        <v>108</v>
      </c>
      <c r="CM1362" t="s">
        <v>109</v>
      </c>
      <c r="CN1362" t="str">
        <f>""</f>
        <v/>
      </c>
      <c r="CO1362" t="str">
        <f>""</f>
        <v/>
      </c>
      <c r="CP1362" t="str">
        <f>""</f>
        <v/>
      </c>
      <c r="CQ1362" t="str">
        <f>""</f>
        <v/>
      </c>
    </row>
    <row r="1363" spans="1:96" x14ac:dyDescent="0.2">
      <c r="A1363" t="s">
        <v>8752</v>
      </c>
      <c r="B1363" t="s">
        <v>96</v>
      </c>
      <c r="C1363" s="1">
        <v>44099</v>
      </c>
      <c r="D1363" s="1">
        <v>44106</v>
      </c>
      <c r="F1363" t="s">
        <v>97</v>
      </c>
      <c r="G1363" t="str">
        <f>"Application Developer"</f>
        <v>Application Developer</v>
      </c>
      <c r="H1363" t="s">
        <v>12169</v>
      </c>
      <c r="I1363" t="s">
        <v>124</v>
      </c>
      <c r="J1363" t="s">
        <v>98</v>
      </c>
      <c r="K1363" s="1">
        <v>44105</v>
      </c>
      <c r="L1363" s="1">
        <v>45199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6660</v>
      </c>
      <c r="U1363" t="str">
        <f>""</f>
        <v/>
      </c>
      <c r="V1363" t="s">
        <v>6661</v>
      </c>
      <c r="W1363" t="str">
        <f>"Suite # 187"</f>
        <v>Suite # 187</v>
      </c>
      <c r="X1363" t="s">
        <v>297</v>
      </c>
      <c r="Y1363" t="s">
        <v>114</v>
      </c>
      <c r="Z1363" s="3">
        <v>75023</v>
      </c>
      <c r="AA1363" t="s">
        <v>101</v>
      </c>
      <c r="AC1363" s="4" t="str">
        <f>"+14692778291"</f>
        <v>+14692778291</v>
      </c>
      <c r="AE1363" t="str">
        <f>"541511"</f>
        <v>541511</v>
      </c>
      <c r="AF1363" t="s">
        <v>6662</v>
      </c>
      <c r="AG1363" t="s">
        <v>4229</v>
      </c>
      <c r="AI1363" t="s">
        <v>646</v>
      </c>
      <c r="AJ1363" t="s">
        <v>6663</v>
      </c>
      <c r="AK1363" t="str">
        <f>"Suite #187"</f>
        <v>Suite #187</v>
      </c>
      <c r="AL1363" t="s">
        <v>297</v>
      </c>
      <c r="AM1363" t="s">
        <v>114</v>
      </c>
      <c r="AN1363" s="3">
        <v>75023</v>
      </c>
      <c r="AO1363" t="s">
        <v>101</v>
      </c>
      <c r="AQ1363" t="str">
        <f>"+14692778291"</f>
        <v>+14692778291</v>
      </c>
      <c r="AS1363" t="s">
        <v>6664</v>
      </c>
      <c r="AT1363" t="s">
        <v>107</v>
      </c>
      <c r="AU1363" t="str">
        <f>"Mahajan"</f>
        <v>Mahajan</v>
      </c>
      <c r="AV1363" t="str">
        <f>"Vandana"</f>
        <v>Vandana</v>
      </c>
      <c r="AW1363" t="str">
        <f>""</f>
        <v/>
      </c>
      <c r="AX1363" t="str">
        <f>"3101 Ashbrook Lane"</f>
        <v>3101 Ashbrook Lane</v>
      </c>
      <c r="AY1363" t="str">
        <f>""</f>
        <v/>
      </c>
      <c r="AZ1363" t="str">
        <f>"San Ramon"</f>
        <v>San Ramon</v>
      </c>
      <c r="BA1363" t="str">
        <f>"CA"</f>
        <v>CA</v>
      </c>
      <c r="BB1363" s="3">
        <v>94582</v>
      </c>
      <c r="BC1363" t="str">
        <f>"UNITED STATES OF AMERICA"</f>
        <v>UNITED STATES OF AMERICA</v>
      </c>
      <c r="BD1363" t="str">
        <f>""</f>
        <v/>
      </c>
      <c r="BE1363" t="str">
        <f>"+15107318348"</f>
        <v>+15107318348</v>
      </c>
      <c r="BF1363" t="str">
        <f>""</f>
        <v/>
      </c>
      <c r="BG1363" t="str">
        <f>"vandana@vivaimmigrationinc.com"</f>
        <v>vandana@vivaimmigrationinc.com</v>
      </c>
      <c r="BH1363" t="str">
        <f>"Viva Immigration Inc"</f>
        <v>Viva Immigration Inc</v>
      </c>
      <c r="BI1363" t="str">
        <f>""</f>
        <v/>
      </c>
      <c r="BJ1363" t="str">
        <f>""</f>
        <v/>
      </c>
      <c r="BK1363">
        <v>1</v>
      </c>
      <c r="BL1363" t="s">
        <v>107</v>
      </c>
      <c r="BM1363" t="str">
        <f>"New Island Pharmacy Inc"</f>
        <v>New Island Pharmacy Inc</v>
      </c>
      <c r="BN1363" t="s">
        <v>6665</v>
      </c>
      <c r="BP1363" t="s">
        <v>8753</v>
      </c>
      <c r="BQ1363" t="s">
        <v>1354</v>
      </c>
      <c r="BR1363" t="s">
        <v>190</v>
      </c>
      <c r="BS1363" s="5">
        <v>11729</v>
      </c>
      <c r="BT1363" s="2">
        <v>100526</v>
      </c>
      <c r="BV1363" t="s">
        <v>105</v>
      </c>
      <c r="BW1363" s="2">
        <v>100526</v>
      </c>
      <c r="BX1363" t="s">
        <v>105</v>
      </c>
      <c r="BZ1363" t="s">
        <v>167</v>
      </c>
      <c r="CA1363" t="str">
        <f t="shared" si="106"/>
        <v>7/1/2020 - 6/30/2021</v>
      </c>
      <c r="CF1363">
        <v>1</v>
      </c>
      <c r="CG1363" t="s">
        <v>98</v>
      </c>
      <c r="CH1363" t="s">
        <v>98</v>
      </c>
      <c r="CI1363" t="s">
        <v>206</v>
      </c>
      <c r="CJ1363" t="s">
        <v>98</v>
      </c>
      <c r="CK1363" t="s">
        <v>12323</v>
      </c>
      <c r="CL1363" t="s">
        <v>108</v>
      </c>
      <c r="CM1363" t="s">
        <v>109</v>
      </c>
      <c r="CN1363" t="str">
        <f>"Mahajan"</f>
        <v>Mahajan</v>
      </c>
      <c r="CO1363" t="str">
        <f>"Vandana"</f>
        <v>Vandana</v>
      </c>
      <c r="CP1363" t="str">
        <f>""</f>
        <v/>
      </c>
      <c r="CQ1363" t="str">
        <f>"Viva Immigration Inc"</f>
        <v>Viva Immigration Inc</v>
      </c>
      <c r="CR1363" t="s">
        <v>4321</v>
      </c>
    </row>
    <row r="1364" spans="1:96" x14ac:dyDescent="0.2">
      <c r="A1364" t="s">
        <v>8761</v>
      </c>
      <c r="B1364" t="s">
        <v>96</v>
      </c>
      <c r="C1364" s="1">
        <v>44099</v>
      </c>
      <c r="D1364" s="1">
        <v>44106</v>
      </c>
      <c r="F1364" t="s">
        <v>97</v>
      </c>
      <c r="G1364" t="str">
        <f>"Lead Test Engineer"</f>
        <v>Lead Test Engineer</v>
      </c>
      <c r="H1364" t="s">
        <v>12168</v>
      </c>
      <c r="I1364" t="s">
        <v>319</v>
      </c>
      <c r="J1364" t="s">
        <v>98</v>
      </c>
      <c r="K1364" s="1">
        <v>44126</v>
      </c>
      <c r="L1364" s="1">
        <v>45220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1300</v>
      </c>
      <c r="U1364" t="str">
        <f>""</f>
        <v/>
      </c>
      <c r="V1364" t="s">
        <v>3363</v>
      </c>
      <c r="W1364" t="str">
        <f>"4th Floor"</f>
        <v>4th Floor</v>
      </c>
      <c r="X1364" t="s">
        <v>585</v>
      </c>
      <c r="Y1364" t="s">
        <v>141</v>
      </c>
      <c r="Z1364" s="3">
        <v>95110</v>
      </c>
      <c r="AA1364" t="s">
        <v>101</v>
      </c>
      <c r="AC1364" s="4" t="str">
        <f>"+14082738900"</f>
        <v>+14082738900</v>
      </c>
      <c r="AE1364" t="str">
        <f>"541512"</f>
        <v>541512</v>
      </c>
      <c r="AF1364" t="s">
        <v>3364</v>
      </c>
      <c r="AG1364" t="s">
        <v>3365</v>
      </c>
      <c r="AH1364" t="s">
        <v>1126</v>
      </c>
      <c r="AI1364" t="s">
        <v>1304</v>
      </c>
      <c r="AJ1364" t="s">
        <v>1301</v>
      </c>
      <c r="AK1364" t="str">
        <f>"4th FLOOR"</f>
        <v>4th FLOOR</v>
      </c>
      <c r="AL1364" t="s">
        <v>585</v>
      </c>
      <c r="AM1364" t="s">
        <v>141</v>
      </c>
      <c r="AN1364" s="3">
        <v>95110</v>
      </c>
      <c r="AO1364" t="s">
        <v>101</v>
      </c>
      <c r="AQ1364" t="str">
        <f>"+14082738900"</f>
        <v>+14082738900</v>
      </c>
      <c r="AS1364" t="s">
        <v>3366</v>
      </c>
      <c r="AT1364" t="s">
        <v>102</v>
      </c>
      <c r="AU1364" t="str">
        <f>""</f>
        <v/>
      </c>
      <c r="AV1364" t="str">
        <f>""</f>
        <v/>
      </c>
      <c r="AW1364" t="str">
        <f>""</f>
        <v/>
      </c>
      <c r="AX1364" t="str">
        <f>""</f>
        <v/>
      </c>
      <c r="AY1364" t="str">
        <f>""</f>
        <v/>
      </c>
      <c r="AZ1364" t="str">
        <f>""</f>
        <v/>
      </c>
      <c r="BA1364" t="str">
        <f>""</f>
        <v/>
      </c>
      <c r="BC1364" t="str">
        <f>""</f>
        <v/>
      </c>
      <c r="BD1364" t="str">
        <f>""</f>
        <v/>
      </c>
      <c r="BE1364" t="str">
        <f>""</f>
        <v/>
      </c>
      <c r="BF1364" t="str">
        <f>""</f>
        <v/>
      </c>
      <c r="BG1364" t="str">
        <f>""</f>
        <v/>
      </c>
      <c r="BH1364" t="str">
        <f>""</f>
        <v/>
      </c>
      <c r="BI1364" t="str">
        <f>""</f>
        <v/>
      </c>
      <c r="BJ1364" t="str">
        <f>""</f>
        <v/>
      </c>
      <c r="BK1364">
        <v>1</v>
      </c>
      <c r="BL1364" t="s">
        <v>107</v>
      </c>
      <c r="BM1364" t="str">
        <f>"Verizon Sourcing LLC"</f>
        <v>Verizon Sourcing LLC</v>
      </c>
      <c r="BN1364" t="s">
        <v>6560</v>
      </c>
      <c r="BP1364" t="s">
        <v>2302</v>
      </c>
      <c r="BQ1364" t="s">
        <v>3935</v>
      </c>
      <c r="BR1364" t="s">
        <v>171</v>
      </c>
      <c r="BS1364" s="5">
        <v>2451</v>
      </c>
      <c r="BT1364" s="2">
        <v>108597</v>
      </c>
      <c r="BU1364" s="2">
        <v>120000</v>
      </c>
      <c r="BV1364" t="s">
        <v>105</v>
      </c>
      <c r="BW1364" s="2">
        <v>108597</v>
      </c>
      <c r="BX1364" t="s">
        <v>105</v>
      </c>
      <c r="BZ1364" t="s">
        <v>159</v>
      </c>
      <c r="CA1364" t="str">
        <f t="shared" si="106"/>
        <v>7/1/2020 - 6/30/2021</v>
      </c>
      <c r="CF1364">
        <v>2</v>
      </c>
      <c r="CG1364" t="s">
        <v>98</v>
      </c>
      <c r="CH1364" t="s">
        <v>98</v>
      </c>
      <c r="CI1364" t="s">
        <v>206</v>
      </c>
      <c r="CJ1364" t="s">
        <v>98</v>
      </c>
      <c r="CK1364" t="s">
        <v>12323</v>
      </c>
      <c r="CL1364" t="s">
        <v>108</v>
      </c>
      <c r="CM1364" t="s">
        <v>109</v>
      </c>
      <c r="CN1364" t="str">
        <f>"N/A"</f>
        <v>N/A</v>
      </c>
      <c r="CO1364" t="str">
        <f>"N/A"</f>
        <v>N/A</v>
      </c>
      <c r="CP1364" t="str">
        <f>"N/A"</f>
        <v>N/A</v>
      </c>
      <c r="CQ1364" t="str">
        <f>"Not applicable"</f>
        <v>Not applicable</v>
      </c>
      <c r="CR1364" t="s">
        <v>108</v>
      </c>
    </row>
    <row r="1365" spans="1:96" x14ac:dyDescent="0.2">
      <c r="A1365" t="s">
        <v>8790</v>
      </c>
      <c r="B1365" t="s">
        <v>96</v>
      </c>
      <c r="C1365" s="1">
        <v>44099</v>
      </c>
      <c r="D1365" s="1">
        <v>44106</v>
      </c>
      <c r="F1365" t="s">
        <v>97</v>
      </c>
      <c r="G1365" t="str">
        <f>"ASSOCIATE SPECIALIST - TECHNOLOGY"</f>
        <v>ASSOCIATE SPECIALIST - TECHNOLOGY</v>
      </c>
      <c r="H1365" t="s">
        <v>12169</v>
      </c>
      <c r="I1365" t="s">
        <v>124</v>
      </c>
      <c r="J1365" t="s">
        <v>98</v>
      </c>
      <c r="K1365" s="1">
        <v>44106</v>
      </c>
      <c r="L1365" s="1">
        <v>45200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 t="s">
        <v>3071</v>
      </c>
      <c r="U1365" t="str">
        <f>""</f>
        <v/>
      </c>
      <c r="V1365" t="s">
        <v>3072</v>
      </c>
      <c r="W1365" t="str">
        <f>"SUITE 3301"</f>
        <v>SUITE 3301</v>
      </c>
      <c r="X1365" t="s">
        <v>189</v>
      </c>
      <c r="Y1365" t="s">
        <v>190</v>
      </c>
      <c r="Z1365" s="3">
        <v>10036</v>
      </c>
      <c r="AA1365" t="s">
        <v>101</v>
      </c>
      <c r="AC1365" s="4" t="str">
        <f>"+17047631255"</f>
        <v>+17047631255</v>
      </c>
      <c r="AE1365" t="str">
        <f>"541511"</f>
        <v>541511</v>
      </c>
      <c r="AF1365" t="s">
        <v>3073</v>
      </c>
      <c r="AG1365" t="s">
        <v>3074</v>
      </c>
      <c r="AI1365" t="s">
        <v>3075</v>
      </c>
      <c r="AJ1365" t="s">
        <v>3072</v>
      </c>
      <c r="AK1365" t="str">
        <f>"SUITE 3301"</f>
        <v>SUITE 3301</v>
      </c>
      <c r="AL1365" t="s">
        <v>189</v>
      </c>
      <c r="AM1365" t="s">
        <v>190</v>
      </c>
      <c r="AN1365" s="3">
        <v>10036</v>
      </c>
      <c r="AO1365" t="s">
        <v>101</v>
      </c>
      <c r="AQ1365" t="str">
        <f>"+17047631255"</f>
        <v>+17047631255</v>
      </c>
      <c r="AS1365" t="s">
        <v>3076</v>
      </c>
      <c r="AT1365" t="s">
        <v>107</v>
      </c>
      <c r="AU1365" t="str">
        <f>"JETHMALANI"</f>
        <v>JETHMALANI</v>
      </c>
      <c r="AV1365" t="str">
        <f>"ANIL"</f>
        <v>ANIL</v>
      </c>
      <c r="AW1365" t="str">
        <f>""</f>
        <v/>
      </c>
      <c r="AX1365" t="str">
        <f>"42 BROADWAY"</f>
        <v>42 BROADWAY</v>
      </c>
      <c r="AY1365" t="str">
        <f>"SUITE 1548"</f>
        <v>SUITE 1548</v>
      </c>
      <c r="AZ1365" t="str">
        <f>"NEW YORK"</f>
        <v>NEW YORK</v>
      </c>
      <c r="BA1365" t="str">
        <f>"NY"</f>
        <v>NY</v>
      </c>
      <c r="BB1365" s="3">
        <v>10004</v>
      </c>
      <c r="BC1365" t="str">
        <f>"UNITED STATES OF AMERICA"</f>
        <v>UNITED STATES OF AMERICA</v>
      </c>
      <c r="BD1365" t="str">
        <f>""</f>
        <v/>
      </c>
      <c r="BE1365" t="str">
        <f>"+12124069257"</f>
        <v>+12124069257</v>
      </c>
      <c r="BF1365" t="str">
        <f>""</f>
        <v/>
      </c>
      <c r="BG1365" t="str">
        <f>"LORRAINE@JNATTORNEY.COM"</f>
        <v>LORRAINE@JNATTORNEY.COM</v>
      </c>
      <c r="BH1365" t="str">
        <f>"Jethmalani &amp; Nallaseth PLLC"</f>
        <v>Jethmalani &amp; Nallaseth PLLC</v>
      </c>
      <c r="BI1365" t="str">
        <f>"NY"</f>
        <v>NY</v>
      </c>
      <c r="BJ1365" t="str">
        <f>"SUPREME COURT"</f>
        <v>SUPREME COURT</v>
      </c>
      <c r="BK1365">
        <v>1</v>
      </c>
      <c r="BL1365" t="s">
        <v>107</v>
      </c>
      <c r="BM1365" t="str">
        <f>"BANK OF AMERICA"</f>
        <v>BANK OF AMERICA</v>
      </c>
      <c r="BN1365" t="s">
        <v>7274</v>
      </c>
      <c r="BP1365" t="s">
        <v>7275</v>
      </c>
      <c r="BQ1365" t="s">
        <v>484</v>
      </c>
      <c r="BR1365" t="s">
        <v>114</v>
      </c>
      <c r="BS1365" s="5">
        <v>75001</v>
      </c>
      <c r="BT1365" s="2">
        <v>100000</v>
      </c>
      <c r="BV1365" t="s">
        <v>105</v>
      </c>
      <c r="BW1365" s="2">
        <v>93558</v>
      </c>
      <c r="BX1365" t="s">
        <v>105</v>
      </c>
      <c r="BZ1365" t="s">
        <v>167</v>
      </c>
      <c r="CA1365" t="str">
        <f t="shared" si="106"/>
        <v>7/1/2020 - 6/30/2021</v>
      </c>
      <c r="CF1365">
        <v>1</v>
      </c>
      <c r="CG1365" t="s">
        <v>98</v>
      </c>
      <c r="CH1365" t="s">
        <v>98</v>
      </c>
      <c r="CI1365" t="s">
        <v>206</v>
      </c>
      <c r="CJ1365" t="s">
        <v>98</v>
      </c>
      <c r="CK1365" t="s">
        <v>12323</v>
      </c>
      <c r="CL1365" t="s">
        <v>108</v>
      </c>
      <c r="CM1365" t="s">
        <v>109</v>
      </c>
      <c r="CN1365" t="str">
        <f>""</f>
        <v/>
      </c>
      <c r="CO1365" t="str">
        <f>""</f>
        <v/>
      </c>
      <c r="CP1365" t="str">
        <f>""</f>
        <v/>
      </c>
      <c r="CQ1365" t="str">
        <f>""</f>
        <v/>
      </c>
    </row>
    <row r="1366" spans="1:96" x14ac:dyDescent="0.2">
      <c r="A1366" t="s">
        <v>8819</v>
      </c>
      <c r="B1366" t="s">
        <v>96</v>
      </c>
      <c r="C1366" s="1">
        <v>44099</v>
      </c>
      <c r="D1366" s="1">
        <v>44106</v>
      </c>
      <c r="F1366" t="s">
        <v>97</v>
      </c>
      <c r="G1366" t="str">
        <f>"Test Consultant 2"</f>
        <v>Test Consultant 2</v>
      </c>
      <c r="H1366" t="s">
        <v>12168</v>
      </c>
      <c r="I1366" t="s">
        <v>319</v>
      </c>
      <c r="J1366" t="s">
        <v>98</v>
      </c>
      <c r="K1366" s="1">
        <v>44100</v>
      </c>
      <c r="L1366" s="1">
        <v>45194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 t="s">
        <v>1421</v>
      </c>
      <c r="U1366" t="str">
        <f>""</f>
        <v/>
      </c>
      <c r="V1366" t="s">
        <v>1422</v>
      </c>
      <c r="W1366" t="str">
        <f>"SUITE 300"</f>
        <v>SUITE 300</v>
      </c>
      <c r="X1366" t="s">
        <v>843</v>
      </c>
      <c r="Y1366" t="s">
        <v>345</v>
      </c>
      <c r="Z1366" s="3">
        <v>60606</v>
      </c>
      <c r="AA1366" t="s">
        <v>101</v>
      </c>
      <c r="AC1366" s="4" t="str">
        <f>"+13123955000"</f>
        <v>+13123955000</v>
      </c>
      <c r="AE1366" t="str">
        <f>"5416"</f>
        <v>5416</v>
      </c>
      <c r="AF1366" t="s">
        <v>1423</v>
      </c>
      <c r="AG1366" t="s">
        <v>1424</v>
      </c>
      <c r="AI1366" t="s">
        <v>1425</v>
      </c>
      <c r="AJ1366" t="s">
        <v>1422</v>
      </c>
      <c r="AK1366" t="str">
        <f>"SUITE 300"</f>
        <v>SUITE 300</v>
      </c>
      <c r="AL1366" t="s">
        <v>843</v>
      </c>
      <c r="AM1366" t="s">
        <v>345</v>
      </c>
      <c r="AN1366" s="3">
        <v>60606</v>
      </c>
      <c r="AO1366" t="s">
        <v>101</v>
      </c>
      <c r="AQ1366" t="str">
        <f>"+13123958209"</f>
        <v>+13123958209</v>
      </c>
      <c r="AS1366" t="s">
        <v>1426</v>
      </c>
      <c r="AT1366" t="s">
        <v>102</v>
      </c>
      <c r="AU1366" t="str">
        <f>""</f>
        <v/>
      </c>
      <c r="AV1366" t="str">
        <f>""</f>
        <v/>
      </c>
      <c r="AW1366" t="str">
        <f>""</f>
        <v/>
      </c>
      <c r="AX1366" t="str">
        <f>""</f>
        <v/>
      </c>
      <c r="AY1366" t="str">
        <f>""</f>
        <v/>
      </c>
      <c r="AZ1366" t="str">
        <f>""</f>
        <v/>
      </c>
      <c r="BA1366" t="str">
        <f>""</f>
        <v/>
      </c>
      <c r="BC1366" t="str">
        <f>""</f>
        <v/>
      </c>
      <c r="BD1366" t="str">
        <f>""</f>
        <v/>
      </c>
      <c r="BE1366" t="str">
        <f>""</f>
        <v/>
      </c>
      <c r="BF1366" t="str">
        <f>""</f>
        <v/>
      </c>
      <c r="BG1366" t="str">
        <f>""</f>
        <v/>
      </c>
      <c r="BH1366" t="str">
        <f>""</f>
        <v/>
      </c>
      <c r="BI1366" t="str">
        <f>""</f>
        <v/>
      </c>
      <c r="BJ1366" t="str">
        <f>""</f>
        <v/>
      </c>
      <c r="BK1366">
        <v>1</v>
      </c>
      <c r="BL1366" t="s">
        <v>102</v>
      </c>
      <c r="BM1366" t="str">
        <f>""</f>
        <v/>
      </c>
      <c r="BN1366" t="s">
        <v>8820</v>
      </c>
      <c r="BP1366" t="s">
        <v>4091</v>
      </c>
      <c r="BQ1366" t="s">
        <v>2685</v>
      </c>
      <c r="BR1366" t="s">
        <v>594</v>
      </c>
      <c r="BS1366" s="5">
        <v>29708</v>
      </c>
      <c r="BT1366" s="2">
        <v>73486</v>
      </c>
      <c r="BU1366" s="2">
        <v>82211</v>
      </c>
      <c r="BV1366" t="s">
        <v>105</v>
      </c>
      <c r="BW1366" s="2">
        <v>73486</v>
      </c>
      <c r="BX1366" t="s">
        <v>105</v>
      </c>
      <c r="BZ1366" t="s">
        <v>167</v>
      </c>
      <c r="CA1366" t="str">
        <f t="shared" si="106"/>
        <v>7/1/2020 - 6/30/2021</v>
      </c>
      <c r="CF1366">
        <v>1</v>
      </c>
      <c r="CG1366" t="s">
        <v>98</v>
      </c>
      <c r="CH1366" t="s">
        <v>98</v>
      </c>
      <c r="CI1366" t="s">
        <v>206</v>
      </c>
      <c r="CJ1366" t="s">
        <v>98</v>
      </c>
      <c r="CK1366" t="s">
        <v>12323</v>
      </c>
      <c r="CL1366" t="s">
        <v>108</v>
      </c>
      <c r="CM1366" t="s">
        <v>109</v>
      </c>
      <c r="CN1366" t="str">
        <f>""</f>
        <v/>
      </c>
      <c r="CO1366" t="str">
        <f>""</f>
        <v/>
      </c>
      <c r="CP1366" t="str">
        <f>""</f>
        <v/>
      </c>
      <c r="CQ1366" t="str">
        <f>""</f>
        <v/>
      </c>
    </row>
    <row r="1367" spans="1:96" x14ac:dyDescent="0.2">
      <c r="A1367" t="s">
        <v>8823</v>
      </c>
      <c r="B1367" t="s">
        <v>96</v>
      </c>
      <c r="C1367" s="1">
        <v>44099</v>
      </c>
      <c r="D1367" s="1">
        <v>44106</v>
      </c>
      <c r="F1367" t="s">
        <v>97</v>
      </c>
      <c r="G1367" t="str">
        <f>"Teamcenter Developer"</f>
        <v>Teamcenter Developer</v>
      </c>
      <c r="H1367" t="s">
        <v>12169</v>
      </c>
      <c r="I1367" t="s">
        <v>124</v>
      </c>
      <c r="J1367" t="s">
        <v>98</v>
      </c>
      <c r="K1367" s="1">
        <v>44196</v>
      </c>
      <c r="L1367" s="1">
        <v>45290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 t="s">
        <v>8824</v>
      </c>
      <c r="U1367" t="str">
        <f>""</f>
        <v/>
      </c>
      <c r="V1367" t="s">
        <v>1626</v>
      </c>
      <c r="W1367" t="str">
        <f>"Suite 380"</f>
        <v>Suite 380</v>
      </c>
      <c r="X1367" t="s">
        <v>1498</v>
      </c>
      <c r="Y1367" t="s">
        <v>265</v>
      </c>
      <c r="Z1367" s="3">
        <v>48334</v>
      </c>
      <c r="AA1367" t="s">
        <v>101</v>
      </c>
      <c r="AC1367" s="4" t="str">
        <f>"+12149452557"</f>
        <v>+12149452557</v>
      </c>
      <c r="AE1367" t="str">
        <f>"541511"</f>
        <v>541511</v>
      </c>
      <c r="AF1367" t="s">
        <v>1627</v>
      </c>
      <c r="AG1367" t="s">
        <v>1628</v>
      </c>
      <c r="AI1367" t="s">
        <v>508</v>
      </c>
      <c r="AJ1367" t="s">
        <v>8825</v>
      </c>
      <c r="AK1367" t="str">
        <f>"Suite 380"</f>
        <v>Suite 380</v>
      </c>
      <c r="AL1367" t="s">
        <v>1498</v>
      </c>
      <c r="AM1367" t="s">
        <v>265</v>
      </c>
      <c r="AN1367" s="3">
        <v>48334</v>
      </c>
      <c r="AO1367" t="s">
        <v>101</v>
      </c>
      <c r="AQ1367" t="str">
        <f>"+12149452557"</f>
        <v>+12149452557</v>
      </c>
      <c r="AS1367" t="s">
        <v>1629</v>
      </c>
      <c r="AT1367" t="s">
        <v>102</v>
      </c>
      <c r="AU1367" t="str">
        <f>""</f>
        <v/>
      </c>
      <c r="AV1367" t="str">
        <f>""</f>
        <v/>
      </c>
      <c r="AW1367" t="str">
        <f>""</f>
        <v/>
      </c>
      <c r="AX1367" t="str">
        <f>""</f>
        <v/>
      </c>
      <c r="AY1367" t="str">
        <f>""</f>
        <v/>
      </c>
      <c r="AZ1367" t="str">
        <f>""</f>
        <v/>
      </c>
      <c r="BA1367" t="str">
        <f>""</f>
        <v/>
      </c>
      <c r="BC1367" t="str">
        <f>""</f>
        <v/>
      </c>
      <c r="BD1367" t="str">
        <f>""</f>
        <v/>
      </c>
      <c r="BE1367" t="str">
        <f>""</f>
        <v/>
      </c>
      <c r="BF1367" t="str">
        <f>""</f>
        <v/>
      </c>
      <c r="BG1367" t="str">
        <f>""</f>
        <v/>
      </c>
      <c r="BH1367" t="str">
        <f>""</f>
        <v/>
      </c>
      <c r="BI1367" t="str">
        <f>""</f>
        <v/>
      </c>
      <c r="BJ1367" t="str">
        <f>""</f>
        <v/>
      </c>
      <c r="BK1367">
        <v>1</v>
      </c>
      <c r="BL1367" t="s">
        <v>107</v>
      </c>
      <c r="BM1367" t="str">
        <f>"FACEBOOK"</f>
        <v>FACEBOOK</v>
      </c>
      <c r="BN1367" t="s">
        <v>8826</v>
      </c>
      <c r="BO1367" t="s">
        <v>132</v>
      </c>
      <c r="BP1367" t="s">
        <v>261</v>
      </c>
      <c r="BQ1367" t="s">
        <v>183</v>
      </c>
      <c r="BR1367" t="s">
        <v>176</v>
      </c>
      <c r="BS1367" s="5">
        <v>98134</v>
      </c>
      <c r="BT1367" s="2">
        <v>120000</v>
      </c>
      <c r="BV1367" t="s">
        <v>105</v>
      </c>
      <c r="BW1367" s="2">
        <v>113110</v>
      </c>
      <c r="BX1367" t="s">
        <v>105</v>
      </c>
      <c r="BZ1367" t="s">
        <v>167</v>
      </c>
      <c r="CA1367" t="str">
        <f t="shared" si="106"/>
        <v>7/1/2020 - 6/30/2021</v>
      </c>
      <c r="CF1367">
        <v>1</v>
      </c>
      <c r="CG1367" t="s">
        <v>98</v>
      </c>
      <c r="CH1367" t="s">
        <v>98</v>
      </c>
      <c r="CI1367" t="s">
        <v>206</v>
      </c>
      <c r="CJ1367" t="s">
        <v>98</v>
      </c>
      <c r="CK1367" t="s">
        <v>12323</v>
      </c>
      <c r="CL1367" t="s">
        <v>108</v>
      </c>
      <c r="CM1367" t="s">
        <v>109</v>
      </c>
      <c r="CN1367" t="str">
        <f>"Renake"</f>
        <v>Renake</v>
      </c>
      <c r="CO1367" t="str">
        <f>"Ramakanth"</f>
        <v>Ramakanth</v>
      </c>
      <c r="CP1367" t="str">
        <f>""</f>
        <v/>
      </c>
      <c r="CQ1367" t="str">
        <f>"PROLIM"</f>
        <v>PROLIM</v>
      </c>
      <c r="CR1367" t="s">
        <v>1629</v>
      </c>
    </row>
    <row r="1368" spans="1:96" x14ac:dyDescent="0.2">
      <c r="A1368" t="s">
        <v>8857</v>
      </c>
      <c r="B1368" t="s">
        <v>96</v>
      </c>
      <c r="C1368" s="1">
        <v>44099</v>
      </c>
      <c r="D1368" s="1">
        <v>44106</v>
      </c>
      <c r="F1368" t="s">
        <v>97</v>
      </c>
      <c r="G1368" t="str">
        <f>"PATTERNING PROCESS RESEARCHER"</f>
        <v>PATTERNING PROCESS RESEARCHER</v>
      </c>
      <c r="H1368" t="s">
        <v>12217</v>
      </c>
      <c r="I1368" t="s">
        <v>496</v>
      </c>
      <c r="J1368" t="s">
        <v>98</v>
      </c>
      <c r="K1368" s="1">
        <v>44109</v>
      </c>
      <c r="L1368" s="1">
        <v>45203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2897</v>
      </c>
      <c r="U1368" t="str">
        <f>""</f>
        <v/>
      </c>
      <c r="V1368" t="s">
        <v>2898</v>
      </c>
      <c r="W1368" t="str">
        <f>"(AKA 1601 WILLOW RD.)"</f>
        <v>(AKA 1601 WILLOW RD.)</v>
      </c>
      <c r="X1368" t="s">
        <v>414</v>
      </c>
      <c r="Y1368" t="s">
        <v>141</v>
      </c>
      <c r="Z1368" s="3">
        <v>94025</v>
      </c>
      <c r="AA1368" t="s">
        <v>101</v>
      </c>
      <c r="AB1368" t="s">
        <v>141</v>
      </c>
      <c r="AC1368" s="4" t="str">
        <f>"+14085335781"</f>
        <v>+14085335781</v>
      </c>
      <c r="AE1368" t="str">
        <f>"51913"</f>
        <v>51913</v>
      </c>
      <c r="AF1368" t="s">
        <v>415</v>
      </c>
      <c r="AG1368" t="s">
        <v>416</v>
      </c>
      <c r="AI1368" t="s">
        <v>471</v>
      </c>
      <c r="AJ1368" t="s">
        <v>2898</v>
      </c>
      <c r="AK1368" t="str">
        <f>"(AKA 1601 WILLOW RD.)"</f>
        <v>(AKA 1601 WILLOW RD.)</v>
      </c>
      <c r="AL1368" t="s">
        <v>414</v>
      </c>
      <c r="AM1368" t="s">
        <v>141</v>
      </c>
      <c r="AN1368" s="3">
        <v>94025</v>
      </c>
      <c r="AO1368" t="s">
        <v>101</v>
      </c>
      <c r="AQ1368" t="str">
        <f>"+14085335781"</f>
        <v>+14085335781</v>
      </c>
      <c r="AS1368" t="s">
        <v>418</v>
      </c>
      <c r="AT1368" t="s">
        <v>107</v>
      </c>
      <c r="AU1368" t="str">
        <f>"Momin"</f>
        <v>Momin</v>
      </c>
      <c r="AV1368" t="str">
        <f>"Mashall"</f>
        <v>Mashall</v>
      </c>
      <c r="AW1368" t="str">
        <f>""</f>
        <v/>
      </c>
      <c r="AX1368" t="str">
        <f>"2400 N Glenville Drive, Building A"</f>
        <v>2400 N Glenville Drive, Building A</v>
      </c>
      <c r="AY1368" t="str">
        <f>"Suite 100"</f>
        <v>Suite 100</v>
      </c>
      <c r="AZ1368" t="str">
        <f>"Richardson"</f>
        <v>Richardson</v>
      </c>
      <c r="BA1368" t="str">
        <f>"TX"</f>
        <v>TX</v>
      </c>
      <c r="BB1368" s="3">
        <v>75082</v>
      </c>
      <c r="BC1368" t="str">
        <f>"UNITED STATES OF AMERICA"</f>
        <v>UNITED STATES OF AMERICA</v>
      </c>
      <c r="BD1368" t="str">
        <f>"TX"</f>
        <v>TX</v>
      </c>
      <c r="BE1368" t="str">
        <f>"+14692909490"</f>
        <v>+14692909490</v>
      </c>
      <c r="BF1368" t="str">
        <f>""</f>
        <v/>
      </c>
      <c r="BG1368" t="str">
        <f>"lgarcia@balglobal.com"</f>
        <v>lgarcia@balglobal.com</v>
      </c>
      <c r="BH1368" t="str">
        <f>"Berry Appleman &amp; Leiden LLP"</f>
        <v>Berry Appleman &amp; Leiden LLP</v>
      </c>
      <c r="BI1368" t="str">
        <f>"TX"</f>
        <v>TX</v>
      </c>
      <c r="BJ1368" t="str">
        <f>"Texas Supreme Court"</f>
        <v>Texas Supreme Court</v>
      </c>
      <c r="BK1368">
        <v>1</v>
      </c>
      <c r="BL1368" t="s">
        <v>102</v>
      </c>
      <c r="BM1368" t="str">
        <f>""</f>
        <v/>
      </c>
      <c r="BN1368" t="s">
        <v>8858</v>
      </c>
      <c r="BP1368" t="s">
        <v>498</v>
      </c>
      <c r="BQ1368" t="s">
        <v>183</v>
      </c>
      <c r="BR1368" t="s">
        <v>176</v>
      </c>
      <c r="BS1368" s="5">
        <v>98052</v>
      </c>
      <c r="BT1368" s="2">
        <v>152000</v>
      </c>
      <c r="BV1368" t="s">
        <v>105</v>
      </c>
      <c r="BW1368" s="2">
        <v>110094</v>
      </c>
      <c r="BX1368" t="s">
        <v>105</v>
      </c>
      <c r="BZ1368" t="s">
        <v>123</v>
      </c>
      <c r="CA1368" t="str">
        <f t="shared" si="106"/>
        <v>7/1/2020 - 6/30/2021</v>
      </c>
      <c r="CF1368">
        <v>2</v>
      </c>
      <c r="CG1368" t="s">
        <v>98</v>
      </c>
      <c r="CH1368" t="s">
        <v>98</v>
      </c>
      <c r="CI1368" t="s">
        <v>206</v>
      </c>
      <c r="CJ1368" t="s">
        <v>98</v>
      </c>
      <c r="CK1368" t="s">
        <v>12323</v>
      </c>
      <c r="CL1368" t="s">
        <v>108</v>
      </c>
      <c r="CM1368" t="s">
        <v>109</v>
      </c>
      <c r="CN1368" t="str">
        <f>""</f>
        <v/>
      </c>
      <c r="CO1368" t="str">
        <f>""</f>
        <v/>
      </c>
      <c r="CP1368" t="str">
        <f>""</f>
        <v/>
      </c>
      <c r="CQ1368" t="str">
        <f>""</f>
        <v/>
      </c>
    </row>
    <row r="1369" spans="1:96" x14ac:dyDescent="0.2">
      <c r="A1369" t="s">
        <v>8863</v>
      </c>
      <c r="B1369" t="s">
        <v>96</v>
      </c>
      <c r="C1369" s="1">
        <v>44099</v>
      </c>
      <c r="D1369" s="1">
        <v>44106</v>
      </c>
      <c r="F1369" t="s">
        <v>97</v>
      </c>
      <c r="G1369" t="str">
        <f>"SAP MM/WM (P2P Consultant)"</f>
        <v>SAP MM/WM (P2P Consultant)</v>
      </c>
      <c r="H1369" t="s">
        <v>12182</v>
      </c>
      <c r="I1369" t="s">
        <v>168</v>
      </c>
      <c r="J1369" t="s">
        <v>98</v>
      </c>
      <c r="K1369" s="1">
        <v>44105</v>
      </c>
      <c r="L1369" s="1">
        <v>45199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5715</v>
      </c>
      <c r="U1369" t="str">
        <f>""</f>
        <v/>
      </c>
      <c r="V1369" t="s">
        <v>5716</v>
      </c>
      <c r="W1369" t="str">
        <f>"Suite 990"</f>
        <v>Suite 990</v>
      </c>
      <c r="X1369" t="s">
        <v>651</v>
      </c>
      <c r="Y1369" t="s">
        <v>141</v>
      </c>
      <c r="Z1369" s="3">
        <v>95113</v>
      </c>
      <c r="AA1369" t="s">
        <v>101</v>
      </c>
      <c r="AC1369" s="4" t="str">
        <f>"+16503864049"</f>
        <v>+16503864049</v>
      </c>
      <c r="AE1369" t="str">
        <f>"541511"</f>
        <v>541511</v>
      </c>
      <c r="AF1369" t="s">
        <v>5717</v>
      </c>
      <c r="AG1369" t="s">
        <v>5718</v>
      </c>
      <c r="AI1369" t="s">
        <v>5719</v>
      </c>
      <c r="AJ1369" t="s">
        <v>5716</v>
      </c>
      <c r="AK1369" t="str">
        <f>"SUITE 990"</f>
        <v>SUITE 990</v>
      </c>
      <c r="AL1369" t="s">
        <v>651</v>
      </c>
      <c r="AM1369" t="s">
        <v>141</v>
      </c>
      <c r="AN1369" s="3">
        <v>95113</v>
      </c>
      <c r="AO1369" t="s">
        <v>101</v>
      </c>
      <c r="AQ1369" t="str">
        <f>"+16503864049"</f>
        <v>+16503864049</v>
      </c>
      <c r="AS1369" t="s">
        <v>5720</v>
      </c>
      <c r="AT1369" t="s">
        <v>107</v>
      </c>
      <c r="AU1369" t="str">
        <f>"TAN"</f>
        <v>TAN</v>
      </c>
      <c r="AV1369" t="str">
        <f>"LIHUA"</f>
        <v>LIHUA</v>
      </c>
      <c r="AW1369" t="str">
        <f>""</f>
        <v/>
      </c>
      <c r="AX1369" t="str">
        <f>"1600 DUANE AVENUE"</f>
        <v>1600 DUANE AVENUE</v>
      </c>
      <c r="AY1369" t="str">
        <f>""</f>
        <v/>
      </c>
      <c r="AZ1369" t="str">
        <f>"SANTA CLARA"</f>
        <v>SANTA CLARA</v>
      </c>
      <c r="BA1369" t="str">
        <f>"CA"</f>
        <v>CA</v>
      </c>
      <c r="BB1369" s="3">
        <v>95054</v>
      </c>
      <c r="BC1369" t="str">
        <f>"UNITED STATES OF AMERICA"</f>
        <v>UNITED STATES OF AMERICA</v>
      </c>
      <c r="BD1369" t="str">
        <f>""</f>
        <v/>
      </c>
      <c r="BE1369" t="str">
        <f>"+14089700100"</f>
        <v>+14089700100</v>
      </c>
      <c r="BF1369" t="str">
        <f>""</f>
        <v/>
      </c>
      <c r="BG1369" t="str">
        <f>"LIHUA.TAN@CHUGH.COM"</f>
        <v>LIHUA.TAN@CHUGH.COM</v>
      </c>
      <c r="BH1369" t="str">
        <f>"CHUGH, LLP"</f>
        <v>CHUGH, LLP</v>
      </c>
      <c r="BI1369" t="str">
        <f>"NY"</f>
        <v>NY</v>
      </c>
      <c r="BJ1369" t="str">
        <f>"U.S. SUPREME COURT"</f>
        <v>U.S. SUPREME COURT</v>
      </c>
      <c r="BK1369">
        <v>1</v>
      </c>
      <c r="BL1369" t="s">
        <v>107</v>
      </c>
      <c r="BM1369" t="str">
        <f>"Ultra Clean Holdings, Inc."</f>
        <v>Ultra Clean Holdings, Inc.</v>
      </c>
      <c r="BN1369" t="s">
        <v>8864</v>
      </c>
      <c r="BP1369" t="s">
        <v>2054</v>
      </c>
      <c r="BQ1369" t="s">
        <v>419</v>
      </c>
      <c r="BR1369" t="s">
        <v>141</v>
      </c>
      <c r="BS1369" s="5">
        <v>94545</v>
      </c>
      <c r="BT1369" s="2">
        <v>95493</v>
      </c>
      <c r="BU1369" s="2">
        <v>100000</v>
      </c>
      <c r="BV1369" t="s">
        <v>105</v>
      </c>
      <c r="BW1369" s="2">
        <v>95493</v>
      </c>
      <c r="BX1369" t="s">
        <v>105</v>
      </c>
      <c r="BZ1369" t="s">
        <v>167</v>
      </c>
      <c r="CA1369" t="str">
        <f t="shared" si="106"/>
        <v>7/1/2020 - 6/30/2021</v>
      </c>
      <c r="CF1369">
        <v>3</v>
      </c>
      <c r="CG1369" t="s">
        <v>98</v>
      </c>
      <c r="CH1369" t="s">
        <v>98</v>
      </c>
      <c r="CI1369" t="s">
        <v>206</v>
      </c>
      <c r="CJ1369" t="s">
        <v>98</v>
      </c>
      <c r="CK1369" t="s">
        <v>12323</v>
      </c>
      <c r="CL1369" t="s">
        <v>108</v>
      </c>
      <c r="CM1369" t="s">
        <v>109</v>
      </c>
      <c r="CN1369" t="str">
        <f>"Song"</f>
        <v>Song</v>
      </c>
      <c r="CO1369" t="str">
        <f>"Yujun"</f>
        <v>Yujun</v>
      </c>
      <c r="CP1369" t="str">
        <f>""</f>
        <v/>
      </c>
      <c r="CQ1369" t="str">
        <f>"Chugh, LLP"</f>
        <v>Chugh, LLP</v>
      </c>
      <c r="CR1369" t="s">
        <v>1835</v>
      </c>
    </row>
    <row r="1370" spans="1:96" x14ac:dyDescent="0.2">
      <c r="A1370" t="s">
        <v>8879</v>
      </c>
      <c r="B1370" t="s">
        <v>96</v>
      </c>
      <c r="C1370" s="1">
        <v>44099</v>
      </c>
      <c r="D1370" s="1">
        <v>44106</v>
      </c>
      <c r="F1370" t="s">
        <v>97</v>
      </c>
      <c r="G1370" t="str">
        <f>"Business Systems Analyst 2 "</f>
        <v xml:space="preserve">Business Systems Analyst 2 </v>
      </c>
      <c r="H1370" t="s">
        <v>12181</v>
      </c>
      <c r="I1370" t="s">
        <v>110</v>
      </c>
      <c r="J1370" t="s">
        <v>98</v>
      </c>
      <c r="K1370" s="1">
        <v>44099</v>
      </c>
      <c r="L1370" s="1">
        <v>45114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 t="s">
        <v>1421</v>
      </c>
      <c r="U1370" t="str">
        <f>""</f>
        <v/>
      </c>
      <c r="V1370" t="s">
        <v>1422</v>
      </c>
      <c r="W1370" t="str">
        <f>"SUITE 300"</f>
        <v>SUITE 300</v>
      </c>
      <c r="X1370" t="s">
        <v>843</v>
      </c>
      <c r="Y1370" t="s">
        <v>345</v>
      </c>
      <c r="Z1370" s="3">
        <v>60606</v>
      </c>
      <c r="AA1370" t="s">
        <v>101</v>
      </c>
      <c r="AC1370" s="4" t="str">
        <f>"+13123955000"</f>
        <v>+13123955000</v>
      </c>
      <c r="AE1370" t="str">
        <f>"5416"</f>
        <v>5416</v>
      </c>
      <c r="AF1370" t="s">
        <v>1423</v>
      </c>
      <c r="AG1370" t="s">
        <v>1424</v>
      </c>
      <c r="AI1370" t="s">
        <v>1425</v>
      </c>
      <c r="AJ1370" t="s">
        <v>1422</v>
      </c>
      <c r="AK1370" t="str">
        <f>"SUITE 300"</f>
        <v>SUITE 300</v>
      </c>
      <c r="AL1370" t="s">
        <v>843</v>
      </c>
      <c r="AM1370" t="s">
        <v>345</v>
      </c>
      <c r="AN1370" s="3">
        <v>60606</v>
      </c>
      <c r="AO1370" t="s">
        <v>101</v>
      </c>
      <c r="AQ1370" t="str">
        <f>"+13123958209"</f>
        <v>+13123958209</v>
      </c>
      <c r="AS1370" t="s">
        <v>1426</v>
      </c>
      <c r="AT1370" t="s">
        <v>102</v>
      </c>
      <c r="AU1370" t="str">
        <f>""</f>
        <v/>
      </c>
      <c r="AV1370" t="str">
        <f>""</f>
        <v/>
      </c>
      <c r="AW1370" t="str">
        <f>""</f>
        <v/>
      </c>
      <c r="AX1370" t="str">
        <f>""</f>
        <v/>
      </c>
      <c r="AY1370" t="str">
        <f>""</f>
        <v/>
      </c>
      <c r="AZ1370" t="str">
        <f>""</f>
        <v/>
      </c>
      <c r="BA1370" t="str">
        <f>""</f>
        <v/>
      </c>
      <c r="BC1370" t="str">
        <f>""</f>
        <v/>
      </c>
      <c r="BD1370" t="str">
        <f>""</f>
        <v/>
      </c>
      <c r="BE1370" t="str">
        <f>""</f>
        <v/>
      </c>
      <c r="BF1370" t="str">
        <f>""</f>
        <v/>
      </c>
      <c r="BG1370" t="str">
        <f>""</f>
        <v/>
      </c>
      <c r="BH1370" t="str">
        <f>""</f>
        <v/>
      </c>
      <c r="BI1370" t="str">
        <f>""</f>
        <v/>
      </c>
      <c r="BJ1370" t="str">
        <f>""</f>
        <v/>
      </c>
      <c r="BK1370">
        <v>1</v>
      </c>
      <c r="BL1370" t="s">
        <v>107</v>
      </c>
      <c r="BM1370" t="str">
        <f>"CHUBB &amp; SON A DIVISION FEDERAL INSURANCE COMPANY"</f>
        <v>CHUBB &amp; SON A DIVISION FEDERAL INSURANCE COMPANY</v>
      </c>
      <c r="BN1370" t="s">
        <v>8880</v>
      </c>
      <c r="BP1370" t="s">
        <v>6125</v>
      </c>
      <c r="BQ1370" t="s">
        <v>1214</v>
      </c>
      <c r="BR1370" t="s">
        <v>100</v>
      </c>
      <c r="BS1370" s="5">
        <v>7302</v>
      </c>
      <c r="BT1370" s="2">
        <v>92269</v>
      </c>
      <c r="BU1370" s="2">
        <v>107060</v>
      </c>
      <c r="BV1370" t="s">
        <v>105</v>
      </c>
      <c r="BW1370" s="2">
        <v>92269</v>
      </c>
      <c r="BX1370" t="s">
        <v>105</v>
      </c>
      <c r="BZ1370" t="s">
        <v>167</v>
      </c>
      <c r="CA1370" t="str">
        <f t="shared" si="106"/>
        <v>7/1/2020 - 6/30/2021</v>
      </c>
      <c r="CF1370">
        <v>2</v>
      </c>
      <c r="CG1370" t="s">
        <v>98</v>
      </c>
      <c r="CH1370" t="s">
        <v>98</v>
      </c>
      <c r="CI1370" t="s">
        <v>206</v>
      </c>
      <c r="CJ1370" t="s">
        <v>98</v>
      </c>
      <c r="CK1370" t="s">
        <v>12323</v>
      </c>
      <c r="CL1370" t="s">
        <v>108</v>
      </c>
      <c r="CM1370" t="s">
        <v>109</v>
      </c>
      <c r="CN1370" t="str">
        <f>""</f>
        <v/>
      </c>
      <c r="CO1370" t="str">
        <f>""</f>
        <v/>
      </c>
      <c r="CP1370" t="str">
        <f>""</f>
        <v/>
      </c>
      <c r="CQ1370" t="str">
        <f>""</f>
        <v/>
      </c>
    </row>
    <row r="1371" spans="1:96" x14ac:dyDescent="0.2">
      <c r="A1371" t="s">
        <v>8953</v>
      </c>
      <c r="B1371" t="s">
        <v>96</v>
      </c>
      <c r="C1371" s="1">
        <v>44099</v>
      </c>
      <c r="D1371" s="1">
        <v>44106</v>
      </c>
      <c r="F1371" t="s">
        <v>97</v>
      </c>
      <c r="G1371" t="str">
        <f>"L2 MESSAGING SMTP"</f>
        <v>L2 MESSAGING SMTP</v>
      </c>
      <c r="H1371" t="s">
        <v>12197</v>
      </c>
      <c r="I1371" t="s">
        <v>137</v>
      </c>
      <c r="J1371" t="s">
        <v>98</v>
      </c>
      <c r="K1371" s="1">
        <v>44109</v>
      </c>
      <c r="L1371" s="1">
        <v>45203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 t="s">
        <v>8954</v>
      </c>
      <c r="U1371" t="str">
        <f>""</f>
        <v/>
      </c>
      <c r="V1371" t="s">
        <v>3534</v>
      </c>
      <c r="W1371" t="str">
        <f>"FLOOR # 9"</f>
        <v>FLOOR # 9</v>
      </c>
      <c r="X1371" t="s">
        <v>211</v>
      </c>
      <c r="Y1371" t="s">
        <v>100</v>
      </c>
      <c r="Z1371" s="3">
        <v>8837</v>
      </c>
      <c r="AA1371" t="s">
        <v>101</v>
      </c>
      <c r="AC1371" s="4" t="str">
        <f>"+17327344098"</f>
        <v>+17327344098</v>
      </c>
      <c r="AE1371" t="str">
        <f>"541511"</f>
        <v>541511</v>
      </c>
      <c r="AF1371" t="s">
        <v>5038</v>
      </c>
      <c r="AG1371" t="s">
        <v>5844</v>
      </c>
      <c r="AI1371" t="s">
        <v>228</v>
      </c>
      <c r="AJ1371" t="s">
        <v>3534</v>
      </c>
      <c r="AK1371" t="str">
        <f>"FLOOR # 9"</f>
        <v>FLOOR # 9</v>
      </c>
      <c r="AL1371" t="s">
        <v>211</v>
      </c>
      <c r="AM1371" t="s">
        <v>100</v>
      </c>
      <c r="AN1371" s="3">
        <v>8837</v>
      </c>
      <c r="AO1371" t="s">
        <v>101</v>
      </c>
      <c r="AQ1371" t="str">
        <f>"+17327344098"</f>
        <v>+17327344098</v>
      </c>
      <c r="AS1371" t="s">
        <v>5058</v>
      </c>
      <c r="AT1371" t="s">
        <v>102</v>
      </c>
      <c r="AU1371" t="str">
        <f>""</f>
        <v/>
      </c>
      <c r="AV1371" t="str">
        <f>""</f>
        <v/>
      </c>
      <c r="AW1371" t="str">
        <f>""</f>
        <v/>
      </c>
      <c r="AX1371" t="str">
        <f>""</f>
        <v/>
      </c>
      <c r="AY1371" t="str">
        <f>""</f>
        <v/>
      </c>
      <c r="AZ1371" t="str">
        <f>""</f>
        <v/>
      </c>
      <c r="BA1371" t="str">
        <f>""</f>
        <v/>
      </c>
      <c r="BC1371" t="str">
        <f>""</f>
        <v/>
      </c>
      <c r="BD1371" t="str">
        <f>""</f>
        <v/>
      </c>
      <c r="BE1371" t="str">
        <f>""</f>
        <v/>
      </c>
      <c r="BF1371" t="str">
        <f>""</f>
        <v/>
      </c>
      <c r="BG1371" t="str">
        <f>""</f>
        <v/>
      </c>
      <c r="BH1371" t="str">
        <f>""</f>
        <v/>
      </c>
      <c r="BI1371" t="str">
        <f>""</f>
        <v/>
      </c>
      <c r="BJ1371" t="str">
        <f>""</f>
        <v/>
      </c>
      <c r="BK1371">
        <v>1</v>
      </c>
      <c r="BL1371" t="s">
        <v>107</v>
      </c>
      <c r="BM1371" t="str">
        <f>"DEUTSCHE BANK"</f>
        <v>DEUTSCHE BANK</v>
      </c>
      <c r="BN1371" t="s">
        <v>8955</v>
      </c>
      <c r="BP1371" t="s">
        <v>1896</v>
      </c>
      <c r="BQ1371" t="s">
        <v>1243</v>
      </c>
      <c r="BR1371" t="s">
        <v>577</v>
      </c>
      <c r="BS1371" s="5">
        <v>32256</v>
      </c>
      <c r="BT1371" s="2">
        <v>75000</v>
      </c>
      <c r="BV1371" t="s">
        <v>105</v>
      </c>
      <c r="BW1371" s="2">
        <v>74485</v>
      </c>
      <c r="BX1371" t="s">
        <v>105</v>
      </c>
      <c r="BZ1371" t="s">
        <v>167</v>
      </c>
      <c r="CA1371" t="str">
        <f t="shared" si="106"/>
        <v>7/1/2020 - 6/30/2021</v>
      </c>
      <c r="CF1371">
        <v>2</v>
      </c>
      <c r="CG1371" t="s">
        <v>98</v>
      </c>
      <c r="CH1371" t="s">
        <v>98</v>
      </c>
      <c r="CI1371" t="s">
        <v>206</v>
      </c>
      <c r="CJ1371" t="s">
        <v>98</v>
      </c>
      <c r="CK1371" t="s">
        <v>12323</v>
      </c>
      <c r="CL1371" t="s">
        <v>108</v>
      </c>
      <c r="CM1371" t="s">
        <v>109</v>
      </c>
      <c r="CN1371" t="str">
        <f>""</f>
        <v/>
      </c>
      <c r="CO1371" t="str">
        <f>""</f>
        <v/>
      </c>
      <c r="CP1371" t="str">
        <f>""</f>
        <v/>
      </c>
      <c r="CQ1371" t="str">
        <f>""</f>
        <v/>
      </c>
    </row>
    <row r="1372" spans="1:96" x14ac:dyDescent="0.2">
      <c r="A1372" t="s">
        <v>8956</v>
      </c>
      <c r="B1372" t="s">
        <v>96</v>
      </c>
      <c r="C1372" s="1">
        <v>44099</v>
      </c>
      <c r="D1372" s="1">
        <v>44106</v>
      </c>
      <c r="F1372" t="s">
        <v>97</v>
      </c>
      <c r="G1372" t="str">
        <f>"SITE RELIABILITY ENGINEER"</f>
        <v>SITE RELIABILITY ENGINEER</v>
      </c>
      <c r="H1372" t="s">
        <v>12169</v>
      </c>
      <c r="I1372" t="s">
        <v>124</v>
      </c>
      <c r="J1372" t="s">
        <v>98</v>
      </c>
      <c r="K1372" s="1">
        <v>44106</v>
      </c>
      <c r="L1372" s="1">
        <v>45200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 t="s">
        <v>7203</v>
      </c>
      <c r="U1372" t="str">
        <f>""</f>
        <v/>
      </c>
      <c r="V1372" t="s">
        <v>7204</v>
      </c>
      <c r="W1372" t="str">
        <f>"Suite 304"</f>
        <v>Suite 304</v>
      </c>
      <c r="X1372" t="s">
        <v>561</v>
      </c>
      <c r="Y1372" t="s">
        <v>100</v>
      </c>
      <c r="Z1372" s="3">
        <v>8817</v>
      </c>
      <c r="AA1372" t="s">
        <v>101</v>
      </c>
      <c r="AC1372" s="4" t="str">
        <f>"+17329603333"</f>
        <v>+17329603333</v>
      </c>
      <c r="AE1372" t="str">
        <f>"541511"</f>
        <v>541511</v>
      </c>
      <c r="AF1372" t="s">
        <v>3578</v>
      </c>
      <c r="AG1372" t="s">
        <v>7205</v>
      </c>
      <c r="AI1372" t="s">
        <v>298</v>
      </c>
      <c r="AJ1372" t="s">
        <v>7204</v>
      </c>
      <c r="AK1372" t="str">
        <f>"Suite 304"</f>
        <v>Suite 304</v>
      </c>
      <c r="AL1372" t="s">
        <v>561</v>
      </c>
      <c r="AM1372" t="s">
        <v>100</v>
      </c>
      <c r="AN1372" s="3">
        <v>8817</v>
      </c>
      <c r="AO1372" t="s">
        <v>101</v>
      </c>
      <c r="AQ1372" t="str">
        <f>"+17329603333"</f>
        <v>+17329603333</v>
      </c>
      <c r="AS1372" t="s">
        <v>7206</v>
      </c>
      <c r="AT1372" t="s">
        <v>102</v>
      </c>
      <c r="AU1372" t="str">
        <f>""</f>
        <v/>
      </c>
      <c r="AV1372" t="str">
        <f>""</f>
        <v/>
      </c>
      <c r="AW1372" t="str">
        <f>""</f>
        <v/>
      </c>
      <c r="AX1372" t="str">
        <f>""</f>
        <v/>
      </c>
      <c r="AY1372" t="str">
        <f>""</f>
        <v/>
      </c>
      <c r="AZ1372" t="str">
        <f>""</f>
        <v/>
      </c>
      <c r="BA1372" t="str">
        <f>""</f>
        <v/>
      </c>
      <c r="BC1372" t="str">
        <f>""</f>
        <v/>
      </c>
      <c r="BD1372" t="str">
        <f>""</f>
        <v/>
      </c>
      <c r="BE1372" t="str">
        <f>""</f>
        <v/>
      </c>
      <c r="BF1372" t="str">
        <f>""</f>
        <v/>
      </c>
      <c r="BG1372" t="str">
        <f>""</f>
        <v/>
      </c>
      <c r="BH1372" t="str">
        <f>""</f>
        <v/>
      </c>
      <c r="BI1372" t="str">
        <f>""</f>
        <v/>
      </c>
      <c r="BJ1372" t="str">
        <f>""</f>
        <v/>
      </c>
      <c r="BK1372">
        <v>1</v>
      </c>
      <c r="BL1372" t="s">
        <v>107</v>
      </c>
      <c r="BM1372" t="str">
        <f>"Disney"</f>
        <v>Disney</v>
      </c>
      <c r="BN1372" t="s">
        <v>8957</v>
      </c>
      <c r="BO1372" t="s">
        <v>8958</v>
      </c>
      <c r="BP1372" t="s">
        <v>8959</v>
      </c>
      <c r="BQ1372" t="s">
        <v>377</v>
      </c>
      <c r="BR1372" t="s">
        <v>577</v>
      </c>
      <c r="BS1372" s="5">
        <v>32830</v>
      </c>
      <c r="BT1372" s="2">
        <v>84000</v>
      </c>
      <c r="BV1372" t="s">
        <v>105</v>
      </c>
      <c r="BW1372" s="2">
        <v>83512</v>
      </c>
      <c r="BX1372" t="s">
        <v>105</v>
      </c>
      <c r="BZ1372" t="s">
        <v>167</v>
      </c>
      <c r="CA1372" t="str">
        <f t="shared" si="106"/>
        <v>7/1/2020 - 6/30/2021</v>
      </c>
      <c r="CF1372">
        <v>2</v>
      </c>
      <c r="CG1372" t="s">
        <v>98</v>
      </c>
      <c r="CH1372" t="s">
        <v>98</v>
      </c>
      <c r="CI1372" t="s">
        <v>206</v>
      </c>
      <c r="CJ1372" t="s">
        <v>98</v>
      </c>
      <c r="CK1372" t="s">
        <v>12323</v>
      </c>
      <c r="CL1372" t="s">
        <v>108</v>
      </c>
      <c r="CM1372" t="s">
        <v>109</v>
      </c>
      <c r="CN1372" t="str">
        <f>""</f>
        <v/>
      </c>
      <c r="CO1372" t="str">
        <f>""</f>
        <v/>
      </c>
      <c r="CP1372" t="str">
        <f>""</f>
        <v/>
      </c>
      <c r="CQ1372" t="str">
        <f>""</f>
        <v/>
      </c>
    </row>
    <row r="1373" spans="1:96" x14ac:dyDescent="0.2">
      <c r="A1373" t="s">
        <v>8960</v>
      </c>
      <c r="B1373" t="s">
        <v>96</v>
      </c>
      <c r="C1373" s="1">
        <v>44099</v>
      </c>
      <c r="D1373" s="1">
        <v>44106</v>
      </c>
      <c r="F1373" t="s">
        <v>97</v>
      </c>
      <c r="G1373" t="str">
        <f>"Software Developer, Applications"</f>
        <v>Software Developer, Applications</v>
      </c>
      <c r="H1373" t="s">
        <v>12169</v>
      </c>
      <c r="I1373" t="s">
        <v>124</v>
      </c>
      <c r="J1373" t="s">
        <v>98</v>
      </c>
      <c r="K1373" s="1">
        <v>44109</v>
      </c>
      <c r="L1373" s="1">
        <v>45203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 t="s">
        <v>1469</v>
      </c>
      <c r="U1373" t="str">
        <f>""</f>
        <v/>
      </c>
      <c r="V1373" t="s">
        <v>1470</v>
      </c>
      <c r="W1373" t="str">
        <f>""</f>
        <v/>
      </c>
      <c r="X1373" t="s">
        <v>312</v>
      </c>
      <c r="Y1373" t="s">
        <v>265</v>
      </c>
      <c r="Z1373" s="3">
        <v>48084</v>
      </c>
      <c r="AA1373" t="s">
        <v>101</v>
      </c>
      <c r="AC1373" s="4" t="str">
        <f>"+12487862500"</f>
        <v>+12487862500</v>
      </c>
      <c r="AE1373" t="str">
        <f>"541511"</f>
        <v>541511</v>
      </c>
      <c r="AF1373" t="s">
        <v>1471</v>
      </c>
      <c r="AG1373" t="s">
        <v>1472</v>
      </c>
      <c r="AI1373" t="s">
        <v>497</v>
      </c>
      <c r="AJ1373" t="s">
        <v>1470</v>
      </c>
      <c r="AK1373" t="str">
        <f>""</f>
        <v/>
      </c>
      <c r="AL1373" t="s">
        <v>312</v>
      </c>
      <c r="AM1373" t="s">
        <v>265</v>
      </c>
      <c r="AN1373" s="3">
        <v>48084</v>
      </c>
      <c r="AO1373" t="s">
        <v>101</v>
      </c>
      <c r="AQ1373" t="str">
        <f>"+12487862500"</f>
        <v>+12487862500</v>
      </c>
      <c r="AR1373">
        <v>109</v>
      </c>
      <c r="AS1373" t="s">
        <v>1473</v>
      </c>
      <c r="AT1373" t="s">
        <v>102</v>
      </c>
      <c r="AU1373" t="str">
        <f>""</f>
        <v/>
      </c>
      <c r="AV1373" t="str">
        <f>""</f>
        <v/>
      </c>
      <c r="AW1373" t="str">
        <f>""</f>
        <v/>
      </c>
      <c r="AX1373" t="str">
        <f>""</f>
        <v/>
      </c>
      <c r="AY1373" t="str">
        <f>""</f>
        <v/>
      </c>
      <c r="AZ1373" t="str">
        <f>""</f>
        <v/>
      </c>
      <c r="BA1373" t="str">
        <f>""</f>
        <v/>
      </c>
      <c r="BC1373" t="str">
        <f>""</f>
        <v/>
      </c>
      <c r="BD1373" t="str">
        <f>""</f>
        <v/>
      </c>
      <c r="BE1373" t="str">
        <f>""</f>
        <v/>
      </c>
      <c r="BF1373" t="str">
        <f>""</f>
        <v/>
      </c>
      <c r="BG1373" t="str">
        <f>""</f>
        <v/>
      </c>
      <c r="BH1373" t="str">
        <f>""</f>
        <v/>
      </c>
      <c r="BI1373" t="str">
        <f>""</f>
        <v/>
      </c>
      <c r="BJ1373" t="str">
        <f>""</f>
        <v/>
      </c>
      <c r="BK1373">
        <v>1</v>
      </c>
      <c r="BL1373" t="s">
        <v>107</v>
      </c>
      <c r="BM1373" t="str">
        <f>"The General Insurance"</f>
        <v>The General Insurance</v>
      </c>
      <c r="BN1373" t="s">
        <v>8961</v>
      </c>
      <c r="BP1373" t="s">
        <v>1368</v>
      </c>
      <c r="BQ1373" t="s">
        <v>1664</v>
      </c>
      <c r="BR1373" t="s">
        <v>545</v>
      </c>
      <c r="BS1373" s="5">
        <v>37214</v>
      </c>
      <c r="BT1373" s="2">
        <v>80163</v>
      </c>
      <c r="BU1373" s="2">
        <v>90000</v>
      </c>
      <c r="BV1373" t="s">
        <v>105</v>
      </c>
      <c r="BW1373" s="2">
        <v>80163</v>
      </c>
      <c r="BX1373" t="s">
        <v>105</v>
      </c>
      <c r="BZ1373" t="s">
        <v>167</v>
      </c>
      <c r="CA1373" t="str">
        <f t="shared" si="106"/>
        <v>7/1/2020 - 6/30/2021</v>
      </c>
      <c r="CF1373">
        <v>2</v>
      </c>
      <c r="CG1373" t="s">
        <v>98</v>
      </c>
      <c r="CH1373" t="s">
        <v>98</v>
      </c>
      <c r="CI1373" t="s">
        <v>206</v>
      </c>
      <c r="CJ1373" t="s">
        <v>98</v>
      </c>
      <c r="CK1373" t="s">
        <v>12323</v>
      </c>
      <c r="CL1373" t="s">
        <v>108</v>
      </c>
      <c r="CM1373" t="s">
        <v>109</v>
      </c>
      <c r="CN1373" t="str">
        <f>""</f>
        <v/>
      </c>
      <c r="CO1373" t="str">
        <f>""</f>
        <v/>
      </c>
      <c r="CP1373" t="str">
        <f>""</f>
        <v/>
      </c>
      <c r="CQ1373" t="str">
        <f>""</f>
        <v/>
      </c>
    </row>
    <row r="1374" spans="1:96" x14ac:dyDescent="0.2">
      <c r="A1374" t="s">
        <v>8962</v>
      </c>
      <c r="B1374" t="s">
        <v>96</v>
      </c>
      <c r="C1374" s="1">
        <v>44099</v>
      </c>
      <c r="D1374" s="1">
        <v>44106</v>
      </c>
      <c r="F1374" t="s">
        <v>97</v>
      </c>
      <c r="G1374" t="str">
        <f>"SENIOR PROGRAMMER ANALYST"</f>
        <v>SENIOR PROGRAMMER ANALYST</v>
      </c>
      <c r="H1374" t="s">
        <v>12169</v>
      </c>
      <c r="I1374" t="s">
        <v>124</v>
      </c>
      <c r="J1374" t="s">
        <v>98</v>
      </c>
      <c r="K1374" s="1">
        <v>44164</v>
      </c>
      <c r="L1374" s="1">
        <v>45258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 t="s">
        <v>1871</v>
      </c>
      <c r="U1374" t="str">
        <f>""</f>
        <v/>
      </c>
      <c r="V1374" t="s">
        <v>1872</v>
      </c>
      <c r="W1374" t="str">
        <f>"THIRD FLOOR"</f>
        <v>THIRD FLOOR</v>
      </c>
      <c r="X1374" t="s">
        <v>1873</v>
      </c>
      <c r="Y1374" t="s">
        <v>100</v>
      </c>
      <c r="Z1374" s="3">
        <v>8902</v>
      </c>
      <c r="AA1374" t="s">
        <v>101</v>
      </c>
      <c r="AC1374" s="4" t="str">
        <f>"+17326131124"</f>
        <v>+17326131124</v>
      </c>
      <c r="AE1374" t="str">
        <f>"541511"</f>
        <v>541511</v>
      </c>
      <c r="AF1374" t="s">
        <v>1874</v>
      </c>
      <c r="AG1374" t="s">
        <v>1875</v>
      </c>
      <c r="AI1374" t="s">
        <v>1876</v>
      </c>
      <c r="AJ1374" t="s">
        <v>1872</v>
      </c>
      <c r="AK1374" t="str">
        <f>"THIRD FLOOR"</f>
        <v>THIRD FLOOR</v>
      </c>
      <c r="AL1374" t="s">
        <v>1873</v>
      </c>
      <c r="AM1374" t="s">
        <v>100</v>
      </c>
      <c r="AN1374" s="3">
        <v>8902</v>
      </c>
      <c r="AO1374" t="s">
        <v>101</v>
      </c>
      <c r="AQ1374" t="str">
        <f>"+17326131124"</f>
        <v>+17326131124</v>
      </c>
      <c r="AS1374" t="s">
        <v>8963</v>
      </c>
      <c r="AT1374" t="s">
        <v>102</v>
      </c>
      <c r="AU1374" t="str">
        <f>""</f>
        <v/>
      </c>
      <c r="AV1374" t="str">
        <f>""</f>
        <v/>
      </c>
      <c r="AW1374" t="str">
        <f>""</f>
        <v/>
      </c>
      <c r="AX1374" t="str">
        <f>""</f>
        <v/>
      </c>
      <c r="AY1374" t="str">
        <f>""</f>
        <v/>
      </c>
      <c r="AZ1374" t="str">
        <f>""</f>
        <v/>
      </c>
      <c r="BA1374" t="str">
        <f>""</f>
        <v/>
      </c>
      <c r="BC1374" t="str">
        <f>""</f>
        <v/>
      </c>
      <c r="BD1374" t="str">
        <f>""</f>
        <v/>
      </c>
      <c r="BE1374" t="str">
        <f>""</f>
        <v/>
      </c>
      <c r="BF1374" t="str">
        <f>""</f>
        <v/>
      </c>
      <c r="BG1374" t="str">
        <f>""</f>
        <v/>
      </c>
      <c r="BH1374" t="str">
        <f>""</f>
        <v/>
      </c>
      <c r="BI1374" t="str">
        <f>""</f>
        <v/>
      </c>
      <c r="BJ1374" t="str">
        <f>""</f>
        <v/>
      </c>
      <c r="BK1374">
        <v>1</v>
      </c>
      <c r="BL1374" t="s">
        <v>107</v>
      </c>
      <c r="BM1374" t="str">
        <f>"GLOBALPOINT, INC."</f>
        <v>GLOBALPOINT, INC.</v>
      </c>
      <c r="BN1374" t="s">
        <v>1872</v>
      </c>
      <c r="BO1374" t="s">
        <v>5759</v>
      </c>
      <c r="BP1374" t="s">
        <v>1873</v>
      </c>
      <c r="BQ1374" t="s">
        <v>104</v>
      </c>
      <c r="BR1374" t="s">
        <v>100</v>
      </c>
      <c r="BS1374" s="5">
        <v>8902</v>
      </c>
      <c r="BT1374" s="2">
        <v>100526</v>
      </c>
      <c r="BV1374" t="s">
        <v>105</v>
      </c>
      <c r="BW1374" s="2">
        <v>100526</v>
      </c>
      <c r="BX1374" t="s">
        <v>105</v>
      </c>
      <c r="BZ1374" t="s">
        <v>167</v>
      </c>
      <c r="CA1374" t="str">
        <f t="shared" si="106"/>
        <v>7/1/2020 - 6/30/2021</v>
      </c>
      <c r="CF1374">
        <v>2</v>
      </c>
      <c r="CG1374" t="s">
        <v>98</v>
      </c>
      <c r="CH1374" t="s">
        <v>98</v>
      </c>
      <c r="CI1374" t="s">
        <v>206</v>
      </c>
      <c r="CJ1374" t="s">
        <v>98</v>
      </c>
      <c r="CK1374" t="s">
        <v>12323</v>
      </c>
      <c r="CL1374" t="s">
        <v>108</v>
      </c>
      <c r="CM1374" t="s">
        <v>109</v>
      </c>
      <c r="CN1374" t="str">
        <f>""</f>
        <v/>
      </c>
      <c r="CO1374" t="str">
        <f>""</f>
        <v/>
      </c>
      <c r="CP1374" t="str">
        <f>""</f>
        <v/>
      </c>
      <c r="CQ1374" t="str">
        <f>""</f>
        <v/>
      </c>
    </row>
    <row r="1375" spans="1:96" x14ac:dyDescent="0.2">
      <c r="A1375" t="s">
        <v>8990</v>
      </c>
      <c r="B1375" t="s">
        <v>96</v>
      </c>
      <c r="C1375" s="1">
        <v>44099</v>
      </c>
      <c r="D1375" s="1">
        <v>44106</v>
      </c>
      <c r="F1375" t="s">
        <v>97</v>
      </c>
      <c r="G1375" t="str">
        <f>"INFORMATICA DEVELOPER"</f>
        <v>INFORMATICA DEVELOPER</v>
      </c>
      <c r="H1375" t="s">
        <v>12169</v>
      </c>
      <c r="I1375" t="s">
        <v>124</v>
      </c>
      <c r="J1375" t="s">
        <v>98</v>
      </c>
      <c r="K1375" s="1">
        <v>44105</v>
      </c>
      <c r="L1375" s="1">
        <v>45199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5985</v>
      </c>
      <c r="U1375" t="str">
        <f>""</f>
        <v/>
      </c>
      <c r="V1375" t="s">
        <v>5986</v>
      </c>
      <c r="W1375" t="str">
        <f>""</f>
        <v/>
      </c>
      <c r="X1375" t="s">
        <v>2870</v>
      </c>
      <c r="Y1375" t="s">
        <v>225</v>
      </c>
      <c r="Z1375" s="3">
        <v>45035</v>
      </c>
      <c r="AA1375" t="s">
        <v>101</v>
      </c>
      <c r="AC1375" s="4" t="str">
        <f>"+16143403360"</f>
        <v>+16143403360</v>
      </c>
      <c r="AE1375" t="str">
        <f>"541511"</f>
        <v>541511</v>
      </c>
      <c r="AF1375" t="s">
        <v>5987</v>
      </c>
      <c r="AG1375" t="s">
        <v>2347</v>
      </c>
      <c r="AI1375" t="s">
        <v>5988</v>
      </c>
      <c r="AJ1375" t="s">
        <v>5986</v>
      </c>
      <c r="AK1375" t="str">
        <f>""</f>
        <v/>
      </c>
      <c r="AL1375" t="s">
        <v>2870</v>
      </c>
      <c r="AM1375" t="s">
        <v>225</v>
      </c>
      <c r="AN1375" s="3">
        <v>43035</v>
      </c>
      <c r="AO1375" t="s">
        <v>101</v>
      </c>
      <c r="AQ1375" t="str">
        <f>"+16143403360"</f>
        <v>+16143403360</v>
      </c>
      <c r="AS1375" t="s">
        <v>5989</v>
      </c>
      <c r="AT1375" t="s">
        <v>102</v>
      </c>
      <c r="AU1375" t="str">
        <f>""</f>
        <v/>
      </c>
      <c r="AV1375" t="str">
        <f>""</f>
        <v/>
      </c>
      <c r="AW1375" t="str">
        <f>""</f>
        <v/>
      </c>
      <c r="AX1375" t="str">
        <f>""</f>
        <v/>
      </c>
      <c r="AY1375" t="str">
        <f>""</f>
        <v/>
      </c>
      <c r="AZ1375" t="str">
        <f>""</f>
        <v/>
      </c>
      <c r="BA1375" t="str">
        <f>""</f>
        <v/>
      </c>
      <c r="BC1375" t="str">
        <f>""</f>
        <v/>
      </c>
      <c r="BD1375" t="str">
        <f>""</f>
        <v/>
      </c>
      <c r="BE1375" t="str">
        <f>""</f>
        <v/>
      </c>
      <c r="BF1375" t="str">
        <f>""</f>
        <v/>
      </c>
      <c r="BG1375" t="str">
        <f>""</f>
        <v/>
      </c>
      <c r="BH1375" t="str">
        <f>""</f>
        <v/>
      </c>
      <c r="BI1375" t="str">
        <f>""</f>
        <v/>
      </c>
      <c r="BJ1375" t="str">
        <f>""</f>
        <v/>
      </c>
      <c r="BK1375">
        <v>1</v>
      </c>
      <c r="BL1375" t="s">
        <v>107</v>
      </c>
      <c r="BM1375" t="str">
        <f>"SATCON INC"</f>
        <v>SATCON INC</v>
      </c>
      <c r="BN1375" t="s">
        <v>8991</v>
      </c>
      <c r="BO1375" t="s">
        <v>8992</v>
      </c>
      <c r="BP1375" t="s">
        <v>484</v>
      </c>
      <c r="BQ1375" t="s">
        <v>484</v>
      </c>
      <c r="BR1375" t="s">
        <v>114</v>
      </c>
      <c r="BS1375" s="5">
        <v>75287</v>
      </c>
      <c r="BT1375" s="2">
        <v>95000</v>
      </c>
      <c r="BV1375" t="s">
        <v>105</v>
      </c>
      <c r="BW1375" s="2">
        <v>93558</v>
      </c>
      <c r="BX1375" t="s">
        <v>105</v>
      </c>
      <c r="BZ1375" t="s">
        <v>167</v>
      </c>
      <c r="CA1375" t="str">
        <f t="shared" si="106"/>
        <v>7/1/2020 - 6/30/2021</v>
      </c>
      <c r="CF1375">
        <v>1</v>
      </c>
      <c r="CG1375" t="s">
        <v>98</v>
      </c>
      <c r="CH1375" t="s">
        <v>98</v>
      </c>
      <c r="CI1375" t="s">
        <v>206</v>
      </c>
      <c r="CJ1375" t="s">
        <v>98</v>
      </c>
      <c r="CK1375" t="s">
        <v>12323</v>
      </c>
      <c r="CL1375" t="s">
        <v>108</v>
      </c>
      <c r="CM1375" t="s">
        <v>109</v>
      </c>
      <c r="CN1375" t="str">
        <f>"CHINTALAPATI"</f>
        <v>CHINTALAPATI</v>
      </c>
      <c r="CO1375" t="str">
        <f>"KRISHNA"</f>
        <v>KRISHNA</v>
      </c>
      <c r="CP1375" t="str">
        <f>""</f>
        <v/>
      </c>
      <c r="CQ1375" t="str">
        <f>"MERIDIANSOFT INC"</f>
        <v>MERIDIANSOFT INC</v>
      </c>
      <c r="CR1375" t="s">
        <v>5989</v>
      </c>
    </row>
    <row r="1376" spans="1:96" x14ac:dyDescent="0.2">
      <c r="A1376" t="s">
        <v>9030</v>
      </c>
      <c r="B1376" t="s">
        <v>96</v>
      </c>
      <c r="C1376" s="1">
        <v>44099</v>
      </c>
      <c r="D1376" s="1">
        <v>44106</v>
      </c>
      <c r="F1376" t="s">
        <v>97</v>
      </c>
      <c r="G1376" t="str">
        <f>"Manager JC50"</f>
        <v>Manager JC50</v>
      </c>
      <c r="H1376" t="s">
        <v>12181</v>
      </c>
      <c r="I1376" t="s">
        <v>110</v>
      </c>
      <c r="J1376" t="s">
        <v>98</v>
      </c>
      <c r="K1376" s="1">
        <v>44109</v>
      </c>
      <c r="L1376" s="1">
        <v>45203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 t="s">
        <v>111</v>
      </c>
      <c r="U1376" t="str">
        <f>"CTSUS"</f>
        <v>CTSUS</v>
      </c>
      <c r="V1376" t="s">
        <v>112</v>
      </c>
      <c r="W1376" t="str">
        <f>""</f>
        <v/>
      </c>
      <c r="X1376" t="s">
        <v>113</v>
      </c>
      <c r="Y1376" t="s">
        <v>114</v>
      </c>
      <c r="Z1376" s="3">
        <v>77845</v>
      </c>
      <c r="AA1376" t="s">
        <v>101</v>
      </c>
      <c r="AB1376" t="s">
        <v>114</v>
      </c>
      <c r="AC1376" s="4" t="str">
        <f>"+19793296682"</f>
        <v>+19793296682</v>
      </c>
      <c r="AE1376" t="str">
        <f>"541512"</f>
        <v>541512</v>
      </c>
      <c r="AF1376" t="s">
        <v>115</v>
      </c>
      <c r="AG1376" t="s">
        <v>116</v>
      </c>
      <c r="AH1376" t="s">
        <v>108</v>
      </c>
      <c r="AI1376" t="s">
        <v>117</v>
      </c>
      <c r="AJ1376" t="s">
        <v>118</v>
      </c>
      <c r="AK1376" t="str">
        <f>""</f>
        <v/>
      </c>
      <c r="AL1376" t="s">
        <v>119</v>
      </c>
      <c r="AM1376" t="s">
        <v>114</v>
      </c>
      <c r="AN1376" s="3">
        <v>77845</v>
      </c>
      <c r="AO1376" t="s">
        <v>101</v>
      </c>
      <c r="AQ1376" t="str">
        <f>"+19793296682"</f>
        <v>+19793296682</v>
      </c>
      <c r="AS1376" t="s">
        <v>120</v>
      </c>
      <c r="AT1376" t="s">
        <v>102</v>
      </c>
      <c r="AU1376" t="str">
        <f>""</f>
        <v/>
      </c>
      <c r="AV1376" t="str">
        <f>""</f>
        <v/>
      </c>
      <c r="AW1376" t="str">
        <f>""</f>
        <v/>
      </c>
      <c r="AX1376" t="str">
        <f>""</f>
        <v/>
      </c>
      <c r="AY1376" t="str">
        <f>""</f>
        <v/>
      </c>
      <c r="AZ1376" t="str">
        <f>""</f>
        <v/>
      </c>
      <c r="BA1376" t="str">
        <f>""</f>
        <v/>
      </c>
      <c r="BC1376" t="str">
        <f>""</f>
        <v/>
      </c>
      <c r="BD1376" t="str">
        <f>""</f>
        <v/>
      </c>
      <c r="BE1376" t="str">
        <f>""</f>
        <v/>
      </c>
      <c r="BF1376" t="str">
        <f>""</f>
        <v/>
      </c>
      <c r="BG1376" t="str">
        <f>""</f>
        <v/>
      </c>
      <c r="BH1376" t="str">
        <f>""</f>
        <v/>
      </c>
      <c r="BI1376" t="str">
        <f>""</f>
        <v/>
      </c>
      <c r="BJ1376" t="str">
        <f>""</f>
        <v/>
      </c>
      <c r="BK1376">
        <v>1</v>
      </c>
      <c r="BL1376" t="s">
        <v>102</v>
      </c>
      <c r="BM1376" t="str">
        <f>""</f>
        <v/>
      </c>
      <c r="BN1376" t="s">
        <v>9031</v>
      </c>
      <c r="BP1376" t="s">
        <v>483</v>
      </c>
      <c r="BQ1376" t="s">
        <v>484</v>
      </c>
      <c r="BR1376" t="s">
        <v>114</v>
      </c>
      <c r="BS1376" s="5">
        <v>75063</v>
      </c>
      <c r="BT1376" s="2">
        <v>97240</v>
      </c>
      <c r="BV1376" t="s">
        <v>105</v>
      </c>
      <c r="BW1376" s="2">
        <v>97240</v>
      </c>
      <c r="BX1376" t="s">
        <v>105</v>
      </c>
      <c r="BZ1376" t="s">
        <v>123</v>
      </c>
      <c r="CA1376" t="str">
        <f t="shared" si="106"/>
        <v>7/1/2020 - 6/30/2021</v>
      </c>
      <c r="CF1376">
        <v>1</v>
      </c>
      <c r="CG1376" t="s">
        <v>98</v>
      </c>
      <c r="CH1376" t="s">
        <v>98</v>
      </c>
      <c r="CI1376" t="s">
        <v>206</v>
      </c>
      <c r="CJ1376" t="s">
        <v>98</v>
      </c>
      <c r="CK1376" t="s">
        <v>12323</v>
      </c>
      <c r="CL1376" t="s">
        <v>108</v>
      </c>
      <c r="CM1376" t="s">
        <v>109</v>
      </c>
      <c r="CN1376" t="str">
        <f>""</f>
        <v/>
      </c>
      <c r="CO1376" t="str">
        <f>""</f>
        <v/>
      </c>
      <c r="CP1376" t="str">
        <f>""</f>
        <v/>
      </c>
      <c r="CQ1376" t="str">
        <f>""</f>
        <v/>
      </c>
    </row>
    <row r="1377" spans="1:96" x14ac:dyDescent="0.2">
      <c r="A1377" t="s">
        <v>9048</v>
      </c>
      <c r="B1377" t="s">
        <v>96</v>
      </c>
      <c r="C1377" s="1">
        <v>44099</v>
      </c>
      <c r="D1377" s="1">
        <v>44106</v>
      </c>
      <c r="F1377" t="s">
        <v>97</v>
      </c>
      <c r="G1377" t="str">
        <f>"Functional Lead – Ariba Sourcing"</f>
        <v>Functional Lead – Ariba Sourcing</v>
      </c>
      <c r="H1377" t="s">
        <v>12214</v>
      </c>
      <c r="I1377" t="s">
        <v>276</v>
      </c>
      <c r="J1377" t="s">
        <v>98</v>
      </c>
      <c r="K1377" s="1">
        <v>44105</v>
      </c>
      <c r="L1377" s="1">
        <v>45199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5715</v>
      </c>
      <c r="U1377" t="str">
        <f>""</f>
        <v/>
      </c>
      <c r="V1377" t="s">
        <v>5716</v>
      </c>
      <c r="W1377" t="str">
        <f>"Suite 990"</f>
        <v>Suite 990</v>
      </c>
      <c r="X1377" t="s">
        <v>651</v>
      </c>
      <c r="Y1377" t="s">
        <v>141</v>
      </c>
      <c r="Z1377" s="3">
        <v>95113</v>
      </c>
      <c r="AA1377" t="s">
        <v>101</v>
      </c>
      <c r="AC1377" s="4" t="str">
        <f>"+16503864049"</f>
        <v>+16503864049</v>
      </c>
      <c r="AE1377" t="str">
        <f>"541511"</f>
        <v>541511</v>
      </c>
      <c r="AF1377" t="s">
        <v>5717</v>
      </c>
      <c r="AG1377" t="s">
        <v>5718</v>
      </c>
      <c r="AI1377" t="s">
        <v>5719</v>
      </c>
      <c r="AJ1377" t="s">
        <v>5716</v>
      </c>
      <c r="AK1377" t="str">
        <f>"SUITE 990"</f>
        <v>SUITE 990</v>
      </c>
      <c r="AL1377" t="s">
        <v>651</v>
      </c>
      <c r="AM1377" t="s">
        <v>141</v>
      </c>
      <c r="AN1377" s="3">
        <v>95113</v>
      </c>
      <c r="AO1377" t="s">
        <v>101</v>
      </c>
      <c r="AQ1377" t="str">
        <f>"+16503864049"</f>
        <v>+16503864049</v>
      </c>
      <c r="AS1377" t="s">
        <v>5720</v>
      </c>
      <c r="AT1377" t="s">
        <v>107</v>
      </c>
      <c r="AU1377" t="str">
        <f>"TAN"</f>
        <v>TAN</v>
      </c>
      <c r="AV1377" t="str">
        <f>"LIHUA"</f>
        <v>LIHUA</v>
      </c>
      <c r="AW1377" t="str">
        <f>""</f>
        <v/>
      </c>
      <c r="AX1377" t="str">
        <f>"1600 DUANE AVENUE"</f>
        <v>1600 DUANE AVENUE</v>
      </c>
      <c r="AY1377" t="str">
        <f>""</f>
        <v/>
      </c>
      <c r="AZ1377" t="str">
        <f>"SANTA CLARA"</f>
        <v>SANTA CLARA</v>
      </c>
      <c r="BA1377" t="str">
        <f>"CA"</f>
        <v>CA</v>
      </c>
      <c r="BB1377" s="3">
        <v>95054</v>
      </c>
      <c r="BC1377" t="str">
        <f>"UNITED STATES OF AMERICA"</f>
        <v>UNITED STATES OF AMERICA</v>
      </c>
      <c r="BD1377" t="str">
        <f>""</f>
        <v/>
      </c>
      <c r="BE1377" t="str">
        <f>"+14089700100"</f>
        <v>+14089700100</v>
      </c>
      <c r="BF1377" t="str">
        <f>""</f>
        <v/>
      </c>
      <c r="BG1377" t="str">
        <f>"LIHUA.TAN@CHUGH.COM"</f>
        <v>LIHUA.TAN@CHUGH.COM</v>
      </c>
      <c r="BH1377" t="str">
        <f>"CHUGH, LLP"</f>
        <v>CHUGH, LLP</v>
      </c>
      <c r="BI1377" t="str">
        <f>"NY"</f>
        <v>NY</v>
      </c>
      <c r="BJ1377" t="str">
        <f>"U.S. SUPREME COURT"</f>
        <v>U.S. SUPREME COURT</v>
      </c>
      <c r="BK1377">
        <v>1</v>
      </c>
      <c r="BL1377" t="s">
        <v>107</v>
      </c>
      <c r="BM1377" t="str">
        <f>"KLA Corporation"</f>
        <v>KLA Corporation</v>
      </c>
      <c r="BN1377" t="s">
        <v>9049</v>
      </c>
      <c r="BP1377" t="s">
        <v>762</v>
      </c>
      <c r="BQ1377" t="s">
        <v>230</v>
      </c>
      <c r="BR1377" t="s">
        <v>141</v>
      </c>
      <c r="BS1377" s="5">
        <v>95035</v>
      </c>
      <c r="BT1377" s="2">
        <v>96387</v>
      </c>
      <c r="BU1377" s="2">
        <v>100000</v>
      </c>
      <c r="BV1377" t="s">
        <v>105</v>
      </c>
      <c r="BW1377" s="2">
        <v>96387</v>
      </c>
      <c r="BX1377" t="s">
        <v>105</v>
      </c>
      <c r="BZ1377" t="s">
        <v>167</v>
      </c>
      <c r="CA1377" t="str">
        <f t="shared" si="106"/>
        <v>7/1/2020 - 6/30/2021</v>
      </c>
      <c r="CF1377">
        <v>1</v>
      </c>
      <c r="CG1377" t="s">
        <v>98</v>
      </c>
      <c r="CH1377" t="s">
        <v>98</v>
      </c>
      <c r="CI1377" t="s">
        <v>206</v>
      </c>
      <c r="CJ1377" t="s">
        <v>98</v>
      </c>
      <c r="CK1377" t="s">
        <v>12323</v>
      </c>
      <c r="CL1377" t="s">
        <v>108</v>
      </c>
      <c r="CM1377" t="s">
        <v>109</v>
      </c>
      <c r="CN1377" t="str">
        <f>"Song"</f>
        <v>Song</v>
      </c>
      <c r="CO1377" t="str">
        <f>"Yujun"</f>
        <v>Yujun</v>
      </c>
      <c r="CP1377" t="str">
        <f>""</f>
        <v/>
      </c>
      <c r="CQ1377" t="str">
        <f>"Chugh, LLP"</f>
        <v>Chugh, LLP</v>
      </c>
      <c r="CR1377" t="s">
        <v>1835</v>
      </c>
    </row>
    <row r="1378" spans="1:96" x14ac:dyDescent="0.2">
      <c r="A1378" t="s">
        <v>9092</v>
      </c>
      <c r="B1378" t="s">
        <v>96</v>
      </c>
      <c r="C1378" s="1">
        <v>44099</v>
      </c>
      <c r="D1378" s="1">
        <v>44106</v>
      </c>
      <c r="F1378" t="s">
        <v>97</v>
      </c>
      <c r="G1378" t="str">
        <f>"Data Engineer"</f>
        <v>Data Engineer</v>
      </c>
      <c r="H1378" t="s">
        <v>12168</v>
      </c>
      <c r="I1378" t="s">
        <v>1844</v>
      </c>
      <c r="J1378" t="s">
        <v>98</v>
      </c>
      <c r="K1378" s="1">
        <v>44109</v>
      </c>
      <c r="L1378" s="1">
        <v>45203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 t="s">
        <v>466</v>
      </c>
      <c r="U1378" t="str">
        <f>""</f>
        <v/>
      </c>
      <c r="V1378" t="s">
        <v>467</v>
      </c>
      <c r="W1378" t="str">
        <f>"AKA 1601 Willow Road"</f>
        <v>AKA 1601 Willow Road</v>
      </c>
      <c r="X1378" t="s">
        <v>468</v>
      </c>
      <c r="Y1378" t="s">
        <v>141</v>
      </c>
      <c r="Z1378" s="3">
        <v>94025</v>
      </c>
      <c r="AA1378" t="s">
        <v>101</v>
      </c>
      <c r="AC1378" s="4" t="str">
        <f>"+16505434800"</f>
        <v>+16505434800</v>
      </c>
      <c r="AE1378" t="str">
        <f>"518210"</f>
        <v>518210</v>
      </c>
      <c r="AF1378" t="s">
        <v>469</v>
      </c>
      <c r="AG1378" t="s">
        <v>470</v>
      </c>
      <c r="AI1378" t="s">
        <v>471</v>
      </c>
      <c r="AJ1378" t="s">
        <v>467</v>
      </c>
      <c r="AK1378" t="str">
        <f>"AKA 1601 Willow Road "</f>
        <v xml:space="preserve">AKA 1601 Willow Road </v>
      </c>
      <c r="AL1378" t="s">
        <v>472</v>
      </c>
      <c r="AM1378" t="s">
        <v>141</v>
      </c>
      <c r="AN1378" s="3">
        <v>94025</v>
      </c>
      <c r="AO1378" t="s">
        <v>101</v>
      </c>
      <c r="AQ1378" t="str">
        <f>"+14085335781"</f>
        <v>+14085335781</v>
      </c>
      <c r="AS1378" t="s">
        <v>108</v>
      </c>
      <c r="AT1378" t="s">
        <v>107</v>
      </c>
      <c r="AU1378" t="str">
        <f>"McCarthy"</f>
        <v>McCarthy</v>
      </c>
      <c r="AV1378" t="str">
        <f>"Susan"</f>
        <v>Susan</v>
      </c>
      <c r="AW1378" t="str">
        <f>""</f>
        <v/>
      </c>
      <c r="AX1378" t="str">
        <f>"P.O. Box 31608"</f>
        <v>P.O. Box 31608</v>
      </c>
      <c r="AY1378" t="str">
        <f>""</f>
        <v/>
      </c>
      <c r="AZ1378" t="str">
        <f>"Raleigh"</f>
        <v>Raleigh</v>
      </c>
      <c r="BA1378" t="str">
        <f>"NC"</f>
        <v>NC</v>
      </c>
      <c r="BB1378" s="3">
        <v>27622</v>
      </c>
      <c r="BC1378" t="str">
        <f>"UNITED STATES OF AMERICA"</f>
        <v>UNITED STATES OF AMERICA</v>
      </c>
      <c r="BD1378" t="str">
        <f>""</f>
        <v/>
      </c>
      <c r="BE1378" t="str">
        <f>"+19193077002"</f>
        <v>+19193077002</v>
      </c>
      <c r="BF1378" t="str">
        <f>""</f>
        <v/>
      </c>
      <c r="BG1378" t="str">
        <f>"vicky.johnson@ogletreedeakins.com"</f>
        <v>vicky.johnson@ogletreedeakins.com</v>
      </c>
      <c r="BH1378" t="str">
        <f>"Ogletree, Deakins, Nash, Smoak &amp; Stewart, P.C."</f>
        <v>Ogletree, Deakins, Nash, Smoak &amp; Stewart, P.C.</v>
      </c>
      <c r="BI1378" t="str">
        <f>"NJ"</f>
        <v>NJ</v>
      </c>
      <c r="BJ1378" t="str">
        <f>"Supreme Court of New Jersey"</f>
        <v>Supreme Court of New Jersey</v>
      </c>
      <c r="BK1378">
        <v>1</v>
      </c>
      <c r="BL1378" t="s">
        <v>102</v>
      </c>
      <c r="BM1378" t="str">
        <f>""</f>
        <v/>
      </c>
      <c r="BN1378" t="s">
        <v>467</v>
      </c>
      <c r="BO1378" t="s">
        <v>1098</v>
      </c>
      <c r="BP1378" t="s">
        <v>472</v>
      </c>
      <c r="BQ1378" t="s">
        <v>994</v>
      </c>
      <c r="BR1378" t="s">
        <v>141</v>
      </c>
      <c r="BS1378" s="5">
        <v>94025</v>
      </c>
      <c r="BT1378" s="2">
        <v>137000</v>
      </c>
      <c r="BV1378" t="s">
        <v>105</v>
      </c>
      <c r="BW1378" s="2">
        <v>120370</v>
      </c>
      <c r="BX1378" t="s">
        <v>105</v>
      </c>
      <c r="BZ1378" t="s">
        <v>123</v>
      </c>
      <c r="CA1378" t="str">
        <f t="shared" si="106"/>
        <v>7/1/2020 - 6/30/2021</v>
      </c>
      <c r="CF1378">
        <v>2</v>
      </c>
      <c r="CG1378" t="s">
        <v>98</v>
      </c>
      <c r="CH1378" t="s">
        <v>98</v>
      </c>
      <c r="CI1378" t="s">
        <v>206</v>
      </c>
      <c r="CJ1378" t="s">
        <v>98</v>
      </c>
      <c r="CK1378" t="s">
        <v>12323</v>
      </c>
      <c r="CL1378" t="s">
        <v>108</v>
      </c>
      <c r="CM1378" t="s">
        <v>109</v>
      </c>
      <c r="CN1378" t="str">
        <f>"McCarthy "</f>
        <v xml:space="preserve">McCarthy </v>
      </c>
      <c r="CO1378" t="str">
        <f>"Susan "</f>
        <v xml:space="preserve">Susan </v>
      </c>
      <c r="CP1378" t="str">
        <f>""</f>
        <v/>
      </c>
      <c r="CQ1378" t="str">
        <f>"Ogletree, Deakins, Nash, Smoak &amp; Stewart, P.C. "</f>
        <v xml:space="preserve">Ogletree, Deakins, Nash, Smoak &amp; Stewart, P.C. </v>
      </c>
      <c r="CR1378" t="s">
        <v>473</v>
      </c>
    </row>
    <row r="1379" spans="1:96" x14ac:dyDescent="0.2">
      <c r="A1379" t="s">
        <v>9115</v>
      </c>
      <c r="B1379" t="s">
        <v>96</v>
      </c>
      <c r="C1379" s="1">
        <v>44099</v>
      </c>
      <c r="D1379" s="1">
        <v>44106</v>
      </c>
      <c r="F1379" t="s">
        <v>97</v>
      </c>
      <c r="G1379" t="str">
        <f>"Technical Test Lead - US - Practitioner"</f>
        <v>Technical Test Lead - US - Practitioner</v>
      </c>
      <c r="H1379" t="s">
        <v>12168</v>
      </c>
      <c r="I1379" t="s">
        <v>319</v>
      </c>
      <c r="J1379" t="s">
        <v>98</v>
      </c>
      <c r="K1379" s="1">
        <v>44110</v>
      </c>
      <c r="L1379" s="1">
        <v>45202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 t="s">
        <v>723</v>
      </c>
      <c r="U1379" t="str">
        <f>""</f>
        <v/>
      </c>
      <c r="V1379" t="s">
        <v>724</v>
      </c>
      <c r="W1379" t="str">
        <f>"STE C150"</f>
        <v>STE C150</v>
      </c>
      <c r="X1379" t="s">
        <v>725</v>
      </c>
      <c r="Y1379" t="s">
        <v>114</v>
      </c>
      <c r="Z1379" s="3">
        <v>75082</v>
      </c>
      <c r="AA1379" t="s">
        <v>101</v>
      </c>
      <c r="AC1379" s="4" t="str">
        <f>"+12143062100"</f>
        <v>+12143062100</v>
      </c>
      <c r="AE1379" t="str">
        <f>"541511"</f>
        <v>541511</v>
      </c>
      <c r="AF1379" t="s">
        <v>726</v>
      </c>
      <c r="AG1379" t="s">
        <v>727</v>
      </c>
      <c r="AI1379" t="s">
        <v>728</v>
      </c>
      <c r="AJ1379" t="s">
        <v>724</v>
      </c>
      <c r="AK1379" t="str">
        <f>"STE C150"</f>
        <v>STE C150</v>
      </c>
      <c r="AL1379" t="s">
        <v>725</v>
      </c>
      <c r="AM1379" t="s">
        <v>114</v>
      </c>
      <c r="AN1379" s="3">
        <v>75082</v>
      </c>
      <c r="AO1379" t="s">
        <v>101</v>
      </c>
      <c r="AQ1379" t="str">
        <f>"+12143062100"</f>
        <v>+12143062100</v>
      </c>
      <c r="AS1379" t="s">
        <v>729</v>
      </c>
      <c r="AT1379" t="s">
        <v>102</v>
      </c>
      <c r="AU1379" t="str">
        <f>""</f>
        <v/>
      </c>
      <c r="AV1379" t="str">
        <f>""</f>
        <v/>
      </c>
      <c r="AW1379" t="str">
        <f>""</f>
        <v/>
      </c>
      <c r="AX1379" t="str">
        <f>""</f>
        <v/>
      </c>
      <c r="AY1379" t="str">
        <f>""</f>
        <v/>
      </c>
      <c r="AZ1379" t="str">
        <f>""</f>
        <v/>
      </c>
      <c r="BA1379" t="str">
        <f>""</f>
        <v/>
      </c>
      <c r="BC1379" t="str">
        <f>""</f>
        <v/>
      </c>
      <c r="BD1379" t="str">
        <f>""</f>
        <v/>
      </c>
      <c r="BE1379" t="str">
        <f>""</f>
        <v/>
      </c>
      <c r="BF1379" t="str">
        <f>""</f>
        <v/>
      </c>
      <c r="BG1379" t="str">
        <f>""</f>
        <v/>
      </c>
      <c r="BH1379" t="str">
        <f>""</f>
        <v/>
      </c>
      <c r="BI1379" t="str">
        <f>""</f>
        <v/>
      </c>
      <c r="BJ1379" t="str">
        <f>""</f>
        <v/>
      </c>
      <c r="BK1379">
        <v>1</v>
      </c>
      <c r="BL1379" t="s">
        <v>107</v>
      </c>
      <c r="BM1379" t="str">
        <f>"Citizens Bank"</f>
        <v>Citizens Bank</v>
      </c>
      <c r="BN1379" t="s">
        <v>9116</v>
      </c>
      <c r="BO1379" t="s">
        <v>8853</v>
      </c>
      <c r="BP1379" t="s">
        <v>226</v>
      </c>
      <c r="BQ1379" t="s">
        <v>2947</v>
      </c>
      <c r="BR1379" t="s">
        <v>857</v>
      </c>
      <c r="BS1379" s="5">
        <v>2915</v>
      </c>
      <c r="BT1379" s="2">
        <v>65550</v>
      </c>
      <c r="BV1379" t="s">
        <v>105</v>
      </c>
      <c r="BW1379" s="2">
        <v>64938</v>
      </c>
      <c r="BX1379" t="s">
        <v>105</v>
      </c>
      <c r="BZ1379" t="s">
        <v>167</v>
      </c>
      <c r="CA1379" t="str">
        <f t="shared" si="106"/>
        <v>7/1/2020 - 6/30/2021</v>
      </c>
      <c r="CF1379">
        <v>1</v>
      </c>
      <c r="CG1379" t="s">
        <v>98</v>
      </c>
      <c r="CH1379" t="s">
        <v>98</v>
      </c>
      <c r="CI1379" t="s">
        <v>206</v>
      </c>
      <c r="CJ1379" t="s">
        <v>98</v>
      </c>
      <c r="CK1379" t="s">
        <v>12323</v>
      </c>
      <c r="CL1379" t="s">
        <v>108</v>
      </c>
      <c r="CM1379" t="s">
        <v>109</v>
      </c>
      <c r="CN1379" t="str">
        <f>"Khanum"</f>
        <v>Khanum</v>
      </c>
      <c r="CO1379" t="str">
        <f>"Hajeera"</f>
        <v>Hajeera</v>
      </c>
      <c r="CP1379" t="str">
        <f>""</f>
        <v/>
      </c>
      <c r="CQ1379" t="str">
        <f>"Infosys Limited"</f>
        <v>Infosys Limited</v>
      </c>
      <c r="CR1379" t="s">
        <v>900</v>
      </c>
    </row>
    <row r="1380" spans="1:96" x14ac:dyDescent="0.2">
      <c r="A1380" t="s">
        <v>9165</v>
      </c>
      <c r="B1380" t="s">
        <v>96</v>
      </c>
      <c r="C1380" s="1">
        <v>44099</v>
      </c>
      <c r="D1380" s="1">
        <v>44106</v>
      </c>
      <c r="F1380" t="s">
        <v>97</v>
      </c>
      <c r="G1380" t="str">
        <f>"SOLUTION ARCHITECT"</f>
        <v>SOLUTION ARCHITECT</v>
      </c>
      <c r="H1380" t="s">
        <v>12169</v>
      </c>
      <c r="I1380" t="s">
        <v>124</v>
      </c>
      <c r="J1380" t="s">
        <v>98</v>
      </c>
      <c r="K1380" s="1">
        <v>44131</v>
      </c>
      <c r="L1380" s="1">
        <v>45225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 t="s">
        <v>9166</v>
      </c>
      <c r="U1380" t="str">
        <f>""</f>
        <v/>
      </c>
      <c r="V1380" t="s">
        <v>9167</v>
      </c>
      <c r="W1380" t="str">
        <f>"Suite 203"</f>
        <v>Suite 203</v>
      </c>
      <c r="X1380" t="s">
        <v>256</v>
      </c>
      <c r="Y1380" t="s">
        <v>258</v>
      </c>
      <c r="Z1380" s="3">
        <v>85224</v>
      </c>
      <c r="AA1380" t="s">
        <v>101</v>
      </c>
      <c r="AC1380" s="4" t="str">
        <f>"+18122496454"</f>
        <v>+18122496454</v>
      </c>
      <c r="AE1380" t="str">
        <f>"54151"</f>
        <v>54151</v>
      </c>
      <c r="AF1380" t="s">
        <v>8456</v>
      </c>
      <c r="AG1380" t="s">
        <v>2279</v>
      </c>
      <c r="AI1380" t="s">
        <v>6538</v>
      </c>
      <c r="AJ1380" t="s">
        <v>9167</v>
      </c>
      <c r="AK1380" t="str">
        <f>"Suite 203"</f>
        <v>Suite 203</v>
      </c>
      <c r="AL1380" t="s">
        <v>256</v>
      </c>
      <c r="AM1380" t="s">
        <v>258</v>
      </c>
      <c r="AN1380" s="3">
        <v>85224</v>
      </c>
      <c r="AO1380" t="s">
        <v>101</v>
      </c>
      <c r="AQ1380" t="str">
        <f>"+18122496454"</f>
        <v>+18122496454</v>
      </c>
      <c r="AS1380" t="s">
        <v>9168</v>
      </c>
      <c r="AT1380" t="s">
        <v>107</v>
      </c>
      <c r="AU1380" t="str">
        <f>"Miner"</f>
        <v>Miner</v>
      </c>
      <c r="AV1380" t="str">
        <f>"Kevin"</f>
        <v>Kevin</v>
      </c>
      <c r="AW1380" t="str">
        <f>"William"</f>
        <v>William</v>
      </c>
      <c r="AX1380" t="str">
        <f>"600 Peachtree Street NE"</f>
        <v>600 Peachtree Street NE</v>
      </c>
      <c r="AY1380" t="str">
        <f>"Suite 4200 [5252482]"</f>
        <v>Suite 4200 [5252482]</v>
      </c>
      <c r="AZ1380" t="str">
        <f>"Atlanta"</f>
        <v>Atlanta</v>
      </c>
      <c r="BA1380" t="str">
        <f>"GA"</f>
        <v>GA</v>
      </c>
      <c r="BB1380" s="3">
        <v>30308</v>
      </c>
      <c r="BC1380" t="str">
        <f>"UNITED STATES OF AMERICA"</f>
        <v>UNITED STATES OF AMERICA</v>
      </c>
      <c r="BD1380" t="str">
        <f>""</f>
        <v/>
      </c>
      <c r="BE1380" t="str">
        <f>"+14048565577"</f>
        <v>+14048565577</v>
      </c>
      <c r="BF1380" t="str">
        <f>""</f>
        <v/>
      </c>
      <c r="BG1380" t="str">
        <f>"snagle@fragomen.com"</f>
        <v>snagle@fragomen.com</v>
      </c>
      <c r="BH1380" t="str">
        <f>"FRAGOMEN, DEL REY, BERNSEN, &amp; LOEWY, LLP"</f>
        <v>FRAGOMEN, DEL REY, BERNSEN, &amp; LOEWY, LLP</v>
      </c>
      <c r="BI1380" t="str">
        <f>"NH"</f>
        <v>NH</v>
      </c>
      <c r="BJ1380" t="str">
        <f>"Superior"</f>
        <v>Superior</v>
      </c>
      <c r="BK1380">
        <v>1</v>
      </c>
      <c r="BL1380" t="s">
        <v>102</v>
      </c>
      <c r="BM1380" t="str">
        <f>""</f>
        <v/>
      </c>
      <c r="BN1380" t="s">
        <v>9167</v>
      </c>
      <c r="BO1380" t="s">
        <v>2517</v>
      </c>
      <c r="BP1380" t="s">
        <v>256</v>
      </c>
      <c r="BQ1380" t="s">
        <v>257</v>
      </c>
      <c r="BR1380" t="s">
        <v>258</v>
      </c>
      <c r="BS1380" s="5">
        <v>85225</v>
      </c>
      <c r="BT1380" s="2">
        <v>118602</v>
      </c>
      <c r="BU1380" s="2">
        <v>138602</v>
      </c>
      <c r="BV1380" t="s">
        <v>105</v>
      </c>
      <c r="BW1380" s="2">
        <v>118602</v>
      </c>
      <c r="BX1380" t="s">
        <v>105</v>
      </c>
      <c r="BZ1380" t="s">
        <v>159</v>
      </c>
      <c r="CA1380" t="str">
        <f t="shared" si="106"/>
        <v>7/1/2020 - 6/30/2021</v>
      </c>
      <c r="CF1380">
        <v>2</v>
      </c>
      <c r="CG1380" t="s">
        <v>98</v>
      </c>
      <c r="CH1380" t="s">
        <v>98</v>
      </c>
      <c r="CI1380" t="s">
        <v>206</v>
      </c>
      <c r="CJ1380" t="s">
        <v>98</v>
      </c>
      <c r="CK1380" t="s">
        <v>12323</v>
      </c>
      <c r="CL1380" t="s">
        <v>108</v>
      </c>
      <c r="CM1380" t="s">
        <v>109</v>
      </c>
      <c r="CN1380" t="str">
        <f>""</f>
        <v/>
      </c>
      <c r="CO1380" t="str">
        <f>""</f>
        <v/>
      </c>
      <c r="CP1380" t="str">
        <f>""</f>
        <v/>
      </c>
      <c r="CQ1380" t="str">
        <f>""</f>
        <v/>
      </c>
    </row>
    <row r="1381" spans="1:96" x14ac:dyDescent="0.2">
      <c r="A1381" t="s">
        <v>9203</v>
      </c>
      <c r="B1381" t="s">
        <v>96</v>
      </c>
      <c r="C1381" s="1">
        <v>44099</v>
      </c>
      <c r="D1381" s="1">
        <v>44106</v>
      </c>
      <c r="F1381" t="s">
        <v>97</v>
      </c>
      <c r="G1381" t="str">
        <f>"Senior Software Engineer"</f>
        <v>Senior Software Engineer</v>
      </c>
      <c r="H1381" t="s">
        <v>12169</v>
      </c>
      <c r="I1381" t="s">
        <v>124</v>
      </c>
      <c r="J1381" t="s">
        <v>98</v>
      </c>
      <c r="K1381" s="1">
        <v>44123</v>
      </c>
      <c r="L1381" s="1">
        <v>45217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 t="s">
        <v>1300</v>
      </c>
      <c r="U1381" t="str">
        <f>""</f>
        <v/>
      </c>
      <c r="V1381" t="s">
        <v>3363</v>
      </c>
      <c r="W1381" t="str">
        <f>"4th Floor"</f>
        <v>4th Floor</v>
      </c>
      <c r="X1381" t="s">
        <v>585</v>
      </c>
      <c r="Y1381" t="s">
        <v>141</v>
      </c>
      <c r="Z1381" s="3">
        <v>95110</v>
      </c>
      <c r="AA1381" t="s">
        <v>101</v>
      </c>
      <c r="AC1381" s="4" t="str">
        <f>"+14082738900"</f>
        <v>+14082738900</v>
      </c>
      <c r="AE1381" t="str">
        <f>"541512"</f>
        <v>541512</v>
      </c>
      <c r="AF1381" t="s">
        <v>3364</v>
      </c>
      <c r="AG1381" t="s">
        <v>3365</v>
      </c>
      <c r="AH1381" t="s">
        <v>1126</v>
      </c>
      <c r="AI1381" t="s">
        <v>1304</v>
      </c>
      <c r="AJ1381" t="s">
        <v>1301</v>
      </c>
      <c r="AK1381" t="str">
        <f>"4th FLOOR"</f>
        <v>4th FLOOR</v>
      </c>
      <c r="AL1381" t="s">
        <v>585</v>
      </c>
      <c r="AM1381" t="s">
        <v>141</v>
      </c>
      <c r="AN1381" s="3">
        <v>95110</v>
      </c>
      <c r="AO1381" t="s">
        <v>101</v>
      </c>
      <c r="AQ1381" t="str">
        <f>"+14082738900"</f>
        <v>+14082738900</v>
      </c>
      <c r="AS1381" t="s">
        <v>3366</v>
      </c>
      <c r="AT1381" t="s">
        <v>102</v>
      </c>
      <c r="AU1381" t="str">
        <f>""</f>
        <v/>
      </c>
      <c r="AV1381" t="str">
        <f>""</f>
        <v/>
      </c>
      <c r="AW1381" t="str">
        <f>""</f>
        <v/>
      </c>
      <c r="AX1381" t="str">
        <f>""</f>
        <v/>
      </c>
      <c r="AY1381" t="str">
        <f>""</f>
        <v/>
      </c>
      <c r="AZ1381" t="str">
        <f>""</f>
        <v/>
      </c>
      <c r="BA1381" t="str">
        <f>""</f>
        <v/>
      </c>
      <c r="BC1381" t="str">
        <f>""</f>
        <v/>
      </c>
      <c r="BD1381" t="str">
        <f>""</f>
        <v/>
      </c>
      <c r="BE1381" t="str">
        <f>""</f>
        <v/>
      </c>
      <c r="BF1381" t="str">
        <f>""</f>
        <v/>
      </c>
      <c r="BG1381" t="str">
        <f>""</f>
        <v/>
      </c>
      <c r="BH1381" t="str">
        <f>""</f>
        <v/>
      </c>
      <c r="BI1381" t="str">
        <f>""</f>
        <v/>
      </c>
      <c r="BJ1381" t="str">
        <f>""</f>
        <v/>
      </c>
      <c r="BK1381">
        <v>1</v>
      </c>
      <c r="BL1381" t="s">
        <v>107</v>
      </c>
      <c r="BM1381" t="str">
        <f>"Panasonic Automotive Systems Company of America, Division of Panasonic Corporation of North America"</f>
        <v>Panasonic Automotive Systems Company of America, Division of Panasonic Corporation of North America</v>
      </c>
      <c r="BN1381" t="s">
        <v>4702</v>
      </c>
      <c r="BP1381" t="s">
        <v>3654</v>
      </c>
      <c r="BQ1381" t="s">
        <v>688</v>
      </c>
      <c r="BR1381" t="s">
        <v>215</v>
      </c>
      <c r="BS1381" s="5">
        <v>30269</v>
      </c>
      <c r="BT1381" s="2">
        <v>103501</v>
      </c>
      <c r="BU1381" s="2">
        <v>115000</v>
      </c>
      <c r="BV1381" t="s">
        <v>105</v>
      </c>
      <c r="BW1381" s="2">
        <v>103501</v>
      </c>
      <c r="BX1381" t="s">
        <v>105</v>
      </c>
      <c r="BZ1381" t="s">
        <v>123</v>
      </c>
      <c r="CA1381" t="str">
        <f t="shared" si="106"/>
        <v>7/1/2020 - 6/30/2021</v>
      </c>
      <c r="CF1381">
        <v>2</v>
      </c>
      <c r="CG1381" t="s">
        <v>98</v>
      </c>
      <c r="CH1381" t="s">
        <v>98</v>
      </c>
      <c r="CI1381" t="s">
        <v>206</v>
      </c>
      <c r="CJ1381" t="s">
        <v>98</v>
      </c>
      <c r="CK1381" t="s">
        <v>12323</v>
      </c>
      <c r="CL1381" t="s">
        <v>108</v>
      </c>
      <c r="CM1381" t="s">
        <v>109</v>
      </c>
      <c r="CN1381" t="str">
        <f>"N/A"</f>
        <v>N/A</v>
      </c>
      <c r="CO1381" t="str">
        <f>"N/A"</f>
        <v>N/A</v>
      </c>
      <c r="CP1381" t="str">
        <f>"N/A"</f>
        <v>N/A</v>
      </c>
      <c r="CQ1381" t="str">
        <f>"Not Applicable"</f>
        <v>Not Applicable</v>
      </c>
      <c r="CR1381" t="s">
        <v>108</v>
      </c>
    </row>
    <row r="1382" spans="1:96" x14ac:dyDescent="0.2">
      <c r="A1382" t="s">
        <v>9226</v>
      </c>
      <c r="B1382" t="s">
        <v>96</v>
      </c>
      <c r="C1382" s="1">
        <v>44099</v>
      </c>
      <c r="D1382" s="1">
        <v>44106</v>
      </c>
      <c r="F1382" t="s">
        <v>97</v>
      </c>
      <c r="G1382" t="str">
        <f>"Specialist-Technology/Software Developer "</f>
        <v xml:space="preserve">Specialist-Technology/Software Developer </v>
      </c>
      <c r="H1382" t="s">
        <v>12169</v>
      </c>
      <c r="I1382" t="s">
        <v>124</v>
      </c>
      <c r="J1382" t="s">
        <v>98</v>
      </c>
      <c r="K1382" s="1">
        <v>44111</v>
      </c>
      <c r="L1382" s="1">
        <v>45205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 t="s">
        <v>5405</v>
      </c>
      <c r="U1382" t="str">
        <f>""</f>
        <v/>
      </c>
      <c r="V1382" t="s">
        <v>4897</v>
      </c>
      <c r="W1382" t="str">
        <f>"Suite 3301"</f>
        <v>Suite 3301</v>
      </c>
      <c r="X1382" t="s">
        <v>277</v>
      </c>
      <c r="Y1382" t="s">
        <v>190</v>
      </c>
      <c r="Z1382" s="3">
        <v>10036</v>
      </c>
      <c r="AA1382" t="s">
        <v>101</v>
      </c>
      <c r="AC1382" s="4" t="str">
        <f>"+17047631255"</f>
        <v>+17047631255</v>
      </c>
      <c r="AE1382" t="str">
        <f>"541511"</f>
        <v>541511</v>
      </c>
      <c r="AF1382" t="s">
        <v>3073</v>
      </c>
      <c r="AG1382" t="s">
        <v>4899</v>
      </c>
      <c r="AI1382" t="s">
        <v>5406</v>
      </c>
      <c r="AJ1382" t="s">
        <v>4897</v>
      </c>
      <c r="AK1382" t="str">
        <f>"Suite 3301"</f>
        <v>Suite 3301</v>
      </c>
      <c r="AL1382" t="s">
        <v>277</v>
      </c>
      <c r="AM1382" t="s">
        <v>190</v>
      </c>
      <c r="AN1382" s="3">
        <v>10036</v>
      </c>
      <c r="AO1382" t="s">
        <v>101</v>
      </c>
      <c r="AQ1382" t="str">
        <f>"+17047631255"</f>
        <v>+17047631255</v>
      </c>
      <c r="AS1382" t="s">
        <v>5407</v>
      </c>
      <c r="AT1382" t="s">
        <v>107</v>
      </c>
      <c r="AU1382" t="str">
        <f>"SINGH"</f>
        <v>SINGH</v>
      </c>
      <c r="AV1382" t="str">
        <f>"Rajdeep"</f>
        <v>Rajdeep</v>
      </c>
      <c r="AW1382" t="str">
        <f>""</f>
        <v/>
      </c>
      <c r="AX1382" t="str">
        <f>"1270 Caroline Street"</f>
        <v>1270 Caroline Street</v>
      </c>
      <c r="AY1382" t="str">
        <f>"Suite D120-336"</f>
        <v>Suite D120-336</v>
      </c>
      <c r="AZ1382" t="str">
        <f>"Atlanta"</f>
        <v>Atlanta</v>
      </c>
      <c r="BA1382" t="str">
        <f>"GA"</f>
        <v>GA</v>
      </c>
      <c r="BB1382" s="3">
        <v>30307</v>
      </c>
      <c r="BC1382" t="str">
        <f>"UNITED STATES OF AMERICA"</f>
        <v>UNITED STATES OF AMERICA</v>
      </c>
      <c r="BD1382" t="str">
        <f>""</f>
        <v/>
      </c>
      <c r="BE1382" t="str">
        <f>"+14044742660"</f>
        <v>+14044742660</v>
      </c>
      <c r="BF1382" t="str">
        <f>""</f>
        <v/>
      </c>
      <c r="BG1382" t="str">
        <f>"Kari@dhallc.com"</f>
        <v>Kari@dhallc.com</v>
      </c>
      <c r="BH1382" t="str">
        <f>"Dua Associates LLC (dba Dua-Hobbs Associates)"</f>
        <v>Dua Associates LLC (dba Dua-Hobbs Associates)</v>
      </c>
      <c r="BI1382" t="str">
        <f>"NC"</f>
        <v>NC</v>
      </c>
      <c r="BJ1382" t="str">
        <f>"Supreme"</f>
        <v>Supreme</v>
      </c>
      <c r="BK1382">
        <v>1</v>
      </c>
      <c r="BL1382" t="s">
        <v>107</v>
      </c>
      <c r="BM1382" t="str">
        <f>"Forum Capital Markets LLC (dba Wells Fargo)"</f>
        <v>Forum Capital Markets LLC (dba Wells Fargo)</v>
      </c>
      <c r="BN1382" t="s">
        <v>9123</v>
      </c>
      <c r="BP1382" t="s">
        <v>604</v>
      </c>
      <c r="BQ1382" t="s">
        <v>121</v>
      </c>
      <c r="BR1382" t="s">
        <v>122</v>
      </c>
      <c r="BS1382" s="5">
        <v>28202</v>
      </c>
      <c r="BT1382" s="2">
        <v>91447</v>
      </c>
      <c r="BV1382" t="s">
        <v>105</v>
      </c>
      <c r="BW1382" s="2">
        <v>85488</v>
      </c>
      <c r="BX1382" t="s">
        <v>105</v>
      </c>
      <c r="BZ1382" t="s">
        <v>167</v>
      </c>
      <c r="CA1382" t="str">
        <f t="shared" si="106"/>
        <v>7/1/2020 - 6/30/2021</v>
      </c>
      <c r="CF1382">
        <v>2</v>
      </c>
      <c r="CG1382" t="s">
        <v>98</v>
      </c>
      <c r="CH1382" t="s">
        <v>98</v>
      </c>
      <c r="CI1382" t="s">
        <v>206</v>
      </c>
      <c r="CJ1382" t="s">
        <v>98</v>
      </c>
      <c r="CK1382" t="s">
        <v>12323</v>
      </c>
      <c r="CL1382" t="s">
        <v>108</v>
      </c>
      <c r="CM1382" t="s">
        <v>109</v>
      </c>
      <c r="CN1382" t="str">
        <f>""</f>
        <v/>
      </c>
      <c r="CO1382" t="str">
        <f>""</f>
        <v/>
      </c>
      <c r="CP1382" t="str">
        <f>""</f>
        <v/>
      </c>
      <c r="CQ1382" t="str">
        <f>""</f>
        <v/>
      </c>
    </row>
    <row r="1383" spans="1:96" x14ac:dyDescent="0.2">
      <c r="A1383" t="s">
        <v>9324</v>
      </c>
      <c r="B1383" t="s">
        <v>96</v>
      </c>
      <c r="C1383" s="1">
        <v>44099</v>
      </c>
      <c r="D1383" s="1">
        <v>44106</v>
      </c>
      <c r="F1383" t="s">
        <v>97</v>
      </c>
      <c r="G1383" t="str">
        <f>"Senior Software Developer"</f>
        <v>Senior Software Developer</v>
      </c>
      <c r="H1383" t="s">
        <v>12169</v>
      </c>
      <c r="I1383" t="s">
        <v>124</v>
      </c>
      <c r="J1383" t="s">
        <v>98</v>
      </c>
      <c r="K1383" s="1">
        <v>44102</v>
      </c>
      <c r="L1383" s="1">
        <v>45196</v>
      </c>
      <c r="M1383">
        <v>6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 t="s">
        <v>2509</v>
      </c>
      <c r="U1383" t="str">
        <f>"Mastech Digital InfoTech, Inc."</f>
        <v>Mastech Digital InfoTech, Inc.</v>
      </c>
      <c r="V1383" t="s">
        <v>1081</v>
      </c>
      <c r="W1383" t="str">
        <f>"Bldg. 210, Suite 400"</f>
        <v>Bldg. 210, Suite 400</v>
      </c>
      <c r="X1383" t="s">
        <v>1082</v>
      </c>
      <c r="Y1383" t="s">
        <v>127</v>
      </c>
      <c r="Z1383" s="3">
        <v>15108</v>
      </c>
      <c r="AA1383" t="s">
        <v>101</v>
      </c>
      <c r="AB1383" t="s">
        <v>2510</v>
      </c>
      <c r="AC1383" s="4" t="str">
        <f>"+14127879553"</f>
        <v>+14127879553</v>
      </c>
      <c r="AE1383" t="str">
        <f>"541511"</f>
        <v>541511</v>
      </c>
      <c r="AF1383" t="s">
        <v>1083</v>
      </c>
      <c r="AG1383" t="s">
        <v>1084</v>
      </c>
      <c r="AI1383" t="s">
        <v>1085</v>
      </c>
      <c r="AJ1383" t="s">
        <v>1081</v>
      </c>
      <c r="AK1383" t="str">
        <f>"Bldg. 210, Ste 400"</f>
        <v>Bldg. 210, Ste 400</v>
      </c>
      <c r="AL1383" t="s">
        <v>1082</v>
      </c>
      <c r="AM1383" t="s">
        <v>127</v>
      </c>
      <c r="AN1383" s="3">
        <v>15108</v>
      </c>
      <c r="AO1383" t="s">
        <v>101</v>
      </c>
      <c r="AQ1383" t="str">
        <f>"+14127879553"</f>
        <v>+14127879553</v>
      </c>
      <c r="AS1383" t="s">
        <v>1086</v>
      </c>
      <c r="AT1383" t="s">
        <v>102</v>
      </c>
      <c r="AU1383" t="str">
        <f>""</f>
        <v/>
      </c>
      <c r="AV1383" t="str">
        <f>""</f>
        <v/>
      </c>
      <c r="AW1383" t="str">
        <f>""</f>
        <v/>
      </c>
      <c r="AX1383" t="str">
        <f>""</f>
        <v/>
      </c>
      <c r="AY1383" t="str">
        <f>""</f>
        <v/>
      </c>
      <c r="AZ1383" t="str">
        <f>""</f>
        <v/>
      </c>
      <c r="BA1383" t="str">
        <f>""</f>
        <v/>
      </c>
      <c r="BC1383" t="str">
        <f>""</f>
        <v/>
      </c>
      <c r="BD1383" t="str">
        <f>""</f>
        <v/>
      </c>
      <c r="BE1383" t="str">
        <f>""</f>
        <v/>
      </c>
      <c r="BF1383" t="str">
        <f>""</f>
        <v/>
      </c>
      <c r="BG1383" t="str">
        <f>""</f>
        <v/>
      </c>
      <c r="BH1383" t="str">
        <f>""</f>
        <v/>
      </c>
      <c r="BI1383" t="str">
        <f>""</f>
        <v/>
      </c>
      <c r="BJ1383" t="str">
        <f>""</f>
        <v/>
      </c>
      <c r="BK1383">
        <v>6</v>
      </c>
      <c r="BL1383" t="s">
        <v>107</v>
      </c>
      <c r="BM1383" t="str">
        <f>"PNC Bank"</f>
        <v>PNC Bank</v>
      </c>
      <c r="BN1383" t="s">
        <v>3761</v>
      </c>
      <c r="BP1383" t="s">
        <v>333</v>
      </c>
      <c r="BQ1383" t="s">
        <v>861</v>
      </c>
      <c r="BR1383" t="s">
        <v>127</v>
      </c>
      <c r="BS1383" s="5">
        <v>15222</v>
      </c>
      <c r="BT1383" s="2">
        <v>95264</v>
      </c>
      <c r="BU1383" s="2">
        <v>110264</v>
      </c>
      <c r="BV1383" t="s">
        <v>105</v>
      </c>
      <c r="BW1383" s="2">
        <v>95264</v>
      </c>
      <c r="BX1383" t="s">
        <v>105</v>
      </c>
      <c r="BZ1383" t="s">
        <v>123</v>
      </c>
      <c r="CA1383" t="str">
        <f t="shared" si="106"/>
        <v>7/1/2020 - 6/30/2021</v>
      </c>
      <c r="CF1383">
        <v>2</v>
      </c>
      <c r="CG1383" t="s">
        <v>98</v>
      </c>
      <c r="CH1383" t="s">
        <v>98</v>
      </c>
      <c r="CI1383" t="s">
        <v>206</v>
      </c>
      <c r="CJ1383" t="s">
        <v>98</v>
      </c>
      <c r="CK1383" t="s">
        <v>12323</v>
      </c>
      <c r="CL1383" t="s">
        <v>108</v>
      </c>
      <c r="CM1383" t="s">
        <v>109</v>
      </c>
      <c r="CN1383" t="str">
        <f>""</f>
        <v/>
      </c>
      <c r="CO1383" t="str">
        <f>""</f>
        <v/>
      </c>
      <c r="CP1383" t="str">
        <f>""</f>
        <v/>
      </c>
      <c r="CQ1383" t="str">
        <f>""</f>
        <v/>
      </c>
    </row>
    <row r="1384" spans="1:96" x14ac:dyDescent="0.2">
      <c r="A1384" t="s">
        <v>9354</v>
      </c>
      <c r="B1384" t="s">
        <v>96</v>
      </c>
      <c r="C1384" s="1">
        <v>44099</v>
      </c>
      <c r="D1384" s="1">
        <v>44106</v>
      </c>
      <c r="F1384" t="s">
        <v>97</v>
      </c>
      <c r="G1384" t="str">
        <f>"Engineer Senior Systems Software"</f>
        <v>Engineer Senior Systems Software</v>
      </c>
      <c r="H1384" t="s">
        <v>12176</v>
      </c>
      <c r="I1384" t="s">
        <v>246</v>
      </c>
      <c r="J1384" t="s">
        <v>98</v>
      </c>
      <c r="K1384" s="1">
        <v>44105</v>
      </c>
      <c r="L1384" s="1">
        <v>45199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 t="s">
        <v>4509</v>
      </c>
      <c r="U1384" t="str">
        <f>""</f>
        <v/>
      </c>
      <c r="V1384" t="s">
        <v>4510</v>
      </c>
      <c r="W1384" t="str">
        <f>""</f>
        <v/>
      </c>
      <c r="X1384" t="s">
        <v>247</v>
      </c>
      <c r="Y1384" t="s">
        <v>141</v>
      </c>
      <c r="Z1384" s="3">
        <v>95051</v>
      </c>
      <c r="AA1384" t="s">
        <v>101</v>
      </c>
      <c r="AC1384" s="4" t="str">
        <f>"+14084862000"</f>
        <v>+14084862000</v>
      </c>
      <c r="AE1384" t="str">
        <f>"334111"</f>
        <v>334111</v>
      </c>
      <c r="AF1384" t="s">
        <v>4511</v>
      </c>
      <c r="AG1384" t="s">
        <v>4512</v>
      </c>
      <c r="AH1384" t="s">
        <v>108</v>
      </c>
      <c r="AI1384" t="s">
        <v>4513</v>
      </c>
      <c r="AJ1384" t="s">
        <v>4510</v>
      </c>
      <c r="AK1384" t="str">
        <f>"N/A"</f>
        <v>N/A</v>
      </c>
      <c r="AL1384" t="s">
        <v>247</v>
      </c>
      <c r="AM1384" t="s">
        <v>141</v>
      </c>
      <c r="AN1384" s="3">
        <v>95051</v>
      </c>
      <c r="AO1384" t="s">
        <v>101</v>
      </c>
      <c r="AQ1384" t="str">
        <f>"+14084862000"</f>
        <v>+14084862000</v>
      </c>
      <c r="AS1384" t="s">
        <v>4514</v>
      </c>
      <c r="AT1384" t="s">
        <v>107</v>
      </c>
      <c r="AU1384" t="str">
        <f>"Kim"</f>
        <v>Kim</v>
      </c>
      <c r="AV1384" t="str">
        <f>"Aileen"</f>
        <v>Aileen</v>
      </c>
      <c r="AW1384" t="str">
        <f>"N/A"</f>
        <v>N/A</v>
      </c>
      <c r="AX1384" t="str">
        <f>"2121 Tasman Drive"</f>
        <v>2121 Tasman Drive</v>
      </c>
      <c r="AY1384" t="str">
        <f>""</f>
        <v/>
      </c>
      <c r="AZ1384" t="str">
        <f>"Santa Clara"</f>
        <v>Santa Clara</v>
      </c>
      <c r="BA1384" t="str">
        <f>"CA"</f>
        <v>CA</v>
      </c>
      <c r="BB1384" s="3">
        <v>95054</v>
      </c>
      <c r="BC1384" t="str">
        <f>"UNITED STATES OF AMERICA"</f>
        <v>UNITED STATES OF AMERICA</v>
      </c>
      <c r="BD1384" t="str">
        <f>"N/A"</f>
        <v>N/A</v>
      </c>
      <c r="BE1384" t="str">
        <f>"+14089190600"</f>
        <v>+14089190600</v>
      </c>
      <c r="BF1384" t="str">
        <f>""</f>
        <v/>
      </c>
      <c r="BG1384" t="str">
        <f>"NVIDIA@Fragomen.com"</f>
        <v>NVIDIA@Fragomen.com</v>
      </c>
      <c r="BH1384" t="str">
        <f>"Fragomen, Del Rey, Bernsen &amp; Loewy, LLP"</f>
        <v>Fragomen, Del Rey, Bernsen &amp; Loewy, LLP</v>
      </c>
      <c r="BI1384" t="str">
        <f>"CA"</f>
        <v>CA</v>
      </c>
      <c r="BJ1384" t="str">
        <f>"Supreme Court"</f>
        <v>Supreme Court</v>
      </c>
      <c r="BK1384">
        <v>1</v>
      </c>
      <c r="BL1384" t="s">
        <v>102</v>
      </c>
      <c r="BM1384" t="str">
        <f>""</f>
        <v/>
      </c>
      <c r="BN1384" t="s">
        <v>6312</v>
      </c>
      <c r="BP1384" t="s">
        <v>2307</v>
      </c>
      <c r="BQ1384" t="s">
        <v>529</v>
      </c>
      <c r="BR1384" t="s">
        <v>195</v>
      </c>
      <c r="BS1384" s="5">
        <v>20814</v>
      </c>
      <c r="BT1384" s="2">
        <v>140000</v>
      </c>
      <c r="BV1384" t="s">
        <v>105</v>
      </c>
      <c r="BW1384" s="2">
        <v>138819</v>
      </c>
      <c r="BX1384" t="s">
        <v>105</v>
      </c>
      <c r="BZ1384" t="s">
        <v>159</v>
      </c>
      <c r="CA1384" t="str">
        <f t="shared" si="106"/>
        <v>7/1/2020 - 6/30/2021</v>
      </c>
      <c r="CF1384">
        <v>2</v>
      </c>
      <c r="CG1384" t="s">
        <v>98</v>
      </c>
      <c r="CH1384" t="s">
        <v>98</v>
      </c>
      <c r="CI1384" t="s">
        <v>206</v>
      </c>
      <c r="CJ1384" t="s">
        <v>98</v>
      </c>
      <c r="CK1384" t="s">
        <v>12323</v>
      </c>
      <c r="CL1384" t="s">
        <v>108</v>
      </c>
      <c r="CM1384" t="s">
        <v>109</v>
      </c>
      <c r="CN1384" t="str">
        <f>"Langer"</f>
        <v>Langer</v>
      </c>
      <c r="CO1384" t="str">
        <f>"Lennea"</f>
        <v>Lennea</v>
      </c>
      <c r="CP1384" t="str">
        <f>"N/A"</f>
        <v>N/A</v>
      </c>
      <c r="CQ1384" t="str">
        <f>"Fragomen, Del Rey, Bernsen, &amp; Loewy, LLP"</f>
        <v>Fragomen, Del Rey, Bernsen, &amp; Loewy, LLP</v>
      </c>
      <c r="CR1384" t="s">
        <v>4515</v>
      </c>
    </row>
    <row r="1385" spans="1:96" x14ac:dyDescent="0.2">
      <c r="A1385" t="s">
        <v>9365</v>
      </c>
      <c r="B1385" t="s">
        <v>96</v>
      </c>
      <c r="C1385" s="1">
        <v>44099</v>
      </c>
      <c r="D1385" s="1">
        <v>44106</v>
      </c>
      <c r="F1385" t="s">
        <v>97</v>
      </c>
      <c r="G1385" t="str">
        <f>"Senior Software Developer"</f>
        <v>Senior Software Developer</v>
      </c>
      <c r="H1385" t="s">
        <v>12169</v>
      </c>
      <c r="I1385" t="s">
        <v>124</v>
      </c>
      <c r="J1385" t="s">
        <v>98</v>
      </c>
      <c r="K1385" s="1">
        <v>44104</v>
      </c>
      <c r="L1385" s="1">
        <v>45199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6648</v>
      </c>
      <c r="U1385" t="str">
        <f>""</f>
        <v/>
      </c>
      <c r="V1385" t="s">
        <v>6649</v>
      </c>
      <c r="W1385" t="str">
        <f>""</f>
        <v/>
      </c>
      <c r="X1385" t="s">
        <v>2892</v>
      </c>
      <c r="Y1385" t="s">
        <v>135</v>
      </c>
      <c r="Z1385" s="3">
        <v>24060</v>
      </c>
      <c r="AA1385" t="s">
        <v>101</v>
      </c>
      <c r="AC1385" s="4" t="str">
        <f>"+15409515900"</f>
        <v>+15409515900</v>
      </c>
      <c r="AD1385">
        <v>205</v>
      </c>
      <c r="AE1385" t="str">
        <f>"541511"</f>
        <v>541511</v>
      </c>
      <c r="AF1385" t="s">
        <v>2388</v>
      </c>
      <c r="AG1385" t="s">
        <v>6650</v>
      </c>
      <c r="AH1385" t="s">
        <v>702</v>
      </c>
      <c r="AI1385" t="s">
        <v>6651</v>
      </c>
      <c r="AJ1385" t="s">
        <v>6649</v>
      </c>
      <c r="AK1385" t="str">
        <f>""</f>
        <v/>
      </c>
      <c r="AL1385" t="s">
        <v>2892</v>
      </c>
      <c r="AM1385" t="s">
        <v>135</v>
      </c>
      <c r="AN1385" s="3">
        <v>24060</v>
      </c>
      <c r="AO1385" t="s">
        <v>101</v>
      </c>
      <c r="AQ1385" t="str">
        <f>"+15409515900"</f>
        <v>+15409515900</v>
      </c>
      <c r="AR1385">
        <v>205</v>
      </c>
      <c r="AS1385" t="s">
        <v>6652</v>
      </c>
      <c r="AT1385" t="s">
        <v>107</v>
      </c>
      <c r="AU1385" t="str">
        <f>"Dave"</f>
        <v>Dave</v>
      </c>
      <c r="AV1385" t="str">
        <f>"Aparna"</f>
        <v>Aparna</v>
      </c>
      <c r="AW1385" t="str">
        <f>"Raju"</f>
        <v>Raju</v>
      </c>
      <c r="AX1385" t="str">
        <f>"107 Alderwood Drive"</f>
        <v>107 Alderwood Drive</v>
      </c>
      <c r="AY1385" t="str">
        <f>""</f>
        <v/>
      </c>
      <c r="AZ1385" t="str">
        <f>"Gaithersburg"</f>
        <v>Gaithersburg</v>
      </c>
      <c r="BA1385" t="str">
        <f>"MD"</f>
        <v>MD</v>
      </c>
      <c r="BB1385" s="3">
        <v>20878</v>
      </c>
      <c r="BC1385" t="str">
        <f>"UNITED STATES OF AMERICA"</f>
        <v>UNITED STATES OF AMERICA</v>
      </c>
      <c r="BD1385" t="str">
        <f>""</f>
        <v/>
      </c>
      <c r="BE1385" t="str">
        <f>"+13013155842"</f>
        <v>+13013155842</v>
      </c>
      <c r="BF1385" t="str">
        <f>""</f>
        <v/>
      </c>
      <c r="BG1385" t="str">
        <f>"aparnadave@immigration2us.com"</f>
        <v>aparnadave@immigration2us.com</v>
      </c>
      <c r="BH1385" t="str">
        <f>"Law Offices of Aparna Dave"</f>
        <v>Law Offices of Aparna Dave</v>
      </c>
      <c r="BI1385" t="str">
        <f>"MA"</f>
        <v>MA</v>
      </c>
      <c r="BJ1385" t="str">
        <f>"Supreme Judicial Court"</f>
        <v>Supreme Judicial Court</v>
      </c>
      <c r="BK1385">
        <v>1</v>
      </c>
      <c r="BL1385" t="s">
        <v>102</v>
      </c>
      <c r="BM1385" t="str">
        <f>""</f>
        <v/>
      </c>
      <c r="BN1385" t="s">
        <v>9366</v>
      </c>
      <c r="BP1385" t="s">
        <v>958</v>
      </c>
      <c r="BQ1385" t="s">
        <v>454</v>
      </c>
      <c r="BR1385" t="s">
        <v>135</v>
      </c>
      <c r="BS1385" s="5">
        <v>22102</v>
      </c>
      <c r="BT1385" s="2">
        <v>135000</v>
      </c>
      <c r="BV1385" t="s">
        <v>105</v>
      </c>
      <c r="BW1385" s="2">
        <v>118102</v>
      </c>
      <c r="BX1385" t="s">
        <v>105</v>
      </c>
      <c r="BZ1385" t="s">
        <v>123</v>
      </c>
      <c r="CA1385" t="str">
        <f t="shared" si="106"/>
        <v>7/1/2020 - 6/30/2021</v>
      </c>
      <c r="CF1385">
        <v>1</v>
      </c>
      <c r="CG1385" t="s">
        <v>98</v>
      </c>
      <c r="CH1385" t="s">
        <v>98</v>
      </c>
      <c r="CI1385" t="s">
        <v>206</v>
      </c>
      <c r="CJ1385" t="s">
        <v>98</v>
      </c>
      <c r="CK1385" t="s">
        <v>12323</v>
      </c>
      <c r="CL1385" t="s">
        <v>108</v>
      </c>
      <c r="CM1385" t="s">
        <v>109</v>
      </c>
      <c r="CN1385" t="str">
        <f>""</f>
        <v/>
      </c>
      <c r="CO1385" t="str">
        <f>""</f>
        <v/>
      </c>
      <c r="CP1385" t="str">
        <f>""</f>
        <v/>
      </c>
      <c r="CQ1385" t="str">
        <f>""</f>
        <v/>
      </c>
    </row>
    <row r="1386" spans="1:96" x14ac:dyDescent="0.2">
      <c r="A1386" t="s">
        <v>9409</v>
      </c>
      <c r="B1386" t="s">
        <v>96</v>
      </c>
      <c r="C1386" s="1">
        <v>44099</v>
      </c>
      <c r="D1386" s="1">
        <v>44106</v>
      </c>
      <c r="F1386" t="s">
        <v>97</v>
      </c>
      <c r="G1386" t="str">
        <f>"Manager JC50"</f>
        <v>Manager JC50</v>
      </c>
      <c r="H1386" t="s">
        <v>12181</v>
      </c>
      <c r="I1386" t="s">
        <v>110</v>
      </c>
      <c r="J1386" t="s">
        <v>98</v>
      </c>
      <c r="K1386" s="1">
        <v>44231</v>
      </c>
      <c r="L1386" s="1">
        <v>45325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 t="s">
        <v>111</v>
      </c>
      <c r="U1386" t="str">
        <f>"CTSUS"</f>
        <v>CTSUS</v>
      </c>
      <c r="V1386" t="s">
        <v>112</v>
      </c>
      <c r="W1386" t="str">
        <f>""</f>
        <v/>
      </c>
      <c r="X1386" t="s">
        <v>113</v>
      </c>
      <c r="Y1386" t="s">
        <v>114</v>
      </c>
      <c r="Z1386" s="3">
        <v>77845</v>
      </c>
      <c r="AA1386" t="s">
        <v>101</v>
      </c>
      <c r="AB1386" t="s">
        <v>114</v>
      </c>
      <c r="AC1386" s="4" t="str">
        <f>"+19793296682"</f>
        <v>+19793296682</v>
      </c>
      <c r="AE1386" t="str">
        <f>"541512"</f>
        <v>541512</v>
      </c>
      <c r="AF1386" t="s">
        <v>115</v>
      </c>
      <c r="AG1386" t="s">
        <v>116</v>
      </c>
      <c r="AH1386" t="s">
        <v>108</v>
      </c>
      <c r="AI1386" t="s">
        <v>117</v>
      </c>
      <c r="AJ1386" t="s">
        <v>118</v>
      </c>
      <c r="AK1386" t="str">
        <f>""</f>
        <v/>
      </c>
      <c r="AL1386" t="s">
        <v>119</v>
      </c>
      <c r="AM1386" t="s">
        <v>114</v>
      </c>
      <c r="AN1386" s="3">
        <v>77845</v>
      </c>
      <c r="AO1386" t="s">
        <v>101</v>
      </c>
      <c r="AQ1386" t="str">
        <f>"+19793296682"</f>
        <v>+19793296682</v>
      </c>
      <c r="AS1386" t="s">
        <v>120</v>
      </c>
      <c r="AT1386" t="s">
        <v>102</v>
      </c>
      <c r="AU1386" t="str">
        <f>""</f>
        <v/>
      </c>
      <c r="AV1386" t="str">
        <f>""</f>
        <v/>
      </c>
      <c r="AW1386" t="str">
        <f>""</f>
        <v/>
      </c>
      <c r="AX1386" t="str">
        <f>""</f>
        <v/>
      </c>
      <c r="AY1386" t="str">
        <f>""</f>
        <v/>
      </c>
      <c r="AZ1386" t="str">
        <f>""</f>
        <v/>
      </c>
      <c r="BA1386" t="str">
        <f>""</f>
        <v/>
      </c>
      <c r="BC1386" t="str">
        <f>""</f>
        <v/>
      </c>
      <c r="BD1386" t="str">
        <f>""</f>
        <v/>
      </c>
      <c r="BE1386" t="str">
        <f>""</f>
        <v/>
      </c>
      <c r="BF1386" t="str">
        <f>""</f>
        <v/>
      </c>
      <c r="BG1386" t="str">
        <f>""</f>
        <v/>
      </c>
      <c r="BH1386" t="str">
        <f>""</f>
        <v/>
      </c>
      <c r="BI1386" t="str">
        <f>""</f>
        <v/>
      </c>
      <c r="BJ1386" t="str">
        <f>""</f>
        <v/>
      </c>
      <c r="BK1386">
        <v>1</v>
      </c>
      <c r="BL1386" t="s">
        <v>102</v>
      </c>
      <c r="BM1386" t="str">
        <f>""</f>
        <v/>
      </c>
      <c r="BN1386" t="s">
        <v>9410</v>
      </c>
      <c r="BP1386" t="s">
        <v>6134</v>
      </c>
      <c r="BQ1386" t="s">
        <v>1306</v>
      </c>
      <c r="BR1386" t="s">
        <v>330</v>
      </c>
      <c r="BS1386" s="5">
        <v>54956</v>
      </c>
      <c r="BT1386" s="2">
        <v>94141</v>
      </c>
      <c r="BV1386" t="s">
        <v>105</v>
      </c>
      <c r="BW1386" s="2">
        <v>94141</v>
      </c>
      <c r="BX1386" t="s">
        <v>105</v>
      </c>
      <c r="BZ1386" t="s">
        <v>123</v>
      </c>
      <c r="CA1386" t="str">
        <f t="shared" si="106"/>
        <v>7/1/2020 - 6/30/2021</v>
      </c>
      <c r="CF1386">
        <v>1</v>
      </c>
      <c r="CG1386" t="s">
        <v>98</v>
      </c>
      <c r="CH1386" t="s">
        <v>98</v>
      </c>
      <c r="CI1386" t="s">
        <v>206</v>
      </c>
      <c r="CJ1386" t="s">
        <v>98</v>
      </c>
      <c r="CK1386" t="s">
        <v>12323</v>
      </c>
      <c r="CL1386" t="s">
        <v>108</v>
      </c>
      <c r="CM1386" t="s">
        <v>109</v>
      </c>
      <c r="CN1386" t="str">
        <f>""</f>
        <v/>
      </c>
      <c r="CO1386" t="str">
        <f>""</f>
        <v/>
      </c>
      <c r="CP1386" t="str">
        <f>""</f>
        <v/>
      </c>
      <c r="CQ1386" t="str">
        <f>""</f>
        <v/>
      </c>
    </row>
    <row r="1387" spans="1:96" x14ac:dyDescent="0.2">
      <c r="A1387" t="s">
        <v>9446</v>
      </c>
      <c r="B1387" t="s">
        <v>96</v>
      </c>
      <c r="C1387" s="1">
        <v>44099</v>
      </c>
      <c r="D1387" s="1">
        <v>44106</v>
      </c>
      <c r="F1387" t="s">
        <v>97</v>
      </c>
      <c r="G1387" t="str">
        <f>"Senior Software Developer"</f>
        <v>Senior Software Developer</v>
      </c>
      <c r="H1387" t="s">
        <v>12169</v>
      </c>
      <c r="I1387" t="s">
        <v>124</v>
      </c>
      <c r="J1387" t="s">
        <v>98</v>
      </c>
      <c r="K1387" s="1">
        <v>44102</v>
      </c>
      <c r="L1387" s="1">
        <v>45196</v>
      </c>
      <c r="M1387">
        <v>6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 t="s">
        <v>2509</v>
      </c>
      <c r="U1387" t="str">
        <f>"Mastech Digital InfoTech, Inc."</f>
        <v>Mastech Digital InfoTech, Inc.</v>
      </c>
      <c r="V1387" t="s">
        <v>1081</v>
      </c>
      <c r="W1387" t="str">
        <f>"Bldg. 210, Suite 400"</f>
        <v>Bldg. 210, Suite 400</v>
      </c>
      <c r="X1387" t="s">
        <v>1082</v>
      </c>
      <c r="Y1387" t="s">
        <v>127</v>
      </c>
      <c r="Z1387" s="3">
        <v>15108</v>
      </c>
      <c r="AA1387" t="s">
        <v>101</v>
      </c>
      <c r="AB1387" t="s">
        <v>2510</v>
      </c>
      <c r="AC1387" s="4" t="str">
        <f>"+14127879553"</f>
        <v>+14127879553</v>
      </c>
      <c r="AE1387" t="str">
        <f>"541511"</f>
        <v>541511</v>
      </c>
      <c r="AF1387" t="s">
        <v>1083</v>
      </c>
      <c r="AG1387" t="s">
        <v>1084</v>
      </c>
      <c r="AI1387" t="s">
        <v>1085</v>
      </c>
      <c r="AJ1387" t="s">
        <v>1081</v>
      </c>
      <c r="AK1387" t="str">
        <f>"Bldg. 210, Ste 400"</f>
        <v>Bldg. 210, Ste 400</v>
      </c>
      <c r="AL1387" t="s">
        <v>1082</v>
      </c>
      <c r="AM1387" t="s">
        <v>127</v>
      </c>
      <c r="AN1387" s="3">
        <v>15108</v>
      </c>
      <c r="AO1387" t="s">
        <v>101</v>
      </c>
      <c r="AQ1387" t="str">
        <f>"+14127879553"</f>
        <v>+14127879553</v>
      </c>
      <c r="AS1387" t="s">
        <v>1086</v>
      </c>
      <c r="AT1387" t="s">
        <v>102</v>
      </c>
      <c r="AU1387" t="str">
        <f>""</f>
        <v/>
      </c>
      <c r="AV1387" t="str">
        <f>""</f>
        <v/>
      </c>
      <c r="AW1387" t="str">
        <f>""</f>
        <v/>
      </c>
      <c r="AX1387" t="str">
        <f>""</f>
        <v/>
      </c>
      <c r="AY1387" t="str">
        <f>""</f>
        <v/>
      </c>
      <c r="AZ1387" t="str">
        <f>""</f>
        <v/>
      </c>
      <c r="BA1387" t="str">
        <f>""</f>
        <v/>
      </c>
      <c r="BC1387" t="str">
        <f>""</f>
        <v/>
      </c>
      <c r="BD1387" t="str">
        <f>""</f>
        <v/>
      </c>
      <c r="BE1387" t="str">
        <f>""</f>
        <v/>
      </c>
      <c r="BF1387" t="str">
        <f>""</f>
        <v/>
      </c>
      <c r="BG1387" t="str">
        <f>""</f>
        <v/>
      </c>
      <c r="BH1387" t="str">
        <f>""</f>
        <v/>
      </c>
      <c r="BI1387" t="str">
        <f>""</f>
        <v/>
      </c>
      <c r="BJ1387" t="str">
        <f>""</f>
        <v/>
      </c>
      <c r="BK1387">
        <v>6</v>
      </c>
      <c r="BL1387" t="s">
        <v>107</v>
      </c>
      <c r="BM1387" t="str">
        <f>"North Carolina Department of Transportation"</f>
        <v>North Carolina Department of Transportation</v>
      </c>
      <c r="BN1387" t="s">
        <v>9447</v>
      </c>
      <c r="BP1387" t="s">
        <v>1911</v>
      </c>
      <c r="BQ1387" t="s">
        <v>1067</v>
      </c>
      <c r="BR1387" t="s">
        <v>122</v>
      </c>
      <c r="BS1387" s="5">
        <v>27560</v>
      </c>
      <c r="BT1387" s="2">
        <v>108659</v>
      </c>
      <c r="BU1387" s="2">
        <v>123659</v>
      </c>
      <c r="BV1387" t="s">
        <v>105</v>
      </c>
      <c r="BW1387" s="2">
        <v>108659</v>
      </c>
      <c r="BX1387" t="s">
        <v>105</v>
      </c>
      <c r="BZ1387" t="s">
        <v>123</v>
      </c>
      <c r="CA1387" t="str">
        <f t="shared" si="106"/>
        <v>7/1/2020 - 6/30/2021</v>
      </c>
      <c r="CF1387">
        <v>1</v>
      </c>
      <c r="CG1387" t="s">
        <v>98</v>
      </c>
      <c r="CH1387" t="s">
        <v>98</v>
      </c>
      <c r="CI1387" t="s">
        <v>206</v>
      </c>
      <c r="CJ1387" t="s">
        <v>98</v>
      </c>
      <c r="CK1387" t="s">
        <v>12323</v>
      </c>
      <c r="CL1387" t="s">
        <v>108</v>
      </c>
      <c r="CM1387" t="s">
        <v>109</v>
      </c>
      <c r="CN1387" t="str">
        <f>""</f>
        <v/>
      </c>
      <c r="CO1387" t="str">
        <f>""</f>
        <v/>
      </c>
      <c r="CP1387" t="str">
        <f>""</f>
        <v/>
      </c>
      <c r="CQ1387" t="str">
        <f>""</f>
        <v/>
      </c>
    </row>
    <row r="1388" spans="1:96" x14ac:dyDescent="0.2">
      <c r="A1388" t="s">
        <v>9469</v>
      </c>
      <c r="B1388" t="s">
        <v>96</v>
      </c>
      <c r="C1388" s="1">
        <v>44099</v>
      </c>
      <c r="D1388" s="1">
        <v>44106</v>
      </c>
      <c r="F1388" t="s">
        <v>97</v>
      </c>
      <c r="G1388" t="str">
        <f>"Application Engineer"</f>
        <v>Application Engineer</v>
      </c>
      <c r="H1388" t="s">
        <v>12169</v>
      </c>
      <c r="I1388" t="s">
        <v>124</v>
      </c>
      <c r="J1388" t="s">
        <v>98</v>
      </c>
      <c r="K1388" s="1">
        <v>44105</v>
      </c>
      <c r="L1388" s="1">
        <v>45199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6660</v>
      </c>
      <c r="U1388" t="str">
        <f>""</f>
        <v/>
      </c>
      <c r="V1388" t="s">
        <v>6661</v>
      </c>
      <c r="W1388" t="str">
        <f>"Suite # 187"</f>
        <v>Suite # 187</v>
      </c>
      <c r="X1388" t="s">
        <v>297</v>
      </c>
      <c r="Y1388" t="s">
        <v>114</v>
      </c>
      <c r="Z1388" s="3">
        <v>75023</v>
      </c>
      <c r="AA1388" t="s">
        <v>101</v>
      </c>
      <c r="AC1388" s="4" t="str">
        <f>"+14692778291"</f>
        <v>+14692778291</v>
      </c>
      <c r="AE1388" t="str">
        <f>"541511"</f>
        <v>541511</v>
      </c>
      <c r="AF1388" t="s">
        <v>6662</v>
      </c>
      <c r="AG1388" t="s">
        <v>4229</v>
      </c>
      <c r="AI1388" t="s">
        <v>646</v>
      </c>
      <c r="AJ1388" t="s">
        <v>6663</v>
      </c>
      <c r="AK1388" t="str">
        <f>"Suite #187"</f>
        <v>Suite #187</v>
      </c>
      <c r="AL1388" t="s">
        <v>297</v>
      </c>
      <c r="AM1388" t="s">
        <v>114</v>
      </c>
      <c r="AN1388" s="3">
        <v>75023</v>
      </c>
      <c r="AO1388" t="s">
        <v>101</v>
      </c>
      <c r="AQ1388" t="str">
        <f>"+14692778291"</f>
        <v>+14692778291</v>
      </c>
      <c r="AS1388" t="s">
        <v>6664</v>
      </c>
      <c r="AT1388" t="s">
        <v>107</v>
      </c>
      <c r="AU1388" t="str">
        <f>"Mahajan"</f>
        <v>Mahajan</v>
      </c>
      <c r="AV1388" t="str">
        <f>"Vandana"</f>
        <v>Vandana</v>
      </c>
      <c r="AW1388" t="str">
        <f>""</f>
        <v/>
      </c>
      <c r="AX1388" t="str">
        <f>"3101 Ashbrook Lane"</f>
        <v>3101 Ashbrook Lane</v>
      </c>
      <c r="AY1388" t="str">
        <f>""</f>
        <v/>
      </c>
      <c r="AZ1388" t="str">
        <f>"San Ramon"</f>
        <v>San Ramon</v>
      </c>
      <c r="BA1388" t="str">
        <f>"CA"</f>
        <v>CA</v>
      </c>
      <c r="BB1388" s="3">
        <v>94582</v>
      </c>
      <c r="BC1388" t="str">
        <f>"UNITED STATES OF AMERICA"</f>
        <v>UNITED STATES OF AMERICA</v>
      </c>
      <c r="BD1388" t="str">
        <f>""</f>
        <v/>
      </c>
      <c r="BE1388" t="str">
        <f>"+15107318348"</f>
        <v>+15107318348</v>
      </c>
      <c r="BF1388" t="str">
        <f>""</f>
        <v/>
      </c>
      <c r="BG1388" t="str">
        <f>"vandana@vivaimmigrationinc.com"</f>
        <v>vandana@vivaimmigrationinc.com</v>
      </c>
      <c r="BH1388" t="str">
        <f>"Viva Immigration Inc"</f>
        <v>Viva Immigration Inc</v>
      </c>
      <c r="BI1388" t="str">
        <f>""</f>
        <v/>
      </c>
      <c r="BJ1388" t="str">
        <f>""</f>
        <v/>
      </c>
      <c r="BK1388">
        <v>1</v>
      </c>
      <c r="BL1388" t="s">
        <v>107</v>
      </c>
      <c r="BM1388" t="str">
        <f>"New Island Pharmacy Inc"</f>
        <v>New Island Pharmacy Inc</v>
      </c>
      <c r="BN1388" t="s">
        <v>9470</v>
      </c>
      <c r="BP1388" t="s">
        <v>8753</v>
      </c>
      <c r="BQ1388" t="s">
        <v>1354</v>
      </c>
      <c r="BR1388" t="s">
        <v>190</v>
      </c>
      <c r="BS1388" s="5">
        <v>11729</v>
      </c>
      <c r="BT1388" s="2">
        <v>100526</v>
      </c>
      <c r="BV1388" t="s">
        <v>105</v>
      </c>
      <c r="BW1388" s="2">
        <v>100526</v>
      </c>
      <c r="BX1388" t="s">
        <v>105</v>
      </c>
      <c r="BZ1388" t="s">
        <v>167</v>
      </c>
      <c r="CA1388" t="str">
        <f t="shared" si="106"/>
        <v>7/1/2020 - 6/30/2021</v>
      </c>
      <c r="CF1388">
        <v>1</v>
      </c>
      <c r="CG1388" t="s">
        <v>98</v>
      </c>
      <c r="CH1388" t="s">
        <v>98</v>
      </c>
      <c r="CI1388" t="s">
        <v>206</v>
      </c>
      <c r="CJ1388" t="s">
        <v>98</v>
      </c>
      <c r="CK1388" t="s">
        <v>12323</v>
      </c>
      <c r="CL1388" t="s">
        <v>108</v>
      </c>
      <c r="CM1388" t="s">
        <v>109</v>
      </c>
      <c r="CN1388" t="str">
        <f>"Mahajan"</f>
        <v>Mahajan</v>
      </c>
      <c r="CO1388" t="str">
        <f>"Vandana"</f>
        <v>Vandana</v>
      </c>
      <c r="CP1388" t="str">
        <f>""</f>
        <v/>
      </c>
      <c r="CQ1388" t="str">
        <f>"Viva Immigration Inc"</f>
        <v>Viva Immigration Inc</v>
      </c>
      <c r="CR1388" t="s">
        <v>4321</v>
      </c>
    </row>
    <row r="1389" spans="1:96" x14ac:dyDescent="0.2">
      <c r="A1389" t="s">
        <v>9509</v>
      </c>
      <c r="B1389" t="s">
        <v>96</v>
      </c>
      <c r="C1389" s="1">
        <v>44099</v>
      </c>
      <c r="D1389" s="1">
        <v>44106</v>
      </c>
      <c r="F1389" t="s">
        <v>97</v>
      </c>
      <c r="G1389" t="str">
        <f>"ASSOCIATE SOFTWARE ARCHITECT "</f>
        <v xml:space="preserve">ASSOCIATE SOFTWARE ARCHITECT </v>
      </c>
      <c r="H1389" t="s">
        <v>12169</v>
      </c>
      <c r="I1389" t="s">
        <v>124</v>
      </c>
      <c r="J1389" t="s">
        <v>98</v>
      </c>
      <c r="K1389" s="1">
        <v>44111</v>
      </c>
      <c r="L1389" s="1">
        <v>45206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 t="s">
        <v>356</v>
      </c>
      <c r="U1389" t="str">
        <f>""</f>
        <v/>
      </c>
      <c r="V1389" t="s">
        <v>357</v>
      </c>
      <c r="W1389" t="str">
        <f>""</f>
        <v/>
      </c>
      <c r="X1389" t="s">
        <v>358</v>
      </c>
      <c r="Y1389" t="s">
        <v>141</v>
      </c>
      <c r="Z1389" s="3">
        <v>92656</v>
      </c>
      <c r="AA1389" t="s">
        <v>101</v>
      </c>
      <c r="AC1389" s="4" t="str">
        <f>"+19495332644"</f>
        <v>+19495332644</v>
      </c>
      <c r="AE1389" t="str">
        <f>"541511"</f>
        <v>541511</v>
      </c>
      <c r="AF1389" t="s">
        <v>359</v>
      </c>
      <c r="AG1389" t="s">
        <v>360</v>
      </c>
      <c r="AI1389" t="s">
        <v>3211</v>
      </c>
      <c r="AJ1389" t="s">
        <v>3212</v>
      </c>
      <c r="AK1389" t="str">
        <f>""</f>
        <v/>
      </c>
      <c r="AL1389" t="s">
        <v>363</v>
      </c>
      <c r="AM1389" t="s">
        <v>141</v>
      </c>
      <c r="AN1389" s="3">
        <v>92656</v>
      </c>
      <c r="AO1389" t="s">
        <v>101</v>
      </c>
      <c r="AQ1389" t="str">
        <f>"+19495332644"</f>
        <v>+19495332644</v>
      </c>
      <c r="AS1389" t="s">
        <v>3561</v>
      </c>
      <c r="AT1389" t="s">
        <v>107</v>
      </c>
      <c r="AU1389" t="str">
        <f>"CHUGH"</f>
        <v>CHUGH</v>
      </c>
      <c r="AV1389" t="str">
        <f>"NAVNEET"</f>
        <v>NAVNEET</v>
      </c>
      <c r="AW1389" t="str">
        <f>"SINGH"</f>
        <v>SINGH</v>
      </c>
      <c r="AX1389" t="str">
        <f>"15925 CARMENITA ROAD"</f>
        <v>15925 CARMENITA ROAD</v>
      </c>
      <c r="AY1389" t="str">
        <f>""</f>
        <v/>
      </c>
      <c r="AZ1389" t="str">
        <f>"CERRITOS"</f>
        <v>CERRITOS</v>
      </c>
      <c r="BA1389" t="str">
        <f>"CA"</f>
        <v>CA</v>
      </c>
      <c r="BB1389" s="3">
        <v>90703</v>
      </c>
      <c r="BC1389" t="str">
        <f>"UNITED STATES OF AMERICA"</f>
        <v>UNITED STATES OF AMERICA</v>
      </c>
      <c r="BD1389" t="str">
        <f>""</f>
        <v/>
      </c>
      <c r="BE1389" t="str">
        <f>"+15622291220"</f>
        <v>+15622291220</v>
      </c>
      <c r="BF1389" t="str">
        <f>""</f>
        <v/>
      </c>
      <c r="BG1389" t="str">
        <f>"JANET.OCHOA@CHUGH.COM"</f>
        <v>JANET.OCHOA@CHUGH.COM</v>
      </c>
      <c r="BH1389" t="str">
        <f>"CHUGH, LLP"</f>
        <v>CHUGH, LLP</v>
      </c>
      <c r="BI1389" t="str">
        <f>"CA"</f>
        <v>CA</v>
      </c>
      <c r="BJ1389" t="str">
        <f>"SUPREME COURT "</f>
        <v xml:space="preserve">SUPREME COURT </v>
      </c>
      <c r="BK1389">
        <v>1</v>
      </c>
      <c r="BL1389" t="s">
        <v>107</v>
      </c>
      <c r="BM1389" t="str">
        <f>"GLOBAL PAYMENTS (THROUGH AMAZON)"</f>
        <v>GLOBAL PAYMENTS (THROUGH AMAZON)</v>
      </c>
      <c r="BN1389" t="s">
        <v>3029</v>
      </c>
      <c r="BP1389" t="s">
        <v>1766</v>
      </c>
      <c r="BQ1389" t="s">
        <v>214</v>
      </c>
      <c r="BR1389" t="s">
        <v>215</v>
      </c>
      <c r="BS1389" s="5">
        <v>30022</v>
      </c>
      <c r="BT1389" s="2">
        <v>100000</v>
      </c>
      <c r="BV1389" t="s">
        <v>105</v>
      </c>
      <c r="BW1389" s="2">
        <v>85842</v>
      </c>
      <c r="BX1389" t="s">
        <v>105</v>
      </c>
      <c r="BZ1389" t="s">
        <v>167</v>
      </c>
      <c r="CA1389" t="str">
        <f t="shared" si="106"/>
        <v>7/1/2020 - 6/30/2021</v>
      </c>
      <c r="CF1389">
        <v>1</v>
      </c>
      <c r="CG1389" t="s">
        <v>98</v>
      </c>
      <c r="CH1389" t="s">
        <v>98</v>
      </c>
      <c r="CI1389" t="s">
        <v>206</v>
      </c>
      <c r="CJ1389" t="s">
        <v>98</v>
      </c>
      <c r="CK1389" t="s">
        <v>12323</v>
      </c>
      <c r="CL1389" t="s">
        <v>108</v>
      </c>
      <c r="CM1389" t="s">
        <v>109</v>
      </c>
      <c r="CN1389" t="str">
        <f>"OCHOA"</f>
        <v>OCHOA</v>
      </c>
      <c r="CO1389" t="str">
        <f>"JANET"</f>
        <v>JANET</v>
      </c>
      <c r="CP1389" t="str">
        <f>""</f>
        <v/>
      </c>
      <c r="CQ1389" t="str">
        <f>"CHUGH, LLP"</f>
        <v>CHUGH, LLP</v>
      </c>
      <c r="CR1389" t="s">
        <v>3213</v>
      </c>
    </row>
    <row r="1390" spans="1:96" x14ac:dyDescent="0.2">
      <c r="A1390" t="s">
        <v>9551</v>
      </c>
      <c r="B1390" t="s">
        <v>96</v>
      </c>
      <c r="C1390" s="1">
        <v>44099</v>
      </c>
      <c r="D1390" s="1">
        <v>44106</v>
      </c>
      <c r="F1390" t="s">
        <v>97</v>
      </c>
      <c r="G1390" t="str">
        <f>"Software Developer "</f>
        <v xml:space="preserve">Software Developer </v>
      </c>
      <c r="H1390" t="s">
        <v>12169</v>
      </c>
      <c r="I1390" t="s">
        <v>124</v>
      </c>
      <c r="J1390" t="s">
        <v>206</v>
      </c>
      <c r="K1390" s="1">
        <v>44109</v>
      </c>
      <c r="L1390" s="1">
        <v>45203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 t="s">
        <v>8967</v>
      </c>
      <c r="U1390" t="str">
        <f>""</f>
        <v/>
      </c>
      <c r="V1390" t="s">
        <v>8968</v>
      </c>
      <c r="W1390" t="str">
        <f>"SUITE 240"</f>
        <v>SUITE 240</v>
      </c>
      <c r="X1390" t="s">
        <v>805</v>
      </c>
      <c r="Y1390" t="s">
        <v>114</v>
      </c>
      <c r="Z1390" s="3">
        <v>77099</v>
      </c>
      <c r="AA1390" t="s">
        <v>101</v>
      </c>
      <c r="AC1390" s="4" t="str">
        <f>"+17132039867"</f>
        <v>+17132039867</v>
      </c>
      <c r="AE1390" t="str">
        <f>"541511"</f>
        <v>541511</v>
      </c>
      <c r="AF1390" t="s">
        <v>8969</v>
      </c>
      <c r="AG1390" t="s">
        <v>8970</v>
      </c>
      <c r="AI1390" t="s">
        <v>425</v>
      </c>
      <c r="AJ1390" t="s">
        <v>8971</v>
      </c>
      <c r="AK1390" t="str">
        <f>"SUITE 240"</f>
        <v>SUITE 240</v>
      </c>
      <c r="AL1390" t="s">
        <v>805</v>
      </c>
      <c r="AM1390" t="s">
        <v>114</v>
      </c>
      <c r="AN1390" s="3">
        <v>77099</v>
      </c>
      <c r="AO1390" t="s">
        <v>101</v>
      </c>
      <c r="AQ1390" t="str">
        <f>"+17132039867"</f>
        <v>+17132039867</v>
      </c>
      <c r="AS1390" t="s">
        <v>8972</v>
      </c>
      <c r="AT1390" t="s">
        <v>107</v>
      </c>
      <c r="AU1390" t="str">
        <f>"Wang"</f>
        <v>Wang</v>
      </c>
      <c r="AV1390" t="str">
        <f>"Jane"</f>
        <v>Jane</v>
      </c>
      <c r="AW1390" t="str">
        <f>""</f>
        <v/>
      </c>
      <c r="AX1390" t="str">
        <f>"343 THORNALL STREET"</f>
        <v>343 THORNALL STREET</v>
      </c>
      <c r="AY1390" t="str">
        <f>"6TH FLOOR, SUITE 640"</f>
        <v>6TH FLOOR, SUITE 640</v>
      </c>
      <c r="AZ1390" t="str">
        <f>"EDISON"</f>
        <v>EDISON</v>
      </c>
      <c r="BA1390" t="str">
        <f>"NJ"</f>
        <v>NJ</v>
      </c>
      <c r="BB1390" s="3">
        <v>8837</v>
      </c>
      <c r="BC1390" t="str">
        <f>"UNITED STATES OF AMERICA"</f>
        <v>UNITED STATES OF AMERICA</v>
      </c>
      <c r="BD1390" t="str">
        <f>""</f>
        <v/>
      </c>
      <c r="BE1390" t="str">
        <f>"+17324944800"</f>
        <v>+17324944800</v>
      </c>
      <c r="BF1390" t="str">
        <f>""</f>
        <v/>
      </c>
      <c r="BG1390" t="str">
        <f>"NNAIRNJ@GMLAW.COM"</f>
        <v>NNAIRNJ@GMLAW.COM</v>
      </c>
      <c r="BH1390" t="str">
        <f>"GREENSPOON MARDER LLP"</f>
        <v>GREENSPOON MARDER LLP</v>
      </c>
      <c r="BI1390" t="str">
        <f>"NJ"</f>
        <v>NJ</v>
      </c>
      <c r="BJ1390" t="str">
        <f>"NJ Supreme Court "</f>
        <v xml:space="preserve">NJ Supreme Court </v>
      </c>
      <c r="BK1390">
        <v>1</v>
      </c>
      <c r="BL1390" t="s">
        <v>107</v>
      </c>
      <c r="BM1390" t="str">
        <f>"Silicon Valley Bank"</f>
        <v>Silicon Valley Bank</v>
      </c>
      <c r="BN1390" t="s">
        <v>6060</v>
      </c>
      <c r="BO1390" t="s">
        <v>664</v>
      </c>
      <c r="BP1390" t="s">
        <v>3627</v>
      </c>
      <c r="BQ1390" t="s">
        <v>257</v>
      </c>
      <c r="BR1390" t="s">
        <v>258</v>
      </c>
      <c r="BS1390" s="5">
        <v>85281</v>
      </c>
      <c r="BT1390" s="2">
        <v>47</v>
      </c>
      <c r="BV1390" t="s">
        <v>210</v>
      </c>
      <c r="BW1390" s="2">
        <v>40.21</v>
      </c>
      <c r="BX1390" t="s">
        <v>210</v>
      </c>
      <c r="BZ1390" t="s">
        <v>167</v>
      </c>
      <c r="CA1390" t="str">
        <f t="shared" si="106"/>
        <v>7/1/2020 - 6/30/2021</v>
      </c>
      <c r="CF1390">
        <v>2</v>
      </c>
      <c r="CG1390" t="s">
        <v>98</v>
      </c>
      <c r="CH1390" t="s">
        <v>98</v>
      </c>
      <c r="CI1390" t="s">
        <v>206</v>
      </c>
      <c r="CJ1390" t="s">
        <v>98</v>
      </c>
      <c r="CK1390" t="s">
        <v>12323</v>
      </c>
      <c r="CL1390" t="s">
        <v>108</v>
      </c>
      <c r="CM1390" t="s">
        <v>109</v>
      </c>
      <c r="CN1390" t="str">
        <f>""</f>
        <v/>
      </c>
      <c r="CO1390" t="str">
        <f>""</f>
        <v/>
      </c>
      <c r="CP1390" t="str">
        <f>""</f>
        <v/>
      </c>
      <c r="CQ1390" t="str">
        <f>""</f>
        <v/>
      </c>
    </row>
    <row r="1391" spans="1:96" x14ac:dyDescent="0.2">
      <c r="A1391" t="s">
        <v>9565</v>
      </c>
      <c r="B1391" t="s">
        <v>96</v>
      </c>
      <c r="C1391" s="1">
        <v>44099</v>
      </c>
      <c r="D1391" s="1">
        <v>44106</v>
      </c>
      <c r="F1391" t="s">
        <v>97</v>
      </c>
      <c r="G1391" t="str">
        <f>"Senior Software Engineer"</f>
        <v>Senior Software Engineer</v>
      </c>
      <c r="H1391" t="s">
        <v>12169</v>
      </c>
      <c r="I1391" t="s">
        <v>124</v>
      </c>
      <c r="J1391" t="s">
        <v>98</v>
      </c>
      <c r="K1391" s="1">
        <v>44104</v>
      </c>
      <c r="L1391" s="1">
        <v>45199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 t="s">
        <v>6648</v>
      </c>
      <c r="U1391" t="str">
        <f>""</f>
        <v/>
      </c>
      <c r="V1391" t="s">
        <v>6649</v>
      </c>
      <c r="W1391" t="str">
        <f>""</f>
        <v/>
      </c>
      <c r="X1391" t="s">
        <v>2892</v>
      </c>
      <c r="Y1391" t="s">
        <v>135</v>
      </c>
      <c r="Z1391" s="3">
        <v>24060</v>
      </c>
      <c r="AA1391" t="s">
        <v>101</v>
      </c>
      <c r="AC1391" s="4" t="str">
        <f>"+15409515900"</f>
        <v>+15409515900</v>
      </c>
      <c r="AD1391">
        <v>205</v>
      </c>
      <c r="AE1391" t="str">
        <f>"541511"</f>
        <v>541511</v>
      </c>
      <c r="AF1391" t="s">
        <v>2388</v>
      </c>
      <c r="AG1391" t="s">
        <v>6650</v>
      </c>
      <c r="AH1391" t="s">
        <v>702</v>
      </c>
      <c r="AI1391" t="s">
        <v>6651</v>
      </c>
      <c r="AJ1391" t="s">
        <v>6649</v>
      </c>
      <c r="AK1391" t="str">
        <f>""</f>
        <v/>
      </c>
      <c r="AL1391" t="s">
        <v>2892</v>
      </c>
      <c r="AM1391" t="s">
        <v>135</v>
      </c>
      <c r="AN1391" s="3">
        <v>24060</v>
      </c>
      <c r="AO1391" t="s">
        <v>101</v>
      </c>
      <c r="AQ1391" t="str">
        <f>"+15409515900"</f>
        <v>+15409515900</v>
      </c>
      <c r="AR1391">
        <v>205</v>
      </c>
      <c r="AS1391" t="s">
        <v>6652</v>
      </c>
      <c r="AT1391" t="s">
        <v>107</v>
      </c>
      <c r="AU1391" t="str">
        <f>"Dave"</f>
        <v>Dave</v>
      </c>
      <c r="AV1391" t="str">
        <f>"Aparna"</f>
        <v>Aparna</v>
      </c>
      <c r="AW1391" t="str">
        <f>"Raju"</f>
        <v>Raju</v>
      </c>
      <c r="AX1391" t="str">
        <f>"107 Alderwood Drive"</f>
        <v>107 Alderwood Drive</v>
      </c>
      <c r="AY1391" t="str">
        <f>""</f>
        <v/>
      </c>
      <c r="AZ1391" t="str">
        <f>"Gaithersburg"</f>
        <v>Gaithersburg</v>
      </c>
      <c r="BA1391" t="str">
        <f>"MD"</f>
        <v>MD</v>
      </c>
      <c r="BB1391" s="3">
        <v>20878</v>
      </c>
      <c r="BC1391" t="str">
        <f>"UNITED STATES OF AMERICA"</f>
        <v>UNITED STATES OF AMERICA</v>
      </c>
      <c r="BD1391" t="str">
        <f>""</f>
        <v/>
      </c>
      <c r="BE1391" t="str">
        <f>"+13013155842"</f>
        <v>+13013155842</v>
      </c>
      <c r="BF1391" t="str">
        <f>""</f>
        <v/>
      </c>
      <c r="BG1391" t="str">
        <f>"aparnadave@immigration2us.com"</f>
        <v>aparnadave@immigration2us.com</v>
      </c>
      <c r="BH1391" t="str">
        <f>"Law Offices of Aparna Dave"</f>
        <v>Law Offices of Aparna Dave</v>
      </c>
      <c r="BI1391" t="str">
        <f>"MA"</f>
        <v>MA</v>
      </c>
      <c r="BJ1391" t="str">
        <f>"Supreme Judicial Court"</f>
        <v>Supreme Judicial Court</v>
      </c>
      <c r="BK1391">
        <v>1</v>
      </c>
      <c r="BL1391" t="s">
        <v>102</v>
      </c>
      <c r="BM1391" t="str">
        <f>""</f>
        <v/>
      </c>
      <c r="BN1391" t="s">
        <v>9366</v>
      </c>
      <c r="BP1391" t="s">
        <v>958</v>
      </c>
      <c r="BQ1391" t="s">
        <v>454</v>
      </c>
      <c r="BR1391" t="s">
        <v>135</v>
      </c>
      <c r="BS1391" s="5">
        <v>22102</v>
      </c>
      <c r="BT1391" s="2">
        <v>125000</v>
      </c>
      <c r="BV1391" t="s">
        <v>105</v>
      </c>
      <c r="BW1391" s="2">
        <v>118102</v>
      </c>
      <c r="BX1391" t="s">
        <v>105</v>
      </c>
      <c r="BZ1391" t="s">
        <v>123</v>
      </c>
      <c r="CA1391" t="str">
        <f t="shared" si="106"/>
        <v>7/1/2020 - 6/30/2021</v>
      </c>
      <c r="CF1391">
        <v>1</v>
      </c>
      <c r="CG1391" t="s">
        <v>98</v>
      </c>
      <c r="CH1391" t="s">
        <v>98</v>
      </c>
      <c r="CI1391" t="s">
        <v>206</v>
      </c>
      <c r="CJ1391" t="s">
        <v>98</v>
      </c>
      <c r="CK1391" t="s">
        <v>12323</v>
      </c>
      <c r="CL1391" t="s">
        <v>108</v>
      </c>
      <c r="CM1391" t="s">
        <v>109</v>
      </c>
      <c r="CN1391" t="str">
        <f>""</f>
        <v/>
      </c>
      <c r="CO1391" t="str">
        <f>""</f>
        <v/>
      </c>
      <c r="CP1391" t="str">
        <f>""</f>
        <v/>
      </c>
      <c r="CQ1391" t="str">
        <f>""</f>
        <v/>
      </c>
    </row>
    <row r="1392" spans="1:96" x14ac:dyDescent="0.2">
      <c r="A1392" t="s">
        <v>9579</v>
      </c>
      <c r="B1392" t="s">
        <v>96</v>
      </c>
      <c r="C1392" s="1">
        <v>44099</v>
      </c>
      <c r="D1392" s="1">
        <v>44106</v>
      </c>
      <c r="F1392" t="s">
        <v>97</v>
      </c>
      <c r="G1392" t="str">
        <f>"Software Engineer"</f>
        <v>Software Engineer</v>
      </c>
      <c r="H1392" t="s">
        <v>12169</v>
      </c>
      <c r="I1392" t="s">
        <v>124</v>
      </c>
      <c r="J1392" t="s">
        <v>98</v>
      </c>
      <c r="K1392" s="1">
        <v>44113</v>
      </c>
      <c r="L1392" s="1">
        <v>45207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 t="s">
        <v>2329</v>
      </c>
      <c r="U1392" t="str">
        <f>""</f>
        <v/>
      </c>
      <c r="V1392" t="s">
        <v>2330</v>
      </c>
      <c r="W1392" t="str">
        <f>"Flr 40 "</f>
        <v xml:space="preserve">Flr 40 </v>
      </c>
      <c r="X1392" t="s">
        <v>146</v>
      </c>
      <c r="Y1392" t="s">
        <v>141</v>
      </c>
      <c r="Z1392" s="3">
        <v>94104</v>
      </c>
      <c r="AA1392" t="s">
        <v>101</v>
      </c>
      <c r="AC1392" s="4" t="str">
        <f>"+14158606102"</f>
        <v>+14158606102</v>
      </c>
      <c r="AE1392" t="str">
        <f>"45411"</f>
        <v>45411</v>
      </c>
      <c r="AF1392" t="s">
        <v>2331</v>
      </c>
      <c r="AG1392" t="s">
        <v>1908</v>
      </c>
      <c r="AI1392" t="s">
        <v>2332</v>
      </c>
      <c r="AJ1392" t="s">
        <v>2330</v>
      </c>
      <c r="AK1392" t="str">
        <f>"Flr 40 "</f>
        <v xml:space="preserve">Flr 40 </v>
      </c>
      <c r="AL1392" t="s">
        <v>146</v>
      </c>
      <c r="AM1392" t="s">
        <v>141</v>
      </c>
      <c r="AN1392" s="3">
        <v>94104</v>
      </c>
      <c r="AO1392" t="s">
        <v>101</v>
      </c>
      <c r="AQ1392" t="str">
        <f>"+14158606102"</f>
        <v>+14158606102</v>
      </c>
      <c r="AR1392">
        <v>0</v>
      </c>
      <c r="AS1392" t="s">
        <v>2333</v>
      </c>
      <c r="AT1392" t="s">
        <v>107</v>
      </c>
      <c r="AU1392" t="str">
        <f>"Srinivasan"</f>
        <v>Srinivasan</v>
      </c>
      <c r="AV1392" t="str">
        <f>"Ananth"</f>
        <v>Ananth</v>
      </c>
      <c r="AW1392" t="str">
        <f>""</f>
        <v/>
      </c>
      <c r="AX1392" t="str">
        <f>"177 Post St."</f>
        <v>177 Post St.</v>
      </c>
      <c r="AY1392" t="str">
        <f>"Suite 890"</f>
        <v>Suite 890</v>
      </c>
      <c r="AZ1392" t="str">
        <f>"San Francisco"</f>
        <v>San Francisco</v>
      </c>
      <c r="BA1392" t="str">
        <f>"CA"</f>
        <v>CA</v>
      </c>
      <c r="BB1392" s="3">
        <v>94108</v>
      </c>
      <c r="BC1392" t="str">
        <f>"UNITED STATES OF AMERICA"</f>
        <v>UNITED STATES OF AMERICA</v>
      </c>
      <c r="BD1392" t="str">
        <f>""</f>
        <v/>
      </c>
      <c r="BE1392" t="str">
        <f>"+14158518590"</f>
        <v>+14158518590</v>
      </c>
      <c r="BF1392" t="str">
        <f>""</f>
        <v/>
      </c>
      <c r="BG1392" t="str">
        <f>"ananth@eiglaw.com"</f>
        <v>ananth@eiglaw.com</v>
      </c>
      <c r="BH1392" t="str">
        <f>"Erickson Immigration Group"</f>
        <v>Erickson Immigration Group</v>
      </c>
      <c r="BI1392" t="str">
        <f>"CA"</f>
        <v>CA</v>
      </c>
      <c r="BJ1392" t="str">
        <f>"Supreme Court"</f>
        <v>Supreme Court</v>
      </c>
      <c r="BK1392">
        <v>1</v>
      </c>
      <c r="BL1392" t="s">
        <v>102</v>
      </c>
      <c r="BM1392" t="str">
        <f>""</f>
        <v/>
      </c>
      <c r="BN1392" t="s">
        <v>3630</v>
      </c>
      <c r="BO1392" t="s">
        <v>3631</v>
      </c>
      <c r="BP1392" t="s">
        <v>140</v>
      </c>
      <c r="BQ1392" t="s">
        <v>147</v>
      </c>
      <c r="BR1392" t="s">
        <v>141</v>
      </c>
      <c r="BS1392" s="5">
        <v>94104</v>
      </c>
      <c r="BT1392" s="2">
        <v>190000</v>
      </c>
      <c r="BV1392" t="s">
        <v>105</v>
      </c>
      <c r="BW1392" s="2">
        <v>169562</v>
      </c>
      <c r="BX1392" t="s">
        <v>105</v>
      </c>
      <c r="BZ1392" t="s">
        <v>159</v>
      </c>
      <c r="CA1392" t="str">
        <f t="shared" si="106"/>
        <v>7/1/2020 - 6/30/2021</v>
      </c>
      <c r="CF1392">
        <v>2</v>
      </c>
      <c r="CG1392" t="s">
        <v>98</v>
      </c>
      <c r="CH1392" t="s">
        <v>98</v>
      </c>
      <c r="CI1392" t="s">
        <v>206</v>
      </c>
      <c r="CJ1392" t="s">
        <v>98</v>
      </c>
      <c r="CK1392" t="s">
        <v>12323</v>
      </c>
      <c r="CL1392" t="s">
        <v>108</v>
      </c>
      <c r="CM1392" t="s">
        <v>109</v>
      </c>
      <c r="CN1392" t="str">
        <f>"Yang"</f>
        <v>Yang</v>
      </c>
      <c r="CO1392" t="str">
        <f>"Ryan"</f>
        <v>Ryan</v>
      </c>
      <c r="CP1392" t="str">
        <f>""</f>
        <v/>
      </c>
      <c r="CQ1392" t="str">
        <f>"Erickson Immigration Group"</f>
        <v>Erickson Immigration Group</v>
      </c>
      <c r="CR1392" t="s">
        <v>2334</v>
      </c>
    </row>
    <row r="1393" spans="1:96" x14ac:dyDescent="0.2">
      <c r="A1393" t="s">
        <v>9624</v>
      </c>
      <c r="B1393" t="s">
        <v>96</v>
      </c>
      <c r="C1393" s="1">
        <v>44099</v>
      </c>
      <c r="D1393" s="1">
        <v>44106</v>
      </c>
      <c r="F1393" t="s">
        <v>97</v>
      </c>
      <c r="G1393" t="str">
        <f>"Manager JC50"</f>
        <v>Manager JC50</v>
      </c>
      <c r="H1393" t="s">
        <v>12181</v>
      </c>
      <c r="I1393" t="s">
        <v>110</v>
      </c>
      <c r="J1393" t="s">
        <v>98</v>
      </c>
      <c r="K1393" s="1">
        <v>44107</v>
      </c>
      <c r="L1393" s="1">
        <v>45201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 t="s">
        <v>111</v>
      </c>
      <c r="U1393" t="str">
        <f>"CTSUS"</f>
        <v>CTSUS</v>
      </c>
      <c r="V1393" t="s">
        <v>112</v>
      </c>
      <c r="W1393" t="str">
        <f>""</f>
        <v/>
      </c>
      <c r="X1393" t="s">
        <v>113</v>
      </c>
      <c r="Y1393" t="s">
        <v>114</v>
      </c>
      <c r="Z1393" s="3">
        <v>77845</v>
      </c>
      <c r="AA1393" t="s">
        <v>101</v>
      </c>
      <c r="AB1393" t="s">
        <v>114</v>
      </c>
      <c r="AC1393" s="4" t="str">
        <f>"+19793296682"</f>
        <v>+19793296682</v>
      </c>
      <c r="AE1393" t="str">
        <f>"541512"</f>
        <v>541512</v>
      </c>
      <c r="AF1393" t="s">
        <v>115</v>
      </c>
      <c r="AG1393" t="s">
        <v>116</v>
      </c>
      <c r="AH1393" t="s">
        <v>108</v>
      </c>
      <c r="AI1393" t="s">
        <v>117</v>
      </c>
      <c r="AJ1393" t="s">
        <v>118</v>
      </c>
      <c r="AK1393" t="str">
        <f>""</f>
        <v/>
      </c>
      <c r="AL1393" t="s">
        <v>119</v>
      </c>
      <c r="AM1393" t="s">
        <v>114</v>
      </c>
      <c r="AN1393" s="3">
        <v>77845</v>
      </c>
      <c r="AO1393" t="s">
        <v>101</v>
      </c>
      <c r="AQ1393" t="str">
        <f>"+19793296682"</f>
        <v>+19793296682</v>
      </c>
      <c r="AS1393" t="s">
        <v>120</v>
      </c>
      <c r="AT1393" t="s">
        <v>102</v>
      </c>
      <c r="AU1393" t="str">
        <f>""</f>
        <v/>
      </c>
      <c r="AV1393" t="str">
        <f>""</f>
        <v/>
      </c>
      <c r="AW1393" t="str">
        <f>""</f>
        <v/>
      </c>
      <c r="AX1393" t="str">
        <f>""</f>
        <v/>
      </c>
      <c r="AY1393" t="str">
        <f>""</f>
        <v/>
      </c>
      <c r="AZ1393" t="str">
        <f>""</f>
        <v/>
      </c>
      <c r="BA1393" t="str">
        <f>""</f>
        <v/>
      </c>
      <c r="BC1393" t="str">
        <f>""</f>
        <v/>
      </c>
      <c r="BD1393" t="str">
        <f>""</f>
        <v/>
      </c>
      <c r="BE1393" t="str">
        <f>""</f>
        <v/>
      </c>
      <c r="BF1393" t="str">
        <f>""</f>
        <v/>
      </c>
      <c r="BG1393" t="str">
        <f>""</f>
        <v/>
      </c>
      <c r="BH1393" t="str">
        <f>""</f>
        <v/>
      </c>
      <c r="BI1393" t="str">
        <f>""</f>
        <v/>
      </c>
      <c r="BJ1393" t="str">
        <f>""</f>
        <v/>
      </c>
      <c r="BK1393">
        <v>1</v>
      </c>
      <c r="BL1393" t="s">
        <v>107</v>
      </c>
      <c r="BM1393" t="str">
        <f>"EmblemHealth Services Company, LLC"</f>
        <v>EmblemHealth Services Company, LLC</v>
      </c>
      <c r="BN1393" t="s">
        <v>8050</v>
      </c>
      <c r="BP1393" t="s">
        <v>2865</v>
      </c>
      <c r="BQ1393" t="s">
        <v>547</v>
      </c>
      <c r="BR1393" t="s">
        <v>280</v>
      </c>
      <c r="BS1393" s="5">
        <v>6032</v>
      </c>
      <c r="BT1393" s="2">
        <v>93309</v>
      </c>
      <c r="BV1393" t="s">
        <v>105</v>
      </c>
      <c r="BW1393" s="2">
        <v>93309</v>
      </c>
      <c r="BX1393" t="s">
        <v>105</v>
      </c>
      <c r="BZ1393" t="s">
        <v>123</v>
      </c>
      <c r="CA1393" t="str">
        <f t="shared" si="106"/>
        <v>7/1/2020 - 6/30/2021</v>
      </c>
      <c r="CF1393">
        <v>1</v>
      </c>
      <c r="CG1393" t="s">
        <v>98</v>
      </c>
      <c r="CH1393" t="s">
        <v>98</v>
      </c>
      <c r="CI1393" t="s">
        <v>206</v>
      </c>
      <c r="CJ1393" t="s">
        <v>98</v>
      </c>
      <c r="CK1393" t="s">
        <v>12323</v>
      </c>
      <c r="CL1393" t="s">
        <v>108</v>
      </c>
      <c r="CM1393" t="s">
        <v>109</v>
      </c>
      <c r="CN1393" t="str">
        <f>""</f>
        <v/>
      </c>
      <c r="CO1393" t="str">
        <f>""</f>
        <v/>
      </c>
      <c r="CP1393" t="str">
        <f>""</f>
        <v/>
      </c>
      <c r="CQ1393" t="str">
        <f>""</f>
        <v/>
      </c>
    </row>
    <row r="1394" spans="1:96" x14ac:dyDescent="0.2">
      <c r="A1394" t="s">
        <v>9659</v>
      </c>
      <c r="B1394" t="s">
        <v>96</v>
      </c>
      <c r="C1394" s="1">
        <v>44099</v>
      </c>
      <c r="D1394" s="1">
        <v>44106</v>
      </c>
      <c r="F1394" t="s">
        <v>97</v>
      </c>
      <c r="G1394" t="str">
        <f>"Technical Test Lead - US "</f>
        <v xml:space="preserve">Technical Test Lead - US </v>
      </c>
      <c r="H1394" t="s">
        <v>12168</v>
      </c>
      <c r="I1394" t="s">
        <v>319</v>
      </c>
      <c r="J1394" t="s">
        <v>98</v>
      </c>
      <c r="K1394" s="1">
        <v>44110</v>
      </c>
      <c r="L1394" s="1">
        <v>45202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 t="s">
        <v>723</v>
      </c>
      <c r="U1394" t="str">
        <f>""</f>
        <v/>
      </c>
      <c r="V1394" t="s">
        <v>724</v>
      </c>
      <c r="W1394" t="str">
        <f>"STE C150"</f>
        <v>STE C150</v>
      </c>
      <c r="X1394" t="s">
        <v>725</v>
      </c>
      <c r="Y1394" t="s">
        <v>114</v>
      </c>
      <c r="Z1394" s="3">
        <v>75082</v>
      </c>
      <c r="AA1394" t="s">
        <v>101</v>
      </c>
      <c r="AC1394" s="4" t="str">
        <f>"+12143062100"</f>
        <v>+12143062100</v>
      </c>
      <c r="AE1394" t="str">
        <f t="shared" ref="AE1394:AE1402" si="107">"541511"</f>
        <v>541511</v>
      </c>
      <c r="AF1394" t="s">
        <v>726</v>
      </c>
      <c r="AG1394" t="s">
        <v>727</v>
      </c>
      <c r="AI1394" t="s">
        <v>728</v>
      </c>
      <c r="AJ1394" t="s">
        <v>724</v>
      </c>
      <c r="AK1394" t="str">
        <f>"STE C150"</f>
        <v>STE C150</v>
      </c>
      <c r="AL1394" t="s">
        <v>725</v>
      </c>
      <c r="AM1394" t="s">
        <v>114</v>
      </c>
      <c r="AN1394" s="3">
        <v>75082</v>
      </c>
      <c r="AO1394" t="s">
        <v>101</v>
      </c>
      <c r="AQ1394" t="str">
        <f>"+12143062100"</f>
        <v>+12143062100</v>
      </c>
      <c r="AS1394" t="s">
        <v>729</v>
      </c>
      <c r="AT1394" t="s">
        <v>102</v>
      </c>
      <c r="AU1394" t="str">
        <f>""</f>
        <v/>
      </c>
      <c r="AV1394" t="str">
        <f>""</f>
        <v/>
      </c>
      <c r="AW1394" t="str">
        <f>""</f>
        <v/>
      </c>
      <c r="AX1394" t="str">
        <f>""</f>
        <v/>
      </c>
      <c r="AY1394" t="str">
        <f>""</f>
        <v/>
      </c>
      <c r="AZ1394" t="str">
        <f>""</f>
        <v/>
      </c>
      <c r="BA1394" t="str">
        <f>""</f>
        <v/>
      </c>
      <c r="BC1394" t="str">
        <f>""</f>
        <v/>
      </c>
      <c r="BD1394" t="str">
        <f>""</f>
        <v/>
      </c>
      <c r="BE1394" t="str">
        <f>""</f>
        <v/>
      </c>
      <c r="BF1394" t="str">
        <f>""</f>
        <v/>
      </c>
      <c r="BG1394" t="str">
        <f>""</f>
        <v/>
      </c>
      <c r="BH1394" t="str">
        <f>""</f>
        <v/>
      </c>
      <c r="BI1394" t="str">
        <f>""</f>
        <v/>
      </c>
      <c r="BJ1394" t="str">
        <f>""</f>
        <v/>
      </c>
      <c r="BK1394">
        <v>1</v>
      </c>
      <c r="BL1394" t="s">
        <v>102</v>
      </c>
      <c r="BM1394" t="str">
        <f>""</f>
        <v/>
      </c>
      <c r="BN1394" t="s">
        <v>9660</v>
      </c>
      <c r="BO1394" t="s">
        <v>9661</v>
      </c>
      <c r="BP1394" t="s">
        <v>2192</v>
      </c>
      <c r="BQ1394" t="s">
        <v>365</v>
      </c>
      <c r="BR1394" t="s">
        <v>141</v>
      </c>
      <c r="BS1394" s="5">
        <v>90813</v>
      </c>
      <c r="BT1394" s="2">
        <v>33.619999999999997</v>
      </c>
      <c r="BV1394" t="s">
        <v>210</v>
      </c>
      <c r="BW1394" s="2">
        <v>32.31</v>
      </c>
      <c r="BX1394" t="s">
        <v>210</v>
      </c>
      <c r="BZ1394" t="s">
        <v>167</v>
      </c>
      <c r="CA1394" t="str">
        <f t="shared" ref="CA1394:CA1417" si="108">"7/1/2020 - 6/30/2021"</f>
        <v>7/1/2020 - 6/30/2021</v>
      </c>
      <c r="CF1394">
        <v>2</v>
      </c>
      <c r="CG1394" t="s">
        <v>98</v>
      </c>
      <c r="CH1394" t="s">
        <v>98</v>
      </c>
      <c r="CI1394" t="s">
        <v>206</v>
      </c>
      <c r="CJ1394" t="s">
        <v>98</v>
      </c>
      <c r="CK1394" t="s">
        <v>12323</v>
      </c>
      <c r="CL1394" t="s">
        <v>108</v>
      </c>
      <c r="CM1394" t="s">
        <v>109</v>
      </c>
      <c r="CN1394" t="str">
        <f>"JAYARAM"</f>
        <v>JAYARAM</v>
      </c>
      <c r="CO1394" t="str">
        <f>"SUSHMA"</f>
        <v>SUSHMA</v>
      </c>
      <c r="CP1394" t="str">
        <f>""</f>
        <v/>
      </c>
      <c r="CQ1394" t="str">
        <f>"INFOSYS LIMITED"</f>
        <v>INFOSYS LIMITED</v>
      </c>
      <c r="CR1394" t="s">
        <v>3699</v>
      </c>
    </row>
    <row r="1395" spans="1:96" x14ac:dyDescent="0.2">
      <c r="A1395" t="s">
        <v>9662</v>
      </c>
      <c r="B1395" t="s">
        <v>96</v>
      </c>
      <c r="C1395" s="1">
        <v>44099</v>
      </c>
      <c r="D1395" s="1">
        <v>44106</v>
      </c>
      <c r="F1395" t="s">
        <v>97</v>
      </c>
      <c r="G1395" t="str">
        <f>"QA Test Engineer II"</f>
        <v>QA Test Engineer II</v>
      </c>
      <c r="H1395" t="s">
        <v>12168</v>
      </c>
      <c r="I1395" t="s">
        <v>319</v>
      </c>
      <c r="J1395" t="s">
        <v>98</v>
      </c>
      <c r="K1395" s="1">
        <v>44248</v>
      </c>
      <c r="L1395" s="1">
        <v>45342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 t="s">
        <v>1770</v>
      </c>
      <c r="U1395" t="str">
        <f>""</f>
        <v/>
      </c>
      <c r="V1395" t="s">
        <v>1409</v>
      </c>
      <c r="W1395" t="str">
        <f>"Suite 1101"</f>
        <v>Suite 1101</v>
      </c>
      <c r="X1395" t="s">
        <v>277</v>
      </c>
      <c r="Y1395" t="s">
        <v>190</v>
      </c>
      <c r="Z1395" s="3">
        <v>10016</v>
      </c>
      <c r="AA1395" t="s">
        <v>101</v>
      </c>
      <c r="AC1395" s="4" t="str">
        <f>"+12126866655"</f>
        <v>+12126866655</v>
      </c>
      <c r="AE1395" t="str">
        <f t="shared" si="107"/>
        <v>541511</v>
      </c>
      <c r="AF1395" t="s">
        <v>1771</v>
      </c>
      <c r="AG1395" t="s">
        <v>1772</v>
      </c>
      <c r="AI1395" t="s">
        <v>1773</v>
      </c>
      <c r="AJ1395" t="s">
        <v>1409</v>
      </c>
      <c r="AK1395" t="str">
        <f>"Suite 1101"</f>
        <v>Suite 1101</v>
      </c>
      <c r="AL1395" t="s">
        <v>277</v>
      </c>
      <c r="AM1395" t="s">
        <v>190</v>
      </c>
      <c r="AN1395" s="3">
        <v>10016</v>
      </c>
      <c r="AO1395" t="s">
        <v>101</v>
      </c>
      <c r="AQ1395" t="str">
        <f>"+12126866655"</f>
        <v>+12126866655</v>
      </c>
      <c r="AS1395" t="s">
        <v>1774</v>
      </c>
      <c r="AT1395" t="s">
        <v>107</v>
      </c>
      <c r="AU1395" t="str">
        <f>"CHAN"</f>
        <v>CHAN</v>
      </c>
      <c r="AV1395" t="str">
        <f>"Melissa"</f>
        <v>Melissa</v>
      </c>
      <c r="AW1395" t="str">
        <f>"L C"</f>
        <v>L C</v>
      </c>
      <c r="AX1395" t="str">
        <f>"1600 Duane Avenue"</f>
        <v>1600 Duane Avenue</v>
      </c>
      <c r="AY1395" t="str">
        <f>""</f>
        <v/>
      </c>
      <c r="AZ1395" t="str">
        <f>"Santa Clara"</f>
        <v>Santa Clara</v>
      </c>
      <c r="BA1395" t="str">
        <f>"CA"</f>
        <v>CA</v>
      </c>
      <c r="BB1395" s="3">
        <v>95054</v>
      </c>
      <c r="BC1395" t="str">
        <f>"UNITED STATES OF AMERICA"</f>
        <v>UNITED STATES OF AMERICA</v>
      </c>
      <c r="BD1395" t="str">
        <f>""</f>
        <v/>
      </c>
      <c r="BE1395" t="str">
        <f>"+14089700100"</f>
        <v>+14089700100</v>
      </c>
      <c r="BF1395" t="str">
        <f>""</f>
        <v/>
      </c>
      <c r="BG1395" t="str">
        <f>"ana.canlas@chugh.com"</f>
        <v>ana.canlas@chugh.com</v>
      </c>
      <c r="BH1395" t="str">
        <f>"Chugh, LLP (Previously Known as The Chugh Firm)"</f>
        <v>Chugh, LLP (Previously Known as The Chugh Firm)</v>
      </c>
      <c r="BI1395" t="str">
        <f>"CA"</f>
        <v>CA</v>
      </c>
      <c r="BJ1395" t="str">
        <f>"SUPREME COURT"</f>
        <v>SUPREME COURT</v>
      </c>
      <c r="BK1395">
        <v>1</v>
      </c>
      <c r="BL1395" t="s">
        <v>107</v>
      </c>
      <c r="BM1395" t="str">
        <f>"JP Morgan Chase"</f>
        <v>JP Morgan Chase</v>
      </c>
      <c r="BN1395" t="s">
        <v>7008</v>
      </c>
      <c r="BP1395" t="s">
        <v>1775</v>
      </c>
      <c r="BQ1395" t="s">
        <v>1777</v>
      </c>
      <c r="BR1395" t="s">
        <v>1776</v>
      </c>
      <c r="BS1395" s="5">
        <v>19803</v>
      </c>
      <c r="BT1395" s="2">
        <v>74090</v>
      </c>
      <c r="BV1395" t="s">
        <v>105</v>
      </c>
      <c r="BW1395" s="2">
        <v>74090</v>
      </c>
      <c r="BX1395" t="s">
        <v>105</v>
      </c>
      <c r="BZ1395" t="s">
        <v>167</v>
      </c>
      <c r="CA1395" t="str">
        <f t="shared" si="108"/>
        <v>7/1/2020 - 6/30/2021</v>
      </c>
      <c r="CF1395">
        <v>1</v>
      </c>
      <c r="CG1395" t="s">
        <v>98</v>
      </c>
      <c r="CH1395" t="s">
        <v>98</v>
      </c>
      <c r="CI1395" t="s">
        <v>206</v>
      </c>
      <c r="CJ1395" t="s">
        <v>98</v>
      </c>
      <c r="CK1395" t="s">
        <v>12323</v>
      </c>
      <c r="CL1395" t="s">
        <v>108</v>
      </c>
      <c r="CM1395" t="s">
        <v>109</v>
      </c>
      <c r="CN1395" t="str">
        <f>"Canlas"</f>
        <v>Canlas</v>
      </c>
      <c r="CO1395" t="str">
        <f>"Ana"</f>
        <v>Ana</v>
      </c>
      <c r="CP1395" t="str">
        <f>""</f>
        <v/>
      </c>
      <c r="CQ1395" t="str">
        <f>"Chugh, LLP"</f>
        <v>Chugh, LLP</v>
      </c>
      <c r="CR1395" t="s">
        <v>5350</v>
      </c>
    </row>
    <row r="1396" spans="1:96" x14ac:dyDescent="0.2">
      <c r="A1396" t="s">
        <v>9697</v>
      </c>
      <c r="B1396" t="s">
        <v>96</v>
      </c>
      <c r="C1396" s="1">
        <v>44099</v>
      </c>
      <c r="D1396" s="1">
        <v>44106</v>
      </c>
      <c r="F1396" t="s">
        <v>97</v>
      </c>
      <c r="G1396" t="str">
        <f>"SENIOR DEVELOPER"</f>
        <v>SENIOR DEVELOPER</v>
      </c>
      <c r="H1396" t="s">
        <v>12169</v>
      </c>
      <c r="I1396" t="s">
        <v>124</v>
      </c>
      <c r="J1396" t="s">
        <v>98</v>
      </c>
      <c r="K1396" s="1">
        <v>44104</v>
      </c>
      <c r="L1396" s="1">
        <v>45198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 t="s">
        <v>2502</v>
      </c>
      <c r="U1396" t="str">
        <f>""</f>
        <v/>
      </c>
      <c r="V1396" t="s">
        <v>2503</v>
      </c>
      <c r="W1396" t="str">
        <f>""</f>
        <v/>
      </c>
      <c r="X1396" t="s">
        <v>651</v>
      </c>
      <c r="Y1396" t="s">
        <v>141</v>
      </c>
      <c r="Z1396" s="3" t="s">
        <v>12300</v>
      </c>
      <c r="AA1396" t="s">
        <v>101</v>
      </c>
      <c r="AB1396" t="s">
        <v>108</v>
      </c>
      <c r="AC1396" s="4" t="str">
        <f>"+14084367508"</f>
        <v>+14084367508</v>
      </c>
      <c r="AE1396" t="str">
        <f t="shared" si="107"/>
        <v>541511</v>
      </c>
      <c r="AF1396" t="s">
        <v>2504</v>
      </c>
      <c r="AG1396" t="s">
        <v>2505</v>
      </c>
      <c r="AH1396" t="s">
        <v>108</v>
      </c>
      <c r="AI1396" t="s">
        <v>2506</v>
      </c>
      <c r="AJ1396" t="s">
        <v>2507</v>
      </c>
      <c r="AK1396" t="str">
        <f>""</f>
        <v/>
      </c>
      <c r="AL1396" t="s">
        <v>651</v>
      </c>
      <c r="AM1396" t="s">
        <v>141</v>
      </c>
      <c r="AN1396" s="3" t="s">
        <v>12300</v>
      </c>
      <c r="AO1396" t="s">
        <v>101</v>
      </c>
      <c r="AQ1396" t="str">
        <f>"+14084367508"</f>
        <v>+14084367508</v>
      </c>
      <c r="AS1396" t="s">
        <v>2508</v>
      </c>
      <c r="AT1396" t="s">
        <v>107</v>
      </c>
      <c r="AU1396" t="str">
        <f>"CHUGH"</f>
        <v>CHUGH</v>
      </c>
      <c r="AV1396" t="str">
        <f>"NAVNEET"</f>
        <v>NAVNEET</v>
      </c>
      <c r="AW1396" t="str">
        <f>"SINGH"</f>
        <v>SINGH</v>
      </c>
      <c r="AX1396" t="str">
        <f>"1600 DUANE AVENUE"</f>
        <v>1600 DUANE AVENUE</v>
      </c>
      <c r="AY1396" t="str">
        <f>""</f>
        <v/>
      </c>
      <c r="AZ1396" t="str">
        <f>"SANTA CLARA"</f>
        <v>SANTA CLARA</v>
      </c>
      <c r="BA1396" t="str">
        <f>"CA"</f>
        <v>CA</v>
      </c>
      <c r="BB1396" s="3">
        <v>95054</v>
      </c>
      <c r="BC1396" t="str">
        <f>"UNITED STATES OF AMERICA"</f>
        <v>UNITED STATES OF AMERICA</v>
      </c>
      <c r="BD1396" t="str">
        <f>""</f>
        <v/>
      </c>
      <c r="BE1396" t="str">
        <f>"+14089700100"</f>
        <v>+14089700100</v>
      </c>
      <c r="BF1396" t="str">
        <f>""</f>
        <v/>
      </c>
      <c r="BG1396" t="str">
        <f>"DEEPIKA.SINGH@CHUGH.COM"</f>
        <v>DEEPIKA.SINGH@CHUGH.COM</v>
      </c>
      <c r="BH1396" t="str">
        <f>"CHUGH LLP"</f>
        <v>CHUGH LLP</v>
      </c>
      <c r="BI1396" t="str">
        <f>"CA"</f>
        <v>CA</v>
      </c>
      <c r="BJ1396" t="str">
        <f>"SUPREME COURT, STATE OF CALIFORNIA"</f>
        <v>SUPREME COURT, STATE OF CALIFORNIA</v>
      </c>
      <c r="BK1396">
        <v>1</v>
      </c>
      <c r="BL1396" t="s">
        <v>107</v>
      </c>
      <c r="BM1396" t="str">
        <f>"LUTRON ELECTRONICS CO. INC."</f>
        <v>LUTRON ELECTRONICS CO. INC.</v>
      </c>
      <c r="BN1396" t="s">
        <v>9398</v>
      </c>
      <c r="BP1396" t="s">
        <v>9228</v>
      </c>
      <c r="BQ1396" t="s">
        <v>4119</v>
      </c>
      <c r="BR1396" t="s">
        <v>127</v>
      </c>
      <c r="BS1396" s="5">
        <v>18036</v>
      </c>
      <c r="BT1396" s="2">
        <v>89773</v>
      </c>
      <c r="BU1396" s="2">
        <v>90000</v>
      </c>
      <c r="BV1396" t="s">
        <v>105</v>
      </c>
      <c r="BW1396" s="2">
        <v>81453</v>
      </c>
      <c r="BX1396" t="s">
        <v>105</v>
      </c>
      <c r="BZ1396" t="s">
        <v>167</v>
      </c>
      <c r="CA1396" t="str">
        <f t="shared" si="108"/>
        <v>7/1/2020 - 6/30/2021</v>
      </c>
      <c r="CF1396">
        <v>2</v>
      </c>
      <c r="CG1396" t="s">
        <v>98</v>
      </c>
      <c r="CH1396" t="s">
        <v>98</v>
      </c>
      <c r="CI1396" t="s">
        <v>206</v>
      </c>
      <c r="CJ1396" t="s">
        <v>98</v>
      </c>
      <c r="CK1396" t="s">
        <v>12323</v>
      </c>
      <c r="CL1396" t="s">
        <v>108</v>
      </c>
      <c r="CM1396" t="s">
        <v>109</v>
      </c>
      <c r="CN1396" t="str">
        <f>"TAVAKOLI"</f>
        <v>TAVAKOLI</v>
      </c>
      <c r="CO1396" t="str">
        <f>"FARDOKHT"</f>
        <v>FARDOKHT</v>
      </c>
      <c r="CP1396" t="str">
        <f>"N/A"</f>
        <v>N/A</v>
      </c>
      <c r="CQ1396" t="str">
        <f>"CHUGH LLP"</f>
        <v>CHUGH LLP</v>
      </c>
      <c r="CR1396" t="s">
        <v>401</v>
      </c>
    </row>
    <row r="1397" spans="1:96" x14ac:dyDescent="0.2">
      <c r="A1397" t="s">
        <v>9710</v>
      </c>
      <c r="B1397" t="s">
        <v>96</v>
      </c>
      <c r="C1397" s="1">
        <v>44099</v>
      </c>
      <c r="D1397" s="1">
        <v>44106</v>
      </c>
      <c r="F1397" t="s">
        <v>97</v>
      </c>
      <c r="G1397" t="str">
        <f>"IT PROJECT MANAGER 3 "</f>
        <v xml:space="preserve">IT PROJECT MANAGER 3 </v>
      </c>
      <c r="H1397" t="s">
        <v>12168</v>
      </c>
      <c r="I1397" t="s">
        <v>367</v>
      </c>
      <c r="J1397" t="s">
        <v>98</v>
      </c>
      <c r="K1397" s="1">
        <v>44109</v>
      </c>
      <c r="L1397" s="1">
        <v>45203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 t="s">
        <v>511</v>
      </c>
      <c r="U1397" t="str">
        <f>""</f>
        <v/>
      </c>
      <c r="V1397" t="s">
        <v>512</v>
      </c>
      <c r="W1397" t="str">
        <f>"SUITE 300"</f>
        <v>SUITE 300</v>
      </c>
      <c r="X1397" t="s">
        <v>513</v>
      </c>
      <c r="Y1397" t="s">
        <v>171</v>
      </c>
      <c r="Z1397" s="3">
        <v>1772</v>
      </c>
      <c r="AA1397" t="s">
        <v>101</v>
      </c>
      <c r="AB1397" t="s">
        <v>514</v>
      </c>
      <c r="AC1397" s="4" t="str">
        <f>"+15083897451"</f>
        <v>+15083897451</v>
      </c>
      <c r="AE1397" t="str">
        <f t="shared" si="107"/>
        <v>541511</v>
      </c>
      <c r="AF1397" t="s">
        <v>515</v>
      </c>
      <c r="AG1397" t="s">
        <v>516</v>
      </c>
      <c r="AI1397" t="s">
        <v>517</v>
      </c>
      <c r="AJ1397" t="s">
        <v>518</v>
      </c>
      <c r="AK1397" t="str">
        <f>"SUITE 300"</f>
        <v>SUITE 300</v>
      </c>
      <c r="AL1397" t="s">
        <v>519</v>
      </c>
      <c r="AM1397" t="s">
        <v>171</v>
      </c>
      <c r="AN1397" s="3">
        <v>1772</v>
      </c>
      <c r="AO1397" t="s">
        <v>101</v>
      </c>
      <c r="AQ1397" t="str">
        <f>"+15083897451"</f>
        <v>+15083897451</v>
      </c>
      <c r="AS1397" t="s">
        <v>2783</v>
      </c>
      <c r="AT1397" t="s">
        <v>102</v>
      </c>
      <c r="AU1397" t="str">
        <f>""</f>
        <v/>
      </c>
      <c r="AV1397" t="str">
        <f>""</f>
        <v/>
      </c>
      <c r="AW1397" t="str">
        <f>""</f>
        <v/>
      </c>
      <c r="AX1397" t="str">
        <f>""</f>
        <v/>
      </c>
      <c r="AY1397" t="str">
        <f>""</f>
        <v/>
      </c>
      <c r="AZ1397" t="str">
        <f>""</f>
        <v/>
      </c>
      <c r="BA1397" t="str">
        <f>""</f>
        <v/>
      </c>
      <c r="BC1397" t="str">
        <f>""</f>
        <v/>
      </c>
      <c r="BD1397" t="str">
        <f>""</f>
        <v/>
      </c>
      <c r="BE1397" t="str">
        <f>""</f>
        <v/>
      </c>
      <c r="BF1397" t="str">
        <f>""</f>
        <v/>
      </c>
      <c r="BG1397" t="str">
        <f>""</f>
        <v/>
      </c>
      <c r="BH1397" t="str">
        <f>""</f>
        <v/>
      </c>
      <c r="BI1397" t="str">
        <f>""</f>
        <v/>
      </c>
      <c r="BJ1397" t="str">
        <f>""</f>
        <v/>
      </c>
      <c r="BK1397">
        <v>1</v>
      </c>
      <c r="BL1397" t="s">
        <v>107</v>
      </c>
      <c r="BM1397" t="str">
        <f>"CONVERGINT TECHNOLOGIES LLC"</f>
        <v>CONVERGINT TECHNOLOGIES LLC</v>
      </c>
      <c r="BN1397" t="s">
        <v>9711</v>
      </c>
      <c r="BO1397" t="s">
        <v>9712</v>
      </c>
      <c r="BP1397" t="s">
        <v>423</v>
      </c>
      <c r="BQ1397" t="s">
        <v>788</v>
      </c>
      <c r="BR1397" t="s">
        <v>345</v>
      </c>
      <c r="BS1397" s="5">
        <v>60173</v>
      </c>
      <c r="BT1397" s="2">
        <v>111250</v>
      </c>
      <c r="BV1397" t="s">
        <v>105</v>
      </c>
      <c r="BW1397" s="2">
        <v>95555</v>
      </c>
      <c r="BX1397" t="s">
        <v>105</v>
      </c>
      <c r="BZ1397" t="s">
        <v>123</v>
      </c>
      <c r="CA1397" t="str">
        <f t="shared" si="108"/>
        <v>7/1/2020 - 6/30/2021</v>
      </c>
      <c r="CF1397">
        <v>2</v>
      </c>
      <c r="CG1397" t="s">
        <v>98</v>
      </c>
      <c r="CH1397" t="s">
        <v>98</v>
      </c>
      <c r="CI1397" t="s">
        <v>206</v>
      </c>
      <c r="CJ1397" t="s">
        <v>98</v>
      </c>
      <c r="CK1397" t="s">
        <v>12323</v>
      </c>
      <c r="CL1397" t="s">
        <v>108</v>
      </c>
      <c r="CM1397" t="s">
        <v>109</v>
      </c>
      <c r="CN1397" t="str">
        <f>""</f>
        <v/>
      </c>
      <c r="CO1397" t="str">
        <f>""</f>
        <v/>
      </c>
      <c r="CP1397" t="str">
        <f>""</f>
        <v/>
      </c>
      <c r="CQ1397" t="str">
        <f>""</f>
        <v/>
      </c>
    </row>
    <row r="1398" spans="1:96" x14ac:dyDescent="0.2">
      <c r="A1398" t="s">
        <v>9729</v>
      </c>
      <c r="B1398" t="s">
        <v>96</v>
      </c>
      <c r="C1398" s="1">
        <v>44099</v>
      </c>
      <c r="D1398" s="1">
        <v>44106</v>
      </c>
      <c r="F1398" t="s">
        <v>97</v>
      </c>
      <c r="G1398" t="str">
        <f>"LEAD - TECHNOLOGY"</f>
        <v>LEAD - TECHNOLOGY</v>
      </c>
      <c r="H1398" t="s">
        <v>12169</v>
      </c>
      <c r="I1398" t="s">
        <v>124</v>
      </c>
      <c r="J1398" t="s">
        <v>98</v>
      </c>
      <c r="K1398" s="1">
        <v>44197</v>
      </c>
      <c r="L1398" s="1">
        <v>45291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3071</v>
      </c>
      <c r="U1398" t="str">
        <f>""</f>
        <v/>
      </c>
      <c r="V1398" t="s">
        <v>3072</v>
      </c>
      <c r="W1398" t="str">
        <f>"SUITE 3301"</f>
        <v>SUITE 3301</v>
      </c>
      <c r="X1398" t="s">
        <v>189</v>
      </c>
      <c r="Y1398" t="s">
        <v>190</v>
      </c>
      <c r="Z1398" s="3">
        <v>10036</v>
      </c>
      <c r="AA1398" t="s">
        <v>101</v>
      </c>
      <c r="AC1398" s="4" t="str">
        <f>"+17047631255"</f>
        <v>+17047631255</v>
      </c>
      <c r="AE1398" t="str">
        <f t="shared" si="107"/>
        <v>541511</v>
      </c>
      <c r="AF1398" t="s">
        <v>3073</v>
      </c>
      <c r="AG1398" t="s">
        <v>3074</v>
      </c>
      <c r="AI1398" t="s">
        <v>3075</v>
      </c>
      <c r="AJ1398" t="s">
        <v>3072</v>
      </c>
      <c r="AK1398" t="str">
        <f>"SUITE 3301"</f>
        <v>SUITE 3301</v>
      </c>
      <c r="AL1398" t="s">
        <v>189</v>
      </c>
      <c r="AM1398" t="s">
        <v>190</v>
      </c>
      <c r="AN1398" s="3">
        <v>10036</v>
      </c>
      <c r="AO1398" t="s">
        <v>101</v>
      </c>
      <c r="AQ1398" t="str">
        <f>"+17047631255"</f>
        <v>+17047631255</v>
      </c>
      <c r="AS1398" t="s">
        <v>3076</v>
      </c>
      <c r="AT1398" t="s">
        <v>107</v>
      </c>
      <c r="AU1398" t="str">
        <f>"JETHMALANI"</f>
        <v>JETHMALANI</v>
      </c>
      <c r="AV1398" t="str">
        <f>"ANIL"</f>
        <v>ANIL</v>
      </c>
      <c r="AW1398" t="str">
        <f>""</f>
        <v/>
      </c>
      <c r="AX1398" t="str">
        <f>"42 BROADWAY"</f>
        <v>42 BROADWAY</v>
      </c>
      <c r="AY1398" t="str">
        <f>"SUITE 1548"</f>
        <v>SUITE 1548</v>
      </c>
      <c r="AZ1398" t="str">
        <f>"NEW YORK"</f>
        <v>NEW YORK</v>
      </c>
      <c r="BA1398" t="str">
        <f>"NY"</f>
        <v>NY</v>
      </c>
      <c r="BB1398" s="3">
        <v>10004</v>
      </c>
      <c r="BC1398" t="str">
        <f>"UNITED STATES OF AMERICA"</f>
        <v>UNITED STATES OF AMERICA</v>
      </c>
      <c r="BD1398" t="str">
        <f>""</f>
        <v/>
      </c>
      <c r="BE1398" t="str">
        <f>"+12124069257"</f>
        <v>+12124069257</v>
      </c>
      <c r="BF1398" t="str">
        <f>""</f>
        <v/>
      </c>
      <c r="BG1398" t="str">
        <f>"FORUM@JNATTORNEY.COM"</f>
        <v>FORUM@JNATTORNEY.COM</v>
      </c>
      <c r="BH1398" t="str">
        <f>"Jethmalani &amp; Nallaseth PLLC"</f>
        <v>Jethmalani &amp; Nallaseth PLLC</v>
      </c>
      <c r="BI1398" t="str">
        <f>"NY"</f>
        <v>NY</v>
      </c>
      <c r="BJ1398" t="str">
        <f>"SUPREME COURT"</f>
        <v>SUPREME COURT</v>
      </c>
      <c r="BK1398">
        <v>1</v>
      </c>
      <c r="BL1398" t="s">
        <v>107</v>
      </c>
      <c r="BM1398" t="str">
        <f>"TRANSAMERICA"</f>
        <v>TRANSAMERICA</v>
      </c>
      <c r="BN1398" t="s">
        <v>5204</v>
      </c>
      <c r="BO1398" t="s">
        <v>3542</v>
      </c>
      <c r="BP1398" t="s">
        <v>804</v>
      </c>
      <c r="BQ1398" t="s">
        <v>104</v>
      </c>
      <c r="BR1398" t="s">
        <v>100</v>
      </c>
      <c r="BS1398" s="5">
        <v>8854</v>
      </c>
      <c r="BT1398" s="2">
        <v>100526</v>
      </c>
      <c r="BV1398" t="s">
        <v>105</v>
      </c>
      <c r="BW1398" s="2">
        <v>100526</v>
      </c>
      <c r="BX1398" t="s">
        <v>105</v>
      </c>
      <c r="BZ1398" t="s">
        <v>167</v>
      </c>
      <c r="CA1398" t="str">
        <f t="shared" si="108"/>
        <v>7/1/2020 - 6/30/2021</v>
      </c>
      <c r="CF1398">
        <v>1</v>
      </c>
      <c r="CG1398" t="s">
        <v>98</v>
      </c>
      <c r="CH1398" t="s">
        <v>98</v>
      </c>
      <c r="CI1398" t="s">
        <v>206</v>
      </c>
      <c r="CJ1398" t="s">
        <v>98</v>
      </c>
      <c r="CK1398" t="s">
        <v>12323</v>
      </c>
      <c r="CL1398" t="s">
        <v>108</v>
      </c>
      <c r="CM1398" t="s">
        <v>109</v>
      </c>
      <c r="CN1398" t="str">
        <f>""</f>
        <v/>
      </c>
      <c r="CO1398" t="str">
        <f>""</f>
        <v/>
      </c>
      <c r="CP1398" t="str">
        <f>""</f>
        <v/>
      </c>
      <c r="CQ1398" t="str">
        <f>""</f>
        <v/>
      </c>
    </row>
    <row r="1399" spans="1:96" x14ac:dyDescent="0.2">
      <c r="A1399" t="s">
        <v>9755</v>
      </c>
      <c r="B1399" t="s">
        <v>96</v>
      </c>
      <c r="C1399" s="1">
        <v>44099</v>
      </c>
      <c r="D1399" s="1">
        <v>44106</v>
      </c>
      <c r="F1399" t="s">
        <v>97</v>
      </c>
      <c r="G1399" t="str">
        <f>".Net Developer"</f>
        <v>.Net Developer</v>
      </c>
      <c r="H1399" t="s">
        <v>12169</v>
      </c>
      <c r="I1399" t="s">
        <v>124</v>
      </c>
      <c r="J1399" t="s">
        <v>98</v>
      </c>
      <c r="K1399" s="1">
        <v>44105</v>
      </c>
      <c r="L1399" s="1">
        <v>45199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 t="s">
        <v>2358</v>
      </c>
      <c r="U1399" t="str">
        <f>""</f>
        <v/>
      </c>
      <c r="V1399" t="s">
        <v>2359</v>
      </c>
      <c r="W1399" t="str">
        <f>"BUILDING 17"</f>
        <v>BUILDING 17</v>
      </c>
      <c r="X1399" t="s">
        <v>498</v>
      </c>
      <c r="Y1399" t="s">
        <v>176</v>
      </c>
      <c r="Z1399" s="3">
        <v>98052</v>
      </c>
      <c r="AA1399" t="s">
        <v>101</v>
      </c>
      <c r="AC1399" s="4" t="str">
        <f>"+18179132955"</f>
        <v>+18179132955</v>
      </c>
      <c r="AE1399" t="str">
        <f t="shared" si="107"/>
        <v>541511</v>
      </c>
      <c r="AF1399" t="s">
        <v>2360</v>
      </c>
      <c r="AG1399" t="s">
        <v>2361</v>
      </c>
      <c r="AI1399" t="s">
        <v>425</v>
      </c>
      <c r="AJ1399" t="s">
        <v>2359</v>
      </c>
      <c r="AK1399" t="str">
        <f>"BUILDING 17"</f>
        <v>BUILDING 17</v>
      </c>
      <c r="AL1399" t="s">
        <v>498</v>
      </c>
      <c r="AM1399" t="s">
        <v>176</v>
      </c>
      <c r="AN1399" s="3">
        <v>98052</v>
      </c>
      <c r="AO1399" t="s">
        <v>101</v>
      </c>
      <c r="AQ1399" t="str">
        <f>"+18179132955"</f>
        <v>+18179132955</v>
      </c>
      <c r="AS1399" t="s">
        <v>2362</v>
      </c>
      <c r="AT1399" t="s">
        <v>107</v>
      </c>
      <c r="AU1399" t="str">
        <f>"KENNEDY"</f>
        <v>KENNEDY</v>
      </c>
      <c r="AV1399" t="str">
        <f>"ADAIKALA MARY"</f>
        <v>ADAIKALA MARY</v>
      </c>
      <c r="AW1399" t="str">
        <f>""</f>
        <v/>
      </c>
      <c r="AX1399" t="str">
        <f>"1111 Plaza Dr"</f>
        <v>1111 Plaza Dr</v>
      </c>
      <c r="AY1399" t="str">
        <f>"STE 500"</f>
        <v>STE 500</v>
      </c>
      <c r="AZ1399" t="str">
        <f>"Schaumburg"</f>
        <v>Schaumburg</v>
      </c>
      <c r="BA1399" t="str">
        <f>"IL"</f>
        <v>IL</v>
      </c>
      <c r="BB1399" s="3">
        <v>60173</v>
      </c>
      <c r="BC1399" t="str">
        <f>"UNITED STATES OF AMERICA"</f>
        <v>UNITED STATES OF AMERICA</v>
      </c>
      <c r="BD1399" t="str">
        <f>""</f>
        <v/>
      </c>
      <c r="BE1399" t="str">
        <f>"+18472201560"</f>
        <v>+18472201560</v>
      </c>
      <c r="BF1399" t="str">
        <f>""</f>
        <v/>
      </c>
      <c r="BG1399" t="str">
        <f>"LEGAL@MKIMMIGRATIONLAW.COM"</f>
        <v>LEGAL@MKIMMIGRATIONLAW.COM</v>
      </c>
      <c r="BH1399" t="str">
        <f>"LAW OFFICES OF MARY KENNEDY, LLC"</f>
        <v>LAW OFFICES OF MARY KENNEDY, LLC</v>
      </c>
      <c r="BI1399" t="str">
        <f>"OR"</f>
        <v>OR</v>
      </c>
      <c r="BJ1399" t="str">
        <f>"SUPREME COURT, OR"</f>
        <v>SUPREME COURT, OR</v>
      </c>
      <c r="BK1399">
        <v>1</v>
      </c>
      <c r="BL1399" t="s">
        <v>107</v>
      </c>
      <c r="BM1399" t="str">
        <f>"Deloitte"</f>
        <v>Deloitte</v>
      </c>
      <c r="BN1399" t="s">
        <v>2024</v>
      </c>
      <c r="BP1399" t="s">
        <v>2025</v>
      </c>
      <c r="BQ1399" t="s">
        <v>2026</v>
      </c>
      <c r="BR1399" t="s">
        <v>127</v>
      </c>
      <c r="BS1399" s="5">
        <v>17050</v>
      </c>
      <c r="BT1399" s="2">
        <v>74006</v>
      </c>
      <c r="BV1399" t="s">
        <v>105</v>
      </c>
      <c r="BW1399" s="2">
        <v>74006</v>
      </c>
      <c r="BX1399" t="s">
        <v>105</v>
      </c>
      <c r="BZ1399" t="s">
        <v>167</v>
      </c>
      <c r="CA1399" t="str">
        <f t="shared" si="108"/>
        <v>7/1/2020 - 6/30/2021</v>
      </c>
      <c r="CF1399">
        <v>1</v>
      </c>
      <c r="CG1399" t="s">
        <v>98</v>
      </c>
      <c r="CH1399" t="s">
        <v>98</v>
      </c>
      <c r="CI1399" t="s">
        <v>206</v>
      </c>
      <c r="CJ1399" t="s">
        <v>98</v>
      </c>
      <c r="CK1399" t="s">
        <v>12323</v>
      </c>
      <c r="CL1399" t="s">
        <v>108</v>
      </c>
      <c r="CM1399" t="s">
        <v>109</v>
      </c>
      <c r="CN1399" t="str">
        <f>"KENNEDY"</f>
        <v>KENNEDY</v>
      </c>
      <c r="CO1399" t="str">
        <f>"ADAIKALA MARY"</f>
        <v>ADAIKALA MARY</v>
      </c>
      <c r="CP1399" t="str">
        <f>""</f>
        <v/>
      </c>
      <c r="CQ1399" t="str">
        <f>"LAW OFFICES OF MARY KENNEDY, LLC"</f>
        <v>LAW OFFICES OF MARY KENNEDY, LLC</v>
      </c>
      <c r="CR1399" t="s">
        <v>2363</v>
      </c>
    </row>
    <row r="1400" spans="1:96" x14ac:dyDescent="0.2">
      <c r="A1400" t="s">
        <v>9821</v>
      </c>
      <c r="B1400" t="s">
        <v>96</v>
      </c>
      <c r="C1400" s="1">
        <v>44099</v>
      </c>
      <c r="D1400" s="1">
        <v>44106</v>
      </c>
      <c r="F1400" t="s">
        <v>97</v>
      </c>
      <c r="G1400" t="str">
        <f>"Application Architect"</f>
        <v>Application Architect</v>
      </c>
      <c r="H1400" t="s">
        <v>12168</v>
      </c>
      <c r="I1400" t="s">
        <v>160</v>
      </c>
      <c r="J1400" t="s">
        <v>98</v>
      </c>
      <c r="K1400" s="1">
        <v>44109</v>
      </c>
      <c r="L1400" s="1">
        <v>45203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 t="s">
        <v>3750</v>
      </c>
      <c r="U1400" t="str">
        <f>""</f>
        <v/>
      </c>
      <c r="V1400" t="s">
        <v>3751</v>
      </c>
      <c r="W1400" t="str">
        <f>"Suite 103"</f>
        <v>Suite 103</v>
      </c>
      <c r="X1400" t="s">
        <v>604</v>
      </c>
      <c r="Y1400" t="s">
        <v>122</v>
      </c>
      <c r="Z1400" s="3">
        <v>28262</v>
      </c>
      <c r="AA1400" t="s">
        <v>101</v>
      </c>
      <c r="AC1400" s="4" t="str">
        <f>"+19809391144"</f>
        <v>+19809391144</v>
      </c>
      <c r="AE1400" t="str">
        <f t="shared" si="107"/>
        <v>541511</v>
      </c>
      <c r="AF1400" t="s">
        <v>3752</v>
      </c>
      <c r="AG1400" t="s">
        <v>3753</v>
      </c>
      <c r="AI1400" t="s">
        <v>508</v>
      </c>
      <c r="AJ1400" t="s">
        <v>3751</v>
      </c>
      <c r="AK1400" t="str">
        <f>"Suite 103"</f>
        <v>Suite 103</v>
      </c>
      <c r="AL1400" t="s">
        <v>604</v>
      </c>
      <c r="AM1400" t="s">
        <v>122</v>
      </c>
      <c r="AN1400" s="3">
        <v>28262</v>
      </c>
      <c r="AO1400" t="s">
        <v>101</v>
      </c>
      <c r="AQ1400" t="str">
        <f>"+17328321518"</f>
        <v>+17328321518</v>
      </c>
      <c r="AS1400" t="s">
        <v>3754</v>
      </c>
      <c r="AT1400" t="s">
        <v>107</v>
      </c>
      <c r="AU1400" t="str">
        <f>"Luciano"</f>
        <v>Luciano</v>
      </c>
      <c r="AV1400" t="str">
        <f>"Christine"</f>
        <v>Christine</v>
      </c>
      <c r="AW1400" t="str">
        <f>""</f>
        <v/>
      </c>
      <c r="AX1400" t="str">
        <f>"800 W. Cummings Park"</f>
        <v>800 W. Cummings Park</v>
      </c>
      <c r="AY1400" t="str">
        <f>"Suite 2750"</f>
        <v>Suite 2750</v>
      </c>
      <c r="AZ1400" t="str">
        <f>"Woburn"</f>
        <v>Woburn</v>
      </c>
      <c r="BA1400" t="str">
        <f>"MA"</f>
        <v>MA</v>
      </c>
      <c r="BB1400" s="3">
        <v>1801</v>
      </c>
      <c r="BC1400" t="str">
        <f>"UNITED STATES OF AMERICA"</f>
        <v>UNITED STATES OF AMERICA</v>
      </c>
      <c r="BD1400" t="str">
        <f>""</f>
        <v/>
      </c>
      <c r="BE1400" t="str">
        <f>"+16175009978"</f>
        <v>+16175009978</v>
      </c>
      <c r="BF1400" t="str">
        <f>""</f>
        <v/>
      </c>
      <c r="BG1400" t="str">
        <f>"christinel@raminenilaw.com"</f>
        <v>christinel@raminenilaw.com</v>
      </c>
      <c r="BH1400" t="str">
        <f>"Ramineni &amp; Shepard, LLC"</f>
        <v>Ramineni &amp; Shepard, LLC</v>
      </c>
      <c r="BI1400" t="str">
        <f>"MA"</f>
        <v>MA</v>
      </c>
      <c r="BJ1400" t="str">
        <f>"MA Judicial Supreme Court"</f>
        <v>MA Judicial Supreme Court</v>
      </c>
      <c r="BK1400">
        <v>1</v>
      </c>
      <c r="BL1400" t="s">
        <v>107</v>
      </c>
      <c r="BM1400" t="str">
        <f>"Centene Corporation"</f>
        <v>Centene Corporation</v>
      </c>
      <c r="BN1400" t="s">
        <v>3316</v>
      </c>
      <c r="BP1400" t="s">
        <v>2500</v>
      </c>
      <c r="BQ1400" t="s">
        <v>1964</v>
      </c>
      <c r="BR1400" t="s">
        <v>374</v>
      </c>
      <c r="BS1400" s="5">
        <v>63105</v>
      </c>
      <c r="BT1400" s="2">
        <v>90000</v>
      </c>
      <c r="BV1400" t="s">
        <v>105</v>
      </c>
      <c r="BW1400" s="2">
        <v>66602</v>
      </c>
      <c r="BX1400" t="s">
        <v>105</v>
      </c>
      <c r="BZ1400" t="s">
        <v>167</v>
      </c>
      <c r="CA1400" t="str">
        <f t="shared" si="108"/>
        <v>7/1/2020 - 6/30/2021</v>
      </c>
      <c r="CF1400">
        <v>2</v>
      </c>
      <c r="CG1400" t="s">
        <v>98</v>
      </c>
      <c r="CH1400" t="s">
        <v>98</v>
      </c>
      <c r="CI1400" t="s">
        <v>206</v>
      </c>
      <c r="CJ1400" t="s">
        <v>98</v>
      </c>
      <c r="CK1400" t="s">
        <v>12323</v>
      </c>
      <c r="CL1400" t="s">
        <v>108</v>
      </c>
      <c r="CM1400" t="s">
        <v>353</v>
      </c>
      <c r="CN1400" t="str">
        <f>""</f>
        <v/>
      </c>
      <c r="CO1400" t="str">
        <f>""</f>
        <v/>
      </c>
      <c r="CP1400" t="str">
        <f>""</f>
        <v/>
      </c>
      <c r="CQ1400" t="str">
        <f>""</f>
        <v/>
      </c>
    </row>
    <row r="1401" spans="1:96" x14ac:dyDescent="0.2">
      <c r="A1401" t="s">
        <v>9887</v>
      </c>
      <c r="B1401" t="s">
        <v>96</v>
      </c>
      <c r="C1401" s="1">
        <v>44099</v>
      </c>
      <c r="D1401" s="1">
        <v>44106</v>
      </c>
      <c r="F1401" t="s">
        <v>97</v>
      </c>
      <c r="G1401" t="str">
        <f>"SENIOR FULL STACK ENGINEER"</f>
        <v>SENIOR FULL STACK ENGINEER</v>
      </c>
      <c r="H1401" t="s">
        <v>12169</v>
      </c>
      <c r="I1401" t="s">
        <v>124</v>
      </c>
      <c r="J1401" t="s">
        <v>98</v>
      </c>
      <c r="K1401" s="1">
        <v>44102</v>
      </c>
      <c r="L1401" s="1">
        <v>45196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 t="s">
        <v>7590</v>
      </c>
      <c r="U1401" t="str">
        <f>""</f>
        <v/>
      </c>
      <c r="V1401" t="s">
        <v>3196</v>
      </c>
      <c r="W1401" t="str">
        <f>"SUITE A"</f>
        <v>SUITE A</v>
      </c>
      <c r="X1401" t="s">
        <v>1034</v>
      </c>
      <c r="Y1401" t="s">
        <v>100</v>
      </c>
      <c r="Z1401" s="3">
        <v>8844</v>
      </c>
      <c r="AA1401" t="s">
        <v>101</v>
      </c>
      <c r="AC1401" s="4" t="str">
        <f>"+17326585233"</f>
        <v>+17326585233</v>
      </c>
      <c r="AE1401" t="str">
        <f t="shared" si="107"/>
        <v>541511</v>
      </c>
      <c r="AF1401" t="s">
        <v>7591</v>
      </c>
      <c r="AG1401" t="s">
        <v>3686</v>
      </c>
      <c r="AH1401" t="s">
        <v>108</v>
      </c>
      <c r="AI1401" t="s">
        <v>1789</v>
      </c>
      <c r="AJ1401" t="s">
        <v>3196</v>
      </c>
      <c r="AK1401" t="str">
        <f>"SUITE A"</f>
        <v>SUITE A</v>
      </c>
      <c r="AL1401" t="s">
        <v>1034</v>
      </c>
      <c r="AM1401" t="s">
        <v>100</v>
      </c>
      <c r="AN1401" s="3">
        <v>8844</v>
      </c>
      <c r="AO1401" t="s">
        <v>101</v>
      </c>
      <c r="AQ1401" t="str">
        <f>"+17326585233"</f>
        <v>+17326585233</v>
      </c>
      <c r="AS1401" t="s">
        <v>7592</v>
      </c>
      <c r="AT1401" t="s">
        <v>102</v>
      </c>
      <c r="AU1401" t="str">
        <f>""</f>
        <v/>
      </c>
      <c r="AV1401" t="str">
        <f>""</f>
        <v/>
      </c>
      <c r="AW1401" t="str">
        <f>""</f>
        <v/>
      </c>
      <c r="AX1401" t="str">
        <f>""</f>
        <v/>
      </c>
      <c r="AY1401" t="str">
        <f>""</f>
        <v/>
      </c>
      <c r="AZ1401" t="str">
        <f>""</f>
        <v/>
      </c>
      <c r="BA1401" t="str">
        <f>""</f>
        <v/>
      </c>
      <c r="BC1401" t="str">
        <f>""</f>
        <v/>
      </c>
      <c r="BD1401" t="str">
        <f>""</f>
        <v/>
      </c>
      <c r="BE1401" t="str">
        <f>""</f>
        <v/>
      </c>
      <c r="BF1401" t="str">
        <f>""</f>
        <v/>
      </c>
      <c r="BG1401" t="str">
        <f>""</f>
        <v/>
      </c>
      <c r="BH1401" t="str">
        <f>""</f>
        <v/>
      </c>
      <c r="BI1401" t="str">
        <f>""</f>
        <v/>
      </c>
      <c r="BJ1401" t="str">
        <f>""</f>
        <v/>
      </c>
      <c r="BK1401">
        <v>1</v>
      </c>
      <c r="BL1401" t="s">
        <v>107</v>
      </c>
      <c r="BM1401" t="str">
        <f>"FIDELITY INVESTMENTS"</f>
        <v>FIDELITY INVESTMENTS</v>
      </c>
      <c r="BN1401" t="s">
        <v>9888</v>
      </c>
      <c r="BP1401" t="s">
        <v>951</v>
      </c>
      <c r="BQ1401" t="s">
        <v>209</v>
      </c>
      <c r="BR1401" t="s">
        <v>171</v>
      </c>
      <c r="BS1401" s="5">
        <v>2210</v>
      </c>
      <c r="BT1401" s="2">
        <v>140000</v>
      </c>
      <c r="BV1401" t="s">
        <v>105</v>
      </c>
      <c r="BW1401" s="2">
        <v>115939</v>
      </c>
      <c r="BX1401" t="s">
        <v>105</v>
      </c>
      <c r="BZ1401" t="s">
        <v>123</v>
      </c>
      <c r="CA1401" t="str">
        <f t="shared" si="108"/>
        <v>7/1/2020 - 6/30/2021</v>
      </c>
      <c r="CF1401">
        <v>2</v>
      </c>
      <c r="CG1401" t="s">
        <v>98</v>
      </c>
      <c r="CH1401" t="s">
        <v>98</v>
      </c>
      <c r="CI1401" t="s">
        <v>206</v>
      </c>
      <c r="CJ1401" t="s">
        <v>98</v>
      </c>
      <c r="CK1401" t="s">
        <v>12323</v>
      </c>
      <c r="CL1401" t="s">
        <v>108</v>
      </c>
      <c r="CM1401" t="s">
        <v>109</v>
      </c>
      <c r="CN1401" t="str">
        <f>""</f>
        <v/>
      </c>
      <c r="CO1401" t="str">
        <f>""</f>
        <v/>
      </c>
      <c r="CP1401" t="str">
        <f>""</f>
        <v/>
      </c>
      <c r="CQ1401" t="str">
        <f>""</f>
        <v/>
      </c>
    </row>
    <row r="1402" spans="1:96" x14ac:dyDescent="0.2">
      <c r="A1402" t="s">
        <v>9893</v>
      </c>
      <c r="B1402" t="s">
        <v>96</v>
      </c>
      <c r="C1402" s="1">
        <v>44099</v>
      </c>
      <c r="D1402" s="1">
        <v>44106</v>
      </c>
      <c r="F1402" t="s">
        <v>97</v>
      </c>
      <c r="G1402" t="str">
        <f>"Project Manager - US "</f>
        <v xml:space="preserve">Project Manager - US </v>
      </c>
      <c r="H1402" t="s">
        <v>12181</v>
      </c>
      <c r="I1402" t="s">
        <v>110</v>
      </c>
      <c r="J1402" t="s">
        <v>98</v>
      </c>
      <c r="K1402" s="1">
        <v>44110</v>
      </c>
      <c r="L1402" s="1">
        <v>45203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723</v>
      </c>
      <c r="U1402" t="str">
        <f>""</f>
        <v/>
      </c>
      <c r="V1402" t="s">
        <v>724</v>
      </c>
      <c r="W1402" t="str">
        <f>"STE C150"</f>
        <v>STE C150</v>
      </c>
      <c r="X1402" t="s">
        <v>725</v>
      </c>
      <c r="Y1402" t="s">
        <v>114</v>
      </c>
      <c r="Z1402" s="3">
        <v>75082</v>
      </c>
      <c r="AA1402" t="s">
        <v>101</v>
      </c>
      <c r="AC1402" s="4" t="str">
        <f>"+12143062100"</f>
        <v>+12143062100</v>
      </c>
      <c r="AE1402" t="str">
        <f t="shared" si="107"/>
        <v>541511</v>
      </c>
      <c r="AF1402" t="s">
        <v>726</v>
      </c>
      <c r="AG1402" t="s">
        <v>727</v>
      </c>
      <c r="AI1402" t="s">
        <v>728</v>
      </c>
      <c r="AJ1402" t="s">
        <v>724</v>
      </c>
      <c r="AK1402" t="str">
        <f>"STE C150"</f>
        <v>STE C150</v>
      </c>
      <c r="AL1402" t="s">
        <v>725</v>
      </c>
      <c r="AM1402" t="s">
        <v>114</v>
      </c>
      <c r="AN1402" s="3">
        <v>75082</v>
      </c>
      <c r="AO1402" t="s">
        <v>101</v>
      </c>
      <c r="AQ1402" t="str">
        <f>"+12143062100"</f>
        <v>+12143062100</v>
      </c>
      <c r="AS1402" t="s">
        <v>729</v>
      </c>
      <c r="AT1402" t="s">
        <v>102</v>
      </c>
      <c r="AU1402" t="str">
        <f>""</f>
        <v/>
      </c>
      <c r="AV1402" t="str">
        <f>""</f>
        <v/>
      </c>
      <c r="AW1402" t="str">
        <f>""</f>
        <v/>
      </c>
      <c r="AX1402" t="str">
        <f>""</f>
        <v/>
      </c>
      <c r="AY1402" t="str">
        <f>""</f>
        <v/>
      </c>
      <c r="AZ1402" t="str">
        <f>""</f>
        <v/>
      </c>
      <c r="BA1402" t="str">
        <f>""</f>
        <v/>
      </c>
      <c r="BC1402" t="str">
        <f>""</f>
        <v/>
      </c>
      <c r="BD1402" t="str">
        <f>""</f>
        <v/>
      </c>
      <c r="BE1402" t="str">
        <f>""</f>
        <v/>
      </c>
      <c r="BF1402" t="str">
        <f>""</f>
        <v/>
      </c>
      <c r="BG1402" t="str">
        <f>""</f>
        <v/>
      </c>
      <c r="BH1402" t="str">
        <f>""</f>
        <v/>
      </c>
      <c r="BI1402" t="str">
        <f>""</f>
        <v/>
      </c>
      <c r="BJ1402" t="str">
        <f>""</f>
        <v/>
      </c>
      <c r="BK1402">
        <v>1</v>
      </c>
      <c r="BL1402" t="s">
        <v>107</v>
      </c>
      <c r="BM1402" t="str">
        <f>"Pfizer Inc."</f>
        <v>Pfizer Inc.</v>
      </c>
      <c r="BN1402" t="s">
        <v>9894</v>
      </c>
      <c r="BP1402" t="s">
        <v>1667</v>
      </c>
      <c r="BQ1402" t="s">
        <v>1668</v>
      </c>
      <c r="BR1402" t="s">
        <v>280</v>
      </c>
      <c r="BS1402" s="5">
        <v>6340</v>
      </c>
      <c r="BT1402" s="2">
        <v>92331</v>
      </c>
      <c r="BV1402" t="s">
        <v>105</v>
      </c>
      <c r="BW1402" s="2">
        <v>92331</v>
      </c>
      <c r="BX1402" t="s">
        <v>105</v>
      </c>
      <c r="BZ1402" t="s">
        <v>123</v>
      </c>
      <c r="CA1402" t="str">
        <f t="shared" si="108"/>
        <v>7/1/2020 - 6/30/2021</v>
      </c>
      <c r="CF1402">
        <v>1</v>
      </c>
      <c r="CG1402" t="s">
        <v>98</v>
      </c>
      <c r="CH1402" t="s">
        <v>98</v>
      </c>
      <c r="CI1402" t="s">
        <v>206</v>
      </c>
      <c r="CJ1402" t="s">
        <v>98</v>
      </c>
      <c r="CK1402" t="s">
        <v>12323</v>
      </c>
      <c r="CL1402" t="s">
        <v>108</v>
      </c>
      <c r="CM1402" t="s">
        <v>109</v>
      </c>
      <c r="CN1402" t="str">
        <f>"JAYARAM"</f>
        <v>JAYARAM</v>
      </c>
      <c r="CO1402" t="str">
        <f>"SUSHMA"</f>
        <v>SUSHMA</v>
      </c>
      <c r="CP1402" t="str">
        <f>""</f>
        <v/>
      </c>
      <c r="CQ1402" t="str">
        <f>"INFOSYS LIMITED"</f>
        <v>INFOSYS LIMITED</v>
      </c>
      <c r="CR1402" t="s">
        <v>3699</v>
      </c>
    </row>
    <row r="1403" spans="1:96" x14ac:dyDescent="0.2">
      <c r="A1403" t="s">
        <v>9900</v>
      </c>
      <c r="B1403" t="s">
        <v>96</v>
      </c>
      <c r="C1403" s="1">
        <v>44099</v>
      </c>
      <c r="D1403" s="1">
        <v>44106</v>
      </c>
      <c r="F1403" t="s">
        <v>97</v>
      </c>
      <c r="G1403" t="str">
        <f>"SOFTWARE DEVELOPER"</f>
        <v>SOFTWARE DEVELOPER</v>
      </c>
      <c r="H1403" t="s">
        <v>12169</v>
      </c>
      <c r="I1403" t="s">
        <v>124</v>
      </c>
      <c r="J1403" t="s">
        <v>98</v>
      </c>
      <c r="K1403" s="1">
        <v>44106</v>
      </c>
      <c r="L1403" s="1">
        <v>45200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 t="s">
        <v>7285</v>
      </c>
      <c r="U1403" t="str">
        <f>""</f>
        <v/>
      </c>
      <c r="V1403" t="s">
        <v>7286</v>
      </c>
      <c r="W1403" t="str">
        <f>""</f>
        <v/>
      </c>
      <c r="X1403" t="s">
        <v>521</v>
      </c>
      <c r="Y1403" t="s">
        <v>225</v>
      </c>
      <c r="Z1403" s="3">
        <v>43215</v>
      </c>
      <c r="AA1403" t="s">
        <v>101</v>
      </c>
      <c r="AC1403" s="4" t="str">
        <f>"+16142212277"</f>
        <v>+16142212277</v>
      </c>
      <c r="AE1403" t="str">
        <f>"5416"</f>
        <v>5416</v>
      </c>
      <c r="AF1403" t="s">
        <v>7287</v>
      </c>
      <c r="AG1403" t="s">
        <v>4215</v>
      </c>
      <c r="AI1403" t="s">
        <v>425</v>
      </c>
      <c r="AJ1403" t="s">
        <v>7286</v>
      </c>
      <c r="AK1403" t="str">
        <f>""</f>
        <v/>
      </c>
      <c r="AL1403" t="s">
        <v>521</v>
      </c>
      <c r="AM1403" t="s">
        <v>225</v>
      </c>
      <c r="AN1403" s="3">
        <v>43215</v>
      </c>
      <c r="AO1403" t="s">
        <v>101</v>
      </c>
      <c r="AQ1403" t="str">
        <f>"+16142212277"</f>
        <v>+16142212277</v>
      </c>
      <c r="AS1403" t="s">
        <v>7288</v>
      </c>
      <c r="AT1403" t="s">
        <v>107</v>
      </c>
      <c r="AU1403" t="str">
        <f>"MADAN"</f>
        <v>MADAN</v>
      </c>
      <c r="AV1403" t="str">
        <f>"NEAL"</f>
        <v>NEAL</v>
      </c>
      <c r="AW1403" t="str">
        <f>""</f>
        <v/>
      </c>
      <c r="AX1403" t="str">
        <f>"358 5TH AVENUE, SUITE 704"</f>
        <v>358 5TH AVENUE, SUITE 704</v>
      </c>
      <c r="AY1403" t="str">
        <f>""</f>
        <v/>
      </c>
      <c r="AZ1403" t="str">
        <f>"NEW YORK"</f>
        <v>NEW YORK</v>
      </c>
      <c r="BA1403" t="str">
        <f>"NY"</f>
        <v>NY</v>
      </c>
      <c r="BB1403" s="3">
        <v>10001</v>
      </c>
      <c r="BC1403" t="str">
        <f>"UNITED STATES OF AMERICA"</f>
        <v>UNITED STATES OF AMERICA</v>
      </c>
      <c r="BD1403" t="str">
        <f>""</f>
        <v/>
      </c>
      <c r="BE1403" t="str">
        <f>"+12122398008"</f>
        <v>+12122398008</v>
      </c>
      <c r="BF1403" t="str">
        <f>"201"</f>
        <v>201</v>
      </c>
      <c r="BG1403" t="str">
        <f>"LCA@ILAWUS.COM"</f>
        <v>LCA@ILAWUS.COM</v>
      </c>
      <c r="BH1403" t="str">
        <f>"MADAN &amp; SAIGAL, LLC"</f>
        <v>MADAN &amp; SAIGAL, LLC</v>
      </c>
      <c r="BI1403" t="str">
        <f>"MD"</f>
        <v>MD</v>
      </c>
      <c r="BJ1403" t="str">
        <f>"COURT OF APPEALS"</f>
        <v>COURT OF APPEALS</v>
      </c>
      <c r="BK1403">
        <v>1</v>
      </c>
      <c r="BL1403" t="s">
        <v>107</v>
      </c>
      <c r="BM1403" t="str">
        <f>"FREDDIE MAC"</f>
        <v>FREDDIE MAC</v>
      </c>
      <c r="BN1403" t="s">
        <v>8212</v>
      </c>
      <c r="BP1403" t="s">
        <v>9901</v>
      </c>
      <c r="BQ1403" t="s">
        <v>454</v>
      </c>
      <c r="BR1403" t="s">
        <v>135</v>
      </c>
      <c r="BS1403" s="5">
        <v>22102</v>
      </c>
      <c r="BT1403" s="2">
        <v>98000</v>
      </c>
      <c r="BU1403" s="2">
        <v>118000</v>
      </c>
      <c r="BV1403" t="s">
        <v>105</v>
      </c>
      <c r="BW1403" s="2">
        <v>97406</v>
      </c>
      <c r="BX1403" t="s">
        <v>105</v>
      </c>
      <c r="BZ1403" t="s">
        <v>167</v>
      </c>
      <c r="CA1403" t="str">
        <f t="shared" si="108"/>
        <v>7/1/2020 - 6/30/2021</v>
      </c>
      <c r="CF1403">
        <v>3</v>
      </c>
      <c r="CG1403" t="s">
        <v>98</v>
      </c>
      <c r="CH1403" t="s">
        <v>98</v>
      </c>
      <c r="CI1403" t="s">
        <v>206</v>
      </c>
      <c r="CJ1403" t="s">
        <v>98</v>
      </c>
      <c r="CK1403" t="s">
        <v>12323</v>
      </c>
      <c r="CL1403" t="s">
        <v>108</v>
      </c>
      <c r="CM1403" t="s">
        <v>109</v>
      </c>
      <c r="CN1403" t="str">
        <f>""</f>
        <v/>
      </c>
      <c r="CO1403" t="str">
        <f>""</f>
        <v/>
      </c>
      <c r="CP1403" t="str">
        <f>""</f>
        <v/>
      </c>
      <c r="CQ1403" t="str">
        <f>""</f>
        <v/>
      </c>
    </row>
    <row r="1404" spans="1:96" x14ac:dyDescent="0.2">
      <c r="A1404" t="s">
        <v>9929</v>
      </c>
      <c r="B1404" t="s">
        <v>96</v>
      </c>
      <c r="C1404" s="1">
        <v>44099</v>
      </c>
      <c r="D1404" s="1">
        <v>44106</v>
      </c>
      <c r="F1404" t="s">
        <v>97</v>
      </c>
      <c r="G1404" t="str">
        <f>"Senior Professional System Administrator"</f>
        <v>Senior Professional System Administrator</v>
      </c>
      <c r="H1404" t="s">
        <v>12187</v>
      </c>
      <c r="I1404" t="s">
        <v>331</v>
      </c>
      <c r="J1404" t="s">
        <v>98</v>
      </c>
      <c r="K1404" s="1">
        <v>44106</v>
      </c>
      <c r="L1404" s="1">
        <v>45201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 t="s">
        <v>9930</v>
      </c>
      <c r="U1404" t="str">
        <f>""</f>
        <v/>
      </c>
      <c r="V1404" t="s">
        <v>9163</v>
      </c>
      <c r="W1404" t="str">
        <f>"SUITE 131"</f>
        <v>SUITE 131</v>
      </c>
      <c r="X1404" t="s">
        <v>1497</v>
      </c>
      <c r="Y1404" t="s">
        <v>265</v>
      </c>
      <c r="Z1404" s="3">
        <v>48335</v>
      </c>
      <c r="AA1404" t="s">
        <v>101</v>
      </c>
      <c r="AC1404" s="4" t="str">
        <f>"+12489875712"</f>
        <v>+12489875712</v>
      </c>
      <c r="AE1404" t="str">
        <f>"541511"</f>
        <v>541511</v>
      </c>
      <c r="AF1404" t="s">
        <v>183</v>
      </c>
      <c r="AG1404" t="s">
        <v>9931</v>
      </c>
      <c r="AI1404" t="s">
        <v>2882</v>
      </c>
      <c r="AJ1404" t="s">
        <v>9163</v>
      </c>
      <c r="AK1404" t="str">
        <f>"SUITE 131"</f>
        <v>SUITE 131</v>
      </c>
      <c r="AL1404" t="s">
        <v>1497</v>
      </c>
      <c r="AM1404" t="s">
        <v>265</v>
      </c>
      <c r="AN1404" s="3">
        <v>48335</v>
      </c>
      <c r="AO1404" t="s">
        <v>101</v>
      </c>
      <c r="AQ1404" t="str">
        <f>"+12488764039"</f>
        <v>+12488764039</v>
      </c>
      <c r="AS1404" t="s">
        <v>9932</v>
      </c>
      <c r="AT1404" t="s">
        <v>102</v>
      </c>
      <c r="AU1404" t="str">
        <f>""</f>
        <v/>
      </c>
      <c r="AV1404" t="str">
        <f>""</f>
        <v/>
      </c>
      <c r="AW1404" t="str">
        <f>""</f>
        <v/>
      </c>
      <c r="AX1404" t="str">
        <f>""</f>
        <v/>
      </c>
      <c r="AY1404" t="str">
        <f>""</f>
        <v/>
      </c>
      <c r="AZ1404" t="str">
        <f>""</f>
        <v/>
      </c>
      <c r="BA1404" t="str">
        <f>""</f>
        <v/>
      </c>
      <c r="BC1404" t="str">
        <f>""</f>
        <v/>
      </c>
      <c r="BD1404" t="str">
        <f>""</f>
        <v/>
      </c>
      <c r="BE1404" t="str">
        <f>""</f>
        <v/>
      </c>
      <c r="BF1404" t="str">
        <f>""</f>
        <v/>
      </c>
      <c r="BG1404" t="str">
        <f>""</f>
        <v/>
      </c>
      <c r="BH1404" t="str">
        <f>""</f>
        <v/>
      </c>
      <c r="BI1404" t="str">
        <f>""</f>
        <v/>
      </c>
      <c r="BJ1404" t="str">
        <f>""</f>
        <v/>
      </c>
      <c r="BK1404">
        <v>1</v>
      </c>
      <c r="BL1404" t="s">
        <v>107</v>
      </c>
      <c r="BM1404" t="str">
        <f>"Toyota Motors"</f>
        <v>Toyota Motors</v>
      </c>
      <c r="BN1404" t="s">
        <v>757</v>
      </c>
      <c r="BP1404" t="s">
        <v>297</v>
      </c>
      <c r="BQ1404" t="s">
        <v>556</v>
      </c>
      <c r="BR1404" t="s">
        <v>114</v>
      </c>
      <c r="BS1404" s="5">
        <v>75024</v>
      </c>
      <c r="BT1404" s="2">
        <v>77400</v>
      </c>
      <c r="BV1404" t="s">
        <v>105</v>
      </c>
      <c r="BW1404" s="2">
        <v>77334</v>
      </c>
      <c r="BX1404" t="s">
        <v>105</v>
      </c>
      <c r="BZ1404" t="s">
        <v>167</v>
      </c>
      <c r="CA1404" t="str">
        <f t="shared" si="108"/>
        <v>7/1/2020 - 6/30/2021</v>
      </c>
      <c r="CF1404">
        <v>2</v>
      </c>
      <c r="CG1404" t="s">
        <v>98</v>
      </c>
      <c r="CH1404" t="s">
        <v>98</v>
      </c>
      <c r="CI1404" t="s">
        <v>206</v>
      </c>
      <c r="CJ1404" t="s">
        <v>98</v>
      </c>
      <c r="CK1404" t="s">
        <v>12323</v>
      </c>
      <c r="CL1404" t="s">
        <v>108</v>
      </c>
      <c r="CM1404" t="s">
        <v>109</v>
      </c>
      <c r="CN1404" t="str">
        <f>""</f>
        <v/>
      </c>
      <c r="CO1404" t="str">
        <f>""</f>
        <v/>
      </c>
      <c r="CP1404" t="str">
        <f>""</f>
        <v/>
      </c>
      <c r="CQ1404" t="str">
        <f>""</f>
        <v/>
      </c>
    </row>
    <row r="1405" spans="1:96" x14ac:dyDescent="0.2">
      <c r="A1405" t="s">
        <v>10017</v>
      </c>
      <c r="B1405" t="s">
        <v>96</v>
      </c>
      <c r="C1405" s="1">
        <v>44099</v>
      </c>
      <c r="D1405" s="1">
        <v>44106</v>
      </c>
      <c r="F1405" t="s">
        <v>97</v>
      </c>
      <c r="G1405" t="str">
        <f>"SOFTWARE DEVELOPER"</f>
        <v>SOFTWARE DEVELOPER</v>
      </c>
      <c r="H1405" t="s">
        <v>12169</v>
      </c>
      <c r="I1405" t="s">
        <v>124</v>
      </c>
      <c r="J1405" t="s">
        <v>98</v>
      </c>
      <c r="K1405" s="1">
        <v>44105</v>
      </c>
      <c r="L1405" s="1">
        <v>45199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 t="s">
        <v>4272</v>
      </c>
      <c r="U1405" t="str">
        <f>""</f>
        <v/>
      </c>
      <c r="V1405" t="s">
        <v>4273</v>
      </c>
      <c r="W1405" t="str">
        <f>"SUITE 204"</f>
        <v>SUITE 204</v>
      </c>
      <c r="X1405" t="s">
        <v>423</v>
      </c>
      <c r="Y1405" t="s">
        <v>345</v>
      </c>
      <c r="Z1405" s="3">
        <v>60195</v>
      </c>
      <c r="AA1405" t="s">
        <v>101</v>
      </c>
      <c r="AC1405" s="4" t="str">
        <f>"+18474661067"</f>
        <v>+18474661067</v>
      </c>
      <c r="AE1405" t="str">
        <f>"541511"</f>
        <v>541511</v>
      </c>
      <c r="AF1405" t="s">
        <v>4274</v>
      </c>
      <c r="AG1405" t="s">
        <v>4275</v>
      </c>
      <c r="AI1405" t="s">
        <v>4276</v>
      </c>
      <c r="AJ1405" t="s">
        <v>4277</v>
      </c>
      <c r="AK1405" t="str">
        <f>"SUITE 204"</f>
        <v>SUITE 204</v>
      </c>
      <c r="AL1405" t="s">
        <v>423</v>
      </c>
      <c r="AM1405" t="s">
        <v>345</v>
      </c>
      <c r="AN1405" s="3">
        <v>60195</v>
      </c>
      <c r="AO1405" t="s">
        <v>101</v>
      </c>
      <c r="AQ1405" t="str">
        <f>"+18474661067"</f>
        <v>+18474661067</v>
      </c>
      <c r="AS1405" t="s">
        <v>4278</v>
      </c>
      <c r="AT1405" t="s">
        <v>102</v>
      </c>
      <c r="AU1405" t="str">
        <f>""</f>
        <v/>
      </c>
      <c r="AV1405" t="str">
        <f>""</f>
        <v/>
      </c>
      <c r="AW1405" t="str">
        <f>""</f>
        <v/>
      </c>
      <c r="AX1405" t="str">
        <f>""</f>
        <v/>
      </c>
      <c r="AY1405" t="str">
        <f>""</f>
        <v/>
      </c>
      <c r="AZ1405" t="str">
        <f>""</f>
        <v/>
      </c>
      <c r="BA1405" t="str">
        <f>""</f>
        <v/>
      </c>
      <c r="BC1405" t="str">
        <f>""</f>
        <v/>
      </c>
      <c r="BD1405" t="str">
        <f>""</f>
        <v/>
      </c>
      <c r="BE1405" t="str">
        <f>""</f>
        <v/>
      </c>
      <c r="BF1405" t="str">
        <f>""</f>
        <v/>
      </c>
      <c r="BG1405" t="str">
        <f>""</f>
        <v/>
      </c>
      <c r="BH1405" t="str">
        <f>""</f>
        <v/>
      </c>
      <c r="BI1405" t="str">
        <f>""</f>
        <v/>
      </c>
      <c r="BJ1405" t="str">
        <f>""</f>
        <v/>
      </c>
      <c r="BK1405">
        <v>1</v>
      </c>
      <c r="BL1405" t="s">
        <v>107</v>
      </c>
      <c r="BM1405" t="str">
        <f>"UNITED SERVICES AUTOMOBILE ASSOCIATION"</f>
        <v>UNITED SERVICES AUTOMOBILE ASSOCIATION</v>
      </c>
      <c r="BN1405" t="s">
        <v>7342</v>
      </c>
      <c r="BP1405" t="s">
        <v>3985</v>
      </c>
      <c r="BQ1405" t="s">
        <v>1513</v>
      </c>
      <c r="BR1405" t="s">
        <v>114</v>
      </c>
      <c r="BS1405" s="5">
        <v>78288</v>
      </c>
      <c r="BT1405" s="2">
        <v>91562</v>
      </c>
      <c r="BU1405" s="2">
        <v>106000</v>
      </c>
      <c r="BV1405" t="s">
        <v>105</v>
      </c>
      <c r="BW1405" s="2">
        <v>91562</v>
      </c>
      <c r="BX1405" t="s">
        <v>105</v>
      </c>
      <c r="BZ1405" t="s">
        <v>167</v>
      </c>
      <c r="CA1405" t="str">
        <f t="shared" si="108"/>
        <v>7/1/2020 - 6/30/2021</v>
      </c>
      <c r="CF1405">
        <v>2</v>
      </c>
      <c r="CG1405" t="s">
        <v>98</v>
      </c>
      <c r="CH1405" t="s">
        <v>98</v>
      </c>
      <c r="CI1405" t="s">
        <v>206</v>
      </c>
      <c r="CJ1405" t="s">
        <v>98</v>
      </c>
      <c r="CK1405" t="s">
        <v>12323</v>
      </c>
      <c r="CL1405" t="s">
        <v>108</v>
      </c>
      <c r="CM1405" t="s">
        <v>109</v>
      </c>
      <c r="CN1405" t="str">
        <f>"CHAWLA"</f>
        <v>CHAWLA</v>
      </c>
      <c r="CO1405" t="str">
        <f>"RISHAB"</f>
        <v>RISHAB</v>
      </c>
      <c r="CP1405" t="str">
        <f>""</f>
        <v/>
      </c>
      <c r="CQ1405" t="str">
        <f>"GLOBAL INFOTECH INC"</f>
        <v>GLOBAL INFOTECH INC</v>
      </c>
      <c r="CR1405" t="s">
        <v>4278</v>
      </c>
    </row>
    <row r="1406" spans="1:96" x14ac:dyDescent="0.2">
      <c r="A1406" t="s">
        <v>10029</v>
      </c>
      <c r="B1406" t="s">
        <v>96</v>
      </c>
      <c r="C1406" s="1">
        <v>44099</v>
      </c>
      <c r="D1406" s="1">
        <v>44106</v>
      </c>
      <c r="F1406" t="s">
        <v>97</v>
      </c>
      <c r="G1406" t="str">
        <f>"Senior Systems Analyst JC60"</f>
        <v>Senior Systems Analyst JC60</v>
      </c>
      <c r="H1406" t="s">
        <v>12181</v>
      </c>
      <c r="I1406" t="s">
        <v>110</v>
      </c>
      <c r="J1406" t="s">
        <v>98</v>
      </c>
      <c r="K1406" s="1">
        <v>44276</v>
      </c>
      <c r="L1406" s="1">
        <v>45371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 t="s">
        <v>111</v>
      </c>
      <c r="U1406" t="str">
        <f>"CTSUS"</f>
        <v>CTSUS</v>
      </c>
      <c r="V1406" t="s">
        <v>112</v>
      </c>
      <c r="W1406" t="str">
        <f>""</f>
        <v/>
      </c>
      <c r="X1406" t="s">
        <v>113</v>
      </c>
      <c r="Y1406" t="s">
        <v>114</v>
      </c>
      <c r="Z1406" s="3">
        <v>77845</v>
      </c>
      <c r="AA1406" t="s">
        <v>101</v>
      </c>
      <c r="AB1406" t="s">
        <v>114</v>
      </c>
      <c r="AC1406" s="4" t="str">
        <f>"+19793296682"</f>
        <v>+19793296682</v>
      </c>
      <c r="AE1406" t="str">
        <f>"541512"</f>
        <v>541512</v>
      </c>
      <c r="AF1406" t="s">
        <v>115</v>
      </c>
      <c r="AG1406" t="s">
        <v>116</v>
      </c>
      <c r="AH1406" t="s">
        <v>108</v>
      </c>
      <c r="AI1406" t="s">
        <v>117</v>
      </c>
      <c r="AJ1406" t="s">
        <v>118</v>
      </c>
      <c r="AK1406" t="str">
        <f>""</f>
        <v/>
      </c>
      <c r="AL1406" t="s">
        <v>119</v>
      </c>
      <c r="AM1406" t="s">
        <v>114</v>
      </c>
      <c r="AN1406" s="3">
        <v>77845</v>
      </c>
      <c r="AO1406" t="s">
        <v>101</v>
      </c>
      <c r="AQ1406" t="str">
        <f>"+19793296682"</f>
        <v>+19793296682</v>
      </c>
      <c r="AS1406" t="s">
        <v>120</v>
      </c>
      <c r="AT1406" t="s">
        <v>102</v>
      </c>
      <c r="AU1406" t="str">
        <f>""</f>
        <v/>
      </c>
      <c r="AV1406" t="str">
        <f>""</f>
        <v/>
      </c>
      <c r="AW1406" t="str">
        <f>""</f>
        <v/>
      </c>
      <c r="AX1406" t="str">
        <f>""</f>
        <v/>
      </c>
      <c r="AY1406" t="str">
        <f>""</f>
        <v/>
      </c>
      <c r="AZ1406" t="str">
        <f>""</f>
        <v/>
      </c>
      <c r="BA1406" t="str">
        <f>""</f>
        <v/>
      </c>
      <c r="BC1406" t="str">
        <f>""</f>
        <v/>
      </c>
      <c r="BD1406" t="str">
        <f>""</f>
        <v/>
      </c>
      <c r="BE1406" t="str">
        <f>""</f>
        <v/>
      </c>
      <c r="BF1406" t="str">
        <f>""</f>
        <v/>
      </c>
      <c r="BG1406" t="str">
        <f>""</f>
        <v/>
      </c>
      <c r="BH1406" t="str">
        <f>""</f>
        <v/>
      </c>
      <c r="BI1406" t="str">
        <f>""</f>
        <v/>
      </c>
      <c r="BJ1406" t="str">
        <f>""</f>
        <v/>
      </c>
      <c r="BK1406">
        <v>1</v>
      </c>
      <c r="BL1406" t="s">
        <v>102</v>
      </c>
      <c r="BM1406" t="str">
        <f>""</f>
        <v/>
      </c>
      <c r="BN1406" t="s">
        <v>10030</v>
      </c>
      <c r="BP1406" t="s">
        <v>223</v>
      </c>
      <c r="BQ1406" t="s">
        <v>224</v>
      </c>
      <c r="BR1406" t="s">
        <v>225</v>
      </c>
      <c r="BS1406" s="5">
        <v>43016</v>
      </c>
      <c r="BT1406" s="2">
        <v>78125</v>
      </c>
      <c r="BV1406" t="s">
        <v>105</v>
      </c>
      <c r="BW1406" s="2">
        <v>78125</v>
      </c>
      <c r="BX1406" t="s">
        <v>105</v>
      </c>
      <c r="BZ1406" t="s">
        <v>167</v>
      </c>
      <c r="CA1406" t="str">
        <f t="shared" si="108"/>
        <v>7/1/2020 - 6/30/2021</v>
      </c>
      <c r="CF1406">
        <v>1</v>
      </c>
      <c r="CG1406" t="s">
        <v>98</v>
      </c>
      <c r="CH1406" t="s">
        <v>98</v>
      </c>
      <c r="CI1406" t="s">
        <v>206</v>
      </c>
      <c r="CJ1406" t="s">
        <v>98</v>
      </c>
      <c r="CK1406" t="s">
        <v>12323</v>
      </c>
      <c r="CL1406" t="s">
        <v>108</v>
      </c>
      <c r="CM1406" t="s">
        <v>109</v>
      </c>
      <c r="CN1406" t="str">
        <f>""</f>
        <v/>
      </c>
      <c r="CO1406" t="str">
        <f>""</f>
        <v/>
      </c>
      <c r="CP1406" t="str">
        <f>""</f>
        <v/>
      </c>
      <c r="CQ1406" t="str">
        <f>""</f>
        <v/>
      </c>
    </row>
    <row r="1407" spans="1:96" x14ac:dyDescent="0.2">
      <c r="A1407" t="s">
        <v>10044</v>
      </c>
      <c r="B1407" t="s">
        <v>96</v>
      </c>
      <c r="C1407" s="1">
        <v>44099</v>
      </c>
      <c r="D1407" s="1">
        <v>44106</v>
      </c>
      <c r="F1407" t="s">
        <v>97</v>
      </c>
      <c r="G1407" t="str">
        <f>"Staff Systems Test Engineer"</f>
        <v>Staff Systems Test Engineer</v>
      </c>
      <c r="H1407" t="s">
        <v>12176</v>
      </c>
      <c r="I1407" t="s">
        <v>246</v>
      </c>
      <c r="J1407" t="s">
        <v>98</v>
      </c>
      <c r="K1407" s="1">
        <v>44265</v>
      </c>
      <c r="L1407" s="1">
        <v>45360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 t="s">
        <v>283</v>
      </c>
      <c r="U1407" t="str">
        <f>""</f>
        <v/>
      </c>
      <c r="V1407" t="s">
        <v>284</v>
      </c>
      <c r="W1407" t="str">
        <f>""</f>
        <v/>
      </c>
      <c r="X1407" t="s">
        <v>157</v>
      </c>
      <c r="Y1407" t="s">
        <v>141</v>
      </c>
      <c r="Z1407" s="3">
        <v>92121</v>
      </c>
      <c r="AA1407" t="s">
        <v>101</v>
      </c>
      <c r="AC1407" s="4" t="str">
        <f>"+18584722865"</f>
        <v>+18584722865</v>
      </c>
      <c r="AE1407" t="str">
        <f>"334220"</f>
        <v>334220</v>
      </c>
      <c r="AF1407" t="s">
        <v>285</v>
      </c>
      <c r="AG1407" t="s">
        <v>286</v>
      </c>
      <c r="AI1407" t="s">
        <v>287</v>
      </c>
      <c r="AJ1407" t="s">
        <v>284</v>
      </c>
      <c r="AK1407" t="str">
        <f>""</f>
        <v/>
      </c>
      <c r="AL1407" t="s">
        <v>157</v>
      </c>
      <c r="AM1407" t="s">
        <v>141</v>
      </c>
      <c r="AN1407" s="3">
        <v>92121</v>
      </c>
      <c r="AO1407" t="s">
        <v>101</v>
      </c>
      <c r="AQ1407" t="str">
        <f>"+18588453309"</f>
        <v>+18588453309</v>
      </c>
      <c r="AR1407">
        <v>0</v>
      </c>
      <c r="AS1407" t="s">
        <v>288</v>
      </c>
      <c r="AT1407" t="s">
        <v>107</v>
      </c>
      <c r="AU1407" t="str">
        <f>"FAURE WENGER"</f>
        <v>FAURE WENGER</v>
      </c>
      <c r="AV1407" t="str">
        <f>"KARINE"</f>
        <v>KARINE</v>
      </c>
      <c r="AW1407" t="str">
        <f>"ISABELLE"</f>
        <v>ISABELLE</v>
      </c>
      <c r="AX1407" t="str">
        <f>"P.O. BOX 910129"</f>
        <v>P.O. BOX 910129</v>
      </c>
      <c r="AY1407" t="str">
        <f>""</f>
        <v/>
      </c>
      <c r="AZ1407" t="str">
        <f>"SAN DIEGO"</f>
        <v>SAN DIEGO</v>
      </c>
      <c r="BA1407" t="str">
        <f>"CA"</f>
        <v>CA</v>
      </c>
      <c r="BB1407" s="3">
        <v>92191</v>
      </c>
      <c r="BC1407" t="str">
        <f>"UNITED STATES OF AMERICA"</f>
        <v>UNITED STATES OF AMERICA</v>
      </c>
      <c r="BD1407" t="str">
        <f>""</f>
        <v/>
      </c>
      <c r="BE1407" t="str">
        <f>"+18587931600"</f>
        <v>+18587931600</v>
      </c>
      <c r="BF1407" t="str">
        <f>""</f>
        <v/>
      </c>
      <c r="BG1407" t="str">
        <f>"bethany.elizardo@fragomen.com"</f>
        <v>bethany.elizardo@fragomen.com</v>
      </c>
      <c r="BH1407" t="str">
        <f>"Fragomen, Del Rey, Bernsen and Loewy, LLP"</f>
        <v>Fragomen, Del Rey, Bernsen and Loewy, LLP</v>
      </c>
      <c r="BI1407" t="str">
        <f>"CA"</f>
        <v>CA</v>
      </c>
      <c r="BJ1407" t="str">
        <f>"Supreme Court"</f>
        <v>Supreme Court</v>
      </c>
      <c r="BK1407">
        <v>1</v>
      </c>
      <c r="BL1407" t="s">
        <v>102</v>
      </c>
      <c r="BM1407" t="str">
        <f>""</f>
        <v/>
      </c>
      <c r="BN1407" t="s">
        <v>10045</v>
      </c>
      <c r="BO1407" t="s">
        <v>10046</v>
      </c>
      <c r="BP1407" t="s">
        <v>157</v>
      </c>
      <c r="BQ1407" t="s">
        <v>158</v>
      </c>
      <c r="BR1407" t="s">
        <v>141</v>
      </c>
      <c r="BS1407" s="5">
        <v>92129</v>
      </c>
      <c r="BT1407" s="2">
        <v>117021</v>
      </c>
      <c r="BU1407" s="2">
        <v>172000</v>
      </c>
      <c r="BV1407" t="s">
        <v>105</v>
      </c>
      <c r="BW1407" s="2">
        <v>117021</v>
      </c>
      <c r="BX1407" t="s">
        <v>105</v>
      </c>
      <c r="BZ1407" t="s">
        <v>123</v>
      </c>
      <c r="CA1407" t="str">
        <f t="shared" si="108"/>
        <v>7/1/2020 - 6/30/2021</v>
      </c>
      <c r="CF1407">
        <v>1</v>
      </c>
      <c r="CG1407" t="s">
        <v>98</v>
      </c>
      <c r="CH1407" t="s">
        <v>98</v>
      </c>
      <c r="CI1407" t="s">
        <v>206</v>
      </c>
      <c r="CJ1407" t="s">
        <v>98</v>
      </c>
      <c r="CK1407" t="s">
        <v>12323</v>
      </c>
      <c r="CL1407" t="s">
        <v>108</v>
      </c>
      <c r="CM1407" t="s">
        <v>109</v>
      </c>
      <c r="CN1407" t="str">
        <f>""</f>
        <v/>
      </c>
      <c r="CO1407" t="str">
        <f>""</f>
        <v/>
      </c>
      <c r="CP1407" t="str">
        <f>""</f>
        <v/>
      </c>
      <c r="CQ1407" t="str">
        <f>""</f>
        <v/>
      </c>
    </row>
    <row r="1408" spans="1:96" x14ac:dyDescent="0.2">
      <c r="A1408" t="s">
        <v>10088</v>
      </c>
      <c r="B1408" t="s">
        <v>96</v>
      </c>
      <c r="C1408" s="1">
        <v>44099</v>
      </c>
      <c r="D1408" s="1">
        <v>44106</v>
      </c>
      <c r="F1408" t="s">
        <v>97</v>
      </c>
      <c r="G1408" t="str">
        <f>"SOFTWARE ENGINEER"</f>
        <v>SOFTWARE ENGINEER</v>
      </c>
      <c r="H1408" t="s">
        <v>12169</v>
      </c>
      <c r="I1408" t="s">
        <v>124</v>
      </c>
      <c r="J1408" t="s">
        <v>98</v>
      </c>
      <c r="K1408" s="1">
        <v>44116</v>
      </c>
      <c r="L1408" s="1">
        <v>45210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 t="s">
        <v>4967</v>
      </c>
      <c r="U1408" t="str">
        <f>""</f>
        <v/>
      </c>
      <c r="V1408" t="s">
        <v>4968</v>
      </c>
      <c r="W1408" t="str">
        <f>""</f>
        <v/>
      </c>
      <c r="X1408" t="s">
        <v>2877</v>
      </c>
      <c r="Y1408" t="s">
        <v>258</v>
      </c>
      <c r="Z1408" s="3">
        <v>85226</v>
      </c>
      <c r="AA1408" t="s">
        <v>101</v>
      </c>
      <c r="AC1408" s="4" t="str">
        <f>"+14802405241"</f>
        <v>+14802405241</v>
      </c>
      <c r="AE1408" t="str">
        <f>"541511"</f>
        <v>541511</v>
      </c>
      <c r="AF1408" t="s">
        <v>4969</v>
      </c>
      <c r="AG1408" t="s">
        <v>4970</v>
      </c>
      <c r="AH1408" t="s">
        <v>108</v>
      </c>
      <c r="AI1408" t="s">
        <v>188</v>
      </c>
      <c r="AJ1408" t="s">
        <v>4968</v>
      </c>
      <c r="AK1408" t="str">
        <f>""</f>
        <v/>
      </c>
      <c r="AL1408" t="s">
        <v>2877</v>
      </c>
      <c r="AM1408" t="s">
        <v>258</v>
      </c>
      <c r="AN1408" s="3">
        <v>85226</v>
      </c>
      <c r="AO1408" t="s">
        <v>101</v>
      </c>
      <c r="AQ1408" t="str">
        <f>"+14802405241"</f>
        <v>+14802405241</v>
      </c>
      <c r="AS1408" t="s">
        <v>4971</v>
      </c>
      <c r="AT1408" t="s">
        <v>107</v>
      </c>
      <c r="AU1408" t="str">
        <f>"WALKER"</f>
        <v>WALKER</v>
      </c>
      <c r="AV1408" t="str">
        <f>"JIHAN"</f>
        <v>JIHAN</v>
      </c>
      <c r="AW1408" t="str">
        <f>"ADELE LUTFALLAH"</f>
        <v>ADELE LUTFALLAH</v>
      </c>
      <c r="AX1408" t="str">
        <f>"30445 NORTHWESTERN HIGHWAY"</f>
        <v>30445 NORTHWESTERN HIGHWAY</v>
      </c>
      <c r="AY1408" t="str">
        <f>"SUITE 345"</f>
        <v>SUITE 345</v>
      </c>
      <c r="AZ1408" t="str">
        <f>"FARMINGTON HILLS"</f>
        <v>FARMINGTON HILLS</v>
      </c>
      <c r="BA1408" t="str">
        <f>"MI"</f>
        <v>MI</v>
      </c>
      <c r="BB1408" s="3">
        <v>48334</v>
      </c>
      <c r="BC1408" t="str">
        <f>"UNITED STATES OF AMERICA"</f>
        <v>UNITED STATES OF AMERICA</v>
      </c>
      <c r="BD1408" t="str">
        <f>""</f>
        <v/>
      </c>
      <c r="BE1408" t="str">
        <f>"+12489328776"</f>
        <v>+12489328776</v>
      </c>
      <c r="BF1408" t="str">
        <f>""</f>
        <v/>
      </c>
      <c r="BG1408" t="str">
        <f>"JIHAN@KMWLAWOFFICES.COM"</f>
        <v>JIHAN@KMWLAWOFFICES.COM</v>
      </c>
      <c r="BH1408" t="str">
        <f>"LAW OFFICES OF KEVIN M. WILHELMI"</f>
        <v>LAW OFFICES OF KEVIN M. WILHELMI</v>
      </c>
      <c r="BI1408" t="str">
        <f>"MI"</f>
        <v>MI</v>
      </c>
      <c r="BJ1408" t="str">
        <f>"MICHIGAN SUPREME COURT"</f>
        <v>MICHIGAN SUPREME COURT</v>
      </c>
      <c r="BK1408">
        <v>1</v>
      </c>
      <c r="BL1408" t="s">
        <v>107</v>
      </c>
      <c r="BM1408" t="str">
        <f>"MOHIT SINGH'S HOME RESIDENCE"</f>
        <v>MOHIT SINGH'S HOME RESIDENCE</v>
      </c>
      <c r="BN1408" t="s">
        <v>10089</v>
      </c>
      <c r="BO1408" t="s">
        <v>10090</v>
      </c>
      <c r="BP1408" t="s">
        <v>831</v>
      </c>
      <c r="BQ1408" t="s">
        <v>257</v>
      </c>
      <c r="BR1408" t="s">
        <v>258</v>
      </c>
      <c r="BS1408" s="5">
        <v>85032</v>
      </c>
      <c r="BT1408" s="2">
        <v>83637</v>
      </c>
      <c r="BU1408" s="2">
        <v>95000</v>
      </c>
      <c r="BV1408" t="s">
        <v>105</v>
      </c>
      <c r="BW1408" s="2">
        <v>83637</v>
      </c>
      <c r="BX1408" t="s">
        <v>105</v>
      </c>
      <c r="BZ1408" t="s">
        <v>167</v>
      </c>
      <c r="CA1408" t="str">
        <f t="shared" si="108"/>
        <v>7/1/2020 - 6/30/2021</v>
      </c>
      <c r="CF1408">
        <v>2</v>
      </c>
      <c r="CG1408" t="s">
        <v>98</v>
      </c>
      <c r="CH1408" t="s">
        <v>98</v>
      </c>
      <c r="CI1408" t="s">
        <v>206</v>
      </c>
      <c r="CJ1408" t="s">
        <v>98</v>
      </c>
      <c r="CK1408" t="s">
        <v>12323</v>
      </c>
      <c r="CL1408" t="s">
        <v>108</v>
      </c>
      <c r="CM1408" t="s">
        <v>109</v>
      </c>
      <c r="CN1408" t="str">
        <f>"WALKER"</f>
        <v>WALKER</v>
      </c>
      <c r="CO1408" t="str">
        <f>"JIHAN"</f>
        <v>JIHAN</v>
      </c>
      <c r="CP1408" t="str">
        <f>"A.L"</f>
        <v>A.L</v>
      </c>
      <c r="CQ1408" t="str">
        <f>"THE LAW OFFICES OF KEVIN M. WILHELMI"</f>
        <v>THE LAW OFFICES OF KEVIN M. WILHELMI</v>
      </c>
      <c r="CR1408" t="s">
        <v>1178</v>
      </c>
    </row>
    <row r="1409" spans="1:96" x14ac:dyDescent="0.2">
      <c r="A1409" t="s">
        <v>10148</v>
      </c>
      <c r="B1409" t="s">
        <v>96</v>
      </c>
      <c r="C1409" s="1">
        <v>44099</v>
      </c>
      <c r="D1409" s="1">
        <v>44106</v>
      </c>
      <c r="F1409" t="s">
        <v>97</v>
      </c>
      <c r="G1409" t="str">
        <f>"Mechanical Engineer"</f>
        <v>Mechanical Engineer</v>
      </c>
      <c r="H1409" t="s">
        <v>12196</v>
      </c>
      <c r="I1409" t="s">
        <v>322</v>
      </c>
      <c r="J1409" t="s">
        <v>98</v>
      </c>
      <c r="K1409" s="1">
        <v>44208</v>
      </c>
      <c r="L1409" s="1">
        <v>45302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 t="s">
        <v>1824</v>
      </c>
      <c r="U1409" t="str">
        <f>"ETA, Inc"</f>
        <v>ETA, Inc</v>
      </c>
      <c r="V1409" t="s">
        <v>8591</v>
      </c>
      <c r="W1409" t="str">
        <f>"Suite 200"</f>
        <v>Suite 200</v>
      </c>
      <c r="X1409" t="s">
        <v>348</v>
      </c>
      <c r="Y1409" t="s">
        <v>265</v>
      </c>
      <c r="Z1409" s="3">
        <v>48083</v>
      </c>
      <c r="AA1409" t="s">
        <v>101</v>
      </c>
      <c r="AC1409" s="4" t="str">
        <f>"+12487293010"</f>
        <v>+12487293010</v>
      </c>
      <c r="AD1409">
        <v>200</v>
      </c>
      <c r="AE1409" t="str">
        <f>"541330"</f>
        <v>541330</v>
      </c>
      <c r="AF1409" t="s">
        <v>1826</v>
      </c>
      <c r="AG1409" t="s">
        <v>1827</v>
      </c>
      <c r="AI1409" t="s">
        <v>1342</v>
      </c>
      <c r="AJ1409" t="s">
        <v>1825</v>
      </c>
      <c r="AK1409" t="str">
        <f>"Suite 200"</f>
        <v>Suite 200</v>
      </c>
      <c r="AL1409" t="s">
        <v>348</v>
      </c>
      <c r="AM1409" t="s">
        <v>265</v>
      </c>
      <c r="AN1409" s="3">
        <v>48083</v>
      </c>
      <c r="AO1409" t="s">
        <v>101</v>
      </c>
      <c r="AQ1409" t="str">
        <f>"+12487293010"</f>
        <v>+12487293010</v>
      </c>
      <c r="AR1409">
        <v>200</v>
      </c>
      <c r="AS1409" t="s">
        <v>1828</v>
      </c>
      <c r="AT1409" t="s">
        <v>102</v>
      </c>
      <c r="AU1409" t="str">
        <f>""</f>
        <v/>
      </c>
      <c r="AV1409" t="str">
        <f>""</f>
        <v/>
      </c>
      <c r="AW1409" t="str">
        <f>""</f>
        <v/>
      </c>
      <c r="AX1409" t="str">
        <f>""</f>
        <v/>
      </c>
      <c r="AY1409" t="str">
        <f>""</f>
        <v/>
      </c>
      <c r="AZ1409" t="str">
        <f>""</f>
        <v/>
      </c>
      <c r="BA1409" t="str">
        <f>""</f>
        <v/>
      </c>
      <c r="BC1409" t="str">
        <f>""</f>
        <v/>
      </c>
      <c r="BD1409" t="str">
        <f>""</f>
        <v/>
      </c>
      <c r="BE1409" t="str">
        <f>""</f>
        <v/>
      </c>
      <c r="BF1409" t="str">
        <f>""</f>
        <v/>
      </c>
      <c r="BG1409" t="str">
        <f>""</f>
        <v/>
      </c>
      <c r="BH1409" t="str">
        <f>""</f>
        <v/>
      </c>
      <c r="BI1409" t="str">
        <f>""</f>
        <v/>
      </c>
      <c r="BJ1409" t="str">
        <f>""</f>
        <v/>
      </c>
      <c r="BK1409">
        <v>1</v>
      </c>
      <c r="BL1409" t="s">
        <v>107</v>
      </c>
      <c r="BM1409" t="str">
        <f>"Ford Motor Company"</f>
        <v>Ford Motor Company</v>
      </c>
      <c r="BN1409" t="s">
        <v>7584</v>
      </c>
      <c r="BP1409" t="s">
        <v>1240</v>
      </c>
      <c r="BQ1409" t="s">
        <v>533</v>
      </c>
      <c r="BR1409" t="s">
        <v>265</v>
      </c>
      <c r="BS1409" s="5">
        <v>48124</v>
      </c>
      <c r="BT1409" s="2">
        <v>46.76</v>
      </c>
      <c r="BV1409" t="s">
        <v>210</v>
      </c>
      <c r="BW1409" s="2">
        <v>46.76</v>
      </c>
      <c r="BX1409" t="s">
        <v>210</v>
      </c>
      <c r="BZ1409" t="s">
        <v>123</v>
      </c>
      <c r="CA1409" t="str">
        <f t="shared" si="108"/>
        <v>7/1/2020 - 6/30/2021</v>
      </c>
      <c r="CF1409">
        <v>1</v>
      </c>
      <c r="CG1409" t="s">
        <v>98</v>
      </c>
      <c r="CH1409" t="s">
        <v>98</v>
      </c>
      <c r="CI1409" t="s">
        <v>206</v>
      </c>
      <c r="CJ1409" t="s">
        <v>98</v>
      </c>
      <c r="CK1409" t="s">
        <v>12323</v>
      </c>
      <c r="CL1409" t="s">
        <v>108</v>
      </c>
      <c r="CM1409" t="s">
        <v>109</v>
      </c>
      <c r="CN1409" t="str">
        <f>""</f>
        <v/>
      </c>
      <c r="CO1409" t="str">
        <f>""</f>
        <v/>
      </c>
      <c r="CP1409" t="str">
        <f>""</f>
        <v/>
      </c>
      <c r="CQ1409" t="str">
        <f>""</f>
        <v/>
      </c>
    </row>
    <row r="1410" spans="1:96" x14ac:dyDescent="0.2">
      <c r="A1410" t="s">
        <v>10208</v>
      </c>
      <c r="B1410" t="s">
        <v>96</v>
      </c>
      <c r="C1410" s="1">
        <v>44099</v>
      </c>
      <c r="D1410" s="1">
        <v>44106</v>
      </c>
      <c r="F1410" t="s">
        <v>97</v>
      </c>
      <c r="G1410" t="str">
        <f>"SAP Basis Hana Consultant"</f>
        <v>SAP Basis Hana Consultant</v>
      </c>
      <c r="H1410" t="s">
        <v>12169</v>
      </c>
      <c r="I1410" t="s">
        <v>124</v>
      </c>
      <c r="J1410" t="s">
        <v>98</v>
      </c>
      <c r="K1410" s="1">
        <v>44109</v>
      </c>
      <c r="L1410" s="1">
        <v>45204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 t="s">
        <v>10209</v>
      </c>
      <c r="U1410" t="str">
        <f>""</f>
        <v/>
      </c>
      <c r="V1410" t="s">
        <v>10210</v>
      </c>
      <c r="W1410" t="str">
        <f>"Suite 450"</f>
        <v>Suite 450</v>
      </c>
      <c r="X1410" t="s">
        <v>483</v>
      </c>
      <c r="Y1410" t="s">
        <v>114</v>
      </c>
      <c r="Z1410" s="3">
        <v>75038</v>
      </c>
      <c r="AA1410" t="s">
        <v>101</v>
      </c>
      <c r="AC1410" s="4" t="str">
        <f>"+14696666554"</f>
        <v>+14696666554</v>
      </c>
      <c r="AE1410" t="str">
        <f>"541511"</f>
        <v>541511</v>
      </c>
      <c r="AF1410" t="s">
        <v>6360</v>
      </c>
      <c r="AG1410" t="s">
        <v>5587</v>
      </c>
      <c r="AI1410" t="s">
        <v>646</v>
      </c>
      <c r="AJ1410" t="s">
        <v>10210</v>
      </c>
      <c r="AK1410" t="str">
        <f>"Suite 450"</f>
        <v>Suite 450</v>
      </c>
      <c r="AL1410" t="s">
        <v>483</v>
      </c>
      <c r="AM1410" t="s">
        <v>114</v>
      </c>
      <c r="AN1410" s="3">
        <v>75038</v>
      </c>
      <c r="AO1410" t="s">
        <v>101</v>
      </c>
      <c r="AQ1410" t="str">
        <f>"+12162125823"</f>
        <v>+12162125823</v>
      </c>
      <c r="AS1410" t="s">
        <v>10211</v>
      </c>
      <c r="AT1410" t="s">
        <v>102</v>
      </c>
      <c r="AU1410" t="str">
        <f>""</f>
        <v/>
      </c>
      <c r="AV1410" t="str">
        <f>""</f>
        <v/>
      </c>
      <c r="AW1410" t="str">
        <f>""</f>
        <v/>
      </c>
      <c r="AX1410" t="str">
        <f>""</f>
        <v/>
      </c>
      <c r="AY1410" t="str">
        <f>""</f>
        <v/>
      </c>
      <c r="AZ1410" t="str">
        <f>""</f>
        <v/>
      </c>
      <c r="BA1410" t="str">
        <f>""</f>
        <v/>
      </c>
      <c r="BC1410" t="str">
        <f>""</f>
        <v/>
      </c>
      <c r="BD1410" t="str">
        <f>""</f>
        <v/>
      </c>
      <c r="BE1410" t="str">
        <f>""</f>
        <v/>
      </c>
      <c r="BF1410" t="str">
        <f>""</f>
        <v/>
      </c>
      <c r="BG1410" t="str">
        <f>""</f>
        <v/>
      </c>
      <c r="BH1410" t="str">
        <f>""</f>
        <v/>
      </c>
      <c r="BI1410" t="str">
        <f>""</f>
        <v/>
      </c>
      <c r="BJ1410" t="str">
        <f>""</f>
        <v/>
      </c>
      <c r="BK1410">
        <v>1</v>
      </c>
      <c r="BL1410" t="s">
        <v>102</v>
      </c>
      <c r="BM1410" t="str">
        <f>""</f>
        <v/>
      </c>
      <c r="BN1410" t="s">
        <v>10212</v>
      </c>
      <c r="BP1410" t="s">
        <v>10213</v>
      </c>
      <c r="BQ1410" t="s">
        <v>1612</v>
      </c>
      <c r="BR1410" t="s">
        <v>176</v>
      </c>
      <c r="BS1410" s="5">
        <v>98012</v>
      </c>
      <c r="BT1410" s="2">
        <v>113110</v>
      </c>
      <c r="BU1410" s="2">
        <v>120000</v>
      </c>
      <c r="BV1410" t="s">
        <v>105</v>
      </c>
      <c r="BW1410" s="2">
        <v>113110</v>
      </c>
      <c r="BX1410" t="s">
        <v>105</v>
      </c>
      <c r="BZ1410" t="s">
        <v>167</v>
      </c>
      <c r="CA1410" t="str">
        <f t="shared" si="108"/>
        <v>7/1/2020 - 6/30/2021</v>
      </c>
      <c r="CF1410">
        <v>2</v>
      </c>
      <c r="CG1410" t="s">
        <v>98</v>
      </c>
      <c r="CH1410" t="s">
        <v>98</v>
      </c>
      <c r="CI1410" t="s">
        <v>206</v>
      </c>
      <c r="CJ1410" t="s">
        <v>98</v>
      </c>
      <c r="CK1410" t="s">
        <v>12323</v>
      </c>
      <c r="CL1410" t="s">
        <v>108</v>
      </c>
      <c r="CM1410" t="s">
        <v>109</v>
      </c>
      <c r="CN1410" t="str">
        <f>""</f>
        <v/>
      </c>
      <c r="CO1410" t="str">
        <f>""</f>
        <v/>
      </c>
      <c r="CP1410" t="str">
        <f>""</f>
        <v/>
      </c>
      <c r="CQ1410" t="str">
        <f>""</f>
        <v/>
      </c>
    </row>
    <row r="1411" spans="1:96" x14ac:dyDescent="0.2">
      <c r="A1411" t="s">
        <v>10236</v>
      </c>
      <c r="B1411" t="s">
        <v>96</v>
      </c>
      <c r="C1411" s="1">
        <v>44099</v>
      </c>
      <c r="D1411" s="1">
        <v>44106</v>
      </c>
      <c r="F1411" t="s">
        <v>97</v>
      </c>
      <c r="G1411" t="str">
        <f>"Sr. Software Developer"</f>
        <v>Sr. Software Developer</v>
      </c>
      <c r="H1411" t="s">
        <v>12169</v>
      </c>
      <c r="I1411" t="s">
        <v>124</v>
      </c>
      <c r="J1411" t="s">
        <v>98</v>
      </c>
      <c r="K1411" s="1">
        <v>44110</v>
      </c>
      <c r="L1411" s="1">
        <v>45205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 t="s">
        <v>10237</v>
      </c>
      <c r="U1411" t="str">
        <f>""</f>
        <v/>
      </c>
      <c r="V1411" t="s">
        <v>10238</v>
      </c>
      <c r="W1411" t="str">
        <f>""</f>
        <v/>
      </c>
      <c r="X1411" t="s">
        <v>3119</v>
      </c>
      <c r="Y1411" t="s">
        <v>545</v>
      </c>
      <c r="Z1411" s="3">
        <v>38017</v>
      </c>
      <c r="AA1411" t="s">
        <v>101</v>
      </c>
      <c r="AC1411" s="4" t="str">
        <f>"+19012167587"</f>
        <v>+19012167587</v>
      </c>
      <c r="AE1411" t="str">
        <f>"54151"</f>
        <v>54151</v>
      </c>
      <c r="AF1411" t="s">
        <v>10239</v>
      </c>
      <c r="AG1411" t="s">
        <v>4704</v>
      </c>
      <c r="AI1411" t="s">
        <v>508</v>
      </c>
      <c r="AJ1411" t="s">
        <v>10238</v>
      </c>
      <c r="AK1411" t="str">
        <f>""</f>
        <v/>
      </c>
      <c r="AL1411" t="s">
        <v>3119</v>
      </c>
      <c r="AM1411" t="s">
        <v>545</v>
      </c>
      <c r="AN1411" s="3">
        <v>38017</v>
      </c>
      <c r="AO1411" t="s">
        <v>101</v>
      </c>
      <c r="AQ1411" t="str">
        <f>"+19012167587"</f>
        <v>+19012167587</v>
      </c>
      <c r="AS1411" t="s">
        <v>10240</v>
      </c>
      <c r="AT1411" t="s">
        <v>107</v>
      </c>
      <c r="AU1411" t="str">
        <f>"Bowman"</f>
        <v>Bowman</v>
      </c>
      <c r="AV1411" t="str">
        <f>"Luke"</f>
        <v>Luke</v>
      </c>
      <c r="AW1411" t="str">
        <f>"Scott"</f>
        <v>Scott</v>
      </c>
      <c r="AX1411" t="str">
        <f>"120 Flint Road"</f>
        <v>120 Flint Road</v>
      </c>
      <c r="AY1411" t="str">
        <f>""</f>
        <v/>
      </c>
      <c r="AZ1411" t="str">
        <f>"Brighton"</f>
        <v>Brighton</v>
      </c>
      <c r="BA1411" t="str">
        <f>"MI"</f>
        <v>MI</v>
      </c>
      <c r="BB1411" s="3">
        <v>48116</v>
      </c>
      <c r="BC1411" t="str">
        <f>"UNITED STATES OF AMERICA"</f>
        <v>UNITED STATES OF AMERICA</v>
      </c>
      <c r="BD1411" t="str">
        <f>""</f>
        <v/>
      </c>
      <c r="BE1411" t="str">
        <f>"+18105225405"</f>
        <v>+18105225405</v>
      </c>
      <c r="BF1411" t="str">
        <f>""</f>
        <v/>
      </c>
      <c r="BG1411" t="str">
        <f>"luke@lukebowmanlaw.com"</f>
        <v>luke@lukebowmanlaw.com</v>
      </c>
      <c r="BH1411" t="str">
        <f>"The Law Office of Luke Bowman"</f>
        <v>The Law Office of Luke Bowman</v>
      </c>
      <c r="BI1411" t="str">
        <f>"CA"</f>
        <v>CA</v>
      </c>
      <c r="BJ1411" t="str">
        <f>"Supreme Court"</f>
        <v>Supreme Court</v>
      </c>
      <c r="BK1411">
        <v>1</v>
      </c>
      <c r="BL1411" t="s">
        <v>107</v>
      </c>
      <c r="BM1411" t="str">
        <f>"First Tennessee Bank"</f>
        <v>First Tennessee Bank</v>
      </c>
      <c r="BN1411" t="s">
        <v>10241</v>
      </c>
      <c r="BP1411" t="s">
        <v>3850</v>
      </c>
      <c r="BQ1411" t="s">
        <v>2573</v>
      </c>
      <c r="BR1411" t="s">
        <v>545</v>
      </c>
      <c r="BS1411" s="5">
        <v>38118</v>
      </c>
      <c r="BT1411" s="2">
        <v>83637</v>
      </c>
      <c r="BU1411" s="2">
        <v>100000</v>
      </c>
      <c r="BV1411" t="s">
        <v>105</v>
      </c>
      <c r="BW1411" s="2">
        <v>83637</v>
      </c>
      <c r="BX1411" t="s">
        <v>105</v>
      </c>
      <c r="BZ1411" t="s">
        <v>123</v>
      </c>
      <c r="CA1411" t="str">
        <f t="shared" si="108"/>
        <v>7/1/2020 - 6/30/2021</v>
      </c>
      <c r="CF1411">
        <v>1</v>
      </c>
      <c r="CG1411" t="s">
        <v>98</v>
      </c>
      <c r="CH1411" t="s">
        <v>98</v>
      </c>
      <c r="CI1411" t="s">
        <v>206</v>
      </c>
      <c r="CJ1411" t="s">
        <v>98</v>
      </c>
      <c r="CK1411" t="s">
        <v>12323</v>
      </c>
      <c r="CL1411" t="s">
        <v>108</v>
      </c>
      <c r="CM1411" t="s">
        <v>109</v>
      </c>
      <c r="CN1411" t="str">
        <f>""</f>
        <v/>
      </c>
      <c r="CO1411" t="str">
        <f>""</f>
        <v/>
      </c>
      <c r="CP1411" t="str">
        <f>""</f>
        <v/>
      </c>
      <c r="CQ1411" t="str">
        <f>""</f>
        <v/>
      </c>
    </row>
    <row r="1412" spans="1:96" x14ac:dyDescent="0.2">
      <c r="A1412" t="s">
        <v>10258</v>
      </c>
      <c r="B1412" t="s">
        <v>96</v>
      </c>
      <c r="C1412" s="1">
        <v>44099</v>
      </c>
      <c r="D1412" s="1">
        <v>44106</v>
      </c>
      <c r="F1412" t="s">
        <v>97</v>
      </c>
      <c r="G1412" t="str">
        <f>"Architect Level 2	"</f>
        <v xml:space="preserve">Architect Level 2	</v>
      </c>
      <c r="H1412" t="s">
        <v>12168</v>
      </c>
      <c r="I1412" t="s">
        <v>160</v>
      </c>
      <c r="J1412" t="s">
        <v>98</v>
      </c>
      <c r="K1412" s="1">
        <v>44099</v>
      </c>
      <c r="L1412" s="1">
        <v>45193</v>
      </c>
      <c r="M1412">
        <v>6</v>
      </c>
      <c r="N1412">
        <v>1</v>
      </c>
      <c r="O1412">
        <v>2</v>
      </c>
      <c r="P1412">
        <v>1</v>
      </c>
      <c r="Q1412">
        <v>0</v>
      </c>
      <c r="R1412">
        <v>1</v>
      </c>
      <c r="S1412">
        <v>1</v>
      </c>
      <c r="T1412" t="s">
        <v>902</v>
      </c>
      <c r="U1412" t="str">
        <f>""</f>
        <v/>
      </c>
      <c r="V1412" t="s">
        <v>903</v>
      </c>
      <c r="W1412" t="str">
        <f>"SUITE 2200"</f>
        <v>SUITE 2200</v>
      </c>
      <c r="X1412" t="s">
        <v>904</v>
      </c>
      <c r="Y1412" t="s">
        <v>100</v>
      </c>
      <c r="Z1412" s="3">
        <v>8816</v>
      </c>
      <c r="AA1412" t="s">
        <v>101</v>
      </c>
      <c r="AB1412" t="s">
        <v>108</v>
      </c>
      <c r="AC1412" s="4" t="str">
        <f>"+17325091586"</f>
        <v>+17325091586</v>
      </c>
      <c r="AE1412" t="str">
        <f>"541511"</f>
        <v>541511</v>
      </c>
      <c r="AF1412" t="s">
        <v>905</v>
      </c>
      <c r="AG1412" t="s">
        <v>906</v>
      </c>
      <c r="AH1412" t="s">
        <v>108</v>
      </c>
      <c r="AI1412" t="s">
        <v>818</v>
      </c>
      <c r="AJ1412" t="s">
        <v>903</v>
      </c>
      <c r="AK1412" t="str">
        <f>"SUITE 2200"</f>
        <v>SUITE 2200</v>
      </c>
      <c r="AL1412" t="s">
        <v>904</v>
      </c>
      <c r="AM1412" t="s">
        <v>100</v>
      </c>
      <c r="AN1412" s="3">
        <v>8816</v>
      </c>
      <c r="AO1412" t="s">
        <v>101</v>
      </c>
      <c r="AQ1412" t="str">
        <f>"+17325091586"</f>
        <v>+17325091586</v>
      </c>
      <c r="AS1412" t="s">
        <v>907</v>
      </c>
      <c r="AT1412" t="s">
        <v>102</v>
      </c>
      <c r="AU1412" t="str">
        <f>""</f>
        <v/>
      </c>
      <c r="AV1412" t="str">
        <f>""</f>
        <v/>
      </c>
      <c r="AW1412" t="str">
        <f>""</f>
        <v/>
      </c>
      <c r="AX1412" t="str">
        <f>""</f>
        <v/>
      </c>
      <c r="AY1412" t="str">
        <f>""</f>
        <v/>
      </c>
      <c r="AZ1412" t="str">
        <f>""</f>
        <v/>
      </c>
      <c r="BA1412" t="str">
        <f>""</f>
        <v/>
      </c>
      <c r="BC1412" t="str">
        <f>""</f>
        <v/>
      </c>
      <c r="BD1412" t="str">
        <f>""</f>
        <v/>
      </c>
      <c r="BE1412" t="str">
        <f>""</f>
        <v/>
      </c>
      <c r="BF1412" t="str">
        <f>""</f>
        <v/>
      </c>
      <c r="BG1412" t="str">
        <f>""</f>
        <v/>
      </c>
      <c r="BH1412" t="str">
        <f>""</f>
        <v/>
      </c>
      <c r="BI1412" t="str">
        <f>""</f>
        <v/>
      </c>
      <c r="BJ1412" t="str">
        <f>""</f>
        <v/>
      </c>
      <c r="BK1412">
        <v>6</v>
      </c>
      <c r="BL1412" t="s">
        <v>107</v>
      </c>
      <c r="BM1412" t="str">
        <f>"U.S. Bank National Association"</f>
        <v>U.S. Bank National Association</v>
      </c>
      <c r="BN1412" t="s">
        <v>10259</v>
      </c>
      <c r="BP1412" t="s">
        <v>3756</v>
      </c>
      <c r="BQ1412" t="s">
        <v>185</v>
      </c>
      <c r="BR1412" t="s">
        <v>186</v>
      </c>
      <c r="BS1412" s="5">
        <v>55402</v>
      </c>
      <c r="BT1412" s="2">
        <v>70762</v>
      </c>
      <c r="BV1412" t="s">
        <v>105</v>
      </c>
      <c r="BW1412" s="2">
        <v>70762</v>
      </c>
      <c r="BX1412" t="s">
        <v>105</v>
      </c>
      <c r="BZ1412" t="s">
        <v>167</v>
      </c>
      <c r="CA1412" t="str">
        <f t="shared" si="108"/>
        <v>7/1/2020 - 6/30/2021</v>
      </c>
      <c r="CF1412">
        <v>1</v>
      </c>
      <c r="CG1412" t="s">
        <v>98</v>
      </c>
      <c r="CH1412" t="s">
        <v>98</v>
      </c>
      <c r="CI1412" t="s">
        <v>206</v>
      </c>
      <c r="CJ1412" t="s">
        <v>98</v>
      </c>
      <c r="CK1412" t="s">
        <v>12323</v>
      </c>
      <c r="CL1412" t="s">
        <v>108</v>
      </c>
      <c r="CM1412" t="s">
        <v>109</v>
      </c>
      <c r="CN1412" t="str">
        <f>""</f>
        <v/>
      </c>
      <c r="CO1412" t="str">
        <f>""</f>
        <v/>
      </c>
      <c r="CP1412" t="str">
        <f>""</f>
        <v/>
      </c>
      <c r="CQ1412" t="str">
        <f>""</f>
        <v/>
      </c>
    </row>
    <row r="1413" spans="1:96" x14ac:dyDescent="0.2">
      <c r="A1413" t="s">
        <v>10298</v>
      </c>
      <c r="B1413" t="s">
        <v>96</v>
      </c>
      <c r="C1413" s="1">
        <v>44099</v>
      </c>
      <c r="D1413" s="1">
        <v>44106</v>
      </c>
      <c r="F1413" t="s">
        <v>97</v>
      </c>
      <c r="G1413" t="str">
        <f>"Systems Analyst"</f>
        <v>Systems Analyst</v>
      </c>
      <c r="H1413" t="s">
        <v>12168</v>
      </c>
      <c r="I1413" t="s">
        <v>160</v>
      </c>
      <c r="J1413" t="s">
        <v>98</v>
      </c>
      <c r="K1413" s="1">
        <v>44106</v>
      </c>
      <c r="L1413" s="1">
        <v>45200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 t="s">
        <v>7452</v>
      </c>
      <c r="U1413" t="str">
        <f>""</f>
        <v/>
      </c>
      <c r="V1413" t="s">
        <v>7453</v>
      </c>
      <c r="W1413" t="str">
        <f>"Suite 150"</f>
        <v>Suite 150</v>
      </c>
      <c r="X1413" t="s">
        <v>3850</v>
      </c>
      <c r="Y1413" t="s">
        <v>545</v>
      </c>
      <c r="Z1413" s="3">
        <v>38125</v>
      </c>
      <c r="AA1413" t="s">
        <v>101</v>
      </c>
      <c r="AC1413" s="4" t="str">
        <f>"+13127242000"</f>
        <v>+13127242000</v>
      </c>
      <c r="AE1413" t="str">
        <f>"541511"</f>
        <v>541511</v>
      </c>
      <c r="AF1413" t="s">
        <v>7454</v>
      </c>
      <c r="AG1413" t="s">
        <v>960</v>
      </c>
      <c r="AH1413" t="s">
        <v>2280</v>
      </c>
      <c r="AI1413" t="s">
        <v>508</v>
      </c>
      <c r="AJ1413" t="s">
        <v>7453</v>
      </c>
      <c r="AK1413" t="str">
        <f>"Suite 150"</f>
        <v>Suite 150</v>
      </c>
      <c r="AL1413" t="s">
        <v>3850</v>
      </c>
      <c r="AM1413" t="s">
        <v>545</v>
      </c>
      <c r="AN1413" s="3">
        <v>38125</v>
      </c>
      <c r="AO1413" t="s">
        <v>101</v>
      </c>
      <c r="AQ1413" t="str">
        <f>"+13127242000"</f>
        <v>+13127242000</v>
      </c>
      <c r="AS1413" t="s">
        <v>7455</v>
      </c>
      <c r="AT1413" t="s">
        <v>107</v>
      </c>
      <c r="AU1413" t="str">
        <f>"Kozar"</f>
        <v>Kozar</v>
      </c>
      <c r="AV1413" t="str">
        <f>"Mika"</f>
        <v>Mika</v>
      </c>
      <c r="AW1413" t="str">
        <f>"B."</f>
        <v>B.</v>
      </c>
      <c r="AX1413" t="str">
        <f>"4390 Route 1 N"</f>
        <v>4390 Route 1 N</v>
      </c>
      <c r="AY1413" t="str">
        <f>"SUITE 230"</f>
        <v>SUITE 230</v>
      </c>
      <c r="AZ1413" t="str">
        <f>"Princeton"</f>
        <v>Princeton</v>
      </c>
      <c r="BA1413" t="str">
        <f>"NJ"</f>
        <v>NJ</v>
      </c>
      <c r="BB1413" s="3">
        <v>8540</v>
      </c>
      <c r="BC1413" t="str">
        <f>"UNITED STATES OF AMERICA"</f>
        <v>UNITED STATES OF AMERICA</v>
      </c>
      <c r="BD1413" t="str">
        <f>""</f>
        <v/>
      </c>
      <c r="BE1413" t="str">
        <f>"+17328327978"</f>
        <v>+17328327978</v>
      </c>
      <c r="BF1413" t="str">
        <f>""</f>
        <v/>
      </c>
      <c r="BG1413" t="str">
        <f>"icert@tvalawyers.com"</f>
        <v>icert@tvalawyers.com</v>
      </c>
      <c r="BH1413" t="str">
        <f>"Law Office of Thomas V. Allen, PLLC"</f>
        <v>Law Office of Thomas V. Allen, PLLC</v>
      </c>
      <c r="BI1413" t="str">
        <f>"NY"</f>
        <v>NY</v>
      </c>
      <c r="BJ1413" t="str">
        <f>"Appellate Court"</f>
        <v>Appellate Court</v>
      </c>
      <c r="BK1413">
        <v>1</v>
      </c>
      <c r="BL1413" t="s">
        <v>107</v>
      </c>
      <c r="BM1413" t="str">
        <f>"Fidelity Investments"</f>
        <v>Fidelity Investments</v>
      </c>
      <c r="BN1413" t="s">
        <v>1359</v>
      </c>
      <c r="BP1413" t="s">
        <v>6069</v>
      </c>
      <c r="BQ1413" t="s">
        <v>302</v>
      </c>
      <c r="BR1413" t="s">
        <v>122</v>
      </c>
      <c r="BS1413" s="5">
        <v>27709</v>
      </c>
      <c r="BT1413" s="2">
        <v>85000</v>
      </c>
      <c r="BV1413" t="s">
        <v>105</v>
      </c>
      <c r="BW1413" s="2">
        <v>82909</v>
      </c>
      <c r="BX1413" t="s">
        <v>105</v>
      </c>
      <c r="BZ1413" t="s">
        <v>167</v>
      </c>
      <c r="CA1413" t="str">
        <f t="shared" si="108"/>
        <v>7/1/2020 - 6/30/2021</v>
      </c>
      <c r="CF1413">
        <v>2</v>
      </c>
      <c r="CG1413" t="s">
        <v>98</v>
      </c>
      <c r="CH1413" t="s">
        <v>98</v>
      </c>
      <c r="CI1413" t="s">
        <v>206</v>
      </c>
      <c r="CJ1413" t="s">
        <v>98</v>
      </c>
      <c r="CK1413" t="s">
        <v>12323</v>
      </c>
      <c r="CL1413" t="s">
        <v>108</v>
      </c>
      <c r="CM1413" t="s">
        <v>109</v>
      </c>
      <c r="CN1413" t="str">
        <f>""</f>
        <v/>
      </c>
      <c r="CO1413" t="str">
        <f>""</f>
        <v/>
      </c>
      <c r="CP1413" t="str">
        <f>""</f>
        <v/>
      </c>
      <c r="CQ1413" t="str">
        <f>""</f>
        <v/>
      </c>
    </row>
    <row r="1414" spans="1:96" x14ac:dyDescent="0.2">
      <c r="A1414" t="s">
        <v>10301</v>
      </c>
      <c r="B1414" t="s">
        <v>96</v>
      </c>
      <c r="C1414" s="1">
        <v>44099</v>
      </c>
      <c r="D1414" s="1">
        <v>44106</v>
      </c>
      <c r="F1414" t="s">
        <v>97</v>
      </c>
      <c r="G1414" t="str">
        <f>"Senior Systems Analyst JC60"</f>
        <v>Senior Systems Analyst JC60</v>
      </c>
      <c r="H1414" t="s">
        <v>12181</v>
      </c>
      <c r="I1414" t="s">
        <v>110</v>
      </c>
      <c r="J1414" t="s">
        <v>98</v>
      </c>
      <c r="K1414" s="1">
        <v>44185</v>
      </c>
      <c r="L1414" s="1">
        <v>45279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 t="s">
        <v>111</v>
      </c>
      <c r="U1414" t="str">
        <f>"CTSUS"</f>
        <v>CTSUS</v>
      </c>
      <c r="V1414" t="s">
        <v>112</v>
      </c>
      <c r="W1414" t="str">
        <f>""</f>
        <v/>
      </c>
      <c r="X1414" t="s">
        <v>113</v>
      </c>
      <c r="Y1414" t="s">
        <v>114</v>
      </c>
      <c r="Z1414" s="3">
        <v>77845</v>
      </c>
      <c r="AA1414" t="s">
        <v>101</v>
      </c>
      <c r="AB1414" t="s">
        <v>114</v>
      </c>
      <c r="AC1414" s="4" t="str">
        <f>"+19793296682"</f>
        <v>+19793296682</v>
      </c>
      <c r="AE1414" t="str">
        <f>"541512"</f>
        <v>541512</v>
      </c>
      <c r="AF1414" t="s">
        <v>115</v>
      </c>
      <c r="AG1414" t="s">
        <v>116</v>
      </c>
      <c r="AH1414" t="s">
        <v>108</v>
      </c>
      <c r="AI1414" t="s">
        <v>117</v>
      </c>
      <c r="AJ1414" t="s">
        <v>118</v>
      </c>
      <c r="AK1414" t="str">
        <f>""</f>
        <v/>
      </c>
      <c r="AL1414" t="s">
        <v>119</v>
      </c>
      <c r="AM1414" t="s">
        <v>114</v>
      </c>
      <c r="AN1414" s="3">
        <v>77845</v>
      </c>
      <c r="AO1414" t="s">
        <v>101</v>
      </c>
      <c r="AQ1414" t="str">
        <f>"+19793296682"</f>
        <v>+19793296682</v>
      </c>
      <c r="AS1414" t="s">
        <v>120</v>
      </c>
      <c r="AT1414" t="s">
        <v>102</v>
      </c>
      <c r="AU1414" t="str">
        <f>""</f>
        <v/>
      </c>
      <c r="AV1414" t="str">
        <f>""</f>
        <v/>
      </c>
      <c r="AW1414" t="str">
        <f>""</f>
        <v/>
      </c>
      <c r="AX1414" t="str">
        <f>""</f>
        <v/>
      </c>
      <c r="AY1414" t="str">
        <f>""</f>
        <v/>
      </c>
      <c r="AZ1414" t="str">
        <f>""</f>
        <v/>
      </c>
      <c r="BA1414" t="str">
        <f>""</f>
        <v/>
      </c>
      <c r="BC1414" t="str">
        <f>""</f>
        <v/>
      </c>
      <c r="BD1414" t="str">
        <f>""</f>
        <v/>
      </c>
      <c r="BE1414" t="str">
        <f>""</f>
        <v/>
      </c>
      <c r="BF1414" t="str">
        <f>""</f>
        <v/>
      </c>
      <c r="BG1414" t="str">
        <f>""</f>
        <v/>
      </c>
      <c r="BH1414" t="str">
        <f>""</f>
        <v/>
      </c>
      <c r="BI1414" t="str">
        <f>""</f>
        <v/>
      </c>
      <c r="BJ1414" t="str">
        <f>""</f>
        <v/>
      </c>
      <c r="BK1414">
        <v>1</v>
      </c>
      <c r="BL1414" t="s">
        <v>102</v>
      </c>
      <c r="BM1414" t="str">
        <f>""</f>
        <v/>
      </c>
      <c r="BN1414" t="s">
        <v>10302</v>
      </c>
      <c r="BP1414" t="s">
        <v>590</v>
      </c>
      <c r="BQ1414" t="s">
        <v>2584</v>
      </c>
      <c r="BR1414" t="s">
        <v>171</v>
      </c>
      <c r="BS1414" s="5">
        <v>1581</v>
      </c>
      <c r="BT1414" s="2">
        <v>82493</v>
      </c>
      <c r="BV1414" t="s">
        <v>105</v>
      </c>
      <c r="BW1414" s="2">
        <v>82493</v>
      </c>
      <c r="BX1414" t="s">
        <v>105</v>
      </c>
      <c r="BZ1414" t="s">
        <v>167</v>
      </c>
      <c r="CA1414" t="str">
        <f t="shared" si="108"/>
        <v>7/1/2020 - 6/30/2021</v>
      </c>
      <c r="CF1414">
        <v>1</v>
      </c>
      <c r="CG1414" t="s">
        <v>98</v>
      </c>
      <c r="CH1414" t="s">
        <v>98</v>
      </c>
      <c r="CI1414" t="s">
        <v>206</v>
      </c>
      <c r="CJ1414" t="s">
        <v>98</v>
      </c>
      <c r="CK1414" t="s">
        <v>12323</v>
      </c>
      <c r="CL1414" t="s">
        <v>108</v>
      </c>
      <c r="CM1414" t="s">
        <v>109</v>
      </c>
      <c r="CN1414" t="str">
        <f>""</f>
        <v/>
      </c>
      <c r="CO1414" t="str">
        <f>""</f>
        <v/>
      </c>
      <c r="CP1414" t="str">
        <f>""</f>
        <v/>
      </c>
      <c r="CQ1414" t="str">
        <f>""</f>
        <v/>
      </c>
    </row>
    <row r="1415" spans="1:96" x14ac:dyDescent="0.2">
      <c r="A1415" t="s">
        <v>10306</v>
      </c>
      <c r="B1415" t="s">
        <v>96</v>
      </c>
      <c r="C1415" s="1">
        <v>44099</v>
      </c>
      <c r="D1415" s="1">
        <v>44106</v>
      </c>
      <c r="F1415" t="s">
        <v>97</v>
      </c>
      <c r="G1415" t="str">
        <f>"ETL Developer"</f>
        <v>ETL Developer</v>
      </c>
      <c r="H1415" t="s">
        <v>12169</v>
      </c>
      <c r="I1415" t="s">
        <v>124</v>
      </c>
      <c r="J1415" t="s">
        <v>98</v>
      </c>
      <c r="K1415" s="1">
        <v>44105</v>
      </c>
      <c r="L1415" s="1">
        <v>45199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 t="s">
        <v>5338</v>
      </c>
      <c r="U1415" t="str">
        <f>""</f>
        <v/>
      </c>
      <c r="V1415" t="s">
        <v>5339</v>
      </c>
      <c r="W1415" t="str">
        <f>"Ste. 500"</f>
        <v>Ste. 500</v>
      </c>
      <c r="X1415" t="s">
        <v>133</v>
      </c>
      <c r="Y1415" t="s">
        <v>135</v>
      </c>
      <c r="Z1415" s="3">
        <v>20191</v>
      </c>
      <c r="AA1415" t="s">
        <v>101</v>
      </c>
      <c r="AC1415" s="4" t="str">
        <f>"+17036460150"</f>
        <v>+17036460150</v>
      </c>
      <c r="AE1415" t="str">
        <f>"541511"</f>
        <v>541511</v>
      </c>
      <c r="AF1415" t="s">
        <v>5340</v>
      </c>
      <c r="AG1415" t="s">
        <v>5341</v>
      </c>
      <c r="AI1415" t="s">
        <v>117</v>
      </c>
      <c r="AJ1415" t="s">
        <v>5339</v>
      </c>
      <c r="AK1415" t="str">
        <f>"Ste. 500"</f>
        <v>Ste. 500</v>
      </c>
      <c r="AL1415" t="s">
        <v>133</v>
      </c>
      <c r="AM1415" t="s">
        <v>135</v>
      </c>
      <c r="AN1415" s="3">
        <v>20191</v>
      </c>
      <c r="AO1415" t="s">
        <v>101</v>
      </c>
      <c r="AQ1415" t="str">
        <f>"+17036460150"</f>
        <v>+17036460150</v>
      </c>
      <c r="AS1415" t="s">
        <v>5342</v>
      </c>
      <c r="AT1415" t="s">
        <v>107</v>
      </c>
      <c r="AU1415" t="str">
        <f>"Harding"</f>
        <v>Harding</v>
      </c>
      <c r="AV1415" t="str">
        <f>"Richard"</f>
        <v>Richard</v>
      </c>
      <c r="AW1415" t="str">
        <f>"Alan"</f>
        <v>Alan</v>
      </c>
      <c r="AX1415" t="str">
        <f>"30300 Agoura Road"</f>
        <v>30300 Agoura Road</v>
      </c>
      <c r="AY1415" t="str">
        <f>"Ste. B100"</f>
        <v>Ste. B100</v>
      </c>
      <c r="AZ1415" t="str">
        <f>"Agoura Hills"</f>
        <v>Agoura Hills</v>
      </c>
      <c r="BA1415" t="str">
        <f>"CA"</f>
        <v>CA</v>
      </c>
      <c r="BB1415" s="3">
        <v>91301</v>
      </c>
      <c r="BC1415" t="str">
        <f>"UNITED STATES OF AMERICA"</f>
        <v>UNITED STATES OF AMERICA</v>
      </c>
      <c r="BD1415" t="str">
        <f>""</f>
        <v/>
      </c>
      <c r="BE1415" t="str">
        <f>"+18189146482"</f>
        <v>+18189146482</v>
      </c>
      <c r="BF1415" t="str">
        <f>""</f>
        <v/>
      </c>
      <c r="BG1415" t="str">
        <f>"Admin@gotcherlaw.com"</f>
        <v>Admin@gotcherlaw.com</v>
      </c>
      <c r="BH1415" t="str">
        <f>"Global Immigration Partners, Inc"</f>
        <v>Global Immigration Partners, Inc</v>
      </c>
      <c r="BI1415" t="str">
        <f>"CA"</f>
        <v>CA</v>
      </c>
      <c r="BJ1415" t="str">
        <f>"California Supreme Court"</f>
        <v>California Supreme Court</v>
      </c>
      <c r="BK1415">
        <v>1</v>
      </c>
      <c r="BL1415" t="s">
        <v>107</v>
      </c>
      <c r="BM1415" t="str">
        <f>"Performance Food Group"</f>
        <v>Performance Food Group</v>
      </c>
      <c r="BN1415" t="s">
        <v>8635</v>
      </c>
      <c r="BP1415" t="s">
        <v>693</v>
      </c>
      <c r="BQ1415" t="s">
        <v>3028</v>
      </c>
      <c r="BR1415" t="s">
        <v>135</v>
      </c>
      <c r="BS1415" s="5">
        <v>23235</v>
      </c>
      <c r="BT1415" s="2">
        <v>93558</v>
      </c>
      <c r="BV1415" t="s">
        <v>105</v>
      </c>
      <c r="BW1415" s="2">
        <v>87984</v>
      </c>
      <c r="BX1415" t="s">
        <v>105</v>
      </c>
      <c r="BZ1415" t="s">
        <v>167</v>
      </c>
      <c r="CA1415" t="str">
        <f t="shared" si="108"/>
        <v>7/1/2020 - 6/30/2021</v>
      </c>
      <c r="CF1415">
        <v>2</v>
      </c>
      <c r="CG1415" t="s">
        <v>98</v>
      </c>
      <c r="CH1415" t="s">
        <v>98</v>
      </c>
      <c r="CI1415" t="s">
        <v>206</v>
      </c>
      <c r="CJ1415" t="s">
        <v>98</v>
      </c>
      <c r="CK1415" t="s">
        <v>12323</v>
      </c>
      <c r="CL1415" t="s">
        <v>108</v>
      </c>
      <c r="CM1415" t="s">
        <v>109</v>
      </c>
      <c r="CN1415" t="str">
        <f>"Harding"</f>
        <v>Harding</v>
      </c>
      <c r="CO1415" t="str">
        <f>"Richard"</f>
        <v>Richard</v>
      </c>
      <c r="CP1415" t="str">
        <f>"A"</f>
        <v>A</v>
      </c>
      <c r="CQ1415" t="str">
        <f>"Global Immigration Partners, Inc"</f>
        <v>Global Immigration Partners, Inc</v>
      </c>
      <c r="CR1415" t="s">
        <v>1275</v>
      </c>
    </row>
    <row r="1416" spans="1:96" x14ac:dyDescent="0.2">
      <c r="A1416" t="s">
        <v>10379</v>
      </c>
      <c r="B1416" t="s">
        <v>96</v>
      </c>
      <c r="C1416" s="1">
        <v>44099</v>
      </c>
      <c r="D1416" s="1">
        <v>44106</v>
      </c>
      <c r="F1416" t="s">
        <v>97</v>
      </c>
      <c r="G1416" t="str">
        <f>"Project Manager - US"</f>
        <v>Project Manager - US</v>
      </c>
      <c r="H1416" t="s">
        <v>12181</v>
      </c>
      <c r="I1416" t="s">
        <v>110</v>
      </c>
      <c r="J1416" t="s">
        <v>98</v>
      </c>
      <c r="K1416" s="1">
        <v>44110</v>
      </c>
      <c r="L1416" s="1">
        <v>45202</v>
      </c>
      <c r="M1416">
        <v>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5</v>
      </c>
      <c r="T1416" t="s">
        <v>723</v>
      </c>
      <c r="U1416" t="str">
        <f>""</f>
        <v/>
      </c>
      <c r="V1416" t="s">
        <v>724</v>
      </c>
      <c r="W1416" t="str">
        <f>"STE C150"</f>
        <v>STE C150</v>
      </c>
      <c r="X1416" t="s">
        <v>725</v>
      </c>
      <c r="Y1416" t="s">
        <v>114</v>
      </c>
      <c r="Z1416" s="3">
        <v>75082</v>
      </c>
      <c r="AA1416" t="s">
        <v>101</v>
      </c>
      <c r="AC1416" s="4" t="str">
        <f>"+12143062100"</f>
        <v>+12143062100</v>
      </c>
      <c r="AE1416" t="str">
        <f>"541511"</f>
        <v>541511</v>
      </c>
      <c r="AF1416" t="s">
        <v>726</v>
      </c>
      <c r="AG1416" t="s">
        <v>727</v>
      </c>
      <c r="AI1416" t="s">
        <v>728</v>
      </c>
      <c r="AJ1416" t="s">
        <v>724</v>
      </c>
      <c r="AK1416" t="str">
        <f>"STE C150"</f>
        <v>STE C150</v>
      </c>
      <c r="AL1416" t="s">
        <v>725</v>
      </c>
      <c r="AM1416" t="s">
        <v>114</v>
      </c>
      <c r="AN1416" s="3">
        <v>75082</v>
      </c>
      <c r="AO1416" t="s">
        <v>101</v>
      </c>
      <c r="AQ1416" t="str">
        <f>"+12143062100"</f>
        <v>+12143062100</v>
      </c>
      <c r="AS1416" t="s">
        <v>729</v>
      </c>
      <c r="AT1416" t="s">
        <v>102</v>
      </c>
      <c r="AU1416" t="str">
        <f>""</f>
        <v/>
      </c>
      <c r="AV1416" t="str">
        <f>""</f>
        <v/>
      </c>
      <c r="AW1416" t="str">
        <f>""</f>
        <v/>
      </c>
      <c r="AX1416" t="str">
        <f>""</f>
        <v/>
      </c>
      <c r="AY1416" t="str">
        <f>""</f>
        <v/>
      </c>
      <c r="AZ1416" t="str">
        <f>""</f>
        <v/>
      </c>
      <c r="BA1416" t="str">
        <f>""</f>
        <v/>
      </c>
      <c r="BC1416" t="str">
        <f>""</f>
        <v/>
      </c>
      <c r="BD1416" t="str">
        <f>""</f>
        <v/>
      </c>
      <c r="BE1416" t="str">
        <f>""</f>
        <v/>
      </c>
      <c r="BF1416" t="str">
        <f>""</f>
        <v/>
      </c>
      <c r="BG1416" t="str">
        <f>""</f>
        <v/>
      </c>
      <c r="BH1416" t="str">
        <f>""</f>
        <v/>
      </c>
      <c r="BI1416" t="str">
        <f>""</f>
        <v/>
      </c>
      <c r="BJ1416" t="str">
        <f>""</f>
        <v/>
      </c>
      <c r="BK1416">
        <v>5</v>
      </c>
      <c r="BL1416" t="s">
        <v>107</v>
      </c>
      <c r="BM1416" t="str">
        <f>"SunTrust Banks, Inc"</f>
        <v>SunTrust Banks, Inc</v>
      </c>
      <c r="BN1416" t="s">
        <v>2399</v>
      </c>
      <c r="BP1416" t="s">
        <v>213</v>
      </c>
      <c r="BQ1416" t="s">
        <v>214</v>
      </c>
      <c r="BR1416" t="s">
        <v>215</v>
      </c>
      <c r="BS1416" s="5">
        <v>30303</v>
      </c>
      <c r="BT1416" s="2">
        <v>91686</v>
      </c>
      <c r="BU1416" s="2">
        <v>106001</v>
      </c>
      <c r="BV1416" t="s">
        <v>105</v>
      </c>
      <c r="BW1416" s="2">
        <v>91686</v>
      </c>
      <c r="BX1416" t="s">
        <v>105</v>
      </c>
      <c r="BZ1416" t="s">
        <v>123</v>
      </c>
      <c r="CA1416" t="str">
        <f t="shared" si="108"/>
        <v>7/1/2020 - 6/30/2021</v>
      </c>
      <c r="CF1416">
        <v>1</v>
      </c>
      <c r="CG1416" t="s">
        <v>98</v>
      </c>
      <c r="CH1416" t="s">
        <v>98</v>
      </c>
      <c r="CI1416" t="s">
        <v>206</v>
      </c>
      <c r="CJ1416" t="s">
        <v>98</v>
      </c>
      <c r="CK1416" t="s">
        <v>12323</v>
      </c>
      <c r="CL1416" t="s">
        <v>108</v>
      </c>
      <c r="CM1416" t="s">
        <v>109</v>
      </c>
      <c r="CN1416" t="str">
        <f>"ALI"</f>
        <v>ALI</v>
      </c>
      <c r="CO1416" t="str">
        <f>"ASIF"</f>
        <v>ASIF</v>
      </c>
      <c r="CP1416" t="str">
        <f>""</f>
        <v/>
      </c>
      <c r="CQ1416" t="str">
        <f>"INFOSYS LIMITED"</f>
        <v>INFOSYS LIMITED</v>
      </c>
      <c r="CR1416" t="s">
        <v>796</v>
      </c>
    </row>
    <row r="1417" spans="1:96" x14ac:dyDescent="0.2">
      <c r="A1417" t="s">
        <v>10394</v>
      </c>
      <c r="B1417" t="s">
        <v>96</v>
      </c>
      <c r="C1417" s="1">
        <v>44099</v>
      </c>
      <c r="D1417" s="1">
        <v>44106</v>
      </c>
      <c r="F1417" t="s">
        <v>97</v>
      </c>
      <c r="G1417" t="str">
        <f>"Mechatronics Engineer"</f>
        <v>Mechatronics Engineer</v>
      </c>
      <c r="H1417" t="s">
        <v>12217</v>
      </c>
      <c r="I1417" t="s">
        <v>2116</v>
      </c>
      <c r="J1417" t="s">
        <v>98</v>
      </c>
      <c r="K1417" s="1">
        <v>44105</v>
      </c>
      <c r="L1417" s="1">
        <v>45200</v>
      </c>
      <c r="M1417">
        <v>6</v>
      </c>
      <c r="N1417">
        <v>3</v>
      </c>
      <c r="O1417">
        <v>0</v>
      </c>
      <c r="P1417">
        <v>1</v>
      </c>
      <c r="Q1417">
        <v>0</v>
      </c>
      <c r="R1417">
        <v>2</v>
      </c>
      <c r="S1417">
        <v>0</v>
      </c>
      <c r="T1417" t="s">
        <v>4439</v>
      </c>
      <c r="U1417" t="str">
        <f>"Tata Elxsi"</f>
        <v>Tata Elxsi</v>
      </c>
      <c r="V1417" t="s">
        <v>4440</v>
      </c>
      <c r="W1417" t="str">
        <f>"Suite 215"</f>
        <v>Suite 215</v>
      </c>
      <c r="X1417" t="s">
        <v>247</v>
      </c>
      <c r="Y1417" t="s">
        <v>141</v>
      </c>
      <c r="Z1417" s="3">
        <v>95051</v>
      </c>
      <c r="AA1417" t="s">
        <v>101</v>
      </c>
      <c r="AC1417" s="4" t="str">
        <f>"+14088948282"</f>
        <v>+14088948282</v>
      </c>
      <c r="AE1417" t="str">
        <f>"541511"</f>
        <v>541511</v>
      </c>
      <c r="AF1417" t="s">
        <v>10395</v>
      </c>
      <c r="AG1417" t="s">
        <v>4442</v>
      </c>
      <c r="AH1417" t="s">
        <v>108</v>
      </c>
      <c r="AI1417" t="s">
        <v>4443</v>
      </c>
      <c r="AJ1417" t="s">
        <v>4444</v>
      </c>
      <c r="AK1417" t="str">
        <f>"Suite 300"</f>
        <v>Suite 300</v>
      </c>
      <c r="AL1417" t="s">
        <v>218</v>
      </c>
      <c r="AM1417" t="s">
        <v>127</v>
      </c>
      <c r="AN1417" s="3">
        <v>19103</v>
      </c>
      <c r="AO1417" t="s">
        <v>101</v>
      </c>
      <c r="AQ1417" t="str">
        <f>"+14088948282"</f>
        <v>+14088948282</v>
      </c>
      <c r="AR1417">
        <v>2012</v>
      </c>
      <c r="AS1417" t="s">
        <v>4445</v>
      </c>
      <c r="AT1417" t="s">
        <v>107</v>
      </c>
      <c r="AU1417" t="str">
        <f>"Moore"</f>
        <v>Moore</v>
      </c>
      <c r="AV1417" t="str">
        <f>"Angela "</f>
        <v xml:space="preserve">Angela </v>
      </c>
      <c r="AW1417" t="str">
        <f>"G. "</f>
        <v xml:space="preserve">G. </v>
      </c>
      <c r="AX1417" t="str">
        <f>"One Market Plaza, Spear Tower"</f>
        <v>One Market Plaza, Spear Tower</v>
      </c>
      <c r="AY1417" t="str">
        <f>"Suite 2200"</f>
        <v>Suite 2200</v>
      </c>
      <c r="AZ1417" t="str">
        <f>"San Francisco"</f>
        <v>San Francisco</v>
      </c>
      <c r="BA1417" t="str">
        <f>"CA"</f>
        <v>CA</v>
      </c>
      <c r="BB1417" s="3">
        <v>94105</v>
      </c>
      <c r="BC1417" t="str">
        <f>"UNITED STATES OF AMERICA"</f>
        <v>UNITED STATES OF AMERICA</v>
      </c>
      <c r="BD1417" t="str">
        <f>""</f>
        <v/>
      </c>
      <c r="BE1417" t="str">
        <f>"+14159573120"</f>
        <v>+14159573120</v>
      </c>
      <c r="BF1417" t="str">
        <f>""</f>
        <v/>
      </c>
      <c r="BG1417" t="str">
        <f>"agmoore@duanemorris.com"</f>
        <v>agmoore@duanemorris.com</v>
      </c>
      <c r="BH1417" t="str">
        <f>"Duane Morris LLP"</f>
        <v>Duane Morris LLP</v>
      </c>
      <c r="BI1417" t="str">
        <f>"CA"</f>
        <v>CA</v>
      </c>
      <c r="BJ1417" t="str">
        <f>"Supreme Court"</f>
        <v>Supreme Court</v>
      </c>
      <c r="BK1417">
        <v>6</v>
      </c>
      <c r="BL1417" t="s">
        <v>102</v>
      </c>
      <c r="BM1417" t="str">
        <f>""</f>
        <v/>
      </c>
      <c r="BN1417" t="s">
        <v>10396</v>
      </c>
      <c r="BO1417" t="s">
        <v>5863</v>
      </c>
      <c r="BP1417" t="s">
        <v>247</v>
      </c>
      <c r="BQ1417" t="s">
        <v>230</v>
      </c>
      <c r="BR1417" t="s">
        <v>141</v>
      </c>
      <c r="BS1417" s="5">
        <v>95051</v>
      </c>
      <c r="BT1417" s="2">
        <v>104874</v>
      </c>
      <c r="BU1417" s="2">
        <v>124874</v>
      </c>
      <c r="BV1417" t="s">
        <v>105</v>
      </c>
      <c r="BW1417" s="2">
        <v>104874</v>
      </c>
      <c r="BX1417" t="s">
        <v>105</v>
      </c>
      <c r="BZ1417" t="s">
        <v>167</v>
      </c>
      <c r="CA1417" t="str">
        <f t="shared" si="108"/>
        <v>7/1/2020 - 6/30/2021</v>
      </c>
      <c r="CF1417">
        <v>1</v>
      </c>
      <c r="CG1417" t="s">
        <v>98</v>
      </c>
      <c r="CH1417" t="s">
        <v>98</v>
      </c>
      <c r="CI1417" t="s">
        <v>206</v>
      </c>
      <c r="CJ1417" t="s">
        <v>98</v>
      </c>
      <c r="CK1417" t="s">
        <v>12323</v>
      </c>
      <c r="CL1417" t="s">
        <v>108</v>
      </c>
      <c r="CM1417" t="s">
        <v>109</v>
      </c>
      <c r="CN1417" t="str">
        <f>"Moore                      LCA #107"</f>
        <v>Moore                      LCA #107</v>
      </c>
      <c r="CO1417" t="str">
        <f>"Angela"</f>
        <v>Angela</v>
      </c>
      <c r="CP1417" t="str">
        <f>"G."</f>
        <v>G.</v>
      </c>
      <c r="CQ1417" t="str">
        <f>"Duane Morris LLP"</f>
        <v>Duane Morris LLP</v>
      </c>
      <c r="CR1417" t="s">
        <v>4446</v>
      </c>
    </row>
    <row r="1418" spans="1:96" x14ac:dyDescent="0.2">
      <c r="A1418" t="s">
        <v>10397</v>
      </c>
      <c r="B1418" t="s">
        <v>96</v>
      </c>
      <c r="C1418" s="1">
        <v>44099</v>
      </c>
      <c r="D1418" s="1">
        <v>44106</v>
      </c>
      <c r="F1418" t="s">
        <v>97</v>
      </c>
      <c r="G1418" t="str">
        <f>"Senior Manager, Software Engineering"</f>
        <v>Senior Manager, Software Engineering</v>
      </c>
      <c r="H1418" t="s">
        <v>12178</v>
      </c>
      <c r="I1418" t="s">
        <v>582</v>
      </c>
      <c r="J1418" t="s">
        <v>98</v>
      </c>
      <c r="K1418" s="1">
        <v>44103</v>
      </c>
      <c r="L1418" s="1">
        <v>45197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 t="s">
        <v>1114</v>
      </c>
      <c r="U1418" t="str">
        <f>""</f>
        <v/>
      </c>
      <c r="V1418" t="s">
        <v>1115</v>
      </c>
      <c r="W1418" t="str">
        <f>"10TH FLOOR"</f>
        <v>10TH FLOOR</v>
      </c>
      <c r="X1418" t="s">
        <v>480</v>
      </c>
      <c r="Y1418" t="s">
        <v>215</v>
      </c>
      <c r="Z1418" s="3">
        <v>30339</v>
      </c>
      <c r="AA1418" t="s">
        <v>101</v>
      </c>
      <c r="AC1418" s="4" t="str">
        <f>"+16785977719"</f>
        <v>+16785977719</v>
      </c>
      <c r="AE1418" t="str">
        <f>"541511"</f>
        <v>541511</v>
      </c>
      <c r="AF1418" t="s">
        <v>1116</v>
      </c>
      <c r="AG1418" t="s">
        <v>491</v>
      </c>
      <c r="AI1418" t="s">
        <v>2122</v>
      </c>
      <c r="AJ1418" t="s">
        <v>1115</v>
      </c>
      <c r="AK1418" t="str">
        <f>"10TH FLOOR"</f>
        <v>10TH FLOOR</v>
      </c>
      <c r="AL1418" t="s">
        <v>480</v>
      </c>
      <c r="AM1418" t="s">
        <v>215</v>
      </c>
      <c r="AN1418" s="3">
        <v>30339</v>
      </c>
      <c r="AO1418" t="s">
        <v>101</v>
      </c>
      <c r="AQ1418" t="str">
        <f>"+16785877719"</f>
        <v>+16785877719</v>
      </c>
      <c r="AR1418">
        <v>0</v>
      </c>
      <c r="AS1418" t="s">
        <v>1118</v>
      </c>
      <c r="AT1418" t="s">
        <v>107</v>
      </c>
      <c r="AU1418" t="str">
        <f>"Hawkins"</f>
        <v>Hawkins</v>
      </c>
      <c r="AV1418" t="str">
        <f>"Janora"</f>
        <v>Janora</v>
      </c>
      <c r="AW1418" t="str">
        <f>""</f>
        <v/>
      </c>
      <c r="AX1418" t="str">
        <f>"1355 Peachtree St NE"</f>
        <v>1355 Peachtree St NE</v>
      </c>
      <c r="AY1418" t="str">
        <f>"Suite 900"</f>
        <v>Suite 900</v>
      </c>
      <c r="AZ1418" t="str">
        <f>"Atlanta"</f>
        <v>Atlanta</v>
      </c>
      <c r="BA1418" t="str">
        <f>"GA"</f>
        <v>GA</v>
      </c>
      <c r="BB1418" s="3">
        <v>30309</v>
      </c>
      <c r="BC1418" t="str">
        <f>"UNITED STATES OF AMERICA"</f>
        <v>UNITED STATES OF AMERICA</v>
      </c>
      <c r="BD1418" t="str">
        <f>""</f>
        <v/>
      </c>
      <c r="BE1418" t="str">
        <f>"+14048565495"</f>
        <v>+14048565495</v>
      </c>
      <c r="BF1418" t="str">
        <f>""</f>
        <v/>
      </c>
      <c r="BG1418" t="str">
        <f>"sjadavji@fragomen.com"</f>
        <v>sjadavji@fragomen.com</v>
      </c>
      <c r="BH1418" t="str">
        <f>"Fragomen, Del Rey, Bernsen &amp; Loewy, LLP"</f>
        <v>Fragomen, Del Rey, Bernsen &amp; Loewy, LLP</v>
      </c>
      <c r="BI1418" t="str">
        <f>"NY"</f>
        <v>NY</v>
      </c>
      <c r="BJ1418" t="str">
        <f>"New York Court of Appeals"</f>
        <v>New York Court of Appeals</v>
      </c>
      <c r="BK1418">
        <v>1</v>
      </c>
      <c r="BL1418" t="s">
        <v>102</v>
      </c>
      <c r="BM1418" t="str">
        <f>""</f>
        <v/>
      </c>
      <c r="BN1418" t="s">
        <v>1119</v>
      </c>
      <c r="BO1418" t="s">
        <v>1120</v>
      </c>
      <c r="BP1418" t="s">
        <v>213</v>
      </c>
      <c r="BQ1418" t="s">
        <v>1121</v>
      </c>
      <c r="BR1418" t="s">
        <v>215</v>
      </c>
      <c r="BS1418" s="5">
        <v>30339</v>
      </c>
      <c r="BT1418" s="2">
        <v>141858</v>
      </c>
      <c r="BV1418" t="s">
        <v>105</v>
      </c>
      <c r="BW1418" s="2">
        <v>141858</v>
      </c>
      <c r="BX1418" t="s">
        <v>105</v>
      </c>
      <c r="CA1418" t="str">
        <f>""</f>
        <v/>
      </c>
      <c r="CB1418" t="s">
        <v>244</v>
      </c>
      <c r="CC1418">
        <v>2020</v>
      </c>
      <c r="CD1418" t="s">
        <v>569</v>
      </c>
      <c r="CE1418" t="s">
        <v>355</v>
      </c>
      <c r="CF1418">
        <v>2</v>
      </c>
      <c r="CG1418" t="s">
        <v>98</v>
      </c>
      <c r="CH1418" t="s">
        <v>98</v>
      </c>
      <c r="CI1418" t="s">
        <v>206</v>
      </c>
      <c r="CJ1418" t="s">
        <v>98</v>
      </c>
      <c r="CK1418" t="s">
        <v>12323</v>
      </c>
      <c r="CL1418" t="s">
        <v>108</v>
      </c>
      <c r="CM1418" t="s">
        <v>109</v>
      </c>
      <c r="CN1418" t="str">
        <f>""</f>
        <v/>
      </c>
      <c r="CO1418" t="str">
        <f>""</f>
        <v/>
      </c>
      <c r="CP1418" t="str">
        <f>""</f>
        <v/>
      </c>
      <c r="CQ1418" t="str">
        <f>""</f>
        <v/>
      </c>
    </row>
    <row r="1419" spans="1:96" x14ac:dyDescent="0.2">
      <c r="A1419" t="s">
        <v>10412</v>
      </c>
      <c r="B1419" t="s">
        <v>96</v>
      </c>
      <c r="C1419" s="1">
        <v>44099</v>
      </c>
      <c r="D1419" s="1">
        <v>44106</v>
      </c>
      <c r="F1419" t="s">
        <v>97</v>
      </c>
      <c r="G1419" t="str">
        <f>"Manager JC50"</f>
        <v>Manager JC50</v>
      </c>
      <c r="H1419" t="s">
        <v>12181</v>
      </c>
      <c r="I1419" t="s">
        <v>110</v>
      </c>
      <c r="J1419" t="s">
        <v>98</v>
      </c>
      <c r="K1419" s="1">
        <v>44107</v>
      </c>
      <c r="L1419" s="1">
        <v>45201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 t="s">
        <v>111</v>
      </c>
      <c r="U1419" t="str">
        <f>"CTSUS"</f>
        <v>CTSUS</v>
      </c>
      <c r="V1419" t="s">
        <v>112</v>
      </c>
      <c r="W1419" t="str">
        <f>""</f>
        <v/>
      </c>
      <c r="X1419" t="s">
        <v>113</v>
      </c>
      <c r="Y1419" t="s">
        <v>114</v>
      </c>
      <c r="Z1419" s="3">
        <v>77845</v>
      </c>
      <c r="AA1419" t="s">
        <v>101</v>
      </c>
      <c r="AB1419" t="s">
        <v>114</v>
      </c>
      <c r="AC1419" s="4" t="str">
        <f>"+19793296682"</f>
        <v>+19793296682</v>
      </c>
      <c r="AE1419" t="str">
        <f>"541512"</f>
        <v>541512</v>
      </c>
      <c r="AF1419" t="s">
        <v>115</v>
      </c>
      <c r="AG1419" t="s">
        <v>116</v>
      </c>
      <c r="AH1419" t="s">
        <v>108</v>
      </c>
      <c r="AI1419" t="s">
        <v>117</v>
      </c>
      <c r="AJ1419" t="s">
        <v>118</v>
      </c>
      <c r="AK1419" t="str">
        <f>""</f>
        <v/>
      </c>
      <c r="AL1419" t="s">
        <v>119</v>
      </c>
      <c r="AM1419" t="s">
        <v>114</v>
      </c>
      <c r="AN1419" s="3">
        <v>77845</v>
      </c>
      <c r="AO1419" t="s">
        <v>101</v>
      </c>
      <c r="AQ1419" t="str">
        <f>"+19793296682"</f>
        <v>+19793296682</v>
      </c>
      <c r="AS1419" t="s">
        <v>120</v>
      </c>
      <c r="AT1419" t="s">
        <v>102</v>
      </c>
      <c r="AU1419" t="str">
        <f>""</f>
        <v/>
      </c>
      <c r="AV1419" t="str">
        <f>""</f>
        <v/>
      </c>
      <c r="AW1419" t="str">
        <f>""</f>
        <v/>
      </c>
      <c r="AX1419" t="str">
        <f>""</f>
        <v/>
      </c>
      <c r="AY1419" t="str">
        <f>""</f>
        <v/>
      </c>
      <c r="AZ1419" t="str">
        <f>""</f>
        <v/>
      </c>
      <c r="BA1419" t="str">
        <f>""</f>
        <v/>
      </c>
      <c r="BC1419" t="str">
        <f>""</f>
        <v/>
      </c>
      <c r="BD1419" t="str">
        <f>""</f>
        <v/>
      </c>
      <c r="BE1419" t="str">
        <f>""</f>
        <v/>
      </c>
      <c r="BF1419" t="str">
        <f>""</f>
        <v/>
      </c>
      <c r="BG1419" t="str">
        <f>""</f>
        <v/>
      </c>
      <c r="BH1419" t="str">
        <f>""</f>
        <v/>
      </c>
      <c r="BI1419" t="str">
        <f>""</f>
        <v/>
      </c>
      <c r="BJ1419" t="str">
        <f>""</f>
        <v/>
      </c>
      <c r="BK1419">
        <v>1</v>
      </c>
      <c r="BL1419" t="s">
        <v>102</v>
      </c>
      <c r="BM1419" t="str">
        <f>""</f>
        <v/>
      </c>
      <c r="BN1419" t="s">
        <v>10413</v>
      </c>
      <c r="BP1419" t="s">
        <v>2337</v>
      </c>
      <c r="BQ1419" t="s">
        <v>547</v>
      </c>
      <c r="BR1419" t="s">
        <v>280</v>
      </c>
      <c r="BS1419" s="5">
        <v>6067</v>
      </c>
      <c r="BT1419" s="2">
        <v>93309</v>
      </c>
      <c r="BV1419" t="s">
        <v>105</v>
      </c>
      <c r="BW1419" s="2">
        <v>93309</v>
      </c>
      <c r="BX1419" t="s">
        <v>105</v>
      </c>
      <c r="BZ1419" t="s">
        <v>123</v>
      </c>
      <c r="CA1419" t="str">
        <f t="shared" ref="CA1419:CA1447" si="109">"7/1/2020 - 6/30/2021"</f>
        <v>7/1/2020 - 6/30/2021</v>
      </c>
      <c r="CF1419">
        <v>1</v>
      </c>
      <c r="CG1419" t="s">
        <v>98</v>
      </c>
      <c r="CH1419" t="s">
        <v>98</v>
      </c>
      <c r="CI1419" t="s">
        <v>206</v>
      </c>
      <c r="CJ1419" t="s">
        <v>98</v>
      </c>
      <c r="CK1419" t="s">
        <v>12323</v>
      </c>
      <c r="CL1419" t="s">
        <v>108</v>
      </c>
      <c r="CM1419" t="s">
        <v>109</v>
      </c>
      <c r="CN1419" t="str">
        <f>""</f>
        <v/>
      </c>
      <c r="CO1419" t="str">
        <f>""</f>
        <v/>
      </c>
      <c r="CP1419" t="str">
        <f>""</f>
        <v/>
      </c>
      <c r="CQ1419" t="str">
        <f>""</f>
        <v/>
      </c>
    </row>
    <row r="1420" spans="1:96" x14ac:dyDescent="0.2">
      <c r="A1420" t="s">
        <v>10419</v>
      </c>
      <c r="B1420" t="s">
        <v>96</v>
      </c>
      <c r="C1420" s="1">
        <v>44099</v>
      </c>
      <c r="D1420" s="1">
        <v>44106</v>
      </c>
      <c r="F1420" t="s">
        <v>97</v>
      </c>
      <c r="G1420" t="str">
        <f>"Software Developer/Architect"</f>
        <v>Software Developer/Architect</v>
      </c>
      <c r="H1420" t="s">
        <v>12169</v>
      </c>
      <c r="I1420" t="s">
        <v>124</v>
      </c>
      <c r="J1420" t="s">
        <v>98</v>
      </c>
      <c r="K1420" s="1">
        <v>44102</v>
      </c>
      <c r="L1420" s="1">
        <v>45196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 t="s">
        <v>10420</v>
      </c>
      <c r="U1420" t="str">
        <f>""</f>
        <v/>
      </c>
      <c r="V1420" t="s">
        <v>9655</v>
      </c>
      <c r="W1420" t="str">
        <f>"#100"</f>
        <v>#100</v>
      </c>
      <c r="X1420" t="s">
        <v>6144</v>
      </c>
      <c r="Y1420" t="s">
        <v>135</v>
      </c>
      <c r="Z1420" s="3">
        <v>20166</v>
      </c>
      <c r="AA1420" t="s">
        <v>101</v>
      </c>
      <c r="AC1420" s="4" t="str">
        <f>"+18553244636"</f>
        <v>+18553244636</v>
      </c>
      <c r="AD1420">
        <v>114</v>
      </c>
      <c r="AE1420" t="str">
        <f>"541511"</f>
        <v>541511</v>
      </c>
      <c r="AF1420" t="s">
        <v>6145</v>
      </c>
      <c r="AG1420" t="s">
        <v>10421</v>
      </c>
      <c r="AI1420" t="s">
        <v>3239</v>
      </c>
      <c r="AJ1420" t="s">
        <v>9655</v>
      </c>
      <c r="AK1420" t="str">
        <f>"#100"</f>
        <v>#100</v>
      </c>
      <c r="AL1420" t="s">
        <v>6144</v>
      </c>
      <c r="AM1420" t="s">
        <v>135</v>
      </c>
      <c r="AN1420" s="3">
        <v>20166</v>
      </c>
      <c r="AO1420" t="s">
        <v>101</v>
      </c>
      <c r="AQ1420" t="str">
        <f>"+18553244636"</f>
        <v>+18553244636</v>
      </c>
      <c r="AR1420">
        <v>114</v>
      </c>
      <c r="AS1420" t="s">
        <v>6146</v>
      </c>
      <c r="AT1420" t="s">
        <v>102</v>
      </c>
      <c r="AU1420" t="str">
        <f>""</f>
        <v/>
      </c>
      <c r="AV1420" t="str">
        <f>""</f>
        <v/>
      </c>
      <c r="AW1420" t="str">
        <f>""</f>
        <v/>
      </c>
      <c r="AX1420" t="str">
        <f>""</f>
        <v/>
      </c>
      <c r="AY1420" t="str">
        <f>""</f>
        <v/>
      </c>
      <c r="AZ1420" t="str">
        <f>""</f>
        <v/>
      </c>
      <c r="BA1420" t="str">
        <f>""</f>
        <v/>
      </c>
      <c r="BC1420" t="str">
        <f>""</f>
        <v/>
      </c>
      <c r="BD1420" t="str">
        <f>""</f>
        <v/>
      </c>
      <c r="BE1420" t="str">
        <f>""</f>
        <v/>
      </c>
      <c r="BF1420" t="str">
        <f>""</f>
        <v/>
      </c>
      <c r="BG1420" t="str">
        <f>""</f>
        <v/>
      </c>
      <c r="BH1420" t="str">
        <f>""</f>
        <v/>
      </c>
      <c r="BI1420" t="str">
        <f>""</f>
        <v/>
      </c>
      <c r="BJ1420" t="str">
        <f>""</f>
        <v/>
      </c>
      <c r="BK1420">
        <v>1</v>
      </c>
      <c r="BL1420" t="s">
        <v>107</v>
      </c>
      <c r="BM1420" t="str">
        <f>"CAPITAL ONE"</f>
        <v>CAPITAL ONE</v>
      </c>
      <c r="BN1420" t="s">
        <v>8565</v>
      </c>
      <c r="BO1420" t="s">
        <v>3786</v>
      </c>
      <c r="BP1420" t="s">
        <v>1741</v>
      </c>
      <c r="BQ1420" t="s">
        <v>1777</v>
      </c>
      <c r="BR1420" t="s">
        <v>1776</v>
      </c>
      <c r="BS1420" s="5">
        <v>19801</v>
      </c>
      <c r="BT1420" s="2">
        <v>89773</v>
      </c>
      <c r="BU1420" s="2">
        <v>90000</v>
      </c>
      <c r="BV1420" t="s">
        <v>105</v>
      </c>
      <c r="BW1420" s="2">
        <v>89773</v>
      </c>
      <c r="BX1420" t="s">
        <v>105</v>
      </c>
      <c r="BZ1420" t="s">
        <v>167</v>
      </c>
      <c r="CA1420" t="str">
        <f t="shared" si="109"/>
        <v>7/1/2020 - 6/30/2021</v>
      </c>
      <c r="CF1420">
        <v>1</v>
      </c>
      <c r="CG1420" t="s">
        <v>98</v>
      </c>
      <c r="CH1420" t="s">
        <v>98</v>
      </c>
      <c r="CI1420" t="s">
        <v>206</v>
      </c>
      <c r="CJ1420" t="s">
        <v>98</v>
      </c>
      <c r="CK1420" t="s">
        <v>12323</v>
      </c>
      <c r="CL1420" t="s">
        <v>108</v>
      </c>
      <c r="CM1420" t="s">
        <v>109</v>
      </c>
      <c r="CN1420" t="str">
        <f>""</f>
        <v/>
      </c>
      <c r="CO1420" t="str">
        <f>""</f>
        <v/>
      </c>
      <c r="CP1420" t="str">
        <f>""</f>
        <v/>
      </c>
      <c r="CQ1420" t="str">
        <f>""</f>
        <v/>
      </c>
    </row>
    <row r="1421" spans="1:96" x14ac:dyDescent="0.2">
      <c r="A1421" t="s">
        <v>10500</v>
      </c>
      <c r="B1421" t="s">
        <v>96</v>
      </c>
      <c r="C1421" s="1">
        <v>44099</v>
      </c>
      <c r="D1421" s="1">
        <v>44106</v>
      </c>
      <c r="F1421" t="s">
        <v>97</v>
      </c>
      <c r="G1421" t="str">
        <f>"JUNIOR COMPUTER SYSTEMS ENGINEER 1"</f>
        <v>JUNIOR COMPUTER SYSTEMS ENGINEER 1</v>
      </c>
      <c r="H1421" t="s">
        <v>12168</v>
      </c>
      <c r="I1421" t="s">
        <v>160</v>
      </c>
      <c r="J1421" t="s">
        <v>98</v>
      </c>
      <c r="K1421" s="1">
        <v>44109</v>
      </c>
      <c r="L1421" s="1">
        <v>45203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 t="s">
        <v>5028</v>
      </c>
      <c r="U1421" t="str">
        <f>""</f>
        <v/>
      </c>
      <c r="V1421" t="s">
        <v>5029</v>
      </c>
      <c r="W1421" t="str">
        <f>""</f>
        <v/>
      </c>
      <c r="X1421" t="s">
        <v>399</v>
      </c>
      <c r="Y1421" t="s">
        <v>141</v>
      </c>
      <c r="Z1421" s="3">
        <v>94555</v>
      </c>
      <c r="AA1421" t="s">
        <v>101</v>
      </c>
      <c r="AC1421" s="4" t="str">
        <f>"+15107954800"</f>
        <v>+15107954800</v>
      </c>
      <c r="AE1421" t="str">
        <f>"541519"</f>
        <v>541519</v>
      </c>
      <c r="AF1421" t="s">
        <v>5030</v>
      </c>
      <c r="AG1421" t="s">
        <v>5031</v>
      </c>
      <c r="AI1421" t="s">
        <v>5032</v>
      </c>
      <c r="AJ1421" t="s">
        <v>5029</v>
      </c>
      <c r="AK1421" t="str">
        <f>""</f>
        <v/>
      </c>
      <c r="AL1421" t="s">
        <v>399</v>
      </c>
      <c r="AM1421" t="s">
        <v>141</v>
      </c>
      <c r="AN1421" s="3">
        <v>94555</v>
      </c>
      <c r="AO1421" t="s">
        <v>101</v>
      </c>
      <c r="AQ1421" t="str">
        <f>"+15103997818"</f>
        <v>+15103997818</v>
      </c>
      <c r="AS1421" t="s">
        <v>5033</v>
      </c>
      <c r="AT1421" t="s">
        <v>102</v>
      </c>
      <c r="AU1421" t="str">
        <f>""</f>
        <v/>
      </c>
      <c r="AV1421" t="str">
        <f>""</f>
        <v/>
      </c>
      <c r="AW1421" t="str">
        <f>""</f>
        <v/>
      </c>
      <c r="AX1421" t="str">
        <f>""</f>
        <v/>
      </c>
      <c r="AY1421" t="str">
        <f>""</f>
        <v/>
      </c>
      <c r="AZ1421" t="str">
        <f>""</f>
        <v/>
      </c>
      <c r="BA1421" t="str">
        <f>""</f>
        <v/>
      </c>
      <c r="BC1421" t="str">
        <f>""</f>
        <v/>
      </c>
      <c r="BD1421" t="str">
        <f>""</f>
        <v/>
      </c>
      <c r="BE1421" t="str">
        <f>""</f>
        <v/>
      </c>
      <c r="BF1421" t="str">
        <f>""</f>
        <v/>
      </c>
      <c r="BG1421" t="str">
        <f>""</f>
        <v/>
      </c>
      <c r="BH1421" t="str">
        <f>""</f>
        <v/>
      </c>
      <c r="BI1421" t="str">
        <f>""</f>
        <v/>
      </c>
      <c r="BJ1421" t="str">
        <f>""</f>
        <v/>
      </c>
      <c r="BK1421">
        <v>1</v>
      </c>
      <c r="BL1421" t="s">
        <v>107</v>
      </c>
      <c r="BM1421" t="str">
        <f>"GOOGLE LLC"</f>
        <v>GOOGLE LLC</v>
      </c>
      <c r="BN1421" t="s">
        <v>10501</v>
      </c>
      <c r="BP1421" t="s">
        <v>1288</v>
      </c>
      <c r="BQ1421" t="s">
        <v>230</v>
      </c>
      <c r="BR1421" t="s">
        <v>141</v>
      </c>
      <c r="BS1421" s="5">
        <v>94303</v>
      </c>
      <c r="BT1421" s="2">
        <v>85000.08</v>
      </c>
      <c r="BV1421" t="s">
        <v>105</v>
      </c>
      <c r="BW1421" s="2">
        <v>84490</v>
      </c>
      <c r="BX1421" t="s">
        <v>105</v>
      </c>
      <c r="BZ1421" t="s">
        <v>191</v>
      </c>
      <c r="CA1421" t="str">
        <f t="shared" si="109"/>
        <v>7/1/2020 - 6/30/2021</v>
      </c>
      <c r="CF1421">
        <v>2</v>
      </c>
      <c r="CG1421" t="s">
        <v>98</v>
      </c>
      <c r="CH1421" t="s">
        <v>98</v>
      </c>
      <c r="CI1421" t="s">
        <v>206</v>
      </c>
      <c r="CJ1421" t="s">
        <v>98</v>
      </c>
      <c r="CK1421" t="s">
        <v>12323</v>
      </c>
      <c r="CL1421" t="s">
        <v>108</v>
      </c>
      <c r="CM1421" t="s">
        <v>109</v>
      </c>
      <c r="CN1421" t="str">
        <f>""</f>
        <v/>
      </c>
      <c r="CO1421" t="str">
        <f>""</f>
        <v/>
      </c>
      <c r="CP1421" t="str">
        <f>""</f>
        <v/>
      </c>
      <c r="CQ1421" t="str">
        <f>""</f>
        <v/>
      </c>
    </row>
    <row r="1422" spans="1:96" x14ac:dyDescent="0.2">
      <c r="A1422" t="s">
        <v>10505</v>
      </c>
      <c r="B1422" t="s">
        <v>96</v>
      </c>
      <c r="C1422" s="1">
        <v>44099</v>
      </c>
      <c r="D1422" s="1">
        <v>44106</v>
      </c>
      <c r="F1422" t="s">
        <v>97</v>
      </c>
      <c r="G1422" t="str">
        <f>"Design Engineer"</f>
        <v>Design Engineer</v>
      </c>
      <c r="H1422" t="s">
        <v>12257</v>
      </c>
      <c r="I1422" t="s">
        <v>1786</v>
      </c>
      <c r="J1422" t="s">
        <v>98</v>
      </c>
      <c r="K1422" s="1">
        <v>44106</v>
      </c>
      <c r="L1422" s="1">
        <v>45085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 t="s">
        <v>3321</v>
      </c>
      <c r="U1422" t="str">
        <f>""</f>
        <v/>
      </c>
      <c r="V1422" t="s">
        <v>2828</v>
      </c>
      <c r="W1422" t="str">
        <f>"Ste. 3002"</f>
        <v>Ste. 3002</v>
      </c>
      <c r="X1422" t="s">
        <v>561</v>
      </c>
      <c r="Y1422" t="s">
        <v>100</v>
      </c>
      <c r="Z1422" s="3">
        <v>8817</v>
      </c>
      <c r="AA1422" t="s">
        <v>101</v>
      </c>
      <c r="AC1422" s="4" t="str">
        <f>"+17322486119"</f>
        <v>+17322486119</v>
      </c>
      <c r="AE1422" t="str">
        <f>"541330"</f>
        <v>541330</v>
      </c>
      <c r="AF1422" t="s">
        <v>2829</v>
      </c>
      <c r="AG1422" t="s">
        <v>2830</v>
      </c>
      <c r="AH1422" t="s">
        <v>108</v>
      </c>
      <c r="AI1422" t="s">
        <v>2831</v>
      </c>
      <c r="AJ1422" t="s">
        <v>2828</v>
      </c>
      <c r="AK1422" t="str">
        <f>"Ste. 3002"</f>
        <v>Ste. 3002</v>
      </c>
      <c r="AL1422" t="s">
        <v>561</v>
      </c>
      <c r="AM1422" t="s">
        <v>100</v>
      </c>
      <c r="AN1422" s="3">
        <v>8817</v>
      </c>
      <c r="AO1422" t="s">
        <v>101</v>
      </c>
      <c r="AQ1422" t="str">
        <f>"+17322486119"</f>
        <v>+17322486119</v>
      </c>
      <c r="AS1422" t="s">
        <v>2832</v>
      </c>
      <c r="AT1422" t="s">
        <v>107</v>
      </c>
      <c r="AU1422" t="str">
        <f>"Nasr"</f>
        <v>Nasr</v>
      </c>
      <c r="AV1422" t="str">
        <f>"Catherine"</f>
        <v>Catherine</v>
      </c>
      <c r="AW1422" t="str">
        <f>"N/A"</f>
        <v>N/A</v>
      </c>
      <c r="AX1422" t="str">
        <f>"5250 Corporate Drive"</f>
        <v>5250 Corporate Drive</v>
      </c>
      <c r="AY1422" t="str">
        <f>"Ste. 300"</f>
        <v>Ste. 300</v>
      </c>
      <c r="AZ1422" t="str">
        <f>"Troy"</f>
        <v>Troy</v>
      </c>
      <c r="BA1422" t="str">
        <f>"MI"</f>
        <v>MI</v>
      </c>
      <c r="BB1422" s="3">
        <v>48098</v>
      </c>
      <c r="BC1422" t="str">
        <f>"UNITED STATES OF AMERICA"</f>
        <v>UNITED STATES OF AMERICA</v>
      </c>
      <c r="BD1422" t="str">
        <f>""</f>
        <v/>
      </c>
      <c r="BE1422" t="str">
        <f>"+12486434900"</f>
        <v>+12486434900</v>
      </c>
      <c r="BF1422" t="str">
        <f>""</f>
        <v/>
      </c>
      <c r="BG1422" t="str">
        <f>"Heenaa@employmentimmigration.com"</f>
        <v>Heenaa@employmentimmigration.com</v>
      </c>
      <c r="BH1422" t="str">
        <f>"Fakhoury Global Immigration, USA PC"</f>
        <v>Fakhoury Global Immigration, USA PC</v>
      </c>
      <c r="BI1422" t="str">
        <f>"MI"</f>
        <v>MI</v>
      </c>
      <c r="BJ1422" t="str">
        <f>"Supreme Court"</f>
        <v>Supreme Court</v>
      </c>
      <c r="BK1422">
        <v>1</v>
      </c>
      <c r="BL1422" t="s">
        <v>107</v>
      </c>
      <c r="BM1422" t="str">
        <f>"CNH Industrial America LLC"</f>
        <v>CNH Industrial America LLC</v>
      </c>
      <c r="BN1422" t="s">
        <v>9133</v>
      </c>
      <c r="BP1422" t="s">
        <v>4282</v>
      </c>
      <c r="BQ1422" t="s">
        <v>1382</v>
      </c>
      <c r="BR1422" t="s">
        <v>345</v>
      </c>
      <c r="BS1422" s="5">
        <v>60527</v>
      </c>
      <c r="BT1422" s="2">
        <v>73000</v>
      </c>
      <c r="BU1422" s="2">
        <v>83000</v>
      </c>
      <c r="BV1422" t="s">
        <v>105</v>
      </c>
      <c r="BW1422" s="2">
        <v>56430</v>
      </c>
      <c r="BX1422" t="s">
        <v>105</v>
      </c>
      <c r="BZ1422" t="s">
        <v>167</v>
      </c>
      <c r="CA1422" t="str">
        <f t="shared" si="109"/>
        <v>7/1/2020 - 6/30/2021</v>
      </c>
      <c r="CF1422">
        <v>2</v>
      </c>
      <c r="CG1422" t="s">
        <v>98</v>
      </c>
      <c r="CH1422" t="s">
        <v>98</v>
      </c>
      <c r="CI1422" t="s">
        <v>206</v>
      </c>
      <c r="CJ1422" t="s">
        <v>98</v>
      </c>
      <c r="CK1422" t="s">
        <v>12323</v>
      </c>
      <c r="CL1422" t="s">
        <v>108</v>
      </c>
      <c r="CM1422" t="s">
        <v>109</v>
      </c>
      <c r="CN1422" t="str">
        <f>"Nasr"</f>
        <v>Nasr</v>
      </c>
      <c r="CO1422" t="str">
        <f>"Catherine"</f>
        <v>Catherine</v>
      </c>
      <c r="CP1422" t="str">
        <f>""</f>
        <v/>
      </c>
      <c r="CQ1422" t="str">
        <f>"Fakhoury Global Immigration, USA PC"</f>
        <v>Fakhoury Global Immigration, USA PC</v>
      </c>
      <c r="CR1422" t="s">
        <v>10506</v>
      </c>
    </row>
    <row r="1423" spans="1:96" x14ac:dyDescent="0.2">
      <c r="A1423" t="s">
        <v>10507</v>
      </c>
      <c r="B1423" t="s">
        <v>96</v>
      </c>
      <c r="C1423" s="1">
        <v>44099</v>
      </c>
      <c r="D1423" s="1">
        <v>44106</v>
      </c>
      <c r="F1423" t="s">
        <v>97</v>
      </c>
      <c r="G1423" t="str">
        <f>"Sales Engineer"</f>
        <v>Sales Engineer</v>
      </c>
      <c r="H1423" t="s">
        <v>12227</v>
      </c>
      <c r="I1423" t="s">
        <v>766</v>
      </c>
      <c r="J1423" t="s">
        <v>98</v>
      </c>
      <c r="K1423" s="1">
        <v>44105</v>
      </c>
      <c r="L1423" s="1">
        <v>45200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4439</v>
      </c>
      <c r="U1423" t="str">
        <f>"Tata Elxsi"</f>
        <v>Tata Elxsi</v>
      </c>
      <c r="V1423" t="s">
        <v>4440</v>
      </c>
      <c r="W1423" t="str">
        <f>"Suite 215"</f>
        <v>Suite 215</v>
      </c>
      <c r="X1423" t="s">
        <v>247</v>
      </c>
      <c r="Y1423" t="s">
        <v>141</v>
      </c>
      <c r="Z1423" s="3">
        <v>95051</v>
      </c>
      <c r="AA1423" t="s">
        <v>101</v>
      </c>
      <c r="AC1423" s="4" t="str">
        <f>"+14088948282"</f>
        <v>+14088948282</v>
      </c>
      <c r="AE1423" t="str">
        <f>"541511"</f>
        <v>541511</v>
      </c>
      <c r="AF1423" t="s">
        <v>10395</v>
      </c>
      <c r="AG1423" t="s">
        <v>4442</v>
      </c>
      <c r="AH1423" t="s">
        <v>108</v>
      </c>
      <c r="AI1423" t="s">
        <v>4443</v>
      </c>
      <c r="AJ1423" t="s">
        <v>4444</v>
      </c>
      <c r="AK1423" t="str">
        <f>"Suite 300"</f>
        <v>Suite 300</v>
      </c>
      <c r="AL1423" t="s">
        <v>218</v>
      </c>
      <c r="AM1423" t="s">
        <v>127</v>
      </c>
      <c r="AN1423" s="3">
        <v>19103</v>
      </c>
      <c r="AO1423" t="s">
        <v>101</v>
      </c>
      <c r="AQ1423" t="str">
        <f>"+14088948282"</f>
        <v>+14088948282</v>
      </c>
      <c r="AR1423">
        <v>2012</v>
      </c>
      <c r="AS1423" t="s">
        <v>4445</v>
      </c>
      <c r="AT1423" t="s">
        <v>107</v>
      </c>
      <c r="AU1423" t="str">
        <f>"Moore"</f>
        <v>Moore</v>
      </c>
      <c r="AV1423" t="str">
        <f>"Angela "</f>
        <v xml:space="preserve">Angela </v>
      </c>
      <c r="AW1423" t="str">
        <f>"G."</f>
        <v>G.</v>
      </c>
      <c r="AX1423" t="str">
        <f>"One Market Plaza, Spear Tower"</f>
        <v>One Market Plaza, Spear Tower</v>
      </c>
      <c r="AY1423" t="str">
        <f>"Suite 2200"</f>
        <v>Suite 2200</v>
      </c>
      <c r="AZ1423" t="str">
        <f>"San Francisco"</f>
        <v>San Francisco</v>
      </c>
      <c r="BA1423" t="str">
        <f>"CA"</f>
        <v>CA</v>
      </c>
      <c r="BB1423" s="3">
        <v>94105</v>
      </c>
      <c r="BC1423" t="str">
        <f>"UNITED STATES OF AMERICA"</f>
        <v>UNITED STATES OF AMERICA</v>
      </c>
      <c r="BD1423" t="str">
        <f>""</f>
        <v/>
      </c>
      <c r="BE1423" t="str">
        <f>"+14159573120"</f>
        <v>+14159573120</v>
      </c>
      <c r="BF1423" t="str">
        <f>""</f>
        <v/>
      </c>
      <c r="BG1423" t="str">
        <f>"agmoore@duanemorris.com"</f>
        <v>agmoore@duanemorris.com</v>
      </c>
      <c r="BH1423" t="str">
        <f>"Duane Morris LLP"</f>
        <v>Duane Morris LLP</v>
      </c>
      <c r="BI1423" t="str">
        <f>"CA"</f>
        <v>CA</v>
      </c>
      <c r="BJ1423" t="str">
        <f>"Supreme Court "</f>
        <v xml:space="preserve">Supreme Court </v>
      </c>
      <c r="BK1423">
        <v>1</v>
      </c>
      <c r="BL1423" t="s">
        <v>102</v>
      </c>
      <c r="BM1423" t="str">
        <f>""</f>
        <v/>
      </c>
      <c r="BN1423" t="s">
        <v>4440</v>
      </c>
      <c r="BO1423" t="s">
        <v>5863</v>
      </c>
      <c r="BP1423" t="s">
        <v>247</v>
      </c>
      <c r="BQ1423" t="s">
        <v>230</v>
      </c>
      <c r="BR1423" t="s">
        <v>141</v>
      </c>
      <c r="BS1423" s="5">
        <v>95051</v>
      </c>
      <c r="BT1423" s="2">
        <v>158371</v>
      </c>
      <c r="BU1423" s="2">
        <v>178371</v>
      </c>
      <c r="BV1423" t="s">
        <v>105</v>
      </c>
      <c r="BW1423" s="2">
        <v>158371</v>
      </c>
      <c r="BX1423" t="s">
        <v>105</v>
      </c>
      <c r="BZ1423" t="s">
        <v>159</v>
      </c>
      <c r="CA1423" t="str">
        <f t="shared" si="109"/>
        <v>7/1/2020 - 6/30/2021</v>
      </c>
      <c r="CF1423">
        <v>1</v>
      </c>
      <c r="CG1423" t="s">
        <v>98</v>
      </c>
      <c r="CH1423" t="s">
        <v>98</v>
      </c>
      <c r="CI1423" t="s">
        <v>206</v>
      </c>
      <c r="CJ1423" t="s">
        <v>98</v>
      </c>
      <c r="CK1423" t="s">
        <v>12323</v>
      </c>
      <c r="CL1423" t="s">
        <v>108</v>
      </c>
      <c r="CM1423" t="s">
        <v>109</v>
      </c>
      <c r="CN1423" t="str">
        <f>"Moore"</f>
        <v>Moore</v>
      </c>
      <c r="CO1423" t="str">
        <f>"Angela "</f>
        <v xml:space="preserve">Angela </v>
      </c>
      <c r="CP1423" t="str">
        <f>"G. "</f>
        <v xml:space="preserve">G. </v>
      </c>
      <c r="CQ1423" t="str">
        <f>"Duane Morris LLP"</f>
        <v>Duane Morris LLP</v>
      </c>
      <c r="CR1423" t="s">
        <v>4446</v>
      </c>
    </row>
    <row r="1424" spans="1:96" x14ac:dyDescent="0.2">
      <c r="A1424" t="s">
        <v>10520</v>
      </c>
      <c r="B1424" t="s">
        <v>96</v>
      </c>
      <c r="C1424" s="1">
        <v>44099</v>
      </c>
      <c r="D1424" s="1">
        <v>44106</v>
      </c>
      <c r="F1424" t="s">
        <v>97</v>
      </c>
      <c r="G1424" t="str">
        <f>"Senior Applications Developer"</f>
        <v>Senior Applications Developer</v>
      </c>
      <c r="H1424" t="s">
        <v>12169</v>
      </c>
      <c r="I1424" t="s">
        <v>124</v>
      </c>
      <c r="J1424" t="s">
        <v>98</v>
      </c>
      <c r="K1424" s="1">
        <v>44197</v>
      </c>
      <c r="L1424" s="1">
        <v>45290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 t="s">
        <v>598</v>
      </c>
      <c r="U1424" t="str">
        <f>""</f>
        <v/>
      </c>
      <c r="V1424" t="s">
        <v>599</v>
      </c>
      <c r="W1424" t="str">
        <f>"SUITE 1700"</f>
        <v>SUITE 1700</v>
      </c>
      <c r="X1424" t="s">
        <v>364</v>
      </c>
      <c r="Y1424" t="s">
        <v>141</v>
      </c>
      <c r="Z1424" s="3">
        <v>91367</v>
      </c>
      <c r="AA1424" t="s">
        <v>101</v>
      </c>
      <c r="AB1424" t="s">
        <v>141</v>
      </c>
      <c r="AC1424" s="4" t="str">
        <f>"+18059554140"</f>
        <v>+18059554140</v>
      </c>
      <c r="AE1424" t="str">
        <f>"541512"</f>
        <v>541512</v>
      </c>
      <c r="AF1424" t="s">
        <v>600</v>
      </c>
      <c r="AG1424" t="s">
        <v>601</v>
      </c>
      <c r="AH1424" t="s">
        <v>108</v>
      </c>
      <c r="AI1424" t="s">
        <v>602</v>
      </c>
      <c r="AJ1424" t="s">
        <v>599</v>
      </c>
      <c r="AK1424" t="str">
        <f>"SUITE 1700"</f>
        <v>SUITE 1700</v>
      </c>
      <c r="AL1424" t="s">
        <v>364</v>
      </c>
      <c r="AM1424" t="s">
        <v>141</v>
      </c>
      <c r="AN1424" s="3">
        <v>91367</v>
      </c>
      <c r="AO1424" t="s">
        <v>101</v>
      </c>
      <c r="AQ1424" t="str">
        <f>"+18059554111"</f>
        <v>+18059554111</v>
      </c>
      <c r="AS1424" t="s">
        <v>603</v>
      </c>
      <c r="AT1424" t="s">
        <v>107</v>
      </c>
      <c r="AU1424" t="str">
        <f>"BEDI"</f>
        <v>BEDI</v>
      </c>
      <c r="AV1424" t="str">
        <f>"MIKE"</f>
        <v>MIKE</v>
      </c>
      <c r="AW1424" t="str">
        <f>"M."</f>
        <v>M.</v>
      </c>
      <c r="AX1424" t="str">
        <f>"2600 VIRGINIA AVENUE NW"</f>
        <v>2600 VIRGINIA AVENUE NW</v>
      </c>
      <c r="AY1424" t="str">
        <f>"SUITE T125"</f>
        <v>SUITE T125</v>
      </c>
      <c r="AZ1424" t="str">
        <f>"WASHINGTON"</f>
        <v>WASHINGTON</v>
      </c>
      <c r="BA1424" t="str">
        <f>"DC"</f>
        <v>DC</v>
      </c>
      <c r="BB1424" s="3">
        <v>20037</v>
      </c>
      <c r="BC1424" t="str">
        <f>"UNITED STATES OF AMERICA"</f>
        <v>UNITED STATES OF AMERICA</v>
      </c>
      <c r="BD1424" t="str">
        <f>""</f>
        <v/>
      </c>
      <c r="BE1424" t="str">
        <f>"+12029654121"</f>
        <v>+12029654121</v>
      </c>
      <c r="BF1424" t="str">
        <f>""</f>
        <v/>
      </c>
      <c r="BG1424" t="str">
        <f>"STAFF@USAVISAS.NET"</f>
        <v>STAFF@USAVISAS.NET</v>
      </c>
      <c r="BH1424" t="str">
        <f>"Bedi &amp; Martinez, Esqs."</f>
        <v>Bedi &amp; Martinez, Esqs.</v>
      </c>
      <c r="BI1424" t="str">
        <f>"DC"</f>
        <v>DC</v>
      </c>
      <c r="BJ1424" t="str">
        <f>"US SUPREME COURT"</f>
        <v>US SUPREME COURT</v>
      </c>
      <c r="BK1424">
        <v>1</v>
      </c>
      <c r="BL1424" t="s">
        <v>107</v>
      </c>
      <c r="BM1424" t="str">
        <f>" Dish Purchasing Corporation"</f>
        <v xml:space="preserve"> Dish Purchasing Corporation</v>
      </c>
      <c r="BN1424" t="s">
        <v>273</v>
      </c>
      <c r="BP1424" t="s">
        <v>2291</v>
      </c>
      <c r="BQ1424" t="s">
        <v>165</v>
      </c>
      <c r="BR1424" t="s">
        <v>166</v>
      </c>
      <c r="BS1424" s="5">
        <v>80112</v>
      </c>
      <c r="BT1424" s="2">
        <v>102000</v>
      </c>
      <c r="BV1424" t="s">
        <v>105</v>
      </c>
      <c r="BW1424" s="2">
        <v>92477</v>
      </c>
      <c r="BX1424" t="s">
        <v>105</v>
      </c>
      <c r="BZ1424" t="s">
        <v>167</v>
      </c>
      <c r="CA1424" t="str">
        <f t="shared" si="109"/>
        <v>7/1/2020 - 6/30/2021</v>
      </c>
      <c r="CF1424">
        <v>1</v>
      </c>
      <c r="CG1424" t="s">
        <v>98</v>
      </c>
      <c r="CH1424" t="s">
        <v>98</v>
      </c>
      <c r="CI1424" t="s">
        <v>206</v>
      </c>
      <c r="CJ1424" t="s">
        <v>98</v>
      </c>
      <c r="CK1424" t="s">
        <v>12323</v>
      </c>
      <c r="CL1424" t="s">
        <v>108</v>
      </c>
      <c r="CM1424" t="s">
        <v>109</v>
      </c>
      <c r="CN1424" t="str">
        <f>""</f>
        <v/>
      </c>
      <c r="CO1424" t="str">
        <f>""</f>
        <v/>
      </c>
      <c r="CP1424" t="str">
        <f>""</f>
        <v/>
      </c>
      <c r="CQ1424" t="str">
        <f>""</f>
        <v/>
      </c>
    </row>
    <row r="1425" spans="1:96" x14ac:dyDescent="0.2">
      <c r="A1425" t="s">
        <v>10568</v>
      </c>
      <c r="B1425" t="s">
        <v>96</v>
      </c>
      <c r="C1425" s="1">
        <v>44099</v>
      </c>
      <c r="D1425" s="1">
        <v>44106</v>
      </c>
      <c r="F1425" t="s">
        <v>97</v>
      </c>
      <c r="G1425" t="str">
        <f>"COMPUTER PROGRAMMER 2"</f>
        <v>COMPUTER PROGRAMMER 2</v>
      </c>
      <c r="H1425" t="s">
        <v>12239</v>
      </c>
      <c r="I1425" t="s">
        <v>378</v>
      </c>
      <c r="J1425" t="s">
        <v>98</v>
      </c>
      <c r="K1425" s="1">
        <v>44106</v>
      </c>
      <c r="L1425" s="1">
        <v>45200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511</v>
      </c>
      <c r="U1425" t="str">
        <f>""</f>
        <v/>
      </c>
      <c r="V1425" t="s">
        <v>518</v>
      </c>
      <c r="W1425" t="str">
        <f>"STE. 300"</f>
        <v>STE. 300</v>
      </c>
      <c r="X1425" t="s">
        <v>519</v>
      </c>
      <c r="Y1425" t="s">
        <v>171</v>
      </c>
      <c r="Z1425" s="3">
        <v>1772</v>
      </c>
      <c r="AA1425" t="s">
        <v>101</v>
      </c>
      <c r="AC1425" s="4" t="str">
        <f>"+15083897451"</f>
        <v>+15083897451</v>
      </c>
      <c r="AE1425" t="str">
        <f>"541511"</f>
        <v>541511</v>
      </c>
      <c r="AF1425" t="s">
        <v>515</v>
      </c>
      <c r="AG1425" t="s">
        <v>516</v>
      </c>
      <c r="AI1425" t="s">
        <v>517</v>
      </c>
      <c r="AJ1425" t="s">
        <v>2797</v>
      </c>
      <c r="AK1425" t="str">
        <f>"STE. 300"</f>
        <v>STE. 300</v>
      </c>
      <c r="AL1425" t="s">
        <v>519</v>
      </c>
      <c r="AM1425" t="s">
        <v>171</v>
      </c>
      <c r="AN1425" s="3">
        <v>1772</v>
      </c>
      <c r="AO1425" t="s">
        <v>101</v>
      </c>
      <c r="AQ1425" t="str">
        <f>"+15083497451"</f>
        <v>+15083497451</v>
      </c>
      <c r="AS1425" t="s">
        <v>520</v>
      </c>
      <c r="AT1425" t="s">
        <v>107</v>
      </c>
      <c r="AU1425" t="str">
        <f>"CARTER"</f>
        <v>CARTER</v>
      </c>
      <c r="AV1425" t="str">
        <f>"KIRK"</f>
        <v>KIRK</v>
      </c>
      <c r="AW1425" t="str">
        <f>"A."</f>
        <v>A.</v>
      </c>
      <c r="AX1425" t="str">
        <f>"161 WORCESTER RD."</f>
        <v>161 WORCESTER RD.</v>
      </c>
      <c r="AY1425" t="str">
        <f>"STE. 501"</f>
        <v>STE. 501</v>
      </c>
      <c r="AZ1425" t="str">
        <f>"FRAMINGHAM"</f>
        <v>FRAMINGHAM</v>
      </c>
      <c r="BA1425" t="str">
        <f>"MA"</f>
        <v>MA</v>
      </c>
      <c r="BB1425" s="3">
        <v>1701</v>
      </c>
      <c r="BC1425" t="str">
        <f>"UNITED STATES OF AMERICA"</f>
        <v>UNITED STATES OF AMERICA</v>
      </c>
      <c r="BD1425" t="str">
        <f>""</f>
        <v/>
      </c>
      <c r="BE1425" t="str">
        <f>"+15085323514"</f>
        <v>+15085323514</v>
      </c>
      <c r="BF1425" t="str">
        <f>""</f>
        <v/>
      </c>
      <c r="BG1425" t="str">
        <f>"CRUSSO@FLETCHERTILTON.COM"</f>
        <v>CRUSSO@FLETCHERTILTON.COM</v>
      </c>
      <c r="BH1425" t="str">
        <f>"FLETCHER TILTON, P.C."</f>
        <v>FLETCHER TILTON, P.C.</v>
      </c>
      <c r="BI1425" t="str">
        <f>"MA"</f>
        <v>MA</v>
      </c>
      <c r="BJ1425" t="str">
        <f>"SUPREME JUDICIAL COURT"</f>
        <v>SUPREME JUDICIAL COURT</v>
      </c>
      <c r="BK1425">
        <v>1</v>
      </c>
      <c r="BL1425" t="s">
        <v>107</v>
      </c>
      <c r="BM1425" t="str">
        <f>"FISERV, INC. (F/K/A FIRST DATA CORPORATION)"</f>
        <v>FISERV, INC. (F/K/A FIRST DATA CORPORATION)</v>
      </c>
      <c r="BN1425" t="s">
        <v>10569</v>
      </c>
      <c r="BP1425" t="s">
        <v>2541</v>
      </c>
      <c r="BQ1425" t="s">
        <v>933</v>
      </c>
      <c r="BR1425" t="s">
        <v>934</v>
      </c>
      <c r="BS1425" s="5">
        <v>68114</v>
      </c>
      <c r="BT1425" s="2">
        <v>98500</v>
      </c>
      <c r="BV1425" t="s">
        <v>105</v>
      </c>
      <c r="BW1425" s="2">
        <v>65478</v>
      </c>
      <c r="BX1425" t="s">
        <v>105</v>
      </c>
      <c r="BZ1425" t="s">
        <v>167</v>
      </c>
      <c r="CA1425" t="str">
        <f t="shared" si="109"/>
        <v>7/1/2020 - 6/30/2021</v>
      </c>
      <c r="CF1425">
        <v>2</v>
      </c>
      <c r="CG1425" t="s">
        <v>98</v>
      </c>
      <c r="CH1425" t="s">
        <v>98</v>
      </c>
      <c r="CI1425" t="s">
        <v>206</v>
      </c>
      <c r="CJ1425" t="s">
        <v>98</v>
      </c>
      <c r="CK1425" t="s">
        <v>12323</v>
      </c>
      <c r="CL1425" t="s">
        <v>108</v>
      </c>
      <c r="CM1425" t="s">
        <v>109</v>
      </c>
      <c r="CN1425" t="str">
        <f>""</f>
        <v/>
      </c>
      <c r="CO1425" t="str">
        <f>""</f>
        <v/>
      </c>
      <c r="CP1425" t="str">
        <f>""</f>
        <v/>
      </c>
      <c r="CQ1425" t="str">
        <f>""</f>
        <v/>
      </c>
    </row>
    <row r="1426" spans="1:96" x14ac:dyDescent="0.2">
      <c r="A1426" t="s">
        <v>10570</v>
      </c>
      <c r="B1426" t="s">
        <v>96</v>
      </c>
      <c r="C1426" s="1">
        <v>44099</v>
      </c>
      <c r="D1426" s="1">
        <v>44106</v>
      </c>
      <c r="F1426" t="s">
        <v>97</v>
      </c>
      <c r="G1426" t="str">
        <f>"Senior Software Developer"</f>
        <v>Senior Software Developer</v>
      </c>
      <c r="H1426" t="s">
        <v>12169</v>
      </c>
      <c r="I1426" t="s">
        <v>124</v>
      </c>
      <c r="J1426" t="s">
        <v>98</v>
      </c>
      <c r="K1426" s="1">
        <v>44102</v>
      </c>
      <c r="L1426" s="1">
        <v>45196</v>
      </c>
      <c r="M1426">
        <v>6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 t="s">
        <v>2509</v>
      </c>
      <c r="U1426" t="str">
        <f>"Mastech Digital InfoTech, Inc."</f>
        <v>Mastech Digital InfoTech, Inc.</v>
      </c>
      <c r="V1426" t="s">
        <v>1081</v>
      </c>
      <c r="W1426" t="str">
        <f>"Bldg. 210, Suite 400"</f>
        <v>Bldg. 210, Suite 400</v>
      </c>
      <c r="X1426" t="s">
        <v>1082</v>
      </c>
      <c r="Y1426" t="s">
        <v>127</v>
      </c>
      <c r="Z1426" s="3">
        <v>15108</v>
      </c>
      <c r="AA1426" t="s">
        <v>101</v>
      </c>
      <c r="AB1426" t="s">
        <v>2510</v>
      </c>
      <c r="AC1426" s="4" t="str">
        <f>"+14127879553"</f>
        <v>+14127879553</v>
      </c>
      <c r="AE1426" t="str">
        <f>"541511"</f>
        <v>541511</v>
      </c>
      <c r="AF1426" t="s">
        <v>1083</v>
      </c>
      <c r="AG1426" t="s">
        <v>1084</v>
      </c>
      <c r="AI1426" t="s">
        <v>1085</v>
      </c>
      <c r="AJ1426" t="s">
        <v>1081</v>
      </c>
      <c r="AK1426" t="str">
        <f>"Bldg. 210, Ste 400"</f>
        <v>Bldg. 210, Ste 400</v>
      </c>
      <c r="AL1426" t="s">
        <v>1082</v>
      </c>
      <c r="AM1426" t="s">
        <v>127</v>
      </c>
      <c r="AN1426" s="3">
        <v>15108</v>
      </c>
      <c r="AO1426" t="s">
        <v>101</v>
      </c>
      <c r="AQ1426" t="str">
        <f>"+14127879553"</f>
        <v>+14127879553</v>
      </c>
      <c r="AS1426" t="s">
        <v>1086</v>
      </c>
      <c r="AT1426" t="s">
        <v>102</v>
      </c>
      <c r="AU1426" t="str">
        <f>""</f>
        <v/>
      </c>
      <c r="AV1426" t="str">
        <f>""</f>
        <v/>
      </c>
      <c r="AW1426" t="str">
        <f>""</f>
        <v/>
      </c>
      <c r="AX1426" t="str">
        <f>""</f>
        <v/>
      </c>
      <c r="AY1426" t="str">
        <f>""</f>
        <v/>
      </c>
      <c r="AZ1426" t="str">
        <f>""</f>
        <v/>
      </c>
      <c r="BA1426" t="str">
        <f>""</f>
        <v/>
      </c>
      <c r="BC1426" t="str">
        <f>""</f>
        <v/>
      </c>
      <c r="BD1426" t="str">
        <f>""</f>
        <v/>
      </c>
      <c r="BE1426" t="str">
        <f>""</f>
        <v/>
      </c>
      <c r="BF1426" t="str">
        <f>""</f>
        <v/>
      </c>
      <c r="BG1426" t="str">
        <f>""</f>
        <v/>
      </c>
      <c r="BH1426" t="str">
        <f>""</f>
        <v/>
      </c>
      <c r="BI1426" t="str">
        <f>""</f>
        <v/>
      </c>
      <c r="BJ1426" t="str">
        <f>""</f>
        <v/>
      </c>
      <c r="BK1426">
        <v>6</v>
      </c>
      <c r="BL1426" t="s">
        <v>107</v>
      </c>
      <c r="BM1426" t="str">
        <f>"Thrivent Financial"</f>
        <v>Thrivent Financial</v>
      </c>
      <c r="BN1426" t="s">
        <v>10571</v>
      </c>
      <c r="BP1426" t="s">
        <v>555</v>
      </c>
      <c r="BQ1426" t="s">
        <v>556</v>
      </c>
      <c r="BR1426" t="s">
        <v>114</v>
      </c>
      <c r="BS1426" s="5">
        <v>75035</v>
      </c>
      <c r="BT1426" s="2">
        <v>110344</v>
      </c>
      <c r="BU1426" s="2">
        <v>125344</v>
      </c>
      <c r="BV1426" t="s">
        <v>105</v>
      </c>
      <c r="BW1426" s="2">
        <v>110344</v>
      </c>
      <c r="BX1426" t="s">
        <v>105</v>
      </c>
      <c r="BZ1426" t="s">
        <v>123</v>
      </c>
      <c r="CA1426" t="str">
        <f t="shared" si="109"/>
        <v>7/1/2020 - 6/30/2021</v>
      </c>
      <c r="CF1426">
        <v>2</v>
      </c>
      <c r="CG1426" t="s">
        <v>98</v>
      </c>
      <c r="CH1426" t="s">
        <v>98</v>
      </c>
      <c r="CI1426" t="s">
        <v>206</v>
      </c>
      <c r="CJ1426" t="s">
        <v>98</v>
      </c>
      <c r="CK1426" t="s">
        <v>12323</v>
      </c>
      <c r="CL1426" t="s">
        <v>108</v>
      </c>
      <c r="CM1426" t="s">
        <v>109</v>
      </c>
      <c r="CN1426" t="str">
        <f>""</f>
        <v/>
      </c>
      <c r="CO1426" t="str">
        <f>""</f>
        <v/>
      </c>
      <c r="CP1426" t="str">
        <f>""</f>
        <v/>
      </c>
      <c r="CQ1426" t="str">
        <f>""</f>
        <v/>
      </c>
    </row>
    <row r="1427" spans="1:96" x14ac:dyDescent="0.2">
      <c r="A1427" t="s">
        <v>10592</v>
      </c>
      <c r="B1427" t="s">
        <v>96</v>
      </c>
      <c r="C1427" s="1">
        <v>44099</v>
      </c>
      <c r="D1427" s="1">
        <v>44106</v>
      </c>
      <c r="F1427" t="s">
        <v>97</v>
      </c>
      <c r="G1427" t="str">
        <f>"Data Warehouse Specialist "</f>
        <v xml:space="preserve">Data Warehouse Specialist </v>
      </c>
      <c r="H1427" t="s">
        <v>12168</v>
      </c>
      <c r="I1427" t="s">
        <v>1844</v>
      </c>
      <c r="J1427" t="s">
        <v>98</v>
      </c>
      <c r="K1427" s="1">
        <v>44276</v>
      </c>
      <c r="L1427" s="1">
        <v>45371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 t="s">
        <v>864</v>
      </c>
      <c r="U1427" t="str">
        <f>""</f>
        <v/>
      </c>
      <c r="V1427" t="s">
        <v>865</v>
      </c>
      <c r="W1427" t="str">
        <f>"SUITE 320"</f>
        <v>SUITE 320</v>
      </c>
      <c r="X1427" t="s">
        <v>866</v>
      </c>
      <c r="Y1427" t="s">
        <v>195</v>
      </c>
      <c r="Z1427" s="3">
        <v>20850</v>
      </c>
      <c r="AA1427" t="s">
        <v>101</v>
      </c>
      <c r="AC1427" s="4" t="str">
        <f>"+13012319083"</f>
        <v>+13012319083</v>
      </c>
      <c r="AE1427" t="str">
        <f>"541511"</f>
        <v>541511</v>
      </c>
      <c r="AF1427" t="s">
        <v>867</v>
      </c>
      <c r="AG1427" t="s">
        <v>868</v>
      </c>
      <c r="AI1427" t="s">
        <v>869</v>
      </c>
      <c r="AJ1427" t="s">
        <v>865</v>
      </c>
      <c r="AK1427" t="str">
        <f>"SUITE 320"</f>
        <v>SUITE 320</v>
      </c>
      <c r="AL1427" t="s">
        <v>866</v>
      </c>
      <c r="AM1427" t="s">
        <v>195</v>
      </c>
      <c r="AN1427" s="3">
        <v>20850</v>
      </c>
      <c r="AO1427" t="s">
        <v>101</v>
      </c>
      <c r="AQ1427" t="str">
        <f>"+13012319083"</f>
        <v>+13012319083</v>
      </c>
      <c r="AS1427" t="s">
        <v>870</v>
      </c>
      <c r="AT1427" t="s">
        <v>107</v>
      </c>
      <c r="AU1427" t="str">
        <f>"CHOWDHURY"</f>
        <v>CHOWDHURY</v>
      </c>
      <c r="AV1427" t="str">
        <f>"ANINDITA"</f>
        <v>ANINDITA</v>
      </c>
      <c r="AW1427" t="str">
        <f>"A"</f>
        <v>A</v>
      </c>
      <c r="AX1427" t="str">
        <f>"6720-B Rockledge Drive"</f>
        <v>6720-B Rockledge Drive</v>
      </c>
      <c r="AY1427" t="str">
        <f>"Suite 430"</f>
        <v>Suite 430</v>
      </c>
      <c r="AZ1427" t="str">
        <f>"Bethesda"</f>
        <v>Bethesda</v>
      </c>
      <c r="BA1427" t="str">
        <f>"MD"</f>
        <v>MD</v>
      </c>
      <c r="BB1427" s="3">
        <v>20817</v>
      </c>
      <c r="BC1427" t="str">
        <f>"UNITED STATES OF AMERICA"</f>
        <v>UNITED STATES OF AMERICA</v>
      </c>
      <c r="BD1427" t="str">
        <f>""</f>
        <v/>
      </c>
      <c r="BE1427" t="str">
        <f>"+12026184540"</f>
        <v>+12026184540</v>
      </c>
      <c r="BF1427" t="str">
        <f>""</f>
        <v/>
      </c>
      <c r="BG1427" t="str">
        <f>"ANINDITA@USILAW.COM"</f>
        <v>ANINDITA@USILAW.COM</v>
      </c>
      <c r="BH1427" t="str">
        <f>"USILAW, INC"</f>
        <v>USILAW, INC</v>
      </c>
      <c r="BI1427" t="str">
        <f>"DC"</f>
        <v>DC</v>
      </c>
      <c r="BJ1427" t="str">
        <f>"COURT OF APPEALS"</f>
        <v>COURT OF APPEALS</v>
      </c>
      <c r="BK1427">
        <v>1</v>
      </c>
      <c r="BL1427" t="s">
        <v>107</v>
      </c>
      <c r="BM1427" t="str">
        <f>"AIG Global Services, Inc."</f>
        <v>AIG Global Services, Inc.</v>
      </c>
      <c r="BN1427" t="s">
        <v>9665</v>
      </c>
      <c r="BP1427" t="s">
        <v>277</v>
      </c>
      <c r="BQ1427" t="s">
        <v>189</v>
      </c>
      <c r="BR1427" t="s">
        <v>190</v>
      </c>
      <c r="BS1427" s="5">
        <v>10005</v>
      </c>
      <c r="BT1427" s="2">
        <v>67766</v>
      </c>
      <c r="BU1427" s="2">
        <v>93100</v>
      </c>
      <c r="BV1427" t="s">
        <v>105</v>
      </c>
      <c r="BW1427" s="2">
        <v>67766</v>
      </c>
      <c r="BX1427" t="s">
        <v>105</v>
      </c>
      <c r="BZ1427" t="s">
        <v>167</v>
      </c>
      <c r="CA1427" t="str">
        <f t="shared" si="109"/>
        <v>7/1/2020 - 6/30/2021</v>
      </c>
      <c r="CF1427">
        <v>1</v>
      </c>
      <c r="CG1427" t="s">
        <v>98</v>
      </c>
      <c r="CH1427" t="s">
        <v>98</v>
      </c>
      <c r="CI1427" t="s">
        <v>206</v>
      </c>
      <c r="CJ1427" t="s">
        <v>98</v>
      </c>
      <c r="CK1427" t="s">
        <v>12323</v>
      </c>
      <c r="CL1427" t="s">
        <v>108</v>
      </c>
      <c r="CM1427" t="s">
        <v>109</v>
      </c>
      <c r="CN1427" t="str">
        <f>""</f>
        <v/>
      </c>
      <c r="CO1427" t="str">
        <f>""</f>
        <v/>
      </c>
      <c r="CP1427" t="str">
        <f>""</f>
        <v/>
      </c>
      <c r="CQ1427" t="str">
        <f>""</f>
        <v/>
      </c>
    </row>
    <row r="1428" spans="1:96" x14ac:dyDescent="0.2">
      <c r="A1428" t="s">
        <v>10614</v>
      </c>
      <c r="B1428" t="s">
        <v>96</v>
      </c>
      <c r="C1428" s="1">
        <v>44099</v>
      </c>
      <c r="D1428" s="1">
        <v>44106</v>
      </c>
      <c r="F1428" t="s">
        <v>97</v>
      </c>
      <c r="G1428" t="str">
        <f>"Applications Consultant 4"</f>
        <v>Applications Consultant 4</v>
      </c>
      <c r="H1428" t="s">
        <v>12169</v>
      </c>
      <c r="I1428" t="s">
        <v>124</v>
      </c>
      <c r="J1428" t="s">
        <v>98</v>
      </c>
      <c r="K1428" s="1">
        <v>44099</v>
      </c>
      <c r="L1428" s="1">
        <v>45192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 t="s">
        <v>1421</v>
      </c>
      <c r="U1428" t="str">
        <f>""</f>
        <v/>
      </c>
      <c r="V1428" t="s">
        <v>1422</v>
      </c>
      <c r="W1428" t="str">
        <f>"SUITE 300"</f>
        <v>SUITE 300</v>
      </c>
      <c r="X1428" t="s">
        <v>843</v>
      </c>
      <c r="Y1428" t="s">
        <v>345</v>
      </c>
      <c r="Z1428" s="3">
        <v>60606</v>
      </c>
      <c r="AA1428" t="s">
        <v>101</v>
      </c>
      <c r="AC1428" s="4" t="str">
        <f>"+13123955000"</f>
        <v>+13123955000</v>
      </c>
      <c r="AE1428" t="str">
        <f>"5416"</f>
        <v>5416</v>
      </c>
      <c r="AF1428" t="s">
        <v>1423</v>
      </c>
      <c r="AG1428" t="s">
        <v>1424</v>
      </c>
      <c r="AI1428" t="s">
        <v>1425</v>
      </c>
      <c r="AJ1428" t="s">
        <v>1422</v>
      </c>
      <c r="AK1428" t="str">
        <f>"SUITE 300"</f>
        <v>SUITE 300</v>
      </c>
      <c r="AL1428" t="s">
        <v>843</v>
      </c>
      <c r="AM1428" t="s">
        <v>345</v>
      </c>
      <c r="AN1428" s="3">
        <v>60606</v>
      </c>
      <c r="AO1428" t="s">
        <v>101</v>
      </c>
      <c r="AQ1428" t="str">
        <f>"+13123958209"</f>
        <v>+13123958209</v>
      </c>
      <c r="AS1428" t="s">
        <v>1426</v>
      </c>
      <c r="AT1428" t="s">
        <v>102</v>
      </c>
      <c r="AU1428" t="str">
        <f>""</f>
        <v/>
      </c>
      <c r="AV1428" t="str">
        <f>""</f>
        <v/>
      </c>
      <c r="AW1428" t="str">
        <f>""</f>
        <v/>
      </c>
      <c r="AX1428" t="str">
        <f>""</f>
        <v/>
      </c>
      <c r="AY1428" t="str">
        <f>""</f>
        <v/>
      </c>
      <c r="AZ1428" t="str">
        <f>""</f>
        <v/>
      </c>
      <c r="BA1428" t="str">
        <f>""</f>
        <v/>
      </c>
      <c r="BC1428" t="str">
        <f>""</f>
        <v/>
      </c>
      <c r="BD1428" t="str">
        <f>""</f>
        <v/>
      </c>
      <c r="BE1428" t="str">
        <f>""</f>
        <v/>
      </c>
      <c r="BF1428" t="str">
        <f>""</f>
        <v/>
      </c>
      <c r="BG1428" t="str">
        <f>""</f>
        <v/>
      </c>
      <c r="BH1428" t="str">
        <f>""</f>
        <v/>
      </c>
      <c r="BI1428" t="str">
        <f>""</f>
        <v/>
      </c>
      <c r="BJ1428" t="str">
        <f>""</f>
        <v/>
      </c>
      <c r="BK1428">
        <v>1</v>
      </c>
      <c r="BL1428" t="s">
        <v>102</v>
      </c>
      <c r="BM1428" t="str">
        <f>""</f>
        <v/>
      </c>
      <c r="BN1428" t="s">
        <v>10615</v>
      </c>
      <c r="BP1428" t="s">
        <v>1896</v>
      </c>
      <c r="BQ1428" t="s">
        <v>1243</v>
      </c>
      <c r="BR1428" t="s">
        <v>577</v>
      </c>
      <c r="BS1428" s="5">
        <v>32258</v>
      </c>
      <c r="BT1428" s="2">
        <v>111946</v>
      </c>
      <c r="BU1428" s="2">
        <v>144720</v>
      </c>
      <c r="BV1428" t="s">
        <v>105</v>
      </c>
      <c r="BW1428" s="2">
        <v>111946</v>
      </c>
      <c r="BX1428" t="s">
        <v>105</v>
      </c>
      <c r="BZ1428" t="s">
        <v>159</v>
      </c>
      <c r="CA1428" t="str">
        <f t="shared" si="109"/>
        <v>7/1/2020 - 6/30/2021</v>
      </c>
      <c r="CF1428">
        <v>3</v>
      </c>
      <c r="CG1428" t="s">
        <v>98</v>
      </c>
      <c r="CH1428" t="s">
        <v>98</v>
      </c>
      <c r="CI1428" t="s">
        <v>206</v>
      </c>
      <c r="CJ1428" t="s">
        <v>98</v>
      </c>
      <c r="CK1428" t="s">
        <v>12323</v>
      </c>
      <c r="CL1428" t="s">
        <v>108</v>
      </c>
      <c r="CM1428" t="s">
        <v>109</v>
      </c>
      <c r="CN1428" t="str">
        <f>""</f>
        <v/>
      </c>
      <c r="CO1428" t="str">
        <f>""</f>
        <v/>
      </c>
      <c r="CP1428" t="str">
        <f>""</f>
        <v/>
      </c>
      <c r="CQ1428" t="str">
        <f>""</f>
        <v/>
      </c>
    </row>
    <row r="1429" spans="1:96" x14ac:dyDescent="0.2">
      <c r="A1429" t="s">
        <v>10645</v>
      </c>
      <c r="B1429" t="s">
        <v>96</v>
      </c>
      <c r="C1429" s="1">
        <v>44099</v>
      </c>
      <c r="D1429" s="1">
        <v>44106</v>
      </c>
      <c r="F1429" t="s">
        <v>97</v>
      </c>
      <c r="G1429" t="str">
        <f>"Software Developer"</f>
        <v>Software Developer</v>
      </c>
      <c r="H1429" t="s">
        <v>12169</v>
      </c>
      <c r="I1429" t="s">
        <v>124</v>
      </c>
      <c r="J1429" t="s">
        <v>98</v>
      </c>
      <c r="K1429" s="1">
        <v>44156</v>
      </c>
      <c r="L1429" s="1">
        <v>45250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 t="s">
        <v>10564</v>
      </c>
      <c r="U1429" t="str">
        <f>""</f>
        <v/>
      </c>
      <c r="V1429" t="s">
        <v>10565</v>
      </c>
      <c r="W1429" t="str">
        <f>"Suite 140"</f>
        <v>Suite 140</v>
      </c>
      <c r="X1429" t="s">
        <v>1343</v>
      </c>
      <c r="Y1429" t="s">
        <v>141</v>
      </c>
      <c r="Z1429" s="3">
        <v>94583</v>
      </c>
      <c r="AA1429" t="s">
        <v>101</v>
      </c>
      <c r="AC1429" s="4" t="str">
        <f>"+19252362022"</f>
        <v>+19252362022</v>
      </c>
      <c r="AE1429" t="str">
        <f>"541511"</f>
        <v>541511</v>
      </c>
      <c r="AF1429" t="s">
        <v>6118</v>
      </c>
      <c r="AG1429" t="s">
        <v>4307</v>
      </c>
      <c r="AI1429" t="s">
        <v>508</v>
      </c>
      <c r="AJ1429" t="s">
        <v>10565</v>
      </c>
      <c r="AK1429" t="str">
        <f>"Suite 140"</f>
        <v>Suite 140</v>
      </c>
      <c r="AL1429" t="s">
        <v>1343</v>
      </c>
      <c r="AM1429" t="s">
        <v>141</v>
      </c>
      <c r="AN1429" s="3">
        <v>94583</v>
      </c>
      <c r="AO1429" t="s">
        <v>101</v>
      </c>
      <c r="AQ1429" t="str">
        <f>"+19252362022"</f>
        <v>+19252362022</v>
      </c>
      <c r="AS1429" t="s">
        <v>10566</v>
      </c>
      <c r="AT1429" t="s">
        <v>107</v>
      </c>
      <c r="AU1429" t="str">
        <f>"Ilindra"</f>
        <v>Ilindra</v>
      </c>
      <c r="AV1429" t="str">
        <f>"Bhanu"</f>
        <v>Bhanu</v>
      </c>
      <c r="AW1429" t="str">
        <f>"Babu"</f>
        <v>Babu</v>
      </c>
      <c r="AX1429" t="str">
        <f>"P.O.Box 1114"</f>
        <v>P.O.Box 1114</v>
      </c>
      <c r="AY1429" t="str">
        <f>""</f>
        <v/>
      </c>
      <c r="AZ1429" t="str">
        <f>"Herndon"</f>
        <v>Herndon</v>
      </c>
      <c r="BA1429" t="str">
        <f>"VA"</f>
        <v>VA</v>
      </c>
      <c r="BB1429" s="3">
        <v>20170</v>
      </c>
      <c r="BC1429" t="str">
        <f>"UNITED STATES OF AMERICA"</f>
        <v>UNITED STATES OF AMERICA</v>
      </c>
      <c r="BD1429" t="str">
        <f>""</f>
        <v/>
      </c>
      <c r="BE1429" t="str">
        <f>"+17034967722"</f>
        <v>+17034967722</v>
      </c>
      <c r="BF1429" t="str">
        <f>""</f>
        <v/>
      </c>
      <c r="BG1429" t="str">
        <f>"bhanu@bbilawgroup.com"</f>
        <v>bhanu@bbilawgroup.com</v>
      </c>
      <c r="BH1429" t="str">
        <f>"BBI Law Group, P.C."</f>
        <v>BBI Law Group, P.C.</v>
      </c>
      <c r="BI1429" t="str">
        <f>"NY"</f>
        <v>NY</v>
      </c>
      <c r="BJ1429" t="str">
        <f>"Third Appellate Court"</f>
        <v>Third Appellate Court</v>
      </c>
      <c r="BK1429">
        <v>1</v>
      </c>
      <c r="BL1429" t="s">
        <v>107</v>
      </c>
      <c r="BM1429" t="str">
        <f>"The Permanente Medical Group Inc.(Kaiser Permanente)"</f>
        <v>The Permanente Medical Group Inc.(Kaiser Permanente)</v>
      </c>
      <c r="BN1429" t="s">
        <v>10646</v>
      </c>
      <c r="BP1429" t="s">
        <v>1996</v>
      </c>
      <c r="BQ1429" t="s">
        <v>419</v>
      </c>
      <c r="BR1429" t="s">
        <v>141</v>
      </c>
      <c r="BS1429" s="5">
        <v>94710</v>
      </c>
      <c r="BT1429" s="2">
        <v>97000</v>
      </c>
      <c r="BV1429" t="s">
        <v>105</v>
      </c>
      <c r="BW1429" s="2">
        <v>96616</v>
      </c>
      <c r="BX1429" t="s">
        <v>105</v>
      </c>
      <c r="BZ1429" t="s">
        <v>191</v>
      </c>
      <c r="CA1429" t="str">
        <f t="shared" si="109"/>
        <v>7/1/2020 - 6/30/2021</v>
      </c>
      <c r="CF1429">
        <v>1</v>
      </c>
      <c r="CG1429" t="s">
        <v>98</v>
      </c>
      <c r="CH1429" t="s">
        <v>98</v>
      </c>
      <c r="CI1429" t="s">
        <v>206</v>
      </c>
      <c r="CJ1429" t="s">
        <v>98</v>
      </c>
      <c r="CK1429" t="s">
        <v>12323</v>
      </c>
      <c r="CL1429" t="s">
        <v>108</v>
      </c>
      <c r="CM1429" t="s">
        <v>109</v>
      </c>
      <c r="CN1429" t="str">
        <f>"Ilindra"</f>
        <v>Ilindra</v>
      </c>
      <c r="CO1429" t="str">
        <f>"Bhanu"</f>
        <v>Bhanu</v>
      </c>
      <c r="CP1429" t="str">
        <f>"B"</f>
        <v>B</v>
      </c>
      <c r="CQ1429" t="str">
        <f>"BBI Law Group, P.C."</f>
        <v>BBI Law Group, P.C.</v>
      </c>
      <c r="CR1429" t="s">
        <v>1320</v>
      </c>
    </row>
    <row r="1430" spans="1:96" x14ac:dyDescent="0.2">
      <c r="A1430" t="s">
        <v>10658</v>
      </c>
      <c r="B1430" t="s">
        <v>96</v>
      </c>
      <c r="C1430" s="1">
        <v>44099</v>
      </c>
      <c r="D1430" s="1">
        <v>44106</v>
      </c>
      <c r="F1430" t="s">
        <v>97</v>
      </c>
      <c r="G1430" t="str">
        <f>"Product Designer "</f>
        <v xml:space="preserve">Product Designer </v>
      </c>
      <c r="H1430" t="s">
        <v>12169</v>
      </c>
      <c r="I1430" t="s">
        <v>124</v>
      </c>
      <c r="J1430" t="s">
        <v>98</v>
      </c>
      <c r="K1430" s="1">
        <v>44116</v>
      </c>
      <c r="L1430" s="1">
        <v>45210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 t="s">
        <v>466</v>
      </c>
      <c r="U1430" t="str">
        <f>""</f>
        <v/>
      </c>
      <c r="V1430" t="s">
        <v>467</v>
      </c>
      <c r="W1430" t="str">
        <f>"AKA 1601 Willow Road"</f>
        <v>AKA 1601 Willow Road</v>
      </c>
      <c r="X1430" t="s">
        <v>468</v>
      </c>
      <c r="Y1430" t="s">
        <v>141</v>
      </c>
      <c r="Z1430" s="3">
        <v>94025</v>
      </c>
      <c r="AA1430" t="s">
        <v>101</v>
      </c>
      <c r="AC1430" s="4" t="str">
        <f>"+16505434800"</f>
        <v>+16505434800</v>
      </c>
      <c r="AE1430" t="str">
        <f>"518210"</f>
        <v>518210</v>
      </c>
      <c r="AF1430" t="s">
        <v>469</v>
      </c>
      <c r="AG1430" t="s">
        <v>470</v>
      </c>
      <c r="AI1430" t="s">
        <v>471</v>
      </c>
      <c r="AJ1430" t="s">
        <v>467</v>
      </c>
      <c r="AK1430" t="str">
        <f>"AKA 1601 Willow Road "</f>
        <v xml:space="preserve">AKA 1601 Willow Road </v>
      </c>
      <c r="AL1430" t="s">
        <v>472</v>
      </c>
      <c r="AM1430" t="s">
        <v>141</v>
      </c>
      <c r="AN1430" s="3">
        <v>94025</v>
      </c>
      <c r="AO1430" t="s">
        <v>101</v>
      </c>
      <c r="AQ1430" t="str">
        <f>"+14085335781"</f>
        <v>+14085335781</v>
      </c>
      <c r="AS1430" t="s">
        <v>108</v>
      </c>
      <c r="AT1430" t="s">
        <v>107</v>
      </c>
      <c r="AU1430" t="str">
        <f>"McCarthy"</f>
        <v>McCarthy</v>
      </c>
      <c r="AV1430" t="str">
        <f>"Susan"</f>
        <v>Susan</v>
      </c>
      <c r="AW1430" t="str">
        <f>""</f>
        <v/>
      </c>
      <c r="AX1430" t="str">
        <f>"P.O. Box 31608"</f>
        <v>P.O. Box 31608</v>
      </c>
      <c r="AY1430" t="str">
        <f>""</f>
        <v/>
      </c>
      <c r="AZ1430" t="str">
        <f>"Raleigh"</f>
        <v>Raleigh</v>
      </c>
      <c r="BA1430" t="str">
        <f>"NC"</f>
        <v>NC</v>
      </c>
      <c r="BB1430" s="3">
        <v>27622</v>
      </c>
      <c r="BC1430" t="str">
        <f>"UNITED STATES OF AMERICA"</f>
        <v>UNITED STATES OF AMERICA</v>
      </c>
      <c r="BD1430" t="str">
        <f>""</f>
        <v/>
      </c>
      <c r="BE1430" t="str">
        <f>"+19193077002"</f>
        <v>+19193077002</v>
      </c>
      <c r="BF1430" t="str">
        <f>""</f>
        <v/>
      </c>
      <c r="BG1430" t="str">
        <f>"vicky.johnson@ogletreedeakins.com"</f>
        <v>vicky.johnson@ogletreedeakins.com</v>
      </c>
      <c r="BH1430" t="str">
        <f>"Ogletree, Deakins, Nash, Smoak &amp; Stewart, P.C."</f>
        <v>Ogletree, Deakins, Nash, Smoak &amp; Stewart, P.C.</v>
      </c>
      <c r="BI1430" t="str">
        <f>"NJ"</f>
        <v>NJ</v>
      </c>
      <c r="BJ1430" t="str">
        <f>"Supreme Court of New Jersey"</f>
        <v>Supreme Court of New Jersey</v>
      </c>
      <c r="BK1430">
        <v>1</v>
      </c>
      <c r="BL1430" t="s">
        <v>102</v>
      </c>
      <c r="BM1430" t="str">
        <f>""</f>
        <v/>
      </c>
      <c r="BN1430" t="s">
        <v>10659</v>
      </c>
      <c r="BP1430" t="s">
        <v>435</v>
      </c>
      <c r="BQ1430" t="s">
        <v>183</v>
      </c>
      <c r="BR1430" t="s">
        <v>176</v>
      </c>
      <c r="BS1430" s="5">
        <v>98109</v>
      </c>
      <c r="BT1430" s="2">
        <v>186000</v>
      </c>
      <c r="BV1430" t="s">
        <v>105</v>
      </c>
      <c r="BW1430" s="2">
        <v>155106</v>
      </c>
      <c r="BX1430" t="s">
        <v>105</v>
      </c>
      <c r="BZ1430" t="s">
        <v>159</v>
      </c>
      <c r="CA1430" t="str">
        <f t="shared" si="109"/>
        <v>7/1/2020 - 6/30/2021</v>
      </c>
      <c r="CF1430">
        <v>2</v>
      </c>
      <c r="CG1430" t="s">
        <v>98</v>
      </c>
      <c r="CH1430" t="s">
        <v>98</v>
      </c>
      <c r="CI1430" t="s">
        <v>206</v>
      </c>
      <c r="CJ1430" t="s">
        <v>98</v>
      </c>
      <c r="CK1430" t="s">
        <v>12323</v>
      </c>
      <c r="CL1430" t="s">
        <v>108</v>
      </c>
      <c r="CM1430" t="s">
        <v>109</v>
      </c>
      <c r="CN1430" t="str">
        <f>"McCarthy "</f>
        <v xml:space="preserve">McCarthy </v>
      </c>
      <c r="CO1430" t="str">
        <f>"Susan "</f>
        <v xml:space="preserve">Susan </v>
      </c>
      <c r="CP1430" t="str">
        <f>""</f>
        <v/>
      </c>
      <c r="CQ1430" t="str">
        <f>"Ogletree, Deakins, Nash, Smoak &amp; Stewart, P.C. "</f>
        <v xml:space="preserve">Ogletree, Deakins, Nash, Smoak &amp; Stewart, P.C. </v>
      </c>
      <c r="CR1430" t="s">
        <v>473</v>
      </c>
    </row>
    <row r="1431" spans="1:96" x14ac:dyDescent="0.2">
      <c r="A1431" t="s">
        <v>10668</v>
      </c>
      <c r="B1431" t="s">
        <v>96</v>
      </c>
      <c r="C1431" s="1">
        <v>44099</v>
      </c>
      <c r="D1431" s="1">
        <v>44106</v>
      </c>
      <c r="F1431" t="s">
        <v>97</v>
      </c>
      <c r="G1431" t="str">
        <f>"Senior Software Developer"</f>
        <v>Senior Software Developer</v>
      </c>
      <c r="H1431" t="s">
        <v>12169</v>
      </c>
      <c r="I1431" t="s">
        <v>124</v>
      </c>
      <c r="J1431" t="s">
        <v>98</v>
      </c>
      <c r="K1431" s="1">
        <v>44102</v>
      </c>
      <c r="L1431" s="1">
        <v>45196</v>
      </c>
      <c r="M1431">
        <v>6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 t="s">
        <v>2509</v>
      </c>
      <c r="U1431" t="str">
        <f>"Mastech Digital InfoTech, Inc."</f>
        <v>Mastech Digital InfoTech, Inc.</v>
      </c>
      <c r="V1431" t="s">
        <v>1081</v>
      </c>
      <c r="W1431" t="str">
        <f>"Bldg. 210, Suite 400"</f>
        <v>Bldg. 210, Suite 400</v>
      </c>
      <c r="X1431" t="s">
        <v>1082</v>
      </c>
      <c r="Y1431" t="s">
        <v>127</v>
      </c>
      <c r="Z1431" s="3">
        <v>15108</v>
      </c>
      <c r="AA1431" t="s">
        <v>101</v>
      </c>
      <c r="AB1431" t="s">
        <v>2510</v>
      </c>
      <c r="AC1431" s="4" t="str">
        <f>"+14127879553"</f>
        <v>+14127879553</v>
      </c>
      <c r="AE1431" t="str">
        <f>"541511"</f>
        <v>541511</v>
      </c>
      <c r="AF1431" t="s">
        <v>1083</v>
      </c>
      <c r="AG1431" t="s">
        <v>1084</v>
      </c>
      <c r="AI1431" t="s">
        <v>1085</v>
      </c>
      <c r="AJ1431" t="s">
        <v>1081</v>
      </c>
      <c r="AK1431" t="str">
        <f>"Bldg. 210, Ste 400"</f>
        <v>Bldg. 210, Ste 400</v>
      </c>
      <c r="AL1431" t="s">
        <v>1082</v>
      </c>
      <c r="AM1431" t="s">
        <v>127</v>
      </c>
      <c r="AN1431" s="3">
        <v>15108</v>
      </c>
      <c r="AO1431" t="s">
        <v>101</v>
      </c>
      <c r="AQ1431" t="str">
        <f>"+14127879553"</f>
        <v>+14127879553</v>
      </c>
      <c r="AS1431" t="s">
        <v>1086</v>
      </c>
      <c r="AT1431" t="s">
        <v>102</v>
      </c>
      <c r="AU1431" t="str">
        <f>""</f>
        <v/>
      </c>
      <c r="AV1431" t="str">
        <f>""</f>
        <v/>
      </c>
      <c r="AW1431" t="str">
        <f>""</f>
        <v/>
      </c>
      <c r="AX1431" t="str">
        <f>""</f>
        <v/>
      </c>
      <c r="AY1431" t="str">
        <f>""</f>
        <v/>
      </c>
      <c r="AZ1431" t="str">
        <f>""</f>
        <v/>
      </c>
      <c r="BA1431" t="str">
        <f>""</f>
        <v/>
      </c>
      <c r="BC1431" t="str">
        <f>""</f>
        <v/>
      </c>
      <c r="BD1431" t="str">
        <f>""</f>
        <v/>
      </c>
      <c r="BE1431" t="str">
        <f>""</f>
        <v/>
      </c>
      <c r="BF1431" t="str">
        <f>""</f>
        <v/>
      </c>
      <c r="BG1431" t="str">
        <f>""</f>
        <v/>
      </c>
      <c r="BH1431" t="str">
        <f>""</f>
        <v/>
      </c>
      <c r="BI1431" t="str">
        <f>""</f>
        <v/>
      </c>
      <c r="BJ1431" t="str">
        <f>""</f>
        <v/>
      </c>
      <c r="BK1431">
        <v>6</v>
      </c>
      <c r="BL1431" t="s">
        <v>107</v>
      </c>
      <c r="BM1431" t="str">
        <f>"Fannie Mae"</f>
        <v>Fannie Mae</v>
      </c>
      <c r="BN1431" t="s">
        <v>2003</v>
      </c>
      <c r="BP1431" t="s">
        <v>133</v>
      </c>
      <c r="BQ1431" t="s">
        <v>454</v>
      </c>
      <c r="BR1431" t="s">
        <v>135</v>
      </c>
      <c r="BS1431" s="5">
        <v>20190</v>
      </c>
      <c r="BT1431" s="2">
        <v>56.78</v>
      </c>
      <c r="BU1431" s="2">
        <v>56.88</v>
      </c>
      <c r="BV1431" t="s">
        <v>210</v>
      </c>
      <c r="BW1431" s="2">
        <v>56.78</v>
      </c>
      <c r="BX1431" t="s">
        <v>210</v>
      </c>
      <c r="BZ1431" t="s">
        <v>123</v>
      </c>
      <c r="CA1431" t="str">
        <f t="shared" si="109"/>
        <v>7/1/2020 - 6/30/2021</v>
      </c>
      <c r="CF1431">
        <v>2</v>
      </c>
      <c r="CG1431" t="s">
        <v>98</v>
      </c>
      <c r="CH1431" t="s">
        <v>98</v>
      </c>
      <c r="CI1431" t="s">
        <v>206</v>
      </c>
      <c r="CJ1431" t="s">
        <v>98</v>
      </c>
      <c r="CK1431" t="s">
        <v>12323</v>
      </c>
      <c r="CL1431" t="s">
        <v>108</v>
      </c>
      <c r="CM1431" t="s">
        <v>109</v>
      </c>
      <c r="CN1431" t="str">
        <f>""</f>
        <v/>
      </c>
      <c r="CO1431" t="str">
        <f>""</f>
        <v/>
      </c>
      <c r="CP1431" t="str">
        <f>""</f>
        <v/>
      </c>
      <c r="CQ1431" t="str">
        <f>""</f>
        <v/>
      </c>
    </row>
    <row r="1432" spans="1:96" x14ac:dyDescent="0.2">
      <c r="A1432" t="s">
        <v>10708</v>
      </c>
      <c r="B1432" t="s">
        <v>96</v>
      </c>
      <c r="C1432" s="1">
        <v>44099</v>
      </c>
      <c r="D1432" s="1">
        <v>44106</v>
      </c>
      <c r="F1432" t="s">
        <v>97</v>
      </c>
      <c r="G1432" t="str">
        <f>"Programmer/ Developer 3"</f>
        <v>Programmer/ Developer 3</v>
      </c>
      <c r="H1432" t="s">
        <v>12239</v>
      </c>
      <c r="I1432" t="s">
        <v>378</v>
      </c>
      <c r="J1432" t="s">
        <v>98</v>
      </c>
      <c r="K1432" s="1">
        <v>44099</v>
      </c>
      <c r="L1432" s="1">
        <v>45161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 t="s">
        <v>1421</v>
      </c>
      <c r="U1432" t="str">
        <f>""</f>
        <v/>
      </c>
      <c r="V1432" t="s">
        <v>1422</v>
      </c>
      <c r="W1432" t="str">
        <f>"SUITE 300"</f>
        <v>SUITE 300</v>
      </c>
      <c r="X1432" t="s">
        <v>843</v>
      </c>
      <c r="Y1432" t="s">
        <v>345</v>
      </c>
      <c r="Z1432" s="3">
        <v>60606</v>
      </c>
      <c r="AA1432" t="s">
        <v>101</v>
      </c>
      <c r="AC1432" s="4" t="str">
        <f>"+13123955000"</f>
        <v>+13123955000</v>
      </c>
      <c r="AE1432" t="str">
        <f>"5416"</f>
        <v>5416</v>
      </c>
      <c r="AF1432" t="s">
        <v>1423</v>
      </c>
      <c r="AG1432" t="s">
        <v>1424</v>
      </c>
      <c r="AI1432" t="s">
        <v>1425</v>
      </c>
      <c r="AJ1432" t="s">
        <v>1422</v>
      </c>
      <c r="AK1432" t="str">
        <f>"SUITE 300"</f>
        <v>SUITE 300</v>
      </c>
      <c r="AL1432" t="s">
        <v>843</v>
      </c>
      <c r="AM1432" t="s">
        <v>345</v>
      </c>
      <c r="AN1432" s="3">
        <v>60606</v>
      </c>
      <c r="AO1432" t="s">
        <v>101</v>
      </c>
      <c r="AQ1432" t="str">
        <f>"+13123958209"</f>
        <v>+13123958209</v>
      </c>
      <c r="AS1432" t="s">
        <v>1426</v>
      </c>
      <c r="AT1432" t="s">
        <v>102</v>
      </c>
      <c r="AU1432" t="str">
        <f>""</f>
        <v/>
      </c>
      <c r="AV1432" t="str">
        <f>""</f>
        <v/>
      </c>
      <c r="AW1432" t="str">
        <f>""</f>
        <v/>
      </c>
      <c r="AX1432" t="str">
        <f>""</f>
        <v/>
      </c>
      <c r="AY1432" t="str">
        <f>""</f>
        <v/>
      </c>
      <c r="AZ1432" t="str">
        <f>""</f>
        <v/>
      </c>
      <c r="BA1432" t="str">
        <f>""</f>
        <v/>
      </c>
      <c r="BC1432" t="str">
        <f>""</f>
        <v/>
      </c>
      <c r="BD1432" t="str">
        <f>""</f>
        <v/>
      </c>
      <c r="BE1432" t="str">
        <f>""</f>
        <v/>
      </c>
      <c r="BF1432" t="str">
        <f>""</f>
        <v/>
      </c>
      <c r="BG1432" t="str">
        <f>""</f>
        <v/>
      </c>
      <c r="BH1432" t="str">
        <f>""</f>
        <v/>
      </c>
      <c r="BI1432" t="str">
        <f>""</f>
        <v/>
      </c>
      <c r="BJ1432" t="str">
        <f>""</f>
        <v/>
      </c>
      <c r="BK1432">
        <v>1</v>
      </c>
      <c r="BL1432" t="s">
        <v>102</v>
      </c>
      <c r="BM1432" t="str">
        <f>""</f>
        <v/>
      </c>
      <c r="BN1432" t="s">
        <v>10709</v>
      </c>
      <c r="BP1432" t="s">
        <v>1757</v>
      </c>
      <c r="BQ1432" t="s">
        <v>344</v>
      </c>
      <c r="BR1432" t="s">
        <v>345</v>
      </c>
      <c r="BS1432" s="5">
        <v>61701</v>
      </c>
      <c r="BT1432" s="2">
        <v>83325</v>
      </c>
      <c r="BU1432" s="2">
        <v>105090</v>
      </c>
      <c r="BV1432" t="s">
        <v>105</v>
      </c>
      <c r="BW1432" s="2">
        <v>83325</v>
      </c>
      <c r="BX1432" t="s">
        <v>105</v>
      </c>
      <c r="BZ1432" t="s">
        <v>123</v>
      </c>
      <c r="CA1432" t="str">
        <f t="shared" si="109"/>
        <v>7/1/2020 - 6/30/2021</v>
      </c>
      <c r="CF1432">
        <v>2</v>
      </c>
      <c r="CG1432" t="s">
        <v>98</v>
      </c>
      <c r="CH1432" t="s">
        <v>98</v>
      </c>
      <c r="CI1432" t="s">
        <v>206</v>
      </c>
      <c r="CJ1432" t="s">
        <v>98</v>
      </c>
      <c r="CK1432" t="s">
        <v>12323</v>
      </c>
      <c r="CL1432" t="s">
        <v>108</v>
      </c>
      <c r="CM1432" t="s">
        <v>109</v>
      </c>
      <c r="CN1432" t="str">
        <f>""</f>
        <v/>
      </c>
      <c r="CO1432" t="str">
        <f>""</f>
        <v/>
      </c>
      <c r="CP1432" t="str">
        <f>""</f>
        <v/>
      </c>
      <c r="CQ1432" t="str">
        <f>""</f>
        <v/>
      </c>
    </row>
    <row r="1433" spans="1:96" x14ac:dyDescent="0.2">
      <c r="A1433" t="s">
        <v>10720</v>
      </c>
      <c r="B1433" t="s">
        <v>96</v>
      </c>
      <c r="C1433" s="1">
        <v>44099</v>
      </c>
      <c r="D1433" s="1">
        <v>44106</v>
      </c>
      <c r="F1433" t="s">
        <v>97</v>
      </c>
      <c r="G1433" t="str">
        <f>"COMPUTER PROGRAMMER 2"</f>
        <v>COMPUTER PROGRAMMER 2</v>
      </c>
      <c r="H1433" t="s">
        <v>12239</v>
      </c>
      <c r="I1433" t="s">
        <v>378</v>
      </c>
      <c r="J1433" t="s">
        <v>98</v>
      </c>
      <c r="K1433" s="1">
        <v>44106</v>
      </c>
      <c r="L1433" s="1">
        <v>45200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 t="s">
        <v>511</v>
      </c>
      <c r="U1433" t="str">
        <f>""</f>
        <v/>
      </c>
      <c r="V1433" t="s">
        <v>518</v>
      </c>
      <c r="W1433" t="str">
        <f>"STE. 300"</f>
        <v>STE. 300</v>
      </c>
      <c r="X1433" t="s">
        <v>519</v>
      </c>
      <c r="Y1433" t="s">
        <v>171</v>
      </c>
      <c r="Z1433" s="3">
        <v>1772</v>
      </c>
      <c r="AA1433" t="s">
        <v>101</v>
      </c>
      <c r="AC1433" s="4" t="str">
        <f>"+15083897451"</f>
        <v>+15083897451</v>
      </c>
      <c r="AE1433" t="str">
        <f>"541511"</f>
        <v>541511</v>
      </c>
      <c r="AF1433" t="s">
        <v>515</v>
      </c>
      <c r="AG1433" t="s">
        <v>516</v>
      </c>
      <c r="AI1433" t="s">
        <v>517</v>
      </c>
      <c r="AJ1433" t="s">
        <v>2797</v>
      </c>
      <c r="AK1433" t="str">
        <f>"STE. 300"</f>
        <v>STE. 300</v>
      </c>
      <c r="AL1433" t="s">
        <v>519</v>
      </c>
      <c r="AM1433" t="s">
        <v>171</v>
      </c>
      <c r="AN1433" s="3">
        <v>1772</v>
      </c>
      <c r="AO1433" t="s">
        <v>101</v>
      </c>
      <c r="AQ1433" t="str">
        <f>"+15083497451"</f>
        <v>+15083497451</v>
      </c>
      <c r="AS1433" t="s">
        <v>520</v>
      </c>
      <c r="AT1433" t="s">
        <v>107</v>
      </c>
      <c r="AU1433" t="str">
        <f>"CARTER"</f>
        <v>CARTER</v>
      </c>
      <c r="AV1433" t="str">
        <f>"KIRK"</f>
        <v>KIRK</v>
      </c>
      <c r="AW1433" t="str">
        <f>"A."</f>
        <v>A.</v>
      </c>
      <c r="AX1433" t="str">
        <f>"161 WORCESTER RD."</f>
        <v>161 WORCESTER RD.</v>
      </c>
      <c r="AY1433" t="str">
        <f>"STE. 501"</f>
        <v>STE. 501</v>
      </c>
      <c r="AZ1433" t="str">
        <f>"FRAMINGHAM"</f>
        <v>FRAMINGHAM</v>
      </c>
      <c r="BA1433" t="str">
        <f>"MA"</f>
        <v>MA</v>
      </c>
      <c r="BB1433" s="3">
        <v>1701</v>
      </c>
      <c r="BC1433" t="str">
        <f>"UNITED STATES OF AMERICA"</f>
        <v>UNITED STATES OF AMERICA</v>
      </c>
      <c r="BD1433" t="str">
        <f>""</f>
        <v/>
      </c>
      <c r="BE1433" t="str">
        <f>"+15085323514"</f>
        <v>+15085323514</v>
      </c>
      <c r="BF1433" t="str">
        <f>""</f>
        <v/>
      </c>
      <c r="BG1433" t="str">
        <f>"CRUSSO@FLETCHERTILTON.COM"</f>
        <v>CRUSSO@FLETCHERTILTON.COM</v>
      </c>
      <c r="BH1433" t="str">
        <f>"FLETCHER TILTON, P.C."</f>
        <v>FLETCHER TILTON, P.C.</v>
      </c>
      <c r="BI1433" t="str">
        <f>"MA"</f>
        <v>MA</v>
      </c>
      <c r="BJ1433" t="str">
        <f>"SUPREME JUDICIAL COURT"</f>
        <v>SUPREME JUDICIAL COURT</v>
      </c>
      <c r="BK1433">
        <v>1</v>
      </c>
      <c r="BL1433" t="s">
        <v>107</v>
      </c>
      <c r="BM1433" t="str">
        <f>"FISERV, INC. (F/K/A FIRST DATA CORPORATION)"</f>
        <v>FISERV, INC. (F/K/A FIRST DATA CORPORATION)</v>
      </c>
      <c r="BN1433" t="s">
        <v>10569</v>
      </c>
      <c r="BP1433" t="s">
        <v>2541</v>
      </c>
      <c r="BQ1433" t="s">
        <v>933</v>
      </c>
      <c r="BR1433" t="s">
        <v>934</v>
      </c>
      <c r="BS1433" s="5">
        <v>68114</v>
      </c>
      <c r="BT1433" s="2">
        <v>98500</v>
      </c>
      <c r="BV1433" t="s">
        <v>105</v>
      </c>
      <c r="BW1433" s="2">
        <v>65478</v>
      </c>
      <c r="BX1433" t="s">
        <v>105</v>
      </c>
      <c r="BZ1433" t="s">
        <v>167</v>
      </c>
      <c r="CA1433" t="str">
        <f t="shared" si="109"/>
        <v>7/1/2020 - 6/30/2021</v>
      </c>
      <c r="CF1433">
        <v>2</v>
      </c>
      <c r="CG1433" t="s">
        <v>98</v>
      </c>
      <c r="CH1433" t="s">
        <v>98</v>
      </c>
      <c r="CI1433" t="s">
        <v>206</v>
      </c>
      <c r="CJ1433" t="s">
        <v>98</v>
      </c>
      <c r="CK1433" t="s">
        <v>12323</v>
      </c>
      <c r="CL1433" t="s">
        <v>108</v>
      </c>
      <c r="CM1433" t="s">
        <v>109</v>
      </c>
      <c r="CN1433" t="str">
        <f>""</f>
        <v/>
      </c>
      <c r="CO1433" t="str">
        <f>""</f>
        <v/>
      </c>
      <c r="CP1433" t="str">
        <f>""</f>
        <v/>
      </c>
      <c r="CQ1433" t="str">
        <f>""</f>
        <v/>
      </c>
    </row>
    <row r="1434" spans="1:96" x14ac:dyDescent="0.2">
      <c r="A1434" t="s">
        <v>10728</v>
      </c>
      <c r="B1434" t="s">
        <v>96</v>
      </c>
      <c r="C1434" s="1">
        <v>44099</v>
      </c>
      <c r="D1434" s="1">
        <v>44106</v>
      </c>
      <c r="F1434" t="s">
        <v>97</v>
      </c>
      <c r="G1434" t="str">
        <f>"IT Consultant (Software Developer)"</f>
        <v>IT Consultant (Software Developer)</v>
      </c>
      <c r="H1434" t="s">
        <v>12169</v>
      </c>
      <c r="I1434" t="s">
        <v>124</v>
      </c>
      <c r="J1434" t="s">
        <v>98</v>
      </c>
      <c r="K1434" s="1">
        <v>44099</v>
      </c>
      <c r="L1434" s="1">
        <v>45193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 t="s">
        <v>7687</v>
      </c>
      <c r="U1434" t="str">
        <f>""</f>
        <v/>
      </c>
      <c r="V1434" t="s">
        <v>7688</v>
      </c>
      <c r="W1434" t="str">
        <f>"Suite #270"</f>
        <v>Suite #270</v>
      </c>
      <c r="X1434" t="s">
        <v>3310</v>
      </c>
      <c r="Y1434" t="s">
        <v>127</v>
      </c>
      <c r="Z1434" s="3">
        <v>19341</v>
      </c>
      <c r="AA1434" t="s">
        <v>101</v>
      </c>
      <c r="AC1434" s="4" t="str">
        <f>"+14255239513"</f>
        <v>+14255239513</v>
      </c>
      <c r="AE1434" t="str">
        <f>"541511"</f>
        <v>541511</v>
      </c>
      <c r="AF1434" t="s">
        <v>7689</v>
      </c>
      <c r="AG1434" t="s">
        <v>5036</v>
      </c>
      <c r="AI1434" t="s">
        <v>763</v>
      </c>
      <c r="AJ1434" t="s">
        <v>7688</v>
      </c>
      <c r="AK1434" t="str">
        <f>"Suite #270"</f>
        <v>Suite #270</v>
      </c>
      <c r="AL1434" t="s">
        <v>3310</v>
      </c>
      <c r="AM1434" t="s">
        <v>127</v>
      </c>
      <c r="AN1434" s="3">
        <v>19341</v>
      </c>
      <c r="AO1434" t="s">
        <v>101</v>
      </c>
      <c r="AQ1434" t="str">
        <f>"+14255239513"</f>
        <v>+14255239513</v>
      </c>
      <c r="AS1434" t="s">
        <v>7690</v>
      </c>
      <c r="AT1434" t="s">
        <v>107</v>
      </c>
      <c r="AU1434" t="str">
        <f>"Mannam"</f>
        <v>Mannam</v>
      </c>
      <c r="AV1434" t="str">
        <f>"Ravi"</f>
        <v>Ravi</v>
      </c>
      <c r="AW1434" t="str">
        <f>""</f>
        <v/>
      </c>
      <c r="AX1434" t="str">
        <f>"3651 Peachtree Parkway"</f>
        <v>3651 Peachtree Parkway</v>
      </c>
      <c r="AY1434" t="str">
        <f>"Suite E-360"</f>
        <v>Suite E-360</v>
      </c>
      <c r="AZ1434" t="str">
        <f>"Suwanee"</f>
        <v>Suwanee</v>
      </c>
      <c r="BA1434" t="str">
        <f>"GA"</f>
        <v>GA</v>
      </c>
      <c r="BB1434" s="3">
        <v>30024</v>
      </c>
      <c r="BC1434" t="str">
        <f>"UNITED STATES OF AMERICA"</f>
        <v>UNITED STATES OF AMERICA</v>
      </c>
      <c r="BD1434" t="str">
        <f>""</f>
        <v/>
      </c>
      <c r="BE1434" t="str">
        <f>"+18775961761"</f>
        <v>+18775961761</v>
      </c>
      <c r="BF1434" t="str">
        <f>""</f>
        <v/>
      </c>
      <c r="BG1434" t="str">
        <f>"lawxpert@yahoo.com"</f>
        <v>lawxpert@yahoo.com</v>
      </c>
      <c r="BH1434" t="str">
        <f>"Mannam &amp; Associates, LLC"</f>
        <v>Mannam &amp; Associates, LLC</v>
      </c>
      <c r="BI1434" t="str">
        <f>"TN"</f>
        <v>TN</v>
      </c>
      <c r="BJ1434" t="str">
        <f>"Supreme Court"</f>
        <v>Supreme Court</v>
      </c>
      <c r="BK1434">
        <v>1</v>
      </c>
      <c r="BL1434" t="s">
        <v>107</v>
      </c>
      <c r="BM1434" t="str">
        <f>"Remote Work From Home for Comcast"</f>
        <v>Remote Work From Home for Comcast</v>
      </c>
      <c r="BN1434" t="s">
        <v>10729</v>
      </c>
      <c r="BP1434" t="s">
        <v>5638</v>
      </c>
      <c r="BQ1434" t="s">
        <v>1238</v>
      </c>
      <c r="BR1434" t="s">
        <v>127</v>
      </c>
      <c r="BS1434" s="5">
        <v>19425</v>
      </c>
      <c r="BT1434" s="2">
        <v>89773</v>
      </c>
      <c r="BU1434" s="2">
        <v>90000</v>
      </c>
      <c r="BV1434" t="s">
        <v>105</v>
      </c>
      <c r="BW1434" s="2">
        <v>89773</v>
      </c>
      <c r="BX1434" t="s">
        <v>105</v>
      </c>
      <c r="BZ1434" t="s">
        <v>167</v>
      </c>
      <c r="CA1434" t="str">
        <f t="shared" si="109"/>
        <v>7/1/2020 - 6/30/2021</v>
      </c>
      <c r="CF1434">
        <v>2</v>
      </c>
      <c r="CG1434" t="s">
        <v>98</v>
      </c>
      <c r="CH1434" t="s">
        <v>98</v>
      </c>
      <c r="CI1434" t="s">
        <v>206</v>
      </c>
      <c r="CJ1434" t="s">
        <v>98</v>
      </c>
      <c r="CK1434" t="s">
        <v>12323</v>
      </c>
      <c r="CL1434" t="s">
        <v>108</v>
      </c>
      <c r="CM1434" t="s">
        <v>109</v>
      </c>
      <c r="CN1434" t="str">
        <f>"Sanoussi"</f>
        <v>Sanoussi</v>
      </c>
      <c r="CO1434" t="str">
        <f>"Sabirou"</f>
        <v>Sabirou</v>
      </c>
      <c r="CP1434" t="str">
        <f>"T"</f>
        <v>T</v>
      </c>
      <c r="CQ1434" t="str">
        <f>"Mannam &amp; Associates, LLC"</f>
        <v>Mannam &amp; Associates, LLC</v>
      </c>
      <c r="CR1434" t="s">
        <v>3265</v>
      </c>
    </row>
    <row r="1435" spans="1:96" x14ac:dyDescent="0.2">
      <c r="A1435" t="s">
        <v>10743</v>
      </c>
      <c r="B1435" t="s">
        <v>96</v>
      </c>
      <c r="C1435" s="1">
        <v>44099</v>
      </c>
      <c r="D1435" s="1">
        <v>44106</v>
      </c>
      <c r="F1435" t="s">
        <v>97</v>
      </c>
      <c r="G1435" t="str">
        <f>"SYSTEMS ANALYST"</f>
        <v>SYSTEMS ANALYST</v>
      </c>
      <c r="H1435" t="s">
        <v>12181</v>
      </c>
      <c r="I1435" t="s">
        <v>110</v>
      </c>
      <c r="J1435" t="s">
        <v>98</v>
      </c>
      <c r="K1435" s="1">
        <v>44126</v>
      </c>
      <c r="L1435" s="1">
        <v>45221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 t="s">
        <v>7391</v>
      </c>
      <c r="U1435" t="str">
        <f>""</f>
        <v/>
      </c>
      <c r="V1435" t="s">
        <v>7392</v>
      </c>
      <c r="W1435" t="str">
        <f>"Suite 722"</f>
        <v>Suite 722</v>
      </c>
      <c r="X1435" t="s">
        <v>2999</v>
      </c>
      <c r="Y1435" t="s">
        <v>345</v>
      </c>
      <c r="Z1435" s="3">
        <v>60523</v>
      </c>
      <c r="AA1435" t="s">
        <v>101</v>
      </c>
      <c r="AC1435" s="4" t="str">
        <f>"+16303680970"</f>
        <v>+16303680970</v>
      </c>
      <c r="AE1435" t="str">
        <f>"541511"</f>
        <v>541511</v>
      </c>
      <c r="AF1435" t="s">
        <v>5789</v>
      </c>
      <c r="AG1435" t="s">
        <v>5790</v>
      </c>
      <c r="AI1435" t="s">
        <v>7273</v>
      </c>
      <c r="AJ1435" t="s">
        <v>4735</v>
      </c>
      <c r="AK1435" t="str">
        <f>"SUITE 722"</f>
        <v>SUITE 722</v>
      </c>
      <c r="AL1435" t="s">
        <v>2943</v>
      </c>
      <c r="AM1435" t="s">
        <v>345</v>
      </c>
      <c r="AN1435" s="3">
        <v>60523</v>
      </c>
      <c r="AO1435" t="s">
        <v>101</v>
      </c>
      <c r="AQ1435" t="str">
        <f>"+16303680970"</f>
        <v>+16303680970</v>
      </c>
      <c r="AS1435" t="s">
        <v>5791</v>
      </c>
      <c r="AT1435" t="s">
        <v>107</v>
      </c>
      <c r="AU1435" t="str">
        <f>"Butte"</f>
        <v>Butte</v>
      </c>
      <c r="AV1435" t="str">
        <f>"Dagmar"</f>
        <v>Dagmar</v>
      </c>
      <c r="AW1435" t="str">
        <f>""</f>
        <v/>
      </c>
      <c r="AX1435" t="str">
        <f>"PARKER, BUTTE &amp; LANE, P.C."</f>
        <v>PARKER, BUTTE &amp; LANE, P.C.</v>
      </c>
      <c r="AY1435" t="str">
        <f>"1200 NW Naito Parkway, Suite 200"</f>
        <v>1200 NW Naito Parkway, Suite 200</v>
      </c>
      <c r="AZ1435" t="str">
        <f>"Portland"</f>
        <v>Portland</v>
      </c>
      <c r="BA1435" t="str">
        <f>"OR"</f>
        <v>OR</v>
      </c>
      <c r="BB1435" s="3">
        <v>97209</v>
      </c>
      <c r="BC1435" t="str">
        <f>"UNITED STATES OF AMERICA"</f>
        <v>UNITED STATES OF AMERICA</v>
      </c>
      <c r="BD1435" t="str">
        <f>""</f>
        <v/>
      </c>
      <c r="BE1435" t="str">
        <f>"+15032411320"</f>
        <v>+15032411320</v>
      </c>
      <c r="BF1435" t="str">
        <f>"148"</f>
        <v>148</v>
      </c>
      <c r="BG1435" t="str">
        <f>"db@pbl.net"</f>
        <v>db@pbl.net</v>
      </c>
      <c r="BH1435" t="str">
        <f>"PARKER BUTTE &amp; LANE, P.C."</f>
        <v>PARKER BUTTE &amp; LANE, P.C.</v>
      </c>
      <c r="BI1435" t="str">
        <f>"OR"</f>
        <v>OR</v>
      </c>
      <c r="BJ1435" t="str">
        <f>"Oregon Supreme Court"</f>
        <v>Oregon Supreme Court</v>
      </c>
      <c r="BK1435">
        <v>1</v>
      </c>
      <c r="BL1435" t="s">
        <v>107</v>
      </c>
      <c r="BM1435" t="str">
        <f>"CDW, INC."</f>
        <v>CDW, INC.</v>
      </c>
      <c r="BN1435" t="s">
        <v>10744</v>
      </c>
      <c r="BP1435" t="s">
        <v>7100</v>
      </c>
      <c r="BQ1435" t="s">
        <v>691</v>
      </c>
      <c r="BR1435" t="s">
        <v>345</v>
      </c>
      <c r="BS1435" s="5">
        <v>60061</v>
      </c>
      <c r="BT1435" s="2">
        <v>154500</v>
      </c>
      <c r="BU1435" s="2">
        <v>159000</v>
      </c>
      <c r="BV1435" t="s">
        <v>105</v>
      </c>
      <c r="BW1435" s="2">
        <v>107515</v>
      </c>
      <c r="BX1435" t="s">
        <v>105</v>
      </c>
      <c r="BZ1435" t="s">
        <v>159</v>
      </c>
      <c r="CA1435" t="str">
        <f t="shared" si="109"/>
        <v>7/1/2020 - 6/30/2021</v>
      </c>
      <c r="CF1435">
        <v>1</v>
      </c>
      <c r="CG1435" t="s">
        <v>98</v>
      </c>
      <c r="CH1435" t="s">
        <v>98</v>
      </c>
      <c r="CI1435" t="s">
        <v>206</v>
      </c>
      <c r="CJ1435" t="s">
        <v>98</v>
      </c>
      <c r="CK1435" t="s">
        <v>12323</v>
      </c>
      <c r="CL1435" t="s">
        <v>108</v>
      </c>
      <c r="CM1435" t="s">
        <v>109</v>
      </c>
      <c r="CN1435" t="str">
        <f>"APALATEGUI"</f>
        <v>APALATEGUI</v>
      </c>
      <c r="CO1435" t="str">
        <f>"MICHELLE"</f>
        <v>MICHELLE</v>
      </c>
      <c r="CP1435" t="str">
        <f>""</f>
        <v/>
      </c>
      <c r="CQ1435" t="str">
        <f>"PARKER, BUTTE &amp; LANE P.C."</f>
        <v>PARKER, BUTTE &amp; LANE P.C.</v>
      </c>
      <c r="CR1435" t="s">
        <v>4736</v>
      </c>
    </row>
    <row r="1436" spans="1:96" x14ac:dyDescent="0.2">
      <c r="A1436" t="s">
        <v>10750</v>
      </c>
      <c r="B1436" t="s">
        <v>96</v>
      </c>
      <c r="C1436" s="1">
        <v>44099</v>
      </c>
      <c r="D1436" s="1">
        <v>44106</v>
      </c>
      <c r="F1436" t="s">
        <v>97</v>
      </c>
      <c r="G1436" t="str">
        <f>"Technical Architect"</f>
        <v>Technical Architect</v>
      </c>
      <c r="H1436" t="s">
        <v>12168</v>
      </c>
      <c r="I1436" t="s">
        <v>722</v>
      </c>
      <c r="J1436" t="s">
        <v>98</v>
      </c>
      <c r="K1436" s="1">
        <v>44104</v>
      </c>
      <c r="L1436" s="1">
        <v>45198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 t="s">
        <v>3000</v>
      </c>
      <c r="U1436" t="str">
        <f>"Mindtree Limited"</f>
        <v>Mindtree Limited</v>
      </c>
      <c r="V1436" t="s">
        <v>3001</v>
      </c>
      <c r="W1436" t="str">
        <f>"Suite 401"</f>
        <v>Suite 401</v>
      </c>
      <c r="X1436" t="s">
        <v>1058</v>
      </c>
      <c r="Y1436" t="s">
        <v>100</v>
      </c>
      <c r="Z1436" s="3">
        <v>7059</v>
      </c>
      <c r="AA1436" t="s">
        <v>101</v>
      </c>
      <c r="AC1436" s="4" t="str">
        <f>"+19086048080"</f>
        <v>+19086048080</v>
      </c>
      <c r="AE1436" t="str">
        <f>"541511"</f>
        <v>541511</v>
      </c>
      <c r="AF1436" t="s">
        <v>1146</v>
      </c>
      <c r="AG1436" t="s">
        <v>2585</v>
      </c>
      <c r="AH1436" t="s">
        <v>108</v>
      </c>
      <c r="AI1436" t="s">
        <v>1085</v>
      </c>
      <c r="AJ1436" t="s">
        <v>3001</v>
      </c>
      <c r="AK1436" t="str">
        <f>"Ste. 401"</f>
        <v>Ste. 401</v>
      </c>
      <c r="AL1436" t="s">
        <v>1058</v>
      </c>
      <c r="AM1436" t="s">
        <v>100</v>
      </c>
      <c r="AN1436" s="3">
        <v>7059</v>
      </c>
      <c r="AO1436" t="s">
        <v>101</v>
      </c>
      <c r="AQ1436" t="str">
        <f>"+14254959011"</f>
        <v>+14254959011</v>
      </c>
      <c r="AS1436" t="s">
        <v>3002</v>
      </c>
      <c r="AT1436" t="s">
        <v>107</v>
      </c>
      <c r="AU1436" t="str">
        <f>"RICOTTA"</f>
        <v>RICOTTA</v>
      </c>
      <c r="AV1436" t="str">
        <f>"Christopher"</f>
        <v>Christopher</v>
      </c>
      <c r="AW1436" t="str">
        <f>"N/A"</f>
        <v>N/A</v>
      </c>
      <c r="AX1436" t="str">
        <f>"5250 Corporate Drive"</f>
        <v>5250 Corporate Drive</v>
      </c>
      <c r="AY1436" t="str">
        <f>"Suite 300"</f>
        <v>Suite 300</v>
      </c>
      <c r="AZ1436" t="str">
        <f>"Troy"</f>
        <v>Troy</v>
      </c>
      <c r="BA1436" t="str">
        <f>"MI"</f>
        <v>MI</v>
      </c>
      <c r="BB1436" s="3">
        <v>48098</v>
      </c>
      <c r="BC1436" t="str">
        <f>"UNITED STATES OF AMERICA"</f>
        <v>UNITED STATES OF AMERICA</v>
      </c>
      <c r="BD1436" t="str">
        <f>""</f>
        <v/>
      </c>
      <c r="BE1436" t="str">
        <f>"+12486434900"</f>
        <v>+12486434900</v>
      </c>
      <c r="BF1436" t="str">
        <f>""</f>
        <v/>
      </c>
      <c r="BG1436" t="str">
        <f>"Christopher@employmentimmigration.com"</f>
        <v>Christopher@employmentimmigration.com</v>
      </c>
      <c r="BH1436" t="str">
        <f>"Fakhoury Global Immigration, USA PC"</f>
        <v>Fakhoury Global Immigration, USA PC</v>
      </c>
      <c r="BI1436" t="str">
        <f>"MI"</f>
        <v>MI</v>
      </c>
      <c r="BJ1436" t="str">
        <f>"Supreme Court"</f>
        <v>Supreme Court</v>
      </c>
      <c r="BK1436">
        <v>1</v>
      </c>
      <c r="BL1436" t="s">
        <v>107</v>
      </c>
      <c r="BM1436" t="str">
        <f>"Marriott International Inc."</f>
        <v>Marriott International Inc.</v>
      </c>
      <c r="BN1436" t="s">
        <v>2612</v>
      </c>
      <c r="BP1436" t="s">
        <v>2307</v>
      </c>
      <c r="BQ1436" t="s">
        <v>529</v>
      </c>
      <c r="BR1436" t="s">
        <v>195</v>
      </c>
      <c r="BS1436" s="5">
        <v>20817</v>
      </c>
      <c r="BT1436" s="2">
        <v>116147</v>
      </c>
      <c r="BV1436" t="s">
        <v>105</v>
      </c>
      <c r="BW1436" s="2">
        <v>116147</v>
      </c>
      <c r="BX1436" t="s">
        <v>105</v>
      </c>
      <c r="BZ1436" t="s">
        <v>123</v>
      </c>
      <c r="CA1436" t="str">
        <f t="shared" si="109"/>
        <v>7/1/2020 - 6/30/2021</v>
      </c>
      <c r="CF1436">
        <v>2</v>
      </c>
      <c r="CG1436" t="s">
        <v>98</v>
      </c>
      <c r="CH1436" t="s">
        <v>98</v>
      </c>
      <c r="CI1436" t="s">
        <v>206</v>
      </c>
      <c r="CJ1436" t="s">
        <v>98</v>
      </c>
      <c r="CK1436" t="s">
        <v>12323</v>
      </c>
      <c r="CL1436" t="s">
        <v>108</v>
      </c>
      <c r="CM1436" t="s">
        <v>109</v>
      </c>
      <c r="CN1436" t="str">
        <f>"RICOTTA"</f>
        <v>RICOTTA</v>
      </c>
      <c r="CO1436" t="str">
        <f>"CHRISTOPHER"</f>
        <v>CHRISTOPHER</v>
      </c>
      <c r="CP1436" t="str">
        <f>""</f>
        <v/>
      </c>
      <c r="CQ1436" t="str">
        <f>"FAKHOURY GLOBAL IMMIGRATION, USA PC"</f>
        <v>FAKHOURY GLOBAL IMMIGRATION, USA PC</v>
      </c>
      <c r="CR1436" t="s">
        <v>3003</v>
      </c>
    </row>
    <row r="1437" spans="1:96" x14ac:dyDescent="0.2">
      <c r="A1437" t="s">
        <v>10779</v>
      </c>
      <c r="B1437" t="s">
        <v>96</v>
      </c>
      <c r="C1437" s="1">
        <v>44099</v>
      </c>
      <c r="D1437" s="1">
        <v>44106</v>
      </c>
      <c r="F1437" t="s">
        <v>97</v>
      </c>
      <c r="G1437" t="str">
        <f>"Applications Consultant 2"</f>
        <v>Applications Consultant 2</v>
      </c>
      <c r="H1437" t="s">
        <v>12169</v>
      </c>
      <c r="I1437" t="s">
        <v>124</v>
      </c>
      <c r="J1437" t="s">
        <v>98</v>
      </c>
      <c r="K1437" s="1">
        <v>44105</v>
      </c>
      <c r="L1437" s="1">
        <v>45199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 t="s">
        <v>1421</v>
      </c>
      <c r="U1437" t="str">
        <f>""</f>
        <v/>
      </c>
      <c r="V1437" t="s">
        <v>4901</v>
      </c>
      <c r="W1437" t="str">
        <f>"Suite 300"</f>
        <v>Suite 300</v>
      </c>
      <c r="X1437" t="s">
        <v>833</v>
      </c>
      <c r="Y1437" t="s">
        <v>345</v>
      </c>
      <c r="Z1437" s="3">
        <v>60606</v>
      </c>
      <c r="AA1437" t="s">
        <v>101</v>
      </c>
      <c r="AC1437" s="4" t="str">
        <f>"+13123955000"</f>
        <v>+13123955000</v>
      </c>
      <c r="AE1437" t="str">
        <f>"5416"</f>
        <v>5416</v>
      </c>
      <c r="AF1437" t="s">
        <v>1385</v>
      </c>
      <c r="AG1437" t="s">
        <v>1386</v>
      </c>
      <c r="AI1437" t="s">
        <v>4902</v>
      </c>
      <c r="AJ1437" t="s">
        <v>4566</v>
      </c>
      <c r="AK1437" t="str">
        <f>""</f>
        <v/>
      </c>
      <c r="AL1437" t="s">
        <v>3243</v>
      </c>
      <c r="AM1437" t="s">
        <v>345</v>
      </c>
      <c r="AN1437" s="3">
        <v>60018</v>
      </c>
      <c r="AO1437" t="s">
        <v>101</v>
      </c>
      <c r="AQ1437" t="str">
        <f>"+18473846100"</f>
        <v>+18473846100</v>
      </c>
      <c r="AS1437" t="s">
        <v>4903</v>
      </c>
      <c r="AT1437" t="s">
        <v>102</v>
      </c>
      <c r="AU1437" t="str">
        <f>""</f>
        <v/>
      </c>
      <c r="AV1437" t="str">
        <f>""</f>
        <v/>
      </c>
      <c r="AW1437" t="str">
        <f>""</f>
        <v/>
      </c>
      <c r="AX1437" t="str">
        <f>""</f>
        <v/>
      </c>
      <c r="AY1437" t="str">
        <f>""</f>
        <v/>
      </c>
      <c r="AZ1437" t="str">
        <f>""</f>
        <v/>
      </c>
      <c r="BA1437" t="str">
        <f>""</f>
        <v/>
      </c>
      <c r="BC1437" t="str">
        <f>""</f>
        <v/>
      </c>
      <c r="BD1437" t="str">
        <f>""</f>
        <v/>
      </c>
      <c r="BE1437" t="str">
        <f>""</f>
        <v/>
      </c>
      <c r="BF1437" t="str">
        <f>""</f>
        <v/>
      </c>
      <c r="BG1437" t="str">
        <f>""</f>
        <v/>
      </c>
      <c r="BH1437" t="str">
        <f>""</f>
        <v/>
      </c>
      <c r="BI1437" t="str">
        <f>""</f>
        <v/>
      </c>
      <c r="BJ1437" t="str">
        <f>""</f>
        <v/>
      </c>
      <c r="BK1437">
        <v>1</v>
      </c>
      <c r="BL1437" t="s">
        <v>102</v>
      </c>
      <c r="BM1437" t="str">
        <f>""</f>
        <v/>
      </c>
      <c r="BN1437" t="s">
        <v>10780</v>
      </c>
      <c r="BP1437" t="s">
        <v>6901</v>
      </c>
      <c r="BQ1437" t="s">
        <v>1319</v>
      </c>
      <c r="BR1437" t="s">
        <v>135</v>
      </c>
      <c r="BS1437" s="5">
        <v>23294</v>
      </c>
      <c r="BT1437" s="2">
        <v>87984</v>
      </c>
      <c r="BU1437" s="2">
        <v>92000</v>
      </c>
      <c r="BV1437" t="s">
        <v>105</v>
      </c>
      <c r="BW1437" s="2">
        <v>87984</v>
      </c>
      <c r="BX1437" t="s">
        <v>105</v>
      </c>
      <c r="BZ1437" t="s">
        <v>167</v>
      </c>
      <c r="CA1437" t="str">
        <f t="shared" si="109"/>
        <v>7/1/2020 - 6/30/2021</v>
      </c>
      <c r="CF1437">
        <v>1</v>
      </c>
      <c r="CG1437" t="s">
        <v>98</v>
      </c>
      <c r="CH1437" t="s">
        <v>98</v>
      </c>
      <c r="CI1437" t="s">
        <v>206</v>
      </c>
      <c r="CJ1437" t="s">
        <v>98</v>
      </c>
      <c r="CK1437" t="s">
        <v>12323</v>
      </c>
      <c r="CL1437" t="s">
        <v>108</v>
      </c>
      <c r="CM1437" t="s">
        <v>109</v>
      </c>
      <c r="CN1437" t="str">
        <f>""</f>
        <v/>
      </c>
      <c r="CO1437" t="str">
        <f>""</f>
        <v/>
      </c>
      <c r="CP1437" t="str">
        <f>""</f>
        <v/>
      </c>
      <c r="CQ1437" t="str">
        <f>""</f>
        <v/>
      </c>
    </row>
    <row r="1438" spans="1:96" x14ac:dyDescent="0.2">
      <c r="A1438" t="s">
        <v>10782</v>
      </c>
      <c r="B1438" t="s">
        <v>96</v>
      </c>
      <c r="C1438" s="1">
        <v>44099</v>
      </c>
      <c r="D1438" s="1">
        <v>44106</v>
      </c>
      <c r="F1438" t="s">
        <v>97</v>
      </c>
      <c r="G1438" t="str">
        <f>"SOFTWARE DEVELOPER"</f>
        <v>SOFTWARE DEVELOPER</v>
      </c>
      <c r="H1438" t="s">
        <v>12169</v>
      </c>
      <c r="I1438" t="s">
        <v>124</v>
      </c>
      <c r="J1438" t="s">
        <v>98</v>
      </c>
      <c r="K1438" s="1">
        <v>44279</v>
      </c>
      <c r="L1438" s="1">
        <v>45374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 t="s">
        <v>10434</v>
      </c>
      <c r="U1438" t="str">
        <f>""</f>
        <v/>
      </c>
      <c r="V1438" t="s">
        <v>3863</v>
      </c>
      <c r="W1438" t="str">
        <f>"SUITE 2100"</f>
        <v>SUITE 2100</v>
      </c>
      <c r="X1438" t="s">
        <v>1206</v>
      </c>
      <c r="Y1438" t="s">
        <v>100</v>
      </c>
      <c r="Z1438" s="3">
        <v>7302</v>
      </c>
      <c r="AA1438" t="s">
        <v>101</v>
      </c>
      <c r="AC1438" s="4" t="str">
        <f>"+12015263845"</f>
        <v>+12015263845</v>
      </c>
      <c r="AE1438" t="str">
        <f>"541519"</f>
        <v>541519</v>
      </c>
      <c r="AF1438" t="s">
        <v>6491</v>
      </c>
      <c r="AG1438" t="s">
        <v>1604</v>
      </c>
      <c r="AI1438" t="s">
        <v>1586</v>
      </c>
      <c r="AJ1438" t="s">
        <v>3863</v>
      </c>
      <c r="AK1438" t="str">
        <f>"SUITE 2100"</f>
        <v>SUITE 2100</v>
      </c>
      <c r="AL1438" t="s">
        <v>1206</v>
      </c>
      <c r="AM1438" t="s">
        <v>100</v>
      </c>
      <c r="AN1438" s="3">
        <v>7302</v>
      </c>
      <c r="AO1438" t="s">
        <v>101</v>
      </c>
      <c r="AQ1438" t="str">
        <f>"+12015263845"</f>
        <v>+12015263845</v>
      </c>
      <c r="AS1438" t="s">
        <v>10435</v>
      </c>
      <c r="AT1438" t="s">
        <v>102</v>
      </c>
      <c r="AU1438" t="str">
        <f>""</f>
        <v/>
      </c>
      <c r="AV1438" t="str">
        <f>""</f>
        <v/>
      </c>
      <c r="AW1438" t="str">
        <f>""</f>
        <v/>
      </c>
      <c r="AX1438" t="str">
        <f>""</f>
        <v/>
      </c>
      <c r="AY1438" t="str">
        <f>""</f>
        <v/>
      </c>
      <c r="AZ1438" t="str">
        <f>""</f>
        <v/>
      </c>
      <c r="BA1438" t="str">
        <f>""</f>
        <v/>
      </c>
      <c r="BC1438" t="str">
        <f>""</f>
        <v/>
      </c>
      <c r="BD1438" t="str">
        <f>""</f>
        <v/>
      </c>
      <c r="BE1438" t="str">
        <f>""</f>
        <v/>
      </c>
      <c r="BF1438" t="str">
        <f>""</f>
        <v/>
      </c>
      <c r="BG1438" t="str">
        <f>""</f>
        <v/>
      </c>
      <c r="BH1438" t="str">
        <f>""</f>
        <v/>
      </c>
      <c r="BI1438" t="str">
        <f>""</f>
        <v/>
      </c>
      <c r="BJ1438" t="str">
        <f>""</f>
        <v/>
      </c>
      <c r="BK1438">
        <v>1</v>
      </c>
      <c r="BL1438" t="s">
        <v>107</v>
      </c>
      <c r="BM1438" t="str">
        <f>"Walt Disney Attractions Technology"</f>
        <v>Walt Disney Attractions Technology</v>
      </c>
      <c r="BN1438" t="s">
        <v>6119</v>
      </c>
      <c r="BP1438" t="s">
        <v>1521</v>
      </c>
      <c r="BQ1438" t="s">
        <v>377</v>
      </c>
      <c r="BR1438" t="s">
        <v>577</v>
      </c>
      <c r="BS1438" s="5">
        <v>32819</v>
      </c>
      <c r="BT1438" s="2">
        <v>84000</v>
      </c>
      <c r="BV1438" t="s">
        <v>105</v>
      </c>
      <c r="BW1438" s="2">
        <v>83512</v>
      </c>
      <c r="BX1438" t="s">
        <v>105</v>
      </c>
      <c r="BZ1438" t="s">
        <v>167</v>
      </c>
      <c r="CA1438" t="str">
        <f t="shared" si="109"/>
        <v>7/1/2020 - 6/30/2021</v>
      </c>
      <c r="CF1438">
        <v>1</v>
      </c>
      <c r="CG1438" t="s">
        <v>98</v>
      </c>
      <c r="CH1438" t="s">
        <v>98</v>
      </c>
      <c r="CI1438" t="s">
        <v>206</v>
      </c>
      <c r="CJ1438" t="s">
        <v>98</v>
      </c>
      <c r="CK1438" t="s">
        <v>12323</v>
      </c>
      <c r="CL1438" t="s">
        <v>108</v>
      </c>
      <c r="CM1438" t="s">
        <v>109</v>
      </c>
      <c r="CN1438" t="str">
        <f>""</f>
        <v/>
      </c>
      <c r="CO1438" t="str">
        <f>""</f>
        <v/>
      </c>
      <c r="CP1438" t="str">
        <f>""</f>
        <v/>
      </c>
      <c r="CQ1438" t="str">
        <f>""</f>
        <v/>
      </c>
    </row>
    <row r="1439" spans="1:96" x14ac:dyDescent="0.2">
      <c r="A1439" t="s">
        <v>10788</v>
      </c>
      <c r="B1439" t="s">
        <v>96</v>
      </c>
      <c r="C1439" s="1">
        <v>44099</v>
      </c>
      <c r="D1439" s="1">
        <v>44106</v>
      </c>
      <c r="F1439" t="s">
        <v>97</v>
      </c>
      <c r="G1439" t="str">
        <f>"BUSINESS ANALYST"</f>
        <v>BUSINESS ANALYST</v>
      </c>
      <c r="H1439" t="s">
        <v>12181</v>
      </c>
      <c r="I1439" t="s">
        <v>110</v>
      </c>
      <c r="J1439" t="s">
        <v>98</v>
      </c>
      <c r="K1439" s="1">
        <v>44102</v>
      </c>
      <c r="L1439" s="1">
        <v>45196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 t="s">
        <v>2502</v>
      </c>
      <c r="U1439" t="str">
        <f>""</f>
        <v/>
      </c>
      <c r="V1439" t="s">
        <v>2503</v>
      </c>
      <c r="W1439" t="str">
        <f>""</f>
        <v/>
      </c>
      <c r="X1439" t="s">
        <v>651</v>
      </c>
      <c r="Y1439" t="s">
        <v>141</v>
      </c>
      <c r="Z1439" s="3" t="s">
        <v>12300</v>
      </c>
      <c r="AA1439" t="s">
        <v>101</v>
      </c>
      <c r="AB1439" t="s">
        <v>108</v>
      </c>
      <c r="AC1439" s="4" t="str">
        <f>"+14084367508"</f>
        <v>+14084367508</v>
      </c>
      <c r="AE1439" t="str">
        <f>"541511"</f>
        <v>541511</v>
      </c>
      <c r="AF1439" t="s">
        <v>2504</v>
      </c>
      <c r="AG1439" t="s">
        <v>2505</v>
      </c>
      <c r="AH1439" t="s">
        <v>108</v>
      </c>
      <c r="AI1439" t="s">
        <v>2506</v>
      </c>
      <c r="AJ1439" t="s">
        <v>2507</v>
      </c>
      <c r="AK1439" t="str">
        <f>""</f>
        <v/>
      </c>
      <c r="AL1439" t="s">
        <v>651</v>
      </c>
      <c r="AM1439" t="s">
        <v>141</v>
      </c>
      <c r="AN1439" s="3" t="s">
        <v>12300</v>
      </c>
      <c r="AO1439" t="s">
        <v>101</v>
      </c>
      <c r="AQ1439" t="str">
        <f>"+14084367508"</f>
        <v>+14084367508</v>
      </c>
      <c r="AS1439" t="s">
        <v>2508</v>
      </c>
      <c r="AT1439" t="s">
        <v>107</v>
      </c>
      <c r="AU1439" t="str">
        <f>"CHUGH"</f>
        <v>CHUGH</v>
      </c>
      <c r="AV1439" t="str">
        <f>"NAVNEET"</f>
        <v>NAVNEET</v>
      </c>
      <c r="AW1439" t="str">
        <f>"SINGH"</f>
        <v>SINGH</v>
      </c>
      <c r="AX1439" t="str">
        <f>"1600 DUANE AVENUE"</f>
        <v>1600 DUANE AVENUE</v>
      </c>
      <c r="AY1439" t="str">
        <f>""</f>
        <v/>
      </c>
      <c r="AZ1439" t="str">
        <f>"SANTA CLARA"</f>
        <v>SANTA CLARA</v>
      </c>
      <c r="BA1439" t="str">
        <f>"CA"</f>
        <v>CA</v>
      </c>
      <c r="BB1439" s="3">
        <v>95054</v>
      </c>
      <c r="BC1439" t="str">
        <f t="shared" ref="BC1439:BC1444" si="110">"UNITED STATES OF AMERICA"</f>
        <v>UNITED STATES OF AMERICA</v>
      </c>
      <c r="BD1439" t="str">
        <f>""</f>
        <v/>
      </c>
      <c r="BE1439" t="str">
        <f>"+14089700100"</f>
        <v>+14089700100</v>
      </c>
      <c r="BF1439" t="str">
        <f>""</f>
        <v/>
      </c>
      <c r="BG1439" t="str">
        <f>"DEEPIKA.SINGH@CHUGH.COM"</f>
        <v>DEEPIKA.SINGH@CHUGH.COM</v>
      </c>
      <c r="BH1439" t="str">
        <f>"CHUGH LLP"</f>
        <v>CHUGH LLP</v>
      </c>
      <c r="BI1439" t="str">
        <f>"CA"</f>
        <v>CA</v>
      </c>
      <c r="BJ1439" t="str">
        <f>"SUPREME COURT, STATE OF CALIFORNIA"</f>
        <v>SUPREME COURT, STATE OF CALIFORNIA</v>
      </c>
      <c r="BK1439">
        <v>1</v>
      </c>
      <c r="BL1439" t="s">
        <v>107</v>
      </c>
      <c r="BM1439" t="str">
        <f>"THE CITY OF NEW YORK"</f>
        <v>THE CITY OF NEW YORK</v>
      </c>
      <c r="BN1439" t="s">
        <v>10789</v>
      </c>
      <c r="BP1439" t="s">
        <v>1877</v>
      </c>
      <c r="BQ1439" t="s">
        <v>1792</v>
      </c>
      <c r="BR1439" t="s">
        <v>190</v>
      </c>
      <c r="BS1439" s="5">
        <v>11201</v>
      </c>
      <c r="BT1439" s="2">
        <v>92269</v>
      </c>
      <c r="BU1439" s="2">
        <v>102000</v>
      </c>
      <c r="BV1439" t="s">
        <v>105</v>
      </c>
      <c r="BW1439" s="2">
        <v>92269</v>
      </c>
      <c r="BX1439" t="s">
        <v>105</v>
      </c>
      <c r="BZ1439" t="s">
        <v>167</v>
      </c>
      <c r="CA1439" t="str">
        <f t="shared" si="109"/>
        <v>7/1/2020 - 6/30/2021</v>
      </c>
      <c r="CF1439">
        <v>2</v>
      </c>
      <c r="CG1439" t="s">
        <v>98</v>
      </c>
      <c r="CH1439" t="s">
        <v>98</v>
      </c>
      <c r="CI1439" t="s">
        <v>206</v>
      </c>
      <c r="CJ1439" t="s">
        <v>98</v>
      </c>
      <c r="CK1439" t="s">
        <v>12323</v>
      </c>
      <c r="CL1439" t="s">
        <v>108</v>
      </c>
      <c r="CM1439" t="s">
        <v>109</v>
      </c>
      <c r="CN1439" t="str">
        <f>"TAVAKOLI"</f>
        <v>TAVAKOLI</v>
      </c>
      <c r="CO1439" t="str">
        <f>"FARDOKHT"</f>
        <v>FARDOKHT</v>
      </c>
      <c r="CP1439" t="str">
        <f>"N/A"</f>
        <v>N/A</v>
      </c>
      <c r="CQ1439" t="str">
        <f>"CHUGH LLP"</f>
        <v>CHUGH LLP</v>
      </c>
      <c r="CR1439" t="s">
        <v>401</v>
      </c>
    </row>
    <row r="1440" spans="1:96" x14ac:dyDescent="0.2">
      <c r="A1440" t="s">
        <v>10790</v>
      </c>
      <c r="B1440" t="s">
        <v>96</v>
      </c>
      <c r="C1440" s="1">
        <v>44099</v>
      </c>
      <c r="D1440" s="1">
        <v>44106</v>
      </c>
      <c r="F1440" t="s">
        <v>97</v>
      </c>
      <c r="G1440" t="str">
        <f>"Software Developer"</f>
        <v>Software Developer</v>
      </c>
      <c r="H1440" t="s">
        <v>12169</v>
      </c>
      <c r="I1440" t="s">
        <v>124</v>
      </c>
      <c r="J1440" t="s">
        <v>98</v>
      </c>
      <c r="K1440" s="1">
        <v>44109</v>
      </c>
      <c r="L1440" s="1">
        <v>45203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 t="s">
        <v>10214</v>
      </c>
      <c r="U1440" t="str">
        <f>""</f>
        <v/>
      </c>
      <c r="V1440" t="s">
        <v>10215</v>
      </c>
      <c r="W1440" t="str">
        <f>"Ste. 4245"</f>
        <v>Ste. 4245</v>
      </c>
      <c r="X1440" t="s">
        <v>2917</v>
      </c>
      <c r="Y1440" t="s">
        <v>215</v>
      </c>
      <c r="Z1440" s="3">
        <v>30041</v>
      </c>
      <c r="AA1440" t="s">
        <v>101</v>
      </c>
      <c r="AC1440" s="4" t="str">
        <f>"+14049560550"</f>
        <v>+14049560550</v>
      </c>
      <c r="AE1440" t="str">
        <f>"541519"</f>
        <v>541519</v>
      </c>
      <c r="AF1440" t="s">
        <v>680</v>
      </c>
      <c r="AG1440" t="s">
        <v>3968</v>
      </c>
      <c r="AI1440" t="s">
        <v>298</v>
      </c>
      <c r="AJ1440" t="s">
        <v>10215</v>
      </c>
      <c r="AK1440" t="str">
        <f>"Ste. 4245"</f>
        <v>Ste. 4245</v>
      </c>
      <c r="AL1440" t="s">
        <v>2917</v>
      </c>
      <c r="AM1440" t="s">
        <v>215</v>
      </c>
      <c r="AN1440" s="3">
        <v>30041</v>
      </c>
      <c r="AO1440" t="s">
        <v>101</v>
      </c>
      <c r="AQ1440" t="str">
        <f>"+14049560550"</f>
        <v>+14049560550</v>
      </c>
      <c r="AS1440" t="s">
        <v>10216</v>
      </c>
      <c r="AT1440" t="s">
        <v>107</v>
      </c>
      <c r="AU1440" t="str">
        <f>"Harding"</f>
        <v>Harding</v>
      </c>
      <c r="AV1440" t="str">
        <f>"Richard"</f>
        <v>Richard</v>
      </c>
      <c r="AW1440" t="str">
        <f>"Alan"</f>
        <v>Alan</v>
      </c>
      <c r="AX1440" t="str">
        <f>"30300 Agoura Road"</f>
        <v>30300 Agoura Road</v>
      </c>
      <c r="AY1440" t="str">
        <f>"Ste. B100"</f>
        <v>Ste. B100</v>
      </c>
      <c r="AZ1440" t="str">
        <f>"Agoura Hills"</f>
        <v>Agoura Hills</v>
      </c>
      <c r="BA1440" t="str">
        <f>"CA"</f>
        <v>CA</v>
      </c>
      <c r="BB1440" s="3">
        <v>91301</v>
      </c>
      <c r="BC1440" t="str">
        <f t="shared" si="110"/>
        <v>UNITED STATES OF AMERICA</v>
      </c>
      <c r="BD1440" t="str">
        <f>""</f>
        <v/>
      </c>
      <c r="BE1440" t="str">
        <f>"+18189146482"</f>
        <v>+18189146482</v>
      </c>
      <c r="BF1440" t="str">
        <f>""</f>
        <v/>
      </c>
      <c r="BG1440" t="str">
        <f>"Admin@gotcherlaw.com"</f>
        <v>Admin@gotcherlaw.com</v>
      </c>
      <c r="BH1440" t="str">
        <f>"Global Immigration Partners, Inc"</f>
        <v>Global Immigration Partners, Inc</v>
      </c>
      <c r="BI1440" t="str">
        <f>"CA"</f>
        <v>CA</v>
      </c>
      <c r="BJ1440" t="str">
        <f>"California Supreme Court"</f>
        <v>California Supreme Court</v>
      </c>
      <c r="BK1440">
        <v>1</v>
      </c>
      <c r="BL1440" t="s">
        <v>107</v>
      </c>
      <c r="BM1440" t="str">
        <f>"Fidelity Investments"</f>
        <v>Fidelity Investments</v>
      </c>
      <c r="BN1440" t="s">
        <v>10791</v>
      </c>
      <c r="BP1440" t="s">
        <v>3510</v>
      </c>
      <c r="BQ1440" t="s">
        <v>1034</v>
      </c>
      <c r="BR1440" t="s">
        <v>1035</v>
      </c>
      <c r="BS1440" s="5">
        <v>3054</v>
      </c>
      <c r="BT1440" s="2">
        <v>58.95</v>
      </c>
      <c r="BV1440" t="s">
        <v>210</v>
      </c>
      <c r="BW1440" s="2">
        <v>53.4</v>
      </c>
      <c r="BX1440" t="s">
        <v>210</v>
      </c>
      <c r="BZ1440" t="s">
        <v>159</v>
      </c>
      <c r="CA1440" t="str">
        <f t="shared" si="109"/>
        <v>7/1/2020 - 6/30/2021</v>
      </c>
      <c r="CF1440">
        <v>3</v>
      </c>
      <c r="CG1440" t="s">
        <v>98</v>
      </c>
      <c r="CH1440" t="s">
        <v>98</v>
      </c>
      <c r="CI1440" t="s">
        <v>206</v>
      </c>
      <c r="CJ1440" t="s">
        <v>98</v>
      </c>
      <c r="CK1440" t="s">
        <v>12323</v>
      </c>
      <c r="CL1440" t="s">
        <v>108</v>
      </c>
      <c r="CM1440" t="s">
        <v>109</v>
      </c>
      <c r="CN1440" t="str">
        <f>"Harding"</f>
        <v>Harding</v>
      </c>
      <c r="CO1440" t="str">
        <f>"Richard"</f>
        <v>Richard</v>
      </c>
      <c r="CP1440" t="str">
        <f>"A"</f>
        <v>A</v>
      </c>
      <c r="CQ1440" t="str">
        <f>"Global Immigration Partners, Inc"</f>
        <v>Global Immigration Partners, Inc</v>
      </c>
      <c r="CR1440" t="s">
        <v>1275</v>
      </c>
    </row>
    <row r="1441" spans="1:96" x14ac:dyDescent="0.2">
      <c r="A1441" t="s">
        <v>10798</v>
      </c>
      <c r="B1441" t="s">
        <v>96</v>
      </c>
      <c r="C1441" s="1">
        <v>44099</v>
      </c>
      <c r="D1441" s="1">
        <v>44106</v>
      </c>
      <c r="F1441" t="s">
        <v>97</v>
      </c>
      <c r="G1441" t="str">
        <f>"ELECTRICAL ENGINEER"</f>
        <v>ELECTRICAL ENGINEER</v>
      </c>
      <c r="H1441" t="s">
        <v>12179</v>
      </c>
      <c r="I1441" t="s">
        <v>1357</v>
      </c>
      <c r="J1441" t="s">
        <v>98</v>
      </c>
      <c r="K1441" s="1">
        <v>44106</v>
      </c>
      <c r="L1441" s="1">
        <v>44265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 t="s">
        <v>3691</v>
      </c>
      <c r="U1441" t="str">
        <f>""</f>
        <v/>
      </c>
      <c r="V1441" t="s">
        <v>3692</v>
      </c>
      <c r="W1441" t="str">
        <f>"EDISON SQUARE WEST, SUITE 3002"</f>
        <v>EDISON SQUARE WEST, SUITE 3002</v>
      </c>
      <c r="X1441" t="s">
        <v>211</v>
      </c>
      <c r="Y1441" t="s">
        <v>100</v>
      </c>
      <c r="Z1441" s="3">
        <v>8817</v>
      </c>
      <c r="AA1441" t="s">
        <v>101</v>
      </c>
      <c r="AC1441" s="4" t="str">
        <f>"+17322486119"</f>
        <v>+17322486119</v>
      </c>
      <c r="AE1441" t="str">
        <f>"541330"</f>
        <v>541330</v>
      </c>
      <c r="AF1441" t="s">
        <v>3693</v>
      </c>
      <c r="AG1441" t="s">
        <v>3694</v>
      </c>
      <c r="AI1441" t="s">
        <v>3695</v>
      </c>
      <c r="AJ1441" t="s">
        <v>3692</v>
      </c>
      <c r="AK1441" t="str">
        <f>"EDISON SQUARE WEST, SUITE 3002"</f>
        <v>EDISON SQUARE WEST, SUITE 3002</v>
      </c>
      <c r="AL1441" t="s">
        <v>211</v>
      </c>
      <c r="AM1441" t="s">
        <v>100</v>
      </c>
      <c r="AN1441" s="3">
        <v>8817</v>
      </c>
      <c r="AO1441" t="s">
        <v>101</v>
      </c>
      <c r="AQ1441" t="str">
        <f>"+17322486119"</f>
        <v>+17322486119</v>
      </c>
      <c r="AS1441" t="s">
        <v>3696</v>
      </c>
      <c r="AT1441" t="s">
        <v>107</v>
      </c>
      <c r="AU1441" t="str">
        <f>"JETHMALANI"</f>
        <v>JETHMALANI</v>
      </c>
      <c r="AV1441" t="str">
        <f>"ANIL"</f>
        <v>ANIL</v>
      </c>
      <c r="AW1441" t="str">
        <f>""</f>
        <v/>
      </c>
      <c r="AX1441" t="str">
        <f>"42 BROADWAY"</f>
        <v>42 BROADWAY</v>
      </c>
      <c r="AY1441" t="str">
        <f>"SUITE 1548"</f>
        <v>SUITE 1548</v>
      </c>
      <c r="AZ1441" t="str">
        <f>"NEW YORK"</f>
        <v>NEW YORK</v>
      </c>
      <c r="BA1441" t="str">
        <f>"NY"</f>
        <v>NY</v>
      </c>
      <c r="BB1441" s="3">
        <v>10004</v>
      </c>
      <c r="BC1441" t="str">
        <f t="shared" si="110"/>
        <v>UNITED STATES OF AMERICA</v>
      </c>
      <c r="BD1441" t="str">
        <f>""</f>
        <v/>
      </c>
      <c r="BE1441" t="str">
        <f>"+12124069257"</f>
        <v>+12124069257</v>
      </c>
      <c r="BF1441" t="str">
        <f>""</f>
        <v/>
      </c>
      <c r="BG1441" t="str">
        <f>"BINDIA@jnattorney.com"</f>
        <v>BINDIA@jnattorney.com</v>
      </c>
      <c r="BH1441" t="str">
        <f>"Jethmalani &amp; Nallaseth PLLC"</f>
        <v>Jethmalani &amp; Nallaseth PLLC</v>
      </c>
      <c r="BI1441" t="str">
        <f>"NY"</f>
        <v>NY</v>
      </c>
      <c r="BJ1441" t="str">
        <f>"SUPREME COURT"</f>
        <v>SUPREME COURT</v>
      </c>
      <c r="BK1441">
        <v>1</v>
      </c>
      <c r="BL1441" t="s">
        <v>107</v>
      </c>
      <c r="BM1441" t="str">
        <f>"ROCKWELL AUTOMATION INC."</f>
        <v>ROCKWELL AUTOMATION INC.</v>
      </c>
      <c r="BN1441" t="s">
        <v>10799</v>
      </c>
      <c r="BP1441" t="s">
        <v>10800</v>
      </c>
      <c r="BQ1441" t="s">
        <v>1431</v>
      </c>
      <c r="BR1441" t="s">
        <v>330</v>
      </c>
      <c r="BS1441" s="5">
        <v>53092</v>
      </c>
      <c r="BT1441" s="2">
        <v>81000</v>
      </c>
      <c r="BU1441" s="2">
        <v>91000</v>
      </c>
      <c r="BV1441" t="s">
        <v>105</v>
      </c>
      <c r="BW1441" s="2">
        <v>76253</v>
      </c>
      <c r="BX1441" t="s">
        <v>105</v>
      </c>
      <c r="BZ1441" t="s">
        <v>167</v>
      </c>
      <c r="CA1441" t="str">
        <f t="shared" si="109"/>
        <v>7/1/2020 - 6/30/2021</v>
      </c>
      <c r="CF1441">
        <v>1</v>
      </c>
      <c r="CG1441" t="s">
        <v>98</v>
      </c>
      <c r="CH1441" t="s">
        <v>98</v>
      </c>
      <c r="CI1441" t="s">
        <v>206</v>
      </c>
      <c r="CJ1441" t="s">
        <v>98</v>
      </c>
      <c r="CK1441" t="s">
        <v>12323</v>
      </c>
      <c r="CL1441" t="s">
        <v>108</v>
      </c>
      <c r="CM1441" t="s">
        <v>109</v>
      </c>
      <c r="CN1441" t="str">
        <f>""</f>
        <v/>
      </c>
      <c r="CO1441" t="str">
        <f>""</f>
        <v/>
      </c>
      <c r="CP1441" t="str">
        <f>""</f>
        <v/>
      </c>
      <c r="CQ1441" t="str">
        <f>""</f>
        <v/>
      </c>
    </row>
    <row r="1442" spans="1:96" x14ac:dyDescent="0.2">
      <c r="A1442" t="s">
        <v>10802</v>
      </c>
      <c r="B1442" t="s">
        <v>96</v>
      </c>
      <c r="C1442" s="1">
        <v>44099</v>
      </c>
      <c r="D1442" s="1">
        <v>44106</v>
      </c>
      <c r="F1442" t="s">
        <v>97</v>
      </c>
      <c r="G1442" t="str">
        <f>"Software Developer"</f>
        <v>Software Developer</v>
      </c>
      <c r="H1442" t="s">
        <v>12176</v>
      </c>
      <c r="I1442" t="s">
        <v>246</v>
      </c>
      <c r="J1442" t="s">
        <v>98</v>
      </c>
      <c r="K1442" s="1">
        <v>44269</v>
      </c>
      <c r="L1442" s="1">
        <v>45364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 t="s">
        <v>8315</v>
      </c>
      <c r="U1442" t="str">
        <f>""</f>
        <v/>
      </c>
      <c r="V1442" t="s">
        <v>4679</v>
      </c>
      <c r="W1442" t="str">
        <f>"SUITE # 111"</f>
        <v>SUITE # 111</v>
      </c>
      <c r="X1442" t="s">
        <v>755</v>
      </c>
      <c r="Y1442" t="s">
        <v>135</v>
      </c>
      <c r="Z1442" s="3">
        <v>20171</v>
      </c>
      <c r="AA1442" t="s">
        <v>101</v>
      </c>
      <c r="AC1442" s="4" t="str">
        <f>"+12407535606"</f>
        <v>+12407535606</v>
      </c>
      <c r="AE1442" t="str">
        <f>"541512"</f>
        <v>541512</v>
      </c>
      <c r="AF1442" t="s">
        <v>8316</v>
      </c>
      <c r="AG1442" t="s">
        <v>1641</v>
      </c>
      <c r="AH1442" t="s">
        <v>1517</v>
      </c>
      <c r="AI1442" t="s">
        <v>818</v>
      </c>
      <c r="AJ1442" t="s">
        <v>4679</v>
      </c>
      <c r="AK1442" t="str">
        <f>"SUITE # 111"</f>
        <v>SUITE # 111</v>
      </c>
      <c r="AL1442" t="s">
        <v>1507</v>
      </c>
      <c r="AM1442" t="s">
        <v>135</v>
      </c>
      <c r="AN1442" s="3">
        <v>20171</v>
      </c>
      <c r="AO1442" t="s">
        <v>101</v>
      </c>
      <c r="AQ1442" t="str">
        <f>"+12407535606"</f>
        <v>+12407535606</v>
      </c>
      <c r="AS1442" t="s">
        <v>8317</v>
      </c>
      <c r="AT1442" t="s">
        <v>107</v>
      </c>
      <c r="AU1442" t="str">
        <f>"SOMI REDDY"</f>
        <v>SOMI REDDY</v>
      </c>
      <c r="AV1442" t="str">
        <f>"SANTOSH REDDY"</f>
        <v>SANTOSH REDDY</v>
      </c>
      <c r="AW1442" t="str">
        <f>""</f>
        <v/>
      </c>
      <c r="AX1442" t="str">
        <f>"20745 WILLIAMSPORT PLACE"</f>
        <v>20745 WILLIAMSPORT PLACE</v>
      </c>
      <c r="AY1442" t="str">
        <f>"SUITE # 390"</f>
        <v>SUITE # 390</v>
      </c>
      <c r="AZ1442" t="str">
        <f>"ASHBURN"</f>
        <v>ASHBURN</v>
      </c>
      <c r="BA1442" t="str">
        <f>"VA"</f>
        <v>VA</v>
      </c>
      <c r="BB1442" s="3">
        <v>20147</v>
      </c>
      <c r="BC1442" t="str">
        <f t="shared" si="110"/>
        <v>UNITED STATES OF AMERICA</v>
      </c>
      <c r="BD1442" t="str">
        <f>""</f>
        <v/>
      </c>
      <c r="BE1442" t="str">
        <f>"+17035442200"</f>
        <v>+17035442200</v>
      </c>
      <c r="BF1442" t="str">
        <f>""</f>
        <v/>
      </c>
      <c r="BG1442" t="str">
        <f>"LCA@SOMIREDDYLAW.COM"</f>
        <v>LCA@SOMIREDDYLAW.COM</v>
      </c>
      <c r="BH1442" t="str">
        <f>"SOMIREDDY LAW GROUP PLLC"</f>
        <v>SOMIREDDY LAW GROUP PLLC</v>
      </c>
      <c r="BI1442" t="str">
        <f>"VA"</f>
        <v>VA</v>
      </c>
      <c r="BJ1442" t="str">
        <f>"SUPREME COURT"</f>
        <v>SUPREME COURT</v>
      </c>
      <c r="BK1442">
        <v>1</v>
      </c>
      <c r="BL1442" t="s">
        <v>107</v>
      </c>
      <c r="BM1442" t="str">
        <f>"Verizon"</f>
        <v>Verizon</v>
      </c>
      <c r="BN1442" t="s">
        <v>7466</v>
      </c>
      <c r="BP1442" t="s">
        <v>1965</v>
      </c>
      <c r="BQ1442" t="s">
        <v>3047</v>
      </c>
      <c r="BR1442" t="s">
        <v>135</v>
      </c>
      <c r="BS1442" s="5">
        <v>20147</v>
      </c>
      <c r="BT1442" s="2">
        <v>97406</v>
      </c>
      <c r="BU1442" s="2">
        <v>105000</v>
      </c>
      <c r="BV1442" t="s">
        <v>105</v>
      </c>
      <c r="BW1442" s="2">
        <v>97406</v>
      </c>
      <c r="BX1442" t="s">
        <v>105</v>
      </c>
      <c r="BZ1442" t="s">
        <v>167</v>
      </c>
      <c r="CA1442" t="str">
        <f t="shared" si="109"/>
        <v>7/1/2020 - 6/30/2021</v>
      </c>
      <c r="CF1442">
        <v>2</v>
      </c>
      <c r="CG1442" t="s">
        <v>98</v>
      </c>
      <c r="CH1442" t="s">
        <v>98</v>
      </c>
      <c r="CI1442" t="s">
        <v>206</v>
      </c>
      <c r="CJ1442" t="s">
        <v>98</v>
      </c>
      <c r="CK1442" t="s">
        <v>12323</v>
      </c>
      <c r="CL1442" t="s">
        <v>108</v>
      </c>
      <c r="CM1442" t="s">
        <v>109</v>
      </c>
      <c r="CN1442" t="str">
        <f>""</f>
        <v/>
      </c>
      <c r="CO1442" t="str">
        <f>""</f>
        <v/>
      </c>
      <c r="CP1442" t="str">
        <f>""</f>
        <v/>
      </c>
      <c r="CQ1442" t="str">
        <f>""</f>
        <v/>
      </c>
    </row>
    <row r="1443" spans="1:96" x14ac:dyDescent="0.2">
      <c r="A1443" t="s">
        <v>10818</v>
      </c>
      <c r="B1443" t="s">
        <v>96</v>
      </c>
      <c r="C1443" s="1">
        <v>44099</v>
      </c>
      <c r="D1443" s="1">
        <v>44106</v>
      </c>
      <c r="F1443" t="s">
        <v>97</v>
      </c>
      <c r="G1443" t="str">
        <f>"APPLICATIONS DEVELOPMENT ANALYST	"</f>
        <v xml:space="preserve">APPLICATIONS DEVELOPMENT ANALYST	</v>
      </c>
      <c r="H1443" t="s">
        <v>12181</v>
      </c>
      <c r="I1443" t="s">
        <v>110</v>
      </c>
      <c r="J1443" t="s">
        <v>98</v>
      </c>
      <c r="K1443" s="1">
        <v>44255</v>
      </c>
      <c r="L1443" s="1">
        <v>45349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 t="s">
        <v>7487</v>
      </c>
      <c r="U1443" t="str">
        <f>"NOT APPLICABLE"</f>
        <v>NOT APPLICABLE</v>
      </c>
      <c r="V1443" t="s">
        <v>7488</v>
      </c>
      <c r="W1443" t="str">
        <f>""</f>
        <v/>
      </c>
      <c r="X1443" t="s">
        <v>5191</v>
      </c>
      <c r="Y1443" t="s">
        <v>577</v>
      </c>
      <c r="Z1443" s="3">
        <v>32309</v>
      </c>
      <c r="AA1443" t="s">
        <v>101</v>
      </c>
      <c r="AC1443" s="4" t="str">
        <f>"+18508941952"</f>
        <v>+18508941952</v>
      </c>
      <c r="AE1443" t="str">
        <f>"541511"</f>
        <v>541511</v>
      </c>
      <c r="AF1443" t="s">
        <v>7489</v>
      </c>
      <c r="AG1443" t="s">
        <v>4139</v>
      </c>
      <c r="AI1443" t="s">
        <v>425</v>
      </c>
      <c r="AJ1443" t="s">
        <v>7488</v>
      </c>
      <c r="AK1443" t="str">
        <f>""</f>
        <v/>
      </c>
      <c r="AL1443" t="s">
        <v>5191</v>
      </c>
      <c r="AM1443" t="s">
        <v>577</v>
      </c>
      <c r="AN1443" s="3">
        <v>32309</v>
      </c>
      <c r="AO1443" t="s">
        <v>101</v>
      </c>
      <c r="AQ1443" t="str">
        <f>"+18508941952"</f>
        <v>+18508941952</v>
      </c>
      <c r="AS1443" t="s">
        <v>7490</v>
      </c>
      <c r="AT1443" t="s">
        <v>107</v>
      </c>
      <c r="AU1443" t="str">
        <f>"GOKARE"</f>
        <v>GOKARE</v>
      </c>
      <c r="AV1443" t="str">
        <f>"MANJUNATH"</f>
        <v>MANJUNATH</v>
      </c>
      <c r="AW1443" t="str">
        <f>"A"</f>
        <v>A</v>
      </c>
      <c r="AX1443" t="str">
        <f>"11545 PARK WOODS CIRCLE"</f>
        <v>11545 PARK WOODS CIRCLE</v>
      </c>
      <c r="AY1443" t="str">
        <f>"SUITE D"</f>
        <v>SUITE D</v>
      </c>
      <c r="AZ1443" t="str">
        <f>"ALPHARETTA"</f>
        <v>ALPHARETTA</v>
      </c>
      <c r="BA1443" t="str">
        <f>"GA"</f>
        <v>GA</v>
      </c>
      <c r="BB1443" s="3">
        <v>30005</v>
      </c>
      <c r="BC1443" t="str">
        <f t="shared" si="110"/>
        <v>UNITED STATES OF AMERICA</v>
      </c>
      <c r="BD1443" t="str">
        <f>""</f>
        <v/>
      </c>
      <c r="BE1443" t="str">
        <f>"+16788679390"</f>
        <v>+16788679390</v>
      </c>
      <c r="BF1443" t="str">
        <f>"104"</f>
        <v>104</v>
      </c>
      <c r="BG1443" t="str">
        <f>"LCA@GOKARLAW.COM"</f>
        <v>LCA@GOKARLAW.COM</v>
      </c>
      <c r="BH1443" t="str">
        <f>"MANJUNATH GOKARE PC D/B/A GOKARE LAW FIRM"</f>
        <v>MANJUNATH GOKARE PC D/B/A GOKARE LAW FIRM</v>
      </c>
      <c r="BI1443" t="str">
        <f>"GA"</f>
        <v>GA</v>
      </c>
      <c r="BJ1443" t="str">
        <f>"SUPREME COURT"</f>
        <v>SUPREME COURT</v>
      </c>
      <c r="BK1443">
        <v>1</v>
      </c>
      <c r="BL1443" t="s">
        <v>102</v>
      </c>
      <c r="BM1443" t="str">
        <f>""</f>
        <v/>
      </c>
      <c r="BN1443" t="s">
        <v>7491</v>
      </c>
      <c r="BO1443" t="s">
        <v>7492</v>
      </c>
      <c r="BP1443" t="s">
        <v>5191</v>
      </c>
      <c r="BQ1443" t="s">
        <v>1659</v>
      </c>
      <c r="BR1443" t="s">
        <v>577</v>
      </c>
      <c r="BS1443" s="5">
        <v>32309</v>
      </c>
      <c r="BT1443" s="2">
        <v>69035</v>
      </c>
      <c r="BU1443" s="2">
        <v>120000</v>
      </c>
      <c r="BV1443" t="s">
        <v>105</v>
      </c>
      <c r="BW1443" s="2">
        <v>69035</v>
      </c>
      <c r="BX1443" t="s">
        <v>105</v>
      </c>
      <c r="BZ1443" t="s">
        <v>159</v>
      </c>
      <c r="CA1443" t="str">
        <f t="shared" si="109"/>
        <v>7/1/2020 - 6/30/2021</v>
      </c>
      <c r="CF1443">
        <v>2</v>
      </c>
      <c r="CG1443" t="s">
        <v>98</v>
      </c>
      <c r="CH1443" t="s">
        <v>98</v>
      </c>
      <c r="CI1443" t="s">
        <v>206</v>
      </c>
      <c r="CJ1443" t="s">
        <v>98</v>
      </c>
      <c r="CK1443" t="s">
        <v>12323</v>
      </c>
      <c r="CL1443" t="s">
        <v>108</v>
      </c>
      <c r="CM1443" t="s">
        <v>109</v>
      </c>
      <c r="CN1443" t="str">
        <f>"NOT APPLICABLE"</f>
        <v>NOT APPLICABLE</v>
      </c>
      <c r="CO1443" t="str">
        <f>"NOT APPLICABLE"</f>
        <v>NOT APPLICABLE</v>
      </c>
      <c r="CP1443" t="str">
        <f>""</f>
        <v/>
      </c>
      <c r="CQ1443" t="str">
        <f>"NOT APPLICABLE"</f>
        <v>NOT APPLICABLE</v>
      </c>
      <c r="CR1443" t="s">
        <v>10819</v>
      </c>
    </row>
    <row r="1444" spans="1:96" x14ac:dyDescent="0.2">
      <c r="A1444" t="s">
        <v>10841</v>
      </c>
      <c r="B1444" t="s">
        <v>96</v>
      </c>
      <c r="C1444" s="1">
        <v>44099</v>
      </c>
      <c r="D1444" s="1">
        <v>44106</v>
      </c>
      <c r="F1444" t="s">
        <v>97</v>
      </c>
      <c r="G1444" t="str">
        <f>"Principal Software Engineer"</f>
        <v>Principal Software Engineer</v>
      </c>
      <c r="H1444" t="s">
        <v>12169</v>
      </c>
      <c r="I1444" t="s">
        <v>124</v>
      </c>
      <c r="J1444" t="s">
        <v>98</v>
      </c>
      <c r="K1444" s="1">
        <v>44105</v>
      </c>
      <c r="L1444" s="1">
        <v>45199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8296</v>
      </c>
      <c r="U1444" t="str">
        <f>""</f>
        <v/>
      </c>
      <c r="V1444" t="s">
        <v>8297</v>
      </c>
      <c r="W1444" t="str">
        <f>"Suite 220 "</f>
        <v xml:space="preserve">Suite 220 </v>
      </c>
      <c r="X1444" t="s">
        <v>4334</v>
      </c>
      <c r="Y1444" t="s">
        <v>176</v>
      </c>
      <c r="Z1444" s="3">
        <v>98008</v>
      </c>
      <c r="AA1444" t="s">
        <v>101</v>
      </c>
      <c r="AC1444" s="4" t="str">
        <f>"+14253650857"</f>
        <v>+14253650857</v>
      </c>
      <c r="AE1444" t="str">
        <f>"541519"</f>
        <v>541519</v>
      </c>
      <c r="AF1444" t="s">
        <v>8299</v>
      </c>
      <c r="AG1444" t="s">
        <v>8298</v>
      </c>
      <c r="AI1444" t="s">
        <v>8300</v>
      </c>
      <c r="AJ1444" t="s">
        <v>8297</v>
      </c>
      <c r="AK1444" t="str">
        <f>" Suite 220"</f>
        <v xml:space="preserve"> Suite 220</v>
      </c>
      <c r="AL1444" t="s">
        <v>182</v>
      </c>
      <c r="AM1444" t="s">
        <v>176</v>
      </c>
      <c r="AN1444" s="3">
        <v>98008</v>
      </c>
      <c r="AO1444" t="s">
        <v>101</v>
      </c>
      <c r="AQ1444" t="str">
        <f>"+14253650857"</f>
        <v>+14253650857</v>
      </c>
      <c r="AS1444" t="s">
        <v>8301</v>
      </c>
      <c r="AT1444" t="s">
        <v>107</v>
      </c>
      <c r="AU1444" t="str">
        <f>"Macaskill "</f>
        <v xml:space="preserve">Macaskill </v>
      </c>
      <c r="AV1444" t="str">
        <f>"Dane"</f>
        <v>Dane</v>
      </c>
      <c r="AW1444" t="str">
        <f>""</f>
        <v/>
      </c>
      <c r="AX1444" t="str">
        <f>"195 Plymouth St"</f>
        <v>195 Plymouth St</v>
      </c>
      <c r="AY1444" t="str">
        <f>"Suite 3/12"</f>
        <v>Suite 3/12</v>
      </c>
      <c r="AZ1444" t="str">
        <f>"Brooklyn"</f>
        <v>Brooklyn</v>
      </c>
      <c r="BA1444" t="str">
        <f>"NY"</f>
        <v>NY</v>
      </c>
      <c r="BB1444" s="3">
        <v>11201</v>
      </c>
      <c r="BC1444" t="str">
        <f t="shared" si="110"/>
        <v>UNITED STATES OF AMERICA</v>
      </c>
      <c r="BD1444" t="str">
        <f>""</f>
        <v/>
      </c>
      <c r="BE1444" t="str">
        <f>"+19179603802"</f>
        <v>+19179603802</v>
      </c>
      <c r="BF1444" t="str">
        <f>""</f>
        <v/>
      </c>
      <c r="BG1444" t="str">
        <f>"dane@corstange.com"</f>
        <v>dane@corstange.com</v>
      </c>
      <c r="BH1444" t="str">
        <f>"Corstange Law Group "</f>
        <v xml:space="preserve">Corstange Law Group </v>
      </c>
      <c r="BI1444" t="str">
        <f>"OH"</f>
        <v>OH</v>
      </c>
      <c r="BJ1444" t="str">
        <f>"Supreme Court of Ohio"</f>
        <v>Supreme Court of Ohio</v>
      </c>
      <c r="BK1444">
        <v>1</v>
      </c>
      <c r="BL1444" t="s">
        <v>107</v>
      </c>
      <c r="BM1444" t="str">
        <f>"Walmart"</f>
        <v>Walmart</v>
      </c>
      <c r="BN1444" t="s">
        <v>10842</v>
      </c>
      <c r="BP1444" t="s">
        <v>1152</v>
      </c>
      <c r="BQ1444" t="s">
        <v>640</v>
      </c>
      <c r="BR1444" t="s">
        <v>641</v>
      </c>
      <c r="BS1444" s="5">
        <v>72712</v>
      </c>
      <c r="BT1444" s="2">
        <v>90500</v>
      </c>
      <c r="BV1444" t="s">
        <v>105</v>
      </c>
      <c r="BW1444" s="2">
        <v>90438</v>
      </c>
      <c r="BX1444" t="s">
        <v>105</v>
      </c>
      <c r="BZ1444" t="s">
        <v>123</v>
      </c>
      <c r="CA1444" t="str">
        <f t="shared" si="109"/>
        <v>7/1/2020 - 6/30/2021</v>
      </c>
      <c r="CF1444">
        <v>1</v>
      </c>
      <c r="CG1444" t="s">
        <v>98</v>
      </c>
      <c r="CH1444" t="s">
        <v>98</v>
      </c>
      <c r="CI1444" t="s">
        <v>206</v>
      </c>
      <c r="CJ1444" t="s">
        <v>98</v>
      </c>
      <c r="CK1444" t="s">
        <v>12323</v>
      </c>
      <c r="CL1444" t="s">
        <v>108</v>
      </c>
      <c r="CM1444" t="s">
        <v>109</v>
      </c>
      <c r="CN1444" t="str">
        <f>""</f>
        <v/>
      </c>
      <c r="CO1444" t="str">
        <f>""</f>
        <v/>
      </c>
      <c r="CP1444" t="str">
        <f>""</f>
        <v/>
      </c>
      <c r="CQ1444" t="str">
        <f>""</f>
        <v/>
      </c>
    </row>
    <row r="1445" spans="1:96" x14ac:dyDescent="0.2">
      <c r="A1445" t="s">
        <v>10852</v>
      </c>
      <c r="B1445" t="s">
        <v>96</v>
      </c>
      <c r="C1445" s="1">
        <v>44099</v>
      </c>
      <c r="D1445" s="1">
        <v>44106</v>
      </c>
      <c r="F1445" t="s">
        <v>97</v>
      </c>
      <c r="G1445" t="str">
        <f>"Technology Architect - US "</f>
        <v xml:space="preserve">Technology Architect - US </v>
      </c>
      <c r="H1445" t="s">
        <v>12168</v>
      </c>
      <c r="I1445" t="s">
        <v>160</v>
      </c>
      <c r="J1445" t="s">
        <v>98</v>
      </c>
      <c r="K1445" s="1">
        <v>44110</v>
      </c>
      <c r="L1445" s="1">
        <v>45202</v>
      </c>
      <c r="M1445">
        <v>5</v>
      </c>
      <c r="N1445">
        <v>0</v>
      </c>
      <c r="O1445">
        <v>0</v>
      </c>
      <c r="P1445">
        <v>5</v>
      </c>
      <c r="Q1445">
        <v>0</v>
      </c>
      <c r="R1445">
        <v>0</v>
      </c>
      <c r="S1445">
        <v>0</v>
      </c>
      <c r="T1445" t="s">
        <v>723</v>
      </c>
      <c r="U1445" t="str">
        <f>""</f>
        <v/>
      </c>
      <c r="V1445" t="s">
        <v>724</v>
      </c>
      <c r="W1445" t="str">
        <f>"STE C150"</f>
        <v>STE C150</v>
      </c>
      <c r="X1445" t="s">
        <v>725</v>
      </c>
      <c r="Y1445" t="s">
        <v>114</v>
      </c>
      <c r="Z1445" s="3">
        <v>75082</v>
      </c>
      <c r="AA1445" t="s">
        <v>101</v>
      </c>
      <c r="AC1445" s="4" t="str">
        <f>"+12143062100"</f>
        <v>+12143062100</v>
      </c>
      <c r="AE1445" t="str">
        <f>"541511"</f>
        <v>541511</v>
      </c>
      <c r="AF1445" t="s">
        <v>726</v>
      </c>
      <c r="AG1445" t="s">
        <v>727</v>
      </c>
      <c r="AI1445" t="s">
        <v>728</v>
      </c>
      <c r="AJ1445" t="s">
        <v>724</v>
      </c>
      <c r="AK1445" t="str">
        <f>"STE C150"</f>
        <v>STE C150</v>
      </c>
      <c r="AL1445" t="s">
        <v>725</v>
      </c>
      <c r="AM1445" t="s">
        <v>114</v>
      </c>
      <c r="AN1445" s="3">
        <v>75082</v>
      </c>
      <c r="AO1445" t="s">
        <v>101</v>
      </c>
      <c r="AQ1445" t="str">
        <f>"+12143062100"</f>
        <v>+12143062100</v>
      </c>
      <c r="AS1445" t="s">
        <v>729</v>
      </c>
      <c r="AT1445" t="s">
        <v>102</v>
      </c>
      <c r="AU1445" t="str">
        <f>""</f>
        <v/>
      </c>
      <c r="AV1445" t="str">
        <f>""</f>
        <v/>
      </c>
      <c r="AW1445" t="str">
        <f>""</f>
        <v/>
      </c>
      <c r="AX1445" t="str">
        <f>""</f>
        <v/>
      </c>
      <c r="AY1445" t="str">
        <f>""</f>
        <v/>
      </c>
      <c r="AZ1445" t="str">
        <f>""</f>
        <v/>
      </c>
      <c r="BA1445" t="str">
        <f>""</f>
        <v/>
      </c>
      <c r="BC1445" t="str">
        <f>""</f>
        <v/>
      </c>
      <c r="BD1445" t="str">
        <f>""</f>
        <v/>
      </c>
      <c r="BE1445" t="str">
        <f>""</f>
        <v/>
      </c>
      <c r="BF1445" t="str">
        <f>""</f>
        <v/>
      </c>
      <c r="BG1445" t="str">
        <f>""</f>
        <v/>
      </c>
      <c r="BH1445" t="str">
        <f>""</f>
        <v/>
      </c>
      <c r="BI1445" t="str">
        <f>""</f>
        <v/>
      </c>
      <c r="BJ1445" t="str">
        <f>""</f>
        <v/>
      </c>
      <c r="BK1445">
        <v>5</v>
      </c>
      <c r="BL1445" t="s">
        <v>107</v>
      </c>
      <c r="BM1445" t="str">
        <f>"The Kroger Co."</f>
        <v>The Kroger Co.</v>
      </c>
      <c r="BN1445" t="s">
        <v>7848</v>
      </c>
      <c r="BP1445" t="s">
        <v>2052</v>
      </c>
      <c r="BQ1445" t="s">
        <v>1624</v>
      </c>
      <c r="BR1445" t="s">
        <v>225</v>
      </c>
      <c r="BS1445" s="5">
        <v>45242</v>
      </c>
      <c r="BT1445" s="2">
        <v>78354</v>
      </c>
      <c r="BU1445" s="2">
        <v>118375</v>
      </c>
      <c r="BV1445" t="s">
        <v>105</v>
      </c>
      <c r="BW1445" s="2">
        <v>78354</v>
      </c>
      <c r="BX1445" t="s">
        <v>105</v>
      </c>
      <c r="BZ1445" t="s">
        <v>123</v>
      </c>
      <c r="CA1445" t="str">
        <f t="shared" si="109"/>
        <v>7/1/2020 - 6/30/2021</v>
      </c>
      <c r="CF1445">
        <v>1</v>
      </c>
      <c r="CG1445" t="s">
        <v>98</v>
      </c>
      <c r="CH1445" t="s">
        <v>98</v>
      </c>
      <c r="CI1445" t="s">
        <v>206</v>
      </c>
      <c r="CJ1445" t="s">
        <v>98</v>
      </c>
      <c r="CK1445" t="s">
        <v>12323</v>
      </c>
      <c r="CL1445" t="s">
        <v>108</v>
      </c>
      <c r="CM1445" t="s">
        <v>109</v>
      </c>
      <c r="CN1445" t="str">
        <f>"ALI"</f>
        <v>ALI</v>
      </c>
      <c r="CO1445" t="str">
        <f>"ASIF"</f>
        <v>ASIF</v>
      </c>
      <c r="CP1445" t="str">
        <f>""</f>
        <v/>
      </c>
      <c r="CQ1445" t="str">
        <f>"INFOSYS LIMITED"</f>
        <v>INFOSYS LIMITED</v>
      </c>
      <c r="CR1445" t="s">
        <v>796</v>
      </c>
    </row>
    <row r="1446" spans="1:96" x14ac:dyDescent="0.2">
      <c r="A1446" t="s">
        <v>10857</v>
      </c>
      <c r="B1446" t="s">
        <v>96</v>
      </c>
      <c r="C1446" s="1">
        <v>44099</v>
      </c>
      <c r="D1446" s="1">
        <v>44106</v>
      </c>
      <c r="F1446" t="s">
        <v>97</v>
      </c>
      <c r="G1446" t="str">
        <f>"MTS 1, Software Engineer"</f>
        <v>MTS 1, Software Engineer</v>
      </c>
      <c r="H1446" t="s">
        <v>12169</v>
      </c>
      <c r="I1446" t="s">
        <v>124</v>
      </c>
      <c r="J1446" t="s">
        <v>98</v>
      </c>
      <c r="K1446" s="1">
        <v>44116</v>
      </c>
      <c r="L1446" s="1">
        <v>45210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1266</v>
      </c>
      <c r="U1446" t="str">
        <f>""</f>
        <v/>
      </c>
      <c r="V1446" t="s">
        <v>1267</v>
      </c>
      <c r="W1446" t="str">
        <f>"N/A"</f>
        <v>N/A</v>
      </c>
      <c r="X1446" t="s">
        <v>585</v>
      </c>
      <c r="Y1446" t="s">
        <v>141</v>
      </c>
      <c r="Z1446" s="3">
        <v>95125</v>
      </c>
      <c r="AA1446" t="s">
        <v>101</v>
      </c>
      <c r="AB1446" t="s">
        <v>108</v>
      </c>
      <c r="AC1446" s="4" t="str">
        <f>"+14083768590"</f>
        <v>+14083768590</v>
      </c>
      <c r="AD1446">
        <v>0</v>
      </c>
      <c r="AE1446" t="str">
        <f>"454110"</f>
        <v>454110</v>
      </c>
      <c r="AF1446" t="s">
        <v>1268</v>
      </c>
      <c r="AG1446" t="s">
        <v>1269</v>
      </c>
      <c r="AI1446" t="s">
        <v>254</v>
      </c>
      <c r="AJ1446" t="s">
        <v>1267</v>
      </c>
      <c r="AK1446" t="str">
        <f>""</f>
        <v/>
      </c>
      <c r="AL1446" t="s">
        <v>585</v>
      </c>
      <c r="AM1446" t="s">
        <v>141</v>
      </c>
      <c r="AN1446" s="3">
        <v>95125</v>
      </c>
      <c r="AO1446" t="s">
        <v>101</v>
      </c>
      <c r="AQ1446" t="str">
        <f>"+14083768590"</f>
        <v>+14083768590</v>
      </c>
      <c r="AR1446">
        <v>0</v>
      </c>
      <c r="AS1446" t="s">
        <v>1270</v>
      </c>
      <c r="AT1446" t="s">
        <v>107</v>
      </c>
      <c r="AU1446" t="str">
        <f>"Jung"</f>
        <v>Jung</v>
      </c>
      <c r="AV1446" t="str">
        <f>"David"</f>
        <v>David</v>
      </c>
      <c r="AW1446" t="str">
        <f>""</f>
        <v/>
      </c>
      <c r="AX1446" t="str">
        <f>"2101 Wilson Blvd."</f>
        <v>2101 Wilson Blvd.</v>
      </c>
      <c r="AY1446" t="str">
        <f>"Suite 1100"</f>
        <v>Suite 1100</v>
      </c>
      <c r="AZ1446" t="str">
        <f>"Arlington"</f>
        <v>Arlington</v>
      </c>
      <c r="BA1446" t="str">
        <f>"VA"</f>
        <v>VA</v>
      </c>
      <c r="BB1446" s="3">
        <v>22201</v>
      </c>
      <c r="BC1446" t="str">
        <f>"UNITED STATES OF AMERICA"</f>
        <v>UNITED STATES OF AMERICA</v>
      </c>
      <c r="BD1446" t="str">
        <f>""</f>
        <v/>
      </c>
      <c r="BE1446" t="str">
        <f>"+17036784000"</f>
        <v>+17036784000</v>
      </c>
      <c r="BF1446" t="str">
        <f>""</f>
        <v/>
      </c>
      <c r="BG1446" t="str">
        <f>"david@eiglaw.com"</f>
        <v>david@eiglaw.com</v>
      </c>
      <c r="BH1446" t="str">
        <f>"Erickson Immigration Group"</f>
        <v>Erickson Immigration Group</v>
      </c>
      <c r="BI1446" t="str">
        <f>"TN"</f>
        <v>TN</v>
      </c>
      <c r="BJ1446" t="str">
        <f>"Supreme Court"</f>
        <v>Supreme Court</v>
      </c>
      <c r="BK1446">
        <v>1</v>
      </c>
      <c r="BL1446" t="s">
        <v>102</v>
      </c>
      <c r="BM1446" t="str">
        <f>""</f>
        <v/>
      </c>
      <c r="BN1446" t="s">
        <v>1267</v>
      </c>
      <c r="BP1446" t="s">
        <v>585</v>
      </c>
      <c r="BQ1446" t="s">
        <v>230</v>
      </c>
      <c r="BR1446" t="s">
        <v>141</v>
      </c>
      <c r="BS1446" s="5">
        <v>95125</v>
      </c>
      <c r="BT1446" s="2">
        <v>175000</v>
      </c>
      <c r="BV1446" t="s">
        <v>105</v>
      </c>
      <c r="BW1446" s="2">
        <v>170872</v>
      </c>
      <c r="BX1446" t="s">
        <v>105</v>
      </c>
      <c r="BZ1446" t="s">
        <v>159</v>
      </c>
      <c r="CA1446" t="str">
        <f t="shared" si="109"/>
        <v>7/1/2020 - 6/30/2021</v>
      </c>
      <c r="CF1446">
        <v>2</v>
      </c>
      <c r="CG1446" t="s">
        <v>98</v>
      </c>
      <c r="CH1446" t="s">
        <v>98</v>
      </c>
      <c r="CI1446" t="s">
        <v>206</v>
      </c>
      <c r="CJ1446" t="s">
        <v>98</v>
      </c>
      <c r="CK1446" t="s">
        <v>12323</v>
      </c>
      <c r="CL1446" t="s">
        <v>108</v>
      </c>
      <c r="CM1446" t="s">
        <v>109</v>
      </c>
      <c r="CN1446" t="str">
        <f>"Medmim"</f>
        <v>Medmim</v>
      </c>
      <c r="CO1446" t="str">
        <f>"Helen"</f>
        <v>Helen</v>
      </c>
      <c r="CP1446" t="str">
        <f>""</f>
        <v/>
      </c>
      <c r="CQ1446" t="str">
        <f>"Erickson Immigration Group"</f>
        <v>Erickson Immigration Group</v>
      </c>
      <c r="CR1446" t="s">
        <v>3725</v>
      </c>
    </row>
    <row r="1447" spans="1:96" x14ac:dyDescent="0.2">
      <c r="A1447" t="s">
        <v>10861</v>
      </c>
      <c r="B1447" t="s">
        <v>96</v>
      </c>
      <c r="C1447" s="1">
        <v>44099</v>
      </c>
      <c r="D1447" s="1">
        <v>44106</v>
      </c>
      <c r="F1447" t="s">
        <v>97</v>
      </c>
      <c r="G1447" t="str">
        <f>"Senior System Analyst"</f>
        <v>Senior System Analyst</v>
      </c>
      <c r="H1447" t="s">
        <v>12169</v>
      </c>
      <c r="I1447" t="s">
        <v>124</v>
      </c>
      <c r="J1447" t="s">
        <v>98</v>
      </c>
      <c r="K1447" s="1">
        <v>44197</v>
      </c>
      <c r="L1447" s="1">
        <v>45291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 t="s">
        <v>1231</v>
      </c>
      <c r="U1447" t="str">
        <f>""</f>
        <v/>
      </c>
      <c r="V1447" t="s">
        <v>1232</v>
      </c>
      <c r="W1447" t="str">
        <f>""</f>
        <v/>
      </c>
      <c r="X1447" t="s">
        <v>447</v>
      </c>
      <c r="Y1447" t="s">
        <v>100</v>
      </c>
      <c r="Z1447" s="3">
        <v>8830</v>
      </c>
      <c r="AA1447" t="s">
        <v>101</v>
      </c>
      <c r="AC1447" s="4" t="str">
        <f>"+17327213002"</f>
        <v>+17327213002</v>
      </c>
      <c r="AE1447" t="str">
        <f>"541519"</f>
        <v>541519</v>
      </c>
      <c r="AF1447" t="s">
        <v>1233</v>
      </c>
      <c r="AG1447" t="s">
        <v>1234</v>
      </c>
      <c r="AI1447" t="s">
        <v>1235</v>
      </c>
      <c r="AJ1447" t="s">
        <v>1232</v>
      </c>
      <c r="AK1447" t="str">
        <f>""</f>
        <v/>
      </c>
      <c r="AL1447" t="s">
        <v>447</v>
      </c>
      <c r="AM1447" t="s">
        <v>100</v>
      </c>
      <c r="AN1447" s="3">
        <v>8830</v>
      </c>
      <c r="AO1447" t="s">
        <v>101</v>
      </c>
      <c r="AQ1447" t="str">
        <f>"+17327213002"</f>
        <v>+17327213002</v>
      </c>
      <c r="AS1447" t="s">
        <v>1236</v>
      </c>
      <c r="AT1447" t="s">
        <v>107</v>
      </c>
      <c r="AU1447" t="str">
        <f>"Cruz"</f>
        <v>Cruz</v>
      </c>
      <c r="AV1447" t="str">
        <f>"Ashley"</f>
        <v>Ashley</v>
      </c>
      <c r="AW1447" t="str">
        <f>"M."</f>
        <v>M.</v>
      </c>
      <c r="AX1447" t="str">
        <f>"800 W. Cummings Park"</f>
        <v>800 W. Cummings Park</v>
      </c>
      <c r="AY1447" t="str">
        <f>"Suite 2750"</f>
        <v>Suite 2750</v>
      </c>
      <c r="AZ1447" t="str">
        <f>"Woburn"</f>
        <v>Woburn</v>
      </c>
      <c r="BA1447" t="str">
        <f>"MA"</f>
        <v>MA</v>
      </c>
      <c r="BB1447" s="3">
        <v>1801</v>
      </c>
      <c r="BC1447" t="str">
        <f>"UNITED STATES OF AMERICA"</f>
        <v>UNITED STATES OF AMERICA</v>
      </c>
      <c r="BD1447" t="str">
        <f>""</f>
        <v/>
      </c>
      <c r="BE1447" t="str">
        <f>"+16173008133"</f>
        <v>+16173008133</v>
      </c>
      <c r="BF1447" t="str">
        <f>""</f>
        <v/>
      </c>
      <c r="BG1447" t="str">
        <f>"ashleyg@raminenilaw.com"</f>
        <v>ashleyg@raminenilaw.com</v>
      </c>
      <c r="BH1447" t="str">
        <f>"Ramineni &amp; Shepard, LLC"</f>
        <v>Ramineni &amp; Shepard, LLC</v>
      </c>
      <c r="BI1447" t="str">
        <f>"MA"</f>
        <v>MA</v>
      </c>
      <c r="BJ1447" t="str">
        <f>"MA Judicial Supreme Court"</f>
        <v>MA Judicial Supreme Court</v>
      </c>
      <c r="BK1447">
        <v>1</v>
      </c>
      <c r="BL1447" t="s">
        <v>107</v>
      </c>
      <c r="BM1447" t="str">
        <f>"Bristol Myers Squibb"</f>
        <v>Bristol Myers Squibb</v>
      </c>
      <c r="BN1447" t="s">
        <v>8704</v>
      </c>
      <c r="BP1447" t="s">
        <v>2989</v>
      </c>
      <c r="BQ1447" t="s">
        <v>2990</v>
      </c>
      <c r="BR1447" t="s">
        <v>100</v>
      </c>
      <c r="BS1447" s="5">
        <v>7901</v>
      </c>
      <c r="BT1447" s="2">
        <v>125000</v>
      </c>
      <c r="BV1447" t="s">
        <v>105</v>
      </c>
      <c r="BW1447" s="2">
        <v>122221</v>
      </c>
      <c r="BX1447" t="s">
        <v>105</v>
      </c>
      <c r="BZ1447" t="s">
        <v>123</v>
      </c>
      <c r="CA1447" t="str">
        <f t="shared" si="109"/>
        <v>7/1/2020 - 6/30/2021</v>
      </c>
      <c r="CF1447">
        <v>2</v>
      </c>
      <c r="CG1447" t="s">
        <v>98</v>
      </c>
      <c r="CH1447" t="s">
        <v>98</v>
      </c>
      <c r="CI1447" t="s">
        <v>206</v>
      </c>
      <c r="CJ1447" t="s">
        <v>98</v>
      </c>
      <c r="CK1447" t="s">
        <v>12323</v>
      </c>
      <c r="CL1447" t="s">
        <v>108</v>
      </c>
      <c r="CM1447" t="s">
        <v>109</v>
      </c>
      <c r="CN1447" t="str">
        <f>""</f>
        <v/>
      </c>
      <c r="CO1447" t="str">
        <f>""</f>
        <v/>
      </c>
      <c r="CP1447" t="str">
        <f>""</f>
        <v/>
      </c>
      <c r="CQ1447" t="str">
        <f>""</f>
        <v/>
      </c>
    </row>
    <row r="1448" spans="1:96" x14ac:dyDescent="0.2">
      <c r="A1448" t="s">
        <v>10864</v>
      </c>
      <c r="B1448" t="s">
        <v>96</v>
      </c>
      <c r="C1448" s="1">
        <v>44099</v>
      </c>
      <c r="D1448" s="1">
        <v>44106</v>
      </c>
      <c r="F1448" t="s">
        <v>97</v>
      </c>
      <c r="G1448" t="str">
        <f>"Senior Principal Technical Services "</f>
        <v xml:space="preserve">Senior Principal Technical Services </v>
      </c>
      <c r="H1448" t="s">
        <v>12178</v>
      </c>
      <c r="I1448" t="s">
        <v>582</v>
      </c>
      <c r="J1448" t="s">
        <v>98</v>
      </c>
      <c r="K1448" s="1">
        <v>44104</v>
      </c>
      <c r="L1448" s="1">
        <v>45198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 t="s">
        <v>1114</v>
      </c>
      <c r="U1448" t="str">
        <f>""</f>
        <v/>
      </c>
      <c r="V1448" t="s">
        <v>1115</v>
      </c>
      <c r="W1448" t="str">
        <f>"10TH FLOOR"</f>
        <v>10TH FLOOR</v>
      </c>
      <c r="X1448" t="s">
        <v>480</v>
      </c>
      <c r="Y1448" t="s">
        <v>215</v>
      </c>
      <c r="Z1448" s="3">
        <v>30339</v>
      </c>
      <c r="AA1448" t="s">
        <v>101</v>
      </c>
      <c r="AC1448" s="4" t="str">
        <f>"+16785977719"</f>
        <v>+16785977719</v>
      </c>
      <c r="AE1448" t="str">
        <f>"541511"</f>
        <v>541511</v>
      </c>
      <c r="AF1448" t="s">
        <v>1116</v>
      </c>
      <c r="AG1448" t="s">
        <v>491</v>
      </c>
      <c r="AI1448" t="s">
        <v>1117</v>
      </c>
      <c r="AJ1448" t="s">
        <v>1115</v>
      </c>
      <c r="AK1448" t="str">
        <f>"10TH FLOOR"</f>
        <v>10TH FLOOR</v>
      </c>
      <c r="AL1448" t="s">
        <v>480</v>
      </c>
      <c r="AM1448" t="s">
        <v>215</v>
      </c>
      <c r="AN1448" s="3">
        <v>30339</v>
      </c>
      <c r="AO1448" t="s">
        <v>101</v>
      </c>
      <c r="AQ1448" t="str">
        <f>"+16785877719"</f>
        <v>+16785877719</v>
      </c>
      <c r="AS1448" t="s">
        <v>1118</v>
      </c>
      <c r="AT1448" t="s">
        <v>107</v>
      </c>
      <c r="AU1448" t="str">
        <f>"Hawkins"</f>
        <v>Hawkins</v>
      </c>
      <c r="AV1448" t="str">
        <f>"Janora"</f>
        <v>Janora</v>
      </c>
      <c r="AW1448" t="str">
        <f>""</f>
        <v/>
      </c>
      <c r="AX1448" t="str">
        <f>"1355 Peachtree Street NE"</f>
        <v>1355 Peachtree Street NE</v>
      </c>
      <c r="AY1448" t="str">
        <f>"Suite 900"</f>
        <v>Suite 900</v>
      </c>
      <c r="AZ1448" t="str">
        <f>"Atlanta"</f>
        <v>Atlanta</v>
      </c>
      <c r="BA1448" t="str">
        <f>"GA"</f>
        <v>GA</v>
      </c>
      <c r="BB1448" s="3">
        <v>30309</v>
      </c>
      <c r="BC1448" t="str">
        <f>"UNITED STATES OF AMERICA"</f>
        <v>UNITED STATES OF AMERICA</v>
      </c>
      <c r="BD1448" t="str">
        <f>""</f>
        <v/>
      </c>
      <c r="BE1448" t="str">
        <f>"+14048565495"</f>
        <v>+14048565495</v>
      </c>
      <c r="BF1448" t="str">
        <f>""</f>
        <v/>
      </c>
      <c r="BG1448" t="str">
        <f>"gmorajuarez@fragomen.com"</f>
        <v>gmorajuarez@fragomen.com</v>
      </c>
      <c r="BH1448" t="str">
        <f>"Fragomen, Del Rey, Bernsen, &amp; Lowey LLP"</f>
        <v>Fragomen, Del Rey, Bernsen, &amp; Lowey LLP</v>
      </c>
      <c r="BI1448" t="str">
        <f>"NY"</f>
        <v>NY</v>
      </c>
      <c r="BJ1448" t="str">
        <f>"New York Court of Appeals"</f>
        <v>New York Court of Appeals</v>
      </c>
      <c r="BK1448">
        <v>1</v>
      </c>
      <c r="BL1448" t="s">
        <v>102</v>
      </c>
      <c r="BM1448" t="str">
        <f>""</f>
        <v/>
      </c>
      <c r="BN1448" t="s">
        <v>1119</v>
      </c>
      <c r="BO1448" t="s">
        <v>10002</v>
      </c>
      <c r="BP1448" t="s">
        <v>2447</v>
      </c>
      <c r="BQ1448" t="s">
        <v>1121</v>
      </c>
      <c r="BR1448" t="s">
        <v>215</v>
      </c>
      <c r="BS1448" s="5">
        <v>30339</v>
      </c>
      <c r="BT1448" s="2">
        <v>93708</v>
      </c>
      <c r="BV1448" t="s">
        <v>105</v>
      </c>
      <c r="BW1448" s="2">
        <v>93708</v>
      </c>
      <c r="BX1448" t="s">
        <v>105</v>
      </c>
      <c r="CA1448" t="str">
        <f>""</f>
        <v/>
      </c>
      <c r="CB1448" t="s">
        <v>244</v>
      </c>
      <c r="CC1448">
        <v>2020</v>
      </c>
      <c r="CD1448" t="s">
        <v>569</v>
      </c>
      <c r="CE1448" t="s">
        <v>9805</v>
      </c>
      <c r="CF1448">
        <v>2</v>
      </c>
      <c r="CG1448" t="s">
        <v>98</v>
      </c>
      <c r="CH1448" t="s">
        <v>98</v>
      </c>
      <c r="CI1448" t="s">
        <v>206</v>
      </c>
      <c r="CJ1448" t="s">
        <v>98</v>
      </c>
      <c r="CK1448" t="s">
        <v>12323</v>
      </c>
      <c r="CL1448" t="s">
        <v>108</v>
      </c>
      <c r="CM1448" t="s">
        <v>109</v>
      </c>
      <c r="CN1448" t="str">
        <f>""</f>
        <v/>
      </c>
      <c r="CO1448" t="str">
        <f>""</f>
        <v/>
      </c>
      <c r="CP1448" t="str">
        <f>""</f>
        <v/>
      </c>
      <c r="CQ1448" t="str">
        <f>""</f>
        <v/>
      </c>
    </row>
    <row r="1449" spans="1:96" x14ac:dyDescent="0.2">
      <c r="A1449" t="s">
        <v>10896</v>
      </c>
      <c r="B1449" t="s">
        <v>96</v>
      </c>
      <c r="C1449" s="1">
        <v>44099</v>
      </c>
      <c r="D1449" s="1">
        <v>44106</v>
      </c>
      <c r="F1449" t="s">
        <v>97</v>
      </c>
      <c r="G1449" t="str">
        <f>"Senior Software Developer"</f>
        <v>Senior Software Developer</v>
      </c>
      <c r="H1449" t="s">
        <v>12169</v>
      </c>
      <c r="I1449" t="s">
        <v>124</v>
      </c>
      <c r="J1449" t="s">
        <v>98</v>
      </c>
      <c r="K1449" s="1">
        <v>44102</v>
      </c>
      <c r="L1449" s="1">
        <v>45196</v>
      </c>
      <c r="M1449">
        <v>6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 t="s">
        <v>2509</v>
      </c>
      <c r="U1449" t="str">
        <f>"Mastech Digital InfoTech, Inc."</f>
        <v>Mastech Digital InfoTech, Inc.</v>
      </c>
      <c r="V1449" t="s">
        <v>1081</v>
      </c>
      <c r="W1449" t="str">
        <f>"Bldg. 210, Suite 400"</f>
        <v>Bldg. 210, Suite 400</v>
      </c>
      <c r="X1449" t="s">
        <v>1082</v>
      </c>
      <c r="Y1449" t="s">
        <v>127</v>
      </c>
      <c r="Z1449" s="3">
        <v>15108</v>
      </c>
      <c r="AA1449" t="s">
        <v>101</v>
      </c>
      <c r="AB1449" t="s">
        <v>2510</v>
      </c>
      <c r="AC1449" s="4" t="str">
        <f>"+14127879553"</f>
        <v>+14127879553</v>
      </c>
      <c r="AE1449" t="str">
        <f>"541511"</f>
        <v>541511</v>
      </c>
      <c r="AF1449" t="s">
        <v>1083</v>
      </c>
      <c r="AG1449" t="s">
        <v>1084</v>
      </c>
      <c r="AI1449" t="s">
        <v>1085</v>
      </c>
      <c r="AJ1449" t="s">
        <v>1081</v>
      </c>
      <c r="AK1449" t="str">
        <f>"Bldg. 210, Ste 400"</f>
        <v>Bldg. 210, Ste 400</v>
      </c>
      <c r="AL1449" t="s">
        <v>1082</v>
      </c>
      <c r="AM1449" t="s">
        <v>127</v>
      </c>
      <c r="AN1449" s="3">
        <v>15108</v>
      </c>
      <c r="AO1449" t="s">
        <v>101</v>
      </c>
      <c r="AQ1449" t="str">
        <f>"+14127879553"</f>
        <v>+14127879553</v>
      </c>
      <c r="AS1449" t="s">
        <v>1086</v>
      </c>
      <c r="AT1449" t="s">
        <v>102</v>
      </c>
      <c r="AU1449" t="str">
        <f>""</f>
        <v/>
      </c>
      <c r="AV1449" t="str">
        <f>""</f>
        <v/>
      </c>
      <c r="AW1449" t="str">
        <f>""</f>
        <v/>
      </c>
      <c r="AX1449" t="str">
        <f>""</f>
        <v/>
      </c>
      <c r="AY1449" t="str">
        <f>""</f>
        <v/>
      </c>
      <c r="AZ1449" t="str">
        <f>""</f>
        <v/>
      </c>
      <c r="BA1449" t="str">
        <f>""</f>
        <v/>
      </c>
      <c r="BC1449" t="str">
        <f>""</f>
        <v/>
      </c>
      <c r="BD1449" t="str">
        <f>""</f>
        <v/>
      </c>
      <c r="BE1449" t="str">
        <f>""</f>
        <v/>
      </c>
      <c r="BF1449" t="str">
        <f>""</f>
        <v/>
      </c>
      <c r="BG1449" t="str">
        <f>""</f>
        <v/>
      </c>
      <c r="BH1449" t="str">
        <f>""</f>
        <v/>
      </c>
      <c r="BI1449" t="str">
        <f>""</f>
        <v/>
      </c>
      <c r="BJ1449" t="str">
        <f>""</f>
        <v/>
      </c>
      <c r="BK1449">
        <v>6</v>
      </c>
      <c r="BL1449" t="s">
        <v>107</v>
      </c>
      <c r="BM1449" t="str">
        <f>"Omnicom Group"</f>
        <v>Omnicom Group</v>
      </c>
      <c r="BN1449" t="s">
        <v>10418</v>
      </c>
      <c r="BO1449" t="s">
        <v>2137</v>
      </c>
      <c r="BP1449" t="s">
        <v>1213</v>
      </c>
      <c r="BQ1449" t="s">
        <v>1214</v>
      </c>
      <c r="BR1449" t="s">
        <v>100</v>
      </c>
      <c r="BS1449" s="5">
        <v>7311</v>
      </c>
      <c r="BT1449" s="2">
        <v>58.76</v>
      </c>
      <c r="BU1449" s="2">
        <v>58.86</v>
      </c>
      <c r="BV1449" t="s">
        <v>210</v>
      </c>
      <c r="BW1449" s="2">
        <v>58.76</v>
      </c>
      <c r="BX1449" t="s">
        <v>210</v>
      </c>
      <c r="BZ1449" t="s">
        <v>123</v>
      </c>
      <c r="CA1449" t="str">
        <f t="shared" ref="CA1449:CA1463" si="111">"7/1/2020 - 6/30/2021"</f>
        <v>7/1/2020 - 6/30/2021</v>
      </c>
      <c r="CF1449">
        <v>2</v>
      </c>
      <c r="CG1449" t="s">
        <v>98</v>
      </c>
      <c r="CH1449" t="s">
        <v>98</v>
      </c>
      <c r="CI1449" t="s">
        <v>206</v>
      </c>
      <c r="CJ1449" t="s">
        <v>98</v>
      </c>
      <c r="CK1449" t="s">
        <v>12323</v>
      </c>
      <c r="CL1449" t="s">
        <v>108</v>
      </c>
      <c r="CM1449" t="s">
        <v>109</v>
      </c>
      <c r="CN1449" t="str">
        <f>""</f>
        <v/>
      </c>
      <c r="CO1449" t="str">
        <f>""</f>
        <v/>
      </c>
      <c r="CP1449" t="str">
        <f>""</f>
        <v/>
      </c>
      <c r="CQ1449" t="str">
        <f>""</f>
        <v/>
      </c>
    </row>
    <row r="1450" spans="1:96" x14ac:dyDescent="0.2">
      <c r="A1450" t="s">
        <v>10899</v>
      </c>
      <c r="B1450" t="s">
        <v>96</v>
      </c>
      <c r="C1450" s="1">
        <v>44099</v>
      </c>
      <c r="D1450" s="1">
        <v>44106</v>
      </c>
      <c r="F1450" t="s">
        <v>97</v>
      </c>
      <c r="G1450" t="str">
        <f>"Senior Lead"</f>
        <v>Senior Lead</v>
      </c>
      <c r="H1450" t="s">
        <v>12169</v>
      </c>
      <c r="I1450" t="s">
        <v>124</v>
      </c>
      <c r="J1450" t="s">
        <v>98</v>
      </c>
      <c r="K1450" s="1">
        <v>44173</v>
      </c>
      <c r="L1450" s="1">
        <v>45267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 t="s">
        <v>2165</v>
      </c>
      <c r="U1450" t="str">
        <f>""</f>
        <v/>
      </c>
      <c r="V1450" t="s">
        <v>2166</v>
      </c>
      <c r="W1450" t="str">
        <f>"Suite 100"</f>
        <v>Suite 100</v>
      </c>
      <c r="X1450" t="s">
        <v>247</v>
      </c>
      <c r="Y1450" t="s">
        <v>141</v>
      </c>
      <c r="Z1450" s="3">
        <v>95054</v>
      </c>
      <c r="AA1450" t="s">
        <v>101</v>
      </c>
      <c r="AC1450" s="4" t="str">
        <f>"+19787510311"</f>
        <v>+19787510311</v>
      </c>
      <c r="AE1450" t="str">
        <f>"541511"</f>
        <v>541511</v>
      </c>
      <c r="AF1450" t="s">
        <v>2167</v>
      </c>
      <c r="AG1450" t="s">
        <v>2168</v>
      </c>
      <c r="AH1450" t="s">
        <v>108</v>
      </c>
      <c r="AI1450" t="s">
        <v>2169</v>
      </c>
      <c r="AJ1450" t="s">
        <v>2170</v>
      </c>
      <c r="AK1450" t="str">
        <f>"Ste. 100"</f>
        <v>Ste. 100</v>
      </c>
      <c r="AL1450" t="s">
        <v>1343</v>
      </c>
      <c r="AM1450" t="s">
        <v>141</v>
      </c>
      <c r="AN1450" s="3">
        <v>94583</v>
      </c>
      <c r="AO1450" t="s">
        <v>101</v>
      </c>
      <c r="AQ1450" t="str">
        <f>"+19787510311"</f>
        <v>+19787510311</v>
      </c>
      <c r="AS1450" t="s">
        <v>6000</v>
      </c>
      <c r="AT1450" t="s">
        <v>107</v>
      </c>
      <c r="AU1450" t="str">
        <f>"Kochenderfer"</f>
        <v>Kochenderfer</v>
      </c>
      <c r="AV1450" t="str">
        <f>"Aaron"</f>
        <v>Aaron</v>
      </c>
      <c r="AW1450" t="str">
        <f>""</f>
        <v/>
      </c>
      <c r="AX1450" t="str">
        <f>"5250 Corporate Drive"</f>
        <v>5250 Corporate Drive</v>
      </c>
      <c r="AY1450" t="str">
        <f>"Suite 300"</f>
        <v>Suite 300</v>
      </c>
      <c r="AZ1450" t="str">
        <f>"Troy"</f>
        <v>Troy</v>
      </c>
      <c r="BA1450" t="str">
        <f>"MI"</f>
        <v>MI</v>
      </c>
      <c r="BB1450" s="3">
        <v>48098</v>
      </c>
      <c r="BC1450" t="str">
        <f>"UNITED STATES OF AMERICA"</f>
        <v>UNITED STATES OF AMERICA</v>
      </c>
      <c r="BD1450" t="str">
        <f>""</f>
        <v/>
      </c>
      <c r="BE1450" t="str">
        <f>"+12486434900"</f>
        <v>+12486434900</v>
      </c>
      <c r="BF1450" t="str">
        <f>""</f>
        <v/>
      </c>
      <c r="BG1450" t="str">
        <f>"aaronk@employmentimmigration.com"</f>
        <v>aaronk@employmentimmigration.com</v>
      </c>
      <c r="BH1450" t="str">
        <f>"Fakhoury Global Immigration, USA PC"</f>
        <v>Fakhoury Global Immigration, USA PC</v>
      </c>
      <c r="BI1450" t="str">
        <f>"MI"</f>
        <v>MI</v>
      </c>
      <c r="BJ1450" t="str">
        <f>"Supreme Court"</f>
        <v>Supreme Court</v>
      </c>
      <c r="BK1450">
        <v>1</v>
      </c>
      <c r="BL1450" t="s">
        <v>107</v>
      </c>
      <c r="BM1450" t="str">
        <f>"Verizon Sourcing, LLC"</f>
        <v>Verizon Sourcing, LLC</v>
      </c>
      <c r="BN1450" t="s">
        <v>10900</v>
      </c>
      <c r="BP1450" t="s">
        <v>1759</v>
      </c>
      <c r="BQ1450" t="s">
        <v>1034</v>
      </c>
      <c r="BR1450" t="s">
        <v>577</v>
      </c>
      <c r="BS1450" s="5">
        <v>33637</v>
      </c>
      <c r="BT1450" s="2">
        <v>81806</v>
      </c>
      <c r="BU1450" s="2">
        <v>100000</v>
      </c>
      <c r="BV1450" t="s">
        <v>105</v>
      </c>
      <c r="BW1450" s="2">
        <v>81806</v>
      </c>
      <c r="BX1450" t="s">
        <v>105</v>
      </c>
      <c r="BZ1450" t="s">
        <v>167</v>
      </c>
      <c r="CA1450" t="str">
        <f t="shared" si="111"/>
        <v>7/1/2020 - 6/30/2021</v>
      </c>
      <c r="CF1450">
        <v>1</v>
      </c>
      <c r="CG1450" t="s">
        <v>98</v>
      </c>
      <c r="CH1450" t="s">
        <v>98</v>
      </c>
      <c r="CI1450" t="s">
        <v>206</v>
      </c>
      <c r="CJ1450" t="s">
        <v>98</v>
      </c>
      <c r="CK1450" t="s">
        <v>12323</v>
      </c>
      <c r="CL1450" t="s">
        <v>108</v>
      </c>
      <c r="CM1450" t="s">
        <v>109</v>
      </c>
      <c r="CN1450" t="str">
        <f>"Kochenderfer"</f>
        <v>Kochenderfer</v>
      </c>
      <c r="CO1450" t="str">
        <f>"Aaron"</f>
        <v>Aaron</v>
      </c>
      <c r="CP1450" t="str">
        <f>""</f>
        <v/>
      </c>
      <c r="CQ1450" t="str">
        <f>"Fakhoury Global Immigration, USA PC"</f>
        <v>Fakhoury Global Immigration, USA PC</v>
      </c>
      <c r="CR1450" t="s">
        <v>2171</v>
      </c>
    </row>
    <row r="1451" spans="1:96" x14ac:dyDescent="0.2">
      <c r="A1451" t="s">
        <v>10901</v>
      </c>
      <c r="B1451" t="s">
        <v>96</v>
      </c>
      <c r="C1451" s="1">
        <v>44099</v>
      </c>
      <c r="D1451" s="1">
        <v>44106</v>
      </c>
      <c r="F1451" t="s">
        <v>97</v>
      </c>
      <c r="G1451" t="str">
        <f>"SOFTWARE ENGINEER"</f>
        <v>SOFTWARE ENGINEER</v>
      </c>
      <c r="H1451" t="s">
        <v>12169</v>
      </c>
      <c r="I1451" t="s">
        <v>124</v>
      </c>
      <c r="J1451" t="s">
        <v>98</v>
      </c>
      <c r="K1451" s="1">
        <v>44099</v>
      </c>
      <c r="L1451" s="1">
        <v>45193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 t="s">
        <v>1588</v>
      </c>
      <c r="U1451" t="str">
        <f>""</f>
        <v/>
      </c>
      <c r="V1451" t="s">
        <v>1589</v>
      </c>
      <c r="W1451" t="str">
        <f>""</f>
        <v/>
      </c>
      <c r="X1451" t="s">
        <v>535</v>
      </c>
      <c r="Y1451" t="s">
        <v>100</v>
      </c>
      <c r="Z1451" s="3">
        <v>8873</v>
      </c>
      <c r="AA1451" t="s">
        <v>101</v>
      </c>
      <c r="AC1451" s="4" t="str">
        <f>"+17327260593"</f>
        <v>+17327260593</v>
      </c>
      <c r="AE1451" t="str">
        <f>"541511"</f>
        <v>541511</v>
      </c>
      <c r="AF1451" t="s">
        <v>1590</v>
      </c>
      <c r="AG1451" t="s">
        <v>1591</v>
      </c>
      <c r="AI1451" t="s">
        <v>1586</v>
      </c>
      <c r="AJ1451" t="s">
        <v>1589</v>
      </c>
      <c r="AK1451" t="str">
        <f>""</f>
        <v/>
      </c>
      <c r="AL1451" t="s">
        <v>535</v>
      </c>
      <c r="AM1451" t="s">
        <v>100</v>
      </c>
      <c r="AN1451" s="3">
        <v>8873</v>
      </c>
      <c r="AO1451" t="s">
        <v>101</v>
      </c>
      <c r="AQ1451" t="str">
        <f>"+17327260593"</f>
        <v>+17327260593</v>
      </c>
      <c r="AS1451" t="s">
        <v>1592</v>
      </c>
      <c r="AT1451" t="s">
        <v>102</v>
      </c>
      <c r="AU1451" t="str">
        <f>""</f>
        <v/>
      </c>
      <c r="AV1451" t="str">
        <f>""</f>
        <v/>
      </c>
      <c r="AW1451" t="str">
        <f>""</f>
        <v/>
      </c>
      <c r="AX1451" t="str">
        <f>""</f>
        <v/>
      </c>
      <c r="AY1451" t="str">
        <f>""</f>
        <v/>
      </c>
      <c r="AZ1451" t="str">
        <f>""</f>
        <v/>
      </c>
      <c r="BA1451" t="str">
        <f>""</f>
        <v/>
      </c>
      <c r="BC1451" t="str">
        <f>""</f>
        <v/>
      </c>
      <c r="BD1451" t="str">
        <f>""</f>
        <v/>
      </c>
      <c r="BE1451" t="str">
        <f>""</f>
        <v/>
      </c>
      <c r="BF1451" t="str">
        <f>""</f>
        <v/>
      </c>
      <c r="BG1451" t="str">
        <f>""</f>
        <v/>
      </c>
      <c r="BH1451" t="str">
        <f>""</f>
        <v/>
      </c>
      <c r="BI1451" t="str">
        <f>""</f>
        <v/>
      </c>
      <c r="BJ1451" t="str">
        <f>""</f>
        <v/>
      </c>
      <c r="BK1451">
        <v>1</v>
      </c>
      <c r="BL1451" t="s">
        <v>102</v>
      </c>
      <c r="BM1451" t="str">
        <f>""</f>
        <v/>
      </c>
      <c r="BN1451" t="s">
        <v>10902</v>
      </c>
      <c r="BP1451" t="s">
        <v>343</v>
      </c>
      <c r="BQ1451" t="s">
        <v>185</v>
      </c>
      <c r="BR1451" t="s">
        <v>186</v>
      </c>
      <c r="BS1451" s="5">
        <v>55439</v>
      </c>
      <c r="BT1451" s="2">
        <v>88712</v>
      </c>
      <c r="BU1451" s="2">
        <v>105726</v>
      </c>
      <c r="BV1451" t="s">
        <v>105</v>
      </c>
      <c r="BW1451" s="2">
        <v>88712</v>
      </c>
      <c r="BX1451" t="s">
        <v>105</v>
      </c>
      <c r="BZ1451" t="s">
        <v>167</v>
      </c>
      <c r="CA1451" t="str">
        <f t="shared" si="111"/>
        <v>7/1/2020 - 6/30/2021</v>
      </c>
      <c r="CF1451">
        <v>1</v>
      </c>
      <c r="CG1451" t="s">
        <v>98</v>
      </c>
      <c r="CH1451" t="s">
        <v>98</v>
      </c>
      <c r="CI1451" t="s">
        <v>206</v>
      </c>
      <c r="CJ1451" t="s">
        <v>98</v>
      </c>
      <c r="CK1451" t="s">
        <v>12323</v>
      </c>
      <c r="CL1451" t="s">
        <v>108</v>
      </c>
      <c r="CM1451" t="s">
        <v>109</v>
      </c>
      <c r="CN1451" t="str">
        <f>""</f>
        <v/>
      </c>
      <c r="CO1451" t="str">
        <f>""</f>
        <v/>
      </c>
      <c r="CP1451" t="str">
        <f>""</f>
        <v/>
      </c>
      <c r="CQ1451" t="str">
        <f>""</f>
        <v/>
      </c>
    </row>
    <row r="1452" spans="1:96" x14ac:dyDescent="0.2">
      <c r="A1452" t="s">
        <v>10919</v>
      </c>
      <c r="B1452" t="s">
        <v>96</v>
      </c>
      <c r="C1452" s="1">
        <v>44099</v>
      </c>
      <c r="D1452" s="1">
        <v>44106</v>
      </c>
      <c r="F1452" t="s">
        <v>97</v>
      </c>
      <c r="G1452" t="str">
        <f>"Software Engineer"</f>
        <v>Software Engineer</v>
      </c>
      <c r="H1452" t="s">
        <v>12176</v>
      </c>
      <c r="I1452" t="s">
        <v>246</v>
      </c>
      <c r="J1452" t="s">
        <v>98</v>
      </c>
      <c r="K1452" s="1">
        <v>44105</v>
      </c>
      <c r="L1452" s="1">
        <v>45199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283</v>
      </c>
      <c r="U1452" t="str">
        <f>""</f>
        <v/>
      </c>
      <c r="V1452" t="s">
        <v>284</v>
      </c>
      <c r="W1452" t="str">
        <f>""</f>
        <v/>
      </c>
      <c r="X1452" t="s">
        <v>157</v>
      </c>
      <c r="Y1452" t="s">
        <v>141</v>
      </c>
      <c r="Z1452" s="3">
        <v>92121</v>
      </c>
      <c r="AA1452" t="s">
        <v>101</v>
      </c>
      <c r="AC1452" s="4" t="str">
        <f>"+18584722865"</f>
        <v>+18584722865</v>
      </c>
      <c r="AE1452" t="str">
        <f>"334220"</f>
        <v>334220</v>
      </c>
      <c r="AF1452" t="s">
        <v>285</v>
      </c>
      <c r="AG1452" t="s">
        <v>286</v>
      </c>
      <c r="AI1452" t="s">
        <v>287</v>
      </c>
      <c r="AJ1452" t="s">
        <v>284</v>
      </c>
      <c r="AK1452" t="str">
        <f>""</f>
        <v/>
      </c>
      <c r="AL1452" t="s">
        <v>157</v>
      </c>
      <c r="AM1452" t="s">
        <v>141</v>
      </c>
      <c r="AN1452" s="3">
        <v>92121</v>
      </c>
      <c r="AO1452" t="s">
        <v>101</v>
      </c>
      <c r="AQ1452" t="str">
        <f>"+18584722865"</f>
        <v>+18584722865</v>
      </c>
      <c r="AS1452" t="s">
        <v>288</v>
      </c>
      <c r="AT1452" t="s">
        <v>107</v>
      </c>
      <c r="AU1452" t="str">
        <f>"Faure Wenger"</f>
        <v>Faure Wenger</v>
      </c>
      <c r="AV1452" t="str">
        <f>"Karine"</f>
        <v>Karine</v>
      </c>
      <c r="AW1452" t="str">
        <f>"Isabelle"</f>
        <v>Isabelle</v>
      </c>
      <c r="AX1452" t="str">
        <f>"PO Box 910129"</f>
        <v>PO Box 910129</v>
      </c>
      <c r="AY1452" t="str">
        <f>""</f>
        <v/>
      </c>
      <c r="AZ1452" t="str">
        <f>"San Diego"</f>
        <v>San Diego</v>
      </c>
      <c r="BA1452" t="str">
        <f>"CA"</f>
        <v>CA</v>
      </c>
      <c r="BB1452" s="3">
        <v>92191</v>
      </c>
      <c r="BC1452" t="str">
        <f>"UNITED STATES OF AMERICA"</f>
        <v>UNITED STATES OF AMERICA</v>
      </c>
      <c r="BD1452" t="str">
        <f>""</f>
        <v/>
      </c>
      <c r="BE1452" t="str">
        <f>"+18587931600"</f>
        <v>+18587931600</v>
      </c>
      <c r="BF1452" t="str">
        <f>""</f>
        <v/>
      </c>
      <c r="BG1452" t="str">
        <f>"ekalnin@fragomen.com"</f>
        <v>ekalnin@fragomen.com</v>
      </c>
      <c r="BH1452" t="str">
        <f>"Fragomen, Del Rey, Bernsen and Loewy, LLP "</f>
        <v xml:space="preserve">Fragomen, Del Rey, Bernsen and Loewy, LLP </v>
      </c>
      <c r="BI1452" t="str">
        <f>"CA"</f>
        <v>CA</v>
      </c>
      <c r="BJ1452" t="str">
        <f>"Supreme Court"</f>
        <v>Supreme Court</v>
      </c>
      <c r="BK1452">
        <v>1</v>
      </c>
      <c r="BL1452" t="s">
        <v>102</v>
      </c>
      <c r="BM1452" t="str">
        <f>""</f>
        <v/>
      </c>
      <c r="BN1452" t="s">
        <v>8979</v>
      </c>
      <c r="BO1452" t="s">
        <v>6435</v>
      </c>
      <c r="BP1452" t="s">
        <v>157</v>
      </c>
      <c r="BQ1452" t="s">
        <v>158</v>
      </c>
      <c r="BR1452" t="s">
        <v>141</v>
      </c>
      <c r="BS1452" s="5">
        <v>92126</v>
      </c>
      <c r="BT1452" s="2">
        <v>98592</v>
      </c>
      <c r="BU1452" s="2">
        <v>114200</v>
      </c>
      <c r="BV1452" t="s">
        <v>105</v>
      </c>
      <c r="BW1452" s="2">
        <v>98592</v>
      </c>
      <c r="BX1452" t="s">
        <v>105</v>
      </c>
      <c r="BZ1452" t="s">
        <v>167</v>
      </c>
      <c r="CA1452" t="str">
        <f t="shared" si="111"/>
        <v>7/1/2020 - 6/30/2021</v>
      </c>
      <c r="CF1452">
        <v>1</v>
      </c>
      <c r="CG1452" t="s">
        <v>98</v>
      </c>
      <c r="CH1452" t="s">
        <v>98</v>
      </c>
      <c r="CI1452" t="s">
        <v>206</v>
      </c>
      <c r="CJ1452" t="s">
        <v>98</v>
      </c>
      <c r="CK1452" t="s">
        <v>12323</v>
      </c>
      <c r="CL1452" t="s">
        <v>108</v>
      </c>
      <c r="CM1452" t="s">
        <v>109</v>
      </c>
      <c r="CN1452" t="str">
        <f>""</f>
        <v/>
      </c>
      <c r="CO1452" t="str">
        <f>""</f>
        <v/>
      </c>
      <c r="CP1452" t="str">
        <f>""</f>
        <v/>
      </c>
      <c r="CQ1452" t="str">
        <f>""</f>
        <v/>
      </c>
    </row>
    <row r="1453" spans="1:96" x14ac:dyDescent="0.2">
      <c r="A1453" t="s">
        <v>10924</v>
      </c>
      <c r="B1453" t="s">
        <v>96</v>
      </c>
      <c r="C1453" s="1">
        <v>44099</v>
      </c>
      <c r="D1453" s="1">
        <v>44106</v>
      </c>
      <c r="F1453" t="s">
        <v>97</v>
      </c>
      <c r="G1453" t="str">
        <f>"Software Engineer"</f>
        <v>Software Engineer</v>
      </c>
      <c r="H1453" t="s">
        <v>12169</v>
      </c>
      <c r="I1453" t="s">
        <v>124</v>
      </c>
      <c r="J1453" t="s">
        <v>98</v>
      </c>
      <c r="K1453" s="1">
        <v>44190</v>
      </c>
      <c r="L1453" s="1">
        <v>45284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 t="s">
        <v>7444</v>
      </c>
      <c r="U1453" t="str">
        <f>""</f>
        <v/>
      </c>
      <c r="V1453" t="s">
        <v>7445</v>
      </c>
      <c r="W1453" t="str">
        <f>"Ste 388"</f>
        <v>Ste 388</v>
      </c>
      <c r="X1453" t="s">
        <v>761</v>
      </c>
      <c r="Y1453" t="s">
        <v>114</v>
      </c>
      <c r="Z1453" s="3">
        <v>75081</v>
      </c>
      <c r="AA1453" t="s">
        <v>101</v>
      </c>
      <c r="AC1453" s="4" t="str">
        <f>"+19722340058"</f>
        <v>+19722340058</v>
      </c>
      <c r="AE1453" t="str">
        <f>"541511"</f>
        <v>541511</v>
      </c>
      <c r="AF1453" t="s">
        <v>5594</v>
      </c>
      <c r="AG1453" t="s">
        <v>7446</v>
      </c>
      <c r="AI1453" t="s">
        <v>298</v>
      </c>
      <c r="AJ1453" t="s">
        <v>7447</v>
      </c>
      <c r="AK1453" t="str">
        <f>""</f>
        <v/>
      </c>
      <c r="AL1453" t="s">
        <v>761</v>
      </c>
      <c r="AM1453" t="s">
        <v>114</v>
      </c>
      <c r="AN1453" s="3">
        <v>75081</v>
      </c>
      <c r="AO1453" t="s">
        <v>101</v>
      </c>
      <c r="AQ1453" t="str">
        <f>"+19722340058"</f>
        <v>+19722340058</v>
      </c>
      <c r="AS1453" t="s">
        <v>7448</v>
      </c>
      <c r="AT1453" t="s">
        <v>107</v>
      </c>
      <c r="AU1453" t="str">
        <f>"Naidoo"</f>
        <v>Naidoo</v>
      </c>
      <c r="AV1453" t="str">
        <f>"Kamlesan"</f>
        <v>Kamlesan</v>
      </c>
      <c r="AW1453" t="str">
        <f>""</f>
        <v/>
      </c>
      <c r="AX1453" t="str">
        <f>"1700 Pacific Ave"</f>
        <v>1700 Pacific Ave</v>
      </c>
      <c r="AY1453" t="str">
        <f>"Ste 2210"</f>
        <v>Ste 2210</v>
      </c>
      <c r="AZ1453" t="str">
        <f>"Dallas"</f>
        <v>Dallas</v>
      </c>
      <c r="BA1453" t="str">
        <f>"TX"</f>
        <v>TX</v>
      </c>
      <c r="BB1453" s="3">
        <v>75201</v>
      </c>
      <c r="BC1453" t="str">
        <f>"UNITED STATES OF AMERICA"</f>
        <v>UNITED STATES OF AMERICA</v>
      </c>
      <c r="BD1453" t="str">
        <f>""</f>
        <v/>
      </c>
      <c r="BE1453" t="str">
        <f>"+19729977233"</f>
        <v>+19729977233</v>
      </c>
      <c r="BF1453" t="str">
        <f>""</f>
        <v/>
      </c>
      <c r="BG1453" t="str">
        <f>"kamnaidoo@naidoolaw.com"</f>
        <v>kamnaidoo@naidoolaw.com</v>
      </c>
      <c r="BH1453" t="str">
        <f>"Law Office of Kamlesan Naidoo, PLLC"</f>
        <v>Law Office of Kamlesan Naidoo, PLLC</v>
      </c>
      <c r="BI1453" t="str">
        <f>"TX"</f>
        <v>TX</v>
      </c>
      <c r="BJ1453" t="str">
        <f>"Supreme Court of Texas"</f>
        <v>Supreme Court of Texas</v>
      </c>
      <c r="BK1453">
        <v>1</v>
      </c>
      <c r="BL1453" t="s">
        <v>107</v>
      </c>
      <c r="BM1453" t="str">
        <f>"Verizon"</f>
        <v>Verizon</v>
      </c>
      <c r="BN1453" t="s">
        <v>7788</v>
      </c>
      <c r="BP1453" t="s">
        <v>103</v>
      </c>
      <c r="BQ1453" t="s">
        <v>104</v>
      </c>
      <c r="BR1453" t="s">
        <v>100</v>
      </c>
      <c r="BS1453" s="5">
        <v>8854</v>
      </c>
      <c r="BT1453" s="2">
        <v>80000</v>
      </c>
      <c r="BV1453" t="s">
        <v>105</v>
      </c>
      <c r="BW1453" s="2">
        <v>78811</v>
      </c>
      <c r="BX1453" t="s">
        <v>105</v>
      </c>
      <c r="BZ1453" t="s">
        <v>191</v>
      </c>
      <c r="CA1453" t="str">
        <f t="shared" si="111"/>
        <v>7/1/2020 - 6/30/2021</v>
      </c>
      <c r="CF1453">
        <v>2</v>
      </c>
      <c r="CG1453" t="s">
        <v>98</v>
      </c>
      <c r="CH1453" t="s">
        <v>98</v>
      </c>
      <c r="CI1453" t="s">
        <v>206</v>
      </c>
      <c r="CJ1453" t="s">
        <v>98</v>
      </c>
      <c r="CK1453" t="s">
        <v>12323</v>
      </c>
      <c r="CL1453" t="s">
        <v>108</v>
      </c>
      <c r="CM1453" t="s">
        <v>109</v>
      </c>
      <c r="CN1453" t="str">
        <f>"Naidoo"</f>
        <v>Naidoo</v>
      </c>
      <c r="CO1453" t="str">
        <f>"Kamlesan"</f>
        <v>Kamlesan</v>
      </c>
      <c r="CP1453" t="str">
        <f>""</f>
        <v/>
      </c>
      <c r="CQ1453" t="str">
        <f>"Law Office of Kamlesan Naidoo, PLLC"</f>
        <v>Law Office of Kamlesan Naidoo, PLLC</v>
      </c>
      <c r="CR1453" t="s">
        <v>7449</v>
      </c>
    </row>
    <row r="1454" spans="1:96" x14ac:dyDescent="0.2">
      <c r="A1454" t="s">
        <v>10928</v>
      </c>
      <c r="B1454" t="s">
        <v>96</v>
      </c>
      <c r="C1454" s="1">
        <v>44099</v>
      </c>
      <c r="D1454" s="1">
        <v>44106</v>
      </c>
      <c r="F1454" t="s">
        <v>97</v>
      </c>
      <c r="G1454" t="str">
        <f>"Software Developer"</f>
        <v>Software Developer</v>
      </c>
      <c r="H1454" t="s">
        <v>12169</v>
      </c>
      <c r="I1454" t="s">
        <v>124</v>
      </c>
      <c r="J1454" t="s">
        <v>98</v>
      </c>
      <c r="K1454" s="1">
        <v>44258</v>
      </c>
      <c r="L1454" s="1">
        <v>45353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 t="s">
        <v>10929</v>
      </c>
      <c r="U1454" t="str">
        <f>""</f>
        <v/>
      </c>
      <c r="V1454" t="s">
        <v>10930</v>
      </c>
      <c r="W1454" t="str">
        <f>"Suite 235"</f>
        <v>Suite 235</v>
      </c>
      <c r="X1454" t="s">
        <v>1317</v>
      </c>
      <c r="Y1454" t="s">
        <v>135</v>
      </c>
      <c r="Z1454" s="3">
        <v>20166</v>
      </c>
      <c r="AA1454" t="s">
        <v>101</v>
      </c>
      <c r="AC1454" s="4" t="str">
        <f>"+14436221154"</f>
        <v>+14436221154</v>
      </c>
      <c r="AE1454" t="str">
        <f>"541511"</f>
        <v>541511</v>
      </c>
      <c r="AF1454" t="s">
        <v>10931</v>
      </c>
      <c r="AG1454" t="s">
        <v>8503</v>
      </c>
      <c r="AI1454" t="s">
        <v>508</v>
      </c>
      <c r="AJ1454" t="s">
        <v>10930</v>
      </c>
      <c r="AK1454" t="str">
        <f>"Suite 235"</f>
        <v>Suite 235</v>
      </c>
      <c r="AL1454" t="s">
        <v>1317</v>
      </c>
      <c r="AM1454" t="s">
        <v>135</v>
      </c>
      <c r="AN1454" s="3">
        <v>20166</v>
      </c>
      <c r="AO1454" t="s">
        <v>101</v>
      </c>
      <c r="AQ1454" t="str">
        <f>"+14436221154"</f>
        <v>+14436221154</v>
      </c>
      <c r="AS1454" t="s">
        <v>10932</v>
      </c>
      <c r="AT1454" t="s">
        <v>107</v>
      </c>
      <c r="AU1454" t="str">
        <f>"PARUTHIPATTU"</f>
        <v>PARUTHIPATTU</v>
      </c>
      <c r="AV1454" t="str">
        <f>"ANANTHA"</f>
        <v>ANANTHA</v>
      </c>
      <c r="AW1454" t="str">
        <f>"K."</f>
        <v>K.</v>
      </c>
      <c r="AX1454" t="str">
        <f>"462 HERNDON PARKWAY"</f>
        <v>462 HERNDON PARKWAY</v>
      </c>
      <c r="AY1454" t="str">
        <f>"SUITE 208"</f>
        <v>SUITE 208</v>
      </c>
      <c r="AZ1454" t="str">
        <f>"HERNDON"</f>
        <v>HERNDON</v>
      </c>
      <c r="BA1454" t="str">
        <f>"VA"</f>
        <v>VA</v>
      </c>
      <c r="BB1454" s="3">
        <v>20170</v>
      </c>
      <c r="BC1454" t="str">
        <f>"UNITED STATES OF AMERICA"</f>
        <v>UNITED STATES OF AMERICA</v>
      </c>
      <c r="BD1454" t="str">
        <f>""</f>
        <v/>
      </c>
      <c r="BE1454" t="str">
        <f>"+17032914525"</f>
        <v>+17032914525</v>
      </c>
      <c r="BF1454" t="str">
        <f>""</f>
        <v/>
      </c>
      <c r="BG1454" t="str">
        <f>"ANANTHA@ARKPLAW.COM"</f>
        <v>ANANTHA@ARKPLAW.COM</v>
      </c>
      <c r="BH1454" t="str">
        <f>"PARUTHIPATTU LAW FIRM PLLC"</f>
        <v>PARUTHIPATTU LAW FIRM PLLC</v>
      </c>
      <c r="BI1454" t="str">
        <f>"VA"</f>
        <v>VA</v>
      </c>
      <c r="BJ1454" t="str">
        <f>"SUPREME COURT OF VIRGINIA"</f>
        <v>SUPREME COURT OF VIRGINIA</v>
      </c>
      <c r="BK1454">
        <v>1</v>
      </c>
      <c r="BL1454" t="s">
        <v>107</v>
      </c>
      <c r="BM1454" t="str">
        <f>"Conduent/State of Maryland, MD DHS"</f>
        <v>Conduent/State of Maryland, MD DHS</v>
      </c>
      <c r="BN1454" t="s">
        <v>4186</v>
      </c>
      <c r="BO1454" t="s">
        <v>754</v>
      </c>
      <c r="BP1454" t="s">
        <v>4187</v>
      </c>
      <c r="BQ1454" t="s">
        <v>2093</v>
      </c>
      <c r="BR1454" t="s">
        <v>195</v>
      </c>
      <c r="BS1454" s="5">
        <v>21090</v>
      </c>
      <c r="BT1454" s="2">
        <v>117894</v>
      </c>
      <c r="BV1454" t="s">
        <v>105</v>
      </c>
      <c r="BW1454" s="2">
        <v>117894</v>
      </c>
      <c r="BX1454" t="s">
        <v>105</v>
      </c>
      <c r="BZ1454" t="s">
        <v>123</v>
      </c>
      <c r="CA1454" t="str">
        <f t="shared" si="111"/>
        <v>7/1/2020 - 6/30/2021</v>
      </c>
      <c r="CF1454">
        <v>2</v>
      </c>
      <c r="CG1454" t="s">
        <v>98</v>
      </c>
      <c r="CH1454" t="s">
        <v>98</v>
      </c>
      <c r="CI1454" t="s">
        <v>206</v>
      </c>
      <c r="CJ1454" t="s">
        <v>98</v>
      </c>
      <c r="CK1454" t="s">
        <v>12323</v>
      </c>
      <c r="CL1454" t="s">
        <v>108</v>
      </c>
      <c r="CM1454" t="s">
        <v>109</v>
      </c>
      <c r="CN1454" t="str">
        <f>""</f>
        <v/>
      </c>
      <c r="CO1454" t="str">
        <f>""</f>
        <v/>
      </c>
      <c r="CP1454" t="str">
        <f>""</f>
        <v/>
      </c>
      <c r="CQ1454" t="str">
        <f>""</f>
        <v/>
      </c>
    </row>
    <row r="1455" spans="1:96" x14ac:dyDescent="0.2">
      <c r="A1455" t="s">
        <v>10959</v>
      </c>
      <c r="B1455" t="s">
        <v>96</v>
      </c>
      <c r="C1455" s="1">
        <v>44099</v>
      </c>
      <c r="D1455" s="1">
        <v>44106</v>
      </c>
      <c r="F1455" t="s">
        <v>97</v>
      </c>
      <c r="G1455" t="str">
        <f>"SOFTWARE ENGINEER &amp; TESTER "</f>
        <v xml:space="preserve">SOFTWARE ENGINEER &amp; TESTER </v>
      </c>
      <c r="H1455" t="s">
        <v>12168</v>
      </c>
      <c r="I1455" t="s">
        <v>319</v>
      </c>
      <c r="J1455" t="s">
        <v>98</v>
      </c>
      <c r="K1455" s="1">
        <v>44106</v>
      </c>
      <c r="L1455" s="1">
        <v>45200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 t="s">
        <v>3691</v>
      </c>
      <c r="U1455" t="str">
        <f>""</f>
        <v/>
      </c>
      <c r="V1455" t="s">
        <v>3692</v>
      </c>
      <c r="W1455" t="str">
        <f>"EDISON SQUARE WEST, SUITE 3002"</f>
        <v>EDISON SQUARE WEST, SUITE 3002</v>
      </c>
      <c r="X1455" t="s">
        <v>211</v>
      </c>
      <c r="Y1455" t="s">
        <v>100</v>
      </c>
      <c r="Z1455" s="3">
        <v>8817</v>
      </c>
      <c r="AA1455" t="s">
        <v>101</v>
      </c>
      <c r="AC1455" s="4" t="str">
        <f>"+17322486119"</f>
        <v>+17322486119</v>
      </c>
      <c r="AE1455" t="str">
        <f>"541330"</f>
        <v>541330</v>
      </c>
      <c r="AF1455" t="s">
        <v>3693</v>
      </c>
      <c r="AG1455" t="s">
        <v>3694</v>
      </c>
      <c r="AI1455" t="s">
        <v>3695</v>
      </c>
      <c r="AJ1455" t="s">
        <v>3692</v>
      </c>
      <c r="AK1455" t="str">
        <f>"EDISON SQUARE WEST, SUITE 3002"</f>
        <v>EDISON SQUARE WEST, SUITE 3002</v>
      </c>
      <c r="AL1455" t="s">
        <v>211</v>
      </c>
      <c r="AM1455" t="s">
        <v>100</v>
      </c>
      <c r="AN1455" s="3">
        <v>8817</v>
      </c>
      <c r="AO1455" t="s">
        <v>101</v>
      </c>
      <c r="AQ1455" t="str">
        <f>"+17322486119"</f>
        <v>+17322486119</v>
      </c>
      <c r="AS1455" t="s">
        <v>3696</v>
      </c>
      <c r="AT1455" t="s">
        <v>107</v>
      </c>
      <c r="AU1455" t="str">
        <f>"JETHMALANI"</f>
        <v>JETHMALANI</v>
      </c>
      <c r="AV1455" t="str">
        <f>"ANIL"</f>
        <v>ANIL</v>
      </c>
      <c r="AW1455" t="str">
        <f>""</f>
        <v/>
      </c>
      <c r="AX1455" t="str">
        <f>"42 BROADWAY"</f>
        <v>42 BROADWAY</v>
      </c>
      <c r="AY1455" t="str">
        <f>"SUITE 1548"</f>
        <v>SUITE 1548</v>
      </c>
      <c r="AZ1455" t="str">
        <f>"NEW YORK"</f>
        <v>NEW YORK</v>
      </c>
      <c r="BA1455" t="str">
        <f>"NY"</f>
        <v>NY</v>
      </c>
      <c r="BB1455" s="3">
        <v>10004</v>
      </c>
      <c r="BC1455" t="str">
        <f>"UNITED STATES OF AMERICA"</f>
        <v>UNITED STATES OF AMERICA</v>
      </c>
      <c r="BD1455" t="str">
        <f>""</f>
        <v/>
      </c>
      <c r="BE1455" t="str">
        <f>"+12124069257"</f>
        <v>+12124069257</v>
      </c>
      <c r="BF1455" t="str">
        <f>""</f>
        <v/>
      </c>
      <c r="BG1455" t="str">
        <f>"sharon@jnattorney.com"</f>
        <v>sharon@jnattorney.com</v>
      </c>
      <c r="BH1455" t="str">
        <f>"Jethmalani &amp; Nallaseth PLLC"</f>
        <v>Jethmalani &amp; Nallaseth PLLC</v>
      </c>
      <c r="BI1455" t="str">
        <f>"NY"</f>
        <v>NY</v>
      </c>
      <c r="BJ1455" t="str">
        <f>"SUPREME COURT"</f>
        <v>SUPREME COURT</v>
      </c>
      <c r="BK1455">
        <v>1</v>
      </c>
      <c r="BL1455" t="s">
        <v>107</v>
      </c>
      <c r="BM1455" t="str">
        <f>"CNH INDUSTRIAL AMERICA LLC"</f>
        <v>CNH INDUSTRIAL AMERICA LLC</v>
      </c>
      <c r="BN1455" t="s">
        <v>7228</v>
      </c>
      <c r="BP1455" t="s">
        <v>5131</v>
      </c>
      <c r="BQ1455" t="s">
        <v>1382</v>
      </c>
      <c r="BR1455" t="s">
        <v>345</v>
      </c>
      <c r="BS1455" s="5">
        <v>60527</v>
      </c>
      <c r="BT1455" s="2">
        <v>76000</v>
      </c>
      <c r="BU1455" s="2">
        <v>86000</v>
      </c>
      <c r="BV1455" t="s">
        <v>105</v>
      </c>
      <c r="BW1455" s="2">
        <v>75754</v>
      </c>
      <c r="BX1455" t="s">
        <v>105</v>
      </c>
      <c r="BZ1455" t="s">
        <v>167</v>
      </c>
      <c r="CA1455" t="str">
        <f t="shared" si="111"/>
        <v>7/1/2020 - 6/30/2021</v>
      </c>
      <c r="CF1455">
        <v>2</v>
      </c>
      <c r="CG1455" t="s">
        <v>98</v>
      </c>
      <c r="CH1455" t="s">
        <v>98</v>
      </c>
      <c r="CI1455" t="s">
        <v>206</v>
      </c>
      <c r="CJ1455" t="s">
        <v>98</v>
      </c>
      <c r="CK1455" t="s">
        <v>12323</v>
      </c>
      <c r="CL1455" t="s">
        <v>108</v>
      </c>
      <c r="CM1455" t="s">
        <v>109</v>
      </c>
      <c r="CN1455" t="str">
        <f>""</f>
        <v/>
      </c>
      <c r="CO1455" t="str">
        <f>""</f>
        <v/>
      </c>
      <c r="CP1455" t="str">
        <f>""</f>
        <v/>
      </c>
      <c r="CQ1455" t="str">
        <f>""</f>
        <v/>
      </c>
    </row>
    <row r="1456" spans="1:96" x14ac:dyDescent="0.2">
      <c r="A1456" t="s">
        <v>10999</v>
      </c>
      <c r="B1456" t="s">
        <v>96</v>
      </c>
      <c r="C1456" s="1">
        <v>44099</v>
      </c>
      <c r="D1456" s="1">
        <v>44106</v>
      </c>
      <c r="F1456" t="s">
        <v>97</v>
      </c>
      <c r="G1456" t="str">
        <f>"Project Manager 2"</f>
        <v>Project Manager 2</v>
      </c>
      <c r="H1456" t="s">
        <v>12168</v>
      </c>
      <c r="I1456" t="s">
        <v>367</v>
      </c>
      <c r="J1456" t="s">
        <v>98</v>
      </c>
      <c r="K1456" s="1">
        <v>44102</v>
      </c>
      <c r="L1456" s="1">
        <v>45196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 t="s">
        <v>1421</v>
      </c>
      <c r="U1456" t="str">
        <f>""</f>
        <v/>
      </c>
      <c r="V1456" t="s">
        <v>1422</v>
      </c>
      <c r="W1456" t="str">
        <f>"SUITE 300"</f>
        <v>SUITE 300</v>
      </c>
      <c r="X1456" t="s">
        <v>843</v>
      </c>
      <c r="Y1456" t="s">
        <v>345</v>
      </c>
      <c r="Z1456" s="3">
        <v>60606</v>
      </c>
      <c r="AA1456" t="s">
        <v>101</v>
      </c>
      <c r="AC1456" s="4" t="str">
        <f>"+13123955000"</f>
        <v>+13123955000</v>
      </c>
      <c r="AE1456" t="str">
        <f>"5416"</f>
        <v>5416</v>
      </c>
      <c r="AF1456" t="s">
        <v>1423</v>
      </c>
      <c r="AG1456" t="s">
        <v>1424</v>
      </c>
      <c r="AI1456" t="s">
        <v>1425</v>
      </c>
      <c r="AJ1456" t="s">
        <v>1422</v>
      </c>
      <c r="AK1456" t="str">
        <f>"SUITE 300"</f>
        <v>SUITE 300</v>
      </c>
      <c r="AL1456" t="s">
        <v>843</v>
      </c>
      <c r="AM1456" t="s">
        <v>345</v>
      </c>
      <c r="AN1456" s="3">
        <v>60606</v>
      </c>
      <c r="AO1456" t="s">
        <v>101</v>
      </c>
      <c r="AQ1456" t="str">
        <f>"+13123958209"</f>
        <v>+13123958209</v>
      </c>
      <c r="AS1456" t="s">
        <v>1426</v>
      </c>
      <c r="AT1456" t="s">
        <v>102</v>
      </c>
      <c r="AU1456" t="str">
        <f>""</f>
        <v/>
      </c>
      <c r="AV1456" t="str">
        <f>""</f>
        <v/>
      </c>
      <c r="AW1456" t="str">
        <f>""</f>
        <v/>
      </c>
      <c r="AX1456" t="str">
        <f>""</f>
        <v/>
      </c>
      <c r="AY1456" t="str">
        <f>""</f>
        <v/>
      </c>
      <c r="AZ1456" t="str">
        <f>""</f>
        <v/>
      </c>
      <c r="BA1456" t="str">
        <f>""</f>
        <v/>
      </c>
      <c r="BC1456" t="str">
        <f>""</f>
        <v/>
      </c>
      <c r="BD1456" t="str">
        <f>""</f>
        <v/>
      </c>
      <c r="BE1456" t="str">
        <f>""</f>
        <v/>
      </c>
      <c r="BF1456" t="str">
        <f>""</f>
        <v/>
      </c>
      <c r="BG1456" t="str">
        <f>""</f>
        <v/>
      </c>
      <c r="BH1456" t="str">
        <f>""</f>
        <v/>
      </c>
      <c r="BI1456" t="str">
        <f>""</f>
        <v/>
      </c>
      <c r="BJ1456" t="str">
        <f>""</f>
        <v/>
      </c>
      <c r="BK1456">
        <v>1</v>
      </c>
      <c r="BL1456" t="s">
        <v>102</v>
      </c>
      <c r="BM1456" t="str">
        <f>""</f>
        <v/>
      </c>
      <c r="BN1456" t="s">
        <v>11000</v>
      </c>
      <c r="BP1456" t="s">
        <v>8602</v>
      </c>
      <c r="BQ1456" t="s">
        <v>788</v>
      </c>
      <c r="BR1456" t="s">
        <v>345</v>
      </c>
      <c r="BS1456" s="5">
        <v>60090</v>
      </c>
      <c r="BT1456" s="2">
        <v>75754</v>
      </c>
      <c r="BU1456" s="2">
        <v>89765</v>
      </c>
      <c r="BV1456" t="s">
        <v>105</v>
      </c>
      <c r="BW1456" s="2">
        <v>75754</v>
      </c>
      <c r="BX1456" t="s">
        <v>105</v>
      </c>
      <c r="BZ1456" t="s">
        <v>167</v>
      </c>
      <c r="CA1456" t="str">
        <f t="shared" si="111"/>
        <v>7/1/2020 - 6/30/2021</v>
      </c>
      <c r="CF1456">
        <v>1</v>
      </c>
      <c r="CG1456" t="s">
        <v>98</v>
      </c>
      <c r="CH1456" t="s">
        <v>98</v>
      </c>
      <c r="CI1456" t="s">
        <v>206</v>
      </c>
      <c r="CJ1456" t="s">
        <v>98</v>
      </c>
      <c r="CK1456" t="s">
        <v>12323</v>
      </c>
      <c r="CL1456" t="s">
        <v>108</v>
      </c>
      <c r="CM1456" t="s">
        <v>109</v>
      </c>
      <c r="CN1456" t="str">
        <f>""</f>
        <v/>
      </c>
      <c r="CO1456" t="str">
        <f>""</f>
        <v/>
      </c>
      <c r="CP1456" t="str">
        <f>""</f>
        <v/>
      </c>
      <c r="CQ1456" t="str">
        <f>""</f>
        <v/>
      </c>
    </row>
    <row r="1457" spans="1:96" x14ac:dyDescent="0.2">
      <c r="A1457" t="s">
        <v>11003</v>
      </c>
      <c r="B1457" t="s">
        <v>96</v>
      </c>
      <c r="C1457" s="1">
        <v>44099</v>
      </c>
      <c r="D1457" s="1">
        <v>44106</v>
      </c>
      <c r="F1457" t="s">
        <v>97</v>
      </c>
      <c r="G1457" t="str">
        <f>"Business Systems Analyst 4"</f>
        <v>Business Systems Analyst 4</v>
      </c>
      <c r="H1457" t="s">
        <v>12181</v>
      </c>
      <c r="I1457" t="s">
        <v>110</v>
      </c>
      <c r="J1457" t="s">
        <v>98</v>
      </c>
      <c r="K1457" s="1">
        <v>44099</v>
      </c>
      <c r="L1457" s="1">
        <v>45168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 t="s">
        <v>1421</v>
      </c>
      <c r="U1457" t="str">
        <f>""</f>
        <v/>
      </c>
      <c r="V1457" t="s">
        <v>1422</v>
      </c>
      <c r="W1457" t="str">
        <f>"SUITE 300"</f>
        <v>SUITE 300</v>
      </c>
      <c r="X1457" t="s">
        <v>843</v>
      </c>
      <c r="Y1457" t="s">
        <v>345</v>
      </c>
      <c r="Z1457" s="3">
        <v>60606</v>
      </c>
      <c r="AA1457" t="s">
        <v>101</v>
      </c>
      <c r="AC1457" s="4" t="str">
        <f>"+13123955000"</f>
        <v>+13123955000</v>
      </c>
      <c r="AE1457" t="str">
        <f>"5416"</f>
        <v>5416</v>
      </c>
      <c r="AF1457" t="s">
        <v>1423</v>
      </c>
      <c r="AG1457" t="s">
        <v>1424</v>
      </c>
      <c r="AI1457" t="s">
        <v>1425</v>
      </c>
      <c r="AJ1457" t="s">
        <v>1422</v>
      </c>
      <c r="AK1457" t="str">
        <f>"SUITE 300"</f>
        <v>SUITE 300</v>
      </c>
      <c r="AL1457" t="s">
        <v>843</v>
      </c>
      <c r="AM1457" t="s">
        <v>345</v>
      </c>
      <c r="AN1457" s="3">
        <v>60606</v>
      </c>
      <c r="AO1457" t="s">
        <v>101</v>
      </c>
      <c r="AQ1457" t="str">
        <f>"+13123958209"</f>
        <v>+13123958209</v>
      </c>
      <c r="AS1457" t="s">
        <v>1426</v>
      </c>
      <c r="AT1457" t="s">
        <v>102</v>
      </c>
      <c r="AU1457" t="str">
        <f>""</f>
        <v/>
      </c>
      <c r="AV1457" t="str">
        <f>""</f>
        <v/>
      </c>
      <c r="AW1457" t="str">
        <f>""</f>
        <v/>
      </c>
      <c r="AX1457" t="str">
        <f>""</f>
        <v/>
      </c>
      <c r="AY1457" t="str">
        <f>""</f>
        <v/>
      </c>
      <c r="AZ1457" t="str">
        <f>""</f>
        <v/>
      </c>
      <c r="BA1457" t="str">
        <f>""</f>
        <v/>
      </c>
      <c r="BC1457" t="str">
        <f>""</f>
        <v/>
      </c>
      <c r="BD1457" t="str">
        <f>""</f>
        <v/>
      </c>
      <c r="BE1457" t="str">
        <f>""</f>
        <v/>
      </c>
      <c r="BF1457" t="str">
        <f>""</f>
        <v/>
      </c>
      <c r="BG1457" t="str">
        <f>""</f>
        <v/>
      </c>
      <c r="BH1457" t="str">
        <f>""</f>
        <v/>
      </c>
      <c r="BI1457" t="str">
        <f>""</f>
        <v/>
      </c>
      <c r="BJ1457" t="str">
        <f>""</f>
        <v/>
      </c>
      <c r="BK1457">
        <v>1</v>
      </c>
      <c r="BL1457" t="s">
        <v>102</v>
      </c>
      <c r="BM1457" t="str">
        <f>""</f>
        <v/>
      </c>
      <c r="BN1457" t="s">
        <v>11004</v>
      </c>
      <c r="BP1457" t="s">
        <v>604</v>
      </c>
      <c r="BQ1457" t="s">
        <v>121</v>
      </c>
      <c r="BR1457" t="s">
        <v>122</v>
      </c>
      <c r="BS1457" s="5">
        <v>28270</v>
      </c>
      <c r="BT1457" s="2">
        <v>115440</v>
      </c>
      <c r="BV1457" t="s">
        <v>105</v>
      </c>
      <c r="BW1457" s="2">
        <v>115440</v>
      </c>
      <c r="BX1457" t="s">
        <v>105</v>
      </c>
      <c r="BZ1457" t="s">
        <v>159</v>
      </c>
      <c r="CA1457" t="str">
        <f t="shared" si="111"/>
        <v>7/1/2020 - 6/30/2021</v>
      </c>
      <c r="CF1457">
        <v>1</v>
      </c>
      <c r="CG1457" t="s">
        <v>98</v>
      </c>
      <c r="CH1457" t="s">
        <v>98</v>
      </c>
      <c r="CI1457" t="s">
        <v>206</v>
      </c>
      <c r="CJ1457" t="s">
        <v>98</v>
      </c>
      <c r="CK1457" t="s">
        <v>12323</v>
      </c>
      <c r="CL1457" t="s">
        <v>108</v>
      </c>
      <c r="CM1457" t="s">
        <v>109</v>
      </c>
      <c r="CN1457" t="str">
        <f>""</f>
        <v/>
      </c>
      <c r="CO1457" t="str">
        <f>""</f>
        <v/>
      </c>
      <c r="CP1457" t="str">
        <f>""</f>
        <v/>
      </c>
      <c r="CQ1457" t="str">
        <f>""</f>
        <v/>
      </c>
    </row>
    <row r="1458" spans="1:96" x14ac:dyDescent="0.2">
      <c r="A1458" t="s">
        <v>11005</v>
      </c>
      <c r="B1458" t="s">
        <v>96</v>
      </c>
      <c r="C1458" s="1">
        <v>44099</v>
      </c>
      <c r="D1458" s="1">
        <v>44106</v>
      </c>
      <c r="F1458" t="s">
        <v>97</v>
      </c>
      <c r="G1458" t="str">
        <f>"JUNIOR COMPUTER SYSTEMS ENGINEER 1"</f>
        <v>JUNIOR COMPUTER SYSTEMS ENGINEER 1</v>
      </c>
      <c r="H1458" t="s">
        <v>12168</v>
      </c>
      <c r="I1458" t="s">
        <v>160</v>
      </c>
      <c r="J1458" t="s">
        <v>98</v>
      </c>
      <c r="K1458" s="1">
        <v>44106</v>
      </c>
      <c r="L1458" s="1">
        <v>45199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 t="s">
        <v>511</v>
      </c>
      <c r="U1458" t="str">
        <f>""</f>
        <v/>
      </c>
      <c r="V1458" t="s">
        <v>512</v>
      </c>
      <c r="W1458" t="str">
        <f>"SUITE 300"</f>
        <v>SUITE 300</v>
      </c>
      <c r="X1458" t="s">
        <v>513</v>
      </c>
      <c r="Y1458" t="s">
        <v>171</v>
      </c>
      <c r="Z1458" s="3">
        <v>1772</v>
      </c>
      <c r="AA1458" t="s">
        <v>101</v>
      </c>
      <c r="AB1458" t="s">
        <v>514</v>
      </c>
      <c r="AC1458" s="4" t="str">
        <f>"+15083897451"</f>
        <v>+15083897451</v>
      </c>
      <c r="AE1458" t="str">
        <f t="shared" ref="AE1458:AE1463" si="112">"541511"</f>
        <v>541511</v>
      </c>
      <c r="AF1458" t="s">
        <v>515</v>
      </c>
      <c r="AG1458" t="s">
        <v>516</v>
      </c>
      <c r="AI1458" t="s">
        <v>517</v>
      </c>
      <c r="AJ1458" t="s">
        <v>518</v>
      </c>
      <c r="AK1458" t="str">
        <f>"SUITE 300"</f>
        <v>SUITE 300</v>
      </c>
      <c r="AL1458" t="s">
        <v>519</v>
      </c>
      <c r="AM1458" t="s">
        <v>171</v>
      </c>
      <c r="AN1458" s="3">
        <v>1772</v>
      </c>
      <c r="AO1458" t="s">
        <v>101</v>
      </c>
      <c r="AQ1458" t="str">
        <f>"+15083897451"</f>
        <v>+15083897451</v>
      </c>
      <c r="AS1458" t="s">
        <v>2783</v>
      </c>
      <c r="AT1458" t="s">
        <v>102</v>
      </c>
      <c r="AU1458" t="str">
        <f>""</f>
        <v/>
      </c>
      <c r="AV1458" t="str">
        <f>""</f>
        <v/>
      </c>
      <c r="AW1458" t="str">
        <f>""</f>
        <v/>
      </c>
      <c r="AX1458" t="str">
        <f>""</f>
        <v/>
      </c>
      <c r="AY1458" t="str">
        <f>""</f>
        <v/>
      </c>
      <c r="AZ1458" t="str">
        <f>""</f>
        <v/>
      </c>
      <c r="BA1458" t="str">
        <f>""</f>
        <v/>
      </c>
      <c r="BC1458" t="str">
        <f>""</f>
        <v/>
      </c>
      <c r="BD1458" t="str">
        <f>""</f>
        <v/>
      </c>
      <c r="BE1458" t="str">
        <f>""</f>
        <v/>
      </c>
      <c r="BF1458" t="str">
        <f>""</f>
        <v/>
      </c>
      <c r="BG1458" t="str">
        <f>""</f>
        <v/>
      </c>
      <c r="BH1458" t="str">
        <f>""</f>
        <v/>
      </c>
      <c r="BI1458" t="str">
        <f>""</f>
        <v/>
      </c>
      <c r="BJ1458" t="str">
        <f>""</f>
        <v/>
      </c>
      <c r="BK1458">
        <v>1</v>
      </c>
      <c r="BL1458" t="s">
        <v>107</v>
      </c>
      <c r="BM1458" t="str">
        <f>"MANUFACTURERS AND TRADERS TRUST COMPANY (M&amp;T BANK)"</f>
        <v>MANUFACTURERS AND TRADERS TRUST COMPANY (M&amp;T BANK)</v>
      </c>
      <c r="BN1458" t="s">
        <v>11006</v>
      </c>
      <c r="BP1458" t="s">
        <v>8273</v>
      </c>
      <c r="BQ1458" t="s">
        <v>1054</v>
      </c>
      <c r="BR1458" t="s">
        <v>190</v>
      </c>
      <c r="BS1458" s="5">
        <v>14227</v>
      </c>
      <c r="BT1458" s="2">
        <v>60000</v>
      </c>
      <c r="BV1458" t="s">
        <v>105</v>
      </c>
      <c r="BW1458" s="2">
        <v>48464</v>
      </c>
      <c r="BX1458" t="s">
        <v>105</v>
      </c>
      <c r="BZ1458" t="s">
        <v>191</v>
      </c>
      <c r="CA1458" t="str">
        <f t="shared" si="111"/>
        <v>7/1/2020 - 6/30/2021</v>
      </c>
      <c r="CF1458">
        <v>1</v>
      </c>
      <c r="CG1458" t="s">
        <v>98</v>
      </c>
      <c r="CH1458" t="s">
        <v>98</v>
      </c>
      <c r="CI1458" t="s">
        <v>206</v>
      </c>
      <c r="CJ1458" t="s">
        <v>98</v>
      </c>
      <c r="CK1458" t="s">
        <v>12323</v>
      </c>
      <c r="CL1458" t="s">
        <v>108</v>
      </c>
      <c r="CM1458" t="s">
        <v>109</v>
      </c>
      <c r="CN1458" t="str">
        <f>""</f>
        <v/>
      </c>
      <c r="CO1458" t="str">
        <f>""</f>
        <v/>
      </c>
      <c r="CP1458" t="str">
        <f>""</f>
        <v/>
      </c>
      <c r="CQ1458" t="str">
        <f>""</f>
        <v/>
      </c>
    </row>
    <row r="1459" spans="1:96" x14ac:dyDescent="0.2">
      <c r="A1459" t="s">
        <v>11068</v>
      </c>
      <c r="B1459" t="s">
        <v>96</v>
      </c>
      <c r="C1459" s="1">
        <v>44099</v>
      </c>
      <c r="D1459" s="1">
        <v>44106</v>
      </c>
      <c r="F1459" t="s">
        <v>97</v>
      </c>
      <c r="G1459" t="str">
        <f>"Lead Engineer	"</f>
        <v xml:space="preserve">Lead Engineer	</v>
      </c>
      <c r="H1459" t="s">
        <v>12239</v>
      </c>
      <c r="I1459" t="s">
        <v>378</v>
      </c>
      <c r="J1459" t="s">
        <v>98</v>
      </c>
      <c r="K1459" s="1">
        <v>44099</v>
      </c>
      <c r="L1459" s="1">
        <v>45193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 t="s">
        <v>902</v>
      </c>
      <c r="U1459" t="str">
        <f>""</f>
        <v/>
      </c>
      <c r="V1459" t="s">
        <v>903</v>
      </c>
      <c r="W1459" t="str">
        <f>"SUITE 2200"</f>
        <v>SUITE 2200</v>
      </c>
      <c r="X1459" t="s">
        <v>904</v>
      </c>
      <c r="Y1459" t="s">
        <v>100</v>
      </c>
      <c r="Z1459" s="3">
        <v>8816</v>
      </c>
      <c r="AA1459" t="s">
        <v>101</v>
      </c>
      <c r="AB1459" t="s">
        <v>108</v>
      </c>
      <c r="AC1459" s="4" t="str">
        <f>"+17325091586"</f>
        <v>+17325091586</v>
      </c>
      <c r="AE1459" t="str">
        <f t="shared" si="112"/>
        <v>541511</v>
      </c>
      <c r="AF1459" t="s">
        <v>905</v>
      </c>
      <c r="AG1459" t="s">
        <v>906</v>
      </c>
      <c r="AH1459" t="s">
        <v>108</v>
      </c>
      <c r="AI1459" t="s">
        <v>818</v>
      </c>
      <c r="AJ1459" t="s">
        <v>903</v>
      </c>
      <c r="AK1459" t="str">
        <f>"SUITE 2200"</f>
        <v>SUITE 2200</v>
      </c>
      <c r="AL1459" t="s">
        <v>904</v>
      </c>
      <c r="AM1459" t="s">
        <v>100</v>
      </c>
      <c r="AN1459" s="3">
        <v>8816</v>
      </c>
      <c r="AO1459" t="s">
        <v>101</v>
      </c>
      <c r="AQ1459" t="str">
        <f>"+17325091586"</f>
        <v>+17325091586</v>
      </c>
      <c r="AS1459" t="s">
        <v>907</v>
      </c>
      <c r="AT1459" t="s">
        <v>102</v>
      </c>
      <c r="AU1459" t="str">
        <f>""</f>
        <v/>
      </c>
      <c r="AV1459" t="str">
        <f>""</f>
        <v/>
      </c>
      <c r="AW1459" t="str">
        <f>""</f>
        <v/>
      </c>
      <c r="AX1459" t="str">
        <f>""</f>
        <v/>
      </c>
      <c r="AY1459" t="str">
        <f>""</f>
        <v/>
      </c>
      <c r="AZ1459" t="str">
        <f>""</f>
        <v/>
      </c>
      <c r="BA1459" t="str">
        <f>""</f>
        <v/>
      </c>
      <c r="BC1459" t="str">
        <f>""</f>
        <v/>
      </c>
      <c r="BD1459" t="str">
        <f>""</f>
        <v/>
      </c>
      <c r="BE1459" t="str">
        <f>""</f>
        <v/>
      </c>
      <c r="BF1459" t="str">
        <f>""</f>
        <v/>
      </c>
      <c r="BG1459" t="str">
        <f>""</f>
        <v/>
      </c>
      <c r="BH1459" t="str">
        <f>""</f>
        <v/>
      </c>
      <c r="BI1459" t="str">
        <f>""</f>
        <v/>
      </c>
      <c r="BJ1459" t="str">
        <f>""</f>
        <v/>
      </c>
      <c r="BK1459">
        <v>1</v>
      </c>
      <c r="BL1459" t="s">
        <v>102</v>
      </c>
      <c r="BM1459" t="str">
        <f>""</f>
        <v/>
      </c>
      <c r="BN1459" t="s">
        <v>11069</v>
      </c>
      <c r="BO1459" t="s">
        <v>1468</v>
      </c>
      <c r="BP1459" t="s">
        <v>2305</v>
      </c>
      <c r="BQ1459" t="s">
        <v>2305</v>
      </c>
      <c r="BR1459" t="s">
        <v>330</v>
      </c>
      <c r="BS1459" s="5">
        <v>53186</v>
      </c>
      <c r="BT1459" s="2">
        <v>73757</v>
      </c>
      <c r="BV1459" t="s">
        <v>105</v>
      </c>
      <c r="BW1459" s="2">
        <v>73757</v>
      </c>
      <c r="BX1459" t="s">
        <v>105</v>
      </c>
      <c r="BZ1459" t="s">
        <v>167</v>
      </c>
      <c r="CA1459" t="str">
        <f t="shared" si="111"/>
        <v>7/1/2020 - 6/30/2021</v>
      </c>
      <c r="CF1459">
        <v>1</v>
      </c>
      <c r="CG1459" t="s">
        <v>98</v>
      </c>
      <c r="CH1459" t="s">
        <v>98</v>
      </c>
      <c r="CI1459" t="s">
        <v>206</v>
      </c>
      <c r="CJ1459" t="s">
        <v>98</v>
      </c>
      <c r="CK1459" t="s">
        <v>12323</v>
      </c>
      <c r="CL1459" t="s">
        <v>108</v>
      </c>
      <c r="CM1459" t="s">
        <v>109</v>
      </c>
      <c r="CN1459" t="str">
        <f>""</f>
        <v/>
      </c>
      <c r="CO1459" t="str">
        <f>""</f>
        <v/>
      </c>
      <c r="CP1459" t="str">
        <f>""</f>
        <v/>
      </c>
      <c r="CQ1459" t="str">
        <f>""</f>
        <v/>
      </c>
    </row>
    <row r="1460" spans="1:96" x14ac:dyDescent="0.2">
      <c r="A1460" t="s">
        <v>11070</v>
      </c>
      <c r="B1460" t="s">
        <v>96</v>
      </c>
      <c r="C1460" s="1">
        <v>44099</v>
      </c>
      <c r="D1460" s="1">
        <v>44106</v>
      </c>
      <c r="F1460" t="s">
        <v>97</v>
      </c>
      <c r="G1460" t="str">
        <f>"Software Developer "</f>
        <v xml:space="preserve">Software Developer </v>
      </c>
      <c r="H1460" t="s">
        <v>12169</v>
      </c>
      <c r="I1460" t="s">
        <v>124</v>
      </c>
      <c r="J1460" t="s">
        <v>98</v>
      </c>
      <c r="K1460" s="1">
        <v>44105</v>
      </c>
      <c r="L1460" s="1">
        <v>44715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 t="s">
        <v>6629</v>
      </c>
      <c r="U1460" t="str">
        <f>""</f>
        <v/>
      </c>
      <c r="V1460" t="s">
        <v>6630</v>
      </c>
      <c r="W1460" t="str">
        <f>"Building C"</f>
        <v>Building C</v>
      </c>
      <c r="X1460" t="s">
        <v>342</v>
      </c>
      <c r="Y1460" t="s">
        <v>100</v>
      </c>
      <c r="Z1460" s="3">
        <v>8840</v>
      </c>
      <c r="AA1460" t="s">
        <v>101</v>
      </c>
      <c r="AC1460" s="4" t="str">
        <f>"+15512220333"</f>
        <v>+15512220333</v>
      </c>
      <c r="AE1460" t="str">
        <f t="shared" si="112"/>
        <v>541511</v>
      </c>
      <c r="AF1460" t="s">
        <v>5514</v>
      </c>
      <c r="AG1460" t="s">
        <v>3975</v>
      </c>
      <c r="AI1460" t="s">
        <v>6631</v>
      </c>
      <c r="AJ1460" t="s">
        <v>6630</v>
      </c>
      <c r="AK1460" t="str">
        <f>"Building C"</f>
        <v>Building C</v>
      </c>
      <c r="AL1460" t="s">
        <v>342</v>
      </c>
      <c r="AM1460" t="s">
        <v>100</v>
      </c>
      <c r="AN1460" s="3">
        <v>8840</v>
      </c>
      <c r="AO1460" t="s">
        <v>101</v>
      </c>
      <c r="AQ1460" t="str">
        <f>"+15512220333"</f>
        <v>+15512220333</v>
      </c>
      <c r="AS1460" t="s">
        <v>6632</v>
      </c>
      <c r="AT1460" t="s">
        <v>102</v>
      </c>
      <c r="AU1460" t="str">
        <f>""</f>
        <v/>
      </c>
      <c r="AV1460" t="str">
        <f>""</f>
        <v/>
      </c>
      <c r="AW1460" t="str">
        <f>""</f>
        <v/>
      </c>
      <c r="AX1460" t="str">
        <f>""</f>
        <v/>
      </c>
      <c r="AY1460" t="str">
        <f>""</f>
        <v/>
      </c>
      <c r="AZ1460" t="str">
        <f>""</f>
        <v/>
      </c>
      <c r="BA1460" t="str">
        <f>""</f>
        <v/>
      </c>
      <c r="BC1460" t="str">
        <f>""</f>
        <v/>
      </c>
      <c r="BD1460" t="str">
        <f>""</f>
        <v/>
      </c>
      <c r="BE1460" t="str">
        <f>""</f>
        <v/>
      </c>
      <c r="BF1460" t="str">
        <f>""</f>
        <v/>
      </c>
      <c r="BG1460" t="str">
        <f>""</f>
        <v/>
      </c>
      <c r="BH1460" t="str">
        <f>""</f>
        <v/>
      </c>
      <c r="BI1460" t="str">
        <f>""</f>
        <v/>
      </c>
      <c r="BJ1460" t="str">
        <f>""</f>
        <v/>
      </c>
      <c r="BK1460">
        <v>1</v>
      </c>
      <c r="BL1460" t="s">
        <v>102</v>
      </c>
      <c r="BM1460" t="str">
        <f>""</f>
        <v/>
      </c>
      <c r="BN1460" t="s">
        <v>11071</v>
      </c>
      <c r="BP1460" t="s">
        <v>561</v>
      </c>
      <c r="BQ1460" t="s">
        <v>104</v>
      </c>
      <c r="BR1460" t="s">
        <v>100</v>
      </c>
      <c r="BS1460" s="5">
        <v>8820</v>
      </c>
      <c r="BT1460" s="2">
        <v>69.2</v>
      </c>
      <c r="BU1460" s="2">
        <v>80</v>
      </c>
      <c r="BV1460" t="s">
        <v>210</v>
      </c>
      <c r="BW1460" s="2">
        <v>69.2</v>
      </c>
      <c r="BX1460" t="s">
        <v>210</v>
      </c>
      <c r="BZ1460" t="s">
        <v>159</v>
      </c>
      <c r="CA1460" t="str">
        <f t="shared" si="111"/>
        <v>7/1/2020 - 6/30/2021</v>
      </c>
      <c r="CF1460">
        <v>1</v>
      </c>
      <c r="CG1460" t="s">
        <v>98</v>
      </c>
      <c r="CH1460" t="s">
        <v>98</v>
      </c>
      <c r="CI1460" t="s">
        <v>206</v>
      </c>
      <c r="CJ1460" t="s">
        <v>98</v>
      </c>
      <c r="CK1460" t="s">
        <v>12323</v>
      </c>
      <c r="CL1460" t="s">
        <v>108</v>
      </c>
      <c r="CM1460" t="s">
        <v>109</v>
      </c>
      <c r="CN1460" t="str">
        <f>""</f>
        <v/>
      </c>
      <c r="CO1460" t="str">
        <f>""</f>
        <v/>
      </c>
      <c r="CP1460" t="str">
        <f>""</f>
        <v/>
      </c>
      <c r="CQ1460" t="str">
        <f>""</f>
        <v/>
      </c>
    </row>
    <row r="1461" spans="1:96" x14ac:dyDescent="0.2">
      <c r="A1461" t="s">
        <v>11101</v>
      </c>
      <c r="B1461" t="s">
        <v>96</v>
      </c>
      <c r="C1461" s="1">
        <v>44099</v>
      </c>
      <c r="D1461" s="1">
        <v>44106</v>
      </c>
      <c r="F1461" t="s">
        <v>97</v>
      </c>
      <c r="G1461" t="str">
        <f>"Developer "</f>
        <v xml:space="preserve">Developer </v>
      </c>
      <c r="H1461" t="s">
        <v>12239</v>
      </c>
      <c r="I1461" t="s">
        <v>378</v>
      </c>
      <c r="J1461" t="s">
        <v>98</v>
      </c>
      <c r="K1461" s="1">
        <v>44099</v>
      </c>
      <c r="L1461" s="1">
        <v>45193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 t="s">
        <v>864</v>
      </c>
      <c r="U1461" t="str">
        <f>""</f>
        <v/>
      </c>
      <c r="V1461" t="s">
        <v>865</v>
      </c>
      <c r="W1461" t="str">
        <f>"SUITE 320"</f>
        <v>SUITE 320</v>
      </c>
      <c r="X1461" t="s">
        <v>866</v>
      </c>
      <c r="Y1461" t="s">
        <v>195</v>
      </c>
      <c r="Z1461" s="3">
        <v>20850</v>
      </c>
      <c r="AA1461" t="s">
        <v>101</v>
      </c>
      <c r="AC1461" s="4" t="str">
        <f>"+13012319083"</f>
        <v>+13012319083</v>
      </c>
      <c r="AE1461" t="str">
        <f t="shared" si="112"/>
        <v>541511</v>
      </c>
      <c r="AF1461" t="s">
        <v>867</v>
      </c>
      <c r="AG1461" t="s">
        <v>868</v>
      </c>
      <c r="AI1461" t="s">
        <v>869</v>
      </c>
      <c r="AJ1461" t="s">
        <v>865</v>
      </c>
      <c r="AK1461" t="str">
        <f>"SUITE 320"</f>
        <v>SUITE 320</v>
      </c>
      <c r="AL1461" t="s">
        <v>866</v>
      </c>
      <c r="AM1461" t="s">
        <v>195</v>
      </c>
      <c r="AN1461" s="3">
        <v>20850</v>
      </c>
      <c r="AO1461" t="s">
        <v>101</v>
      </c>
      <c r="AQ1461" t="str">
        <f>"+13012319083"</f>
        <v>+13012319083</v>
      </c>
      <c r="AS1461" t="s">
        <v>870</v>
      </c>
      <c r="AT1461" t="s">
        <v>107</v>
      </c>
      <c r="AU1461" t="str">
        <f>"CHOWDHURY"</f>
        <v>CHOWDHURY</v>
      </c>
      <c r="AV1461" t="str">
        <f>"ANINDITA"</f>
        <v>ANINDITA</v>
      </c>
      <c r="AW1461" t="str">
        <f>"A"</f>
        <v>A</v>
      </c>
      <c r="AX1461" t="str">
        <f>"6720-B Rockledge Drive"</f>
        <v>6720-B Rockledge Drive</v>
      </c>
      <c r="AY1461" t="str">
        <f>"Suite 430"</f>
        <v>Suite 430</v>
      </c>
      <c r="AZ1461" t="str">
        <f>"Bethesda"</f>
        <v>Bethesda</v>
      </c>
      <c r="BA1461" t="str">
        <f>"MD"</f>
        <v>MD</v>
      </c>
      <c r="BB1461" s="3">
        <v>20817</v>
      </c>
      <c r="BC1461" t="str">
        <f>"UNITED STATES OF AMERICA"</f>
        <v>UNITED STATES OF AMERICA</v>
      </c>
      <c r="BD1461" t="str">
        <f>""</f>
        <v/>
      </c>
      <c r="BE1461" t="str">
        <f>"+12026184540"</f>
        <v>+12026184540</v>
      </c>
      <c r="BF1461" t="str">
        <f>""</f>
        <v/>
      </c>
      <c r="BG1461" t="str">
        <f>"ANINDITA@USILAW.COM"</f>
        <v>ANINDITA@USILAW.COM</v>
      </c>
      <c r="BH1461" t="str">
        <f>"USILAW, INC"</f>
        <v>USILAW, INC</v>
      </c>
      <c r="BI1461" t="str">
        <f>"DC"</f>
        <v>DC</v>
      </c>
      <c r="BJ1461" t="str">
        <f>"COURT OF APPEALS"</f>
        <v>COURT OF APPEALS</v>
      </c>
      <c r="BK1461">
        <v>1</v>
      </c>
      <c r="BL1461" t="s">
        <v>102</v>
      </c>
      <c r="BM1461" t="str">
        <f>""</f>
        <v/>
      </c>
      <c r="BN1461" t="s">
        <v>11102</v>
      </c>
      <c r="BO1461" t="s">
        <v>11103</v>
      </c>
      <c r="BP1461" t="s">
        <v>585</v>
      </c>
      <c r="BQ1461" t="s">
        <v>230</v>
      </c>
      <c r="BR1461" t="s">
        <v>141</v>
      </c>
      <c r="BS1461" s="5">
        <v>95134</v>
      </c>
      <c r="BT1461" s="2">
        <v>96221</v>
      </c>
      <c r="BU1461" s="2">
        <v>100200</v>
      </c>
      <c r="BV1461" t="s">
        <v>105</v>
      </c>
      <c r="BW1461" s="2">
        <v>96221</v>
      </c>
      <c r="BX1461" t="s">
        <v>105</v>
      </c>
      <c r="BZ1461" t="s">
        <v>167</v>
      </c>
      <c r="CA1461" t="str">
        <f t="shared" si="111"/>
        <v>7/1/2020 - 6/30/2021</v>
      </c>
      <c r="CF1461">
        <v>1</v>
      </c>
      <c r="CG1461" t="s">
        <v>98</v>
      </c>
      <c r="CH1461" t="s">
        <v>98</v>
      </c>
      <c r="CI1461" t="s">
        <v>206</v>
      </c>
      <c r="CJ1461" t="s">
        <v>98</v>
      </c>
      <c r="CK1461" t="s">
        <v>12323</v>
      </c>
      <c r="CL1461" t="s">
        <v>108</v>
      </c>
      <c r="CM1461" t="s">
        <v>109</v>
      </c>
      <c r="CN1461" t="str">
        <f>""</f>
        <v/>
      </c>
      <c r="CO1461" t="str">
        <f>""</f>
        <v/>
      </c>
      <c r="CP1461" t="str">
        <f>""</f>
        <v/>
      </c>
      <c r="CQ1461" t="str">
        <f>""</f>
        <v/>
      </c>
    </row>
    <row r="1462" spans="1:96" x14ac:dyDescent="0.2">
      <c r="A1462" t="s">
        <v>11118</v>
      </c>
      <c r="B1462" t="s">
        <v>96</v>
      </c>
      <c r="C1462" s="1">
        <v>44099</v>
      </c>
      <c r="D1462" s="1">
        <v>44106</v>
      </c>
      <c r="F1462" t="s">
        <v>97</v>
      </c>
      <c r="G1462" t="str">
        <f>"Solutions Architect"</f>
        <v>Solutions Architect</v>
      </c>
      <c r="H1462" t="s">
        <v>12214</v>
      </c>
      <c r="I1462" t="s">
        <v>276</v>
      </c>
      <c r="J1462" t="s">
        <v>98</v>
      </c>
      <c r="K1462" s="1">
        <v>44105</v>
      </c>
      <c r="L1462" s="1">
        <v>45199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5715</v>
      </c>
      <c r="U1462" t="str">
        <f>""</f>
        <v/>
      </c>
      <c r="V1462" t="s">
        <v>5716</v>
      </c>
      <c r="W1462" t="str">
        <f>"Suite 990"</f>
        <v>Suite 990</v>
      </c>
      <c r="X1462" t="s">
        <v>651</v>
      </c>
      <c r="Y1462" t="s">
        <v>141</v>
      </c>
      <c r="Z1462" s="3">
        <v>95113</v>
      </c>
      <c r="AA1462" t="s">
        <v>101</v>
      </c>
      <c r="AC1462" s="4" t="str">
        <f>"+16503864049"</f>
        <v>+16503864049</v>
      </c>
      <c r="AE1462" t="str">
        <f t="shared" si="112"/>
        <v>541511</v>
      </c>
      <c r="AF1462" t="s">
        <v>5717</v>
      </c>
      <c r="AG1462" t="s">
        <v>5718</v>
      </c>
      <c r="AI1462" t="s">
        <v>5719</v>
      </c>
      <c r="AJ1462" t="s">
        <v>5716</v>
      </c>
      <c r="AK1462" t="str">
        <f>"SUITE 990"</f>
        <v>SUITE 990</v>
      </c>
      <c r="AL1462" t="s">
        <v>651</v>
      </c>
      <c r="AM1462" t="s">
        <v>141</v>
      </c>
      <c r="AN1462" s="3">
        <v>95113</v>
      </c>
      <c r="AO1462" t="s">
        <v>101</v>
      </c>
      <c r="AQ1462" t="str">
        <f>"+16503864049"</f>
        <v>+16503864049</v>
      </c>
      <c r="AS1462" t="s">
        <v>5720</v>
      </c>
      <c r="AT1462" t="s">
        <v>107</v>
      </c>
      <c r="AU1462" t="str">
        <f>"TAN"</f>
        <v>TAN</v>
      </c>
      <c r="AV1462" t="str">
        <f>"LIHUA"</f>
        <v>LIHUA</v>
      </c>
      <c r="AW1462" t="str">
        <f>""</f>
        <v/>
      </c>
      <c r="AX1462" t="str">
        <f>"1600 DUANE AVENUE"</f>
        <v>1600 DUANE AVENUE</v>
      </c>
      <c r="AY1462" t="str">
        <f>""</f>
        <v/>
      </c>
      <c r="AZ1462" t="str">
        <f>"SANTA CLARA"</f>
        <v>SANTA CLARA</v>
      </c>
      <c r="BA1462" t="str">
        <f>"CA"</f>
        <v>CA</v>
      </c>
      <c r="BB1462" s="3">
        <v>95054</v>
      </c>
      <c r="BC1462" t="str">
        <f>"UNITED STATES OF AMERICA"</f>
        <v>UNITED STATES OF AMERICA</v>
      </c>
      <c r="BD1462" t="str">
        <f>""</f>
        <v/>
      </c>
      <c r="BE1462" t="str">
        <f>"+14089700100"</f>
        <v>+14089700100</v>
      </c>
      <c r="BF1462" t="str">
        <f>""</f>
        <v/>
      </c>
      <c r="BG1462" t="str">
        <f>"LIHUA.TAN@CHUGH.COM"</f>
        <v>LIHUA.TAN@CHUGH.COM</v>
      </c>
      <c r="BH1462" t="str">
        <f>"CHUGH, LLP"</f>
        <v>CHUGH, LLP</v>
      </c>
      <c r="BI1462" t="str">
        <f>"NY"</f>
        <v>NY</v>
      </c>
      <c r="BJ1462" t="str">
        <f>"U.S. SUPREME COURT"</f>
        <v>U.S. SUPREME COURT</v>
      </c>
      <c r="BK1462">
        <v>1</v>
      </c>
      <c r="BL1462" t="s">
        <v>107</v>
      </c>
      <c r="BM1462" t="str">
        <f>"Ferrara Candy"</f>
        <v>Ferrara Candy</v>
      </c>
      <c r="BN1462" t="s">
        <v>11119</v>
      </c>
      <c r="BP1462" t="s">
        <v>833</v>
      </c>
      <c r="BQ1462" t="s">
        <v>788</v>
      </c>
      <c r="BR1462" t="s">
        <v>345</v>
      </c>
      <c r="BS1462" s="5">
        <v>60607</v>
      </c>
      <c r="BT1462" s="2">
        <v>100984</v>
      </c>
      <c r="BU1462" s="2">
        <v>106444</v>
      </c>
      <c r="BV1462" t="s">
        <v>105</v>
      </c>
      <c r="BW1462" s="2">
        <v>100984</v>
      </c>
      <c r="BX1462" t="s">
        <v>105</v>
      </c>
      <c r="BZ1462" t="s">
        <v>123</v>
      </c>
      <c r="CA1462" t="str">
        <f t="shared" si="111"/>
        <v>7/1/2020 - 6/30/2021</v>
      </c>
      <c r="CF1462">
        <v>1</v>
      </c>
      <c r="CG1462" t="s">
        <v>98</v>
      </c>
      <c r="CH1462" t="s">
        <v>98</v>
      </c>
      <c r="CI1462" t="s">
        <v>206</v>
      </c>
      <c r="CJ1462" t="s">
        <v>98</v>
      </c>
      <c r="CK1462" t="s">
        <v>12323</v>
      </c>
      <c r="CL1462" t="s">
        <v>108</v>
      </c>
      <c r="CM1462" t="s">
        <v>109</v>
      </c>
      <c r="CN1462" t="str">
        <f>"Song"</f>
        <v>Song</v>
      </c>
      <c r="CO1462" t="str">
        <f>"Yujun"</f>
        <v>Yujun</v>
      </c>
      <c r="CP1462" t="str">
        <f>""</f>
        <v/>
      </c>
      <c r="CQ1462" t="str">
        <f>"Chugh, LLP"</f>
        <v>Chugh, LLP</v>
      </c>
      <c r="CR1462" t="s">
        <v>1835</v>
      </c>
    </row>
    <row r="1463" spans="1:96" x14ac:dyDescent="0.2">
      <c r="A1463" t="s">
        <v>11128</v>
      </c>
      <c r="B1463" t="s">
        <v>96</v>
      </c>
      <c r="C1463" s="1">
        <v>44099</v>
      </c>
      <c r="D1463" s="1">
        <v>44106</v>
      </c>
      <c r="F1463" t="s">
        <v>97</v>
      </c>
      <c r="G1463" t="str">
        <f>"SOFTWARE ENGINEER "</f>
        <v xml:space="preserve">SOFTWARE ENGINEER </v>
      </c>
      <c r="H1463" t="s">
        <v>12169</v>
      </c>
      <c r="I1463" t="s">
        <v>124</v>
      </c>
      <c r="J1463" t="s">
        <v>98</v>
      </c>
      <c r="K1463" s="1">
        <v>44105</v>
      </c>
      <c r="L1463" s="1">
        <v>45199</v>
      </c>
      <c r="M1463">
        <v>15</v>
      </c>
      <c r="N1463">
        <v>15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5662</v>
      </c>
      <c r="U1463" t="str">
        <f>""</f>
        <v/>
      </c>
      <c r="V1463" t="s">
        <v>5663</v>
      </c>
      <c r="W1463" t="str">
        <f>"Suite 200"</f>
        <v>Suite 200</v>
      </c>
      <c r="X1463" t="s">
        <v>604</v>
      </c>
      <c r="Y1463" t="s">
        <v>122</v>
      </c>
      <c r="Z1463" s="3">
        <v>28277</v>
      </c>
      <c r="AA1463" t="s">
        <v>101</v>
      </c>
      <c r="AC1463" s="4" t="str">
        <f>"+15109403444"</f>
        <v>+15109403444</v>
      </c>
      <c r="AE1463" t="str">
        <f t="shared" si="112"/>
        <v>541511</v>
      </c>
      <c r="AF1463" t="s">
        <v>208</v>
      </c>
      <c r="AG1463" t="s">
        <v>5664</v>
      </c>
      <c r="AI1463" t="s">
        <v>1342</v>
      </c>
      <c r="AJ1463" t="s">
        <v>5665</v>
      </c>
      <c r="AK1463" t="str">
        <f>"Suite 200"</f>
        <v>Suite 200</v>
      </c>
      <c r="AL1463" t="s">
        <v>604</v>
      </c>
      <c r="AM1463" t="s">
        <v>122</v>
      </c>
      <c r="AN1463" s="3">
        <v>28277</v>
      </c>
      <c r="AO1463" t="s">
        <v>101</v>
      </c>
      <c r="AQ1463" t="str">
        <f>"+15109403444"</f>
        <v>+15109403444</v>
      </c>
      <c r="AS1463" t="s">
        <v>5666</v>
      </c>
      <c r="AT1463" t="s">
        <v>102</v>
      </c>
      <c r="AU1463" t="str">
        <f>""</f>
        <v/>
      </c>
      <c r="AV1463" t="str">
        <f>""</f>
        <v/>
      </c>
      <c r="AW1463" t="str">
        <f>""</f>
        <v/>
      </c>
      <c r="AX1463" t="str">
        <f>""</f>
        <v/>
      </c>
      <c r="AY1463" t="str">
        <f>""</f>
        <v/>
      </c>
      <c r="AZ1463" t="str">
        <f>""</f>
        <v/>
      </c>
      <c r="BA1463" t="str">
        <f>""</f>
        <v/>
      </c>
      <c r="BC1463" t="str">
        <f>""</f>
        <v/>
      </c>
      <c r="BD1463" t="str">
        <f>""</f>
        <v/>
      </c>
      <c r="BE1463" t="str">
        <f>""</f>
        <v/>
      </c>
      <c r="BF1463" t="str">
        <f>""</f>
        <v/>
      </c>
      <c r="BG1463" t="str">
        <f>""</f>
        <v/>
      </c>
      <c r="BH1463" t="str">
        <f>""</f>
        <v/>
      </c>
      <c r="BI1463" t="str">
        <f>""</f>
        <v/>
      </c>
      <c r="BJ1463" t="str">
        <f>""</f>
        <v/>
      </c>
      <c r="BK1463">
        <v>15</v>
      </c>
      <c r="BL1463" t="s">
        <v>107</v>
      </c>
      <c r="BM1463" t="str">
        <f>"Michael's Store procurement company,Inc "</f>
        <v xml:space="preserve">Michael's Store procurement company,Inc </v>
      </c>
      <c r="BN1463" t="s">
        <v>11129</v>
      </c>
      <c r="BP1463" t="s">
        <v>5918</v>
      </c>
      <c r="BQ1463" t="s">
        <v>484</v>
      </c>
      <c r="BR1463" t="s">
        <v>114</v>
      </c>
      <c r="BS1463" s="5">
        <v>75063</v>
      </c>
      <c r="BT1463" s="2">
        <v>76752</v>
      </c>
      <c r="BV1463" t="s">
        <v>105</v>
      </c>
      <c r="BW1463" s="2">
        <v>76752</v>
      </c>
      <c r="BX1463" t="s">
        <v>105</v>
      </c>
      <c r="BZ1463" t="s">
        <v>191</v>
      </c>
      <c r="CA1463" t="str">
        <f t="shared" si="111"/>
        <v>7/1/2020 - 6/30/2021</v>
      </c>
      <c r="CF1463">
        <v>1</v>
      </c>
      <c r="CG1463" t="s">
        <v>98</v>
      </c>
      <c r="CH1463" t="s">
        <v>98</v>
      </c>
      <c r="CI1463" t="s">
        <v>206</v>
      </c>
      <c r="CJ1463" t="s">
        <v>98</v>
      </c>
      <c r="CK1463" t="s">
        <v>12323</v>
      </c>
      <c r="CL1463" t="s">
        <v>108</v>
      </c>
      <c r="CM1463" t="s">
        <v>109</v>
      </c>
      <c r="CN1463" t="str">
        <f>""</f>
        <v/>
      </c>
      <c r="CO1463" t="str">
        <f>""</f>
        <v/>
      </c>
      <c r="CP1463" t="str">
        <f>""</f>
        <v/>
      </c>
      <c r="CQ1463" t="str">
        <f>""</f>
        <v/>
      </c>
    </row>
    <row r="1464" spans="1:96" x14ac:dyDescent="0.2">
      <c r="A1464" t="s">
        <v>11143</v>
      </c>
      <c r="B1464" t="s">
        <v>96</v>
      </c>
      <c r="C1464" s="1">
        <v>44099</v>
      </c>
      <c r="D1464" s="1">
        <v>44106</v>
      </c>
      <c r="F1464" t="s">
        <v>97</v>
      </c>
      <c r="G1464" t="str">
        <f>"Senior Product Manager"</f>
        <v>Senior Product Manager</v>
      </c>
      <c r="H1464" t="s">
        <v>12189</v>
      </c>
      <c r="I1464" t="s">
        <v>730</v>
      </c>
      <c r="J1464" t="s">
        <v>98</v>
      </c>
      <c r="K1464" s="1">
        <v>44105</v>
      </c>
      <c r="L1464" s="1">
        <v>45199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4509</v>
      </c>
      <c r="U1464" t="str">
        <f>""</f>
        <v/>
      </c>
      <c r="V1464" t="s">
        <v>4510</v>
      </c>
      <c r="W1464" t="str">
        <f>""</f>
        <v/>
      </c>
      <c r="X1464" t="s">
        <v>247</v>
      </c>
      <c r="Y1464" t="s">
        <v>141</v>
      </c>
      <c r="Z1464" s="3">
        <v>95051</v>
      </c>
      <c r="AA1464" t="s">
        <v>101</v>
      </c>
      <c r="AB1464" t="s">
        <v>108</v>
      </c>
      <c r="AC1464" s="4" t="str">
        <f>"+14084862000"</f>
        <v>+14084862000</v>
      </c>
      <c r="AE1464" t="str">
        <f>"334111"</f>
        <v>334111</v>
      </c>
      <c r="AF1464" t="s">
        <v>4511</v>
      </c>
      <c r="AG1464" t="s">
        <v>4512</v>
      </c>
      <c r="AH1464" t="s">
        <v>108</v>
      </c>
      <c r="AI1464" t="s">
        <v>5740</v>
      </c>
      <c r="AJ1464" t="s">
        <v>4510</v>
      </c>
      <c r="AK1464" t="str">
        <f>"N/A"</f>
        <v>N/A</v>
      </c>
      <c r="AL1464" t="s">
        <v>247</v>
      </c>
      <c r="AM1464" t="s">
        <v>141</v>
      </c>
      <c r="AN1464" s="3">
        <v>95051</v>
      </c>
      <c r="AO1464" t="s">
        <v>101</v>
      </c>
      <c r="AQ1464" t="str">
        <f>"+14084862000"</f>
        <v>+14084862000</v>
      </c>
      <c r="AS1464" t="s">
        <v>4514</v>
      </c>
      <c r="AT1464" t="s">
        <v>107</v>
      </c>
      <c r="AU1464" t="str">
        <f>"Kim"</f>
        <v>Kim</v>
      </c>
      <c r="AV1464" t="str">
        <f>"Aileen"</f>
        <v>Aileen</v>
      </c>
      <c r="AW1464" t="str">
        <f>"N/A"</f>
        <v>N/A</v>
      </c>
      <c r="AX1464" t="str">
        <f>"2121 Tasman Drive"</f>
        <v>2121 Tasman Drive</v>
      </c>
      <c r="AY1464" t="str">
        <f>""</f>
        <v/>
      </c>
      <c r="AZ1464" t="str">
        <f>"Santa Clara"</f>
        <v>Santa Clara</v>
      </c>
      <c r="BA1464" t="str">
        <f>"CA"</f>
        <v>CA</v>
      </c>
      <c r="BB1464" s="3">
        <v>95054</v>
      </c>
      <c r="BC1464" t="str">
        <f>"UNITED STATES OF AMERICA"</f>
        <v>UNITED STATES OF AMERICA</v>
      </c>
      <c r="BD1464" t="str">
        <f>"N/A"</f>
        <v>N/A</v>
      </c>
      <c r="BE1464" t="str">
        <f>"+14089190600"</f>
        <v>+14089190600</v>
      </c>
      <c r="BF1464" t="str">
        <f>""</f>
        <v/>
      </c>
      <c r="BG1464" t="str">
        <f>"NVIDIA@Fragomen.com"</f>
        <v>NVIDIA@Fragomen.com</v>
      </c>
      <c r="BH1464" t="str">
        <f>"Fragomen, Del Rey, Bernsen &amp; Loewy, LLP"</f>
        <v>Fragomen, Del Rey, Bernsen &amp; Loewy, LLP</v>
      </c>
      <c r="BI1464" t="str">
        <f>"CA"</f>
        <v>CA</v>
      </c>
      <c r="BJ1464" t="str">
        <f>"Supreme Court"</f>
        <v>Supreme Court</v>
      </c>
      <c r="BK1464">
        <v>1</v>
      </c>
      <c r="BL1464" t="s">
        <v>102</v>
      </c>
      <c r="BM1464" t="str">
        <f>""</f>
        <v/>
      </c>
      <c r="BN1464" t="s">
        <v>6133</v>
      </c>
      <c r="BP1464" t="s">
        <v>3283</v>
      </c>
      <c r="BQ1464" t="s">
        <v>230</v>
      </c>
      <c r="BR1464" t="s">
        <v>141</v>
      </c>
      <c r="BS1464" s="5">
        <v>95051</v>
      </c>
      <c r="BT1464" s="2">
        <v>200000</v>
      </c>
      <c r="BV1464" t="s">
        <v>105</v>
      </c>
      <c r="BW1464" s="2">
        <v>180197</v>
      </c>
      <c r="BX1464" t="s">
        <v>105</v>
      </c>
      <c r="CA1464" t="str">
        <f>""</f>
        <v/>
      </c>
      <c r="CB1464" t="s">
        <v>244</v>
      </c>
      <c r="CC1464">
        <v>2020</v>
      </c>
      <c r="CD1464" t="s">
        <v>7822</v>
      </c>
      <c r="CE1464" t="s">
        <v>355</v>
      </c>
      <c r="CF1464">
        <v>2</v>
      </c>
      <c r="CG1464" t="s">
        <v>98</v>
      </c>
      <c r="CH1464" t="s">
        <v>98</v>
      </c>
      <c r="CI1464" t="s">
        <v>206</v>
      </c>
      <c r="CJ1464" t="s">
        <v>98</v>
      </c>
      <c r="CK1464" t="s">
        <v>12323</v>
      </c>
      <c r="CL1464" t="s">
        <v>108</v>
      </c>
      <c r="CM1464" t="s">
        <v>109</v>
      </c>
      <c r="CN1464" t="str">
        <f>"Castellanos"</f>
        <v>Castellanos</v>
      </c>
      <c r="CO1464" t="str">
        <f>"Lorena"</f>
        <v>Lorena</v>
      </c>
      <c r="CP1464" t="str">
        <f>"N/A"</f>
        <v>N/A</v>
      </c>
      <c r="CQ1464" t="str">
        <f>"Fragomen, Del Rey, Bernsen &amp; Loewy LLP "</f>
        <v xml:space="preserve">Fragomen, Del Rey, Bernsen &amp; Loewy LLP </v>
      </c>
      <c r="CR1464" t="s">
        <v>4515</v>
      </c>
    </row>
    <row r="1465" spans="1:96" x14ac:dyDescent="0.2">
      <c r="A1465" t="s">
        <v>11155</v>
      </c>
      <c r="B1465" t="s">
        <v>96</v>
      </c>
      <c r="C1465" s="1">
        <v>44099</v>
      </c>
      <c r="D1465" s="1">
        <v>44106</v>
      </c>
      <c r="F1465" t="s">
        <v>97</v>
      </c>
      <c r="G1465" t="str">
        <f>"Salesforce Solution Architect"</f>
        <v>Salesforce Solution Architect</v>
      </c>
      <c r="H1465" t="s">
        <v>12169</v>
      </c>
      <c r="I1465" t="s">
        <v>124</v>
      </c>
      <c r="J1465" t="s">
        <v>98</v>
      </c>
      <c r="K1465" s="1">
        <v>44119</v>
      </c>
      <c r="L1465" s="1">
        <v>45213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 t="s">
        <v>10476</v>
      </c>
      <c r="U1465" t="str">
        <f>""</f>
        <v/>
      </c>
      <c r="V1465" t="s">
        <v>9896</v>
      </c>
      <c r="W1465" t="str">
        <f>"Suite 320"</f>
        <v>Suite 320</v>
      </c>
      <c r="X1465" t="s">
        <v>6162</v>
      </c>
      <c r="Y1465" t="s">
        <v>195</v>
      </c>
      <c r="Z1465" s="3">
        <v>20770</v>
      </c>
      <c r="AA1465" t="s">
        <v>101</v>
      </c>
      <c r="AC1465" s="4" t="str">
        <f>"+13017039911"</f>
        <v>+13017039911</v>
      </c>
      <c r="AE1465" t="str">
        <f>"541511"</f>
        <v>541511</v>
      </c>
      <c r="AF1465" t="s">
        <v>5473</v>
      </c>
      <c r="AG1465" t="s">
        <v>9895</v>
      </c>
      <c r="AI1465" t="s">
        <v>298</v>
      </c>
      <c r="AJ1465" t="s">
        <v>9896</v>
      </c>
      <c r="AK1465" t="str">
        <f>"Suite 320"</f>
        <v>Suite 320</v>
      </c>
      <c r="AL1465" t="s">
        <v>6162</v>
      </c>
      <c r="AM1465" t="s">
        <v>195</v>
      </c>
      <c r="AN1465" s="3">
        <v>20770</v>
      </c>
      <c r="AO1465" t="s">
        <v>101</v>
      </c>
      <c r="AQ1465" t="str">
        <f>"+13017039911"</f>
        <v>+13017039911</v>
      </c>
      <c r="AS1465" t="s">
        <v>9897</v>
      </c>
      <c r="AT1465" t="s">
        <v>107</v>
      </c>
      <c r="AU1465" t="str">
        <f>"Yanovich"</f>
        <v>Yanovich</v>
      </c>
      <c r="AV1465" t="str">
        <f>"Joel"</f>
        <v>Joel</v>
      </c>
      <c r="AW1465" t="str">
        <f>""</f>
        <v/>
      </c>
      <c r="AX1465" t="str">
        <f>"10451 Mill Run Circle"</f>
        <v>10451 Mill Run Circle</v>
      </c>
      <c r="AY1465" t="str">
        <f>"Suite 100"</f>
        <v>Suite 100</v>
      </c>
      <c r="AZ1465" t="str">
        <f>"Owings Mills"</f>
        <v>Owings Mills</v>
      </c>
      <c r="BA1465" t="str">
        <f>"MD"</f>
        <v>MD</v>
      </c>
      <c r="BB1465" s="3">
        <v>21117</v>
      </c>
      <c r="BC1465" t="str">
        <f>"UNITED STATES OF AMERICA"</f>
        <v>UNITED STATES OF AMERICA</v>
      </c>
      <c r="BD1465" t="str">
        <f>""</f>
        <v/>
      </c>
      <c r="BE1465" t="str">
        <f>"+14103565440"</f>
        <v>+14103565440</v>
      </c>
      <c r="BF1465" t="str">
        <f>""</f>
        <v/>
      </c>
      <c r="BG1465" t="str">
        <f>"robertag@murthy.com"</f>
        <v>robertag@murthy.com</v>
      </c>
      <c r="BH1465" t="str">
        <f>"Murthy Law Firm"</f>
        <v>Murthy Law Firm</v>
      </c>
      <c r="BI1465" t="str">
        <f>"CA"</f>
        <v>CA</v>
      </c>
      <c r="BJ1465" t="str">
        <f>"Supreme Court of California"</f>
        <v>Supreme Court of California</v>
      </c>
      <c r="BK1465">
        <v>1</v>
      </c>
      <c r="BL1465" t="s">
        <v>102</v>
      </c>
      <c r="BM1465" t="str">
        <f>""</f>
        <v/>
      </c>
      <c r="BN1465" t="s">
        <v>11156</v>
      </c>
      <c r="BP1465" t="s">
        <v>10956</v>
      </c>
      <c r="BQ1465" t="s">
        <v>1696</v>
      </c>
      <c r="BR1465" t="s">
        <v>215</v>
      </c>
      <c r="BS1465" s="5">
        <v>30518</v>
      </c>
      <c r="BT1465" s="2">
        <v>130000</v>
      </c>
      <c r="BV1465" t="s">
        <v>105</v>
      </c>
      <c r="BW1465" s="2">
        <v>103501</v>
      </c>
      <c r="BX1465" t="s">
        <v>105</v>
      </c>
      <c r="BZ1465" t="s">
        <v>123</v>
      </c>
      <c r="CA1465" t="str">
        <f t="shared" ref="CA1465:CA1496" si="113">"7/1/2020 - 6/30/2021"</f>
        <v>7/1/2020 - 6/30/2021</v>
      </c>
      <c r="CF1465">
        <v>2</v>
      </c>
      <c r="CG1465" t="s">
        <v>98</v>
      </c>
      <c r="CH1465" t="s">
        <v>98</v>
      </c>
      <c r="CI1465" t="s">
        <v>206</v>
      </c>
      <c r="CJ1465" t="s">
        <v>98</v>
      </c>
      <c r="CK1465" t="s">
        <v>12323</v>
      </c>
      <c r="CL1465" t="s">
        <v>108</v>
      </c>
      <c r="CM1465" t="s">
        <v>109</v>
      </c>
      <c r="CN1465" t="str">
        <f>"Guariglia"</f>
        <v>Guariglia</v>
      </c>
      <c r="CO1465" t="str">
        <f>"Roberta"</f>
        <v>Roberta</v>
      </c>
      <c r="CP1465" t="str">
        <f>""</f>
        <v/>
      </c>
      <c r="CQ1465" t="str">
        <f>"Murthy Law Firm"</f>
        <v>Murthy Law Firm</v>
      </c>
      <c r="CR1465" t="s">
        <v>2385</v>
      </c>
    </row>
    <row r="1466" spans="1:96" x14ac:dyDescent="0.2">
      <c r="A1466" t="s">
        <v>11157</v>
      </c>
      <c r="B1466" t="s">
        <v>96</v>
      </c>
      <c r="C1466" s="1">
        <v>44099</v>
      </c>
      <c r="D1466" s="1">
        <v>44106</v>
      </c>
      <c r="F1466" t="s">
        <v>97</v>
      </c>
      <c r="G1466" t="str">
        <f>"Software Engineer"</f>
        <v>Software Engineer</v>
      </c>
      <c r="H1466" t="s">
        <v>12168</v>
      </c>
      <c r="I1466" t="s">
        <v>160</v>
      </c>
      <c r="J1466" t="s">
        <v>98</v>
      </c>
      <c r="K1466" s="1">
        <v>44105</v>
      </c>
      <c r="L1466" s="1">
        <v>45199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10476</v>
      </c>
      <c r="U1466" t="str">
        <f>""</f>
        <v/>
      </c>
      <c r="V1466" t="s">
        <v>9896</v>
      </c>
      <c r="W1466" t="str">
        <f>"Suite 320"</f>
        <v>Suite 320</v>
      </c>
      <c r="X1466" t="s">
        <v>6162</v>
      </c>
      <c r="Y1466" t="s">
        <v>195</v>
      </c>
      <c r="Z1466" s="3">
        <v>20770</v>
      </c>
      <c r="AA1466" t="s">
        <v>101</v>
      </c>
      <c r="AC1466" s="4" t="str">
        <f>"+13017039911"</f>
        <v>+13017039911</v>
      </c>
      <c r="AE1466" t="str">
        <f>"541511"</f>
        <v>541511</v>
      </c>
      <c r="AF1466" t="s">
        <v>5473</v>
      </c>
      <c r="AG1466" t="s">
        <v>9895</v>
      </c>
      <c r="AI1466" t="s">
        <v>298</v>
      </c>
      <c r="AJ1466" t="s">
        <v>9896</v>
      </c>
      <c r="AK1466" t="str">
        <f>"Suite 320"</f>
        <v>Suite 320</v>
      </c>
      <c r="AL1466" t="s">
        <v>6162</v>
      </c>
      <c r="AM1466" t="s">
        <v>195</v>
      </c>
      <c r="AN1466" s="3">
        <v>20770</v>
      </c>
      <c r="AO1466" t="s">
        <v>101</v>
      </c>
      <c r="AQ1466" t="str">
        <f>"+13017039911"</f>
        <v>+13017039911</v>
      </c>
      <c r="AS1466" t="s">
        <v>9897</v>
      </c>
      <c r="AT1466" t="s">
        <v>107</v>
      </c>
      <c r="AU1466" t="str">
        <f>"Yanovich"</f>
        <v>Yanovich</v>
      </c>
      <c r="AV1466" t="str">
        <f>"Joel"</f>
        <v>Joel</v>
      </c>
      <c r="AW1466" t="str">
        <f>""</f>
        <v/>
      </c>
      <c r="AX1466" t="str">
        <f>"10451 Mill Run Circle"</f>
        <v>10451 Mill Run Circle</v>
      </c>
      <c r="AY1466" t="str">
        <f>"Suite 100"</f>
        <v>Suite 100</v>
      </c>
      <c r="AZ1466" t="str">
        <f>"Owings Mills"</f>
        <v>Owings Mills</v>
      </c>
      <c r="BA1466" t="str">
        <f>"MD"</f>
        <v>MD</v>
      </c>
      <c r="BB1466" s="3">
        <v>21117</v>
      </c>
      <c r="BC1466" t="str">
        <f>"UNITED STATES OF AMERICA"</f>
        <v>UNITED STATES OF AMERICA</v>
      </c>
      <c r="BD1466" t="str">
        <f>""</f>
        <v/>
      </c>
      <c r="BE1466" t="str">
        <f>"+14103565440"</f>
        <v>+14103565440</v>
      </c>
      <c r="BF1466" t="str">
        <f>""</f>
        <v/>
      </c>
      <c r="BG1466" t="str">
        <f>"robertag@murthy.com"</f>
        <v>robertag@murthy.com</v>
      </c>
      <c r="BH1466" t="str">
        <f>"Murthy Law Firm"</f>
        <v>Murthy Law Firm</v>
      </c>
      <c r="BI1466" t="str">
        <f>"CA"</f>
        <v>CA</v>
      </c>
      <c r="BJ1466" t="str">
        <f>"Supreme Court of California"</f>
        <v>Supreme Court of California</v>
      </c>
      <c r="BK1466">
        <v>1</v>
      </c>
      <c r="BL1466" t="s">
        <v>107</v>
      </c>
      <c r="BM1466" t="str">
        <f>"NBC Universal"</f>
        <v>NBC Universal</v>
      </c>
      <c r="BN1466" t="s">
        <v>11158</v>
      </c>
      <c r="BP1466" t="s">
        <v>1521</v>
      </c>
      <c r="BQ1466" t="s">
        <v>377</v>
      </c>
      <c r="BR1466" t="s">
        <v>577</v>
      </c>
      <c r="BS1466" s="5">
        <v>32835</v>
      </c>
      <c r="BT1466" s="2">
        <v>60000</v>
      </c>
      <c r="BV1466" t="s">
        <v>105</v>
      </c>
      <c r="BW1466" s="2">
        <v>47590</v>
      </c>
      <c r="BX1466" t="s">
        <v>105</v>
      </c>
      <c r="BZ1466" t="s">
        <v>167</v>
      </c>
      <c r="CA1466" t="str">
        <f t="shared" si="113"/>
        <v>7/1/2020 - 6/30/2021</v>
      </c>
      <c r="CF1466">
        <v>1</v>
      </c>
      <c r="CG1466" t="s">
        <v>98</v>
      </c>
      <c r="CH1466" t="s">
        <v>98</v>
      </c>
      <c r="CI1466" t="s">
        <v>206</v>
      </c>
      <c r="CJ1466" t="s">
        <v>98</v>
      </c>
      <c r="CK1466" t="s">
        <v>12323</v>
      </c>
      <c r="CL1466" t="s">
        <v>108</v>
      </c>
      <c r="CM1466" t="s">
        <v>109</v>
      </c>
      <c r="CN1466" t="str">
        <f>"Guariglia"</f>
        <v>Guariglia</v>
      </c>
      <c r="CO1466" t="str">
        <f>"Roberta"</f>
        <v>Roberta</v>
      </c>
      <c r="CP1466" t="str">
        <f>""</f>
        <v/>
      </c>
      <c r="CQ1466" t="str">
        <f>"Murthy Law Firm"</f>
        <v>Murthy Law Firm</v>
      </c>
      <c r="CR1466" t="s">
        <v>2385</v>
      </c>
    </row>
    <row r="1467" spans="1:96" x14ac:dyDescent="0.2">
      <c r="A1467" t="s">
        <v>11176</v>
      </c>
      <c r="B1467" t="s">
        <v>96</v>
      </c>
      <c r="C1467" s="1">
        <v>44099</v>
      </c>
      <c r="D1467" s="1">
        <v>44106</v>
      </c>
      <c r="F1467" t="s">
        <v>97</v>
      </c>
      <c r="G1467" t="str">
        <f>"Test Lead"</f>
        <v>Test Lead</v>
      </c>
      <c r="H1467" t="s">
        <v>12168</v>
      </c>
      <c r="I1467" t="s">
        <v>319</v>
      </c>
      <c r="J1467" t="s">
        <v>98</v>
      </c>
      <c r="K1467" s="1">
        <v>44099</v>
      </c>
      <c r="L1467" s="1">
        <v>45193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 t="s">
        <v>310</v>
      </c>
      <c r="U1467" t="str">
        <f>""</f>
        <v/>
      </c>
      <c r="V1467" t="s">
        <v>311</v>
      </c>
      <c r="W1467" t="str">
        <f>"SUITE 300"</f>
        <v>SUITE 300</v>
      </c>
      <c r="X1467" t="s">
        <v>312</v>
      </c>
      <c r="Y1467" t="s">
        <v>265</v>
      </c>
      <c r="Z1467" s="3">
        <v>48083</v>
      </c>
      <c r="AA1467" t="s">
        <v>101</v>
      </c>
      <c r="AC1467" s="4" t="str">
        <f>"+12486193580"</f>
        <v>+12486193580</v>
      </c>
      <c r="AE1467" t="str">
        <f>"541511"</f>
        <v>541511</v>
      </c>
      <c r="AF1467" t="s">
        <v>313</v>
      </c>
      <c r="AG1467" t="s">
        <v>314</v>
      </c>
      <c r="AI1467" t="s">
        <v>315</v>
      </c>
      <c r="AJ1467" t="s">
        <v>311</v>
      </c>
      <c r="AK1467" t="str">
        <f>"SUITE 300"</f>
        <v>SUITE 300</v>
      </c>
      <c r="AL1467" t="s">
        <v>312</v>
      </c>
      <c r="AM1467" t="s">
        <v>265</v>
      </c>
      <c r="AN1467" s="3">
        <v>48083</v>
      </c>
      <c r="AO1467" t="s">
        <v>101</v>
      </c>
      <c r="AQ1467" t="str">
        <f>"+12486193580"</f>
        <v>+12486193580</v>
      </c>
      <c r="AS1467" t="s">
        <v>316</v>
      </c>
      <c r="AT1467" t="s">
        <v>102</v>
      </c>
      <c r="AU1467" t="str">
        <f>""</f>
        <v/>
      </c>
      <c r="AV1467" t="str">
        <f>""</f>
        <v/>
      </c>
      <c r="AW1467" t="str">
        <f>""</f>
        <v/>
      </c>
      <c r="AX1467" t="str">
        <f>""</f>
        <v/>
      </c>
      <c r="AY1467" t="str">
        <f>""</f>
        <v/>
      </c>
      <c r="AZ1467" t="str">
        <f>""</f>
        <v/>
      </c>
      <c r="BA1467" t="str">
        <f>""</f>
        <v/>
      </c>
      <c r="BC1467" t="str">
        <f>""</f>
        <v/>
      </c>
      <c r="BD1467" t="str">
        <f>""</f>
        <v/>
      </c>
      <c r="BE1467" t="str">
        <f>""</f>
        <v/>
      </c>
      <c r="BF1467" t="str">
        <f>""</f>
        <v/>
      </c>
      <c r="BG1467" t="str">
        <f>""</f>
        <v/>
      </c>
      <c r="BH1467" t="str">
        <f>""</f>
        <v/>
      </c>
      <c r="BI1467" t="str">
        <f>""</f>
        <v/>
      </c>
      <c r="BJ1467" t="str">
        <f>""</f>
        <v/>
      </c>
      <c r="BK1467">
        <v>1</v>
      </c>
      <c r="BL1467" t="s">
        <v>107</v>
      </c>
      <c r="BM1467" t="str">
        <f>"FedEx Corporate Services, Inc. "</f>
        <v xml:space="preserve">FedEx Corporate Services, Inc. </v>
      </c>
      <c r="BN1467" t="s">
        <v>6614</v>
      </c>
      <c r="BO1467" t="s">
        <v>108</v>
      </c>
      <c r="BP1467" t="s">
        <v>3119</v>
      </c>
      <c r="BQ1467" t="s">
        <v>2573</v>
      </c>
      <c r="BR1467" t="s">
        <v>545</v>
      </c>
      <c r="BS1467" s="5">
        <v>38017</v>
      </c>
      <c r="BT1467" s="2">
        <v>69480</v>
      </c>
      <c r="BV1467" t="s">
        <v>105</v>
      </c>
      <c r="BW1467" s="2">
        <v>55474</v>
      </c>
      <c r="BX1467" t="s">
        <v>105</v>
      </c>
      <c r="BZ1467" t="s">
        <v>167</v>
      </c>
      <c r="CA1467" t="str">
        <f t="shared" si="113"/>
        <v>7/1/2020 - 6/30/2021</v>
      </c>
      <c r="CF1467">
        <v>2</v>
      </c>
      <c r="CG1467" t="s">
        <v>98</v>
      </c>
      <c r="CH1467" t="s">
        <v>98</v>
      </c>
      <c r="CI1467" t="s">
        <v>206</v>
      </c>
      <c r="CJ1467" t="s">
        <v>98</v>
      </c>
      <c r="CK1467" t="s">
        <v>12323</v>
      </c>
      <c r="CL1467" t="s">
        <v>108</v>
      </c>
      <c r="CM1467" t="s">
        <v>109</v>
      </c>
      <c r="CN1467" t="str">
        <f>"Fernandes"</f>
        <v>Fernandes</v>
      </c>
      <c r="CO1467" t="str">
        <f>"Samson"</f>
        <v>Samson</v>
      </c>
      <c r="CP1467" t="str">
        <f>"D"</f>
        <v>D</v>
      </c>
      <c r="CQ1467" t="str">
        <f>"Atos Syntel Inc"</f>
        <v>Atos Syntel Inc</v>
      </c>
      <c r="CR1467" t="s">
        <v>318</v>
      </c>
    </row>
    <row r="1468" spans="1:96" x14ac:dyDescent="0.2">
      <c r="A1468" t="s">
        <v>11225</v>
      </c>
      <c r="B1468" t="s">
        <v>96</v>
      </c>
      <c r="C1468" s="1">
        <v>44099</v>
      </c>
      <c r="D1468" s="1">
        <v>44106</v>
      </c>
      <c r="F1468" t="s">
        <v>97</v>
      </c>
      <c r="G1468" t="str">
        <f>"SR.PROGRAMMER ANLYST"</f>
        <v>SR.PROGRAMMER ANLYST</v>
      </c>
      <c r="H1468" t="s">
        <v>12169</v>
      </c>
      <c r="I1468" t="s">
        <v>124</v>
      </c>
      <c r="J1468" t="s">
        <v>98</v>
      </c>
      <c r="K1468" s="1">
        <v>44198</v>
      </c>
      <c r="L1468" s="1">
        <v>45293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 t="s">
        <v>7116</v>
      </c>
      <c r="U1468" t="str">
        <f>""</f>
        <v/>
      </c>
      <c r="V1468" t="s">
        <v>3368</v>
      </c>
      <c r="W1468" t="str">
        <f>"STE.203"</f>
        <v>STE.203</v>
      </c>
      <c r="X1468" t="s">
        <v>211</v>
      </c>
      <c r="Y1468" t="s">
        <v>100</v>
      </c>
      <c r="Z1468" s="3">
        <v>8820</v>
      </c>
      <c r="AA1468" t="s">
        <v>101</v>
      </c>
      <c r="AC1468" s="4" t="str">
        <f>"+17325482700"</f>
        <v>+17325482700</v>
      </c>
      <c r="AD1468">
        <v>8618</v>
      </c>
      <c r="AE1468" t="str">
        <f>"541511"</f>
        <v>541511</v>
      </c>
      <c r="AF1468" t="s">
        <v>2719</v>
      </c>
      <c r="AG1468" t="s">
        <v>2720</v>
      </c>
      <c r="AI1468" t="s">
        <v>2721</v>
      </c>
      <c r="AJ1468" t="s">
        <v>3368</v>
      </c>
      <c r="AK1468" t="str">
        <f>"STE.203"</f>
        <v>STE.203</v>
      </c>
      <c r="AL1468" t="s">
        <v>211</v>
      </c>
      <c r="AM1468" t="s">
        <v>100</v>
      </c>
      <c r="AN1468" s="3">
        <v>8820</v>
      </c>
      <c r="AO1468" t="s">
        <v>101</v>
      </c>
      <c r="AQ1468" t="str">
        <f>"+17325482700"</f>
        <v>+17325482700</v>
      </c>
      <c r="AR1468">
        <v>8618</v>
      </c>
      <c r="AS1468" t="s">
        <v>2722</v>
      </c>
      <c r="AT1468" t="s">
        <v>102</v>
      </c>
      <c r="AU1468" t="str">
        <f>""</f>
        <v/>
      </c>
      <c r="AV1468" t="str">
        <f>""</f>
        <v/>
      </c>
      <c r="AW1468" t="str">
        <f>""</f>
        <v/>
      </c>
      <c r="AX1468" t="str">
        <f>""</f>
        <v/>
      </c>
      <c r="AY1468" t="str">
        <f>""</f>
        <v/>
      </c>
      <c r="AZ1468" t="str">
        <f>""</f>
        <v/>
      </c>
      <c r="BA1468" t="str">
        <f>""</f>
        <v/>
      </c>
      <c r="BC1468" t="str">
        <f>""</f>
        <v/>
      </c>
      <c r="BD1468" t="str">
        <f>""</f>
        <v/>
      </c>
      <c r="BE1468" t="str">
        <f>""</f>
        <v/>
      </c>
      <c r="BF1468" t="str">
        <f>""</f>
        <v/>
      </c>
      <c r="BG1468" t="str">
        <f>""</f>
        <v/>
      </c>
      <c r="BH1468" t="str">
        <f>""</f>
        <v/>
      </c>
      <c r="BI1468" t="str">
        <f>""</f>
        <v/>
      </c>
      <c r="BJ1468" t="str">
        <f>""</f>
        <v/>
      </c>
      <c r="BK1468">
        <v>1</v>
      </c>
      <c r="BL1468" t="s">
        <v>107</v>
      </c>
      <c r="BM1468" t="str">
        <f>"MN STATE ( DHS)"</f>
        <v>MN STATE ( DHS)</v>
      </c>
      <c r="BN1468" t="s">
        <v>11226</v>
      </c>
      <c r="BP1468" t="s">
        <v>11227</v>
      </c>
      <c r="BQ1468" t="s">
        <v>837</v>
      </c>
      <c r="BR1468" t="s">
        <v>186</v>
      </c>
      <c r="BS1468" s="5">
        <v>55101</v>
      </c>
      <c r="BT1468" s="2">
        <v>105726</v>
      </c>
      <c r="BU1468" s="2">
        <v>105750</v>
      </c>
      <c r="BV1468" t="s">
        <v>105</v>
      </c>
      <c r="BW1468" s="2">
        <v>105726</v>
      </c>
      <c r="BX1468" t="s">
        <v>105</v>
      </c>
      <c r="BZ1468" t="s">
        <v>123</v>
      </c>
      <c r="CA1468" t="str">
        <f t="shared" si="113"/>
        <v>7/1/2020 - 6/30/2021</v>
      </c>
      <c r="CF1468">
        <v>1</v>
      </c>
      <c r="CG1468" t="s">
        <v>98</v>
      </c>
      <c r="CH1468" t="s">
        <v>98</v>
      </c>
      <c r="CI1468" t="s">
        <v>206</v>
      </c>
      <c r="CJ1468" t="s">
        <v>98</v>
      </c>
      <c r="CK1468" t="s">
        <v>12323</v>
      </c>
      <c r="CL1468" t="s">
        <v>108</v>
      </c>
      <c r="CM1468" t="s">
        <v>109</v>
      </c>
      <c r="CN1468" t="str">
        <f>""</f>
        <v/>
      </c>
      <c r="CO1468" t="str">
        <f>""</f>
        <v/>
      </c>
      <c r="CP1468" t="str">
        <f>""</f>
        <v/>
      </c>
      <c r="CQ1468" t="str">
        <f>""</f>
        <v/>
      </c>
    </row>
    <row r="1469" spans="1:96" x14ac:dyDescent="0.2">
      <c r="A1469" t="s">
        <v>11248</v>
      </c>
      <c r="B1469" t="s">
        <v>96</v>
      </c>
      <c r="C1469" s="1">
        <v>44099</v>
      </c>
      <c r="D1469" s="1">
        <v>44106</v>
      </c>
      <c r="F1469" t="s">
        <v>97</v>
      </c>
      <c r="G1469" t="str">
        <f>"Software Developer"</f>
        <v>Software Developer</v>
      </c>
      <c r="H1469" t="s">
        <v>12169</v>
      </c>
      <c r="I1469" t="s">
        <v>124</v>
      </c>
      <c r="J1469" t="s">
        <v>98</v>
      </c>
      <c r="K1469" s="1">
        <v>44165</v>
      </c>
      <c r="L1469" s="1">
        <v>45260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 t="s">
        <v>10209</v>
      </c>
      <c r="U1469" t="str">
        <f>""</f>
        <v/>
      </c>
      <c r="V1469" t="s">
        <v>10210</v>
      </c>
      <c r="W1469" t="str">
        <f>"Suite 450"</f>
        <v>Suite 450</v>
      </c>
      <c r="X1469" t="s">
        <v>483</v>
      </c>
      <c r="Y1469" t="s">
        <v>114</v>
      </c>
      <c r="Z1469" s="3">
        <v>75038</v>
      </c>
      <c r="AA1469" t="s">
        <v>101</v>
      </c>
      <c r="AC1469" s="4" t="str">
        <f>"+14696666554"</f>
        <v>+14696666554</v>
      </c>
      <c r="AE1469" t="str">
        <f>"541511"</f>
        <v>541511</v>
      </c>
      <c r="AF1469" t="s">
        <v>6360</v>
      </c>
      <c r="AG1469" t="s">
        <v>5587</v>
      </c>
      <c r="AI1469" t="s">
        <v>646</v>
      </c>
      <c r="AJ1469" t="s">
        <v>10210</v>
      </c>
      <c r="AK1469" t="str">
        <f>"Suite 450"</f>
        <v>Suite 450</v>
      </c>
      <c r="AL1469" t="s">
        <v>483</v>
      </c>
      <c r="AM1469" t="s">
        <v>114</v>
      </c>
      <c r="AN1469" s="3">
        <v>75038</v>
      </c>
      <c r="AO1469" t="s">
        <v>101</v>
      </c>
      <c r="AQ1469" t="str">
        <f>"+12162125823"</f>
        <v>+12162125823</v>
      </c>
      <c r="AS1469" t="s">
        <v>10211</v>
      </c>
      <c r="AT1469" t="s">
        <v>102</v>
      </c>
      <c r="AU1469" t="str">
        <f>""</f>
        <v/>
      </c>
      <c r="AV1469" t="str">
        <f>""</f>
        <v/>
      </c>
      <c r="AW1469" t="str">
        <f>""</f>
        <v/>
      </c>
      <c r="AX1469" t="str">
        <f>""</f>
        <v/>
      </c>
      <c r="AY1469" t="str">
        <f>""</f>
        <v/>
      </c>
      <c r="AZ1469" t="str">
        <f>""</f>
        <v/>
      </c>
      <c r="BA1469" t="str">
        <f>""</f>
        <v/>
      </c>
      <c r="BC1469" t="str">
        <f>""</f>
        <v/>
      </c>
      <c r="BD1469" t="str">
        <f>""</f>
        <v/>
      </c>
      <c r="BE1469" t="str">
        <f>""</f>
        <v/>
      </c>
      <c r="BF1469" t="str">
        <f>""</f>
        <v/>
      </c>
      <c r="BG1469" t="str">
        <f>""</f>
        <v/>
      </c>
      <c r="BH1469" t="str">
        <f>""</f>
        <v/>
      </c>
      <c r="BI1469" t="str">
        <f>""</f>
        <v/>
      </c>
      <c r="BJ1469" t="str">
        <f>""</f>
        <v/>
      </c>
      <c r="BK1469">
        <v>1</v>
      </c>
      <c r="BL1469" t="s">
        <v>107</v>
      </c>
      <c r="BM1469" t="str">
        <f>"NC Department of Health and Human Services (NC DHHS)"</f>
        <v>NC Department of Health and Human Services (NC DHHS)</v>
      </c>
      <c r="BN1469" t="s">
        <v>11249</v>
      </c>
      <c r="BP1469" t="s">
        <v>1066</v>
      </c>
      <c r="BQ1469" t="s">
        <v>1067</v>
      </c>
      <c r="BR1469" t="s">
        <v>122</v>
      </c>
      <c r="BS1469" s="5">
        <v>27603</v>
      </c>
      <c r="BT1469" s="2">
        <v>91291</v>
      </c>
      <c r="BU1469" s="2">
        <v>91500</v>
      </c>
      <c r="BV1469" t="s">
        <v>105</v>
      </c>
      <c r="BW1469" s="2">
        <v>91291</v>
      </c>
      <c r="BX1469" t="s">
        <v>105</v>
      </c>
      <c r="BZ1469" t="s">
        <v>167</v>
      </c>
      <c r="CA1469" t="str">
        <f t="shared" si="113"/>
        <v>7/1/2020 - 6/30/2021</v>
      </c>
      <c r="CF1469">
        <v>1</v>
      </c>
      <c r="CG1469" t="s">
        <v>98</v>
      </c>
      <c r="CH1469" t="s">
        <v>98</v>
      </c>
      <c r="CI1469" t="s">
        <v>206</v>
      </c>
      <c r="CJ1469" t="s">
        <v>98</v>
      </c>
      <c r="CK1469" t="s">
        <v>12323</v>
      </c>
      <c r="CL1469" t="s">
        <v>108</v>
      </c>
      <c r="CM1469" t="s">
        <v>109</v>
      </c>
      <c r="CN1469" t="str">
        <f>""</f>
        <v/>
      </c>
      <c r="CO1469" t="str">
        <f>""</f>
        <v/>
      </c>
      <c r="CP1469" t="str">
        <f>""</f>
        <v/>
      </c>
      <c r="CQ1469" t="str">
        <f>""</f>
        <v/>
      </c>
    </row>
    <row r="1470" spans="1:96" x14ac:dyDescent="0.2">
      <c r="A1470" t="s">
        <v>11252</v>
      </c>
      <c r="B1470" t="s">
        <v>96</v>
      </c>
      <c r="C1470" s="1">
        <v>44099</v>
      </c>
      <c r="D1470" s="1">
        <v>44106</v>
      </c>
      <c r="F1470" t="s">
        <v>97</v>
      </c>
      <c r="G1470" t="str">
        <f>"GPU Engineer"</f>
        <v>GPU Engineer</v>
      </c>
      <c r="H1470" t="s">
        <v>12186</v>
      </c>
      <c r="I1470" t="s">
        <v>232</v>
      </c>
      <c r="J1470" t="s">
        <v>98</v>
      </c>
      <c r="K1470" s="1">
        <v>44105</v>
      </c>
      <c r="L1470" s="1">
        <v>45199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283</v>
      </c>
      <c r="U1470" t="str">
        <f>""</f>
        <v/>
      </c>
      <c r="V1470" t="s">
        <v>284</v>
      </c>
      <c r="W1470" t="str">
        <f>""</f>
        <v/>
      </c>
      <c r="X1470" t="s">
        <v>157</v>
      </c>
      <c r="Y1470" t="s">
        <v>141</v>
      </c>
      <c r="Z1470" s="3">
        <v>92121</v>
      </c>
      <c r="AA1470" t="s">
        <v>101</v>
      </c>
      <c r="AC1470" s="4" t="str">
        <f>"+18584722865"</f>
        <v>+18584722865</v>
      </c>
      <c r="AE1470" t="str">
        <f>"334220"</f>
        <v>334220</v>
      </c>
      <c r="AF1470" t="s">
        <v>285</v>
      </c>
      <c r="AG1470" t="s">
        <v>286</v>
      </c>
      <c r="AI1470" t="s">
        <v>287</v>
      </c>
      <c r="AJ1470" t="s">
        <v>284</v>
      </c>
      <c r="AK1470" t="str">
        <f>""</f>
        <v/>
      </c>
      <c r="AL1470" t="s">
        <v>157</v>
      </c>
      <c r="AM1470" t="s">
        <v>141</v>
      </c>
      <c r="AN1470" s="3">
        <v>92121</v>
      </c>
      <c r="AO1470" t="s">
        <v>101</v>
      </c>
      <c r="AQ1470" t="str">
        <f>"+18584722865"</f>
        <v>+18584722865</v>
      </c>
      <c r="AR1470">
        <v>0</v>
      </c>
      <c r="AS1470" t="s">
        <v>288</v>
      </c>
      <c r="AT1470" t="s">
        <v>107</v>
      </c>
      <c r="AU1470" t="str">
        <f>"FAURE WENGER"</f>
        <v>FAURE WENGER</v>
      </c>
      <c r="AV1470" t="str">
        <f>"KARINE"</f>
        <v>KARINE</v>
      </c>
      <c r="AW1470" t="str">
        <f>"ISABELLE"</f>
        <v>ISABELLE</v>
      </c>
      <c r="AX1470" t="str">
        <f>"P.O. BOX 910129"</f>
        <v>P.O. BOX 910129</v>
      </c>
      <c r="AY1470" t="str">
        <f>""</f>
        <v/>
      </c>
      <c r="AZ1470" t="str">
        <f>"SAN DIEGO"</f>
        <v>SAN DIEGO</v>
      </c>
      <c r="BA1470" t="str">
        <f>"CA"</f>
        <v>CA</v>
      </c>
      <c r="BB1470" s="3">
        <v>92191</v>
      </c>
      <c r="BC1470" t="str">
        <f>"UNITED STATES OF AMERICA"</f>
        <v>UNITED STATES OF AMERICA</v>
      </c>
      <c r="BD1470" t="str">
        <f>""</f>
        <v/>
      </c>
      <c r="BE1470" t="str">
        <f>"+18587931600"</f>
        <v>+18587931600</v>
      </c>
      <c r="BF1470" t="str">
        <f>""</f>
        <v/>
      </c>
      <c r="BG1470" t="str">
        <f>"bethany.elizardo@fragomen.com"</f>
        <v>bethany.elizardo@fragomen.com</v>
      </c>
      <c r="BH1470" t="str">
        <f>"Fragomen, Del Rey, Bernsen and Loewy, LLP"</f>
        <v>Fragomen, Del Rey, Bernsen and Loewy, LLP</v>
      </c>
      <c r="BI1470" t="str">
        <f>"CA"</f>
        <v>CA</v>
      </c>
      <c r="BJ1470" t="str">
        <f>"Supreme Court"</f>
        <v>Supreme Court</v>
      </c>
      <c r="BK1470">
        <v>1</v>
      </c>
      <c r="BL1470" t="s">
        <v>102</v>
      </c>
      <c r="BM1470" t="str">
        <f>""</f>
        <v/>
      </c>
      <c r="BN1470" t="s">
        <v>11253</v>
      </c>
      <c r="BO1470" t="s">
        <v>11254</v>
      </c>
      <c r="BP1470" t="s">
        <v>3818</v>
      </c>
      <c r="BQ1470" t="s">
        <v>158</v>
      </c>
      <c r="BR1470" t="s">
        <v>141</v>
      </c>
      <c r="BS1470" s="5">
        <v>92130</v>
      </c>
      <c r="BT1470" s="2">
        <v>108930</v>
      </c>
      <c r="BU1470" s="2">
        <v>145200</v>
      </c>
      <c r="BV1470" t="s">
        <v>105</v>
      </c>
      <c r="BW1470" s="2">
        <v>108930</v>
      </c>
      <c r="BX1470" t="s">
        <v>105</v>
      </c>
      <c r="BZ1470" t="s">
        <v>167</v>
      </c>
      <c r="CA1470" t="str">
        <f t="shared" si="113"/>
        <v>7/1/2020 - 6/30/2021</v>
      </c>
      <c r="CF1470">
        <v>1</v>
      </c>
      <c r="CG1470" t="s">
        <v>98</v>
      </c>
      <c r="CH1470" t="s">
        <v>98</v>
      </c>
      <c r="CI1470" t="s">
        <v>206</v>
      </c>
      <c r="CJ1470" t="s">
        <v>98</v>
      </c>
      <c r="CK1470" t="s">
        <v>12323</v>
      </c>
      <c r="CL1470" t="s">
        <v>108</v>
      </c>
      <c r="CM1470" t="s">
        <v>109</v>
      </c>
      <c r="CN1470" t="str">
        <f>""</f>
        <v/>
      </c>
      <c r="CO1470" t="str">
        <f>""</f>
        <v/>
      </c>
      <c r="CP1470" t="str">
        <f>""</f>
        <v/>
      </c>
      <c r="CQ1470" t="str">
        <f>""</f>
        <v/>
      </c>
    </row>
    <row r="1471" spans="1:96" x14ac:dyDescent="0.2">
      <c r="A1471" t="s">
        <v>11255</v>
      </c>
      <c r="B1471" t="s">
        <v>96</v>
      </c>
      <c r="C1471" s="1">
        <v>44099</v>
      </c>
      <c r="D1471" s="1">
        <v>44106</v>
      </c>
      <c r="F1471" t="s">
        <v>97</v>
      </c>
      <c r="G1471" t="str">
        <f>"BI Architect"</f>
        <v>BI Architect</v>
      </c>
      <c r="H1471" t="s">
        <v>12169</v>
      </c>
      <c r="I1471" t="s">
        <v>124</v>
      </c>
      <c r="J1471" t="s">
        <v>98</v>
      </c>
      <c r="K1471" s="1">
        <v>44123</v>
      </c>
      <c r="L1471" s="1">
        <v>45217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 t="s">
        <v>1505</v>
      </c>
      <c r="U1471" t="str">
        <f>""</f>
        <v/>
      </c>
      <c r="V1471" t="s">
        <v>1506</v>
      </c>
      <c r="W1471" t="str">
        <f>"SUITE 350"</f>
        <v>SUITE 350</v>
      </c>
      <c r="X1471" t="s">
        <v>1507</v>
      </c>
      <c r="Y1471" t="s">
        <v>135</v>
      </c>
      <c r="Z1471" s="3">
        <v>20171</v>
      </c>
      <c r="AA1471" t="s">
        <v>101</v>
      </c>
      <c r="AC1471" s="4" t="str">
        <f>"+17038707407"</f>
        <v>+17038707407</v>
      </c>
      <c r="AE1471" t="str">
        <f>"541511"</f>
        <v>541511</v>
      </c>
      <c r="AF1471" t="s">
        <v>1508</v>
      </c>
      <c r="AG1471" t="s">
        <v>1509</v>
      </c>
      <c r="AI1471" t="s">
        <v>1510</v>
      </c>
      <c r="AJ1471" t="s">
        <v>1506</v>
      </c>
      <c r="AK1471" t="str">
        <f>"SUITE 350"</f>
        <v>SUITE 350</v>
      </c>
      <c r="AL1471" t="s">
        <v>1507</v>
      </c>
      <c r="AM1471" t="s">
        <v>135</v>
      </c>
      <c r="AN1471" s="3">
        <v>20171</v>
      </c>
      <c r="AO1471" t="s">
        <v>101</v>
      </c>
      <c r="AQ1471" t="str">
        <f>"+17038707407"</f>
        <v>+17038707407</v>
      </c>
      <c r="AS1471" t="s">
        <v>1511</v>
      </c>
      <c r="AT1471" t="s">
        <v>102</v>
      </c>
      <c r="AU1471" t="str">
        <f>""</f>
        <v/>
      </c>
      <c r="AV1471" t="str">
        <f>""</f>
        <v/>
      </c>
      <c r="AW1471" t="str">
        <f>""</f>
        <v/>
      </c>
      <c r="AX1471" t="str">
        <f>""</f>
        <v/>
      </c>
      <c r="AY1471" t="str">
        <f>""</f>
        <v/>
      </c>
      <c r="AZ1471" t="str">
        <f>""</f>
        <v/>
      </c>
      <c r="BA1471" t="str">
        <f>""</f>
        <v/>
      </c>
      <c r="BC1471" t="str">
        <f>""</f>
        <v/>
      </c>
      <c r="BD1471" t="str">
        <f>""</f>
        <v/>
      </c>
      <c r="BE1471" t="str">
        <f>""</f>
        <v/>
      </c>
      <c r="BF1471" t="str">
        <f>""</f>
        <v/>
      </c>
      <c r="BG1471" t="str">
        <f>""</f>
        <v/>
      </c>
      <c r="BH1471" t="str">
        <f>""</f>
        <v/>
      </c>
      <c r="BI1471" t="str">
        <f>""</f>
        <v/>
      </c>
      <c r="BJ1471" t="str">
        <f>""</f>
        <v/>
      </c>
      <c r="BK1471">
        <v>1</v>
      </c>
      <c r="BL1471" t="s">
        <v>107</v>
      </c>
      <c r="BM1471" t="str">
        <f>"Charter Communications"</f>
        <v>Charter Communications</v>
      </c>
      <c r="BN1471" t="s">
        <v>8034</v>
      </c>
      <c r="BP1471" t="s">
        <v>604</v>
      </c>
      <c r="BQ1471" t="s">
        <v>121</v>
      </c>
      <c r="BR1471" t="s">
        <v>122</v>
      </c>
      <c r="BS1471" s="5">
        <v>28217</v>
      </c>
      <c r="BT1471" s="2">
        <v>100000</v>
      </c>
      <c r="BU1471" s="2">
        <v>125000</v>
      </c>
      <c r="BV1471" t="s">
        <v>105</v>
      </c>
      <c r="BW1471" s="2">
        <v>85488</v>
      </c>
      <c r="BX1471" t="s">
        <v>105</v>
      </c>
      <c r="BZ1471" t="s">
        <v>167</v>
      </c>
      <c r="CA1471" t="str">
        <f t="shared" si="113"/>
        <v>7/1/2020 - 6/30/2021</v>
      </c>
      <c r="CF1471">
        <v>2</v>
      </c>
      <c r="CG1471" t="s">
        <v>98</v>
      </c>
      <c r="CH1471" t="s">
        <v>98</v>
      </c>
      <c r="CI1471" t="s">
        <v>206</v>
      </c>
      <c r="CJ1471" t="s">
        <v>98</v>
      </c>
      <c r="CK1471" t="s">
        <v>12323</v>
      </c>
      <c r="CL1471" t="s">
        <v>108</v>
      </c>
      <c r="CM1471" t="s">
        <v>109</v>
      </c>
      <c r="CN1471" t="str">
        <f>""</f>
        <v/>
      </c>
      <c r="CO1471" t="str">
        <f>""</f>
        <v/>
      </c>
      <c r="CP1471" t="str">
        <f>""</f>
        <v/>
      </c>
      <c r="CQ1471" t="str">
        <f>""</f>
        <v/>
      </c>
    </row>
    <row r="1472" spans="1:96" x14ac:dyDescent="0.2">
      <c r="A1472" t="s">
        <v>11266</v>
      </c>
      <c r="B1472" t="s">
        <v>96</v>
      </c>
      <c r="C1472" s="1">
        <v>44099</v>
      </c>
      <c r="D1472" s="1">
        <v>44106</v>
      </c>
      <c r="F1472" t="s">
        <v>97</v>
      </c>
      <c r="G1472" t="str">
        <f>"SR. ASSOCIATE - TECHNOLOGY"</f>
        <v>SR. ASSOCIATE - TECHNOLOGY</v>
      </c>
      <c r="H1472" t="s">
        <v>12169</v>
      </c>
      <c r="I1472" t="s">
        <v>124</v>
      </c>
      <c r="J1472" t="s">
        <v>98</v>
      </c>
      <c r="K1472" s="1">
        <v>44197</v>
      </c>
      <c r="L1472" s="1">
        <v>45291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3071</v>
      </c>
      <c r="U1472" t="str">
        <f>""</f>
        <v/>
      </c>
      <c r="V1472" t="s">
        <v>3072</v>
      </c>
      <c r="W1472" t="str">
        <f>"SUITE 3301"</f>
        <v>SUITE 3301</v>
      </c>
      <c r="X1472" t="s">
        <v>189</v>
      </c>
      <c r="Y1472" t="s">
        <v>190</v>
      </c>
      <c r="Z1472" s="3">
        <v>10036</v>
      </c>
      <c r="AA1472" t="s">
        <v>101</v>
      </c>
      <c r="AC1472" s="4" t="str">
        <f>"+17047631255"</f>
        <v>+17047631255</v>
      </c>
      <c r="AE1472" t="str">
        <f>"541511"</f>
        <v>541511</v>
      </c>
      <c r="AF1472" t="s">
        <v>3073</v>
      </c>
      <c r="AG1472" t="s">
        <v>3074</v>
      </c>
      <c r="AI1472" t="s">
        <v>3075</v>
      </c>
      <c r="AJ1472" t="s">
        <v>3072</v>
      </c>
      <c r="AK1472" t="str">
        <f>"SUITE 3301"</f>
        <v>SUITE 3301</v>
      </c>
      <c r="AL1472" t="s">
        <v>189</v>
      </c>
      <c r="AM1472" t="s">
        <v>190</v>
      </c>
      <c r="AN1472" s="3">
        <v>10036</v>
      </c>
      <c r="AO1472" t="s">
        <v>101</v>
      </c>
      <c r="AQ1472" t="str">
        <f>"+17047631255"</f>
        <v>+17047631255</v>
      </c>
      <c r="AS1472" t="s">
        <v>3076</v>
      </c>
      <c r="AT1472" t="s">
        <v>107</v>
      </c>
      <c r="AU1472" t="str">
        <f>"JETHMALANI"</f>
        <v>JETHMALANI</v>
      </c>
      <c r="AV1472" t="str">
        <f>"ANIL"</f>
        <v>ANIL</v>
      </c>
      <c r="AW1472" t="str">
        <f>""</f>
        <v/>
      </c>
      <c r="AX1472" t="str">
        <f>"42 BROADWAY"</f>
        <v>42 BROADWAY</v>
      </c>
      <c r="AY1472" t="str">
        <f>"SUITE 1548"</f>
        <v>SUITE 1548</v>
      </c>
      <c r="AZ1472" t="str">
        <f>"NEW YORK"</f>
        <v>NEW YORK</v>
      </c>
      <c r="BA1472" t="str">
        <f>"NY"</f>
        <v>NY</v>
      </c>
      <c r="BB1472" s="3">
        <v>10004</v>
      </c>
      <c r="BC1472" t="str">
        <f>"UNITED STATES OF AMERICA"</f>
        <v>UNITED STATES OF AMERICA</v>
      </c>
      <c r="BD1472" t="str">
        <f>""</f>
        <v/>
      </c>
      <c r="BE1472" t="str">
        <f>"+12124069257"</f>
        <v>+12124069257</v>
      </c>
      <c r="BF1472" t="str">
        <f>""</f>
        <v/>
      </c>
      <c r="BG1472" t="str">
        <f>"FORUM@JNATTORNEY.COM"</f>
        <v>FORUM@JNATTORNEY.COM</v>
      </c>
      <c r="BH1472" t="str">
        <f>"Jethmalani &amp; Nallaseth PLLC"</f>
        <v>Jethmalani &amp; Nallaseth PLLC</v>
      </c>
      <c r="BI1472" t="str">
        <f>"NY"</f>
        <v>NY</v>
      </c>
      <c r="BJ1472" t="str">
        <f>"SUPREME COURT"</f>
        <v>SUPREME COURT</v>
      </c>
      <c r="BK1472">
        <v>1</v>
      </c>
      <c r="BL1472" t="s">
        <v>107</v>
      </c>
      <c r="BM1472" t="str">
        <f>"WELLS FARGO"</f>
        <v>WELLS FARGO</v>
      </c>
      <c r="BN1472" t="s">
        <v>7759</v>
      </c>
      <c r="BP1472" t="s">
        <v>998</v>
      </c>
      <c r="BQ1472" t="s">
        <v>121</v>
      </c>
      <c r="BR1472" t="s">
        <v>122</v>
      </c>
      <c r="BS1472" s="5">
        <v>28262</v>
      </c>
      <c r="BT1472" s="2">
        <v>85488</v>
      </c>
      <c r="BV1472" t="s">
        <v>105</v>
      </c>
      <c r="BW1472" s="2">
        <v>85488</v>
      </c>
      <c r="BX1472" t="s">
        <v>105</v>
      </c>
      <c r="BZ1472" t="s">
        <v>167</v>
      </c>
      <c r="CA1472" t="str">
        <f t="shared" si="113"/>
        <v>7/1/2020 - 6/30/2021</v>
      </c>
      <c r="CF1472">
        <v>1</v>
      </c>
      <c r="CG1472" t="s">
        <v>98</v>
      </c>
      <c r="CH1472" t="s">
        <v>98</v>
      </c>
      <c r="CI1472" t="s">
        <v>206</v>
      </c>
      <c r="CJ1472" t="s">
        <v>98</v>
      </c>
      <c r="CK1472" t="s">
        <v>12323</v>
      </c>
      <c r="CL1472" t="s">
        <v>108</v>
      </c>
      <c r="CM1472" t="s">
        <v>109</v>
      </c>
      <c r="CN1472" t="str">
        <f>""</f>
        <v/>
      </c>
      <c r="CO1472" t="str">
        <f>""</f>
        <v/>
      </c>
      <c r="CP1472" t="str">
        <f>""</f>
        <v/>
      </c>
      <c r="CQ1472" t="str">
        <f>""</f>
        <v/>
      </c>
    </row>
    <row r="1473" spans="1:96" x14ac:dyDescent="0.2">
      <c r="A1473" t="s">
        <v>11268</v>
      </c>
      <c r="B1473" t="s">
        <v>96</v>
      </c>
      <c r="C1473" s="1">
        <v>44099</v>
      </c>
      <c r="D1473" s="1">
        <v>44106</v>
      </c>
      <c r="F1473" t="s">
        <v>97</v>
      </c>
      <c r="G1473" t="str">
        <f>"Solution Architect 2"</f>
        <v>Solution Architect 2</v>
      </c>
      <c r="H1473" t="s">
        <v>12176</v>
      </c>
      <c r="I1473" t="s">
        <v>246</v>
      </c>
      <c r="J1473" t="s">
        <v>98</v>
      </c>
      <c r="K1473" s="1">
        <v>44099</v>
      </c>
      <c r="L1473" s="1">
        <v>45180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 t="s">
        <v>1421</v>
      </c>
      <c r="U1473" t="str">
        <f>""</f>
        <v/>
      </c>
      <c r="V1473" t="s">
        <v>1422</v>
      </c>
      <c r="W1473" t="str">
        <f>"SUITE 300"</f>
        <v>SUITE 300</v>
      </c>
      <c r="X1473" t="s">
        <v>843</v>
      </c>
      <c r="Y1473" t="s">
        <v>345</v>
      </c>
      <c r="Z1473" s="3">
        <v>60606</v>
      </c>
      <c r="AA1473" t="s">
        <v>101</v>
      </c>
      <c r="AC1473" s="4" t="str">
        <f>"+13123955000"</f>
        <v>+13123955000</v>
      </c>
      <c r="AE1473" t="str">
        <f>"5416"</f>
        <v>5416</v>
      </c>
      <c r="AF1473" t="s">
        <v>1423</v>
      </c>
      <c r="AG1473" t="s">
        <v>1424</v>
      </c>
      <c r="AI1473" t="s">
        <v>1425</v>
      </c>
      <c r="AJ1473" t="s">
        <v>1422</v>
      </c>
      <c r="AK1473" t="str">
        <f>"SUITE 300"</f>
        <v>SUITE 300</v>
      </c>
      <c r="AL1473" t="s">
        <v>843</v>
      </c>
      <c r="AM1473" t="s">
        <v>345</v>
      </c>
      <c r="AN1473" s="3">
        <v>60606</v>
      </c>
      <c r="AO1473" t="s">
        <v>101</v>
      </c>
      <c r="AQ1473" t="str">
        <f>"+13123958209"</f>
        <v>+13123958209</v>
      </c>
      <c r="AS1473" t="s">
        <v>1426</v>
      </c>
      <c r="AT1473" t="s">
        <v>102</v>
      </c>
      <c r="AU1473" t="str">
        <f>""</f>
        <v/>
      </c>
      <c r="AV1473" t="str">
        <f>""</f>
        <v/>
      </c>
      <c r="AW1473" t="str">
        <f>""</f>
        <v/>
      </c>
      <c r="AX1473" t="str">
        <f>""</f>
        <v/>
      </c>
      <c r="AY1473" t="str">
        <f>""</f>
        <v/>
      </c>
      <c r="AZ1473" t="str">
        <f>""</f>
        <v/>
      </c>
      <c r="BA1473" t="str">
        <f>""</f>
        <v/>
      </c>
      <c r="BC1473" t="str">
        <f>""</f>
        <v/>
      </c>
      <c r="BD1473" t="str">
        <f>""</f>
        <v/>
      </c>
      <c r="BE1473" t="str">
        <f>""</f>
        <v/>
      </c>
      <c r="BF1473" t="str">
        <f>""</f>
        <v/>
      </c>
      <c r="BG1473" t="str">
        <f>""</f>
        <v/>
      </c>
      <c r="BH1473" t="str">
        <f>""</f>
        <v/>
      </c>
      <c r="BI1473" t="str">
        <f>""</f>
        <v/>
      </c>
      <c r="BJ1473" t="str">
        <f>""</f>
        <v/>
      </c>
      <c r="BK1473">
        <v>1</v>
      </c>
      <c r="BL1473" t="s">
        <v>102</v>
      </c>
      <c r="BM1473" t="str">
        <f>""</f>
        <v/>
      </c>
      <c r="BN1473" t="s">
        <v>11269</v>
      </c>
      <c r="BP1473" t="s">
        <v>1237</v>
      </c>
      <c r="BQ1473" t="s">
        <v>1238</v>
      </c>
      <c r="BR1473" t="s">
        <v>127</v>
      </c>
      <c r="BS1473" s="5">
        <v>19355</v>
      </c>
      <c r="BT1473" s="2">
        <v>89773</v>
      </c>
      <c r="BU1473" s="2">
        <v>100000</v>
      </c>
      <c r="BV1473" t="s">
        <v>105</v>
      </c>
      <c r="BW1473" s="2">
        <v>89773</v>
      </c>
      <c r="BX1473" t="s">
        <v>105</v>
      </c>
      <c r="BZ1473" t="s">
        <v>167</v>
      </c>
      <c r="CA1473" t="str">
        <f t="shared" si="113"/>
        <v>7/1/2020 - 6/30/2021</v>
      </c>
      <c r="CF1473">
        <v>1</v>
      </c>
      <c r="CG1473" t="s">
        <v>98</v>
      </c>
      <c r="CH1473" t="s">
        <v>98</v>
      </c>
      <c r="CI1473" t="s">
        <v>206</v>
      </c>
      <c r="CJ1473" t="s">
        <v>98</v>
      </c>
      <c r="CK1473" t="s">
        <v>12323</v>
      </c>
      <c r="CL1473" t="s">
        <v>108</v>
      </c>
      <c r="CM1473" t="s">
        <v>109</v>
      </c>
      <c r="CN1473" t="str">
        <f>""</f>
        <v/>
      </c>
      <c r="CO1473" t="str">
        <f>""</f>
        <v/>
      </c>
      <c r="CP1473" t="str">
        <f>""</f>
        <v/>
      </c>
      <c r="CQ1473" t="str">
        <f>""</f>
        <v/>
      </c>
    </row>
    <row r="1474" spans="1:96" x14ac:dyDescent="0.2">
      <c r="A1474" t="s">
        <v>11280</v>
      </c>
      <c r="B1474" t="s">
        <v>96</v>
      </c>
      <c r="C1474" s="1">
        <v>44099</v>
      </c>
      <c r="D1474" s="1">
        <v>44106</v>
      </c>
      <c r="F1474" t="s">
        <v>97</v>
      </c>
      <c r="G1474" t="str">
        <f>"Project Manager - US "</f>
        <v xml:space="preserve">Project Manager - US </v>
      </c>
      <c r="H1474" t="s">
        <v>12181</v>
      </c>
      <c r="I1474" t="s">
        <v>110</v>
      </c>
      <c r="J1474" t="s">
        <v>98</v>
      </c>
      <c r="K1474" s="1">
        <v>44110</v>
      </c>
      <c r="L1474" s="1">
        <v>45202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 t="s">
        <v>723</v>
      </c>
      <c r="U1474" t="str">
        <f>""</f>
        <v/>
      </c>
      <c r="V1474" t="s">
        <v>724</v>
      </c>
      <c r="W1474" t="str">
        <f>"STE C150"</f>
        <v>STE C150</v>
      </c>
      <c r="X1474" t="s">
        <v>725</v>
      </c>
      <c r="Y1474" t="s">
        <v>114</v>
      </c>
      <c r="Z1474" s="3">
        <v>75082</v>
      </c>
      <c r="AA1474" t="s">
        <v>101</v>
      </c>
      <c r="AC1474" s="4" t="str">
        <f>"+12143062100"</f>
        <v>+12143062100</v>
      </c>
      <c r="AE1474" t="str">
        <f>"541511"</f>
        <v>541511</v>
      </c>
      <c r="AF1474" t="s">
        <v>726</v>
      </c>
      <c r="AG1474" t="s">
        <v>727</v>
      </c>
      <c r="AI1474" t="s">
        <v>728</v>
      </c>
      <c r="AJ1474" t="s">
        <v>724</v>
      </c>
      <c r="AK1474" t="str">
        <f>"STE C150"</f>
        <v>STE C150</v>
      </c>
      <c r="AL1474" t="s">
        <v>725</v>
      </c>
      <c r="AM1474" t="s">
        <v>114</v>
      </c>
      <c r="AN1474" s="3">
        <v>75082</v>
      </c>
      <c r="AO1474" t="s">
        <v>101</v>
      </c>
      <c r="AQ1474" t="str">
        <f>"+12143062100"</f>
        <v>+12143062100</v>
      </c>
      <c r="AS1474" t="s">
        <v>729</v>
      </c>
      <c r="AT1474" t="s">
        <v>102</v>
      </c>
      <c r="AU1474" t="str">
        <f>""</f>
        <v/>
      </c>
      <c r="AV1474" t="str">
        <f>""</f>
        <v/>
      </c>
      <c r="AW1474" t="str">
        <f>""</f>
        <v/>
      </c>
      <c r="AX1474" t="str">
        <f>""</f>
        <v/>
      </c>
      <c r="AY1474" t="str">
        <f>""</f>
        <v/>
      </c>
      <c r="AZ1474" t="str">
        <f>""</f>
        <v/>
      </c>
      <c r="BA1474" t="str">
        <f>""</f>
        <v/>
      </c>
      <c r="BC1474" t="str">
        <f>""</f>
        <v/>
      </c>
      <c r="BD1474" t="str">
        <f>""</f>
        <v/>
      </c>
      <c r="BE1474" t="str">
        <f>""</f>
        <v/>
      </c>
      <c r="BF1474" t="str">
        <f>""</f>
        <v/>
      </c>
      <c r="BG1474" t="str">
        <f>""</f>
        <v/>
      </c>
      <c r="BH1474" t="str">
        <f>""</f>
        <v/>
      </c>
      <c r="BI1474" t="str">
        <f>""</f>
        <v/>
      </c>
      <c r="BJ1474" t="str">
        <f>""</f>
        <v/>
      </c>
      <c r="BK1474">
        <v>1</v>
      </c>
      <c r="BL1474" t="s">
        <v>107</v>
      </c>
      <c r="BM1474" t="str">
        <f>"SYSCO CORPORATION"</f>
        <v>SYSCO CORPORATION</v>
      </c>
      <c r="BN1474" t="s">
        <v>8247</v>
      </c>
      <c r="BP1474" t="s">
        <v>394</v>
      </c>
      <c r="BQ1474" t="s">
        <v>395</v>
      </c>
      <c r="BR1474" t="s">
        <v>114</v>
      </c>
      <c r="BS1474" s="5">
        <v>77077</v>
      </c>
      <c r="BT1474" s="2">
        <v>119538</v>
      </c>
      <c r="BV1474" t="s">
        <v>105</v>
      </c>
      <c r="BW1474" s="2">
        <v>119538</v>
      </c>
      <c r="BX1474" t="s">
        <v>105</v>
      </c>
      <c r="BZ1474" t="s">
        <v>123</v>
      </c>
      <c r="CA1474" t="str">
        <f t="shared" si="113"/>
        <v>7/1/2020 - 6/30/2021</v>
      </c>
      <c r="CF1474">
        <v>1</v>
      </c>
      <c r="CG1474" t="s">
        <v>98</v>
      </c>
      <c r="CH1474" t="s">
        <v>98</v>
      </c>
      <c r="CI1474" t="s">
        <v>206</v>
      </c>
      <c r="CJ1474" t="s">
        <v>98</v>
      </c>
      <c r="CK1474" t="s">
        <v>12323</v>
      </c>
      <c r="CL1474" t="s">
        <v>108</v>
      </c>
      <c r="CM1474" t="s">
        <v>109</v>
      </c>
      <c r="CN1474" t="str">
        <f>"Khanum"</f>
        <v>Khanum</v>
      </c>
      <c r="CO1474" t="str">
        <f>"Hajeera"</f>
        <v>Hajeera</v>
      </c>
      <c r="CP1474" t="str">
        <f>""</f>
        <v/>
      </c>
      <c r="CQ1474" t="str">
        <f>"Infosys Limited"</f>
        <v>Infosys Limited</v>
      </c>
      <c r="CR1474" t="s">
        <v>900</v>
      </c>
    </row>
    <row r="1475" spans="1:96" x14ac:dyDescent="0.2">
      <c r="A1475" t="s">
        <v>11291</v>
      </c>
      <c r="B1475" t="s">
        <v>96</v>
      </c>
      <c r="C1475" s="1">
        <v>44099</v>
      </c>
      <c r="D1475" s="1">
        <v>44106</v>
      </c>
      <c r="F1475" t="s">
        <v>97</v>
      </c>
      <c r="G1475" t="str">
        <f>"Systems Test Engineer"</f>
        <v>Systems Test Engineer</v>
      </c>
      <c r="H1475" t="s">
        <v>12176</v>
      </c>
      <c r="I1475" t="s">
        <v>246</v>
      </c>
      <c r="J1475" t="s">
        <v>98</v>
      </c>
      <c r="K1475" s="1">
        <v>44109</v>
      </c>
      <c r="L1475" s="1">
        <v>45203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 t="s">
        <v>283</v>
      </c>
      <c r="U1475" t="str">
        <f>""</f>
        <v/>
      </c>
      <c r="V1475" t="s">
        <v>284</v>
      </c>
      <c r="W1475" t="str">
        <f>""</f>
        <v/>
      </c>
      <c r="X1475" t="s">
        <v>157</v>
      </c>
      <c r="Y1475" t="s">
        <v>141</v>
      </c>
      <c r="Z1475" s="3">
        <v>92121</v>
      </c>
      <c r="AA1475" t="s">
        <v>101</v>
      </c>
      <c r="AC1475" s="4" t="str">
        <f>"+18584722865"</f>
        <v>+18584722865</v>
      </c>
      <c r="AE1475" t="str">
        <f>"334220"</f>
        <v>334220</v>
      </c>
      <c r="AF1475" t="s">
        <v>285</v>
      </c>
      <c r="AG1475" t="s">
        <v>286</v>
      </c>
      <c r="AI1475" t="s">
        <v>287</v>
      </c>
      <c r="AJ1475" t="s">
        <v>284</v>
      </c>
      <c r="AK1475" t="str">
        <f>""</f>
        <v/>
      </c>
      <c r="AL1475" t="s">
        <v>157</v>
      </c>
      <c r="AM1475" t="s">
        <v>141</v>
      </c>
      <c r="AN1475" s="3">
        <v>92121</v>
      </c>
      <c r="AO1475" t="s">
        <v>101</v>
      </c>
      <c r="AQ1475" t="str">
        <f>"+18584722865"</f>
        <v>+18584722865</v>
      </c>
      <c r="AR1475">
        <v>0</v>
      </c>
      <c r="AS1475" t="s">
        <v>288</v>
      </c>
      <c r="AT1475" t="s">
        <v>107</v>
      </c>
      <c r="AU1475" t="str">
        <f>"FAURE WENGER"</f>
        <v>FAURE WENGER</v>
      </c>
      <c r="AV1475" t="str">
        <f>"KARINE"</f>
        <v>KARINE</v>
      </c>
      <c r="AW1475" t="str">
        <f>"ISABELLE"</f>
        <v>ISABELLE</v>
      </c>
      <c r="AX1475" t="str">
        <f>"P.O. BOX 910129"</f>
        <v>P.O. BOX 910129</v>
      </c>
      <c r="AY1475" t="str">
        <f>""</f>
        <v/>
      </c>
      <c r="AZ1475" t="str">
        <f>"SAN DIEGO"</f>
        <v>SAN DIEGO</v>
      </c>
      <c r="BA1475" t="str">
        <f>"CA"</f>
        <v>CA</v>
      </c>
      <c r="BB1475" s="3">
        <v>92191</v>
      </c>
      <c r="BC1475" t="str">
        <f>"UNITED STATES OF AMERICA"</f>
        <v>UNITED STATES OF AMERICA</v>
      </c>
      <c r="BD1475" t="str">
        <f>""</f>
        <v/>
      </c>
      <c r="BE1475" t="str">
        <f>"+18587931600"</f>
        <v>+18587931600</v>
      </c>
      <c r="BF1475" t="str">
        <f>""</f>
        <v/>
      </c>
      <c r="BG1475" t="str">
        <f>"mbazan@fragomen.com"</f>
        <v>mbazan@fragomen.com</v>
      </c>
      <c r="BH1475" t="str">
        <f>"Fragomen, Del Rey, Bernsen and Loewy, LLP"</f>
        <v>Fragomen, Del Rey, Bernsen and Loewy, LLP</v>
      </c>
      <c r="BI1475" t="str">
        <f>"CA"</f>
        <v>CA</v>
      </c>
      <c r="BJ1475" t="str">
        <f>"Supreme Court"</f>
        <v>Supreme Court</v>
      </c>
      <c r="BK1475">
        <v>1</v>
      </c>
      <c r="BL1475" t="s">
        <v>102</v>
      </c>
      <c r="BM1475" t="str">
        <f>""</f>
        <v/>
      </c>
      <c r="BN1475" t="s">
        <v>11292</v>
      </c>
      <c r="BO1475" t="s">
        <v>11293</v>
      </c>
      <c r="BP1475" t="s">
        <v>157</v>
      </c>
      <c r="BQ1475" t="s">
        <v>158</v>
      </c>
      <c r="BR1475" t="s">
        <v>141</v>
      </c>
      <c r="BS1475" s="5">
        <v>92126</v>
      </c>
      <c r="BT1475" s="2">
        <v>98592</v>
      </c>
      <c r="BU1475" s="2">
        <v>116000</v>
      </c>
      <c r="BV1475" t="s">
        <v>105</v>
      </c>
      <c r="BW1475" s="2">
        <v>98592</v>
      </c>
      <c r="BX1475" t="s">
        <v>105</v>
      </c>
      <c r="BZ1475" t="s">
        <v>167</v>
      </c>
      <c r="CA1475" t="str">
        <f t="shared" si="113"/>
        <v>7/1/2020 - 6/30/2021</v>
      </c>
      <c r="CF1475">
        <v>1</v>
      </c>
      <c r="CG1475" t="s">
        <v>98</v>
      </c>
      <c r="CH1475" t="s">
        <v>98</v>
      </c>
      <c r="CI1475" t="s">
        <v>206</v>
      </c>
      <c r="CJ1475" t="s">
        <v>98</v>
      </c>
      <c r="CK1475" t="s">
        <v>12323</v>
      </c>
      <c r="CL1475" t="s">
        <v>108</v>
      </c>
      <c r="CM1475" t="s">
        <v>109</v>
      </c>
      <c r="CN1475" t="str">
        <f>""</f>
        <v/>
      </c>
      <c r="CO1475" t="str">
        <f>""</f>
        <v/>
      </c>
      <c r="CP1475" t="str">
        <f>""</f>
        <v/>
      </c>
      <c r="CQ1475" t="str">
        <f>""</f>
        <v/>
      </c>
    </row>
    <row r="1476" spans="1:96" x14ac:dyDescent="0.2">
      <c r="A1476" t="s">
        <v>11301</v>
      </c>
      <c r="B1476" t="s">
        <v>96</v>
      </c>
      <c r="C1476" s="1">
        <v>44099</v>
      </c>
      <c r="D1476" s="1">
        <v>44106</v>
      </c>
      <c r="F1476" t="s">
        <v>97</v>
      </c>
      <c r="G1476" t="str">
        <f>"SOFTWARE DEVELOPER"</f>
        <v>SOFTWARE DEVELOPER</v>
      </c>
      <c r="H1476" t="s">
        <v>12169</v>
      </c>
      <c r="I1476" t="s">
        <v>124</v>
      </c>
      <c r="J1476" t="s">
        <v>98</v>
      </c>
      <c r="K1476" s="1">
        <v>44105</v>
      </c>
      <c r="L1476" s="1">
        <v>44165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 t="s">
        <v>4272</v>
      </c>
      <c r="U1476" t="str">
        <f>""</f>
        <v/>
      </c>
      <c r="V1476" t="s">
        <v>4273</v>
      </c>
      <c r="W1476" t="str">
        <f>"SUITE 204"</f>
        <v>SUITE 204</v>
      </c>
      <c r="X1476" t="s">
        <v>423</v>
      </c>
      <c r="Y1476" t="s">
        <v>345</v>
      </c>
      <c r="Z1476" s="3">
        <v>60195</v>
      </c>
      <c r="AA1476" t="s">
        <v>101</v>
      </c>
      <c r="AC1476" s="4" t="str">
        <f>"+18474661067"</f>
        <v>+18474661067</v>
      </c>
      <c r="AE1476" t="str">
        <f>"541511"</f>
        <v>541511</v>
      </c>
      <c r="AF1476" t="s">
        <v>4274</v>
      </c>
      <c r="AG1476" t="s">
        <v>4275</v>
      </c>
      <c r="AI1476" t="s">
        <v>4276</v>
      </c>
      <c r="AJ1476" t="s">
        <v>4277</v>
      </c>
      <c r="AK1476" t="str">
        <f>"SUITE 204"</f>
        <v>SUITE 204</v>
      </c>
      <c r="AL1476" t="s">
        <v>423</v>
      </c>
      <c r="AM1476" t="s">
        <v>345</v>
      </c>
      <c r="AN1476" s="3">
        <v>60195</v>
      </c>
      <c r="AO1476" t="s">
        <v>101</v>
      </c>
      <c r="AQ1476" t="str">
        <f>"+18474661067"</f>
        <v>+18474661067</v>
      </c>
      <c r="AS1476" t="s">
        <v>4278</v>
      </c>
      <c r="AT1476" t="s">
        <v>102</v>
      </c>
      <c r="AU1476" t="str">
        <f>""</f>
        <v/>
      </c>
      <c r="AV1476" t="str">
        <f>""</f>
        <v/>
      </c>
      <c r="AW1476" t="str">
        <f>""</f>
        <v/>
      </c>
      <c r="AX1476" t="str">
        <f>""</f>
        <v/>
      </c>
      <c r="AY1476" t="str">
        <f>""</f>
        <v/>
      </c>
      <c r="AZ1476" t="str">
        <f>""</f>
        <v/>
      </c>
      <c r="BA1476" t="str">
        <f>""</f>
        <v/>
      </c>
      <c r="BC1476" t="str">
        <f>""</f>
        <v/>
      </c>
      <c r="BD1476" t="str">
        <f>""</f>
        <v/>
      </c>
      <c r="BE1476" t="str">
        <f>""</f>
        <v/>
      </c>
      <c r="BF1476" t="str">
        <f>""</f>
        <v/>
      </c>
      <c r="BG1476" t="str">
        <f>""</f>
        <v/>
      </c>
      <c r="BH1476" t="str">
        <f>""</f>
        <v/>
      </c>
      <c r="BI1476" t="str">
        <f>""</f>
        <v/>
      </c>
      <c r="BJ1476" t="str">
        <f>""</f>
        <v/>
      </c>
      <c r="BK1476">
        <v>1</v>
      </c>
      <c r="BL1476" t="s">
        <v>107</v>
      </c>
      <c r="BM1476" t="str">
        <f>"UNITED SERVICES AUTOMOBILE ASSOCIATION"</f>
        <v>UNITED SERVICES AUTOMOBILE ASSOCIATION</v>
      </c>
      <c r="BN1476" t="s">
        <v>7342</v>
      </c>
      <c r="BP1476" t="s">
        <v>3985</v>
      </c>
      <c r="BQ1476" t="s">
        <v>1513</v>
      </c>
      <c r="BR1476" t="s">
        <v>114</v>
      </c>
      <c r="BS1476" s="5">
        <v>78288</v>
      </c>
      <c r="BT1476" s="2">
        <v>91562</v>
      </c>
      <c r="BU1476" s="2">
        <v>106000</v>
      </c>
      <c r="BV1476" t="s">
        <v>105</v>
      </c>
      <c r="BW1476" s="2">
        <v>91562</v>
      </c>
      <c r="BX1476" t="s">
        <v>105</v>
      </c>
      <c r="BZ1476" t="s">
        <v>167</v>
      </c>
      <c r="CA1476" t="str">
        <f t="shared" si="113"/>
        <v>7/1/2020 - 6/30/2021</v>
      </c>
      <c r="CF1476">
        <v>2</v>
      </c>
      <c r="CG1476" t="s">
        <v>98</v>
      </c>
      <c r="CH1476" t="s">
        <v>98</v>
      </c>
      <c r="CI1476" t="s">
        <v>206</v>
      </c>
      <c r="CJ1476" t="s">
        <v>98</v>
      </c>
      <c r="CK1476" t="s">
        <v>12323</v>
      </c>
      <c r="CL1476" t="s">
        <v>108</v>
      </c>
      <c r="CM1476" t="s">
        <v>109</v>
      </c>
      <c r="CN1476" t="str">
        <f>"CHAWLA"</f>
        <v>CHAWLA</v>
      </c>
      <c r="CO1476" t="str">
        <f>"RISHAB"</f>
        <v>RISHAB</v>
      </c>
      <c r="CP1476" t="str">
        <f>""</f>
        <v/>
      </c>
      <c r="CQ1476" t="str">
        <f>"GLOBAL INFOTECH INC"</f>
        <v>GLOBAL INFOTECH INC</v>
      </c>
      <c r="CR1476" t="s">
        <v>4278</v>
      </c>
    </row>
    <row r="1477" spans="1:96" x14ac:dyDescent="0.2">
      <c r="A1477" t="s">
        <v>11305</v>
      </c>
      <c r="B1477" t="s">
        <v>96</v>
      </c>
      <c r="C1477" s="1">
        <v>44099</v>
      </c>
      <c r="D1477" s="1">
        <v>44106</v>
      </c>
      <c r="F1477" t="s">
        <v>97</v>
      </c>
      <c r="G1477" t="str">
        <f>"Technical Lead"</f>
        <v>Technical Lead</v>
      </c>
      <c r="H1477" t="s">
        <v>12168</v>
      </c>
      <c r="I1477" t="s">
        <v>367</v>
      </c>
      <c r="J1477" t="s">
        <v>98</v>
      </c>
      <c r="K1477" s="1">
        <v>44099</v>
      </c>
      <c r="L1477" s="1">
        <v>45193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 t="s">
        <v>310</v>
      </c>
      <c r="U1477" t="str">
        <f>""</f>
        <v/>
      </c>
      <c r="V1477" t="s">
        <v>311</v>
      </c>
      <c r="W1477" t="str">
        <f>"SUITE 300"</f>
        <v>SUITE 300</v>
      </c>
      <c r="X1477" t="s">
        <v>312</v>
      </c>
      <c r="Y1477" t="s">
        <v>265</v>
      </c>
      <c r="Z1477" s="3">
        <v>48083</v>
      </c>
      <c r="AA1477" t="s">
        <v>101</v>
      </c>
      <c r="AC1477" s="4" t="str">
        <f>"+12486193580"</f>
        <v>+12486193580</v>
      </c>
      <c r="AE1477" t="str">
        <f>"541511"</f>
        <v>541511</v>
      </c>
      <c r="AF1477" t="s">
        <v>313</v>
      </c>
      <c r="AG1477" t="s">
        <v>314</v>
      </c>
      <c r="AI1477" t="s">
        <v>315</v>
      </c>
      <c r="AJ1477" t="s">
        <v>311</v>
      </c>
      <c r="AK1477" t="str">
        <f>"SUITE 300"</f>
        <v>SUITE 300</v>
      </c>
      <c r="AL1477" t="s">
        <v>312</v>
      </c>
      <c r="AM1477" t="s">
        <v>265</v>
      </c>
      <c r="AN1477" s="3">
        <v>48083</v>
      </c>
      <c r="AO1477" t="s">
        <v>101</v>
      </c>
      <c r="AQ1477" t="str">
        <f>"+12486193580"</f>
        <v>+12486193580</v>
      </c>
      <c r="AS1477" t="s">
        <v>316</v>
      </c>
      <c r="AT1477" t="s">
        <v>102</v>
      </c>
      <c r="AU1477" t="str">
        <f>""</f>
        <v/>
      </c>
      <c r="AV1477" t="str">
        <f>""</f>
        <v/>
      </c>
      <c r="AW1477" t="str">
        <f>""</f>
        <v/>
      </c>
      <c r="AX1477" t="str">
        <f>""</f>
        <v/>
      </c>
      <c r="AY1477" t="str">
        <f>""</f>
        <v/>
      </c>
      <c r="AZ1477" t="str">
        <f>""</f>
        <v/>
      </c>
      <c r="BA1477" t="str">
        <f>""</f>
        <v/>
      </c>
      <c r="BC1477" t="str">
        <f>""</f>
        <v/>
      </c>
      <c r="BD1477" t="str">
        <f>""</f>
        <v/>
      </c>
      <c r="BE1477" t="str">
        <f>""</f>
        <v/>
      </c>
      <c r="BF1477" t="str">
        <f>""</f>
        <v/>
      </c>
      <c r="BG1477" t="str">
        <f>""</f>
        <v/>
      </c>
      <c r="BH1477" t="str">
        <f>""</f>
        <v/>
      </c>
      <c r="BI1477" t="str">
        <f>""</f>
        <v/>
      </c>
      <c r="BJ1477" t="str">
        <f>""</f>
        <v/>
      </c>
      <c r="BK1477">
        <v>1</v>
      </c>
      <c r="BL1477" t="s">
        <v>107</v>
      </c>
      <c r="BM1477" t="str">
        <f>"FedEx Corporate Services, Inc. "</f>
        <v xml:space="preserve">FedEx Corporate Services, Inc. </v>
      </c>
      <c r="BN1477" t="s">
        <v>7978</v>
      </c>
      <c r="BO1477" t="s">
        <v>108</v>
      </c>
      <c r="BP1477" t="s">
        <v>4255</v>
      </c>
      <c r="BQ1477" t="s">
        <v>861</v>
      </c>
      <c r="BR1477" t="s">
        <v>127</v>
      </c>
      <c r="BS1477" s="5">
        <v>15108</v>
      </c>
      <c r="BT1477" s="2">
        <v>135409</v>
      </c>
      <c r="BV1477" t="s">
        <v>105</v>
      </c>
      <c r="BW1477" s="2">
        <v>61485</v>
      </c>
      <c r="BX1477" t="s">
        <v>105</v>
      </c>
      <c r="BZ1477" t="s">
        <v>167</v>
      </c>
      <c r="CA1477" t="str">
        <f t="shared" si="113"/>
        <v>7/1/2020 - 6/30/2021</v>
      </c>
      <c r="CF1477">
        <v>2</v>
      </c>
      <c r="CG1477" t="s">
        <v>98</v>
      </c>
      <c r="CH1477" t="s">
        <v>98</v>
      </c>
      <c r="CI1477" t="s">
        <v>206</v>
      </c>
      <c r="CJ1477" t="s">
        <v>98</v>
      </c>
      <c r="CK1477" t="s">
        <v>12323</v>
      </c>
      <c r="CL1477" t="s">
        <v>108</v>
      </c>
      <c r="CM1477" t="s">
        <v>109</v>
      </c>
      <c r="CN1477" t="str">
        <f>"Fernandes"</f>
        <v>Fernandes</v>
      </c>
      <c r="CO1477" t="str">
        <f>"Samson"</f>
        <v>Samson</v>
      </c>
      <c r="CP1477" t="str">
        <f>"D"</f>
        <v>D</v>
      </c>
      <c r="CQ1477" t="str">
        <f>"Atos Syntel Inc"</f>
        <v>Atos Syntel Inc</v>
      </c>
      <c r="CR1477" t="s">
        <v>318</v>
      </c>
    </row>
    <row r="1478" spans="1:96" x14ac:dyDescent="0.2">
      <c r="A1478" t="s">
        <v>11310</v>
      </c>
      <c r="B1478" t="s">
        <v>96</v>
      </c>
      <c r="C1478" s="1">
        <v>44099</v>
      </c>
      <c r="D1478" s="1">
        <v>44106</v>
      </c>
      <c r="F1478" t="s">
        <v>97</v>
      </c>
      <c r="G1478" t="str">
        <f>"Business Development Manager"</f>
        <v>Business Development Manager</v>
      </c>
      <c r="H1478" t="s">
        <v>12214</v>
      </c>
      <c r="I1478" t="s">
        <v>276</v>
      </c>
      <c r="J1478" t="s">
        <v>98</v>
      </c>
      <c r="K1478" s="1">
        <v>44116</v>
      </c>
      <c r="L1478" s="1">
        <v>44561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 t="s">
        <v>11311</v>
      </c>
      <c r="U1478" t="str">
        <f>""</f>
        <v/>
      </c>
      <c r="V1478" t="s">
        <v>3201</v>
      </c>
      <c r="W1478" t="str">
        <f>"Suite 100"</f>
        <v>Suite 100</v>
      </c>
      <c r="X1478" t="s">
        <v>223</v>
      </c>
      <c r="Y1478" t="s">
        <v>225</v>
      </c>
      <c r="Z1478" s="3">
        <v>43017</v>
      </c>
      <c r="AA1478" t="s">
        <v>101</v>
      </c>
      <c r="AC1478" s="4" t="str">
        <f>"+16147837966"</f>
        <v>+16147837966</v>
      </c>
      <c r="AE1478" t="str">
        <f>"541512"</f>
        <v>541512</v>
      </c>
      <c r="AF1478" t="s">
        <v>11312</v>
      </c>
      <c r="AG1478" t="s">
        <v>11313</v>
      </c>
      <c r="AI1478" t="s">
        <v>508</v>
      </c>
      <c r="AJ1478" t="s">
        <v>3201</v>
      </c>
      <c r="AK1478" t="str">
        <f>"Suite 100"</f>
        <v>Suite 100</v>
      </c>
      <c r="AL1478" t="s">
        <v>223</v>
      </c>
      <c r="AM1478" t="s">
        <v>225</v>
      </c>
      <c r="AN1478" s="3">
        <v>43017</v>
      </c>
      <c r="AO1478" t="s">
        <v>101</v>
      </c>
      <c r="AQ1478" t="str">
        <f>"+16147837966"</f>
        <v>+16147837966</v>
      </c>
      <c r="AS1478" t="s">
        <v>11314</v>
      </c>
      <c r="AT1478" t="s">
        <v>107</v>
      </c>
      <c r="AU1478" t="str">
        <f>"Harrison-Donaldson"</f>
        <v>Harrison-Donaldson</v>
      </c>
      <c r="AV1478" t="str">
        <f>"Kimberly"</f>
        <v>Kimberly</v>
      </c>
      <c r="AW1478" t="str">
        <f>"E"</f>
        <v>E</v>
      </c>
      <c r="AX1478" t="str">
        <f>"4249 Easton Way"</f>
        <v>4249 Easton Way</v>
      </c>
      <c r="AY1478" t="str">
        <f>"Suite 125"</f>
        <v>Suite 125</v>
      </c>
      <c r="AZ1478" t="str">
        <f>"Columbus"</f>
        <v>Columbus</v>
      </c>
      <c r="BA1478" t="str">
        <f>"OH"</f>
        <v>OH</v>
      </c>
      <c r="BB1478" s="3">
        <v>43219</v>
      </c>
      <c r="BC1478" t="str">
        <f>"UNITED STATES OF AMERICA"</f>
        <v>UNITED STATES OF AMERICA</v>
      </c>
      <c r="BD1478" t="str">
        <f>""</f>
        <v/>
      </c>
      <c r="BE1478" t="str">
        <f>"+16144288472"</f>
        <v>+16144288472</v>
      </c>
      <c r="BF1478" t="str">
        <f>"2"</f>
        <v>2</v>
      </c>
      <c r="BG1478" t="str">
        <f>"kimberly@hdimmigrationlaw.com"</f>
        <v>kimberly@hdimmigrationlaw.com</v>
      </c>
      <c r="BH1478" t="str">
        <f>"Harrison-Donaldson, Attorney at Law"</f>
        <v>Harrison-Donaldson, Attorney at Law</v>
      </c>
      <c r="BI1478" t="str">
        <f>"OH"</f>
        <v>OH</v>
      </c>
      <c r="BJ1478" t="str">
        <f>"The Supreme Court of Ohio "</f>
        <v xml:space="preserve">The Supreme Court of Ohio </v>
      </c>
      <c r="BK1478">
        <v>1</v>
      </c>
      <c r="BL1478" t="s">
        <v>102</v>
      </c>
      <c r="BM1478" t="str">
        <f>""</f>
        <v/>
      </c>
      <c r="BN1478" t="s">
        <v>11315</v>
      </c>
      <c r="BO1478" t="s">
        <v>11316</v>
      </c>
      <c r="BP1478" t="s">
        <v>299</v>
      </c>
      <c r="BQ1478" t="s">
        <v>257</v>
      </c>
      <c r="BR1478" t="s">
        <v>258</v>
      </c>
      <c r="BS1478" s="5">
        <v>85023</v>
      </c>
      <c r="BT1478" s="2">
        <v>70000</v>
      </c>
      <c r="BV1478" t="s">
        <v>105</v>
      </c>
      <c r="BW1478" s="2">
        <v>69638</v>
      </c>
      <c r="BX1478" t="s">
        <v>105</v>
      </c>
      <c r="BZ1478" t="s">
        <v>167</v>
      </c>
      <c r="CA1478" t="str">
        <f t="shared" si="113"/>
        <v>7/1/2020 - 6/30/2021</v>
      </c>
      <c r="CF1478">
        <v>1</v>
      </c>
      <c r="CG1478" t="s">
        <v>98</v>
      </c>
      <c r="CH1478" t="s">
        <v>98</v>
      </c>
      <c r="CI1478" t="s">
        <v>206</v>
      </c>
      <c r="CJ1478" t="s">
        <v>98</v>
      </c>
      <c r="CK1478" t="s">
        <v>12323</v>
      </c>
      <c r="CL1478" t="s">
        <v>108</v>
      </c>
      <c r="CM1478" t="s">
        <v>109</v>
      </c>
      <c r="CN1478" t="str">
        <f>""</f>
        <v/>
      </c>
      <c r="CO1478" t="str">
        <f>""</f>
        <v/>
      </c>
      <c r="CP1478" t="str">
        <f>""</f>
        <v/>
      </c>
      <c r="CQ1478" t="str">
        <f>""</f>
        <v/>
      </c>
    </row>
    <row r="1479" spans="1:96" x14ac:dyDescent="0.2">
      <c r="A1479" t="s">
        <v>11317</v>
      </c>
      <c r="B1479" t="s">
        <v>96</v>
      </c>
      <c r="C1479" s="1">
        <v>44099</v>
      </c>
      <c r="D1479" s="1">
        <v>44106</v>
      </c>
      <c r="F1479" t="s">
        <v>97</v>
      </c>
      <c r="G1479" t="str">
        <f>"System Architect - III"</f>
        <v>System Architect - III</v>
      </c>
      <c r="H1479" t="s">
        <v>12168</v>
      </c>
      <c r="I1479" t="s">
        <v>160</v>
      </c>
      <c r="J1479" t="s">
        <v>98</v>
      </c>
      <c r="K1479" s="1">
        <v>44099</v>
      </c>
      <c r="L1479" s="1">
        <v>45193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 t="s">
        <v>669</v>
      </c>
      <c r="U1479" t="str">
        <f>""</f>
        <v/>
      </c>
      <c r="V1479" t="s">
        <v>670</v>
      </c>
      <c r="W1479" t="str">
        <f>""</f>
        <v/>
      </c>
      <c r="X1479" t="s">
        <v>671</v>
      </c>
      <c r="Y1479" t="s">
        <v>141</v>
      </c>
      <c r="Z1479" s="3">
        <v>94085</v>
      </c>
      <c r="AA1479" t="s">
        <v>101</v>
      </c>
      <c r="AC1479" s="4" t="str">
        <f>"+14087330480"</f>
        <v>+14087330480</v>
      </c>
      <c r="AE1479" t="str">
        <f>"541511"</f>
        <v>541511</v>
      </c>
      <c r="AF1479" t="s">
        <v>672</v>
      </c>
      <c r="AG1479" t="s">
        <v>673</v>
      </c>
      <c r="AI1479" t="s">
        <v>674</v>
      </c>
      <c r="AJ1479" t="s">
        <v>670</v>
      </c>
      <c r="AK1479" t="str">
        <f>""</f>
        <v/>
      </c>
      <c r="AL1479" t="s">
        <v>671</v>
      </c>
      <c r="AM1479" t="s">
        <v>141</v>
      </c>
      <c r="AN1479" s="3">
        <v>94085</v>
      </c>
      <c r="AO1479" t="s">
        <v>101</v>
      </c>
      <c r="AQ1479" t="str">
        <f>"+14087330480"</f>
        <v>+14087330480</v>
      </c>
      <c r="AS1479" t="s">
        <v>675</v>
      </c>
      <c r="AT1479" t="s">
        <v>102</v>
      </c>
      <c r="AU1479" t="str">
        <f>""</f>
        <v/>
      </c>
      <c r="AV1479" t="str">
        <f>""</f>
        <v/>
      </c>
      <c r="AW1479" t="str">
        <f>""</f>
        <v/>
      </c>
      <c r="AX1479" t="str">
        <f>""</f>
        <v/>
      </c>
      <c r="AY1479" t="str">
        <f>""</f>
        <v/>
      </c>
      <c r="AZ1479" t="str">
        <f>""</f>
        <v/>
      </c>
      <c r="BA1479" t="str">
        <f>""</f>
        <v/>
      </c>
      <c r="BC1479" t="str">
        <f>""</f>
        <v/>
      </c>
      <c r="BD1479" t="str">
        <f>""</f>
        <v/>
      </c>
      <c r="BE1479" t="str">
        <f>""</f>
        <v/>
      </c>
      <c r="BF1479" t="str">
        <f>""</f>
        <v/>
      </c>
      <c r="BG1479" t="str">
        <f>""</f>
        <v/>
      </c>
      <c r="BH1479" t="str">
        <f>""</f>
        <v/>
      </c>
      <c r="BI1479" t="str">
        <f>""</f>
        <v/>
      </c>
      <c r="BJ1479" t="str">
        <f>""</f>
        <v/>
      </c>
      <c r="BK1479">
        <v>1</v>
      </c>
      <c r="BL1479" t="s">
        <v>107</v>
      </c>
      <c r="BM1479" t="str">
        <f>"Gilead Sciences Inc"</f>
        <v>Gilead Sciences Inc</v>
      </c>
      <c r="BN1479" t="s">
        <v>11318</v>
      </c>
      <c r="BP1479" t="s">
        <v>988</v>
      </c>
      <c r="BQ1479" t="s">
        <v>994</v>
      </c>
      <c r="BR1479" t="s">
        <v>141</v>
      </c>
      <c r="BS1479" s="5">
        <v>94404</v>
      </c>
      <c r="BT1479" s="2">
        <v>135000</v>
      </c>
      <c r="BV1479" t="s">
        <v>105</v>
      </c>
      <c r="BW1479" s="2">
        <v>120370</v>
      </c>
      <c r="BX1479" t="s">
        <v>105</v>
      </c>
      <c r="BZ1479" t="s">
        <v>123</v>
      </c>
      <c r="CA1479" t="str">
        <f t="shared" si="113"/>
        <v>7/1/2020 - 6/30/2021</v>
      </c>
      <c r="CF1479">
        <v>2</v>
      </c>
      <c r="CG1479" t="s">
        <v>98</v>
      </c>
      <c r="CH1479" t="s">
        <v>98</v>
      </c>
      <c r="CI1479" t="s">
        <v>206</v>
      </c>
      <c r="CJ1479" t="s">
        <v>98</v>
      </c>
      <c r="CK1479" t="s">
        <v>12323</v>
      </c>
      <c r="CL1479" t="s">
        <v>108</v>
      </c>
      <c r="CM1479" t="s">
        <v>109</v>
      </c>
      <c r="CN1479" t="str">
        <f>""</f>
        <v/>
      </c>
      <c r="CO1479" t="str">
        <f>""</f>
        <v/>
      </c>
      <c r="CP1479" t="str">
        <f>""</f>
        <v/>
      </c>
      <c r="CQ1479" t="str">
        <f>""</f>
        <v/>
      </c>
    </row>
    <row r="1480" spans="1:96" x14ac:dyDescent="0.2">
      <c r="A1480" t="s">
        <v>11335</v>
      </c>
      <c r="B1480" t="s">
        <v>96</v>
      </c>
      <c r="C1480" s="1">
        <v>44099</v>
      </c>
      <c r="D1480" s="1">
        <v>44106</v>
      </c>
      <c r="F1480" t="s">
        <v>97</v>
      </c>
      <c r="G1480" t="str">
        <f>"Systems Engineer"</f>
        <v>Systems Engineer</v>
      </c>
      <c r="H1480" t="s">
        <v>12196</v>
      </c>
      <c r="I1480" t="s">
        <v>322</v>
      </c>
      <c r="J1480" t="s">
        <v>98</v>
      </c>
      <c r="K1480" s="1">
        <v>44110</v>
      </c>
      <c r="L1480" s="1">
        <v>45204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 t="s">
        <v>7123</v>
      </c>
      <c r="U1480" t="str">
        <f>""</f>
        <v/>
      </c>
      <c r="V1480" t="s">
        <v>7124</v>
      </c>
      <c r="W1480" t="str">
        <f>"Suite #104"</f>
        <v>Suite #104</v>
      </c>
      <c r="X1480" t="s">
        <v>7060</v>
      </c>
      <c r="Y1480" t="s">
        <v>141</v>
      </c>
      <c r="Z1480" s="3">
        <v>95035</v>
      </c>
      <c r="AA1480" t="s">
        <v>101</v>
      </c>
      <c r="AC1480" s="4" t="str">
        <f>"+15166268786"</f>
        <v>+15166268786</v>
      </c>
      <c r="AE1480" t="str">
        <f>"54151"</f>
        <v>54151</v>
      </c>
      <c r="AF1480" t="s">
        <v>7125</v>
      </c>
      <c r="AG1480" t="s">
        <v>6120</v>
      </c>
      <c r="AI1480" t="s">
        <v>7126</v>
      </c>
      <c r="AJ1480" t="s">
        <v>7124</v>
      </c>
      <c r="AK1480" t="str">
        <f>"Suite 104"</f>
        <v>Suite 104</v>
      </c>
      <c r="AL1480" t="s">
        <v>762</v>
      </c>
      <c r="AM1480" t="s">
        <v>141</v>
      </c>
      <c r="AN1480" s="3">
        <v>95035</v>
      </c>
      <c r="AO1480" t="s">
        <v>101</v>
      </c>
      <c r="AQ1480" t="str">
        <f>"+15106268786"</f>
        <v>+15106268786</v>
      </c>
      <c r="AS1480" t="s">
        <v>7127</v>
      </c>
      <c r="AT1480" t="s">
        <v>107</v>
      </c>
      <c r="AU1480" t="str">
        <f>"Kozar"</f>
        <v>Kozar</v>
      </c>
      <c r="AV1480" t="str">
        <f>"Mika"</f>
        <v>Mika</v>
      </c>
      <c r="AW1480" t="str">
        <f>"B."</f>
        <v>B.</v>
      </c>
      <c r="AX1480" t="str">
        <f>"4390 Route 1 N"</f>
        <v>4390 Route 1 N</v>
      </c>
      <c r="AY1480" t="str">
        <f>"Suite 230"</f>
        <v>Suite 230</v>
      </c>
      <c r="AZ1480" t="str">
        <f>"Princeton"</f>
        <v>Princeton</v>
      </c>
      <c r="BA1480" t="str">
        <f>"NJ"</f>
        <v>NJ</v>
      </c>
      <c r="BB1480" s="3">
        <v>8540</v>
      </c>
      <c r="BC1480" t="str">
        <f>"UNITED STATES OF AMERICA"</f>
        <v>UNITED STATES OF AMERICA</v>
      </c>
      <c r="BD1480" t="str">
        <f>""</f>
        <v/>
      </c>
      <c r="BE1480" t="str">
        <f>"+17328327978"</f>
        <v>+17328327978</v>
      </c>
      <c r="BF1480" t="str">
        <f>""</f>
        <v/>
      </c>
      <c r="BG1480" t="str">
        <f>"icert@tvalawyers.com"</f>
        <v>icert@tvalawyers.com</v>
      </c>
      <c r="BH1480" t="str">
        <f>"Law Office of Thomas V. Allen"</f>
        <v>Law Office of Thomas V. Allen</v>
      </c>
      <c r="BI1480" t="str">
        <f>"NY"</f>
        <v>NY</v>
      </c>
      <c r="BJ1480" t="str">
        <f>"Appellate Court"</f>
        <v>Appellate Court</v>
      </c>
      <c r="BK1480">
        <v>1</v>
      </c>
      <c r="BL1480" t="s">
        <v>107</v>
      </c>
      <c r="BM1480" t="str">
        <f>"ROCHE"</f>
        <v>ROCHE</v>
      </c>
      <c r="BN1480" t="s">
        <v>7924</v>
      </c>
      <c r="BP1480" t="s">
        <v>11336</v>
      </c>
      <c r="BQ1480" t="s">
        <v>1743</v>
      </c>
      <c r="BR1480" t="s">
        <v>258</v>
      </c>
      <c r="BS1480" s="5">
        <v>85755</v>
      </c>
      <c r="BT1480" s="2">
        <v>67787</v>
      </c>
      <c r="BV1480" t="s">
        <v>105</v>
      </c>
      <c r="BW1480" s="2">
        <v>67787</v>
      </c>
      <c r="BX1480" t="s">
        <v>105</v>
      </c>
      <c r="BZ1480" t="s">
        <v>191</v>
      </c>
      <c r="CA1480" t="str">
        <f t="shared" si="113"/>
        <v>7/1/2020 - 6/30/2021</v>
      </c>
      <c r="CF1480">
        <v>2</v>
      </c>
      <c r="CG1480" t="s">
        <v>98</v>
      </c>
      <c r="CH1480" t="s">
        <v>98</v>
      </c>
      <c r="CI1480" t="s">
        <v>206</v>
      </c>
      <c r="CJ1480" t="s">
        <v>98</v>
      </c>
      <c r="CK1480" t="s">
        <v>12323</v>
      </c>
      <c r="CL1480" t="s">
        <v>108</v>
      </c>
      <c r="CM1480" t="s">
        <v>109</v>
      </c>
      <c r="CN1480" t="str">
        <f>""</f>
        <v/>
      </c>
      <c r="CO1480" t="str">
        <f>""</f>
        <v/>
      </c>
      <c r="CP1480" t="str">
        <f>""</f>
        <v/>
      </c>
      <c r="CQ1480" t="str">
        <f>""</f>
        <v/>
      </c>
    </row>
    <row r="1481" spans="1:96" x14ac:dyDescent="0.2">
      <c r="A1481" t="s">
        <v>11353</v>
      </c>
      <c r="B1481" t="s">
        <v>96</v>
      </c>
      <c r="C1481" s="1">
        <v>44099</v>
      </c>
      <c r="D1481" s="1">
        <v>44106</v>
      </c>
      <c r="F1481" t="s">
        <v>97</v>
      </c>
      <c r="G1481" t="str">
        <f>"Manager JC50"</f>
        <v>Manager JC50</v>
      </c>
      <c r="H1481" t="s">
        <v>12181</v>
      </c>
      <c r="I1481" t="s">
        <v>110</v>
      </c>
      <c r="J1481" t="s">
        <v>98</v>
      </c>
      <c r="K1481" s="1">
        <v>44107</v>
      </c>
      <c r="L1481" s="1">
        <v>45201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 t="s">
        <v>111</v>
      </c>
      <c r="U1481" t="str">
        <f>"CTSUS"</f>
        <v>CTSUS</v>
      </c>
      <c r="V1481" t="s">
        <v>112</v>
      </c>
      <c r="W1481" t="str">
        <f>""</f>
        <v/>
      </c>
      <c r="X1481" t="s">
        <v>113</v>
      </c>
      <c r="Y1481" t="s">
        <v>114</v>
      </c>
      <c r="Z1481" s="3">
        <v>77845</v>
      </c>
      <c r="AA1481" t="s">
        <v>101</v>
      </c>
      <c r="AB1481" t="s">
        <v>114</v>
      </c>
      <c r="AC1481" s="4" t="str">
        <f>"+19793296682"</f>
        <v>+19793296682</v>
      </c>
      <c r="AE1481" t="str">
        <f>"541512"</f>
        <v>541512</v>
      </c>
      <c r="AF1481" t="s">
        <v>115</v>
      </c>
      <c r="AG1481" t="s">
        <v>116</v>
      </c>
      <c r="AH1481" t="s">
        <v>108</v>
      </c>
      <c r="AI1481" t="s">
        <v>117</v>
      </c>
      <c r="AJ1481" t="s">
        <v>118</v>
      </c>
      <c r="AK1481" t="str">
        <f>""</f>
        <v/>
      </c>
      <c r="AL1481" t="s">
        <v>119</v>
      </c>
      <c r="AM1481" t="s">
        <v>114</v>
      </c>
      <c r="AN1481" s="3">
        <v>77845</v>
      </c>
      <c r="AO1481" t="s">
        <v>101</v>
      </c>
      <c r="AQ1481" t="str">
        <f>"+19793296682"</f>
        <v>+19793296682</v>
      </c>
      <c r="AS1481" t="s">
        <v>120</v>
      </c>
      <c r="AT1481" t="s">
        <v>102</v>
      </c>
      <c r="AU1481" t="str">
        <f>""</f>
        <v/>
      </c>
      <c r="AV1481" t="str">
        <f>""</f>
        <v/>
      </c>
      <c r="AW1481" t="str">
        <f>""</f>
        <v/>
      </c>
      <c r="AX1481" t="str">
        <f>""</f>
        <v/>
      </c>
      <c r="AY1481" t="str">
        <f>""</f>
        <v/>
      </c>
      <c r="AZ1481" t="str">
        <f>""</f>
        <v/>
      </c>
      <c r="BA1481" t="str">
        <f>""</f>
        <v/>
      </c>
      <c r="BC1481" t="str">
        <f>""</f>
        <v/>
      </c>
      <c r="BD1481" t="str">
        <f>""</f>
        <v/>
      </c>
      <c r="BE1481" t="str">
        <f>""</f>
        <v/>
      </c>
      <c r="BF1481" t="str">
        <f>""</f>
        <v/>
      </c>
      <c r="BG1481" t="str">
        <f>""</f>
        <v/>
      </c>
      <c r="BH1481" t="str">
        <f>""</f>
        <v/>
      </c>
      <c r="BI1481" t="str">
        <f>""</f>
        <v/>
      </c>
      <c r="BJ1481" t="str">
        <f>""</f>
        <v/>
      </c>
      <c r="BK1481">
        <v>1</v>
      </c>
      <c r="BL1481" t="s">
        <v>102</v>
      </c>
      <c r="BM1481" t="str">
        <f>""</f>
        <v/>
      </c>
      <c r="BN1481" t="s">
        <v>11354</v>
      </c>
      <c r="BP1481" t="s">
        <v>247</v>
      </c>
      <c r="BQ1481" t="s">
        <v>230</v>
      </c>
      <c r="BR1481" t="s">
        <v>141</v>
      </c>
      <c r="BS1481" s="5">
        <v>95051</v>
      </c>
      <c r="BT1481" s="2">
        <v>122990</v>
      </c>
      <c r="BV1481" t="s">
        <v>105</v>
      </c>
      <c r="BW1481" s="2">
        <v>122990</v>
      </c>
      <c r="BX1481" t="s">
        <v>105</v>
      </c>
      <c r="BZ1481" t="s">
        <v>123</v>
      </c>
      <c r="CA1481" t="str">
        <f t="shared" si="113"/>
        <v>7/1/2020 - 6/30/2021</v>
      </c>
      <c r="CF1481">
        <v>1</v>
      </c>
      <c r="CG1481" t="s">
        <v>98</v>
      </c>
      <c r="CH1481" t="s">
        <v>98</v>
      </c>
      <c r="CI1481" t="s">
        <v>206</v>
      </c>
      <c r="CJ1481" t="s">
        <v>98</v>
      </c>
      <c r="CK1481" t="s">
        <v>12323</v>
      </c>
      <c r="CL1481" t="s">
        <v>108</v>
      </c>
      <c r="CM1481" t="s">
        <v>109</v>
      </c>
      <c r="CN1481" t="str">
        <f>""</f>
        <v/>
      </c>
      <c r="CO1481" t="str">
        <f>""</f>
        <v/>
      </c>
      <c r="CP1481" t="str">
        <f>""</f>
        <v/>
      </c>
      <c r="CQ1481" t="str">
        <f>""</f>
        <v/>
      </c>
    </row>
    <row r="1482" spans="1:96" x14ac:dyDescent="0.2">
      <c r="A1482" t="s">
        <v>11380</v>
      </c>
      <c r="B1482" t="s">
        <v>96</v>
      </c>
      <c r="C1482" s="1">
        <v>44099</v>
      </c>
      <c r="D1482" s="1">
        <v>44106</v>
      </c>
      <c r="F1482" t="s">
        <v>97</v>
      </c>
      <c r="G1482" t="str">
        <f>"Senior Cloud Engineer - Data"</f>
        <v>Senior Cloud Engineer - Data</v>
      </c>
      <c r="H1482" t="s">
        <v>12168</v>
      </c>
      <c r="I1482" t="s">
        <v>1844</v>
      </c>
      <c r="J1482" t="s">
        <v>98</v>
      </c>
      <c r="K1482" s="1">
        <v>44099</v>
      </c>
      <c r="L1482" s="1">
        <v>45193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 t="s">
        <v>5966</v>
      </c>
      <c r="U1482" t="str">
        <f>"NOT APPLICABLE"</f>
        <v>NOT APPLICABLE</v>
      </c>
      <c r="V1482" t="s">
        <v>5967</v>
      </c>
      <c r="W1482" t="str">
        <f>"BUILDING 100, SUITE 118"</f>
        <v>BUILDING 100, SUITE 118</v>
      </c>
      <c r="X1482" t="s">
        <v>1515</v>
      </c>
      <c r="Y1482" t="s">
        <v>215</v>
      </c>
      <c r="Z1482" s="3">
        <v>30076</v>
      </c>
      <c r="AA1482" t="s">
        <v>101</v>
      </c>
      <c r="AB1482" t="s">
        <v>1446</v>
      </c>
      <c r="AC1482" s="4" t="str">
        <f>"+17708573919"</f>
        <v>+17708573919</v>
      </c>
      <c r="AE1482" t="str">
        <f t="shared" ref="AE1482:AE1487" si="114">"541511"</f>
        <v>541511</v>
      </c>
      <c r="AF1482" t="s">
        <v>5968</v>
      </c>
      <c r="AG1482" t="s">
        <v>636</v>
      </c>
      <c r="AI1482" t="s">
        <v>1524</v>
      </c>
      <c r="AJ1482" t="s">
        <v>5967</v>
      </c>
      <c r="AK1482" t="str">
        <f>"BUILDING 100, SUITE 118"</f>
        <v>BUILDING 100, SUITE 118</v>
      </c>
      <c r="AL1482" t="s">
        <v>1515</v>
      </c>
      <c r="AM1482" t="s">
        <v>215</v>
      </c>
      <c r="AN1482" s="3">
        <v>30076</v>
      </c>
      <c r="AO1482" t="s">
        <v>101</v>
      </c>
      <c r="AP1482" t="s">
        <v>1446</v>
      </c>
      <c r="AQ1482" t="str">
        <f>"+17703173919"</f>
        <v>+17703173919</v>
      </c>
      <c r="AS1482" t="s">
        <v>5969</v>
      </c>
      <c r="AT1482" t="s">
        <v>107</v>
      </c>
      <c r="AU1482" t="str">
        <f>"GOKARE"</f>
        <v>GOKARE</v>
      </c>
      <c r="AV1482" t="str">
        <f>"MANJUNATH"</f>
        <v>MANJUNATH</v>
      </c>
      <c r="AW1482" t="str">
        <f>"A"</f>
        <v>A</v>
      </c>
      <c r="AX1482" t="str">
        <f>"11545 PARK WOODS CIRCLE"</f>
        <v>11545 PARK WOODS CIRCLE</v>
      </c>
      <c r="AY1482" t="str">
        <f>"SUITE D"</f>
        <v>SUITE D</v>
      </c>
      <c r="AZ1482" t="str">
        <f>"ALPHARETTA"</f>
        <v>ALPHARETTA</v>
      </c>
      <c r="BA1482" t="str">
        <f>"GA"</f>
        <v>GA</v>
      </c>
      <c r="BB1482" s="3">
        <v>30005</v>
      </c>
      <c r="BC1482" t="str">
        <f>"UNITED STATES OF AMERICA"</f>
        <v>UNITED STATES OF AMERICA</v>
      </c>
      <c r="BD1482" t="str">
        <f>""</f>
        <v/>
      </c>
      <c r="BE1482" t="str">
        <f>"+16788679390"</f>
        <v>+16788679390</v>
      </c>
      <c r="BF1482" t="str">
        <f>"104"</f>
        <v>104</v>
      </c>
      <c r="BG1482" t="str">
        <f>"LCA@GOKARELAW.COM"</f>
        <v>LCA@GOKARELAW.COM</v>
      </c>
      <c r="BH1482" t="str">
        <f>"MANJUNATH GOKARE P.C. D/B/A GOKARE LAW FIRM"</f>
        <v>MANJUNATH GOKARE P.C. D/B/A GOKARE LAW FIRM</v>
      </c>
      <c r="BI1482" t="str">
        <f>"GA"</f>
        <v>GA</v>
      </c>
      <c r="BJ1482" t="str">
        <f>"SUPREME COURT"</f>
        <v>SUPREME COURT</v>
      </c>
      <c r="BK1482">
        <v>1</v>
      </c>
      <c r="BL1482" t="s">
        <v>107</v>
      </c>
      <c r="BM1482" t="str">
        <f>"Waste Management National Services, Inc.,"</f>
        <v>Waste Management National Services, Inc.,</v>
      </c>
      <c r="BN1482" t="s">
        <v>11381</v>
      </c>
      <c r="BO1482" t="s">
        <v>6230</v>
      </c>
      <c r="BP1482" t="s">
        <v>394</v>
      </c>
      <c r="BQ1482" t="s">
        <v>395</v>
      </c>
      <c r="BR1482" t="s">
        <v>114</v>
      </c>
      <c r="BS1482" s="5">
        <v>77002</v>
      </c>
      <c r="BT1482" s="2">
        <v>101795</v>
      </c>
      <c r="BU1482" s="2">
        <v>110000</v>
      </c>
      <c r="BV1482" t="s">
        <v>105</v>
      </c>
      <c r="BW1482" s="2">
        <v>101795</v>
      </c>
      <c r="BX1482" t="s">
        <v>105</v>
      </c>
      <c r="BZ1482" t="s">
        <v>159</v>
      </c>
      <c r="CA1482" t="str">
        <f t="shared" si="113"/>
        <v>7/1/2020 - 6/30/2021</v>
      </c>
      <c r="CF1482">
        <v>3</v>
      </c>
      <c r="CG1482" t="s">
        <v>98</v>
      </c>
      <c r="CH1482" t="s">
        <v>98</v>
      </c>
      <c r="CI1482" t="s">
        <v>206</v>
      </c>
      <c r="CJ1482" t="s">
        <v>98</v>
      </c>
      <c r="CK1482" t="s">
        <v>12323</v>
      </c>
      <c r="CL1482" t="s">
        <v>108</v>
      </c>
      <c r="CM1482" t="s">
        <v>109</v>
      </c>
      <c r="CN1482" t="str">
        <f>"N/A"</f>
        <v>N/A</v>
      </c>
      <c r="CO1482" t="str">
        <f>"N/A"</f>
        <v>N/A</v>
      </c>
      <c r="CP1482" t="str">
        <f>"N/A"</f>
        <v>N/A</v>
      </c>
      <c r="CQ1482" t="str">
        <f>"NOT APPLICABLE"</f>
        <v>NOT APPLICABLE</v>
      </c>
      <c r="CR1482" t="s">
        <v>2600</v>
      </c>
    </row>
    <row r="1483" spans="1:96" x14ac:dyDescent="0.2">
      <c r="A1483" t="s">
        <v>11382</v>
      </c>
      <c r="B1483" t="s">
        <v>96</v>
      </c>
      <c r="C1483" s="1">
        <v>44099</v>
      </c>
      <c r="D1483" s="1">
        <v>44106</v>
      </c>
      <c r="F1483" t="s">
        <v>97</v>
      </c>
      <c r="G1483" t="str">
        <f>"SOFTWARE DEVELOPER"</f>
        <v>SOFTWARE DEVELOPER</v>
      </c>
      <c r="H1483" t="s">
        <v>12169</v>
      </c>
      <c r="I1483" t="s">
        <v>124</v>
      </c>
      <c r="J1483" t="s">
        <v>98</v>
      </c>
      <c r="K1483" s="1">
        <v>44197</v>
      </c>
      <c r="L1483" s="1">
        <v>45291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 t="s">
        <v>11383</v>
      </c>
      <c r="U1483" t="str">
        <f>""</f>
        <v/>
      </c>
      <c r="V1483" t="s">
        <v>10654</v>
      </c>
      <c r="W1483" t="str">
        <f>"SUITE #100"</f>
        <v>SUITE #100</v>
      </c>
      <c r="X1483" t="s">
        <v>1766</v>
      </c>
      <c r="Y1483" t="s">
        <v>215</v>
      </c>
      <c r="Z1483" s="3">
        <v>30004</v>
      </c>
      <c r="AA1483" t="s">
        <v>101</v>
      </c>
      <c r="AC1483" s="4" t="str">
        <f>"+16782281145"</f>
        <v>+16782281145</v>
      </c>
      <c r="AE1483" t="str">
        <f t="shared" si="114"/>
        <v>541511</v>
      </c>
      <c r="AF1483" t="s">
        <v>11384</v>
      </c>
      <c r="AG1483" t="s">
        <v>11385</v>
      </c>
      <c r="AI1483" t="s">
        <v>425</v>
      </c>
      <c r="AJ1483" t="s">
        <v>10654</v>
      </c>
      <c r="AK1483" t="str">
        <f>"SUITE #100"</f>
        <v>SUITE #100</v>
      </c>
      <c r="AL1483" t="s">
        <v>1766</v>
      </c>
      <c r="AM1483" t="s">
        <v>215</v>
      </c>
      <c r="AN1483" s="3">
        <v>30004</v>
      </c>
      <c r="AO1483" t="s">
        <v>101</v>
      </c>
      <c r="AQ1483" t="str">
        <f>"+16782281145"</f>
        <v>+16782281145</v>
      </c>
      <c r="AS1483" t="s">
        <v>11386</v>
      </c>
      <c r="AT1483" t="s">
        <v>102</v>
      </c>
      <c r="AU1483" t="str">
        <f>""</f>
        <v/>
      </c>
      <c r="AV1483" t="str">
        <f>""</f>
        <v/>
      </c>
      <c r="AW1483" t="str">
        <f>""</f>
        <v/>
      </c>
      <c r="AX1483" t="str">
        <f>""</f>
        <v/>
      </c>
      <c r="AY1483" t="str">
        <f>""</f>
        <v/>
      </c>
      <c r="AZ1483" t="str">
        <f>""</f>
        <v/>
      </c>
      <c r="BA1483" t="str">
        <f>""</f>
        <v/>
      </c>
      <c r="BC1483" t="str">
        <f>""</f>
        <v/>
      </c>
      <c r="BD1483" t="str">
        <f>""</f>
        <v/>
      </c>
      <c r="BE1483" t="str">
        <f>""</f>
        <v/>
      </c>
      <c r="BF1483" t="str">
        <f>""</f>
        <v/>
      </c>
      <c r="BG1483" t="str">
        <f>""</f>
        <v/>
      </c>
      <c r="BH1483" t="str">
        <f>""</f>
        <v/>
      </c>
      <c r="BI1483" t="str">
        <f>""</f>
        <v/>
      </c>
      <c r="BJ1483" t="str">
        <f>""</f>
        <v/>
      </c>
      <c r="BK1483">
        <v>1</v>
      </c>
      <c r="BL1483" t="s">
        <v>107</v>
      </c>
      <c r="BM1483" t="str">
        <f>"SIRVA Worldwide Relocation &amp; Moving"</f>
        <v>SIRVA Worldwide Relocation &amp; Moving</v>
      </c>
      <c r="BN1483" t="s">
        <v>6593</v>
      </c>
      <c r="BO1483" t="s">
        <v>9689</v>
      </c>
      <c r="BP1483" t="s">
        <v>6594</v>
      </c>
      <c r="BQ1483" t="s">
        <v>1382</v>
      </c>
      <c r="BR1483" t="s">
        <v>345</v>
      </c>
      <c r="BS1483" s="5">
        <v>60181</v>
      </c>
      <c r="BT1483" s="2">
        <v>105000</v>
      </c>
      <c r="BU1483" s="2">
        <v>107000</v>
      </c>
      <c r="BV1483" t="s">
        <v>105</v>
      </c>
      <c r="BW1483" s="2">
        <v>87838</v>
      </c>
      <c r="BX1483" t="s">
        <v>105</v>
      </c>
      <c r="BZ1483" t="s">
        <v>167</v>
      </c>
      <c r="CA1483" t="str">
        <f t="shared" si="113"/>
        <v>7/1/2020 - 6/30/2021</v>
      </c>
      <c r="CF1483">
        <v>2</v>
      </c>
      <c r="CG1483" t="s">
        <v>98</v>
      </c>
      <c r="CH1483" t="s">
        <v>98</v>
      </c>
      <c r="CI1483" t="s">
        <v>206</v>
      </c>
      <c r="CJ1483" t="s">
        <v>98</v>
      </c>
      <c r="CK1483" t="s">
        <v>12323</v>
      </c>
      <c r="CL1483" t="s">
        <v>108</v>
      </c>
      <c r="CM1483" t="s">
        <v>109</v>
      </c>
      <c r="CN1483" t="str">
        <f>"BADURUDHEEN "</f>
        <v xml:space="preserve">BADURUDHEEN </v>
      </c>
      <c r="CO1483" t="str">
        <f>"NILAMUTHEEN"</f>
        <v>NILAMUTHEEN</v>
      </c>
      <c r="CP1483" t="str">
        <f>""</f>
        <v/>
      </c>
      <c r="CQ1483" t="str">
        <f>"TECHZIO SOLUTIONS LLC"</f>
        <v>TECHZIO SOLUTIONS LLC</v>
      </c>
      <c r="CR1483" t="s">
        <v>11387</v>
      </c>
    </row>
    <row r="1484" spans="1:96" x14ac:dyDescent="0.2">
      <c r="A1484" t="s">
        <v>11429</v>
      </c>
      <c r="B1484" t="s">
        <v>96</v>
      </c>
      <c r="C1484" s="1">
        <v>44099</v>
      </c>
      <c r="D1484" s="1">
        <v>44106</v>
      </c>
      <c r="F1484" t="s">
        <v>97</v>
      </c>
      <c r="G1484" t="str">
        <f>"Mainframe with VisionPlus"</f>
        <v>Mainframe with VisionPlus</v>
      </c>
      <c r="H1484" t="s">
        <v>12169</v>
      </c>
      <c r="I1484" t="s">
        <v>124</v>
      </c>
      <c r="J1484" t="s">
        <v>98</v>
      </c>
      <c r="K1484" s="1">
        <v>44099</v>
      </c>
      <c r="L1484" s="1">
        <v>45193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 t="s">
        <v>11430</v>
      </c>
      <c r="U1484" t="str">
        <f>""</f>
        <v/>
      </c>
      <c r="V1484" t="s">
        <v>7117</v>
      </c>
      <c r="W1484" t="str">
        <f>"Ste - 264"</f>
        <v>Ste - 264</v>
      </c>
      <c r="X1484" t="s">
        <v>483</v>
      </c>
      <c r="Y1484" t="s">
        <v>114</v>
      </c>
      <c r="Z1484" s="3">
        <v>75039</v>
      </c>
      <c r="AA1484" t="s">
        <v>101</v>
      </c>
      <c r="AC1484" s="4" t="str">
        <f>"+12147444833"</f>
        <v>+12147444833</v>
      </c>
      <c r="AE1484" t="str">
        <f t="shared" si="114"/>
        <v>541511</v>
      </c>
      <c r="AF1484" t="s">
        <v>11431</v>
      </c>
      <c r="AG1484" t="s">
        <v>1016</v>
      </c>
      <c r="AI1484" t="s">
        <v>508</v>
      </c>
      <c r="AJ1484" t="s">
        <v>7117</v>
      </c>
      <c r="AK1484" t="str">
        <f>"Ste. 264"</f>
        <v>Ste. 264</v>
      </c>
      <c r="AL1484" t="s">
        <v>483</v>
      </c>
      <c r="AM1484" t="s">
        <v>114</v>
      </c>
      <c r="AN1484" s="3">
        <v>75039</v>
      </c>
      <c r="AO1484" t="s">
        <v>101</v>
      </c>
      <c r="AQ1484" t="str">
        <f>"+12147444833"</f>
        <v>+12147444833</v>
      </c>
      <c r="AS1484" t="s">
        <v>11432</v>
      </c>
      <c r="AT1484" t="s">
        <v>102</v>
      </c>
      <c r="AU1484" t="str">
        <f>""</f>
        <v/>
      </c>
      <c r="AV1484" t="str">
        <f>""</f>
        <v/>
      </c>
      <c r="AW1484" t="str">
        <f>""</f>
        <v/>
      </c>
      <c r="AX1484" t="str">
        <f>""</f>
        <v/>
      </c>
      <c r="AY1484" t="str">
        <f>""</f>
        <v/>
      </c>
      <c r="AZ1484" t="str">
        <f>""</f>
        <v/>
      </c>
      <c r="BA1484" t="str">
        <f>""</f>
        <v/>
      </c>
      <c r="BC1484" t="str">
        <f>""</f>
        <v/>
      </c>
      <c r="BD1484" t="str">
        <f>""</f>
        <v/>
      </c>
      <c r="BE1484" t="str">
        <f>""</f>
        <v/>
      </c>
      <c r="BF1484" t="str">
        <f>""</f>
        <v/>
      </c>
      <c r="BG1484" t="str">
        <f>""</f>
        <v/>
      </c>
      <c r="BH1484" t="str">
        <f>""</f>
        <v/>
      </c>
      <c r="BI1484" t="str">
        <f>""</f>
        <v/>
      </c>
      <c r="BJ1484" t="str">
        <f>""</f>
        <v/>
      </c>
      <c r="BK1484">
        <v>1</v>
      </c>
      <c r="BL1484" t="s">
        <v>107</v>
      </c>
      <c r="BM1484" t="str">
        <f>"Capital One "</f>
        <v xml:space="preserve">Capital One </v>
      </c>
      <c r="BN1484" t="s">
        <v>2944</v>
      </c>
      <c r="BP1484" t="s">
        <v>8784</v>
      </c>
      <c r="BQ1484" t="s">
        <v>788</v>
      </c>
      <c r="BR1484" t="s">
        <v>345</v>
      </c>
      <c r="BS1484" s="5">
        <v>60008</v>
      </c>
      <c r="BT1484" s="2">
        <v>88000</v>
      </c>
      <c r="BV1484" t="s">
        <v>105</v>
      </c>
      <c r="BW1484" s="2">
        <v>87838</v>
      </c>
      <c r="BX1484" t="s">
        <v>105</v>
      </c>
      <c r="BZ1484" t="s">
        <v>167</v>
      </c>
      <c r="CA1484" t="str">
        <f t="shared" si="113"/>
        <v>7/1/2020 - 6/30/2021</v>
      </c>
      <c r="CF1484">
        <v>2</v>
      </c>
      <c r="CG1484" t="s">
        <v>98</v>
      </c>
      <c r="CH1484" t="s">
        <v>98</v>
      </c>
      <c r="CI1484" t="s">
        <v>206</v>
      </c>
      <c r="CJ1484" t="s">
        <v>98</v>
      </c>
      <c r="CK1484" t="s">
        <v>12323</v>
      </c>
      <c r="CL1484" t="s">
        <v>108</v>
      </c>
      <c r="CM1484" t="s">
        <v>109</v>
      </c>
      <c r="CN1484" t="str">
        <f>""</f>
        <v/>
      </c>
      <c r="CO1484" t="str">
        <f>""</f>
        <v/>
      </c>
      <c r="CP1484" t="str">
        <f>""</f>
        <v/>
      </c>
      <c r="CQ1484" t="str">
        <f>""</f>
        <v/>
      </c>
    </row>
    <row r="1485" spans="1:96" x14ac:dyDescent="0.2">
      <c r="A1485" t="s">
        <v>11433</v>
      </c>
      <c r="B1485" t="s">
        <v>96</v>
      </c>
      <c r="C1485" s="1">
        <v>44099</v>
      </c>
      <c r="D1485" s="1">
        <v>44106</v>
      </c>
      <c r="F1485" t="s">
        <v>97</v>
      </c>
      <c r="G1485" t="str">
        <f>"Software Engineer"</f>
        <v>Software Engineer</v>
      </c>
      <c r="H1485" t="s">
        <v>12169</v>
      </c>
      <c r="I1485" t="s">
        <v>124</v>
      </c>
      <c r="J1485" t="s">
        <v>98</v>
      </c>
      <c r="K1485" s="1">
        <v>44141</v>
      </c>
      <c r="L1485" s="1">
        <v>45235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 t="s">
        <v>3750</v>
      </c>
      <c r="U1485" t="str">
        <f>""</f>
        <v/>
      </c>
      <c r="V1485" t="s">
        <v>3751</v>
      </c>
      <c r="W1485" t="str">
        <f>"Suite 103"</f>
        <v>Suite 103</v>
      </c>
      <c r="X1485" t="s">
        <v>604</v>
      </c>
      <c r="Y1485" t="s">
        <v>122</v>
      </c>
      <c r="Z1485" s="3">
        <v>28262</v>
      </c>
      <c r="AA1485" t="s">
        <v>101</v>
      </c>
      <c r="AC1485" s="4" t="str">
        <f>"+19809391144"</f>
        <v>+19809391144</v>
      </c>
      <c r="AE1485" t="str">
        <f t="shared" si="114"/>
        <v>541511</v>
      </c>
      <c r="AF1485" t="s">
        <v>3752</v>
      </c>
      <c r="AG1485" t="s">
        <v>3753</v>
      </c>
      <c r="AI1485" t="s">
        <v>508</v>
      </c>
      <c r="AJ1485" t="s">
        <v>3751</v>
      </c>
      <c r="AK1485" t="str">
        <f>"Suite 103"</f>
        <v>Suite 103</v>
      </c>
      <c r="AL1485" t="s">
        <v>604</v>
      </c>
      <c r="AM1485" t="s">
        <v>122</v>
      </c>
      <c r="AN1485" s="3">
        <v>28262</v>
      </c>
      <c r="AO1485" t="s">
        <v>101</v>
      </c>
      <c r="AQ1485" t="str">
        <f>"+17328321518"</f>
        <v>+17328321518</v>
      </c>
      <c r="AS1485" t="s">
        <v>3754</v>
      </c>
      <c r="AT1485" t="s">
        <v>107</v>
      </c>
      <c r="AU1485" t="str">
        <f>"Luciano"</f>
        <v>Luciano</v>
      </c>
      <c r="AV1485" t="str">
        <f>"Christine"</f>
        <v>Christine</v>
      </c>
      <c r="AW1485" t="str">
        <f>""</f>
        <v/>
      </c>
      <c r="AX1485" t="str">
        <f>"800 W. Cummings Park"</f>
        <v>800 W. Cummings Park</v>
      </c>
      <c r="AY1485" t="str">
        <f>"Suite 2750"</f>
        <v>Suite 2750</v>
      </c>
      <c r="AZ1485" t="str">
        <f>"Woburn"</f>
        <v>Woburn</v>
      </c>
      <c r="BA1485" t="str">
        <f>"MA"</f>
        <v>MA</v>
      </c>
      <c r="BB1485" s="3">
        <v>1801</v>
      </c>
      <c r="BC1485" t="str">
        <f>"UNITED STATES OF AMERICA"</f>
        <v>UNITED STATES OF AMERICA</v>
      </c>
      <c r="BD1485" t="str">
        <f>""</f>
        <v/>
      </c>
      <c r="BE1485" t="str">
        <f>"+16175009978"</f>
        <v>+16175009978</v>
      </c>
      <c r="BF1485" t="str">
        <f>""</f>
        <v/>
      </c>
      <c r="BG1485" t="str">
        <f>"christinel@raminenilaw.com"</f>
        <v>christinel@raminenilaw.com</v>
      </c>
      <c r="BH1485" t="str">
        <f>"Ramineni &amp; Shepard, LLC"</f>
        <v>Ramineni &amp; Shepard, LLC</v>
      </c>
      <c r="BI1485" t="str">
        <f>"MA"</f>
        <v>MA</v>
      </c>
      <c r="BJ1485" t="str">
        <f>"MA Judicial Supreme Court"</f>
        <v>MA Judicial Supreme Court</v>
      </c>
      <c r="BK1485">
        <v>1</v>
      </c>
      <c r="BL1485" t="s">
        <v>107</v>
      </c>
      <c r="BM1485" t="str">
        <f>"T-Mobile"</f>
        <v>T-Mobile</v>
      </c>
      <c r="BN1485" t="s">
        <v>3751</v>
      </c>
      <c r="BO1485" t="s">
        <v>11434</v>
      </c>
      <c r="BP1485" t="s">
        <v>2988</v>
      </c>
      <c r="BQ1485" t="s">
        <v>121</v>
      </c>
      <c r="BR1485" t="s">
        <v>122</v>
      </c>
      <c r="BS1485" s="5">
        <v>28262</v>
      </c>
      <c r="BT1485" s="2">
        <v>89918</v>
      </c>
      <c r="BV1485" t="s">
        <v>105</v>
      </c>
      <c r="BW1485" s="2">
        <v>85488</v>
      </c>
      <c r="BX1485" t="s">
        <v>105</v>
      </c>
      <c r="BZ1485" t="s">
        <v>167</v>
      </c>
      <c r="CA1485" t="str">
        <f t="shared" si="113"/>
        <v>7/1/2020 - 6/30/2021</v>
      </c>
      <c r="CF1485">
        <v>1</v>
      </c>
      <c r="CG1485" t="s">
        <v>98</v>
      </c>
      <c r="CH1485" t="s">
        <v>98</v>
      </c>
      <c r="CI1485" t="s">
        <v>206</v>
      </c>
      <c r="CJ1485" t="s">
        <v>98</v>
      </c>
      <c r="CK1485" t="s">
        <v>12323</v>
      </c>
      <c r="CL1485" t="s">
        <v>108</v>
      </c>
      <c r="CM1485" t="s">
        <v>353</v>
      </c>
      <c r="CN1485" t="str">
        <f>""</f>
        <v/>
      </c>
      <c r="CO1485" t="str">
        <f>""</f>
        <v/>
      </c>
      <c r="CP1485" t="str">
        <f>""</f>
        <v/>
      </c>
      <c r="CQ1485" t="str">
        <f>""</f>
        <v/>
      </c>
    </row>
    <row r="1486" spans="1:96" x14ac:dyDescent="0.2">
      <c r="A1486" t="s">
        <v>11444</v>
      </c>
      <c r="B1486" t="s">
        <v>96</v>
      </c>
      <c r="C1486" s="1">
        <v>44099</v>
      </c>
      <c r="D1486" s="1">
        <v>44106</v>
      </c>
      <c r="F1486" t="s">
        <v>97</v>
      </c>
      <c r="G1486" t="str">
        <f>"Programmer Analyst	"</f>
        <v xml:space="preserve">Programmer Analyst	</v>
      </c>
      <c r="H1486" t="s">
        <v>12239</v>
      </c>
      <c r="I1486" t="s">
        <v>378</v>
      </c>
      <c r="J1486" t="s">
        <v>98</v>
      </c>
      <c r="K1486" s="1">
        <v>44099</v>
      </c>
      <c r="L1486" s="1">
        <v>45193</v>
      </c>
      <c r="M1486">
        <v>6</v>
      </c>
      <c r="N1486">
        <v>1</v>
      </c>
      <c r="O1486">
        <v>2</v>
      </c>
      <c r="P1486">
        <v>1</v>
      </c>
      <c r="Q1486">
        <v>0</v>
      </c>
      <c r="R1486">
        <v>1</v>
      </c>
      <c r="S1486">
        <v>1</v>
      </c>
      <c r="T1486" t="s">
        <v>902</v>
      </c>
      <c r="U1486" t="str">
        <f>""</f>
        <v/>
      </c>
      <c r="V1486" t="s">
        <v>903</v>
      </c>
      <c r="W1486" t="str">
        <f>"SUITE 2200"</f>
        <v>SUITE 2200</v>
      </c>
      <c r="X1486" t="s">
        <v>904</v>
      </c>
      <c r="Y1486" t="s">
        <v>100</v>
      </c>
      <c r="Z1486" s="3">
        <v>8816</v>
      </c>
      <c r="AA1486" t="s">
        <v>101</v>
      </c>
      <c r="AB1486" t="s">
        <v>108</v>
      </c>
      <c r="AC1486" s="4" t="str">
        <f>"+17325091586"</f>
        <v>+17325091586</v>
      </c>
      <c r="AE1486" t="str">
        <f t="shared" si="114"/>
        <v>541511</v>
      </c>
      <c r="AF1486" t="s">
        <v>905</v>
      </c>
      <c r="AG1486" t="s">
        <v>906</v>
      </c>
      <c r="AH1486" t="s">
        <v>108</v>
      </c>
      <c r="AI1486" t="s">
        <v>818</v>
      </c>
      <c r="AJ1486" t="s">
        <v>903</v>
      </c>
      <c r="AK1486" t="str">
        <f>"SUITE 2200"</f>
        <v>SUITE 2200</v>
      </c>
      <c r="AL1486" t="s">
        <v>904</v>
      </c>
      <c r="AM1486" t="s">
        <v>100</v>
      </c>
      <c r="AN1486" s="3">
        <v>8816</v>
      </c>
      <c r="AO1486" t="s">
        <v>101</v>
      </c>
      <c r="AQ1486" t="str">
        <f>"+17325091586"</f>
        <v>+17325091586</v>
      </c>
      <c r="AS1486" t="s">
        <v>907</v>
      </c>
      <c r="AT1486" t="s">
        <v>102</v>
      </c>
      <c r="AU1486" t="str">
        <f>""</f>
        <v/>
      </c>
      <c r="AV1486" t="str">
        <f>""</f>
        <v/>
      </c>
      <c r="AW1486" t="str">
        <f>""</f>
        <v/>
      </c>
      <c r="AX1486" t="str">
        <f>""</f>
        <v/>
      </c>
      <c r="AY1486" t="str">
        <f>""</f>
        <v/>
      </c>
      <c r="AZ1486" t="str">
        <f>""</f>
        <v/>
      </c>
      <c r="BA1486" t="str">
        <f>""</f>
        <v/>
      </c>
      <c r="BC1486" t="str">
        <f>""</f>
        <v/>
      </c>
      <c r="BD1486" t="str">
        <f>""</f>
        <v/>
      </c>
      <c r="BE1486" t="str">
        <f>""</f>
        <v/>
      </c>
      <c r="BF1486" t="str">
        <f>""</f>
        <v/>
      </c>
      <c r="BG1486" t="str">
        <f>""</f>
        <v/>
      </c>
      <c r="BH1486" t="str">
        <f>""</f>
        <v/>
      </c>
      <c r="BI1486" t="str">
        <f>""</f>
        <v/>
      </c>
      <c r="BJ1486" t="str">
        <f>""</f>
        <v/>
      </c>
      <c r="BK1486">
        <v>6</v>
      </c>
      <c r="BL1486" t="s">
        <v>102</v>
      </c>
      <c r="BM1486" t="str">
        <f>""</f>
        <v/>
      </c>
      <c r="BN1486" t="s">
        <v>11445</v>
      </c>
      <c r="BP1486" t="s">
        <v>224</v>
      </c>
      <c r="BQ1486" t="s">
        <v>668</v>
      </c>
      <c r="BR1486" t="s">
        <v>545</v>
      </c>
      <c r="BS1486" s="5">
        <v>37067</v>
      </c>
      <c r="BT1486" s="2">
        <v>79830</v>
      </c>
      <c r="BV1486" t="s">
        <v>105</v>
      </c>
      <c r="BW1486" s="2">
        <v>79830</v>
      </c>
      <c r="BX1486" t="s">
        <v>105</v>
      </c>
      <c r="BZ1486" t="s">
        <v>167</v>
      </c>
      <c r="CA1486" t="str">
        <f t="shared" si="113"/>
        <v>7/1/2020 - 6/30/2021</v>
      </c>
      <c r="CF1486">
        <v>1</v>
      </c>
      <c r="CG1486" t="s">
        <v>98</v>
      </c>
      <c r="CH1486" t="s">
        <v>98</v>
      </c>
      <c r="CI1486" t="s">
        <v>206</v>
      </c>
      <c r="CJ1486" t="s">
        <v>98</v>
      </c>
      <c r="CK1486" t="s">
        <v>12323</v>
      </c>
      <c r="CL1486" t="s">
        <v>108</v>
      </c>
      <c r="CM1486" t="s">
        <v>109</v>
      </c>
      <c r="CN1486" t="str">
        <f>""</f>
        <v/>
      </c>
      <c r="CO1486" t="str">
        <f>""</f>
        <v/>
      </c>
      <c r="CP1486" t="str">
        <f>""</f>
        <v/>
      </c>
      <c r="CQ1486" t="str">
        <f>""</f>
        <v/>
      </c>
    </row>
    <row r="1487" spans="1:96" x14ac:dyDescent="0.2">
      <c r="A1487" t="s">
        <v>11446</v>
      </c>
      <c r="B1487" t="s">
        <v>96</v>
      </c>
      <c r="C1487" s="1">
        <v>44099</v>
      </c>
      <c r="D1487" s="1">
        <v>44106</v>
      </c>
      <c r="F1487" t="s">
        <v>97</v>
      </c>
      <c r="G1487" t="str">
        <f>"IT Project Managers - IV"</f>
        <v>IT Project Managers - IV</v>
      </c>
      <c r="H1487" t="s">
        <v>12168</v>
      </c>
      <c r="I1487" t="s">
        <v>367</v>
      </c>
      <c r="J1487" t="s">
        <v>98</v>
      </c>
      <c r="K1487" s="1">
        <v>44099</v>
      </c>
      <c r="L1487" s="1">
        <v>45193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669</v>
      </c>
      <c r="U1487" t="str">
        <f>""</f>
        <v/>
      </c>
      <c r="V1487" t="s">
        <v>670</v>
      </c>
      <c r="W1487" t="str">
        <f>""</f>
        <v/>
      </c>
      <c r="X1487" t="s">
        <v>671</v>
      </c>
      <c r="Y1487" t="s">
        <v>141</v>
      </c>
      <c r="Z1487" s="3">
        <v>94085</v>
      </c>
      <c r="AA1487" t="s">
        <v>101</v>
      </c>
      <c r="AC1487" s="4" t="str">
        <f>"+14087330480"</f>
        <v>+14087330480</v>
      </c>
      <c r="AE1487" t="str">
        <f t="shared" si="114"/>
        <v>541511</v>
      </c>
      <c r="AF1487" t="s">
        <v>672</v>
      </c>
      <c r="AG1487" t="s">
        <v>673</v>
      </c>
      <c r="AI1487" t="s">
        <v>674</v>
      </c>
      <c r="AJ1487" t="s">
        <v>670</v>
      </c>
      <c r="AK1487" t="str">
        <f>""</f>
        <v/>
      </c>
      <c r="AL1487" t="s">
        <v>671</v>
      </c>
      <c r="AM1487" t="s">
        <v>141</v>
      </c>
      <c r="AN1487" s="3">
        <v>94085</v>
      </c>
      <c r="AO1487" t="s">
        <v>101</v>
      </c>
      <c r="AQ1487" t="str">
        <f>"+14087330480"</f>
        <v>+14087330480</v>
      </c>
      <c r="AS1487" t="s">
        <v>675</v>
      </c>
      <c r="AT1487" t="s">
        <v>102</v>
      </c>
      <c r="AU1487" t="str">
        <f>""</f>
        <v/>
      </c>
      <c r="AV1487" t="str">
        <f>""</f>
        <v/>
      </c>
      <c r="AW1487" t="str">
        <f>""</f>
        <v/>
      </c>
      <c r="AX1487" t="str">
        <f>""</f>
        <v/>
      </c>
      <c r="AY1487" t="str">
        <f>""</f>
        <v/>
      </c>
      <c r="AZ1487" t="str">
        <f>""</f>
        <v/>
      </c>
      <c r="BA1487" t="str">
        <f>""</f>
        <v/>
      </c>
      <c r="BC1487" t="str">
        <f>""</f>
        <v/>
      </c>
      <c r="BD1487" t="str">
        <f>""</f>
        <v/>
      </c>
      <c r="BE1487" t="str">
        <f>""</f>
        <v/>
      </c>
      <c r="BF1487" t="str">
        <f>""</f>
        <v/>
      </c>
      <c r="BG1487" t="str">
        <f>""</f>
        <v/>
      </c>
      <c r="BH1487" t="str">
        <f>""</f>
        <v/>
      </c>
      <c r="BI1487" t="str">
        <f>""</f>
        <v/>
      </c>
      <c r="BJ1487" t="str">
        <f>""</f>
        <v/>
      </c>
      <c r="BK1487">
        <v>1</v>
      </c>
      <c r="BL1487" t="s">
        <v>107</v>
      </c>
      <c r="BM1487" t="str">
        <f>"The Boeing Company"</f>
        <v>The Boeing Company</v>
      </c>
      <c r="BN1487" t="s">
        <v>11447</v>
      </c>
      <c r="BP1487" t="s">
        <v>7414</v>
      </c>
      <c r="BQ1487" t="s">
        <v>1612</v>
      </c>
      <c r="BR1487" t="s">
        <v>176</v>
      </c>
      <c r="BS1487" s="5">
        <v>98203</v>
      </c>
      <c r="BT1487" s="2">
        <v>118900</v>
      </c>
      <c r="BV1487" t="s">
        <v>105</v>
      </c>
      <c r="BW1487" s="2">
        <v>117125</v>
      </c>
      <c r="BX1487" t="s">
        <v>105</v>
      </c>
      <c r="BZ1487" t="s">
        <v>159</v>
      </c>
      <c r="CA1487" t="str">
        <f t="shared" si="113"/>
        <v>7/1/2020 - 6/30/2021</v>
      </c>
      <c r="CF1487">
        <v>1</v>
      </c>
      <c r="CG1487" t="s">
        <v>98</v>
      </c>
      <c r="CH1487" t="s">
        <v>98</v>
      </c>
      <c r="CI1487" t="s">
        <v>206</v>
      </c>
      <c r="CJ1487" t="s">
        <v>98</v>
      </c>
      <c r="CK1487" t="s">
        <v>12323</v>
      </c>
      <c r="CL1487" t="s">
        <v>108</v>
      </c>
      <c r="CM1487" t="s">
        <v>109</v>
      </c>
      <c r="CN1487" t="str">
        <f>""</f>
        <v/>
      </c>
      <c r="CO1487" t="str">
        <f>""</f>
        <v/>
      </c>
      <c r="CP1487" t="str">
        <f>""</f>
        <v/>
      </c>
      <c r="CQ1487" t="str">
        <f>""</f>
        <v/>
      </c>
    </row>
    <row r="1488" spans="1:96" x14ac:dyDescent="0.2">
      <c r="A1488" t="s">
        <v>11471</v>
      </c>
      <c r="B1488" t="s">
        <v>96</v>
      </c>
      <c r="C1488" s="1">
        <v>44099</v>
      </c>
      <c r="D1488" s="1">
        <v>44106</v>
      </c>
      <c r="F1488" t="s">
        <v>97</v>
      </c>
      <c r="G1488" t="str">
        <f>"Senior Systems Analyst JC60"</f>
        <v>Senior Systems Analyst JC60</v>
      </c>
      <c r="H1488" t="s">
        <v>12181</v>
      </c>
      <c r="I1488" t="s">
        <v>110</v>
      </c>
      <c r="J1488" t="s">
        <v>98</v>
      </c>
      <c r="K1488" s="1">
        <v>44276</v>
      </c>
      <c r="L1488" s="1">
        <v>45371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 t="s">
        <v>111</v>
      </c>
      <c r="U1488" t="str">
        <f>"CTSUS"</f>
        <v>CTSUS</v>
      </c>
      <c r="V1488" t="s">
        <v>112</v>
      </c>
      <c r="W1488" t="str">
        <f>""</f>
        <v/>
      </c>
      <c r="X1488" t="s">
        <v>113</v>
      </c>
      <c r="Y1488" t="s">
        <v>114</v>
      </c>
      <c r="Z1488" s="3">
        <v>77845</v>
      </c>
      <c r="AA1488" t="s">
        <v>101</v>
      </c>
      <c r="AB1488" t="s">
        <v>114</v>
      </c>
      <c r="AC1488" s="4" t="str">
        <f>"+19793296682"</f>
        <v>+19793296682</v>
      </c>
      <c r="AE1488" t="str">
        <f>"541512"</f>
        <v>541512</v>
      </c>
      <c r="AF1488" t="s">
        <v>115</v>
      </c>
      <c r="AG1488" t="s">
        <v>116</v>
      </c>
      <c r="AH1488" t="s">
        <v>108</v>
      </c>
      <c r="AI1488" t="s">
        <v>117</v>
      </c>
      <c r="AJ1488" t="s">
        <v>118</v>
      </c>
      <c r="AK1488" t="str">
        <f>""</f>
        <v/>
      </c>
      <c r="AL1488" t="s">
        <v>119</v>
      </c>
      <c r="AM1488" t="s">
        <v>114</v>
      </c>
      <c r="AN1488" s="3">
        <v>77845</v>
      </c>
      <c r="AO1488" t="s">
        <v>101</v>
      </c>
      <c r="AQ1488" t="str">
        <f>"+19793296682"</f>
        <v>+19793296682</v>
      </c>
      <c r="AS1488" t="s">
        <v>120</v>
      </c>
      <c r="AT1488" t="s">
        <v>102</v>
      </c>
      <c r="AU1488" t="str">
        <f>""</f>
        <v/>
      </c>
      <c r="AV1488" t="str">
        <f>""</f>
        <v/>
      </c>
      <c r="AW1488" t="str">
        <f>""</f>
        <v/>
      </c>
      <c r="AX1488" t="str">
        <f>""</f>
        <v/>
      </c>
      <c r="AY1488" t="str">
        <f>""</f>
        <v/>
      </c>
      <c r="AZ1488" t="str">
        <f>""</f>
        <v/>
      </c>
      <c r="BA1488" t="str">
        <f>""</f>
        <v/>
      </c>
      <c r="BC1488" t="str">
        <f>""</f>
        <v/>
      </c>
      <c r="BD1488" t="str">
        <f>""</f>
        <v/>
      </c>
      <c r="BE1488" t="str">
        <f>""</f>
        <v/>
      </c>
      <c r="BF1488" t="str">
        <f>""</f>
        <v/>
      </c>
      <c r="BG1488" t="str">
        <f>""</f>
        <v/>
      </c>
      <c r="BH1488" t="str">
        <f>""</f>
        <v/>
      </c>
      <c r="BI1488" t="str">
        <f>""</f>
        <v/>
      </c>
      <c r="BJ1488" t="str">
        <f>""</f>
        <v/>
      </c>
      <c r="BK1488">
        <v>1</v>
      </c>
      <c r="BL1488" t="s">
        <v>107</v>
      </c>
      <c r="BM1488" t="str">
        <f>"Nationwide Mutual Insurance Company"</f>
        <v>Nationwide Mutual Insurance Company</v>
      </c>
      <c r="BN1488" t="s">
        <v>2922</v>
      </c>
      <c r="BP1488" t="s">
        <v>388</v>
      </c>
      <c r="BQ1488" t="s">
        <v>224</v>
      </c>
      <c r="BR1488" t="s">
        <v>225</v>
      </c>
      <c r="BS1488" s="5">
        <v>43215</v>
      </c>
      <c r="BT1488" s="2">
        <v>78125</v>
      </c>
      <c r="BV1488" t="s">
        <v>105</v>
      </c>
      <c r="BW1488" s="2">
        <v>78125</v>
      </c>
      <c r="BX1488" t="s">
        <v>105</v>
      </c>
      <c r="BZ1488" t="s">
        <v>167</v>
      </c>
      <c r="CA1488" t="str">
        <f t="shared" si="113"/>
        <v>7/1/2020 - 6/30/2021</v>
      </c>
      <c r="CF1488">
        <v>1</v>
      </c>
      <c r="CG1488" t="s">
        <v>98</v>
      </c>
      <c r="CH1488" t="s">
        <v>98</v>
      </c>
      <c r="CI1488" t="s">
        <v>206</v>
      </c>
      <c r="CJ1488" t="s">
        <v>98</v>
      </c>
      <c r="CK1488" t="s">
        <v>12323</v>
      </c>
      <c r="CL1488" t="s">
        <v>108</v>
      </c>
      <c r="CM1488" t="s">
        <v>109</v>
      </c>
      <c r="CN1488" t="str">
        <f>""</f>
        <v/>
      </c>
      <c r="CO1488" t="str">
        <f>""</f>
        <v/>
      </c>
      <c r="CP1488" t="str">
        <f>""</f>
        <v/>
      </c>
      <c r="CQ1488" t="str">
        <f>""</f>
        <v/>
      </c>
    </row>
    <row r="1489" spans="1:96" x14ac:dyDescent="0.2">
      <c r="A1489" t="s">
        <v>11492</v>
      </c>
      <c r="B1489" t="s">
        <v>96</v>
      </c>
      <c r="C1489" s="1">
        <v>44099</v>
      </c>
      <c r="D1489" s="1">
        <v>44106</v>
      </c>
      <c r="F1489" t="s">
        <v>97</v>
      </c>
      <c r="G1489" t="str">
        <f>"LEAD - TECHNOLOGY"</f>
        <v>LEAD - TECHNOLOGY</v>
      </c>
      <c r="H1489" t="s">
        <v>12169</v>
      </c>
      <c r="I1489" t="s">
        <v>124</v>
      </c>
      <c r="J1489" t="s">
        <v>98</v>
      </c>
      <c r="K1489" s="1">
        <v>44197</v>
      </c>
      <c r="L1489" s="1">
        <v>45291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3071</v>
      </c>
      <c r="U1489" t="str">
        <f>""</f>
        <v/>
      </c>
      <c r="V1489" t="s">
        <v>3072</v>
      </c>
      <c r="W1489" t="str">
        <f>"SUITE 3301"</f>
        <v>SUITE 3301</v>
      </c>
      <c r="X1489" t="s">
        <v>189</v>
      </c>
      <c r="Y1489" t="s">
        <v>190</v>
      </c>
      <c r="Z1489" s="3">
        <v>10036</v>
      </c>
      <c r="AA1489" t="s">
        <v>101</v>
      </c>
      <c r="AC1489" s="4" t="str">
        <f>"+17047631255"</f>
        <v>+17047631255</v>
      </c>
      <c r="AE1489" t="str">
        <f>"541511"</f>
        <v>541511</v>
      </c>
      <c r="AF1489" t="s">
        <v>3073</v>
      </c>
      <c r="AG1489" t="s">
        <v>3074</v>
      </c>
      <c r="AI1489" t="s">
        <v>3075</v>
      </c>
      <c r="AJ1489" t="s">
        <v>3072</v>
      </c>
      <c r="AK1489" t="str">
        <f>"SUITE 3301"</f>
        <v>SUITE 3301</v>
      </c>
      <c r="AL1489" t="s">
        <v>189</v>
      </c>
      <c r="AM1489" t="s">
        <v>190</v>
      </c>
      <c r="AN1489" s="3">
        <v>10036</v>
      </c>
      <c r="AO1489" t="s">
        <v>101</v>
      </c>
      <c r="AQ1489" t="str">
        <f>"+17047631255"</f>
        <v>+17047631255</v>
      </c>
      <c r="AS1489" t="s">
        <v>3076</v>
      </c>
      <c r="AT1489" t="s">
        <v>107</v>
      </c>
      <c r="AU1489" t="str">
        <f>"JETHMALANI"</f>
        <v>JETHMALANI</v>
      </c>
      <c r="AV1489" t="str">
        <f>"ANIL"</f>
        <v>ANIL</v>
      </c>
      <c r="AW1489" t="str">
        <f>""</f>
        <v/>
      </c>
      <c r="AX1489" t="str">
        <f>"42 BROADWAY"</f>
        <v>42 BROADWAY</v>
      </c>
      <c r="AY1489" t="str">
        <f>"SUITE 1548"</f>
        <v>SUITE 1548</v>
      </c>
      <c r="AZ1489" t="str">
        <f>"NEW YORK"</f>
        <v>NEW YORK</v>
      </c>
      <c r="BA1489" t="str">
        <f>"NY"</f>
        <v>NY</v>
      </c>
      <c r="BB1489" s="3">
        <v>10004</v>
      </c>
      <c r="BC1489" t="str">
        <f>"UNITED STATES OF AMERICA"</f>
        <v>UNITED STATES OF AMERICA</v>
      </c>
      <c r="BD1489" t="str">
        <f>""</f>
        <v/>
      </c>
      <c r="BE1489" t="str">
        <f>"+12124069257"</f>
        <v>+12124069257</v>
      </c>
      <c r="BF1489" t="str">
        <f>""</f>
        <v/>
      </c>
      <c r="BG1489" t="str">
        <f>"FORUM@JNATTORNEY.COM"</f>
        <v>FORUM@JNATTORNEY.COM</v>
      </c>
      <c r="BH1489" t="str">
        <f>"Jethmalani &amp; Nallaseth PLLC"</f>
        <v>Jethmalani &amp; Nallaseth PLLC</v>
      </c>
      <c r="BI1489" t="str">
        <f>"NY"</f>
        <v>NY</v>
      </c>
      <c r="BJ1489" t="str">
        <f>"SUPREME COURT"</f>
        <v>SUPREME COURT</v>
      </c>
      <c r="BK1489">
        <v>1</v>
      </c>
      <c r="BL1489" t="s">
        <v>107</v>
      </c>
      <c r="BM1489" t="str">
        <f>"DAVIDSON KEMPNER CAPITAL MANAGEMENT LP"</f>
        <v>DAVIDSON KEMPNER CAPITAL MANAGEMENT LP</v>
      </c>
      <c r="BN1489" t="s">
        <v>5906</v>
      </c>
      <c r="BO1489" t="s">
        <v>5907</v>
      </c>
      <c r="BP1489" t="s">
        <v>189</v>
      </c>
      <c r="BQ1489" t="s">
        <v>189</v>
      </c>
      <c r="BR1489" t="s">
        <v>190</v>
      </c>
      <c r="BS1489" s="5">
        <v>10022</v>
      </c>
      <c r="BT1489" s="2">
        <v>100526</v>
      </c>
      <c r="BV1489" t="s">
        <v>105</v>
      </c>
      <c r="BW1489" s="2">
        <v>100526</v>
      </c>
      <c r="BX1489" t="s">
        <v>105</v>
      </c>
      <c r="BZ1489" t="s">
        <v>167</v>
      </c>
      <c r="CA1489" t="str">
        <f t="shared" si="113"/>
        <v>7/1/2020 - 6/30/2021</v>
      </c>
      <c r="CF1489">
        <v>1</v>
      </c>
      <c r="CG1489" t="s">
        <v>98</v>
      </c>
      <c r="CH1489" t="s">
        <v>98</v>
      </c>
      <c r="CI1489" t="s">
        <v>206</v>
      </c>
      <c r="CJ1489" t="s">
        <v>98</v>
      </c>
      <c r="CK1489" t="s">
        <v>12323</v>
      </c>
      <c r="CL1489" t="s">
        <v>108</v>
      </c>
      <c r="CM1489" t="s">
        <v>109</v>
      </c>
      <c r="CN1489" t="str">
        <f>""</f>
        <v/>
      </c>
      <c r="CO1489" t="str">
        <f>""</f>
        <v/>
      </c>
      <c r="CP1489" t="str">
        <f>""</f>
        <v/>
      </c>
      <c r="CQ1489" t="str">
        <f>""</f>
        <v/>
      </c>
    </row>
    <row r="1490" spans="1:96" x14ac:dyDescent="0.2">
      <c r="A1490" t="s">
        <v>11493</v>
      </c>
      <c r="B1490" t="s">
        <v>96</v>
      </c>
      <c r="C1490" s="1">
        <v>44099</v>
      </c>
      <c r="D1490" s="1">
        <v>44106</v>
      </c>
      <c r="F1490" t="s">
        <v>97</v>
      </c>
      <c r="G1490" t="str">
        <f>"SOFTWARE APPLICATION ARCHITECT"</f>
        <v>SOFTWARE APPLICATION ARCHITECT</v>
      </c>
      <c r="H1490" t="s">
        <v>12168</v>
      </c>
      <c r="I1490" t="s">
        <v>160</v>
      </c>
      <c r="J1490" t="s">
        <v>98</v>
      </c>
      <c r="K1490" s="1">
        <v>44256</v>
      </c>
      <c r="L1490" s="1">
        <v>45351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 t="s">
        <v>10669</v>
      </c>
      <c r="U1490" t="str">
        <f>""</f>
        <v/>
      </c>
      <c r="V1490" t="s">
        <v>2340</v>
      </c>
      <c r="W1490" t="str">
        <f>"SUITE 102"</f>
        <v>SUITE 102</v>
      </c>
      <c r="X1490" t="s">
        <v>2341</v>
      </c>
      <c r="Y1490" t="s">
        <v>100</v>
      </c>
      <c r="Z1490" s="3">
        <v>7080</v>
      </c>
      <c r="AA1490" t="s">
        <v>101</v>
      </c>
      <c r="AC1490" s="4" t="str">
        <f>"+19087691271"</f>
        <v>+19087691271</v>
      </c>
      <c r="AE1490" t="str">
        <f>"541511"</f>
        <v>541511</v>
      </c>
      <c r="AF1490" t="s">
        <v>10670</v>
      </c>
      <c r="AG1490" t="s">
        <v>10671</v>
      </c>
      <c r="AI1490" t="s">
        <v>425</v>
      </c>
      <c r="AJ1490" t="s">
        <v>2340</v>
      </c>
      <c r="AK1490" t="str">
        <f>"SUITE 102"</f>
        <v>SUITE 102</v>
      </c>
      <c r="AL1490" t="s">
        <v>2341</v>
      </c>
      <c r="AM1490" t="s">
        <v>100</v>
      </c>
      <c r="AN1490" s="3">
        <v>7080</v>
      </c>
      <c r="AO1490" t="s">
        <v>101</v>
      </c>
      <c r="AQ1490" t="str">
        <f>"+19087691271"</f>
        <v>+19087691271</v>
      </c>
      <c r="AS1490" t="s">
        <v>10672</v>
      </c>
      <c r="AT1490" t="s">
        <v>107</v>
      </c>
      <c r="AU1490" t="str">
        <f>"ALLEN"</f>
        <v>ALLEN</v>
      </c>
      <c r="AV1490" t="str">
        <f>"THOMAS"</f>
        <v>THOMAS</v>
      </c>
      <c r="AW1490" t="str">
        <f>"V."</f>
        <v>V.</v>
      </c>
      <c r="AX1490" t="str">
        <f>"50 CRAGWOOD ROAD"</f>
        <v>50 CRAGWOOD ROAD</v>
      </c>
      <c r="AY1490" t="str">
        <f>"SUITE 100"</f>
        <v>SUITE 100</v>
      </c>
      <c r="AZ1490" t="str">
        <f>"SOUTH PLAINFIELD"</f>
        <v>SOUTH PLAINFIELD</v>
      </c>
      <c r="BA1490" t="str">
        <f>"NJ"</f>
        <v>NJ</v>
      </c>
      <c r="BB1490" s="3">
        <v>7080</v>
      </c>
      <c r="BC1490" t="str">
        <f>"UNITED STATES OF AMERICA"</f>
        <v>UNITED STATES OF AMERICA</v>
      </c>
      <c r="BD1490" t="str">
        <f>""</f>
        <v/>
      </c>
      <c r="BE1490" t="str">
        <f>"+17328327978"</f>
        <v>+17328327978</v>
      </c>
      <c r="BF1490" t="str">
        <f>""</f>
        <v/>
      </c>
      <c r="BG1490" t="str">
        <f>"ICERT@THOMASVALLEN.COM"</f>
        <v>ICERT@THOMASVALLEN.COM</v>
      </c>
      <c r="BH1490" t="str">
        <f>"LAW OFFICE OF THOMAS V. ALLEN PLLC"</f>
        <v>LAW OFFICE OF THOMAS V. ALLEN PLLC</v>
      </c>
      <c r="BI1490" t="str">
        <f>"NY"</f>
        <v>NY</v>
      </c>
      <c r="BJ1490" t="str">
        <f>"APPELLATE COURT"</f>
        <v>APPELLATE COURT</v>
      </c>
      <c r="BK1490">
        <v>1</v>
      </c>
      <c r="BL1490" t="s">
        <v>107</v>
      </c>
      <c r="BM1490" t="str">
        <f>"BED BATH &amp; BEYOND, INC."</f>
        <v>BED BATH &amp; BEYOND, INC.</v>
      </c>
      <c r="BN1490" t="s">
        <v>7785</v>
      </c>
      <c r="BP1490" t="s">
        <v>2990</v>
      </c>
      <c r="BQ1490" t="s">
        <v>2990</v>
      </c>
      <c r="BR1490" t="s">
        <v>100</v>
      </c>
      <c r="BS1490" s="5">
        <v>7083</v>
      </c>
      <c r="BT1490" s="2">
        <v>120000</v>
      </c>
      <c r="BV1490" t="s">
        <v>105</v>
      </c>
      <c r="BW1490" s="2">
        <v>114962</v>
      </c>
      <c r="BX1490" t="s">
        <v>105</v>
      </c>
      <c r="BZ1490" t="s">
        <v>159</v>
      </c>
      <c r="CA1490" t="str">
        <f t="shared" si="113"/>
        <v>7/1/2020 - 6/30/2021</v>
      </c>
      <c r="CF1490">
        <v>2</v>
      </c>
      <c r="CG1490" t="s">
        <v>98</v>
      </c>
      <c r="CH1490" t="s">
        <v>98</v>
      </c>
      <c r="CI1490" t="s">
        <v>206</v>
      </c>
      <c r="CJ1490" t="s">
        <v>98</v>
      </c>
      <c r="CK1490" t="s">
        <v>12323</v>
      </c>
      <c r="CL1490" t="s">
        <v>108</v>
      </c>
      <c r="CM1490" t="s">
        <v>109</v>
      </c>
      <c r="CN1490" t="str">
        <f>""</f>
        <v/>
      </c>
      <c r="CO1490" t="str">
        <f>""</f>
        <v/>
      </c>
      <c r="CP1490" t="str">
        <f>""</f>
        <v/>
      </c>
      <c r="CQ1490" t="str">
        <f>""</f>
        <v/>
      </c>
    </row>
    <row r="1491" spans="1:96" x14ac:dyDescent="0.2">
      <c r="A1491" t="s">
        <v>11502</v>
      </c>
      <c r="B1491" t="s">
        <v>96</v>
      </c>
      <c r="C1491" s="1">
        <v>44099</v>
      </c>
      <c r="D1491" s="1">
        <v>44106</v>
      </c>
      <c r="F1491" t="s">
        <v>97</v>
      </c>
      <c r="G1491" t="str">
        <f>"NET Developer"</f>
        <v>NET Developer</v>
      </c>
      <c r="H1491" t="s">
        <v>12169</v>
      </c>
      <c r="I1491" t="s">
        <v>124</v>
      </c>
      <c r="J1491" t="s">
        <v>98</v>
      </c>
      <c r="K1491" s="1">
        <v>44106</v>
      </c>
      <c r="L1491" s="1">
        <v>45200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 t="s">
        <v>5833</v>
      </c>
      <c r="U1491" t="str">
        <f>""</f>
        <v/>
      </c>
      <c r="V1491" t="s">
        <v>5834</v>
      </c>
      <c r="W1491" t="str">
        <f>"Suite 312"</f>
        <v>Suite 312</v>
      </c>
      <c r="X1491" t="s">
        <v>947</v>
      </c>
      <c r="Y1491" t="s">
        <v>100</v>
      </c>
      <c r="Z1491" s="3">
        <v>8540</v>
      </c>
      <c r="AA1491" t="s">
        <v>101</v>
      </c>
      <c r="AC1491" s="4" t="str">
        <f>"+17325684950"</f>
        <v>+17325684950</v>
      </c>
      <c r="AE1491" t="str">
        <f>"541511"</f>
        <v>541511</v>
      </c>
      <c r="AF1491" t="s">
        <v>5835</v>
      </c>
      <c r="AG1491" t="s">
        <v>5836</v>
      </c>
      <c r="AI1491" t="s">
        <v>508</v>
      </c>
      <c r="AJ1491" t="s">
        <v>5834</v>
      </c>
      <c r="AK1491" t="str">
        <f>"Suite 312 "</f>
        <v xml:space="preserve">Suite 312 </v>
      </c>
      <c r="AL1491" t="s">
        <v>947</v>
      </c>
      <c r="AM1491" t="s">
        <v>100</v>
      </c>
      <c r="AN1491" s="3">
        <v>8540</v>
      </c>
      <c r="AO1491" t="s">
        <v>101</v>
      </c>
      <c r="AQ1491" t="str">
        <f>"+17325684950"</f>
        <v>+17325684950</v>
      </c>
      <c r="AS1491" t="s">
        <v>5837</v>
      </c>
      <c r="AT1491" t="s">
        <v>107</v>
      </c>
      <c r="AU1491" t="str">
        <f>"Kozar"</f>
        <v>Kozar</v>
      </c>
      <c r="AV1491" t="str">
        <f>"Mika"</f>
        <v>Mika</v>
      </c>
      <c r="AW1491" t="str">
        <f>"B."</f>
        <v>B.</v>
      </c>
      <c r="AX1491" t="str">
        <f>"4390 Route 1 N"</f>
        <v>4390 Route 1 N</v>
      </c>
      <c r="AY1491" t="str">
        <f>"SUITE 230"</f>
        <v>SUITE 230</v>
      </c>
      <c r="AZ1491" t="str">
        <f>"Princeton"</f>
        <v>Princeton</v>
      </c>
      <c r="BA1491" t="str">
        <f>"NJ"</f>
        <v>NJ</v>
      </c>
      <c r="BB1491" s="3">
        <v>8540</v>
      </c>
      <c r="BC1491" t="str">
        <f>"UNITED STATES OF AMERICA"</f>
        <v>UNITED STATES OF AMERICA</v>
      </c>
      <c r="BD1491" t="str">
        <f>""</f>
        <v/>
      </c>
      <c r="BE1491" t="str">
        <f>"+17328327978"</f>
        <v>+17328327978</v>
      </c>
      <c r="BF1491" t="str">
        <f>""</f>
        <v/>
      </c>
      <c r="BG1491" t="str">
        <f>"icert@tvalawyers.com"</f>
        <v>icert@tvalawyers.com</v>
      </c>
      <c r="BH1491" t="str">
        <f>"Law Office of Thomas V. Allen, PLLC"</f>
        <v>Law Office of Thomas V. Allen, PLLC</v>
      </c>
      <c r="BI1491" t="str">
        <f>"NY"</f>
        <v>NY</v>
      </c>
      <c r="BJ1491" t="str">
        <f>"Appellate Court"</f>
        <v>Appellate Court</v>
      </c>
      <c r="BK1491">
        <v>1</v>
      </c>
      <c r="BL1491" t="s">
        <v>107</v>
      </c>
      <c r="BM1491" t="str">
        <f>"New York State Department of Health"</f>
        <v>New York State Department of Health</v>
      </c>
      <c r="BN1491" t="s">
        <v>5509</v>
      </c>
      <c r="BP1491" t="s">
        <v>1941</v>
      </c>
      <c r="BQ1491" t="s">
        <v>1933</v>
      </c>
      <c r="BR1491" t="s">
        <v>190</v>
      </c>
      <c r="BS1491" s="5">
        <v>12210</v>
      </c>
      <c r="BT1491" s="2">
        <v>90002</v>
      </c>
      <c r="BV1491" t="s">
        <v>105</v>
      </c>
      <c r="BW1491" s="2">
        <v>79643</v>
      </c>
      <c r="BX1491" t="s">
        <v>105</v>
      </c>
      <c r="BZ1491" t="s">
        <v>167</v>
      </c>
      <c r="CA1491" t="str">
        <f t="shared" si="113"/>
        <v>7/1/2020 - 6/30/2021</v>
      </c>
      <c r="CF1491">
        <v>3</v>
      </c>
      <c r="CG1491" t="s">
        <v>98</v>
      </c>
      <c r="CH1491" t="s">
        <v>98</v>
      </c>
      <c r="CI1491" t="s">
        <v>206</v>
      </c>
      <c r="CJ1491" t="s">
        <v>98</v>
      </c>
      <c r="CK1491" t="s">
        <v>12323</v>
      </c>
      <c r="CL1491" t="s">
        <v>108</v>
      </c>
      <c r="CM1491" t="s">
        <v>109</v>
      </c>
      <c r="CN1491" t="str">
        <f>""</f>
        <v/>
      </c>
      <c r="CO1491" t="str">
        <f>""</f>
        <v/>
      </c>
      <c r="CP1491" t="str">
        <f>""</f>
        <v/>
      </c>
      <c r="CQ1491" t="str">
        <f>""</f>
        <v/>
      </c>
    </row>
    <row r="1492" spans="1:96" x14ac:dyDescent="0.2">
      <c r="A1492" t="s">
        <v>11538</v>
      </c>
      <c r="B1492" t="s">
        <v>96</v>
      </c>
      <c r="C1492" s="1">
        <v>44099</v>
      </c>
      <c r="D1492" s="1">
        <v>44106</v>
      </c>
      <c r="F1492" t="s">
        <v>97</v>
      </c>
      <c r="G1492" t="str">
        <f>"Applications Consultant 3"</f>
        <v>Applications Consultant 3</v>
      </c>
      <c r="H1492" t="s">
        <v>12169</v>
      </c>
      <c r="I1492" t="s">
        <v>124</v>
      </c>
      <c r="J1492" t="s">
        <v>98</v>
      </c>
      <c r="K1492" s="1">
        <v>44102</v>
      </c>
      <c r="L1492" s="1">
        <v>45196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 t="s">
        <v>1421</v>
      </c>
      <c r="U1492" t="str">
        <f>""</f>
        <v/>
      </c>
      <c r="V1492" t="s">
        <v>1422</v>
      </c>
      <c r="W1492" t="str">
        <f>"SUITE 300"</f>
        <v>SUITE 300</v>
      </c>
      <c r="X1492" t="s">
        <v>843</v>
      </c>
      <c r="Y1492" t="s">
        <v>345</v>
      </c>
      <c r="Z1492" s="3">
        <v>60606</v>
      </c>
      <c r="AA1492" t="s">
        <v>101</v>
      </c>
      <c r="AC1492" s="4" t="str">
        <f>"+13123955000"</f>
        <v>+13123955000</v>
      </c>
      <c r="AE1492" t="str">
        <f>"5416"</f>
        <v>5416</v>
      </c>
      <c r="AF1492" t="s">
        <v>1423</v>
      </c>
      <c r="AG1492" t="s">
        <v>1424</v>
      </c>
      <c r="AI1492" t="s">
        <v>1425</v>
      </c>
      <c r="AJ1492" t="s">
        <v>1422</v>
      </c>
      <c r="AK1492" t="str">
        <f>"SUITE 300"</f>
        <v>SUITE 300</v>
      </c>
      <c r="AL1492" t="s">
        <v>843</v>
      </c>
      <c r="AM1492" t="s">
        <v>345</v>
      </c>
      <c r="AN1492" s="3">
        <v>60606</v>
      </c>
      <c r="AO1492" t="s">
        <v>101</v>
      </c>
      <c r="AQ1492" t="str">
        <f>"+13123958209"</f>
        <v>+13123958209</v>
      </c>
      <c r="AS1492" t="s">
        <v>1426</v>
      </c>
      <c r="AT1492" t="s">
        <v>102</v>
      </c>
      <c r="AU1492" t="str">
        <f>""</f>
        <v/>
      </c>
      <c r="AV1492" t="str">
        <f>""</f>
        <v/>
      </c>
      <c r="AW1492" t="str">
        <f>""</f>
        <v/>
      </c>
      <c r="AX1492" t="str">
        <f>""</f>
        <v/>
      </c>
      <c r="AY1492" t="str">
        <f>""</f>
        <v/>
      </c>
      <c r="AZ1492" t="str">
        <f>""</f>
        <v/>
      </c>
      <c r="BA1492" t="str">
        <f>""</f>
        <v/>
      </c>
      <c r="BC1492" t="str">
        <f>""</f>
        <v/>
      </c>
      <c r="BD1492" t="str">
        <f>""</f>
        <v/>
      </c>
      <c r="BE1492" t="str">
        <f>""</f>
        <v/>
      </c>
      <c r="BF1492" t="str">
        <f>""</f>
        <v/>
      </c>
      <c r="BG1492" t="str">
        <f>""</f>
        <v/>
      </c>
      <c r="BH1492" t="str">
        <f>""</f>
        <v/>
      </c>
      <c r="BI1492" t="str">
        <f>""</f>
        <v/>
      </c>
      <c r="BJ1492" t="str">
        <f>""</f>
        <v/>
      </c>
      <c r="BK1492">
        <v>1</v>
      </c>
      <c r="BL1492" t="s">
        <v>102</v>
      </c>
      <c r="BM1492" t="str">
        <f>""</f>
        <v/>
      </c>
      <c r="BN1492" t="s">
        <v>11539</v>
      </c>
      <c r="BP1492" t="s">
        <v>998</v>
      </c>
      <c r="BQ1492" t="s">
        <v>121</v>
      </c>
      <c r="BR1492" t="s">
        <v>122</v>
      </c>
      <c r="BS1492" s="5">
        <v>28262</v>
      </c>
      <c r="BT1492" s="2">
        <v>104042</v>
      </c>
      <c r="BU1492" s="2">
        <v>130625</v>
      </c>
      <c r="BV1492" t="s">
        <v>105</v>
      </c>
      <c r="BW1492" s="2">
        <v>104042</v>
      </c>
      <c r="BX1492" t="s">
        <v>105</v>
      </c>
      <c r="BZ1492" t="s">
        <v>123</v>
      </c>
      <c r="CA1492" t="str">
        <f t="shared" si="113"/>
        <v>7/1/2020 - 6/30/2021</v>
      </c>
      <c r="CF1492">
        <v>1</v>
      </c>
      <c r="CG1492" t="s">
        <v>98</v>
      </c>
      <c r="CH1492" t="s">
        <v>98</v>
      </c>
      <c r="CI1492" t="s">
        <v>206</v>
      </c>
      <c r="CJ1492" t="s">
        <v>98</v>
      </c>
      <c r="CK1492" t="s">
        <v>12323</v>
      </c>
      <c r="CL1492" t="s">
        <v>108</v>
      </c>
      <c r="CM1492" t="s">
        <v>109</v>
      </c>
      <c r="CN1492" t="str">
        <f>""</f>
        <v/>
      </c>
      <c r="CO1492" t="str">
        <f>""</f>
        <v/>
      </c>
      <c r="CP1492" t="str">
        <f>""</f>
        <v/>
      </c>
      <c r="CQ1492" t="str">
        <f>""</f>
        <v/>
      </c>
    </row>
    <row r="1493" spans="1:96" x14ac:dyDescent="0.2">
      <c r="A1493" t="s">
        <v>11556</v>
      </c>
      <c r="B1493" t="s">
        <v>96</v>
      </c>
      <c r="C1493" s="1">
        <v>44099</v>
      </c>
      <c r="D1493" s="1">
        <v>44106</v>
      </c>
      <c r="F1493" t="s">
        <v>97</v>
      </c>
      <c r="G1493" t="str">
        <f>"Senior Software Developer - Database"</f>
        <v>Senior Software Developer - Database</v>
      </c>
      <c r="H1493" t="s">
        <v>12169</v>
      </c>
      <c r="I1493" t="s">
        <v>124</v>
      </c>
      <c r="J1493" t="s">
        <v>98</v>
      </c>
      <c r="K1493" s="1">
        <v>44102</v>
      </c>
      <c r="L1493" s="1">
        <v>45196</v>
      </c>
      <c r="M1493">
        <v>6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 t="s">
        <v>2509</v>
      </c>
      <c r="U1493" t="str">
        <f>"Mastech Digital InfoTech, Inc."</f>
        <v>Mastech Digital InfoTech, Inc.</v>
      </c>
      <c r="V1493" t="s">
        <v>1081</v>
      </c>
      <c r="W1493" t="str">
        <f>"Bldg. 210, Suite 400"</f>
        <v>Bldg. 210, Suite 400</v>
      </c>
      <c r="X1493" t="s">
        <v>1082</v>
      </c>
      <c r="Y1493" t="s">
        <v>127</v>
      </c>
      <c r="Z1493" s="3">
        <v>15108</v>
      </c>
      <c r="AA1493" t="s">
        <v>101</v>
      </c>
      <c r="AB1493" t="s">
        <v>2510</v>
      </c>
      <c r="AC1493" s="4" t="str">
        <f>"+14127879553"</f>
        <v>+14127879553</v>
      </c>
      <c r="AE1493" t="str">
        <f>"541511"</f>
        <v>541511</v>
      </c>
      <c r="AF1493" t="s">
        <v>1083</v>
      </c>
      <c r="AG1493" t="s">
        <v>1084</v>
      </c>
      <c r="AI1493" t="s">
        <v>1085</v>
      </c>
      <c r="AJ1493" t="s">
        <v>1081</v>
      </c>
      <c r="AK1493" t="str">
        <f>"Bldg. 210, Ste 400"</f>
        <v>Bldg. 210, Ste 400</v>
      </c>
      <c r="AL1493" t="s">
        <v>1082</v>
      </c>
      <c r="AM1493" t="s">
        <v>127</v>
      </c>
      <c r="AN1493" s="3">
        <v>15108</v>
      </c>
      <c r="AO1493" t="s">
        <v>101</v>
      </c>
      <c r="AQ1493" t="str">
        <f>"+14127879553"</f>
        <v>+14127879553</v>
      </c>
      <c r="AS1493" t="s">
        <v>1086</v>
      </c>
      <c r="AT1493" t="s">
        <v>102</v>
      </c>
      <c r="AU1493" t="str">
        <f>""</f>
        <v/>
      </c>
      <c r="AV1493" t="str">
        <f>""</f>
        <v/>
      </c>
      <c r="AW1493" t="str">
        <f>""</f>
        <v/>
      </c>
      <c r="AX1493" t="str">
        <f>""</f>
        <v/>
      </c>
      <c r="AY1493" t="str">
        <f>""</f>
        <v/>
      </c>
      <c r="AZ1493" t="str">
        <f>""</f>
        <v/>
      </c>
      <c r="BA1493" t="str">
        <f>""</f>
        <v/>
      </c>
      <c r="BC1493" t="str">
        <f>""</f>
        <v/>
      </c>
      <c r="BD1493" t="str">
        <f>""</f>
        <v/>
      </c>
      <c r="BE1493" t="str">
        <f>""</f>
        <v/>
      </c>
      <c r="BF1493" t="str">
        <f>""</f>
        <v/>
      </c>
      <c r="BG1493" t="str">
        <f>""</f>
        <v/>
      </c>
      <c r="BH1493" t="str">
        <f>""</f>
        <v/>
      </c>
      <c r="BI1493" t="str">
        <f>""</f>
        <v/>
      </c>
      <c r="BJ1493" t="str">
        <f>""</f>
        <v/>
      </c>
      <c r="BK1493">
        <v>6</v>
      </c>
      <c r="BL1493" t="s">
        <v>107</v>
      </c>
      <c r="BM1493" t="str">
        <f>"SourceLead"</f>
        <v>SourceLead</v>
      </c>
      <c r="BN1493" t="s">
        <v>5754</v>
      </c>
      <c r="BO1493" t="s">
        <v>11557</v>
      </c>
      <c r="BP1493" t="s">
        <v>2696</v>
      </c>
      <c r="BQ1493" t="s">
        <v>484</v>
      </c>
      <c r="BR1493" t="s">
        <v>114</v>
      </c>
      <c r="BS1493" s="5">
        <v>75244</v>
      </c>
      <c r="BT1493" s="2">
        <v>53.05</v>
      </c>
      <c r="BU1493" s="2">
        <v>53.15</v>
      </c>
      <c r="BV1493" t="s">
        <v>210</v>
      </c>
      <c r="BW1493" s="2">
        <v>53.05</v>
      </c>
      <c r="BX1493" t="s">
        <v>210</v>
      </c>
      <c r="BZ1493" t="s">
        <v>123</v>
      </c>
      <c r="CA1493" t="str">
        <f t="shared" si="113"/>
        <v>7/1/2020 - 6/30/2021</v>
      </c>
      <c r="CF1493">
        <v>2</v>
      </c>
      <c r="CG1493" t="s">
        <v>98</v>
      </c>
      <c r="CH1493" t="s">
        <v>98</v>
      </c>
      <c r="CI1493" t="s">
        <v>206</v>
      </c>
      <c r="CJ1493" t="s">
        <v>98</v>
      </c>
      <c r="CK1493" t="s">
        <v>12323</v>
      </c>
      <c r="CL1493" t="s">
        <v>108</v>
      </c>
      <c r="CM1493" t="s">
        <v>109</v>
      </c>
      <c r="CN1493" t="str">
        <f>""</f>
        <v/>
      </c>
      <c r="CO1493" t="str">
        <f>""</f>
        <v/>
      </c>
      <c r="CP1493" t="str">
        <f>""</f>
        <v/>
      </c>
      <c r="CQ1493" t="str">
        <f>""</f>
        <v/>
      </c>
    </row>
    <row r="1494" spans="1:96" x14ac:dyDescent="0.2">
      <c r="A1494" t="s">
        <v>11572</v>
      </c>
      <c r="B1494" t="s">
        <v>96</v>
      </c>
      <c r="C1494" s="1">
        <v>44099</v>
      </c>
      <c r="D1494" s="1">
        <v>44106</v>
      </c>
      <c r="F1494" t="s">
        <v>97</v>
      </c>
      <c r="G1494" t="str">
        <f>"Senior ASIC Design Engineer"</f>
        <v>Senior ASIC Design Engineer</v>
      </c>
      <c r="H1494" t="s">
        <v>12186</v>
      </c>
      <c r="I1494" t="s">
        <v>232</v>
      </c>
      <c r="J1494" t="s">
        <v>98</v>
      </c>
      <c r="K1494" s="1">
        <v>44116</v>
      </c>
      <c r="L1494" s="1">
        <v>45210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 t="s">
        <v>4509</v>
      </c>
      <c r="U1494" t="str">
        <f>""</f>
        <v/>
      </c>
      <c r="V1494" t="s">
        <v>4510</v>
      </c>
      <c r="W1494" t="str">
        <f>""</f>
        <v/>
      </c>
      <c r="X1494" t="s">
        <v>247</v>
      </c>
      <c r="Y1494" t="s">
        <v>141</v>
      </c>
      <c r="Z1494" s="3">
        <v>95051</v>
      </c>
      <c r="AA1494" t="s">
        <v>101</v>
      </c>
      <c r="AB1494" t="s">
        <v>108</v>
      </c>
      <c r="AC1494" s="4" t="str">
        <f>"+14084862000"</f>
        <v>+14084862000</v>
      </c>
      <c r="AE1494" t="str">
        <f>"334111"</f>
        <v>334111</v>
      </c>
      <c r="AF1494" t="s">
        <v>4511</v>
      </c>
      <c r="AG1494" t="s">
        <v>4512</v>
      </c>
      <c r="AH1494" t="s">
        <v>108</v>
      </c>
      <c r="AI1494" t="s">
        <v>5740</v>
      </c>
      <c r="AJ1494" t="s">
        <v>4510</v>
      </c>
      <c r="AK1494" t="str">
        <f>"N/A"</f>
        <v>N/A</v>
      </c>
      <c r="AL1494" t="s">
        <v>247</v>
      </c>
      <c r="AM1494" t="s">
        <v>141</v>
      </c>
      <c r="AN1494" s="3">
        <v>95051</v>
      </c>
      <c r="AO1494" t="s">
        <v>101</v>
      </c>
      <c r="AQ1494" t="str">
        <f>"+14084862000"</f>
        <v>+14084862000</v>
      </c>
      <c r="AS1494" t="s">
        <v>4514</v>
      </c>
      <c r="AT1494" t="s">
        <v>107</v>
      </c>
      <c r="AU1494" t="str">
        <f>"Kim"</f>
        <v>Kim</v>
      </c>
      <c r="AV1494" t="str">
        <f>"Aileen"</f>
        <v>Aileen</v>
      </c>
      <c r="AW1494" t="str">
        <f>"N/A"</f>
        <v>N/A</v>
      </c>
      <c r="AX1494" t="str">
        <f>"2121 Tasman Drive"</f>
        <v>2121 Tasman Drive</v>
      </c>
      <c r="AY1494" t="str">
        <f>""</f>
        <v/>
      </c>
      <c r="AZ1494" t="str">
        <f>"Santa Clara"</f>
        <v>Santa Clara</v>
      </c>
      <c r="BA1494" t="str">
        <f>"CA"</f>
        <v>CA</v>
      </c>
      <c r="BB1494" s="3">
        <v>95054</v>
      </c>
      <c r="BC1494" t="str">
        <f>"UNITED STATES OF AMERICA"</f>
        <v>UNITED STATES OF AMERICA</v>
      </c>
      <c r="BD1494" t="str">
        <f>"N/A"</f>
        <v>N/A</v>
      </c>
      <c r="BE1494" t="str">
        <f>"+14089190600"</f>
        <v>+14089190600</v>
      </c>
      <c r="BF1494" t="str">
        <f>""</f>
        <v/>
      </c>
      <c r="BG1494" t="str">
        <f>"NVIDIA@Fragomen.com"</f>
        <v>NVIDIA@Fragomen.com</v>
      </c>
      <c r="BH1494" t="str">
        <f>"Fragomen, Del Rey, Bernsen &amp; Loewy, LLP"</f>
        <v>Fragomen, Del Rey, Bernsen &amp; Loewy, LLP</v>
      </c>
      <c r="BI1494" t="str">
        <f>"CA"</f>
        <v>CA</v>
      </c>
      <c r="BJ1494" t="str">
        <f>"Supreme Court"</f>
        <v>Supreme Court</v>
      </c>
      <c r="BK1494">
        <v>1</v>
      </c>
      <c r="BL1494" t="s">
        <v>102</v>
      </c>
      <c r="BM1494" t="str">
        <f>""</f>
        <v/>
      </c>
      <c r="BN1494" t="s">
        <v>11573</v>
      </c>
      <c r="BO1494" t="s">
        <v>11574</v>
      </c>
      <c r="BP1494" t="s">
        <v>256</v>
      </c>
      <c r="BQ1494" t="s">
        <v>257</v>
      </c>
      <c r="BR1494" t="s">
        <v>258</v>
      </c>
      <c r="BS1494" s="5">
        <v>85248</v>
      </c>
      <c r="BT1494" s="2">
        <v>145000</v>
      </c>
      <c r="BV1494" t="s">
        <v>105</v>
      </c>
      <c r="BW1494" s="2">
        <v>106392</v>
      </c>
      <c r="BX1494" t="s">
        <v>105</v>
      </c>
      <c r="BZ1494" t="s">
        <v>123</v>
      </c>
      <c r="CA1494" t="str">
        <f t="shared" si="113"/>
        <v>7/1/2020 - 6/30/2021</v>
      </c>
      <c r="CF1494">
        <v>1</v>
      </c>
      <c r="CG1494" t="s">
        <v>98</v>
      </c>
      <c r="CH1494" t="s">
        <v>98</v>
      </c>
      <c r="CI1494" t="s">
        <v>206</v>
      </c>
      <c r="CJ1494" t="s">
        <v>98</v>
      </c>
      <c r="CK1494" t="s">
        <v>12323</v>
      </c>
      <c r="CL1494" t="s">
        <v>108</v>
      </c>
      <c r="CM1494" t="s">
        <v>109</v>
      </c>
      <c r="CN1494" t="str">
        <f>"Keeling"</f>
        <v>Keeling</v>
      </c>
      <c r="CO1494" t="str">
        <f>"Brianna"</f>
        <v>Brianna</v>
      </c>
      <c r="CP1494" t="str">
        <f>"L"</f>
        <v>L</v>
      </c>
      <c r="CQ1494" t="str">
        <f>"Fragomen, Del Rey, Bernsen &amp; Loewy, LLP"</f>
        <v>Fragomen, Del Rey, Bernsen &amp; Loewy, LLP</v>
      </c>
      <c r="CR1494" t="s">
        <v>11575</v>
      </c>
    </row>
    <row r="1495" spans="1:96" x14ac:dyDescent="0.2">
      <c r="A1495" t="s">
        <v>11586</v>
      </c>
      <c r="B1495" t="s">
        <v>96</v>
      </c>
      <c r="C1495" s="1">
        <v>44099</v>
      </c>
      <c r="D1495" s="1">
        <v>44106</v>
      </c>
      <c r="F1495" t="s">
        <v>97</v>
      </c>
      <c r="G1495" t="str">
        <f>"Manager JC50"</f>
        <v>Manager JC50</v>
      </c>
      <c r="H1495" t="s">
        <v>12181</v>
      </c>
      <c r="I1495" t="s">
        <v>110</v>
      </c>
      <c r="J1495" t="s">
        <v>98</v>
      </c>
      <c r="K1495" s="1">
        <v>44109</v>
      </c>
      <c r="L1495" s="1">
        <v>45203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 t="s">
        <v>111</v>
      </c>
      <c r="U1495" t="str">
        <f>"CTSUS"</f>
        <v>CTSUS</v>
      </c>
      <c r="V1495" t="s">
        <v>112</v>
      </c>
      <c r="W1495" t="str">
        <f>""</f>
        <v/>
      </c>
      <c r="X1495" t="s">
        <v>113</v>
      </c>
      <c r="Y1495" t="s">
        <v>114</v>
      </c>
      <c r="Z1495" s="3">
        <v>77845</v>
      </c>
      <c r="AA1495" t="s">
        <v>101</v>
      </c>
      <c r="AB1495" t="s">
        <v>114</v>
      </c>
      <c r="AC1495" s="4" t="str">
        <f>"+19793296682"</f>
        <v>+19793296682</v>
      </c>
      <c r="AE1495" t="str">
        <f>"541512"</f>
        <v>541512</v>
      </c>
      <c r="AF1495" t="s">
        <v>115</v>
      </c>
      <c r="AG1495" t="s">
        <v>116</v>
      </c>
      <c r="AH1495" t="s">
        <v>108</v>
      </c>
      <c r="AI1495" t="s">
        <v>117</v>
      </c>
      <c r="AJ1495" t="s">
        <v>118</v>
      </c>
      <c r="AK1495" t="str">
        <f>""</f>
        <v/>
      </c>
      <c r="AL1495" t="s">
        <v>119</v>
      </c>
      <c r="AM1495" t="s">
        <v>114</v>
      </c>
      <c r="AN1495" s="3">
        <v>77845</v>
      </c>
      <c r="AO1495" t="s">
        <v>101</v>
      </c>
      <c r="AQ1495" t="str">
        <f>"+19793296682"</f>
        <v>+19793296682</v>
      </c>
      <c r="AS1495" t="s">
        <v>120</v>
      </c>
      <c r="AT1495" t="s">
        <v>102</v>
      </c>
      <c r="AU1495" t="str">
        <f>""</f>
        <v/>
      </c>
      <c r="AV1495" t="str">
        <f>""</f>
        <v/>
      </c>
      <c r="AW1495" t="str">
        <f>""</f>
        <v/>
      </c>
      <c r="AX1495" t="str">
        <f>""</f>
        <v/>
      </c>
      <c r="AY1495" t="str">
        <f>""</f>
        <v/>
      </c>
      <c r="AZ1495" t="str">
        <f>""</f>
        <v/>
      </c>
      <c r="BA1495" t="str">
        <f>""</f>
        <v/>
      </c>
      <c r="BC1495" t="str">
        <f>""</f>
        <v/>
      </c>
      <c r="BD1495" t="str">
        <f>""</f>
        <v/>
      </c>
      <c r="BE1495" t="str">
        <f>""</f>
        <v/>
      </c>
      <c r="BF1495" t="str">
        <f>""</f>
        <v/>
      </c>
      <c r="BG1495" t="str">
        <f>""</f>
        <v/>
      </c>
      <c r="BH1495" t="str">
        <f>""</f>
        <v/>
      </c>
      <c r="BI1495" t="str">
        <f>""</f>
        <v/>
      </c>
      <c r="BJ1495" t="str">
        <f>""</f>
        <v/>
      </c>
      <c r="BK1495">
        <v>1</v>
      </c>
      <c r="BL1495" t="s">
        <v>107</v>
      </c>
      <c r="BM1495" t="str">
        <f>"The Hartford"</f>
        <v>The Hartford</v>
      </c>
      <c r="BN1495" t="s">
        <v>8854</v>
      </c>
      <c r="BP1495" t="s">
        <v>4872</v>
      </c>
      <c r="BQ1495" t="s">
        <v>547</v>
      </c>
      <c r="BR1495" t="s">
        <v>280</v>
      </c>
      <c r="BS1495" s="5">
        <v>6095</v>
      </c>
      <c r="BT1495" s="2">
        <v>93309</v>
      </c>
      <c r="BV1495" t="s">
        <v>105</v>
      </c>
      <c r="BW1495" s="2">
        <v>93309</v>
      </c>
      <c r="BX1495" t="s">
        <v>105</v>
      </c>
      <c r="BZ1495" t="s">
        <v>123</v>
      </c>
      <c r="CA1495" t="str">
        <f t="shared" si="113"/>
        <v>7/1/2020 - 6/30/2021</v>
      </c>
      <c r="CF1495">
        <v>1</v>
      </c>
      <c r="CG1495" t="s">
        <v>98</v>
      </c>
      <c r="CH1495" t="s">
        <v>98</v>
      </c>
      <c r="CI1495" t="s">
        <v>206</v>
      </c>
      <c r="CJ1495" t="s">
        <v>98</v>
      </c>
      <c r="CK1495" t="s">
        <v>12323</v>
      </c>
      <c r="CL1495" t="s">
        <v>108</v>
      </c>
      <c r="CM1495" t="s">
        <v>109</v>
      </c>
      <c r="CN1495" t="str">
        <f>""</f>
        <v/>
      </c>
      <c r="CO1495" t="str">
        <f>""</f>
        <v/>
      </c>
      <c r="CP1495" t="str">
        <f>""</f>
        <v/>
      </c>
      <c r="CQ1495" t="str">
        <f>""</f>
        <v/>
      </c>
    </row>
    <row r="1496" spans="1:96" x14ac:dyDescent="0.2">
      <c r="A1496" t="s">
        <v>11598</v>
      </c>
      <c r="B1496" t="s">
        <v>96</v>
      </c>
      <c r="C1496" s="1">
        <v>44099</v>
      </c>
      <c r="D1496" s="1">
        <v>44106</v>
      </c>
      <c r="F1496" t="s">
        <v>97</v>
      </c>
      <c r="G1496" t="str">
        <f>"Software Engineer"</f>
        <v>Software Engineer</v>
      </c>
      <c r="H1496" t="s">
        <v>12169</v>
      </c>
      <c r="I1496" t="s">
        <v>124</v>
      </c>
      <c r="J1496" t="s">
        <v>98</v>
      </c>
      <c r="K1496" s="1">
        <v>44282</v>
      </c>
      <c r="L1496" s="1">
        <v>45377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 t="s">
        <v>412</v>
      </c>
      <c r="U1496" t="str">
        <f>""</f>
        <v/>
      </c>
      <c r="V1496" t="s">
        <v>413</v>
      </c>
      <c r="W1496" t="str">
        <f>"(*ALSO KNOWN AS 1601 WILLOW ROAD)"</f>
        <v>(*ALSO KNOWN AS 1601 WILLOW ROAD)</v>
      </c>
      <c r="X1496" t="s">
        <v>414</v>
      </c>
      <c r="Y1496" t="s">
        <v>141</v>
      </c>
      <c r="Z1496" s="3">
        <v>94025</v>
      </c>
      <c r="AA1496" t="s">
        <v>101</v>
      </c>
      <c r="AB1496" t="s">
        <v>141</v>
      </c>
      <c r="AC1496" s="4" t="str">
        <f>"+14085335781"</f>
        <v>+14085335781</v>
      </c>
      <c r="AE1496" t="str">
        <f>"51913"</f>
        <v>51913</v>
      </c>
      <c r="AF1496" t="s">
        <v>415</v>
      </c>
      <c r="AG1496" t="s">
        <v>416</v>
      </c>
      <c r="AI1496" t="s">
        <v>417</v>
      </c>
      <c r="AJ1496" t="s">
        <v>413</v>
      </c>
      <c r="AK1496" t="str">
        <f>"(*ALSO KNOWN AS 1601 WILLOW RD.*)"</f>
        <v>(*ALSO KNOWN AS 1601 WILLOW RD.*)</v>
      </c>
      <c r="AL1496" t="s">
        <v>414</v>
      </c>
      <c r="AM1496" t="s">
        <v>141</v>
      </c>
      <c r="AN1496" s="3">
        <v>94025</v>
      </c>
      <c r="AO1496" t="s">
        <v>101</v>
      </c>
      <c r="AQ1496" t="str">
        <f>"+14085335781"</f>
        <v>+14085335781</v>
      </c>
      <c r="AS1496" t="s">
        <v>418</v>
      </c>
      <c r="AT1496" t="s">
        <v>107</v>
      </c>
      <c r="AU1496" t="str">
        <f>"Nesch"</f>
        <v>Nesch</v>
      </c>
      <c r="AV1496" t="str">
        <f>"Elena"</f>
        <v>Elena</v>
      </c>
      <c r="AW1496" t="str">
        <f>"N/A"</f>
        <v>N/A</v>
      </c>
      <c r="AX1496" t="str">
        <f>"2400 N. GLENVILLE DRIVE"</f>
        <v>2400 N. GLENVILLE DRIVE</v>
      </c>
      <c r="AY1496" t="str">
        <f>"BUILDING A, SUITE 100"</f>
        <v>BUILDING A, SUITE 100</v>
      </c>
      <c r="AZ1496" t="str">
        <f>"RICHARDSON"</f>
        <v>RICHARDSON</v>
      </c>
      <c r="BA1496" t="str">
        <f>"TX"</f>
        <v>TX</v>
      </c>
      <c r="BB1496" s="3">
        <v>75082</v>
      </c>
      <c r="BC1496" t="str">
        <f>"UNITED STATES OF AMERICA"</f>
        <v>UNITED STATES OF AMERICA</v>
      </c>
      <c r="BD1496" t="str">
        <f>""</f>
        <v/>
      </c>
      <c r="BE1496" t="str">
        <f>"+14692909204"</f>
        <v>+14692909204</v>
      </c>
      <c r="BF1496" t="str">
        <f>""</f>
        <v/>
      </c>
      <c r="BG1496" t="str">
        <f>"enesch@balglobal.com"</f>
        <v>enesch@balglobal.com</v>
      </c>
      <c r="BH1496" t="str">
        <f>"BERRY APPLEMAN &amp; LEIDEN LLP"</f>
        <v>BERRY APPLEMAN &amp; LEIDEN LLP</v>
      </c>
      <c r="BI1496" t="str">
        <f>"NC"</f>
        <v>NC</v>
      </c>
      <c r="BJ1496" t="str">
        <f>"The Supreme Court of North Carolina"</f>
        <v>The Supreme Court of North Carolina</v>
      </c>
      <c r="BK1496">
        <v>1</v>
      </c>
      <c r="BL1496" t="s">
        <v>102</v>
      </c>
      <c r="BM1496" t="str">
        <f>""</f>
        <v/>
      </c>
      <c r="BN1496" t="s">
        <v>5192</v>
      </c>
      <c r="BP1496" t="s">
        <v>468</v>
      </c>
      <c r="BQ1496" t="s">
        <v>994</v>
      </c>
      <c r="BR1496" t="s">
        <v>141</v>
      </c>
      <c r="BS1496" s="5">
        <v>94025</v>
      </c>
      <c r="BT1496" s="2">
        <v>195000</v>
      </c>
      <c r="BV1496" t="s">
        <v>105</v>
      </c>
      <c r="BW1496" s="2">
        <v>169562</v>
      </c>
      <c r="BX1496" t="s">
        <v>105</v>
      </c>
      <c r="BZ1496" t="s">
        <v>159</v>
      </c>
      <c r="CA1496" t="str">
        <f t="shared" si="113"/>
        <v>7/1/2020 - 6/30/2021</v>
      </c>
      <c r="CF1496">
        <v>2</v>
      </c>
      <c r="CG1496" t="s">
        <v>98</v>
      </c>
      <c r="CH1496" t="s">
        <v>98</v>
      </c>
      <c r="CI1496" t="s">
        <v>206</v>
      </c>
      <c r="CJ1496" t="s">
        <v>98</v>
      </c>
      <c r="CK1496" t="s">
        <v>12323</v>
      </c>
      <c r="CL1496" t="s">
        <v>108</v>
      </c>
      <c r="CM1496" t="s">
        <v>109</v>
      </c>
      <c r="CN1496" t="str">
        <f>""</f>
        <v/>
      </c>
      <c r="CO1496" t="str">
        <f>""</f>
        <v/>
      </c>
      <c r="CP1496" t="str">
        <f>""</f>
        <v/>
      </c>
      <c r="CQ1496" t="str">
        <f>""</f>
        <v/>
      </c>
    </row>
    <row r="1497" spans="1:96" x14ac:dyDescent="0.2">
      <c r="A1497" t="s">
        <v>11618</v>
      </c>
      <c r="B1497" t="s">
        <v>96</v>
      </c>
      <c r="C1497" s="1">
        <v>44099</v>
      </c>
      <c r="D1497" s="1">
        <v>44106</v>
      </c>
      <c r="F1497" t="s">
        <v>97</v>
      </c>
      <c r="G1497" t="str">
        <f>"Software Engineer 2"</f>
        <v>Software Engineer 2</v>
      </c>
      <c r="H1497" t="s">
        <v>12169</v>
      </c>
      <c r="I1497" t="s">
        <v>124</v>
      </c>
      <c r="J1497" t="s">
        <v>98</v>
      </c>
      <c r="K1497" s="1">
        <v>44099</v>
      </c>
      <c r="L1497" s="1">
        <v>45134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 t="s">
        <v>1421</v>
      </c>
      <c r="U1497" t="str">
        <f>""</f>
        <v/>
      </c>
      <c r="V1497" t="s">
        <v>1422</v>
      </c>
      <c r="W1497" t="str">
        <f>"SUITE 300"</f>
        <v>SUITE 300</v>
      </c>
      <c r="X1497" t="s">
        <v>843</v>
      </c>
      <c r="Y1497" t="s">
        <v>345</v>
      </c>
      <c r="Z1497" s="3">
        <v>60606</v>
      </c>
      <c r="AA1497" t="s">
        <v>101</v>
      </c>
      <c r="AC1497" s="4" t="str">
        <f>"+13123955000"</f>
        <v>+13123955000</v>
      </c>
      <c r="AE1497" t="str">
        <f>"5416"</f>
        <v>5416</v>
      </c>
      <c r="AF1497" t="s">
        <v>1423</v>
      </c>
      <c r="AG1497" t="s">
        <v>1424</v>
      </c>
      <c r="AI1497" t="s">
        <v>1425</v>
      </c>
      <c r="AJ1497" t="s">
        <v>1422</v>
      </c>
      <c r="AK1497" t="str">
        <f>"SUITE 300"</f>
        <v>SUITE 300</v>
      </c>
      <c r="AL1497" t="s">
        <v>843</v>
      </c>
      <c r="AM1497" t="s">
        <v>345</v>
      </c>
      <c r="AN1497" s="3">
        <v>60606</v>
      </c>
      <c r="AO1497" t="s">
        <v>101</v>
      </c>
      <c r="AQ1497" t="str">
        <f>"+13123958209"</f>
        <v>+13123958209</v>
      </c>
      <c r="AS1497" t="s">
        <v>1426</v>
      </c>
      <c r="AT1497" t="s">
        <v>102</v>
      </c>
      <c r="AU1497" t="str">
        <f>""</f>
        <v/>
      </c>
      <c r="AV1497" t="str">
        <f>""</f>
        <v/>
      </c>
      <c r="AW1497" t="str">
        <f>""</f>
        <v/>
      </c>
      <c r="AX1497" t="str">
        <f>""</f>
        <v/>
      </c>
      <c r="AY1497" t="str">
        <f>""</f>
        <v/>
      </c>
      <c r="AZ1497" t="str">
        <f>""</f>
        <v/>
      </c>
      <c r="BA1497" t="str">
        <f>""</f>
        <v/>
      </c>
      <c r="BC1497" t="str">
        <f>""</f>
        <v/>
      </c>
      <c r="BD1497" t="str">
        <f>""</f>
        <v/>
      </c>
      <c r="BE1497" t="str">
        <f>""</f>
        <v/>
      </c>
      <c r="BF1497" t="str">
        <f>""</f>
        <v/>
      </c>
      <c r="BG1497" t="str">
        <f>""</f>
        <v/>
      </c>
      <c r="BH1497" t="str">
        <f>""</f>
        <v/>
      </c>
      <c r="BI1497" t="str">
        <f>""</f>
        <v/>
      </c>
      <c r="BJ1497" t="str">
        <f>""</f>
        <v/>
      </c>
      <c r="BK1497">
        <v>1</v>
      </c>
      <c r="BL1497" t="s">
        <v>107</v>
      </c>
      <c r="BM1497" t="str">
        <f>"Horizon Blue Cross Blue Shield of New Jersey"</f>
        <v>Horizon Blue Cross Blue Shield of New Jersey</v>
      </c>
      <c r="BN1497" t="s">
        <v>11619</v>
      </c>
      <c r="BP1497" t="s">
        <v>2104</v>
      </c>
      <c r="BQ1497" t="s">
        <v>309</v>
      </c>
      <c r="BR1497" t="s">
        <v>100</v>
      </c>
      <c r="BS1497" s="5">
        <v>7105</v>
      </c>
      <c r="BT1497" s="2">
        <v>100526</v>
      </c>
      <c r="BV1497" t="s">
        <v>105</v>
      </c>
      <c r="BW1497" s="2">
        <v>100526</v>
      </c>
      <c r="BX1497" t="s">
        <v>105</v>
      </c>
      <c r="BZ1497" t="s">
        <v>167</v>
      </c>
      <c r="CA1497" t="str">
        <f t="shared" ref="CA1497:CA1528" si="115">"7/1/2020 - 6/30/2021"</f>
        <v>7/1/2020 - 6/30/2021</v>
      </c>
      <c r="CF1497">
        <v>1</v>
      </c>
      <c r="CG1497" t="s">
        <v>98</v>
      </c>
      <c r="CH1497" t="s">
        <v>98</v>
      </c>
      <c r="CI1497" t="s">
        <v>206</v>
      </c>
      <c r="CJ1497" t="s">
        <v>98</v>
      </c>
      <c r="CK1497" t="s">
        <v>12323</v>
      </c>
      <c r="CL1497" t="s">
        <v>108</v>
      </c>
      <c r="CM1497" t="s">
        <v>109</v>
      </c>
      <c r="CN1497" t="str">
        <f>""</f>
        <v/>
      </c>
      <c r="CO1497" t="str">
        <f>""</f>
        <v/>
      </c>
      <c r="CP1497" t="str">
        <f>""</f>
        <v/>
      </c>
      <c r="CQ1497" t="str">
        <f>""</f>
        <v/>
      </c>
    </row>
    <row r="1498" spans="1:96" x14ac:dyDescent="0.2">
      <c r="A1498" t="s">
        <v>11627</v>
      </c>
      <c r="B1498" t="s">
        <v>96</v>
      </c>
      <c r="C1498" s="1">
        <v>44099</v>
      </c>
      <c r="D1498" s="1">
        <v>44106</v>
      </c>
      <c r="F1498" t="s">
        <v>97</v>
      </c>
      <c r="G1498" t="str">
        <f>"Integration Lead"</f>
        <v>Integration Lead</v>
      </c>
      <c r="H1498" t="s">
        <v>12214</v>
      </c>
      <c r="I1498" t="s">
        <v>276</v>
      </c>
      <c r="J1498" t="s">
        <v>98</v>
      </c>
      <c r="K1498" s="1">
        <v>44105</v>
      </c>
      <c r="L1498" s="1">
        <v>45199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5715</v>
      </c>
      <c r="U1498" t="str">
        <f>""</f>
        <v/>
      </c>
      <c r="V1498" t="s">
        <v>5716</v>
      </c>
      <c r="W1498" t="str">
        <f>"Suite 990"</f>
        <v>Suite 990</v>
      </c>
      <c r="X1498" t="s">
        <v>651</v>
      </c>
      <c r="Y1498" t="s">
        <v>141</v>
      </c>
      <c r="Z1498" s="3">
        <v>95113</v>
      </c>
      <c r="AA1498" t="s">
        <v>101</v>
      </c>
      <c r="AC1498" s="4" t="str">
        <f>"+16503864049"</f>
        <v>+16503864049</v>
      </c>
      <c r="AE1498" t="str">
        <f>"541511"</f>
        <v>541511</v>
      </c>
      <c r="AF1498" t="s">
        <v>5717</v>
      </c>
      <c r="AG1498" t="s">
        <v>5718</v>
      </c>
      <c r="AI1498" t="s">
        <v>5719</v>
      </c>
      <c r="AJ1498" t="s">
        <v>5716</v>
      </c>
      <c r="AK1498" t="str">
        <f>"SUITE 990"</f>
        <v>SUITE 990</v>
      </c>
      <c r="AL1498" t="s">
        <v>651</v>
      </c>
      <c r="AM1498" t="s">
        <v>141</v>
      </c>
      <c r="AN1498" s="3">
        <v>95113</v>
      </c>
      <c r="AO1498" t="s">
        <v>101</v>
      </c>
      <c r="AQ1498" t="str">
        <f>"+16503864049"</f>
        <v>+16503864049</v>
      </c>
      <c r="AS1498" t="s">
        <v>5720</v>
      </c>
      <c r="AT1498" t="s">
        <v>107</v>
      </c>
      <c r="AU1498" t="str">
        <f>"TAN"</f>
        <v>TAN</v>
      </c>
      <c r="AV1498" t="str">
        <f>"LIHUA"</f>
        <v>LIHUA</v>
      </c>
      <c r="AW1498" t="str">
        <f>""</f>
        <v/>
      </c>
      <c r="AX1498" t="str">
        <f>"1600 DUANE AVENUE"</f>
        <v>1600 DUANE AVENUE</v>
      </c>
      <c r="AY1498" t="str">
        <f>""</f>
        <v/>
      </c>
      <c r="AZ1498" t="str">
        <f>"SANTA CLARA"</f>
        <v>SANTA CLARA</v>
      </c>
      <c r="BA1498" t="str">
        <f>"CA"</f>
        <v>CA</v>
      </c>
      <c r="BB1498" s="3">
        <v>95054</v>
      </c>
      <c r="BC1498" t="str">
        <f>"UNITED STATES OF AMERICA"</f>
        <v>UNITED STATES OF AMERICA</v>
      </c>
      <c r="BD1498" t="str">
        <f>""</f>
        <v/>
      </c>
      <c r="BE1498" t="str">
        <f>"+14089700100"</f>
        <v>+14089700100</v>
      </c>
      <c r="BF1498" t="str">
        <f>""</f>
        <v/>
      </c>
      <c r="BG1498" t="str">
        <f>"LIHUA.TAN@CHUGH.COM"</f>
        <v>LIHUA.TAN@CHUGH.COM</v>
      </c>
      <c r="BH1498" t="str">
        <f>"CHUGH, LLP"</f>
        <v>CHUGH, LLP</v>
      </c>
      <c r="BI1498" t="str">
        <f>"NY"</f>
        <v>NY</v>
      </c>
      <c r="BJ1498" t="str">
        <f>"U.S. SUPREME COURT"</f>
        <v>U.S. SUPREME COURT</v>
      </c>
      <c r="BK1498">
        <v>1</v>
      </c>
      <c r="BL1498" t="s">
        <v>107</v>
      </c>
      <c r="BM1498" t="str">
        <f>"Illumina, Inc."</f>
        <v>Illumina, Inc.</v>
      </c>
      <c r="BN1498" t="s">
        <v>11628</v>
      </c>
      <c r="BP1498" t="s">
        <v>157</v>
      </c>
      <c r="BQ1498" t="s">
        <v>158</v>
      </c>
      <c r="BR1498" t="s">
        <v>141</v>
      </c>
      <c r="BS1498" s="5">
        <v>92121</v>
      </c>
      <c r="BT1498" s="2">
        <v>87173</v>
      </c>
      <c r="BU1498" s="2">
        <v>110000</v>
      </c>
      <c r="BV1498" t="s">
        <v>105</v>
      </c>
      <c r="BW1498" s="2">
        <v>87173</v>
      </c>
      <c r="BX1498" t="s">
        <v>105</v>
      </c>
      <c r="BZ1498" t="s">
        <v>123</v>
      </c>
      <c r="CA1498" t="str">
        <f t="shared" si="115"/>
        <v>7/1/2020 - 6/30/2021</v>
      </c>
      <c r="CF1498">
        <v>2</v>
      </c>
      <c r="CG1498" t="s">
        <v>98</v>
      </c>
      <c r="CH1498" t="s">
        <v>98</v>
      </c>
      <c r="CI1498" t="s">
        <v>206</v>
      </c>
      <c r="CJ1498" t="s">
        <v>98</v>
      </c>
      <c r="CK1498" t="s">
        <v>12323</v>
      </c>
      <c r="CL1498" t="s">
        <v>108</v>
      </c>
      <c r="CM1498" t="s">
        <v>109</v>
      </c>
      <c r="CN1498" t="str">
        <f>"Song"</f>
        <v>Song</v>
      </c>
      <c r="CO1498" t="str">
        <f>"Yujun"</f>
        <v>Yujun</v>
      </c>
      <c r="CP1498" t="str">
        <f>""</f>
        <v/>
      </c>
      <c r="CQ1498" t="str">
        <f>"Chugh, LLP"</f>
        <v>Chugh, LLP</v>
      </c>
      <c r="CR1498" t="s">
        <v>1835</v>
      </c>
    </row>
    <row r="1499" spans="1:96" x14ac:dyDescent="0.2">
      <c r="A1499" t="s">
        <v>11629</v>
      </c>
      <c r="B1499" t="s">
        <v>96</v>
      </c>
      <c r="C1499" s="1">
        <v>44099</v>
      </c>
      <c r="D1499" s="1">
        <v>44106</v>
      </c>
      <c r="F1499" t="s">
        <v>97</v>
      </c>
      <c r="G1499" t="str">
        <f>"Solution Test and Integration Engineer"</f>
        <v>Solution Test and Integration Engineer</v>
      </c>
      <c r="H1499" t="s">
        <v>12176</v>
      </c>
      <c r="I1499" t="s">
        <v>246</v>
      </c>
      <c r="J1499" t="s">
        <v>98</v>
      </c>
      <c r="K1499" s="1">
        <v>44109</v>
      </c>
      <c r="L1499" s="1">
        <v>45203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4353</v>
      </c>
      <c r="U1499" t="str">
        <f>""</f>
        <v/>
      </c>
      <c r="V1499" t="s">
        <v>4354</v>
      </c>
      <c r="W1499" t="str">
        <f>"#231"</f>
        <v>#231</v>
      </c>
      <c r="X1499" t="s">
        <v>725</v>
      </c>
      <c r="Y1499" t="s">
        <v>114</v>
      </c>
      <c r="Z1499" s="3">
        <v>75080</v>
      </c>
      <c r="AA1499" t="s">
        <v>101</v>
      </c>
      <c r="AC1499" s="4" t="str">
        <f>"+12146135405"</f>
        <v>+12146135405</v>
      </c>
      <c r="AE1499" t="str">
        <f>"541511"</f>
        <v>541511</v>
      </c>
      <c r="AF1499" t="s">
        <v>4355</v>
      </c>
      <c r="AG1499" t="s">
        <v>4356</v>
      </c>
      <c r="AI1499" t="s">
        <v>876</v>
      </c>
      <c r="AJ1499" t="s">
        <v>4354</v>
      </c>
      <c r="AK1499" t="str">
        <f>"#231"</f>
        <v>#231</v>
      </c>
      <c r="AL1499" t="s">
        <v>761</v>
      </c>
      <c r="AM1499" t="s">
        <v>114</v>
      </c>
      <c r="AN1499" s="3">
        <v>75080</v>
      </c>
      <c r="AO1499" t="s">
        <v>101</v>
      </c>
      <c r="AQ1499" t="str">
        <f>"+12146135405"</f>
        <v>+12146135405</v>
      </c>
      <c r="AS1499" t="s">
        <v>9937</v>
      </c>
      <c r="AT1499" t="s">
        <v>107</v>
      </c>
      <c r="AU1499" t="str">
        <f>"Sethi Wadhwa"</f>
        <v>Sethi Wadhwa</v>
      </c>
      <c r="AV1499" t="str">
        <f>"Princy"</f>
        <v>Princy</v>
      </c>
      <c r="AW1499" t="str">
        <f>""</f>
        <v/>
      </c>
      <c r="AX1499" t="str">
        <f>"2234 Emery Down Dr"</f>
        <v>2234 Emery Down Dr</v>
      </c>
      <c r="AY1499" t="str">
        <f>""</f>
        <v/>
      </c>
      <c r="AZ1499" t="str">
        <f>"Allen"</f>
        <v>Allen</v>
      </c>
      <c r="BA1499" t="str">
        <f>"TX"</f>
        <v>TX</v>
      </c>
      <c r="BB1499" s="3">
        <v>75013</v>
      </c>
      <c r="BC1499" t="str">
        <f>"UNITED STATES OF AMERICA"</f>
        <v>UNITED STATES OF AMERICA</v>
      </c>
      <c r="BD1499" t="str">
        <f>""</f>
        <v/>
      </c>
      <c r="BE1499" t="str">
        <f>"+14698881604"</f>
        <v>+14698881604</v>
      </c>
      <c r="BF1499" t="str">
        <f>""</f>
        <v/>
      </c>
      <c r="BG1499" t="str">
        <f>"princy@princylaw.com"</f>
        <v>princy@princylaw.com</v>
      </c>
      <c r="BH1499" t="str">
        <f>"Sethi-Wadhwa Law PLLC"</f>
        <v>Sethi-Wadhwa Law PLLC</v>
      </c>
      <c r="BI1499" t="str">
        <f>"TX"</f>
        <v>TX</v>
      </c>
      <c r="BJ1499" t="str">
        <f>"Supreme "</f>
        <v xml:space="preserve">Supreme </v>
      </c>
      <c r="BK1499">
        <v>1</v>
      </c>
      <c r="BL1499" t="s">
        <v>102</v>
      </c>
      <c r="BM1499" t="str">
        <f>""</f>
        <v/>
      </c>
      <c r="BN1499" t="s">
        <v>4354</v>
      </c>
      <c r="BO1499" t="s">
        <v>10378</v>
      </c>
      <c r="BP1499" t="s">
        <v>761</v>
      </c>
      <c r="BQ1499" t="s">
        <v>484</v>
      </c>
      <c r="BR1499" t="s">
        <v>114</v>
      </c>
      <c r="BS1499" s="5">
        <v>75080</v>
      </c>
      <c r="BT1499" s="2">
        <v>93558</v>
      </c>
      <c r="BV1499" t="s">
        <v>105</v>
      </c>
      <c r="BW1499" s="2">
        <v>93558</v>
      </c>
      <c r="BX1499" t="s">
        <v>105</v>
      </c>
      <c r="BZ1499" t="s">
        <v>167</v>
      </c>
      <c r="CA1499" t="str">
        <f t="shared" si="115"/>
        <v>7/1/2020 - 6/30/2021</v>
      </c>
      <c r="CF1499">
        <v>1</v>
      </c>
      <c r="CG1499" t="s">
        <v>98</v>
      </c>
      <c r="CH1499" t="s">
        <v>98</v>
      </c>
      <c r="CI1499" t="s">
        <v>206</v>
      </c>
      <c r="CJ1499" t="s">
        <v>98</v>
      </c>
      <c r="CK1499" t="s">
        <v>12323</v>
      </c>
      <c r="CL1499" t="s">
        <v>108</v>
      </c>
      <c r="CM1499" t="s">
        <v>109</v>
      </c>
      <c r="CN1499" t="str">
        <f>"Sethi-Wadhwa"</f>
        <v>Sethi-Wadhwa</v>
      </c>
      <c r="CO1499" t="str">
        <f>"Princy"</f>
        <v>Princy</v>
      </c>
      <c r="CP1499" t="str">
        <f>""</f>
        <v/>
      </c>
      <c r="CQ1499" t="str">
        <f>"Sethi-Wadhwa Law PLLC"</f>
        <v>Sethi-Wadhwa Law PLLC</v>
      </c>
      <c r="CR1499" t="s">
        <v>3558</v>
      </c>
    </row>
    <row r="1500" spans="1:96" x14ac:dyDescent="0.2">
      <c r="A1500" t="s">
        <v>11645</v>
      </c>
      <c r="B1500" t="s">
        <v>96</v>
      </c>
      <c r="C1500" s="1">
        <v>44099</v>
      </c>
      <c r="D1500" s="1">
        <v>44106</v>
      </c>
      <c r="F1500" t="s">
        <v>97</v>
      </c>
      <c r="G1500" t="str">
        <f>"Data Warehouse Specialist "</f>
        <v xml:space="preserve">Data Warehouse Specialist </v>
      </c>
      <c r="H1500" t="s">
        <v>12168</v>
      </c>
      <c r="I1500" t="s">
        <v>1844</v>
      </c>
      <c r="J1500" t="s">
        <v>98</v>
      </c>
      <c r="K1500" s="1">
        <v>44099</v>
      </c>
      <c r="L1500" s="1">
        <v>45193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 t="s">
        <v>864</v>
      </c>
      <c r="U1500" t="str">
        <f>""</f>
        <v/>
      </c>
      <c r="V1500" t="s">
        <v>865</v>
      </c>
      <c r="W1500" t="str">
        <f>"SUITE 320"</f>
        <v>SUITE 320</v>
      </c>
      <c r="X1500" t="s">
        <v>866</v>
      </c>
      <c r="Y1500" t="s">
        <v>195</v>
      </c>
      <c r="Z1500" s="3">
        <v>20850</v>
      </c>
      <c r="AA1500" t="s">
        <v>101</v>
      </c>
      <c r="AC1500" s="4" t="str">
        <f>"+13012319083"</f>
        <v>+13012319083</v>
      </c>
      <c r="AE1500" t="str">
        <f>"541511"</f>
        <v>541511</v>
      </c>
      <c r="AF1500" t="s">
        <v>867</v>
      </c>
      <c r="AG1500" t="s">
        <v>868</v>
      </c>
      <c r="AI1500" t="s">
        <v>869</v>
      </c>
      <c r="AJ1500" t="s">
        <v>865</v>
      </c>
      <c r="AK1500" t="str">
        <f>"SUITE 320"</f>
        <v>SUITE 320</v>
      </c>
      <c r="AL1500" t="s">
        <v>866</v>
      </c>
      <c r="AM1500" t="s">
        <v>195</v>
      </c>
      <c r="AN1500" s="3">
        <v>20850</v>
      </c>
      <c r="AO1500" t="s">
        <v>101</v>
      </c>
      <c r="AQ1500" t="str">
        <f>"+13012319083"</f>
        <v>+13012319083</v>
      </c>
      <c r="AS1500" t="s">
        <v>870</v>
      </c>
      <c r="AT1500" t="s">
        <v>107</v>
      </c>
      <c r="AU1500" t="str">
        <f>"CHOWDHURY"</f>
        <v>CHOWDHURY</v>
      </c>
      <c r="AV1500" t="str">
        <f>"ANINDITA"</f>
        <v>ANINDITA</v>
      </c>
      <c r="AW1500" t="str">
        <f>"A"</f>
        <v>A</v>
      </c>
      <c r="AX1500" t="str">
        <f>"6720-B Rockledge Drive"</f>
        <v>6720-B Rockledge Drive</v>
      </c>
      <c r="AY1500" t="str">
        <f>"Suite 430"</f>
        <v>Suite 430</v>
      </c>
      <c r="AZ1500" t="str">
        <f>"Bethesda"</f>
        <v>Bethesda</v>
      </c>
      <c r="BA1500" t="str">
        <f>"MD"</f>
        <v>MD</v>
      </c>
      <c r="BB1500" s="3">
        <v>20817</v>
      </c>
      <c r="BC1500" t="str">
        <f>"UNITED STATES OF AMERICA"</f>
        <v>UNITED STATES OF AMERICA</v>
      </c>
      <c r="BD1500" t="str">
        <f>""</f>
        <v/>
      </c>
      <c r="BE1500" t="str">
        <f>"+12026184540"</f>
        <v>+12026184540</v>
      </c>
      <c r="BF1500" t="str">
        <f>""</f>
        <v/>
      </c>
      <c r="BG1500" t="str">
        <f>"ANINDITA@USILAW.COM"</f>
        <v>ANINDITA@USILAW.COM</v>
      </c>
      <c r="BH1500" t="str">
        <f>"USILAW, INC"</f>
        <v>USILAW, INC</v>
      </c>
      <c r="BI1500" t="str">
        <f>"DC"</f>
        <v>DC</v>
      </c>
      <c r="BJ1500" t="str">
        <f>"COURT OF APPEALS"</f>
        <v>COURT OF APPEALS</v>
      </c>
      <c r="BK1500">
        <v>1</v>
      </c>
      <c r="BL1500" t="s">
        <v>102</v>
      </c>
      <c r="BM1500" t="str">
        <f>""</f>
        <v/>
      </c>
      <c r="BN1500" t="s">
        <v>11646</v>
      </c>
      <c r="BO1500" t="s">
        <v>11647</v>
      </c>
      <c r="BP1500" t="s">
        <v>334</v>
      </c>
      <c r="BQ1500" t="s">
        <v>6008</v>
      </c>
      <c r="BR1500" t="s">
        <v>280</v>
      </c>
      <c r="BS1500" s="5">
        <v>6905</v>
      </c>
      <c r="BT1500" s="2">
        <v>72530</v>
      </c>
      <c r="BU1500" s="2">
        <v>100200</v>
      </c>
      <c r="BV1500" t="s">
        <v>105</v>
      </c>
      <c r="BW1500" s="2">
        <v>72530</v>
      </c>
      <c r="BX1500" t="s">
        <v>105</v>
      </c>
      <c r="BZ1500" t="s">
        <v>167</v>
      </c>
      <c r="CA1500" t="str">
        <f t="shared" si="115"/>
        <v>7/1/2020 - 6/30/2021</v>
      </c>
      <c r="CF1500">
        <v>1</v>
      </c>
      <c r="CG1500" t="s">
        <v>98</v>
      </c>
      <c r="CH1500" t="s">
        <v>98</v>
      </c>
      <c r="CI1500" t="s">
        <v>206</v>
      </c>
      <c r="CJ1500" t="s">
        <v>98</v>
      </c>
      <c r="CK1500" t="s">
        <v>12323</v>
      </c>
      <c r="CL1500" t="s">
        <v>108</v>
      </c>
      <c r="CM1500" t="s">
        <v>109</v>
      </c>
      <c r="CN1500" t="str">
        <f>""</f>
        <v/>
      </c>
      <c r="CO1500" t="str">
        <f>""</f>
        <v/>
      </c>
      <c r="CP1500" t="str">
        <f>""</f>
        <v/>
      </c>
      <c r="CQ1500" t="str">
        <f>""</f>
        <v/>
      </c>
    </row>
    <row r="1501" spans="1:96" x14ac:dyDescent="0.2">
      <c r="A1501" t="s">
        <v>11702</v>
      </c>
      <c r="B1501" t="s">
        <v>96</v>
      </c>
      <c r="C1501" s="1">
        <v>44099</v>
      </c>
      <c r="D1501" s="1">
        <v>44106</v>
      </c>
      <c r="F1501" t="s">
        <v>97</v>
      </c>
      <c r="G1501" t="str">
        <f>"Senior Systems Analyst JC60"</f>
        <v>Senior Systems Analyst JC60</v>
      </c>
      <c r="H1501" t="s">
        <v>12181</v>
      </c>
      <c r="I1501" t="s">
        <v>110</v>
      </c>
      <c r="J1501" t="s">
        <v>98</v>
      </c>
      <c r="K1501" s="1">
        <v>44227</v>
      </c>
      <c r="L1501" s="1">
        <v>45321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 t="s">
        <v>111</v>
      </c>
      <c r="U1501" t="str">
        <f>"CTSUS"</f>
        <v>CTSUS</v>
      </c>
      <c r="V1501" t="s">
        <v>112</v>
      </c>
      <c r="W1501" t="str">
        <f>""</f>
        <v/>
      </c>
      <c r="X1501" t="s">
        <v>113</v>
      </c>
      <c r="Y1501" t="s">
        <v>114</v>
      </c>
      <c r="Z1501" s="3">
        <v>77845</v>
      </c>
      <c r="AA1501" t="s">
        <v>101</v>
      </c>
      <c r="AB1501" t="s">
        <v>114</v>
      </c>
      <c r="AC1501" s="4" t="str">
        <f>"+19793296682"</f>
        <v>+19793296682</v>
      </c>
      <c r="AE1501" t="str">
        <f>"541512"</f>
        <v>541512</v>
      </c>
      <c r="AF1501" t="s">
        <v>115</v>
      </c>
      <c r="AG1501" t="s">
        <v>116</v>
      </c>
      <c r="AH1501" t="s">
        <v>108</v>
      </c>
      <c r="AI1501" t="s">
        <v>117</v>
      </c>
      <c r="AJ1501" t="s">
        <v>118</v>
      </c>
      <c r="AK1501" t="str">
        <f>""</f>
        <v/>
      </c>
      <c r="AL1501" t="s">
        <v>119</v>
      </c>
      <c r="AM1501" t="s">
        <v>114</v>
      </c>
      <c r="AN1501" s="3">
        <v>77845</v>
      </c>
      <c r="AO1501" t="s">
        <v>101</v>
      </c>
      <c r="AQ1501" t="str">
        <f>"+19793296682"</f>
        <v>+19793296682</v>
      </c>
      <c r="AS1501" t="s">
        <v>120</v>
      </c>
      <c r="AT1501" t="s">
        <v>102</v>
      </c>
      <c r="AU1501" t="str">
        <f>""</f>
        <v/>
      </c>
      <c r="AV1501" t="str">
        <f>""</f>
        <v/>
      </c>
      <c r="AW1501" t="str">
        <f>""</f>
        <v/>
      </c>
      <c r="AX1501" t="str">
        <f>""</f>
        <v/>
      </c>
      <c r="AY1501" t="str">
        <f>""</f>
        <v/>
      </c>
      <c r="AZ1501" t="str">
        <f>""</f>
        <v/>
      </c>
      <c r="BA1501" t="str">
        <f>""</f>
        <v/>
      </c>
      <c r="BC1501" t="str">
        <f>""</f>
        <v/>
      </c>
      <c r="BD1501" t="str">
        <f>""</f>
        <v/>
      </c>
      <c r="BE1501" t="str">
        <f>""</f>
        <v/>
      </c>
      <c r="BF1501" t="str">
        <f>""</f>
        <v/>
      </c>
      <c r="BG1501" t="str">
        <f>""</f>
        <v/>
      </c>
      <c r="BH1501" t="str">
        <f>""</f>
        <v/>
      </c>
      <c r="BI1501" t="str">
        <f>""</f>
        <v/>
      </c>
      <c r="BJ1501" t="str">
        <f>""</f>
        <v/>
      </c>
      <c r="BK1501">
        <v>1</v>
      </c>
      <c r="BL1501" t="s">
        <v>107</v>
      </c>
      <c r="BM1501" t="str">
        <f>"Amgen Inc"</f>
        <v>Amgen Inc</v>
      </c>
      <c r="BN1501" t="s">
        <v>7789</v>
      </c>
      <c r="BP1501" t="s">
        <v>1107</v>
      </c>
      <c r="BQ1501" t="s">
        <v>1034</v>
      </c>
      <c r="BR1501" t="s">
        <v>577</v>
      </c>
      <c r="BS1501" s="5">
        <v>33607</v>
      </c>
      <c r="BT1501" s="2">
        <v>72218</v>
      </c>
      <c r="BV1501" t="s">
        <v>105</v>
      </c>
      <c r="BW1501" s="2">
        <v>72218</v>
      </c>
      <c r="BX1501" t="s">
        <v>105</v>
      </c>
      <c r="BZ1501" t="s">
        <v>167</v>
      </c>
      <c r="CA1501" t="str">
        <f t="shared" si="115"/>
        <v>7/1/2020 - 6/30/2021</v>
      </c>
      <c r="CF1501">
        <v>1</v>
      </c>
      <c r="CG1501" t="s">
        <v>98</v>
      </c>
      <c r="CH1501" t="s">
        <v>98</v>
      </c>
      <c r="CI1501" t="s">
        <v>206</v>
      </c>
      <c r="CJ1501" t="s">
        <v>98</v>
      </c>
      <c r="CK1501" t="s">
        <v>12323</v>
      </c>
      <c r="CL1501" t="s">
        <v>108</v>
      </c>
      <c r="CM1501" t="s">
        <v>109</v>
      </c>
      <c r="CN1501" t="str">
        <f>""</f>
        <v/>
      </c>
      <c r="CO1501" t="str">
        <f>""</f>
        <v/>
      </c>
      <c r="CP1501" t="str">
        <f>""</f>
        <v/>
      </c>
      <c r="CQ1501" t="str">
        <f>""</f>
        <v/>
      </c>
    </row>
    <row r="1502" spans="1:96" x14ac:dyDescent="0.2">
      <c r="A1502" t="s">
        <v>11704</v>
      </c>
      <c r="B1502" t="s">
        <v>96</v>
      </c>
      <c r="C1502" s="1">
        <v>44099</v>
      </c>
      <c r="D1502" s="1">
        <v>44106</v>
      </c>
      <c r="F1502" t="s">
        <v>97</v>
      </c>
      <c r="G1502" t="str">
        <f>"Technology Lead - US - Practitioner "</f>
        <v xml:space="preserve">Technology Lead - US - Practitioner </v>
      </c>
      <c r="H1502" t="s">
        <v>12168</v>
      </c>
      <c r="I1502" t="s">
        <v>367</v>
      </c>
      <c r="J1502" t="s">
        <v>98</v>
      </c>
      <c r="K1502" s="1">
        <v>44110</v>
      </c>
      <c r="L1502" s="1">
        <v>45202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 t="s">
        <v>723</v>
      </c>
      <c r="U1502" t="str">
        <f>""</f>
        <v/>
      </c>
      <c r="V1502" t="s">
        <v>724</v>
      </c>
      <c r="W1502" t="str">
        <f>"STE C150"</f>
        <v>STE C150</v>
      </c>
      <c r="X1502" t="s">
        <v>725</v>
      </c>
      <c r="Y1502" t="s">
        <v>114</v>
      </c>
      <c r="Z1502" s="3">
        <v>75082</v>
      </c>
      <c r="AA1502" t="s">
        <v>101</v>
      </c>
      <c r="AC1502" s="4" t="str">
        <f>"+12143062100"</f>
        <v>+12143062100</v>
      </c>
      <c r="AE1502" t="str">
        <f>"541511"</f>
        <v>541511</v>
      </c>
      <c r="AF1502" t="s">
        <v>726</v>
      </c>
      <c r="AG1502" t="s">
        <v>727</v>
      </c>
      <c r="AI1502" t="s">
        <v>728</v>
      </c>
      <c r="AJ1502" t="s">
        <v>724</v>
      </c>
      <c r="AK1502" t="str">
        <f>"STE C150"</f>
        <v>STE C150</v>
      </c>
      <c r="AL1502" t="s">
        <v>725</v>
      </c>
      <c r="AM1502" t="s">
        <v>114</v>
      </c>
      <c r="AN1502" s="3">
        <v>75082</v>
      </c>
      <c r="AO1502" t="s">
        <v>101</v>
      </c>
      <c r="AQ1502" t="str">
        <f>"+12143062100"</f>
        <v>+12143062100</v>
      </c>
      <c r="AS1502" t="s">
        <v>729</v>
      </c>
      <c r="AT1502" t="s">
        <v>102</v>
      </c>
      <c r="AU1502" t="str">
        <f>""</f>
        <v/>
      </c>
      <c r="AV1502" t="str">
        <f>""</f>
        <v/>
      </c>
      <c r="AW1502" t="str">
        <f>""</f>
        <v/>
      </c>
      <c r="AX1502" t="str">
        <f>""</f>
        <v/>
      </c>
      <c r="AY1502" t="str">
        <f>""</f>
        <v/>
      </c>
      <c r="AZ1502" t="str">
        <f>""</f>
        <v/>
      </c>
      <c r="BA1502" t="str">
        <f>""</f>
        <v/>
      </c>
      <c r="BC1502" t="str">
        <f>""</f>
        <v/>
      </c>
      <c r="BD1502" t="str">
        <f>""</f>
        <v/>
      </c>
      <c r="BE1502" t="str">
        <f>""</f>
        <v/>
      </c>
      <c r="BF1502" t="str">
        <f>""</f>
        <v/>
      </c>
      <c r="BG1502" t="str">
        <f>""</f>
        <v/>
      </c>
      <c r="BH1502" t="str">
        <f>""</f>
        <v/>
      </c>
      <c r="BI1502" t="str">
        <f>""</f>
        <v/>
      </c>
      <c r="BJ1502" t="str">
        <f>""</f>
        <v/>
      </c>
      <c r="BK1502">
        <v>1</v>
      </c>
      <c r="BL1502" t="s">
        <v>107</v>
      </c>
      <c r="BM1502" t="str">
        <f>"Hartford Financial Services Group"</f>
        <v>Hartford Financial Services Group</v>
      </c>
      <c r="BN1502" t="s">
        <v>11705</v>
      </c>
      <c r="BP1502" t="s">
        <v>8945</v>
      </c>
      <c r="BQ1502" t="s">
        <v>5767</v>
      </c>
      <c r="BR1502" t="s">
        <v>5009</v>
      </c>
      <c r="BS1502" s="5">
        <v>4106</v>
      </c>
      <c r="BT1502" s="2">
        <v>31.8</v>
      </c>
      <c r="BV1502" t="s">
        <v>210</v>
      </c>
      <c r="BW1502" s="2">
        <v>31.56</v>
      </c>
      <c r="BX1502" t="s">
        <v>210</v>
      </c>
      <c r="BZ1502" t="s">
        <v>167</v>
      </c>
      <c r="CA1502" t="str">
        <f t="shared" si="115"/>
        <v>7/1/2020 - 6/30/2021</v>
      </c>
      <c r="CF1502">
        <v>1</v>
      </c>
      <c r="CG1502" t="s">
        <v>98</v>
      </c>
      <c r="CH1502" t="s">
        <v>98</v>
      </c>
      <c r="CI1502" t="s">
        <v>206</v>
      </c>
      <c r="CJ1502" t="s">
        <v>98</v>
      </c>
      <c r="CK1502" t="s">
        <v>12323</v>
      </c>
      <c r="CL1502" t="s">
        <v>108</v>
      </c>
      <c r="CM1502" t="s">
        <v>109</v>
      </c>
      <c r="CN1502" t="str">
        <f>"Khanum"</f>
        <v>Khanum</v>
      </c>
      <c r="CO1502" t="str">
        <f>"Hajeera"</f>
        <v>Hajeera</v>
      </c>
      <c r="CP1502" t="str">
        <f>""</f>
        <v/>
      </c>
      <c r="CQ1502" t="str">
        <f>"Infosys Limited"</f>
        <v>Infosys Limited</v>
      </c>
      <c r="CR1502" t="s">
        <v>900</v>
      </c>
    </row>
    <row r="1503" spans="1:96" x14ac:dyDescent="0.2">
      <c r="A1503" t="s">
        <v>11711</v>
      </c>
      <c r="B1503" t="s">
        <v>96</v>
      </c>
      <c r="C1503" s="1">
        <v>44099</v>
      </c>
      <c r="D1503" s="1">
        <v>44106</v>
      </c>
      <c r="F1503" t="s">
        <v>97</v>
      </c>
      <c r="G1503" t="str">
        <f>"Consultant - US "</f>
        <v xml:space="preserve">Consultant - US </v>
      </c>
      <c r="H1503" t="s">
        <v>12168</v>
      </c>
      <c r="I1503" t="s">
        <v>367</v>
      </c>
      <c r="J1503" t="s">
        <v>98</v>
      </c>
      <c r="K1503" s="1">
        <v>44110</v>
      </c>
      <c r="L1503" s="1">
        <v>45203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 t="s">
        <v>723</v>
      </c>
      <c r="U1503" t="str">
        <f>""</f>
        <v/>
      </c>
      <c r="V1503" t="s">
        <v>724</v>
      </c>
      <c r="W1503" t="str">
        <f>"STE C150"</f>
        <v>STE C150</v>
      </c>
      <c r="X1503" t="s">
        <v>725</v>
      </c>
      <c r="Y1503" t="s">
        <v>114</v>
      </c>
      <c r="Z1503" s="3">
        <v>75082</v>
      </c>
      <c r="AA1503" t="s">
        <v>101</v>
      </c>
      <c r="AC1503" s="4" t="str">
        <f>"+12143062100"</f>
        <v>+12143062100</v>
      </c>
      <c r="AE1503" t="str">
        <f>"541511"</f>
        <v>541511</v>
      </c>
      <c r="AF1503" t="s">
        <v>726</v>
      </c>
      <c r="AG1503" t="s">
        <v>727</v>
      </c>
      <c r="AI1503" t="s">
        <v>728</v>
      </c>
      <c r="AJ1503" t="s">
        <v>724</v>
      </c>
      <c r="AK1503" t="str">
        <f>"STE C150"</f>
        <v>STE C150</v>
      </c>
      <c r="AL1503" t="s">
        <v>725</v>
      </c>
      <c r="AM1503" t="s">
        <v>114</v>
      </c>
      <c r="AN1503" s="3">
        <v>75082</v>
      </c>
      <c r="AO1503" t="s">
        <v>101</v>
      </c>
      <c r="AQ1503" t="str">
        <f>"+12143062100"</f>
        <v>+12143062100</v>
      </c>
      <c r="AS1503" t="s">
        <v>729</v>
      </c>
      <c r="AT1503" t="s">
        <v>102</v>
      </c>
      <c r="AU1503" t="str">
        <f>""</f>
        <v/>
      </c>
      <c r="AV1503" t="str">
        <f>""</f>
        <v/>
      </c>
      <c r="AW1503" t="str">
        <f>""</f>
        <v/>
      </c>
      <c r="AX1503" t="str">
        <f>""</f>
        <v/>
      </c>
      <c r="AY1503" t="str">
        <f>""</f>
        <v/>
      </c>
      <c r="AZ1503" t="str">
        <f>""</f>
        <v/>
      </c>
      <c r="BA1503" t="str">
        <f>""</f>
        <v/>
      </c>
      <c r="BC1503" t="str">
        <f>""</f>
        <v/>
      </c>
      <c r="BD1503" t="str">
        <f>""</f>
        <v/>
      </c>
      <c r="BE1503" t="str">
        <f>""</f>
        <v/>
      </c>
      <c r="BF1503" t="str">
        <f>""</f>
        <v/>
      </c>
      <c r="BG1503" t="str">
        <f>""</f>
        <v/>
      </c>
      <c r="BH1503" t="str">
        <f>""</f>
        <v/>
      </c>
      <c r="BI1503" t="str">
        <f>""</f>
        <v/>
      </c>
      <c r="BJ1503" t="str">
        <f>""</f>
        <v/>
      </c>
      <c r="BK1503">
        <v>1</v>
      </c>
      <c r="BL1503" t="s">
        <v>107</v>
      </c>
      <c r="BM1503" t="str">
        <f>"Verizon Sourcing, LLC"</f>
        <v>Verizon Sourcing, LLC</v>
      </c>
      <c r="BN1503" t="s">
        <v>10323</v>
      </c>
      <c r="BP1503" t="s">
        <v>483</v>
      </c>
      <c r="BQ1503" t="s">
        <v>484</v>
      </c>
      <c r="BR1503" t="s">
        <v>114</v>
      </c>
      <c r="BS1503" s="5">
        <v>75038</v>
      </c>
      <c r="BT1503" s="2">
        <v>74027</v>
      </c>
      <c r="BV1503" t="s">
        <v>105</v>
      </c>
      <c r="BW1503" s="2">
        <v>74027</v>
      </c>
      <c r="BX1503" t="s">
        <v>105</v>
      </c>
      <c r="BZ1503" t="s">
        <v>167</v>
      </c>
      <c r="CA1503" t="str">
        <f t="shared" si="115"/>
        <v>7/1/2020 - 6/30/2021</v>
      </c>
      <c r="CF1503">
        <v>1</v>
      </c>
      <c r="CG1503" t="s">
        <v>98</v>
      </c>
      <c r="CH1503" t="s">
        <v>98</v>
      </c>
      <c r="CI1503" t="s">
        <v>206</v>
      </c>
      <c r="CJ1503" t="s">
        <v>98</v>
      </c>
      <c r="CK1503" t="s">
        <v>12323</v>
      </c>
      <c r="CL1503" t="s">
        <v>108</v>
      </c>
      <c r="CM1503" t="s">
        <v>109</v>
      </c>
      <c r="CN1503" t="str">
        <f>"JAYARAM"</f>
        <v>JAYARAM</v>
      </c>
      <c r="CO1503" t="str">
        <f>"SUSHMA"</f>
        <v>SUSHMA</v>
      </c>
      <c r="CP1503" t="str">
        <f>""</f>
        <v/>
      </c>
      <c r="CQ1503" t="str">
        <f>"INFOSYS LIMITED"</f>
        <v>INFOSYS LIMITED</v>
      </c>
      <c r="CR1503" t="s">
        <v>3699</v>
      </c>
    </row>
    <row r="1504" spans="1:96" x14ac:dyDescent="0.2">
      <c r="A1504" t="s">
        <v>11713</v>
      </c>
      <c r="B1504" t="s">
        <v>96</v>
      </c>
      <c r="C1504" s="1">
        <v>44099</v>
      </c>
      <c r="D1504" s="1">
        <v>44106</v>
      </c>
      <c r="F1504" t="s">
        <v>97</v>
      </c>
      <c r="G1504" t="str">
        <f>"Test Consultant 2"</f>
        <v>Test Consultant 2</v>
      </c>
      <c r="H1504" t="s">
        <v>12168</v>
      </c>
      <c r="I1504" t="s">
        <v>319</v>
      </c>
      <c r="J1504" t="s">
        <v>98</v>
      </c>
      <c r="K1504" s="1">
        <v>44099</v>
      </c>
      <c r="L1504" s="1">
        <v>45179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 t="s">
        <v>1421</v>
      </c>
      <c r="U1504" t="str">
        <f>""</f>
        <v/>
      </c>
      <c r="V1504" t="s">
        <v>1422</v>
      </c>
      <c r="W1504" t="str">
        <f>"SUITE 300"</f>
        <v>SUITE 300</v>
      </c>
      <c r="X1504" t="s">
        <v>843</v>
      </c>
      <c r="Y1504" t="s">
        <v>345</v>
      </c>
      <c r="Z1504" s="3">
        <v>60606</v>
      </c>
      <c r="AA1504" t="s">
        <v>101</v>
      </c>
      <c r="AC1504" s="4" t="str">
        <f>"+13123955000"</f>
        <v>+13123955000</v>
      </c>
      <c r="AE1504" t="str">
        <f>"5416"</f>
        <v>5416</v>
      </c>
      <c r="AF1504" t="s">
        <v>1423</v>
      </c>
      <c r="AG1504" t="s">
        <v>1424</v>
      </c>
      <c r="AI1504" t="s">
        <v>1425</v>
      </c>
      <c r="AJ1504" t="s">
        <v>1422</v>
      </c>
      <c r="AK1504" t="str">
        <f>"SUITE 300"</f>
        <v>SUITE 300</v>
      </c>
      <c r="AL1504" t="s">
        <v>843</v>
      </c>
      <c r="AM1504" t="s">
        <v>345</v>
      </c>
      <c r="AN1504" s="3">
        <v>60606</v>
      </c>
      <c r="AO1504" t="s">
        <v>101</v>
      </c>
      <c r="AQ1504" t="str">
        <f>"+13123958209"</f>
        <v>+13123958209</v>
      </c>
      <c r="AS1504" t="s">
        <v>1426</v>
      </c>
      <c r="AT1504" t="s">
        <v>102</v>
      </c>
      <c r="AU1504" t="str">
        <f>""</f>
        <v/>
      </c>
      <c r="AV1504" t="str">
        <f>""</f>
        <v/>
      </c>
      <c r="AW1504" t="str">
        <f>""</f>
        <v/>
      </c>
      <c r="AX1504" t="str">
        <f>""</f>
        <v/>
      </c>
      <c r="AY1504" t="str">
        <f>""</f>
        <v/>
      </c>
      <c r="AZ1504" t="str">
        <f>""</f>
        <v/>
      </c>
      <c r="BA1504" t="str">
        <f>""</f>
        <v/>
      </c>
      <c r="BC1504" t="str">
        <f>""</f>
        <v/>
      </c>
      <c r="BD1504" t="str">
        <f>""</f>
        <v/>
      </c>
      <c r="BE1504" t="str">
        <f>""</f>
        <v/>
      </c>
      <c r="BF1504" t="str">
        <f>""</f>
        <v/>
      </c>
      <c r="BG1504" t="str">
        <f>""</f>
        <v/>
      </c>
      <c r="BH1504" t="str">
        <f>""</f>
        <v/>
      </c>
      <c r="BI1504" t="str">
        <f>""</f>
        <v/>
      </c>
      <c r="BJ1504" t="str">
        <f>""</f>
        <v/>
      </c>
      <c r="BK1504">
        <v>1</v>
      </c>
      <c r="BL1504" t="s">
        <v>102</v>
      </c>
      <c r="BM1504" t="str">
        <f>""</f>
        <v/>
      </c>
      <c r="BN1504" t="s">
        <v>11714</v>
      </c>
      <c r="BP1504" t="s">
        <v>4091</v>
      </c>
      <c r="BQ1504" t="s">
        <v>2685</v>
      </c>
      <c r="BR1504" t="s">
        <v>594</v>
      </c>
      <c r="BS1504" s="5">
        <v>29708</v>
      </c>
      <c r="BT1504" s="2">
        <v>73486</v>
      </c>
      <c r="BU1504" s="2">
        <v>78780</v>
      </c>
      <c r="BV1504" t="s">
        <v>105</v>
      </c>
      <c r="BW1504" s="2">
        <v>73486</v>
      </c>
      <c r="BX1504" t="s">
        <v>105</v>
      </c>
      <c r="BZ1504" t="s">
        <v>167</v>
      </c>
      <c r="CA1504" t="str">
        <f t="shared" si="115"/>
        <v>7/1/2020 - 6/30/2021</v>
      </c>
      <c r="CF1504">
        <v>1</v>
      </c>
      <c r="CG1504" t="s">
        <v>98</v>
      </c>
      <c r="CH1504" t="s">
        <v>98</v>
      </c>
      <c r="CI1504" t="s">
        <v>206</v>
      </c>
      <c r="CJ1504" t="s">
        <v>98</v>
      </c>
      <c r="CK1504" t="s">
        <v>12323</v>
      </c>
      <c r="CL1504" t="s">
        <v>108</v>
      </c>
      <c r="CM1504" t="s">
        <v>109</v>
      </c>
      <c r="CN1504" t="str">
        <f>""</f>
        <v/>
      </c>
      <c r="CO1504" t="str">
        <f>""</f>
        <v/>
      </c>
      <c r="CP1504" t="str">
        <f>""</f>
        <v/>
      </c>
      <c r="CQ1504" t="str">
        <f>""</f>
        <v/>
      </c>
    </row>
    <row r="1505" spans="1:96" x14ac:dyDescent="0.2">
      <c r="A1505" t="s">
        <v>11764</v>
      </c>
      <c r="B1505" t="s">
        <v>96</v>
      </c>
      <c r="C1505" s="1">
        <v>44099</v>
      </c>
      <c r="D1505" s="1">
        <v>44106</v>
      </c>
      <c r="F1505" t="s">
        <v>97</v>
      </c>
      <c r="G1505" t="str">
        <f>"Manager JC50"</f>
        <v>Manager JC50</v>
      </c>
      <c r="H1505" t="s">
        <v>12181</v>
      </c>
      <c r="I1505" t="s">
        <v>110</v>
      </c>
      <c r="J1505" t="s">
        <v>98</v>
      </c>
      <c r="K1505" s="1">
        <v>44109</v>
      </c>
      <c r="L1505" s="1">
        <v>45203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 t="s">
        <v>111</v>
      </c>
      <c r="U1505" t="str">
        <f>"CTSUS"</f>
        <v>CTSUS</v>
      </c>
      <c r="V1505" t="s">
        <v>112</v>
      </c>
      <c r="W1505" t="str">
        <f>""</f>
        <v/>
      </c>
      <c r="X1505" t="s">
        <v>113</v>
      </c>
      <c r="Y1505" t="s">
        <v>114</v>
      </c>
      <c r="Z1505" s="3">
        <v>77845</v>
      </c>
      <c r="AA1505" t="s">
        <v>101</v>
      </c>
      <c r="AB1505" t="s">
        <v>114</v>
      </c>
      <c r="AC1505" s="4" t="str">
        <f>"+19793296682"</f>
        <v>+19793296682</v>
      </c>
      <c r="AE1505" t="str">
        <f>"541512"</f>
        <v>541512</v>
      </c>
      <c r="AF1505" t="s">
        <v>115</v>
      </c>
      <c r="AG1505" t="s">
        <v>116</v>
      </c>
      <c r="AH1505" t="s">
        <v>108</v>
      </c>
      <c r="AI1505" t="s">
        <v>117</v>
      </c>
      <c r="AJ1505" t="s">
        <v>118</v>
      </c>
      <c r="AK1505" t="str">
        <f>""</f>
        <v/>
      </c>
      <c r="AL1505" t="s">
        <v>119</v>
      </c>
      <c r="AM1505" t="s">
        <v>114</v>
      </c>
      <c r="AN1505" s="3">
        <v>77845</v>
      </c>
      <c r="AO1505" t="s">
        <v>101</v>
      </c>
      <c r="AQ1505" t="str">
        <f>"+19793296682"</f>
        <v>+19793296682</v>
      </c>
      <c r="AS1505" t="s">
        <v>120</v>
      </c>
      <c r="AT1505" t="s">
        <v>102</v>
      </c>
      <c r="AU1505" t="str">
        <f>""</f>
        <v/>
      </c>
      <c r="AV1505" t="str">
        <f>""</f>
        <v/>
      </c>
      <c r="AW1505" t="str">
        <f>""</f>
        <v/>
      </c>
      <c r="AX1505" t="str">
        <f>""</f>
        <v/>
      </c>
      <c r="AY1505" t="str">
        <f>""</f>
        <v/>
      </c>
      <c r="AZ1505" t="str">
        <f>""</f>
        <v/>
      </c>
      <c r="BA1505" t="str">
        <f>""</f>
        <v/>
      </c>
      <c r="BC1505" t="str">
        <f>""</f>
        <v/>
      </c>
      <c r="BD1505" t="str">
        <f>""</f>
        <v/>
      </c>
      <c r="BE1505" t="str">
        <f>""</f>
        <v/>
      </c>
      <c r="BF1505" t="str">
        <f>""</f>
        <v/>
      </c>
      <c r="BG1505" t="str">
        <f>""</f>
        <v/>
      </c>
      <c r="BH1505" t="str">
        <f>""</f>
        <v/>
      </c>
      <c r="BI1505" t="str">
        <f>""</f>
        <v/>
      </c>
      <c r="BJ1505" t="str">
        <f>""</f>
        <v/>
      </c>
      <c r="BK1505">
        <v>1</v>
      </c>
      <c r="BL1505" t="s">
        <v>107</v>
      </c>
      <c r="BM1505" t="str">
        <f>"Health Care Service Corporation"</f>
        <v>Health Care Service Corporation</v>
      </c>
      <c r="BN1505" t="s">
        <v>11765</v>
      </c>
      <c r="BP1505" t="s">
        <v>761</v>
      </c>
      <c r="BQ1505" t="s">
        <v>484</v>
      </c>
      <c r="BR1505" t="s">
        <v>114</v>
      </c>
      <c r="BS1505" s="5">
        <v>75082</v>
      </c>
      <c r="BT1505" s="2">
        <v>97240</v>
      </c>
      <c r="BV1505" t="s">
        <v>105</v>
      </c>
      <c r="BW1505" s="2">
        <v>97240</v>
      </c>
      <c r="BX1505" t="s">
        <v>105</v>
      </c>
      <c r="BZ1505" t="s">
        <v>123</v>
      </c>
      <c r="CA1505" t="str">
        <f t="shared" si="115"/>
        <v>7/1/2020 - 6/30/2021</v>
      </c>
      <c r="CF1505">
        <v>1</v>
      </c>
      <c r="CG1505" t="s">
        <v>98</v>
      </c>
      <c r="CH1505" t="s">
        <v>98</v>
      </c>
      <c r="CI1505" t="s">
        <v>206</v>
      </c>
      <c r="CJ1505" t="s">
        <v>98</v>
      </c>
      <c r="CK1505" t="s">
        <v>12323</v>
      </c>
      <c r="CL1505" t="s">
        <v>108</v>
      </c>
      <c r="CM1505" t="s">
        <v>109</v>
      </c>
      <c r="CN1505" t="str">
        <f>""</f>
        <v/>
      </c>
      <c r="CO1505" t="str">
        <f>""</f>
        <v/>
      </c>
      <c r="CP1505" t="str">
        <f>""</f>
        <v/>
      </c>
      <c r="CQ1505" t="str">
        <f>""</f>
        <v/>
      </c>
    </row>
    <row r="1506" spans="1:96" x14ac:dyDescent="0.2">
      <c r="A1506" t="s">
        <v>11768</v>
      </c>
      <c r="B1506" t="s">
        <v>96</v>
      </c>
      <c r="C1506" s="1">
        <v>44099</v>
      </c>
      <c r="D1506" s="1">
        <v>44106</v>
      </c>
      <c r="F1506" t="s">
        <v>97</v>
      </c>
      <c r="G1506" t="str">
        <f>"SR. PROGRAMMER ANALYST"</f>
        <v>SR. PROGRAMMER ANALYST</v>
      </c>
      <c r="H1506" t="s">
        <v>12169</v>
      </c>
      <c r="I1506" t="s">
        <v>124</v>
      </c>
      <c r="J1506" t="s">
        <v>98</v>
      </c>
      <c r="K1506" s="1">
        <v>44102</v>
      </c>
      <c r="L1506" s="1">
        <v>45197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 t="s">
        <v>3367</v>
      </c>
      <c r="U1506" t="str">
        <f>""</f>
        <v/>
      </c>
      <c r="V1506" t="s">
        <v>3368</v>
      </c>
      <c r="W1506" t="str">
        <f>"STE.203"</f>
        <v>STE.203</v>
      </c>
      <c r="X1506" t="s">
        <v>211</v>
      </c>
      <c r="Y1506" t="s">
        <v>100</v>
      </c>
      <c r="Z1506" s="3">
        <v>8820</v>
      </c>
      <c r="AA1506" t="s">
        <v>101</v>
      </c>
      <c r="AC1506" s="4" t="str">
        <f>"+17325482700"</f>
        <v>+17325482700</v>
      </c>
      <c r="AD1506">
        <v>8618</v>
      </c>
      <c r="AE1506" t="str">
        <f t="shared" ref="AE1506:AE1512" si="116">"541511"</f>
        <v>541511</v>
      </c>
      <c r="AF1506" t="s">
        <v>2719</v>
      </c>
      <c r="AG1506" t="s">
        <v>2720</v>
      </c>
      <c r="AI1506" t="s">
        <v>2721</v>
      </c>
      <c r="AJ1506" t="s">
        <v>3368</v>
      </c>
      <c r="AK1506" t="str">
        <f>"STE.203"</f>
        <v>STE.203</v>
      </c>
      <c r="AL1506" t="s">
        <v>211</v>
      </c>
      <c r="AM1506" t="s">
        <v>100</v>
      </c>
      <c r="AN1506" s="3">
        <v>8820</v>
      </c>
      <c r="AO1506" t="s">
        <v>101</v>
      </c>
      <c r="AQ1506" t="str">
        <f>"+17325482700"</f>
        <v>+17325482700</v>
      </c>
      <c r="AR1506">
        <v>8618</v>
      </c>
      <c r="AS1506" t="s">
        <v>2722</v>
      </c>
      <c r="AT1506" t="s">
        <v>102</v>
      </c>
      <c r="AU1506" t="str">
        <f>""</f>
        <v/>
      </c>
      <c r="AV1506" t="str">
        <f>""</f>
        <v/>
      </c>
      <c r="AW1506" t="str">
        <f>""</f>
        <v/>
      </c>
      <c r="AX1506" t="str">
        <f>""</f>
        <v/>
      </c>
      <c r="AY1506" t="str">
        <f>""</f>
        <v/>
      </c>
      <c r="AZ1506" t="str">
        <f>""</f>
        <v/>
      </c>
      <c r="BA1506" t="str">
        <f>""</f>
        <v/>
      </c>
      <c r="BC1506" t="str">
        <f>""</f>
        <v/>
      </c>
      <c r="BD1506" t="str">
        <f>""</f>
        <v/>
      </c>
      <c r="BE1506" t="str">
        <f>""</f>
        <v/>
      </c>
      <c r="BF1506" t="str">
        <f>""</f>
        <v/>
      </c>
      <c r="BG1506" t="str">
        <f>""</f>
        <v/>
      </c>
      <c r="BH1506" t="str">
        <f>""</f>
        <v/>
      </c>
      <c r="BI1506" t="str">
        <f>""</f>
        <v/>
      </c>
      <c r="BJ1506" t="str">
        <f>""</f>
        <v/>
      </c>
      <c r="BK1506">
        <v>1</v>
      </c>
      <c r="BL1506" t="s">
        <v>107</v>
      </c>
      <c r="BM1506" t="str">
        <f>"NEXT LEVEL SOLUTIONS"</f>
        <v>NEXT LEVEL SOLUTIONS</v>
      </c>
      <c r="BN1506" t="s">
        <v>11769</v>
      </c>
      <c r="BP1506" t="s">
        <v>2211</v>
      </c>
      <c r="BQ1506" t="s">
        <v>715</v>
      </c>
      <c r="BR1506" t="s">
        <v>594</v>
      </c>
      <c r="BS1506" s="5">
        <v>29201</v>
      </c>
      <c r="BT1506" s="2">
        <v>82098</v>
      </c>
      <c r="BU1506" s="2">
        <v>83000</v>
      </c>
      <c r="BV1506" t="s">
        <v>105</v>
      </c>
      <c r="BW1506" s="2">
        <v>82098</v>
      </c>
      <c r="BX1506" t="s">
        <v>105</v>
      </c>
      <c r="BZ1506" t="s">
        <v>123</v>
      </c>
      <c r="CA1506" t="str">
        <f t="shared" si="115"/>
        <v>7/1/2020 - 6/30/2021</v>
      </c>
      <c r="CF1506">
        <v>3</v>
      </c>
      <c r="CG1506" t="s">
        <v>98</v>
      </c>
      <c r="CH1506" t="s">
        <v>98</v>
      </c>
      <c r="CI1506" t="s">
        <v>206</v>
      </c>
      <c r="CJ1506" t="s">
        <v>98</v>
      </c>
      <c r="CK1506" t="s">
        <v>12323</v>
      </c>
      <c r="CL1506" t="s">
        <v>108</v>
      </c>
      <c r="CM1506" t="s">
        <v>109</v>
      </c>
      <c r="CN1506" t="str">
        <f>""</f>
        <v/>
      </c>
      <c r="CO1506" t="str">
        <f>""</f>
        <v/>
      </c>
      <c r="CP1506" t="str">
        <f>""</f>
        <v/>
      </c>
      <c r="CQ1506" t="str">
        <f>""</f>
        <v/>
      </c>
    </row>
    <row r="1507" spans="1:96" x14ac:dyDescent="0.2">
      <c r="A1507" t="s">
        <v>11779</v>
      </c>
      <c r="B1507" t="s">
        <v>96</v>
      </c>
      <c r="C1507" s="1">
        <v>44099</v>
      </c>
      <c r="D1507" s="1">
        <v>44106</v>
      </c>
      <c r="F1507" t="s">
        <v>97</v>
      </c>
      <c r="G1507" t="str">
        <f>"PROGRAMMER ANALYST"</f>
        <v>PROGRAMMER ANALYST</v>
      </c>
      <c r="H1507" t="s">
        <v>12239</v>
      </c>
      <c r="I1507" t="s">
        <v>378</v>
      </c>
      <c r="J1507" t="s">
        <v>98</v>
      </c>
      <c r="K1507" s="1">
        <v>44109</v>
      </c>
      <c r="L1507" s="1">
        <v>45203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 t="s">
        <v>11285</v>
      </c>
      <c r="U1507" t="str">
        <f>""</f>
        <v/>
      </c>
      <c r="V1507" t="s">
        <v>8711</v>
      </c>
      <c r="W1507" t="str">
        <f>"Suite 245"</f>
        <v>Suite 245</v>
      </c>
      <c r="X1507" t="s">
        <v>199</v>
      </c>
      <c r="Y1507" t="s">
        <v>195</v>
      </c>
      <c r="Z1507" s="3">
        <v>21045</v>
      </c>
      <c r="AA1507" t="s">
        <v>101</v>
      </c>
      <c r="AC1507" s="4" t="str">
        <f>"+14104614273"</f>
        <v>+14104614273</v>
      </c>
      <c r="AE1507" t="str">
        <f t="shared" si="116"/>
        <v>541511</v>
      </c>
      <c r="AF1507" t="s">
        <v>11286</v>
      </c>
      <c r="AG1507" t="s">
        <v>11287</v>
      </c>
      <c r="AI1507" t="s">
        <v>3351</v>
      </c>
      <c r="AJ1507" t="s">
        <v>11288</v>
      </c>
      <c r="AK1507" t="str">
        <f>"SUITE 245"</f>
        <v>SUITE 245</v>
      </c>
      <c r="AL1507" t="s">
        <v>2211</v>
      </c>
      <c r="AM1507" t="s">
        <v>195</v>
      </c>
      <c r="AN1507" s="3">
        <v>21045</v>
      </c>
      <c r="AO1507" t="s">
        <v>101</v>
      </c>
      <c r="AQ1507" t="str">
        <f>"+14433122124"</f>
        <v>+14433122124</v>
      </c>
      <c r="AS1507" t="s">
        <v>11289</v>
      </c>
      <c r="AT1507" t="s">
        <v>107</v>
      </c>
      <c r="AU1507" t="str">
        <f>"Tewary"</f>
        <v>Tewary</v>
      </c>
      <c r="AV1507" t="str">
        <f>"Akshat"</f>
        <v>Akshat</v>
      </c>
      <c r="AW1507" t="str">
        <f>""</f>
        <v/>
      </c>
      <c r="AX1507" t="str">
        <f>"1974 State Route 27"</f>
        <v>1974 State Route 27</v>
      </c>
      <c r="AY1507" t="str">
        <f>""</f>
        <v/>
      </c>
      <c r="AZ1507" t="str">
        <f>"Edison"</f>
        <v>Edison</v>
      </c>
      <c r="BA1507" t="str">
        <f>"NJ"</f>
        <v>NJ</v>
      </c>
      <c r="BB1507" s="3">
        <v>8817</v>
      </c>
      <c r="BC1507" t="str">
        <f>"UNITED STATES OF AMERICA"</f>
        <v>UNITED STATES OF AMERICA</v>
      </c>
      <c r="BD1507" t="str">
        <f>""</f>
        <v/>
      </c>
      <c r="BE1507" t="str">
        <f>"+17322870080"</f>
        <v>+17322870080</v>
      </c>
      <c r="BF1507" t="str">
        <f>""</f>
        <v/>
      </c>
      <c r="BG1507" t="str">
        <f>"tewaryoffice@yahoo.com"</f>
        <v>tewaryoffice@yahoo.com</v>
      </c>
      <c r="BH1507" t="str">
        <f>"Law Offices of Kamlesh Tewary, P.C. "</f>
        <v xml:space="preserve">Law Offices of Kamlesh Tewary, P.C. </v>
      </c>
      <c r="BI1507" t="str">
        <f>"NJ"</f>
        <v>NJ</v>
      </c>
      <c r="BJ1507" t="str">
        <f>"New Jersey Supreme Court "</f>
        <v xml:space="preserve">New Jersey Supreme Court </v>
      </c>
      <c r="BK1507">
        <v>1</v>
      </c>
      <c r="BL1507" t="s">
        <v>107</v>
      </c>
      <c r="BM1507" t="str">
        <f>"AMERICAN DATA BANK"</f>
        <v>AMERICAN DATA BANK</v>
      </c>
      <c r="BN1507" t="s">
        <v>11780</v>
      </c>
      <c r="BP1507" t="s">
        <v>912</v>
      </c>
      <c r="BQ1507" t="s">
        <v>912</v>
      </c>
      <c r="BR1507" t="s">
        <v>166</v>
      </c>
      <c r="BS1507" s="5">
        <v>80202</v>
      </c>
      <c r="BT1507" s="2">
        <v>90000</v>
      </c>
      <c r="BV1507" t="s">
        <v>105</v>
      </c>
      <c r="BW1507" s="2">
        <v>82160</v>
      </c>
      <c r="BX1507" t="s">
        <v>105</v>
      </c>
      <c r="BZ1507" t="s">
        <v>167</v>
      </c>
      <c r="CA1507" t="str">
        <f t="shared" si="115"/>
        <v>7/1/2020 - 6/30/2021</v>
      </c>
      <c r="CF1507">
        <v>1</v>
      </c>
      <c r="CG1507" t="s">
        <v>98</v>
      </c>
      <c r="CH1507" t="s">
        <v>98</v>
      </c>
      <c r="CI1507" t="s">
        <v>206</v>
      </c>
      <c r="CJ1507" t="s">
        <v>98</v>
      </c>
      <c r="CK1507" t="s">
        <v>12323</v>
      </c>
      <c r="CL1507" t="s">
        <v>108</v>
      </c>
      <c r="CM1507" t="s">
        <v>109</v>
      </c>
      <c r="CN1507" t="str">
        <f>""</f>
        <v/>
      </c>
      <c r="CO1507" t="str">
        <f>""</f>
        <v/>
      </c>
      <c r="CP1507" t="str">
        <f>""</f>
        <v/>
      </c>
      <c r="CQ1507" t="str">
        <f>""</f>
        <v/>
      </c>
    </row>
    <row r="1508" spans="1:96" x14ac:dyDescent="0.2">
      <c r="A1508" t="s">
        <v>11786</v>
      </c>
      <c r="B1508" t="s">
        <v>96</v>
      </c>
      <c r="C1508" s="1">
        <v>44099</v>
      </c>
      <c r="D1508" s="1">
        <v>44106</v>
      </c>
      <c r="F1508" t="s">
        <v>97</v>
      </c>
      <c r="G1508" t="str">
        <f>"BUSINESS ANALYST 3"</f>
        <v>BUSINESS ANALYST 3</v>
      </c>
      <c r="H1508" t="s">
        <v>12181</v>
      </c>
      <c r="I1508" t="s">
        <v>110</v>
      </c>
      <c r="J1508" t="s">
        <v>98</v>
      </c>
      <c r="K1508" s="1">
        <v>44106</v>
      </c>
      <c r="L1508" s="1">
        <v>45200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511</v>
      </c>
      <c r="U1508" t="str">
        <f>""</f>
        <v/>
      </c>
      <c r="V1508" t="s">
        <v>518</v>
      </c>
      <c r="W1508" t="str">
        <f>"STE. 300"</f>
        <v>STE. 300</v>
      </c>
      <c r="X1508" t="s">
        <v>519</v>
      </c>
      <c r="Y1508" t="s">
        <v>171</v>
      </c>
      <c r="Z1508" s="3">
        <v>1772</v>
      </c>
      <c r="AA1508" t="s">
        <v>101</v>
      </c>
      <c r="AC1508" s="4" t="str">
        <f>"+15083897451"</f>
        <v>+15083897451</v>
      </c>
      <c r="AE1508" t="str">
        <f t="shared" si="116"/>
        <v>541511</v>
      </c>
      <c r="AF1508" t="s">
        <v>515</v>
      </c>
      <c r="AG1508" t="s">
        <v>516</v>
      </c>
      <c r="AI1508" t="s">
        <v>517</v>
      </c>
      <c r="AJ1508" t="s">
        <v>2797</v>
      </c>
      <c r="AK1508" t="str">
        <f>"STE. 300"</f>
        <v>STE. 300</v>
      </c>
      <c r="AL1508" t="s">
        <v>519</v>
      </c>
      <c r="AM1508" t="s">
        <v>171</v>
      </c>
      <c r="AN1508" s="3">
        <v>1772</v>
      </c>
      <c r="AO1508" t="s">
        <v>101</v>
      </c>
      <c r="AQ1508" t="str">
        <f>"+15083497451"</f>
        <v>+15083497451</v>
      </c>
      <c r="AS1508" t="s">
        <v>520</v>
      </c>
      <c r="AT1508" t="s">
        <v>107</v>
      </c>
      <c r="AU1508" t="str">
        <f>"CARTER"</f>
        <v>CARTER</v>
      </c>
      <c r="AV1508" t="str">
        <f>"KIRK"</f>
        <v>KIRK</v>
      </c>
      <c r="AW1508" t="str">
        <f>"A."</f>
        <v>A.</v>
      </c>
      <c r="AX1508" t="str">
        <f>"161 WORCESTER RD."</f>
        <v>161 WORCESTER RD.</v>
      </c>
      <c r="AY1508" t="str">
        <f>"STE. 501"</f>
        <v>STE. 501</v>
      </c>
      <c r="AZ1508" t="str">
        <f>"FRAMINGHAM"</f>
        <v>FRAMINGHAM</v>
      </c>
      <c r="BA1508" t="str">
        <f>"MA"</f>
        <v>MA</v>
      </c>
      <c r="BB1508" s="3">
        <v>1701</v>
      </c>
      <c r="BC1508" t="str">
        <f>"UNITED STATES OF AMERICA"</f>
        <v>UNITED STATES OF AMERICA</v>
      </c>
      <c r="BD1508" t="str">
        <f>""</f>
        <v/>
      </c>
      <c r="BE1508" t="str">
        <f>"+15085323514"</f>
        <v>+15085323514</v>
      </c>
      <c r="BF1508" t="str">
        <f>""</f>
        <v/>
      </c>
      <c r="BG1508" t="str">
        <f>"CRUSSO@FLETCHERTILTON.COM"</f>
        <v>CRUSSO@FLETCHERTILTON.COM</v>
      </c>
      <c r="BH1508" t="str">
        <f>"FLETCHER TILTON, P.C."</f>
        <v>FLETCHER TILTON, P.C.</v>
      </c>
      <c r="BI1508" t="str">
        <f>"MA"</f>
        <v>MA</v>
      </c>
      <c r="BJ1508" t="str">
        <f>"SUPREME JUDICIAL COURT"</f>
        <v>SUPREME JUDICIAL COURT</v>
      </c>
      <c r="BK1508">
        <v>1</v>
      </c>
      <c r="BL1508" t="s">
        <v>107</v>
      </c>
      <c r="BM1508" t="str">
        <f>"VERIZON SOURCING, LLC"</f>
        <v>VERIZON SOURCING, LLC</v>
      </c>
      <c r="BN1508" t="s">
        <v>5725</v>
      </c>
      <c r="BP1508" t="s">
        <v>1487</v>
      </c>
      <c r="BQ1508" t="s">
        <v>484</v>
      </c>
      <c r="BR1508" t="s">
        <v>114</v>
      </c>
      <c r="BS1508" s="5">
        <v>75038</v>
      </c>
      <c r="BT1508" s="2">
        <v>114067</v>
      </c>
      <c r="BV1508" t="s">
        <v>105</v>
      </c>
      <c r="BW1508" s="2">
        <v>97240</v>
      </c>
      <c r="BX1508" t="s">
        <v>105</v>
      </c>
      <c r="BZ1508" t="s">
        <v>123</v>
      </c>
      <c r="CA1508" t="str">
        <f t="shared" si="115"/>
        <v>7/1/2020 - 6/30/2021</v>
      </c>
      <c r="CF1508">
        <v>2</v>
      </c>
      <c r="CG1508" t="s">
        <v>98</v>
      </c>
      <c r="CH1508" t="s">
        <v>98</v>
      </c>
      <c r="CI1508" t="s">
        <v>206</v>
      </c>
      <c r="CJ1508" t="s">
        <v>98</v>
      </c>
      <c r="CK1508" t="s">
        <v>12323</v>
      </c>
      <c r="CL1508" t="s">
        <v>108</v>
      </c>
      <c r="CM1508" t="s">
        <v>109</v>
      </c>
      <c r="CN1508" t="str">
        <f>""</f>
        <v/>
      </c>
      <c r="CO1508" t="str">
        <f>""</f>
        <v/>
      </c>
      <c r="CP1508" t="str">
        <f>""</f>
        <v/>
      </c>
      <c r="CQ1508" t="str">
        <f>""</f>
        <v/>
      </c>
    </row>
    <row r="1509" spans="1:96" x14ac:dyDescent="0.2">
      <c r="A1509" t="s">
        <v>11794</v>
      </c>
      <c r="B1509" t="s">
        <v>96</v>
      </c>
      <c r="C1509" s="1">
        <v>44099</v>
      </c>
      <c r="D1509" s="1">
        <v>44106</v>
      </c>
      <c r="F1509" t="s">
        <v>97</v>
      </c>
      <c r="G1509" t="str">
        <f>"LEAD - TECHNOLOGY"</f>
        <v>LEAD - TECHNOLOGY</v>
      </c>
      <c r="H1509" t="s">
        <v>12169</v>
      </c>
      <c r="I1509" t="s">
        <v>124</v>
      </c>
      <c r="J1509" t="s">
        <v>98</v>
      </c>
      <c r="K1509" s="1">
        <v>44116</v>
      </c>
      <c r="L1509" s="1">
        <v>45210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3071</v>
      </c>
      <c r="U1509" t="str">
        <f>""</f>
        <v/>
      </c>
      <c r="V1509" t="s">
        <v>3072</v>
      </c>
      <c r="W1509" t="str">
        <f>"SUITE 3301"</f>
        <v>SUITE 3301</v>
      </c>
      <c r="X1509" t="s">
        <v>189</v>
      </c>
      <c r="Y1509" t="s">
        <v>190</v>
      </c>
      <c r="Z1509" s="3">
        <v>10036</v>
      </c>
      <c r="AA1509" t="s">
        <v>101</v>
      </c>
      <c r="AC1509" s="4" t="str">
        <f>"+17047631255"</f>
        <v>+17047631255</v>
      </c>
      <c r="AE1509" t="str">
        <f t="shared" si="116"/>
        <v>541511</v>
      </c>
      <c r="AF1509" t="s">
        <v>3073</v>
      </c>
      <c r="AG1509" t="s">
        <v>3074</v>
      </c>
      <c r="AI1509" t="s">
        <v>3075</v>
      </c>
      <c r="AJ1509" t="s">
        <v>3072</v>
      </c>
      <c r="AK1509" t="str">
        <f>"SUITE 3301"</f>
        <v>SUITE 3301</v>
      </c>
      <c r="AL1509" t="s">
        <v>189</v>
      </c>
      <c r="AM1509" t="s">
        <v>190</v>
      </c>
      <c r="AN1509" s="3">
        <v>10036</v>
      </c>
      <c r="AO1509" t="s">
        <v>101</v>
      </c>
      <c r="AQ1509" t="str">
        <f>"+17047631255"</f>
        <v>+17047631255</v>
      </c>
      <c r="AS1509" t="s">
        <v>3076</v>
      </c>
      <c r="AT1509" t="s">
        <v>107</v>
      </c>
      <c r="AU1509" t="str">
        <f>"JETHMALANI"</f>
        <v>JETHMALANI</v>
      </c>
      <c r="AV1509" t="str">
        <f>"ANIL"</f>
        <v>ANIL</v>
      </c>
      <c r="AW1509" t="str">
        <f>""</f>
        <v/>
      </c>
      <c r="AX1509" t="str">
        <f>"42 BROADWAY"</f>
        <v>42 BROADWAY</v>
      </c>
      <c r="AY1509" t="str">
        <f>"SUITE 1548"</f>
        <v>SUITE 1548</v>
      </c>
      <c r="AZ1509" t="str">
        <f>"NEW YORK"</f>
        <v>NEW YORK</v>
      </c>
      <c r="BA1509" t="str">
        <f>"NY"</f>
        <v>NY</v>
      </c>
      <c r="BB1509" s="3">
        <v>10004</v>
      </c>
      <c r="BC1509" t="str">
        <f>"UNITED STATES OF AMERICA"</f>
        <v>UNITED STATES OF AMERICA</v>
      </c>
      <c r="BD1509" t="str">
        <f>""</f>
        <v/>
      </c>
      <c r="BE1509" t="str">
        <f>"+12124069257"</f>
        <v>+12124069257</v>
      </c>
      <c r="BF1509" t="str">
        <f>""</f>
        <v/>
      </c>
      <c r="BG1509" t="str">
        <f>"FORUM@JNATTORNEY.COM"</f>
        <v>FORUM@JNATTORNEY.COM</v>
      </c>
      <c r="BH1509" t="str">
        <f>"Jethmalani &amp; Nallaseth PLLC"</f>
        <v>Jethmalani &amp; Nallaseth PLLC</v>
      </c>
      <c r="BI1509" t="str">
        <f>"NY"</f>
        <v>NY</v>
      </c>
      <c r="BJ1509" t="str">
        <f>"SUPREME COURT"</f>
        <v>SUPREME COURT</v>
      </c>
      <c r="BK1509">
        <v>1</v>
      </c>
      <c r="BL1509" t="s">
        <v>107</v>
      </c>
      <c r="BM1509" t="str">
        <f>"BANK OF AMERICA"</f>
        <v>BANK OF AMERICA</v>
      </c>
      <c r="BN1509" t="s">
        <v>6717</v>
      </c>
      <c r="BP1509" t="s">
        <v>998</v>
      </c>
      <c r="BQ1509" t="s">
        <v>121</v>
      </c>
      <c r="BR1509" t="s">
        <v>122</v>
      </c>
      <c r="BS1509" s="5">
        <v>28202</v>
      </c>
      <c r="BT1509" s="2">
        <v>115000</v>
      </c>
      <c r="BV1509" t="s">
        <v>105</v>
      </c>
      <c r="BW1509" s="2">
        <v>85488</v>
      </c>
      <c r="BX1509" t="s">
        <v>105</v>
      </c>
      <c r="BZ1509" t="s">
        <v>167</v>
      </c>
      <c r="CA1509" t="str">
        <f t="shared" si="115"/>
        <v>7/1/2020 - 6/30/2021</v>
      </c>
      <c r="CF1509">
        <v>2</v>
      </c>
      <c r="CG1509" t="s">
        <v>98</v>
      </c>
      <c r="CH1509" t="s">
        <v>98</v>
      </c>
      <c r="CI1509" t="s">
        <v>206</v>
      </c>
      <c r="CJ1509" t="s">
        <v>98</v>
      </c>
      <c r="CK1509" t="s">
        <v>12323</v>
      </c>
      <c r="CL1509" t="s">
        <v>108</v>
      </c>
      <c r="CM1509" t="s">
        <v>109</v>
      </c>
      <c r="CN1509" t="str">
        <f>""</f>
        <v/>
      </c>
      <c r="CO1509" t="str">
        <f>""</f>
        <v/>
      </c>
      <c r="CP1509" t="str">
        <f>""</f>
        <v/>
      </c>
      <c r="CQ1509" t="str">
        <f>""</f>
        <v/>
      </c>
    </row>
    <row r="1510" spans="1:96" x14ac:dyDescent="0.2">
      <c r="A1510" t="s">
        <v>11805</v>
      </c>
      <c r="B1510" t="s">
        <v>96</v>
      </c>
      <c r="C1510" s="1">
        <v>44099</v>
      </c>
      <c r="D1510" s="1">
        <v>44106</v>
      </c>
      <c r="F1510" t="s">
        <v>97</v>
      </c>
      <c r="G1510" t="str">
        <f>"Test Specialist"</f>
        <v>Test Specialist</v>
      </c>
      <c r="H1510" t="s">
        <v>12168</v>
      </c>
      <c r="I1510" t="s">
        <v>319</v>
      </c>
      <c r="J1510" t="s">
        <v>98</v>
      </c>
      <c r="K1510" s="1">
        <v>44105</v>
      </c>
      <c r="L1510" s="1">
        <v>45177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1143</v>
      </c>
      <c r="U1510" t="str">
        <f>""</f>
        <v/>
      </c>
      <c r="V1510" t="s">
        <v>2610</v>
      </c>
      <c r="W1510" t="str">
        <f>"SUITE 401"</f>
        <v>SUITE 401</v>
      </c>
      <c r="X1510" t="s">
        <v>1145</v>
      </c>
      <c r="Y1510" t="s">
        <v>100</v>
      </c>
      <c r="Z1510" s="3">
        <v>7059</v>
      </c>
      <c r="AA1510" t="s">
        <v>101</v>
      </c>
      <c r="AC1510" s="4" t="str">
        <f>"+14254959011"</f>
        <v>+14254959011</v>
      </c>
      <c r="AE1510" t="str">
        <f t="shared" si="116"/>
        <v>541511</v>
      </c>
      <c r="AF1510" t="s">
        <v>2611</v>
      </c>
      <c r="AG1510" t="s">
        <v>2585</v>
      </c>
      <c r="AI1510" t="s">
        <v>1147</v>
      </c>
      <c r="AJ1510" t="s">
        <v>1144</v>
      </c>
      <c r="AK1510" t="str">
        <f>"SUITE 401"</f>
        <v>SUITE 401</v>
      </c>
      <c r="AL1510" t="s">
        <v>1145</v>
      </c>
      <c r="AM1510" t="s">
        <v>100</v>
      </c>
      <c r="AN1510" s="3">
        <v>7059</v>
      </c>
      <c r="AO1510" t="s">
        <v>101</v>
      </c>
      <c r="AQ1510" t="str">
        <f>"+14254959011"</f>
        <v>+14254959011</v>
      </c>
      <c r="AS1510" t="s">
        <v>1149</v>
      </c>
      <c r="AT1510" t="s">
        <v>107</v>
      </c>
      <c r="AU1510" t="str">
        <f>"COUGHLIN"</f>
        <v>COUGHLIN</v>
      </c>
      <c r="AV1510" t="str">
        <f>"BRIAN"</f>
        <v>BRIAN</v>
      </c>
      <c r="AW1510" t="str">
        <f>"JOSEPH"</f>
        <v>JOSEPH</v>
      </c>
      <c r="AX1510" t="str">
        <f>"THE MEADOWS BUILDING"</f>
        <v>THE MEADOWS BUILDING</v>
      </c>
      <c r="AY1510" t="str">
        <f>"161 WORCESTER ROAD"</f>
        <v>161 WORCESTER ROAD</v>
      </c>
      <c r="AZ1510" t="str">
        <f>"FRAMINGHAM"</f>
        <v>FRAMINGHAM</v>
      </c>
      <c r="BA1510" t="str">
        <f>"MA"</f>
        <v>MA</v>
      </c>
      <c r="BB1510" s="3">
        <v>1701</v>
      </c>
      <c r="BC1510" t="str">
        <f>"UNITED STATES OF AMERICA"</f>
        <v>UNITED STATES OF AMERICA</v>
      </c>
      <c r="BD1510" t="str">
        <f>""</f>
        <v/>
      </c>
      <c r="BE1510" t="str">
        <f>"+15085323527"</f>
        <v>+15085323527</v>
      </c>
      <c r="BF1510" t="str">
        <f>""</f>
        <v/>
      </c>
      <c r="BG1510" t="str">
        <f>"MBROGNA@FLETCHERTILTON.COM"</f>
        <v>MBROGNA@FLETCHERTILTON.COM</v>
      </c>
      <c r="BH1510" t="str">
        <f>"FLETCHER TILTON P.C."</f>
        <v>FLETCHER TILTON P.C.</v>
      </c>
      <c r="BI1510" t="str">
        <f>"MA"</f>
        <v>MA</v>
      </c>
      <c r="BJ1510" t="str">
        <f>"MASSACHUSETTS SUPREME JUDICIAL COURT"</f>
        <v>MASSACHUSETTS SUPREME JUDICIAL COURT</v>
      </c>
      <c r="BK1510">
        <v>1</v>
      </c>
      <c r="BL1510" t="s">
        <v>107</v>
      </c>
      <c r="BM1510" t="str">
        <f>"Delta Air Lines"</f>
        <v>Delta Air Lines</v>
      </c>
      <c r="BN1510" t="s">
        <v>6434</v>
      </c>
      <c r="BP1510" t="s">
        <v>213</v>
      </c>
      <c r="BQ1510" t="s">
        <v>214</v>
      </c>
      <c r="BR1510" t="s">
        <v>215</v>
      </c>
      <c r="BS1510" s="5">
        <v>30354</v>
      </c>
      <c r="BT1510" s="2">
        <v>73798</v>
      </c>
      <c r="BV1510" t="s">
        <v>105</v>
      </c>
      <c r="BW1510" s="2">
        <v>53560</v>
      </c>
      <c r="BX1510" t="s">
        <v>105</v>
      </c>
      <c r="BZ1510" t="s">
        <v>191</v>
      </c>
      <c r="CA1510" t="str">
        <f t="shared" si="115"/>
        <v>7/1/2020 - 6/30/2021</v>
      </c>
      <c r="CF1510">
        <v>1</v>
      </c>
      <c r="CG1510" t="s">
        <v>98</v>
      </c>
      <c r="CH1510" t="s">
        <v>98</v>
      </c>
      <c r="CI1510" t="s">
        <v>206</v>
      </c>
      <c r="CJ1510" t="s">
        <v>98</v>
      </c>
      <c r="CK1510" t="s">
        <v>12323</v>
      </c>
      <c r="CL1510" t="s">
        <v>108</v>
      </c>
      <c r="CM1510" t="s">
        <v>109</v>
      </c>
      <c r="CN1510" t="str">
        <f>""</f>
        <v/>
      </c>
      <c r="CO1510" t="str">
        <f>""</f>
        <v/>
      </c>
      <c r="CP1510" t="str">
        <f>""</f>
        <v/>
      </c>
      <c r="CQ1510" t="str">
        <f>""</f>
        <v/>
      </c>
    </row>
    <row r="1511" spans="1:96" x14ac:dyDescent="0.2">
      <c r="A1511" t="s">
        <v>11809</v>
      </c>
      <c r="B1511" t="s">
        <v>96</v>
      </c>
      <c r="C1511" s="1">
        <v>44099</v>
      </c>
      <c r="D1511" s="1">
        <v>44106</v>
      </c>
      <c r="F1511" t="s">
        <v>97</v>
      </c>
      <c r="G1511" t="str">
        <f>"Technology Lead - US - Practitioner "</f>
        <v xml:space="preserve">Technology Lead - US - Practitioner </v>
      </c>
      <c r="H1511" t="s">
        <v>12168</v>
      </c>
      <c r="I1511" t="s">
        <v>367</v>
      </c>
      <c r="J1511" t="s">
        <v>98</v>
      </c>
      <c r="K1511" s="1">
        <v>44110</v>
      </c>
      <c r="L1511" s="1">
        <v>45202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</v>
      </c>
      <c r="T1511" t="s">
        <v>723</v>
      </c>
      <c r="U1511" t="str">
        <f>""</f>
        <v/>
      </c>
      <c r="V1511" t="s">
        <v>724</v>
      </c>
      <c r="W1511" t="str">
        <f>"STE C150"</f>
        <v>STE C150</v>
      </c>
      <c r="X1511" t="s">
        <v>725</v>
      </c>
      <c r="Y1511" t="s">
        <v>114</v>
      </c>
      <c r="Z1511" s="3">
        <v>75082</v>
      </c>
      <c r="AA1511" t="s">
        <v>101</v>
      </c>
      <c r="AC1511" s="4" t="str">
        <f>"+12143062100"</f>
        <v>+12143062100</v>
      </c>
      <c r="AE1511" t="str">
        <f t="shared" si="116"/>
        <v>541511</v>
      </c>
      <c r="AF1511" t="s">
        <v>726</v>
      </c>
      <c r="AG1511" t="s">
        <v>727</v>
      </c>
      <c r="AI1511" t="s">
        <v>728</v>
      </c>
      <c r="AJ1511" t="s">
        <v>724</v>
      </c>
      <c r="AK1511" t="str">
        <f>"STE C150"</f>
        <v>STE C150</v>
      </c>
      <c r="AL1511" t="s">
        <v>725</v>
      </c>
      <c r="AM1511" t="s">
        <v>114</v>
      </c>
      <c r="AN1511" s="3">
        <v>75082</v>
      </c>
      <c r="AO1511" t="s">
        <v>101</v>
      </c>
      <c r="AQ1511" t="str">
        <f>"+12143062100"</f>
        <v>+12143062100</v>
      </c>
      <c r="AS1511" t="s">
        <v>729</v>
      </c>
      <c r="AT1511" t="s">
        <v>102</v>
      </c>
      <c r="AU1511" t="str">
        <f>""</f>
        <v/>
      </c>
      <c r="AV1511" t="str">
        <f>""</f>
        <v/>
      </c>
      <c r="AW1511" t="str">
        <f>""</f>
        <v/>
      </c>
      <c r="AX1511" t="str">
        <f>""</f>
        <v/>
      </c>
      <c r="AY1511" t="str">
        <f>""</f>
        <v/>
      </c>
      <c r="AZ1511" t="str">
        <f>""</f>
        <v/>
      </c>
      <c r="BA1511" t="str">
        <f>""</f>
        <v/>
      </c>
      <c r="BC1511" t="str">
        <f>""</f>
        <v/>
      </c>
      <c r="BD1511" t="str">
        <f>""</f>
        <v/>
      </c>
      <c r="BE1511" t="str">
        <f>""</f>
        <v/>
      </c>
      <c r="BF1511" t="str">
        <f>""</f>
        <v/>
      </c>
      <c r="BG1511" t="str">
        <f>""</f>
        <v/>
      </c>
      <c r="BH1511" t="str">
        <f>""</f>
        <v/>
      </c>
      <c r="BI1511" t="str">
        <f>""</f>
        <v/>
      </c>
      <c r="BJ1511" t="str">
        <f>""</f>
        <v/>
      </c>
      <c r="BK1511">
        <v>5</v>
      </c>
      <c r="BL1511" t="s">
        <v>107</v>
      </c>
      <c r="BM1511" t="str">
        <f>"CVS PHARMACY, INC."</f>
        <v>CVS PHARMACY, INC.</v>
      </c>
      <c r="BN1511" t="s">
        <v>5040</v>
      </c>
      <c r="BP1511" t="s">
        <v>761</v>
      </c>
      <c r="BQ1511" t="s">
        <v>484</v>
      </c>
      <c r="BR1511" t="s">
        <v>114</v>
      </c>
      <c r="BS1511" s="5">
        <v>75081</v>
      </c>
      <c r="BT1511" s="2">
        <v>74027</v>
      </c>
      <c r="BU1511" s="2">
        <v>90527</v>
      </c>
      <c r="BV1511" t="s">
        <v>105</v>
      </c>
      <c r="BW1511" s="2">
        <v>74027</v>
      </c>
      <c r="BX1511" t="s">
        <v>105</v>
      </c>
      <c r="BZ1511" t="s">
        <v>167</v>
      </c>
      <c r="CA1511" t="str">
        <f t="shared" si="115"/>
        <v>7/1/2020 - 6/30/2021</v>
      </c>
      <c r="CF1511">
        <v>1</v>
      </c>
      <c r="CG1511" t="s">
        <v>98</v>
      </c>
      <c r="CH1511" t="s">
        <v>98</v>
      </c>
      <c r="CI1511" t="s">
        <v>206</v>
      </c>
      <c r="CJ1511" t="s">
        <v>98</v>
      </c>
      <c r="CK1511" t="s">
        <v>12323</v>
      </c>
      <c r="CL1511" t="s">
        <v>108</v>
      </c>
      <c r="CM1511" t="s">
        <v>109</v>
      </c>
      <c r="CN1511" t="str">
        <f>"ALI"</f>
        <v>ALI</v>
      </c>
      <c r="CO1511" t="str">
        <f>"ASIF"</f>
        <v>ASIF</v>
      </c>
      <c r="CP1511" t="str">
        <f>""</f>
        <v/>
      </c>
      <c r="CQ1511" t="str">
        <f>"INFOSYS LIMITED"</f>
        <v>INFOSYS LIMITED</v>
      </c>
      <c r="CR1511" t="s">
        <v>796</v>
      </c>
    </row>
    <row r="1512" spans="1:96" x14ac:dyDescent="0.2">
      <c r="A1512" t="s">
        <v>11811</v>
      </c>
      <c r="B1512" t="s">
        <v>96</v>
      </c>
      <c r="C1512" s="1">
        <v>44099</v>
      </c>
      <c r="D1512" s="1">
        <v>44106</v>
      </c>
      <c r="F1512" t="s">
        <v>97</v>
      </c>
      <c r="G1512" t="str">
        <f>"Database Administrator"</f>
        <v>Database Administrator</v>
      </c>
      <c r="H1512" t="s">
        <v>12225</v>
      </c>
      <c r="I1512" t="s">
        <v>628</v>
      </c>
      <c r="J1512" t="s">
        <v>98</v>
      </c>
      <c r="K1512" s="1">
        <v>44197</v>
      </c>
      <c r="L1512" s="1">
        <v>45291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 t="s">
        <v>9196</v>
      </c>
      <c r="U1512" t="str">
        <f>""</f>
        <v/>
      </c>
      <c r="V1512" t="s">
        <v>9197</v>
      </c>
      <c r="W1512" t="str">
        <f>"Suite 302"</f>
        <v>Suite 302</v>
      </c>
      <c r="X1512" t="s">
        <v>1381</v>
      </c>
      <c r="Y1512" t="s">
        <v>345</v>
      </c>
      <c r="Z1512" s="3">
        <v>60505</v>
      </c>
      <c r="AA1512" t="s">
        <v>101</v>
      </c>
      <c r="AC1512" s="4" t="str">
        <f>"+16304486681"</f>
        <v>+16304486681</v>
      </c>
      <c r="AD1512">
        <v>129</v>
      </c>
      <c r="AE1512" t="str">
        <f t="shared" si="116"/>
        <v>541511</v>
      </c>
      <c r="AF1512" t="s">
        <v>9198</v>
      </c>
      <c r="AG1512" t="s">
        <v>2590</v>
      </c>
      <c r="AI1512" t="s">
        <v>298</v>
      </c>
      <c r="AJ1512" t="s">
        <v>9197</v>
      </c>
      <c r="AK1512" t="str">
        <f>"Suite 302"</f>
        <v>Suite 302</v>
      </c>
      <c r="AL1512" t="s">
        <v>1381</v>
      </c>
      <c r="AM1512" t="s">
        <v>345</v>
      </c>
      <c r="AN1512" s="3">
        <v>60505</v>
      </c>
      <c r="AO1512" t="s">
        <v>101</v>
      </c>
      <c r="AQ1512" t="str">
        <f>"+16304486681"</f>
        <v>+16304486681</v>
      </c>
      <c r="AR1512">
        <v>129</v>
      </c>
      <c r="AS1512" t="s">
        <v>9199</v>
      </c>
      <c r="AT1512" t="s">
        <v>107</v>
      </c>
      <c r="AU1512" t="str">
        <f>"Stephenson"</f>
        <v>Stephenson</v>
      </c>
      <c r="AV1512" t="str">
        <f>"Shaqueil "</f>
        <v>Shaqueil </v>
      </c>
      <c r="AW1512" t="str">
        <f>""</f>
        <v/>
      </c>
      <c r="AX1512" t="str">
        <f>"1640 Powers Ferry Road"</f>
        <v>1640 Powers Ferry Road</v>
      </c>
      <c r="AY1512" t="str">
        <f>"Building 15, Suite 100"</f>
        <v>Building 15, Suite 100</v>
      </c>
      <c r="AZ1512" t="str">
        <f>"Marietta"</f>
        <v>Marietta</v>
      </c>
      <c r="BA1512" t="str">
        <f>"GA"</f>
        <v>GA</v>
      </c>
      <c r="BB1512" s="3">
        <v>30067</v>
      </c>
      <c r="BC1512" t="str">
        <f>"UNITED STATES OF AMERICA"</f>
        <v>UNITED STATES OF AMERICA</v>
      </c>
      <c r="BD1512" t="str">
        <f>""</f>
        <v/>
      </c>
      <c r="BE1512" t="str">
        <f>"+16178304546"</f>
        <v>+16178304546</v>
      </c>
      <c r="BF1512" t="str">
        <f>""</f>
        <v/>
      </c>
      <c r="BG1512" t="str">
        <f>"s.stephenson@raminenilaw.com"</f>
        <v>s.stephenson@raminenilaw.com</v>
      </c>
      <c r="BH1512" t="str">
        <f>"Ramineni &amp; Shepard, LLC"</f>
        <v>Ramineni &amp; Shepard, LLC</v>
      </c>
      <c r="BI1512" t="str">
        <f>"GA"</f>
        <v>GA</v>
      </c>
      <c r="BJ1512" t="str">
        <f>"Georgia Superior Courts"</f>
        <v>Georgia Superior Courts</v>
      </c>
      <c r="BK1512">
        <v>1</v>
      </c>
      <c r="BL1512" t="s">
        <v>107</v>
      </c>
      <c r="BM1512" t="str">
        <f>"Comcast Corporation"</f>
        <v>Comcast Corporation</v>
      </c>
      <c r="BN1512" t="s">
        <v>5572</v>
      </c>
      <c r="BP1512" t="s">
        <v>2288</v>
      </c>
      <c r="BQ1512" t="s">
        <v>1238</v>
      </c>
      <c r="BR1512" t="s">
        <v>127</v>
      </c>
      <c r="BS1512" s="5">
        <v>19380</v>
      </c>
      <c r="BT1512" s="2">
        <v>50.48</v>
      </c>
      <c r="BV1512" t="s">
        <v>210</v>
      </c>
      <c r="BW1512" s="2">
        <v>44.39</v>
      </c>
      <c r="BX1512" t="s">
        <v>210</v>
      </c>
      <c r="BZ1512" t="s">
        <v>123</v>
      </c>
      <c r="CA1512" t="str">
        <f t="shared" si="115"/>
        <v>7/1/2020 - 6/30/2021</v>
      </c>
      <c r="CF1512">
        <v>2</v>
      </c>
      <c r="CG1512" t="s">
        <v>98</v>
      </c>
      <c r="CH1512" t="s">
        <v>98</v>
      </c>
      <c r="CI1512" t="s">
        <v>206</v>
      </c>
      <c r="CJ1512" t="s">
        <v>98</v>
      </c>
      <c r="CK1512" t="s">
        <v>12323</v>
      </c>
      <c r="CL1512" t="s">
        <v>108</v>
      </c>
      <c r="CM1512" t="s">
        <v>109</v>
      </c>
      <c r="CN1512" t="str">
        <f>""</f>
        <v/>
      </c>
      <c r="CO1512" t="str">
        <f>""</f>
        <v/>
      </c>
      <c r="CP1512" t="str">
        <f>""</f>
        <v/>
      </c>
      <c r="CQ1512" t="str">
        <f>""</f>
        <v/>
      </c>
    </row>
    <row r="1513" spans="1:96" x14ac:dyDescent="0.2">
      <c r="A1513" t="s">
        <v>11818</v>
      </c>
      <c r="B1513" t="s">
        <v>96</v>
      </c>
      <c r="C1513" s="1">
        <v>44099</v>
      </c>
      <c r="D1513" s="1">
        <v>44106</v>
      </c>
      <c r="F1513" t="s">
        <v>97</v>
      </c>
      <c r="G1513" t="str">
        <f>"System Analyst JC65"</f>
        <v>System Analyst JC65</v>
      </c>
      <c r="H1513" t="s">
        <v>12181</v>
      </c>
      <c r="I1513" t="s">
        <v>110</v>
      </c>
      <c r="J1513" t="s">
        <v>98</v>
      </c>
      <c r="K1513" s="1">
        <v>44107</v>
      </c>
      <c r="L1513" s="1">
        <v>45201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 t="s">
        <v>111</v>
      </c>
      <c r="U1513" t="str">
        <f>"CTSUS"</f>
        <v>CTSUS</v>
      </c>
      <c r="V1513" t="s">
        <v>112</v>
      </c>
      <c r="W1513" t="str">
        <f>""</f>
        <v/>
      </c>
      <c r="X1513" t="s">
        <v>113</v>
      </c>
      <c r="Y1513" t="s">
        <v>114</v>
      </c>
      <c r="Z1513" s="3">
        <v>77845</v>
      </c>
      <c r="AA1513" t="s">
        <v>101</v>
      </c>
      <c r="AB1513" t="s">
        <v>114</v>
      </c>
      <c r="AC1513" s="4" t="str">
        <f>"+19793296682"</f>
        <v>+19793296682</v>
      </c>
      <c r="AE1513" t="str">
        <f>"541512"</f>
        <v>541512</v>
      </c>
      <c r="AF1513" t="s">
        <v>115</v>
      </c>
      <c r="AG1513" t="s">
        <v>116</v>
      </c>
      <c r="AH1513" t="s">
        <v>108</v>
      </c>
      <c r="AI1513" t="s">
        <v>117</v>
      </c>
      <c r="AJ1513" t="s">
        <v>118</v>
      </c>
      <c r="AK1513" t="str">
        <f>""</f>
        <v/>
      </c>
      <c r="AL1513" t="s">
        <v>119</v>
      </c>
      <c r="AM1513" t="s">
        <v>114</v>
      </c>
      <c r="AN1513" s="3">
        <v>77845</v>
      </c>
      <c r="AO1513" t="s">
        <v>101</v>
      </c>
      <c r="AQ1513" t="str">
        <f>"+19793296682"</f>
        <v>+19793296682</v>
      </c>
      <c r="AS1513" t="s">
        <v>120</v>
      </c>
      <c r="AT1513" t="s">
        <v>102</v>
      </c>
      <c r="AU1513" t="str">
        <f>""</f>
        <v/>
      </c>
      <c r="AV1513" t="str">
        <f>""</f>
        <v/>
      </c>
      <c r="AW1513" t="str">
        <f>""</f>
        <v/>
      </c>
      <c r="AX1513" t="str">
        <f>""</f>
        <v/>
      </c>
      <c r="AY1513" t="str">
        <f>""</f>
        <v/>
      </c>
      <c r="AZ1513" t="str">
        <f>""</f>
        <v/>
      </c>
      <c r="BA1513" t="str">
        <f>""</f>
        <v/>
      </c>
      <c r="BC1513" t="str">
        <f>""</f>
        <v/>
      </c>
      <c r="BD1513" t="str">
        <f>""</f>
        <v/>
      </c>
      <c r="BE1513" t="str">
        <f>""</f>
        <v/>
      </c>
      <c r="BF1513" t="str">
        <f>""</f>
        <v/>
      </c>
      <c r="BG1513" t="str">
        <f>""</f>
        <v/>
      </c>
      <c r="BH1513" t="str">
        <f>""</f>
        <v/>
      </c>
      <c r="BI1513" t="str">
        <f>""</f>
        <v/>
      </c>
      <c r="BJ1513" t="str">
        <f>""</f>
        <v/>
      </c>
      <c r="BK1513">
        <v>1</v>
      </c>
      <c r="BL1513" t="s">
        <v>102</v>
      </c>
      <c r="BM1513" t="str">
        <f>""</f>
        <v/>
      </c>
      <c r="BN1513" t="s">
        <v>11819</v>
      </c>
      <c r="BP1513" t="s">
        <v>4228</v>
      </c>
      <c r="BQ1513" t="s">
        <v>1319</v>
      </c>
      <c r="BR1513" t="s">
        <v>135</v>
      </c>
      <c r="BS1513" s="5">
        <v>23060</v>
      </c>
      <c r="BT1513" s="2">
        <v>84323</v>
      </c>
      <c r="BV1513" t="s">
        <v>105</v>
      </c>
      <c r="BW1513" s="2">
        <v>84323</v>
      </c>
      <c r="BX1513" t="s">
        <v>105</v>
      </c>
      <c r="BZ1513" t="s">
        <v>167</v>
      </c>
      <c r="CA1513" t="str">
        <f t="shared" si="115"/>
        <v>7/1/2020 - 6/30/2021</v>
      </c>
      <c r="CF1513">
        <v>1</v>
      </c>
      <c r="CG1513" t="s">
        <v>98</v>
      </c>
      <c r="CH1513" t="s">
        <v>98</v>
      </c>
      <c r="CI1513" t="s">
        <v>206</v>
      </c>
      <c r="CJ1513" t="s">
        <v>98</v>
      </c>
      <c r="CK1513" t="s">
        <v>12323</v>
      </c>
      <c r="CL1513" t="s">
        <v>108</v>
      </c>
      <c r="CM1513" t="s">
        <v>109</v>
      </c>
      <c r="CN1513" t="str">
        <f>""</f>
        <v/>
      </c>
      <c r="CO1513" t="str">
        <f>""</f>
        <v/>
      </c>
      <c r="CP1513" t="str">
        <f>""</f>
        <v/>
      </c>
      <c r="CQ1513" t="str">
        <f>""</f>
        <v/>
      </c>
    </row>
    <row r="1514" spans="1:96" x14ac:dyDescent="0.2">
      <c r="A1514" t="s">
        <v>11829</v>
      </c>
      <c r="B1514" t="s">
        <v>96</v>
      </c>
      <c r="C1514" s="1">
        <v>44099</v>
      </c>
      <c r="D1514" s="1">
        <v>44106</v>
      </c>
      <c r="F1514" t="s">
        <v>97</v>
      </c>
      <c r="G1514" t="str">
        <f>"Software Developer, Applications "</f>
        <v xml:space="preserve">Software Developer, Applications </v>
      </c>
      <c r="H1514" t="s">
        <v>12169</v>
      </c>
      <c r="I1514" t="s">
        <v>124</v>
      </c>
      <c r="J1514" t="s">
        <v>98</v>
      </c>
      <c r="K1514" s="1">
        <v>44176</v>
      </c>
      <c r="L1514" s="1">
        <v>45270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 t="s">
        <v>10360</v>
      </c>
      <c r="U1514" t="str">
        <f>""</f>
        <v/>
      </c>
      <c r="V1514" t="s">
        <v>10361</v>
      </c>
      <c r="W1514" t="str">
        <f>"SUITE 203"</f>
        <v>SUITE 203</v>
      </c>
      <c r="X1514" t="s">
        <v>7235</v>
      </c>
      <c r="Y1514" t="s">
        <v>171</v>
      </c>
      <c r="Z1514" s="3">
        <v>1821</v>
      </c>
      <c r="AA1514" t="s">
        <v>101</v>
      </c>
      <c r="AC1514" s="4" t="str">
        <f>"+17812735050"</f>
        <v>+17812735050</v>
      </c>
      <c r="AE1514" t="str">
        <f>"541511"</f>
        <v>541511</v>
      </c>
      <c r="AF1514" t="s">
        <v>506</v>
      </c>
      <c r="AG1514" t="s">
        <v>4612</v>
      </c>
      <c r="AI1514" t="s">
        <v>508</v>
      </c>
      <c r="AJ1514" t="s">
        <v>10361</v>
      </c>
      <c r="AK1514" t="str">
        <f>"SUITE 203"</f>
        <v>SUITE 203</v>
      </c>
      <c r="AL1514" t="s">
        <v>7508</v>
      </c>
      <c r="AM1514" t="s">
        <v>171</v>
      </c>
      <c r="AN1514" s="3">
        <v>1821</v>
      </c>
      <c r="AO1514" t="s">
        <v>101</v>
      </c>
      <c r="AQ1514" t="str">
        <f>"+17812735050"</f>
        <v>+17812735050</v>
      </c>
      <c r="AS1514" t="s">
        <v>10362</v>
      </c>
      <c r="AT1514" t="s">
        <v>107</v>
      </c>
      <c r="AU1514" t="str">
        <f>"Miller "</f>
        <v xml:space="preserve">Miller </v>
      </c>
      <c r="AV1514" t="str">
        <f>"Seth "</f>
        <v xml:space="preserve">Seth </v>
      </c>
      <c r="AW1514" t="str">
        <f>"D"</f>
        <v>D</v>
      </c>
      <c r="AX1514" t="str">
        <f>"100 Copeland Drive "</f>
        <v xml:space="preserve">100 Copeland Drive </v>
      </c>
      <c r="AY1514" t="str">
        <f>"Suite 4"</f>
        <v>Suite 4</v>
      </c>
      <c r="AZ1514" t="str">
        <f>"Mansfield "</f>
        <v xml:space="preserve">Mansfield </v>
      </c>
      <c r="BA1514" t="str">
        <f>"MA"</f>
        <v>MA</v>
      </c>
      <c r="BB1514" s="3">
        <v>2048</v>
      </c>
      <c r="BC1514" t="str">
        <f>"UNITED STATES OF AMERICA"</f>
        <v>UNITED STATES OF AMERICA</v>
      </c>
      <c r="BD1514" t="str">
        <f>"N/A"</f>
        <v>N/A</v>
      </c>
      <c r="BE1514" t="str">
        <f>"+15083391155"</f>
        <v>+15083391155</v>
      </c>
      <c r="BF1514" t="str">
        <f>""</f>
        <v/>
      </c>
      <c r="BG1514" t="str">
        <f>"seth@millerandassociateslaw.com"</f>
        <v>seth@millerandassociateslaw.com</v>
      </c>
      <c r="BH1514" t="str">
        <f>"Miller &amp; Associates, P.C."</f>
        <v>Miller &amp; Associates, P.C.</v>
      </c>
      <c r="BI1514" t="str">
        <f>"MA"</f>
        <v>MA</v>
      </c>
      <c r="BJ1514" t="str">
        <f>"Supreme Judicial Court "</f>
        <v xml:space="preserve">Supreme Judicial Court </v>
      </c>
      <c r="BK1514">
        <v>1</v>
      </c>
      <c r="BL1514" t="s">
        <v>102</v>
      </c>
      <c r="BM1514" t="str">
        <f>""</f>
        <v/>
      </c>
      <c r="BN1514" t="s">
        <v>11830</v>
      </c>
      <c r="BO1514" t="s">
        <v>11831</v>
      </c>
      <c r="BP1514" t="s">
        <v>833</v>
      </c>
      <c r="BQ1514" t="s">
        <v>788</v>
      </c>
      <c r="BR1514" t="s">
        <v>345</v>
      </c>
      <c r="BS1514" s="5">
        <v>60654</v>
      </c>
      <c r="BT1514" s="2">
        <v>104624</v>
      </c>
      <c r="BU1514" s="2">
        <v>110000</v>
      </c>
      <c r="BV1514" t="s">
        <v>105</v>
      </c>
      <c r="BW1514" s="2">
        <v>104624</v>
      </c>
      <c r="BX1514" t="s">
        <v>105</v>
      </c>
      <c r="BZ1514" t="s">
        <v>123</v>
      </c>
      <c r="CA1514" t="str">
        <f t="shared" si="115"/>
        <v>7/1/2020 - 6/30/2021</v>
      </c>
      <c r="CF1514">
        <v>1</v>
      </c>
      <c r="CG1514" t="s">
        <v>98</v>
      </c>
      <c r="CH1514" t="s">
        <v>98</v>
      </c>
      <c r="CI1514" t="s">
        <v>206</v>
      </c>
      <c r="CJ1514" t="s">
        <v>98</v>
      </c>
      <c r="CK1514" t="s">
        <v>12323</v>
      </c>
      <c r="CL1514" t="s">
        <v>108</v>
      </c>
      <c r="CM1514" t="s">
        <v>353</v>
      </c>
      <c r="CN1514" t="str">
        <f>"Miller "</f>
        <v xml:space="preserve">Miller </v>
      </c>
      <c r="CO1514" t="str">
        <f>"Seth"</f>
        <v>Seth</v>
      </c>
      <c r="CP1514" t="str">
        <f>"D"</f>
        <v>D</v>
      </c>
      <c r="CQ1514" t="str">
        <f>"Miller and Associates"</f>
        <v>Miller and Associates</v>
      </c>
      <c r="CR1514" t="s">
        <v>6055</v>
      </c>
    </row>
    <row r="1515" spans="1:96" x14ac:dyDescent="0.2">
      <c r="A1515" t="s">
        <v>11842</v>
      </c>
      <c r="B1515" t="s">
        <v>96</v>
      </c>
      <c r="C1515" s="1">
        <v>44099</v>
      </c>
      <c r="D1515" s="1">
        <v>44106</v>
      </c>
      <c r="F1515" t="s">
        <v>97</v>
      </c>
      <c r="G1515" t="str">
        <f>"Applications Consultant 2"</f>
        <v>Applications Consultant 2</v>
      </c>
      <c r="H1515" t="s">
        <v>12169</v>
      </c>
      <c r="I1515" t="s">
        <v>124</v>
      </c>
      <c r="J1515" t="s">
        <v>98</v>
      </c>
      <c r="K1515" s="1">
        <v>44104</v>
      </c>
      <c r="L1515" s="1">
        <v>45198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 t="s">
        <v>1421</v>
      </c>
      <c r="U1515" t="str">
        <f>""</f>
        <v/>
      </c>
      <c r="V1515" t="s">
        <v>4901</v>
      </c>
      <c r="W1515" t="str">
        <f>"Suite 300"</f>
        <v>Suite 300</v>
      </c>
      <c r="X1515" t="s">
        <v>833</v>
      </c>
      <c r="Y1515" t="s">
        <v>345</v>
      </c>
      <c r="Z1515" s="3">
        <v>60606</v>
      </c>
      <c r="AA1515" t="s">
        <v>101</v>
      </c>
      <c r="AC1515" s="4" t="str">
        <f>"+13123955000"</f>
        <v>+13123955000</v>
      </c>
      <c r="AE1515" t="str">
        <f>"5416"</f>
        <v>5416</v>
      </c>
      <c r="AF1515" t="s">
        <v>1385</v>
      </c>
      <c r="AG1515" t="s">
        <v>1386</v>
      </c>
      <c r="AI1515" t="s">
        <v>4902</v>
      </c>
      <c r="AJ1515" t="s">
        <v>4566</v>
      </c>
      <c r="AK1515" t="str">
        <f>""</f>
        <v/>
      </c>
      <c r="AL1515" t="s">
        <v>3243</v>
      </c>
      <c r="AM1515" t="s">
        <v>345</v>
      </c>
      <c r="AN1515" s="3">
        <v>60018</v>
      </c>
      <c r="AO1515" t="s">
        <v>101</v>
      </c>
      <c r="AQ1515" t="str">
        <f>"+18473846100"</f>
        <v>+18473846100</v>
      </c>
      <c r="AS1515" t="s">
        <v>4903</v>
      </c>
      <c r="AT1515" t="s">
        <v>102</v>
      </c>
      <c r="AU1515" t="str">
        <f>""</f>
        <v/>
      </c>
      <c r="AV1515" t="str">
        <f>""</f>
        <v/>
      </c>
      <c r="AW1515" t="str">
        <f>""</f>
        <v/>
      </c>
      <c r="AX1515" t="str">
        <f>""</f>
        <v/>
      </c>
      <c r="AY1515" t="str">
        <f>""</f>
        <v/>
      </c>
      <c r="AZ1515" t="str">
        <f>""</f>
        <v/>
      </c>
      <c r="BA1515" t="str">
        <f>""</f>
        <v/>
      </c>
      <c r="BC1515" t="str">
        <f>""</f>
        <v/>
      </c>
      <c r="BD1515" t="str">
        <f>""</f>
        <v/>
      </c>
      <c r="BE1515" t="str">
        <f>""</f>
        <v/>
      </c>
      <c r="BF1515" t="str">
        <f>""</f>
        <v/>
      </c>
      <c r="BG1515" t="str">
        <f>""</f>
        <v/>
      </c>
      <c r="BH1515" t="str">
        <f>""</f>
        <v/>
      </c>
      <c r="BI1515" t="str">
        <f>""</f>
        <v/>
      </c>
      <c r="BJ1515" t="str">
        <f>""</f>
        <v/>
      </c>
      <c r="BK1515">
        <v>1</v>
      </c>
      <c r="BL1515" t="s">
        <v>102</v>
      </c>
      <c r="BM1515" t="str">
        <f>""</f>
        <v/>
      </c>
      <c r="BN1515" t="s">
        <v>11843</v>
      </c>
      <c r="BO1515" t="s">
        <v>6453</v>
      </c>
      <c r="BP1515" t="s">
        <v>2988</v>
      </c>
      <c r="BQ1515" t="s">
        <v>121</v>
      </c>
      <c r="BR1515" t="s">
        <v>122</v>
      </c>
      <c r="BS1515" s="5">
        <v>28216</v>
      </c>
      <c r="BT1515" s="2">
        <v>85488</v>
      </c>
      <c r="BU1515" s="2">
        <v>92000</v>
      </c>
      <c r="BV1515" t="s">
        <v>105</v>
      </c>
      <c r="BW1515" s="2">
        <v>85488</v>
      </c>
      <c r="BX1515" t="s">
        <v>105</v>
      </c>
      <c r="BZ1515" t="s">
        <v>167</v>
      </c>
      <c r="CA1515" t="str">
        <f t="shared" si="115"/>
        <v>7/1/2020 - 6/30/2021</v>
      </c>
      <c r="CF1515">
        <v>1</v>
      </c>
      <c r="CG1515" t="s">
        <v>98</v>
      </c>
      <c r="CH1515" t="s">
        <v>98</v>
      </c>
      <c r="CI1515" t="s">
        <v>206</v>
      </c>
      <c r="CJ1515" t="s">
        <v>98</v>
      </c>
      <c r="CK1515" t="s">
        <v>12323</v>
      </c>
      <c r="CL1515" t="s">
        <v>108</v>
      </c>
      <c r="CM1515" t="s">
        <v>109</v>
      </c>
      <c r="CN1515" t="str">
        <f>""</f>
        <v/>
      </c>
      <c r="CO1515" t="str">
        <f>""</f>
        <v/>
      </c>
      <c r="CP1515" t="str">
        <f>""</f>
        <v/>
      </c>
      <c r="CQ1515" t="str">
        <f>""</f>
        <v/>
      </c>
    </row>
    <row r="1516" spans="1:96" x14ac:dyDescent="0.2">
      <c r="A1516" t="s">
        <v>11856</v>
      </c>
      <c r="B1516" t="s">
        <v>96</v>
      </c>
      <c r="C1516" s="1">
        <v>44099</v>
      </c>
      <c r="D1516" s="1">
        <v>44106</v>
      </c>
      <c r="F1516" t="s">
        <v>97</v>
      </c>
      <c r="G1516" t="str">
        <f>"Software Developer"</f>
        <v>Software Developer</v>
      </c>
      <c r="H1516" t="s">
        <v>12169</v>
      </c>
      <c r="I1516" t="s">
        <v>124</v>
      </c>
      <c r="J1516" t="s">
        <v>98</v>
      </c>
      <c r="K1516" s="1">
        <v>44109</v>
      </c>
      <c r="L1516" s="1">
        <v>45203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 t="s">
        <v>2699</v>
      </c>
      <c r="U1516" t="str">
        <f>""</f>
        <v/>
      </c>
      <c r="V1516" t="s">
        <v>2700</v>
      </c>
      <c r="W1516" t="str">
        <f>"Suite 302"</f>
        <v>Suite 302</v>
      </c>
      <c r="X1516" t="s">
        <v>2701</v>
      </c>
      <c r="Y1516" t="s">
        <v>345</v>
      </c>
      <c r="Z1516" s="3">
        <v>60563</v>
      </c>
      <c r="AA1516" t="s">
        <v>101</v>
      </c>
      <c r="AC1516" s="4" t="str">
        <f>"+16308442837"</f>
        <v>+16308442837</v>
      </c>
      <c r="AE1516" t="str">
        <f>"541511"</f>
        <v>541511</v>
      </c>
      <c r="AF1516" t="s">
        <v>2702</v>
      </c>
      <c r="AG1516" t="s">
        <v>2703</v>
      </c>
      <c r="AI1516" t="s">
        <v>1678</v>
      </c>
      <c r="AJ1516" t="s">
        <v>2704</v>
      </c>
      <c r="AK1516" t="str">
        <f>"SUITE 302"</f>
        <v>SUITE 302</v>
      </c>
      <c r="AL1516" t="s">
        <v>2701</v>
      </c>
      <c r="AM1516" t="s">
        <v>345</v>
      </c>
      <c r="AN1516" s="3">
        <v>60563</v>
      </c>
      <c r="AO1516" t="s">
        <v>101</v>
      </c>
      <c r="AQ1516" t="str">
        <f>"+16308442837"</f>
        <v>+16308442837</v>
      </c>
      <c r="AS1516" t="s">
        <v>2705</v>
      </c>
      <c r="AT1516" t="s">
        <v>107</v>
      </c>
      <c r="AU1516" t="str">
        <f>"Kozar"</f>
        <v>Kozar</v>
      </c>
      <c r="AV1516" t="str">
        <f>"Mika"</f>
        <v>Mika</v>
      </c>
      <c r="AW1516" t="str">
        <f>"B."</f>
        <v>B.</v>
      </c>
      <c r="AX1516" t="str">
        <f>"4390 Route 1 N"</f>
        <v>4390 Route 1 N</v>
      </c>
      <c r="AY1516" t="str">
        <f>"SUITE 230"</f>
        <v>SUITE 230</v>
      </c>
      <c r="AZ1516" t="str">
        <f>"Princeton"</f>
        <v>Princeton</v>
      </c>
      <c r="BA1516" t="str">
        <f>"NJ"</f>
        <v>NJ</v>
      </c>
      <c r="BB1516" s="3">
        <v>8540</v>
      </c>
      <c r="BC1516" t="str">
        <f>"UNITED STATES OF AMERICA"</f>
        <v>UNITED STATES OF AMERICA</v>
      </c>
      <c r="BD1516" t="str">
        <f>""</f>
        <v/>
      </c>
      <c r="BE1516" t="str">
        <f>"+17328327978"</f>
        <v>+17328327978</v>
      </c>
      <c r="BF1516" t="str">
        <f>""</f>
        <v/>
      </c>
      <c r="BG1516" t="str">
        <f>"icert@tvalawyers.com"</f>
        <v>icert@tvalawyers.com</v>
      </c>
      <c r="BH1516" t="str">
        <f>"Law Office of Thomas V. Allen, PLLC"</f>
        <v>Law Office of Thomas V. Allen, PLLC</v>
      </c>
      <c r="BI1516" t="str">
        <f>"NY"</f>
        <v>NY</v>
      </c>
      <c r="BJ1516" t="str">
        <f>"Appellate Court"</f>
        <v>Appellate Court</v>
      </c>
      <c r="BK1516">
        <v>1</v>
      </c>
      <c r="BL1516" t="s">
        <v>107</v>
      </c>
      <c r="BM1516" t="str">
        <f>"UnitedHealth Group"</f>
        <v>UnitedHealth Group</v>
      </c>
      <c r="BN1516" t="s">
        <v>8163</v>
      </c>
      <c r="BP1516" t="s">
        <v>207</v>
      </c>
      <c r="BQ1516" t="s">
        <v>209</v>
      </c>
      <c r="BR1516" t="s">
        <v>171</v>
      </c>
      <c r="BS1516" s="5">
        <v>2215</v>
      </c>
      <c r="BT1516" s="2">
        <v>104000</v>
      </c>
      <c r="BV1516" t="s">
        <v>105</v>
      </c>
      <c r="BW1516" s="2">
        <v>96242</v>
      </c>
      <c r="BX1516" t="s">
        <v>105</v>
      </c>
      <c r="BZ1516" t="s">
        <v>167</v>
      </c>
      <c r="CA1516" t="str">
        <f t="shared" si="115"/>
        <v>7/1/2020 - 6/30/2021</v>
      </c>
      <c r="CF1516">
        <v>2</v>
      </c>
      <c r="CG1516" t="s">
        <v>98</v>
      </c>
      <c r="CH1516" t="s">
        <v>98</v>
      </c>
      <c r="CI1516" t="s">
        <v>206</v>
      </c>
      <c r="CJ1516" t="s">
        <v>98</v>
      </c>
      <c r="CK1516" t="s">
        <v>12323</v>
      </c>
      <c r="CL1516" t="s">
        <v>108</v>
      </c>
      <c r="CM1516" t="s">
        <v>109</v>
      </c>
      <c r="CN1516" t="str">
        <f>""</f>
        <v/>
      </c>
      <c r="CO1516" t="str">
        <f>""</f>
        <v/>
      </c>
      <c r="CP1516" t="str">
        <f>""</f>
        <v/>
      </c>
      <c r="CQ1516" t="str">
        <f>""</f>
        <v/>
      </c>
    </row>
    <row r="1517" spans="1:96" x14ac:dyDescent="0.2">
      <c r="A1517" t="s">
        <v>11857</v>
      </c>
      <c r="B1517" t="s">
        <v>96</v>
      </c>
      <c r="C1517" s="1">
        <v>44099</v>
      </c>
      <c r="D1517" s="1">
        <v>44106</v>
      </c>
      <c r="F1517" t="s">
        <v>97</v>
      </c>
      <c r="G1517" t="str">
        <f>"Computer Software Developer"</f>
        <v>Computer Software Developer</v>
      </c>
      <c r="H1517" t="s">
        <v>12169</v>
      </c>
      <c r="I1517" t="s">
        <v>124</v>
      </c>
      <c r="J1517" t="s">
        <v>98</v>
      </c>
      <c r="K1517" s="1">
        <v>44109</v>
      </c>
      <c r="L1517" s="1">
        <v>45203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 t="s">
        <v>8511</v>
      </c>
      <c r="U1517" t="str">
        <f>""</f>
        <v/>
      </c>
      <c r="V1517" t="s">
        <v>8512</v>
      </c>
      <c r="W1517" t="str">
        <f>"SUITE H, PARKWEST PROFESSIONAL PLAZA"</f>
        <v>SUITE H, PARKWEST PROFESSIONAL PLAZA</v>
      </c>
      <c r="X1517" t="s">
        <v>2871</v>
      </c>
      <c r="Y1517" t="s">
        <v>225</v>
      </c>
      <c r="Z1517" s="3">
        <v>43026</v>
      </c>
      <c r="AA1517" t="s">
        <v>101</v>
      </c>
      <c r="AC1517" s="4" t="str">
        <f>"+16144957606"</f>
        <v>+16144957606</v>
      </c>
      <c r="AE1517" t="str">
        <f>"541511"</f>
        <v>541511</v>
      </c>
      <c r="AF1517" t="s">
        <v>2542</v>
      </c>
      <c r="AG1517" t="s">
        <v>7477</v>
      </c>
      <c r="AI1517" t="s">
        <v>1867</v>
      </c>
      <c r="AJ1517" t="s">
        <v>8512</v>
      </c>
      <c r="AK1517" t="str">
        <f>"SUITE H, PARKWEST PROFESSIONAL PLAZA"</f>
        <v>SUITE H, PARKWEST PROFESSIONAL PLAZA</v>
      </c>
      <c r="AL1517" t="s">
        <v>2871</v>
      </c>
      <c r="AM1517" t="s">
        <v>225</v>
      </c>
      <c r="AN1517" s="3">
        <v>43026</v>
      </c>
      <c r="AO1517" t="s">
        <v>101</v>
      </c>
      <c r="AQ1517" t="str">
        <f>"+16144957606"</f>
        <v>+16144957606</v>
      </c>
      <c r="AS1517" t="s">
        <v>8513</v>
      </c>
      <c r="AT1517" t="s">
        <v>107</v>
      </c>
      <c r="AU1517" t="str">
        <f>"SETH"</f>
        <v>SETH</v>
      </c>
      <c r="AV1517" t="str">
        <f>"PIYUSH"</f>
        <v>PIYUSH</v>
      </c>
      <c r="AW1517" t="str">
        <f>""</f>
        <v/>
      </c>
      <c r="AX1517" t="str">
        <f>"1000 MCKNIGHT PARK DRIVE"</f>
        <v>1000 MCKNIGHT PARK DRIVE</v>
      </c>
      <c r="AY1517" t="str">
        <f>"SUITE 1006A"</f>
        <v>SUITE 1006A</v>
      </c>
      <c r="AZ1517" t="str">
        <f>"PITTSBURGH"</f>
        <v>PITTSBURGH</v>
      </c>
      <c r="BA1517" t="str">
        <f>"PA"</f>
        <v>PA</v>
      </c>
      <c r="BB1517" s="3">
        <v>15237</v>
      </c>
      <c r="BC1517" t="str">
        <f>"UNITED STATES OF AMERICA"</f>
        <v>UNITED STATES OF AMERICA</v>
      </c>
      <c r="BD1517" t="str">
        <f>""</f>
        <v/>
      </c>
      <c r="BE1517" t="str">
        <f>"+14122816005"</f>
        <v>+14122816005</v>
      </c>
      <c r="BF1517" t="str">
        <f>""</f>
        <v/>
      </c>
      <c r="BG1517" t="str">
        <f>"SETH@SETHLEGAL.COM"</f>
        <v>SETH@SETHLEGAL.COM</v>
      </c>
      <c r="BH1517" t="str">
        <f>"SETH LAW OFFICES, P.C."</f>
        <v>SETH LAW OFFICES, P.C.</v>
      </c>
      <c r="BI1517" t="str">
        <f>"PA"</f>
        <v>PA</v>
      </c>
      <c r="BJ1517" t="str">
        <f>"SUPREME COURT"</f>
        <v>SUPREME COURT</v>
      </c>
      <c r="BK1517">
        <v>1</v>
      </c>
      <c r="BL1517" t="s">
        <v>107</v>
      </c>
      <c r="BM1517" t="str">
        <f>"OTIS Worldwide Corporation"</f>
        <v>OTIS Worldwide Corporation</v>
      </c>
      <c r="BN1517" t="s">
        <v>11858</v>
      </c>
      <c r="BP1517" t="s">
        <v>1932</v>
      </c>
      <c r="BQ1517" t="s">
        <v>104</v>
      </c>
      <c r="BR1517" t="s">
        <v>100</v>
      </c>
      <c r="BS1517" s="5">
        <v>8852</v>
      </c>
      <c r="BT1517" s="2">
        <v>59</v>
      </c>
      <c r="BV1517" t="s">
        <v>210</v>
      </c>
      <c r="BW1517" s="2">
        <v>58.76</v>
      </c>
      <c r="BX1517" t="s">
        <v>210</v>
      </c>
      <c r="BZ1517" t="s">
        <v>123</v>
      </c>
      <c r="CA1517" t="str">
        <f t="shared" si="115"/>
        <v>7/1/2020 - 6/30/2021</v>
      </c>
      <c r="CF1517">
        <v>2</v>
      </c>
      <c r="CG1517" t="s">
        <v>98</v>
      </c>
      <c r="CH1517" t="s">
        <v>98</v>
      </c>
      <c r="CI1517" t="s">
        <v>206</v>
      </c>
      <c r="CJ1517" t="s">
        <v>98</v>
      </c>
      <c r="CK1517" t="s">
        <v>12323</v>
      </c>
      <c r="CL1517" t="s">
        <v>108</v>
      </c>
      <c r="CM1517" t="s">
        <v>109</v>
      </c>
      <c r="CN1517" t="str">
        <f>"Seth"</f>
        <v>Seth</v>
      </c>
      <c r="CO1517" t="str">
        <f>"Piyush"</f>
        <v>Piyush</v>
      </c>
      <c r="CP1517" t="str">
        <f>""</f>
        <v/>
      </c>
      <c r="CQ1517" t="str">
        <f>"Seth Law Offices, P. C. "</f>
        <v xml:space="preserve">Seth Law Offices, P. C. </v>
      </c>
      <c r="CR1517" t="s">
        <v>625</v>
      </c>
    </row>
    <row r="1518" spans="1:96" x14ac:dyDescent="0.2">
      <c r="A1518" t="s">
        <v>11863</v>
      </c>
      <c r="B1518" t="s">
        <v>96</v>
      </c>
      <c r="C1518" s="1">
        <v>44099</v>
      </c>
      <c r="D1518" s="1">
        <v>44106</v>
      </c>
      <c r="F1518" t="s">
        <v>97</v>
      </c>
      <c r="G1518" t="str">
        <f>"Software Developer "</f>
        <v xml:space="preserve">Software Developer </v>
      </c>
      <c r="H1518" t="s">
        <v>12169</v>
      </c>
      <c r="I1518" t="s">
        <v>124</v>
      </c>
      <c r="J1518" t="s">
        <v>98</v>
      </c>
      <c r="K1518" s="1">
        <v>44109</v>
      </c>
      <c r="L1518" s="1">
        <v>45203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615</v>
      </c>
      <c r="U1518" t="str">
        <f>""</f>
        <v/>
      </c>
      <c r="V1518" t="s">
        <v>616</v>
      </c>
      <c r="W1518" t="str">
        <f>"301 GRANT STREET, SUITE 4300"</f>
        <v>301 GRANT STREET, SUITE 4300</v>
      </c>
      <c r="X1518" t="s">
        <v>617</v>
      </c>
      <c r="Y1518" t="s">
        <v>127</v>
      </c>
      <c r="Z1518" s="3">
        <v>15219</v>
      </c>
      <c r="AA1518" t="s">
        <v>101</v>
      </c>
      <c r="AC1518" s="4" t="str">
        <f>"+14122083655"</f>
        <v>+14122083655</v>
      </c>
      <c r="AE1518" t="str">
        <f>"541511"</f>
        <v>541511</v>
      </c>
      <c r="AF1518" t="s">
        <v>618</v>
      </c>
      <c r="AG1518" t="s">
        <v>619</v>
      </c>
      <c r="AI1518" t="s">
        <v>620</v>
      </c>
      <c r="AJ1518" t="s">
        <v>616</v>
      </c>
      <c r="AK1518" t="str">
        <f>"301 GRANT STREET, SUITE 4300"</f>
        <v>301 GRANT STREET, SUITE 4300</v>
      </c>
      <c r="AL1518" t="s">
        <v>617</v>
      </c>
      <c r="AM1518" t="s">
        <v>127</v>
      </c>
      <c r="AN1518" s="3">
        <v>15219</v>
      </c>
      <c r="AO1518" t="s">
        <v>101</v>
      </c>
      <c r="AQ1518" t="str">
        <f>"+14122083655"</f>
        <v>+14122083655</v>
      </c>
      <c r="AS1518" t="s">
        <v>621</v>
      </c>
      <c r="AT1518" t="s">
        <v>107</v>
      </c>
      <c r="AU1518" t="str">
        <f>"SETH"</f>
        <v>SETH</v>
      </c>
      <c r="AV1518" t="str">
        <f>"PIYUSH"</f>
        <v>PIYUSH</v>
      </c>
      <c r="AW1518" t="str">
        <f>""</f>
        <v/>
      </c>
      <c r="AX1518" t="str">
        <f>"1000 MCKNIGHT PARK DRIVE"</f>
        <v>1000 MCKNIGHT PARK DRIVE</v>
      </c>
      <c r="AY1518" t="str">
        <f>"SUITE 1006A"</f>
        <v>SUITE 1006A</v>
      </c>
      <c r="AZ1518" t="str">
        <f>"PITTSBURGH"</f>
        <v>PITTSBURGH</v>
      </c>
      <c r="BA1518" t="str">
        <f>"PA"</f>
        <v>PA</v>
      </c>
      <c r="BB1518" s="3">
        <v>15237</v>
      </c>
      <c r="BC1518" t="str">
        <f>"UNITED STATES OF AMERICA"</f>
        <v>UNITED STATES OF AMERICA</v>
      </c>
      <c r="BD1518" t="str">
        <f>""</f>
        <v/>
      </c>
      <c r="BE1518" t="str">
        <f>"+14122816005"</f>
        <v>+14122816005</v>
      </c>
      <c r="BF1518" t="str">
        <f>""</f>
        <v/>
      </c>
      <c r="BG1518" t="str">
        <f>"SETH@SETHLEGAL.COM"</f>
        <v>SETH@SETHLEGAL.COM</v>
      </c>
      <c r="BH1518" t="str">
        <f>"SETH LAW OFFICES, P.C."</f>
        <v>SETH LAW OFFICES, P.C.</v>
      </c>
      <c r="BI1518" t="str">
        <f>"PA"</f>
        <v>PA</v>
      </c>
      <c r="BJ1518" t="str">
        <f>"SUPREME COURT"</f>
        <v>SUPREME COURT</v>
      </c>
      <c r="BK1518">
        <v>1</v>
      </c>
      <c r="BL1518" t="s">
        <v>107</v>
      </c>
      <c r="BM1518" t="str">
        <f>"Blue Cross &amp; Blue Shield of MA"</f>
        <v>Blue Cross &amp; Blue Shield of MA</v>
      </c>
      <c r="BN1518" t="s">
        <v>11864</v>
      </c>
      <c r="BP1518" t="s">
        <v>5039</v>
      </c>
      <c r="BQ1518" t="s">
        <v>2224</v>
      </c>
      <c r="BR1518" t="s">
        <v>171</v>
      </c>
      <c r="BS1518" s="5">
        <v>2169</v>
      </c>
      <c r="BT1518" s="2">
        <v>105000</v>
      </c>
      <c r="BV1518" t="s">
        <v>105</v>
      </c>
      <c r="BW1518" s="2">
        <v>96242</v>
      </c>
      <c r="BX1518" t="s">
        <v>105</v>
      </c>
      <c r="BZ1518" t="s">
        <v>167</v>
      </c>
      <c r="CA1518" t="str">
        <f t="shared" si="115"/>
        <v>7/1/2020 - 6/30/2021</v>
      </c>
      <c r="CF1518">
        <v>1</v>
      </c>
      <c r="CG1518" t="s">
        <v>98</v>
      </c>
      <c r="CH1518" t="s">
        <v>98</v>
      </c>
      <c r="CI1518" t="s">
        <v>206</v>
      </c>
      <c r="CJ1518" t="s">
        <v>98</v>
      </c>
      <c r="CK1518" t="s">
        <v>12323</v>
      </c>
      <c r="CL1518" t="s">
        <v>108</v>
      </c>
      <c r="CM1518" t="s">
        <v>109</v>
      </c>
      <c r="CN1518" t="str">
        <f>"Seth"</f>
        <v>Seth</v>
      </c>
      <c r="CO1518" t="str">
        <f>"Piyush"</f>
        <v>Piyush</v>
      </c>
      <c r="CP1518" t="str">
        <f>""</f>
        <v/>
      </c>
      <c r="CQ1518" t="str">
        <f>"Seth Law Offices, P. C. "</f>
        <v xml:space="preserve">Seth Law Offices, P. C. </v>
      </c>
      <c r="CR1518" t="s">
        <v>625</v>
      </c>
    </row>
    <row r="1519" spans="1:96" x14ac:dyDescent="0.2">
      <c r="A1519" t="s">
        <v>11865</v>
      </c>
      <c r="B1519" t="s">
        <v>96</v>
      </c>
      <c r="C1519" s="1">
        <v>44099</v>
      </c>
      <c r="D1519" s="1">
        <v>44106</v>
      </c>
      <c r="F1519" t="s">
        <v>97</v>
      </c>
      <c r="G1519" t="str">
        <f>"Senior Datastage Developer"</f>
        <v>Senior Datastage Developer</v>
      </c>
      <c r="H1519" t="s">
        <v>12169</v>
      </c>
      <c r="I1519" t="s">
        <v>124</v>
      </c>
      <c r="J1519" t="s">
        <v>98</v>
      </c>
      <c r="K1519" s="1">
        <v>44113</v>
      </c>
      <c r="L1519" s="1">
        <v>45207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 t="s">
        <v>9212</v>
      </c>
      <c r="U1519" t="str">
        <f>""</f>
        <v/>
      </c>
      <c r="V1519" t="s">
        <v>9213</v>
      </c>
      <c r="W1519" t="str">
        <f>""</f>
        <v/>
      </c>
      <c r="X1519" t="s">
        <v>1487</v>
      </c>
      <c r="Y1519" t="s">
        <v>114</v>
      </c>
      <c r="Z1519" s="3">
        <v>75038</v>
      </c>
      <c r="AA1519" t="s">
        <v>101</v>
      </c>
      <c r="AC1519" s="4" t="str">
        <f>"+14696402220"</f>
        <v>+14696402220</v>
      </c>
      <c r="AE1519" t="str">
        <f>"541511"</f>
        <v>541511</v>
      </c>
      <c r="AF1519" t="s">
        <v>8186</v>
      </c>
      <c r="AG1519" t="s">
        <v>8187</v>
      </c>
      <c r="AI1519" t="s">
        <v>228</v>
      </c>
      <c r="AJ1519" t="s">
        <v>9214</v>
      </c>
      <c r="AK1519" t="str">
        <f>""</f>
        <v/>
      </c>
      <c r="AL1519" t="s">
        <v>1487</v>
      </c>
      <c r="AM1519" t="s">
        <v>114</v>
      </c>
      <c r="AN1519" s="3">
        <v>75038</v>
      </c>
      <c r="AO1519" t="s">
        <v>101</v>
      </c>
      <c r="AQ1519" t="str">
        <f>"+14696402220"</f>
        <v>+14696402220</v>
      </c>
      <c r="AS1519" t="s">
        <v>9215</v>
      </c>
      <c r="AT1519" t="s">
        <v>102</v>
      </c>
      <c r="AU1519" t="str">
        <f>""</f>
        <v/>
      </c>
      <c r="AV1519" t="str">
        <f>""</f>
        <v/>
      </c>
      <c r="AW1519" t="str">
        <f>""</f>
        <v/>
      </c>
      <c r="AX1519" t="str">
        <f>""</f>
        <v/>
      </c>
      <c r="AY1519" t="str">
        <f>""</f>
        <v/>
      </c>
      <c r="AZ1519" t="str">
        <f>""</f>
        <v/>
      </c>
      <c r="BA1519" t="str">
        <f>""</f>
        <v/>
      </c>
      <c r="BC1519" t="str">
        <f>""</f>
        <v/>
      </c>
      <c r="BD1519" t="str">
        <f>""</f>
        <v/>
      </c>
      <c r="BE1519" t="str">
        <f>""</f>
        <v/>
      </c>
      <c r="BF1519" t="str">
        <f>""</f>
        <v/>
      </c>
      <c r="BG1519" t="str">
        <f>""</f>
        <v/>
      </c>
      <c r="BH1519" t="str">
        <f>""</f>
        <v/>
      </c>
      <c r="BI1519" t="str">
        <f>""</f>
        <v/>
      </c>
      <c r="BJ1519" t="str">
        <f>""</f>
        <v/>
      </c>
      <c r="BK1519">
        <v>1</v>
      </c>
      <c r="BL1519" t="s">
        <v>107</v>
      </c>
      <c r="BM1519" t="str">
        <f>"United Services Automobile Association"</f>
        <v>United Services Automobile Association</v>
      </c>
      <c r="BN1519" t="s">
        <v>7389</v>
      </c>
      <c r="BP1519" t="s">
        <v>297</v>
      </c>
      <c r="BQ1519" t="s">
        <v>556</v>
      </c>
      <c r="BR1519" t="s">
        <v>114</v>
      </c>
      <c r="BS1519" s="5">
        <v>75024</v>
      </c>
      <c r="BT1519" s="2">
        <v>111000</v>
      </c>
      <c r="BV1519" t="s">
        <v>105</v>
      </c>
      <c r="BW1519" s="2">
        <v>110344</v>
      </c>
      <c r="BX1519" t="s">
        <v>105</v>
      </c>
      <c r="BZ1519" t="s">
        <v>123</v>
      </c>
      <c r="CA1519" t="str">
        <f t="shared" si="115"/>
        <v>7/1/2020 - 6/30/2021</v>
      </c>
      <c r="CF1519">
        <v>2</v>
      </c>
      <c r="CG1519" t="s">
        <v>98</v>
      </c>
      <c r="CH1519" t="s">
        <v>98</v>
      </c>
      <c r="CI1519" t="s">
        <v>206</v>
      </c>
      <c r="CJ1519" t="s">
        <v>98</v>
      </c>
      <c r="CK1519" t="s">
        <v>12323</v>
      </c>
      <c r="CL1519" t="s">
        <v>108</v>
      </c>
      <c r="CM1519" t="s">
        <v>109</v>
      </c>
      <c r="CN1519" t="str">
        <f>""</f>
        <v/>
      </c>
      <c r="CO1519" t="str">
        <f>""</f>
        <v/>
      </c>
      <c r="CP1519" t="str">
        <f>""</f>
        <v/>
      </c>
      <c r="CQ1519" t="str">
        <f>""</f>
        <v/>
      </c>
    </row>
    <row r="1520" spans="1:96" x14ac:dyDescent="0.2">
      <c r="A1520" t="s">
        <v>11881</v>
      </c>
      <c r="B1520" t="s">
        <v>96</v>
      </c>
      <c r="C1520" s="1">
        <v>44099</v>
      </c>
      <c r="D1520" s="1">
        <v>44106</v>
      </c>
      <c r="F1520" t="s">
        <v>97</v>
      </c>
      <c r="G1520" t="str">
        <f>"Senior Salesforce Administrator"</f>
        <v>Senior Salesforce Administrator</v>
      </c>
      <c r="H1520" t="s">
        <v>12169</v>
      </c>
      <c r="I1520" t="s">
        <v>124</v>
      </c>
      <c r="J1520" t="s">
        <v>98</v>
      </c>
      <c r="K1520" s="1">
        <v>44102</v>
      </c>
      <c r="L1520" s="1">
        <v>44469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 t="s">
        <v>2440</v>
      </c>
      <c r="U1520" t="str">
        <f>""</f>
        <v/>
      </c>
      <c r="V1520" t="s">
        <v>2441</v>
      </c>
      <c r="W1520" t="str">
        <f>"Suite 360"</f>
        <v>Suite 360</v>
      </c>
      <c r="X1520" t="s">
        <v>679</v>
      </c>
      <c r="Y1520" t="s">
        <v>171</v>
      </c>
      <c r="Z1520" s="3">
        <v>1803</v>
      </c>
      <c r="AA1520" t="s">
        <v>101</v>
      </c>
      <c r="AC1520" s="4" t="str">
        <f>"+18882054614"</f>
        <v>+18882054614</v>
      </c>
      <c r="AE1520" t="str">
        <f>"541511"</f>
        <v>541511</v>
      </c>
      <c r="AF1520" t="s">
        <v>944</v>
      </c>
      <c r="AG1520" t="s">
        <v>2442</v>
      </c>
      <c r="AI1520" t="s">
        <v>298</v>
      </c>
      <c r="AJ1520" t="s">
        <v>2441</v>
      </c>
      <c r="AK1520" t="str">
        <f>"Suite 360"</f>
        <v>Suite 360</v>
      </c>
      <c r="AL1520" t="s">
        <v>679</v>
      </c>
      <c r="AM1520" t="s">
        <v>171</v>
      </c>
      <c r="AN1520" s="3">
        <v>1803</v>
      </c>
      <c r="AO1520" t="s">
        <v>101</v>
      </c>
      <c r="AQ1520" t="str">
        <f>"+18882054614"</f>
        <v>+18882054614</v>
      </c>
      <c r="AS1520" t="s">
        <v>2443</v>
      </c>
      <c r="AT1520" t="s">
        <v>107</v>
      </c>
      <c r="AU1520" t="str">
        <f>"Cruz"</f>
        <v>Cruz</v>
      </c>
      <c r="AV1520" t="str">
        <f>"Ashley"</f>
        <v>Ashley</v>
      </c>
      <c r="AW1520" t="str">
        <f>"M."</f>
        <v>M.</v>
      </c>
      <c r="AX1520" t="str">
        <f>"800 W. Cummings Park"</f>
        <v>800 W. Cummings Park</v>
      </c>
      <c r="AY1520" t="str">
        <f>"Suite 2750"</f>
        <v>Suite 2750</v>
      </c>
      <c r="AZ1520" t="str">
        <f>"Woburn"</f>
        <v>Woburn</v>
      </c>
      <c r="BA1520" t="str">
        <f>"MA"</f>
        <v>MA</v>
      </c>
      <c r="BB1520" s="3">
        <v>1801</v>
      </c>
      <c r="BC1520" t="str">
        <f>"UNITED STATES OF AMERICA"</f>
        <v>UNITED STATES OF AMERICA</v>
      </c>
      <c r="BD1520" t="str">
        <f>""</f>
        <v/>
      </c>
      <c r="BE1520" t="str">
        <f>"+16173008133"</f>
        <v>+16173008133</v>
      </c>
      <c r="BF1520" t="str">
        <f>""</f>
        <v/>
      </c>
      <c r="BG1520" t="str">
        <f>"ashleyg@raminenilaw.com"</f>
        <v>ashleyg@raminenilaw.com</v>
      </c>
      <c r="BH1520" t="str">
        <f>"Ramineni &amp; Shepard, LLC"</f>
        <v>Ramineni &amp; Shepard, LLC</v>
      </c>
      <c r="BI1520" t="str">
        <f>"MA"</f>
        <v>MA</v>
      </c>
      <c r="BJ1520" t="str">
        <f>"MA Judicial Supreme Court"</f>
        <v>MA Judicial Supreme Court</v>
      </c>
      <c r="BK1520">
        <v>1</v>
      </c>
      <c r="BL1520" t="s">
        <v>107</v>
      </c>
      <c r="BM1520" t="str">
        <f>"Teradata Corporation"</f>
        <v>Teradata Corporation</v>
      </c>
      <c r="BN1520" t="s">
        <v>456</v>
      </c>
      <c r="BP1520" t="s">
        <v>157</v>
      </c>
      <c r="BQ1520" t="s">
        <v>158</v>
      </c>
      <c r="BR1520" t="s">
        <v>141</v>
      </c>
      <c r="BS1520" s="5">
        <v>92127</v>
      </c>
      <c r="BT1520" s="2">
        <v>99000</v>
      </c>
      <c r="BV1520" t="s">
        <v>105</v>
      </c>
      <c r="BW1520" s="2">
        <v>98592</v>
      </c>
      <c r="BX1520" t="s">
        <v>105</v>
      </c>
      <c r="BZ1520" t="s">
        <v>167</v>
      </c>
      <c r="CA1520" t="str">
        <f t="shared" si="115"/>
        <v>7/1/2020 - 6/30/2021</v>
      </c>
      <c r="CF1520">
        <v>2</v>
      </c>
      <c r="CG1520" t="s">
        <v>98</v>
      </c>
      <c r="CH1520" t="s">
        <v>98</v>
      </c>
      <c r="CI1520" t="s">
        <v>206</v>
      </c>
      <c r="CJ1520" t="s">
        <v>98</v>
      </c>
      <c r="CK1520" t="s">
        <v>12323</v>
      </c>
      <c r="CL1520" t="s">
        <v>108</v>
      </c>
      <c r="CM1520" t="s">
        <v>109</v>
      </c>
      <c r="CN1520" t="str">
        <f>""</f>
        <v/>
      </c>
      <c r="CO1520" t="str">
        <f>""</f>
        <v/>
      </c>
      <c r="CP1520" t="str">
        <f>""</f>
        <v/>
      </c>
      <c r="CQ1520" t="str">
        <f>""</f>
        <v/>
      </c>
    </row>
    <row r="1521" spans="1:96" x14ac:dyDescent="0.2">
      <c r="A1521" t="s">
        <v>11904</v>
      </c>
      <c r="B1521" t="s">
        <v>96</v>
      </c>
      <c r="C1521" s="1">
        <v>44099</v>
      </c>
      <c r="D1521" s="1">
        <v>44106</v>
      </c>
      <c r="F1521" t="s">
        <v>97</v>
      </c>
      <c r="G1521" t="str">
        <f>"Applications Consultant 3"</f>
        <v>Applications Consultant 3</v>
      </c>
      <c r="H1521" t="s">
        <v>12169</v>
      </c>
      <c r="I1521" t="s">
        <v>124</v>
      </c>
      <c r="J1521" t="s">
        <v>98</v>
      </c>
      <c r="K1521" s="1">
        <v>44106</v>
      </c>
      <c r="L1521" s="1">
        <v>45200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 t="s">
        <v>1421</v>
      </c>
      <c r="U1521" t="str">
        <f>""</f>
        <v/>
      </c>
      <c r="V1521" t="s">
        <v>4901</v>
      </c>
      <c r="W1521" t="str">
        <f>"Suite 300"</f>
        <v>Suite 300</v>
      </c>
      <c r="X1521" t="s">
        <v>833</v>
      </c>
      <c r="Y1521" t="s">
        <v>345</v>
      </c>
      <c r="Z1521" s="3">
        <v>60606</v>
      </c>
      <c r="AA1521" t="s">
        <v>101</v>
      </c>
      <c r="AC1521" s="4" t="str">
        <f>"+13123955000"</f>
        <v>+13123955000</v>
      </c>
      <c r="AE1521" t="str">
        <f>"5416"</f>
        <v>5416</v>
      </c>
      <c r="AF1521" t="s">
        <v>1385</v>
      </c>
      <c r="AG1521" t="s">
        <v>1386</v>
      </c>
      <c r="AI1521" t="s">
        <v>4902</v>
      </c>
      <c r="AJ1521" t="s">
        <v>4566</v>
      </c>
      <c r="AK1521" t="str">
        <f>""</f>
        <v/>
      </c>
      <c r="AL1521" t="s">
        <v>3243</v>
      </c>
      <c r="AM1521" t="s">
        <v>345</v>
      </c>
      <c r="AN1521" s="3">
        <v>60018</v>
      </c>
      <c r="AO1521" t="s">
        <v>101</v>
      </c>
      <c r="AQ1521" t="str">
        <f>"+18473846100"</f>
        <v>+18473846100</v>
      </c>
      <c r="AS1521" t="s">
        <v>4903</v>
      </c>
      <c r="AT1521" t="s">
        <v>102</v>
      </c>
      <c r="AU1521" t="str">
        <f>""</f>
        <v/>
      </c>
      <c r="AV1521" t="str">
        <f>""</f>
        <v/>
      </c>
      <c r="AW1521" t="str">
        <f>""</f>
        <v/>
      </c>
      <c r="AX1521" t="str">
        <f>""</f>
        <v/>
      </c>
      <c r="AY1521" t="str">
        <f>""</f>
        <v/>
      </c>
      <c r="AZ1521" t="str">
        <f>""</f>
        <v/>
      </c>
      <c r="BA1521" t="str">
        <f>""</f>
        <v/>
      </c>
      <c r="BC1521" t="str">
        <f>""</f>
        <v/>
      </c>
      <c r="BD1521" t="str">
        <f>""</f>
        <v/>
      </c>
      <c r="BE1521" t="str">
        <f>""</f>
        <v/>
      </c>
      <c r="BF1521" t="str">
        <f>""</f>
        <v/>
      </c>
      <c r="BG1521" t="str">
        <f>""</f>
        <v/>
      </c>
      <c r="BH1521" t="str">
        <f>""</f>
        <v/>
      </c>
      <c r="BI1521" t="str">
        <f>""</f>
        <v/>
      </c>
      <c r="BJ1521" t="str">
        <f>""</f>
        <v/>
      </c>
      <c r="BK1521">
        <v>1</v>
      </c>
      <c r="BL1521" t="s">
        <v>102</v>
      </c>
      <c r="BM1521" t="str">
        <f>""</f>
        <v/>
      </c>
      <c r="BN1521" t="s">
        <v>11905</v>
      </c>
      <c r="BP1521" t="s">
        <v>2414</v>
      </c>
      <c r="BQ1521" t="s">
        <v>547</v>
      </c>
      <c r="BR1521" t="s">
        <v>280</v>
      </c>
      <c r="BS1521" s="5">
        <v>6082</v>
      </c>
      <c r="BT1521" s="2">
        <v>101296</v>
      </c>
      <c r="BU1521" s="2">
        <v>117500</v>
      </c>
      <c r="BV1521" t="s">
        <v>105</v>
      </c>
      <c r="BW1521" s="2">
        <v>101296</v>
      </c>
      <c r="BX1521" t="s">
        <v>105</v>
      </c>
      <c r="BZ1521" t="s">
        <v>123</v>
      </c>
      <c r="CA1521" t="str">
        <f t="shared" si="115"/>
        <v>7/1/2020 - 6/30/2021</v>
      </c>
      <c r="CF1521">
        <v>1</v>
      </c>
      <c r="CG1521" t="s">
        <v>98</v>
      </c>
      <c r="CH1521" t="s">
        <v>98</v>
      </c>
      <c r="CI1521" t="s">
        <v>206</v>
      </c>
      <c r="CJ1521" t="s">
        <v>98</v>
      </c>
      <c r="CK1521" t="s">
        <v>12323</v>
      </c>
      <c r="CL1521" t="s">
        <v>108</v>
      </c>
      <c r="CM1521" t="s">
        <v>109</v>
      </c>
      <c r="CN1521" t="str">
        <f>""</f>
        <v/>
      </c>
      <c r="CO1521" t="str">
        <f>""</f>
        <v/>
      </c>
      <c r="CP1521" t="str">
        <f>""</f>
        <v/>
      </c>
      <c r="CQ1521" t="str">
        <f>""</f>
        <v/>
      </c>
    </row>
    <row r="1522" spans="1:96" x14ac:dyDescent="0.2">
      <c r="A1522" t="s">
        <v>11907</v>
      </c>
      <c r="B1522" t="s">
        <v>96</v>
      </c>
      <c r="C1522" s="1">
        <v>44099</v>
      </c>
      <c r="D1522" s="1">
        <v>44106</v>
      </c>
      <c r="F1522" t="s">
        <v>97</v>
      </c>
      <c r="G1522" t="str">
        <f>"System Analyst JC65"</f>
        <v>System Analyst JC65</v>
      </c>
      <c r="H1522" t="s">
        <v>12181</v>
      </c>
      <c r="I1522" t="s">
        <v>110</v>
      </c>
      <c r="J1522" t="s">
        <v>98</v>
      </c>
      <c r="K1522" s="1">
        <v>44107</v>
      </c>
      <c r="L1522" s="1">
        <v>45201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 t="s">
        <v>111</v>
      </c>
      <c r="U1522" t="str">
        <f>"CTSUS"</f>
        <v>CTSUS</v>
      </c>
      <c r="V1522" t="s">
        <v>112</v>
      </c>
      <c r="W1522" t="str">
        <f>""</f>
        <v/>
      </c>
      <c r="X1522" t="s">
        <v>113</v>
      </c>
      <c r="Y1522" t="s">
        <v>114</v>
      </c>
      <c r="Z1522" s="3">
        <v>77845</v>
      </c>
      <c r="AA1522" t="s">
        <v>101</v>
      </c>
      <c r="AB1522" t="s">
        <v>114</v>
      </c>
      <c r="AC1522" s="4" t="str">
        <f>"+19793296682"</f>
        <v>+19793296682</v>
      </c>
      <c r="AE1522" t="str">
        <f>"541512"</f>
        <v>541512</v>
      </c>
      <c r="AF1522" t="s">
        <v>115</v>
      </c>
      <c r="AG1522" t="s">
        <v>116</v>
      </c>
      <c r="AH1522" t="s">
        <v>108</v>
      </c>
      <c r="AI1522" t="s">
        <v>117</v>
      </c>
      <c r="AJ1522" t="s">
        <v>118</v>
      </c>
      <c r="AK1522" t="str">
        <f>""</f>
        <v/>
      </c>
      <c r="AL1522" t="s">
        <v>119</v>
      </c>
      <c r="AM1522" t="s">
        <v>114</v>
      </c>
      <c r="AN1522" s="3">
        <v>77845</v>
      </c>
      <c r="AO1522" t="s">
        <v>101</v>
      </c>
      <c r="AQ1522" t="str">
        <f>"+19793296682"</f>
        <v>+19793296682</v>
      </c>
      <c r="AS1522" t="s">
        <v>120</v>
      </c>
      <c r="AT1522" t="s">
        <v>102</v>
      </c>
      <c r="AU1522" t="str">
        <f>""</f>
        <v/>
      </c>
      <c r="AV1522" t="str">
        <f>""</f>
        <v/>
      </c>
      <c r="AW1522" t="str">
        <f>""</f>
        <v/>
      </c>
      <c r="AX1522" t="str">
        <f>""</f>
        <v/>
      </c>
      <c r="AY1522" t="str">
        <f>""</f>
        <v/>
      </c>
      <c r="AZ1522" t="str">
        <f>""</f>
        <v/>
      </c>
      <c r="BA1522" t="str">
        <f>""</f>
        <v/>
      </c>
      <c r="BC1522" t="str">
        <f>""</f>
        <v/>
      </c>
      <c r="BD1522" t="str">
        <f>""</f>
        <v/>
      </c>
      <c r="BE1522" t="str">
        <f>""</f>
        <v/>
      </c>
      <c r="BF1522" t="str">
        <f>""</f>
        <v/>
      </c>
      <c r="BG1522" t="str">
        <f>""</f>
        <v/>
      </c>
      <c r="BH1522" t="str">
        <f>""</f>
        <v/>
      </c>
      <c r="BI1522" t="str">
        <f>""</f>
        <v/>
      </c>
      <c r="BJ1522" t="str">
        <f>""</f>
        <v/>
      </c>
      <c r="BK1522">
        <v>1</v>
      </c>
      <c r="BL1522" t="s">
        <v>107</v>
      </c>
      <c r="BM1522" t="str">
        <f>"Capital One Services LLC"</f>
        <v>Capital One Services LLC</v>
      </c>
      <c r="BN1522" t="s">
        <v>4475</v>
      </c>
      <c r="BP1522" t="s">
        <v>693</v>
      </c>
      <c r="BQ1522" t="s">
        <v>756</v>
      </c>
      <c r="BR1522" t="s">
        <v>135</v>
      </c>
      <c r="BS1522" s="5">
        <v>23238</v>
      </c>
      <c r="BT1522" s="2">
        <v>84323</v>
      </c>
      <c r="BV1522" t="s">
        <v>105</v>
      </c>
      <c r="BW1522" s="2">
        <v>84323</v>
      </c>
      <c r="BX1522" t="s">
        <v>105</v>
      </c>
      <c r="BZ1522" t="s">
        <v>167</v>
      </c>
      <c r="CA1522" t="str">
        <f t="shared" si="115"/>
        <v>7/1/2020 - 6/30/2021</v>
      </c>
      <c r="CF1522">
        <v>1</v>
      </c>
      <c r="CG1522" t="s">
        <v>98</v>
      </c>
      <c r="CH1522" t="s">
        <v>98</v>
      </c>
      <c r="CI1522" t="s">
        <v>206</v>
      </c>
      <c r="CJ1522" t="s">
        <v>98</v>
      </c>
      <c r="CK1522" t="s">
        <v>12323</v>
      </c>
      <c r="CL1522" t="s">
        <v>108</v>
      </c>
      <c r="CM1522" t="s">
        <v>109</v>
      </c>
      <c r="CN1522" t="str">
        <f>""</f>
        <v/>
      </c>
      <c r="CO1522" t="str">
        <f>""</f>
        <v/>
      </c>
      <c r="CP1522" t="str">
        <f>""</f>
        <v/>
      </c>
      <c r="CQ1522" t="str">
        <f>""</f>
        <v/>
      </c>
    </row>
    <row r="1523" spans="1:96" x14ac:dyDescent="0.2">
      <c r="A1523" t="s">
        <v>11944</v>
      </c>
      <c r="B1523" t="s">
        <v>96</v>
      </c>
      <c r="C1523" s="1">
        <v>44099</v>
      </c>
      <c r="D1523" s="1">
        <v>44106</v>
      </c>
      <c r="F1523" t="s">
        <v>97</v>
      </c>
      <c r="G1523" t="str">
        <f>"SR. STATISTICAL PROGRAMMER"</f>
        <v>SR. STATISTICAL PROGRAMMER</v>
      </c>
      <c r="H1523" t="s">
        <v>12239</v>
      </c>
      <c r="I1523" t="s">
        <v>378</v>
      </c>
      <c r="J1523" t="s">
        <v>98</v>
      </c>
      <c r="K1523" s="1">
        <v>44105</v>
      </c>
      <c r="L1523" s="1">
        <v>45199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11653</v>
      </c>
      <c r="U1523" t="str">
        <f>""</f>
        <v/>
      </c>
      <c r="V1523" t="s">
        <v>11654</v>
      </c>
      <c r="W1523" t="str">
        <f>""</f>
        <v/>
      </c>
      <c r="X1523" t="s">
        <v>1427</v>
      </c>
      <c r="Y1523" t="s">
        <v>127</v>
      </c>
      <c r="Z1523" s="3">
        <v>19406</v>
      </c>
      <c r="AA1523" t="s">
        <v>101</v>
      </c>
      <c r="AC1523" s="4" t="str">
        <f>"+16109620158"</f>
        <v>+16109620158</v>
      </c>
      <c r="AD1523">
        <v>200</v>
      </c>
      <c r="AE1523" t="str">
        <f t="shared" ref="AE1523:AE1529" si="117">"541511"</f>
        <v>541511</v>
      </c>
      <c r="AF1523" t="s">
        <v>5197</v>
      </c>
      <c r="AG1523" t="s">
        <v>5198</v>
      </c>
      <c r="AI1523" t="s">
        <v>497</v>
      </c>
      <c r="AJ1523" t="s">
        <v>11654</v>
      </c>
      <c r="AK1523" t="str">
        <f>""</f>
        <v/>
      </c>
      <c r="AL1523" t="s">
        <v>1427</v>
      </c>
      <c r="AM1523" t="s">
        <v>127</v>
      </c>
      <c r="AN1523" s="3">
        <v>19406</v>
      </c>
      <c r="AO1523" t="s">
        <v>101</v>
      </c>
      <c r="AQ1523" t="str">
        <f>"+16109620158"</f>
        <v>+16109620158</v>
      </c>
      <c r="AR1523">
        <v>200</v>
      </c>
      <c r="AS1523" t="s">
        <v>11655</v>
      </c>
      <c r="AT1523" t="s">
        <v>107</v>
      </c>
      <c r="AU1523" t="str">
        <f>"Tewary"</f>
        <v>Tewary</v>
      </c>
      <c r="AV1523" t="str">
        <f>"Akshat"</f>
        <v>Akshat</v>
      </c>
      <c r="AW1523" t="str">
        <f>""</f>
        <v/>
      </c>
      <c r="AX1523" t="str">
        <f>"1974 State Route 27"</f>
        <v>1974 State Route 27</v>
      </c>
      <c r="AY1523" t="str">
        <f>""</f>
        <v/>
      </c>
      <c r="AZ1523" t="str">
        <f>"Edison"</f>
        <v>Edison</v>
      </c>
      <c r="BA1523" t="str">
        <f>"NJ"</f>
        <v>NJ</v>
      </c>
      <c r="BB1523" s="3">
        <v>8817</v>
      </c>
      <c r="BC1523" t="str">
        <f>"UNITED STATES OF AMERICA"</f>
        <v>UNITED STATES OF AMERICA</v>
      </c>
      <c r="BD1523" t="str">
        <f>""</f>
        <v/>
      </c>
      <c r="BE1523" t="str">
        <f>"+17322870080"</f>
        <v>+17322870080</v>
      </c>
      <c r="BF1523" t="str">
        <f>""</f>
        <v/>
      </c>
      <c r="BG1523" t="str">
        <f>"tewaryoffice@yahoo.com"</f>
        <v>tewaryoffice@yahoo.com</v>
      </c>
      <c r="BH1523" t="str">
        <f>"Law Offices of Kamlesh Tewary, P.C. "</f>
        <v xml:space="preserve">Law Offices of Kamlesh Tewary, P.C. </v>
      </c>
      <c r="BI1523" t="str">
        <f>"NJ"</f>
        <v>NJ</v>
      </c>
      <c r="BJ1523" t="str">
        <f>"New Jersey Supreme Court "</f>
        <v xml:space="preserve">New Jersey Supreme Court </v>
      </c>
      <c r="BK1523">
        <v>1</v>
      </c>
      <c r="BL1523" t="s">
        <v>102</v>
      </c>
      <c r="BM1523" t="str">
        <f>""</f>
        <v/>
      </c>
      <c r="BN1523" t="s">
        <v>11945</v>
      </c>
      <c r="BP1523" t="s">
        <v>804</v>
      </c>
      <c r="BQ1523" t="s">
        <v>104</v>
      </c>
      <c r="BR1523" t="s">
        <v>100</v>
      </c>
      <c r="BS1523" s="5">
        <v>8854</v>
      </c>
      <c r="BT1523" s="2">
        <v>105000</v>
      </c>
      <c r="BV1523" t="s">
        <v>105</v>
      </c>
      <c r="BW1523" s="2">
        <v>98072</v>
      </c>
      <c r="BX1523" t="s">
        <v>105</v>
      </c>
      <c r="BZ1523" t="s">
        <v>123</v>
      </c>
      <c r="CA1523" t="str">
        <f t="shared" si="115"/>
        <v>7/1/2020 - 6/30/2021</v>
      </c>
      <c r="CF1523">
        <v>2</v>
      </c>
      <c r="CG1523" t="s">
        <v>98</v>
      </c>
      <c r="CH1523" t="s">
        <v>98</v>
      </c>
      <c r="CI1523" t="s">
        <v>206</v>
      </c>
      <c r="CJ1523" t="s">
        <v>98</v>
      </c>
      <c r="CK1523" t="s">
        <v>12323</v>
      </c>
      <c r="CL1523" t="s">
        <v>108</v>
      </c>
      <c r="CM1523" t="s">
        <v>109</v>
      </c>
      <c r="CN1523" t="str">
        <f>""</f>
        <v/>
      </c>
      <c r="CO1523" t="str">
        <f>""</f>
        <v/>
      </c>
      <c r="CP1523" t="str">
        <f>""</f>
        <v/>
      </c>
      <c r="CQ1523" t="str">
        <f>""</f>
        <v/>
      </c>
    </row>
    <row r="1524" spans="1:96" x14ac:dyDescent="0.2">
      <c r="A1524" t="s">
        <v>11965</v>
      </c>
      <c r="B1524" t="s">
        <v>96</v>
      </c>
      <c r="C1524" s="1">
        <v>44099</v>
      </c>
      <c r="D1524" s="1">
        <v>44106</v>
      </c>
      <c r="F1524" t="s">
        <v>97</v>
      </c>
      <c r="G1524" t="str">
        <f>"JD Edwards Techno functional  Consultant"</f>
        <v>JD Edwards Techno functional  Consultant</v>
      </c>
      <c r="H1524" t="s">
        <v>12239</v>
      </c>
      <c r="I1524" t="s">
        <v>378</v>
      </c>
      <c r="J1524" t="s">
        <v>98</v>
      </c>
      <c r="K1524" s="1">
        <v>44109</v>
      </c>
      <c r="L1524" s="1">
        <v>45203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 t="s">
        <v>7575</v>
      </c>
      <c r="U1524" t="str">
        <f>""</f>
        <v/>
      </c>
      <c r="V1524" t="s">
        <v>7576</v>
      </c>
      <c r="W1524" t="str">
        <f>"Suite 206"</f>
        <v>Suite 206</v>
      </c>
      <c r="X1524" t="s">
        <v>7577</v>
      </c>
      <c r="Y1524" t="s">
        <v>100</v>
      </c>
      <c r="Z1524" s="3">
        <v>8805</v>
      </c>
      <c r="AA1524" t="s">
        <v>101</v>
      </c>
      <c r="AC1524" s="4" t="str">
        <f>"+17322711900"</f>
        <v>+17322711900</v>
      </c>
      <c r="AE1524" t="str">
        <f t="shared" si="117"/>
        <v>541511</v>
      </c>
      <c r="AF1524" t="s">
        <v>7578</v>
      </c>
      <c r="AG1524" t="s">
        <v>7579</v>
      </c>
      <c r="AH1524" t="s">
        <v>382</v>
      </c>
      <c r="AI1524" t="s">
        <v>1242</v>
      </c>
      <c r="AJ1524" t="s">
        <v>7576</v>
      </c>
      <c r="AK1524" t="str">
        <f>"Suite 206"</f>
        <v>Suite 206</v>
      </c>
      <c r="AL1524" t="s">
        <v>7577</v>
      </c>
      <c r="AM1524" t="s">
        <v>100</v>
      </c>
      <c r="AN1524" s="3">
        <v>8805</v>
      </c>
      <c r="AO1524" t="s">
        <v>101</v>
      </c>
      <c r="AQ1524" t="str">
        <f>"+17322711900"</f>
        <v>+17322711900</v>
      </c>
      <c r="AS1524" t="s">
        <v>7580</v>
      </c>
      <c r="AT1524" t="s">
        <v>102</v>
      </c>
      <c r="AU1524" t="str">
        <f>""</f>
        <v/>
      </c>
      <c r="AV1524" t="str">
        <f>""</f>
        <v/>
      </c>
      <c r="AW1524" t="str">
        <f>""</f>
        <v/>
      </c>
      <c r="AX1524" t="str">
        <f>""</f>
        <v/>
      </c>
      <c r="AY1524" t="str">
        <f>""</f>
        <v/>
      </c>
      <c r="AZ1524" t="str">
        <f>""</f>
        <v/>
      </c>
      <c r="BA1524" t="str">
        <f>""</f>
        <v/>
      </c>
      <c r="BC1524" t="str">
        <f>""</f>
        <v/>
      </c>
      <c r="BD1524" t="str">
        <f>""</f>
        <v/>
      </c>
      <c r="BE1524" t="str">
        <f>""</f>
        <v/>
      </c>
      <c r="BF1524" t="str">
        <f>""</f>
        <v/>
      </c>
      <c r="BG1524" t="str">
        <f>""</f>
        <v/>
      </c>
      <c r="BH1524" t="str">
        <f>""</f>
        <v/>
      </c>
      <c r="BI1524" t="str">
        <f>""</f>
        <v/>
      </c>
      <c r="BJ1524" t="str">
        <f>""</f>
        <v/>
      </c>
      <c r="BK1524">
        <v>1</v>
      </c>
      <c r="BL1524" t="s">
        <v>107</v>
      </c>
      <c r="BM1524" t="str">
        <f>"Crown castle USA Inc"</f>
        <v>Crown castle USA Inc</v>
      </c>
      <c r="BN1524" t="s">
        <v>11966</v>
      </c>
      <c r="BP1524" t="s">
        <v>5138</v>
      </c>
      <c r="BQ1524" t="s">
        <v>813</v>
      </c>
      <c r="BR1524" t="s">
        <v>127</v>
      </c>
      <c r="BS1524" s="5">
        <v>15317</v>
      </c>
      <c r="BT1524" s="2">
        <v>78000</v>
      </c>
      <c r="BV1524" t="s">
        <v>105</v>
      </c>
      <c r="BW1524" s="2">
        <v>77730</v>
      </c>
      <c r="BX1524" t="s">
        <v>105</v>
      </c>
      <c r="BZ1524" t="s">
        <v>123</v>
      </c>
      <c r="CA1524" t="str">
        <f t="shared" si="115"/>
        <v>7/1/2020 - 6/30/2021</v>
      </c>
      <c r="CF1524">
        <v>2</v>
      </c>
      <c r="CG1524" t="s">
        <v>98</v>
      </c>
      <c r="CH1524" t="s">
        <v>98</v>
      </c>
      <c r="CI1524" t="s">
        <v>206</v>
      </c>
      <c r="CJ1524" t="s">
        <v>98</v>
      </c>
      <c r="CK1524" t="s">
        <v>12323</v>
      </c>
      <c r="CL1524" t="s">
        <v>108</v>
      </c>
      <c r="CM1524" t="s">
        <v>109</v>
      </c>
      <c r="CN1524" t="str">
        <f>""</f>
        <v/>
      </c>
      <c r="CO1524" t="str">
        <f>""</f>
        <v/>
      </c>
      <c r="CP1524" t="str">
        <f>""</f>
        <v/>
      </c>
      <c r="CQ1524" t="str">
        <f>""</f>
        <v/>
      </c>
    </row>
    <row r="1525" spans="1:96" x14ac:dyDescent="0.2">
      <c r="A1525" t="s">
        <v>11983</v>
      </c>
      <c r="B1525" t="s">
        <v>96</v>
      </c>
      <c r="C1525" s="1">
        <v>44099</v>
      </c>
      <c r="D1525" s="1">
        <v>44106</v>
      </c>
      <c r="F1525" t="s">
        <v>97</v>
      </c>
      <c r="G1525" t="str">
        <f>"Data Warehouse Specialist  "</f>
        <v xml:space="preserve">Data Warehouse Specialist  </v>
      </c>
      <c r="H1525" t="s">
        <v>12168</v>
      </c>
      <c r="I1525" t="s">
        <v>1844</v>
      </c>
      <c r="J1525" t="s">
        <v>98</v>
      </c>
      <c r="K1525" s="1">
        <v>44099</v>
      </c>
      <c r="L1525" s="1">
        <v>45193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 t="s">
        <v>864</v>
      </c>
      <c r="U1525" t="str">
        <f>""</f>
        <v/>
      </c>
      <c r="V1525" t="s">
        <v>865</v>
      </c>
      <c r="W1525" t="str">
        <f>"SUITE 320"</f>
        <v>SUITE 320</v>
      </c>
      <c r="X1525" t="s">
        <v>866</v>
      </c>
      <c r="Y1525" t="s">
        <v>195</v>
      </c>
      <c r="Z1525" s="3">
        <v>20850</v>
      </c>
      <c r="AA1525" t="s">
        <v>101</v>
      </c>
      <c r="AC1525" s="4" t="str">
        <f>"+13012319083"</f>
        <v>+13012319083</v>
      </c>
      <c r="AE1525" t="str">
        <f t="shared" si="117"/>
        <v>541511</v>
      </c>
      <c r="AF1525" t="s">
        <v>867</v>
      </c>
      <c r="AG1525" t="s">
        <v>868</v>
      </c>
      <c r="AI1525" t="s">
        <v>869</v>
      </c>
      <c r="AJ1525" t="s">
        <v>865</v>
      </c>
      <c r="AK1525" t="str">
        <f>"SUITE 320"</f>
        <v>SUITE 320</v>
      </c>
      <c r="AL1525" t="s">
        <v>866</v>
      </c>
      <c r="AM1525" t="s">
        <v>195</v>
      </c>
      <c r="AN1525" s="3">
        <v>20850</v>
      </c>
      <c r="AO1525" t="s">
        <v>101</v>
      </c>
      <c r="AQ1525" t="str">
        <f>"+13012319083"</f>
        <v>+13012319083</v>
      </c>
      <c r="AS1525" t="s">
        <v>870</v>
      </c>
      <c r="AT1525" t="s">
        <v>107</v>
      </c>
      <c r="AU1525" t="str">
        <f>"CHOWDHURY"</f>
        <v>CHOWDHURY</v>
      </c>
      <c r="AV1525" t="str">
        <f>"ANINDITA"</f>
        <v>ANINDITA</v>
      </c>
      <c r="AW1525" t="str">
        <f>"A"</f>
        <v>A</v>
      </c>
      <c r="AX1525" t="str">
        <f>"6720-B Rockledge Drive"</f>
        <v>6720-B Rockledge Drive</v>
      </c>
      <c r="AY1525" t="str">
        <f>"Suite 430"</f>
        <v>Suite 430</v>
      </c>
      <c r="AZ1525" t="str">
        <f>"Bethesda"</f>
        <v>Bethesda</v>
      </c>
      <c r="BA1525" t="str">
        <f>"MD"</f>
        <v>MD</v>
      </c>
      <c r="BB1525" s="3">
        <v>20817</v>
      </c>
      <c r="BC1525" t="str">
        <f>"UNITED STATES OF AMERICA"</f>
        <v>UNITED STATES OF AMERICA</v>
      </c>
      <c r="BD1525" t="str">
        <f>""</f>
        <v/>
      </c>
      <c r="BE1525" t="str">
        <f>"+12026184540"</f>
        <v>+12026184540</v>
      </c>
      <c r="BF1525" t="str">
        <f>""</f>
        <v/>
      </c>
      <c r="BG1525" t="str">
        <f>"ANINDITA@USILAW.COM"</f>
        <v>ANINDITA@USILAW.COM</v>
      </c>
      <c r="BH1525" t="str">
        <f>"USILAW, INC"</f>
        <v>USILAW, INC</v>
      </c>
      <c r="BI1525" t="str">
        <f>"DC"</f>
        <v>DC</v>
      </c>
      <c r="BJ1525" t="str">
        <f>"COURT OF APPEALS"</f>
        <v>COURT OF APPEALS</v>
      </c>
      <c r="BK1525">
        <v>1</v>
      </c>
      <c r="BL1525" t="s">
        <v>107</v>
      </c>
      <c r="BM1525" t="str">
        <f>"Comerica Bank"</f>
        <v>Comerica Bank</v>
      </c>
      <c r="BN1525" t="s">
        <v>11984</v>
      </c>
      <c r="BP1525" t="s">
        <v>2444</v>
      </c>
      <c r="BQ1525" t="s">
        <v>719</v>
      </c>
      <c r="BR1525" t="s">
        <v>265</v>
      </c>
      <c r="BS1525" s="5">
        <v>48326</v>
      </c>
      <c r="BT1525" s="2">
        <v>62213</v>
      </c>
      <c r="BU1525" s="2">
        <v>100200</v>
      </c>
      <c r="BV1525" t="s">
        <v>105</v>
      </c>
      <c r="BW1525" s="2">
        <v>62213</v>
      </c>
      <c r="BX1525" t="s">
        <v>105</v>
      </c>
      <c r="BZ1525" t="s">
        <v>167</v>
      </c>
      <c r="CA1525" t="str">
        <f t="shared" si="115"/>
        <v>7/1/2020 - 6/30/2021</v>
      </c>
      <c r="CF1525">
        <v>1</v>
      </c>
      <c r="CG1525" t="s">
        <v>98</v>
      </c>
      <c r="CH1525" t="s">
        <v>98</v>
      </c>
      <c r="CI1525" t="s">
        <v>206</v>
      </c>
      <c r="CJ1525" t="s">
        <v>98</v>
      </c>
      <c r="CK1525" t="s">
        <v>12323</v>
      </c>
      <c r="CL1525" t="s">
        <v>108</v>
      </c>
      <c r="CM1525" t="s">
        <v>109</v>
      </c>
      <c r="CN1525" t="str">
        <f>""</f>
        <v/>
      </c>
      <c r="CO1525" t="str">
        <f>""</f>
        <v/>
      </c>
      <c r="CP1525" t="str">
        <f>""</f>
        <v/>
      </c>
      <c r="CQ1525" t="str">
        <f>""</f>
        <v/>
      </c>
    </row>
    <row r="1526" spans="1:96" x14ac:dyDescent="0.2">
      <c r="A1526" t="s">
        <v>11986</v>
      </c>
      <c r="B1526" t="s">
        <v>96</v>
      </c>
      <c r="C1526" s="1">
        <v>44099</v>
      </c>
      <c r="D1526" s="1">
        <v>44106</v>
      </c>
      <c r="F1526" t="s">
        <v>97</v>
      </c>
      <c r="G1526" t="str">
        <f>"SR. PROGRAMMER ANALYST"</f>
        <v>SR. PROGRAMMER ANALYST</v>
      </c>
      <c r="H1526" t="s">
        <v>12169</v>
      </c>
      <c r="I1526" t="s">
        <v>124</v>
      </c>
      <c r="J1526" t="s">
        <v>98</v>
      </c>
      <c r="K1526" s="1">
        <v>44102</v>
      </c>
      <c r="L1526" s="1">
        <v>45197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 t="s">
        <v>7116</v>
      </c>
      <c r="U1526" t="str">
        <f>""</f>
        <v/>
      </c>
      <c r="V1526" t="s">
        <v>3368</v>
      </c>
      <c r="W1526" t="str">
        <f>"STE.203"</f>
        <v>STE.203</v>
      </c>
      <c r="X1526" t="s">
        <v>211</v>
      </c>
      <c r="Y1526" t="s">
        <v>100</v>
      </c>
      <c r="Z1526" s="3">
        <v>8820</v>
      </c>
      <c r="AA1526" t="s">
        <v>101</v>
      </c>
      <c r="AC1526" s="4" t="str">
        <f>"+17325482700"</f>
        <v>+17325482700</v>
      </c>
      <c r="AD1526">
        <v>8618</v>
      </c>
      <c r="AE1526" t="str">
        <f t="shared" si="117"/>
        <v>541511</v>
      </c>
      <c r="AF1526" t="s">
        <v>2719</v>
      </c>
      <c r="AG1526" t="s">
        <v>2720</v>
      </c>
      <c r="AI1526" t="s">
        <v>2721</v>
      </c>
      <c r="AJ1526" t="s">
        <v>3368</v>
      </c>
      <c r="AK1526" t="str">
        <f>"STE.203"</f>
        <v>STE.203</v>
      </c>
      <c r="AL1526" t="s">
        <v>211</v>
      </c>
      <c r="AM1526" t="s">
        <v>100</v>
      </c>
      <c r="AN1526" s="3">
        <v>8820</v>
      </c>
      <c r="AO1526" t="s">
        <v>101</v>
      </c>
      <c r="AQ1526" t="str">
        <f>"+17325482700"</f>
        <v>+17325482700</v>
      </c>
      <c r="AR1526">
        <v>8618</v>
      </c>
      <c r="AS1526" t="s">
        <v>2722</v>
      </c>
      <c r="AT1526" t="s">
        <v>102</v>
      </c>
      <c r="AU1526" t="str">
        <f>""</f>
        <v/>
      </c>
      <c r="AV1526" t="str">
        <f>""</f>
        <v/>
      </c>
      <c r="AW1526" t="str">
        <f>""</f>
        <v/>
      </c>
      <c r="AX1526" t="str">
        <f>""</f>
        <v/>
      </c>
      <c r="AY1526" t="str">
        <f>""</f>
        <v/>
      </c>
      <c r="AZ1526" t="str">
        <f>""</f>
        <v/>
      </c>
      <c r="BA1526" t="str">
        <f>""</f>
        <v/>
      </c>
      <c r="BC1526" t="str">
        <f>""</f>
        <v/>
      </c>
      <c r="BD1526" t="str">
        <f>""</f>
        <v/>
      </c>
      <c r="BE1526" t="str">
        <f>""</f>
        <v/>
      </c>
      <c r="BF1526" t="str">
        <f>""</f>
        <v/>
      </c>
      <c r="BG1526" t="str">
        <f>""</f>
        <v/>
      </c>
      <c r="BH1526" t="str">
        <f>""</f>
        <v/>
      </c>
      <c r="BI1526" t="str">
        <f>""</f>
        <v/>
      </c>
      <c r="BJ1526" t="str">
        <f>""</f>
        <v/>
      </c>
      <c r="BK1526">
        <v>1</v>
      </c>
      <c r="BL1526" t="s">
        <v>107</v>
      </c>
      <c r="BM1526" t="str">
        <f>"Y &amp; L CONSULTING"</f>
        <v>Y &amp; L CONSULTING</v>
      </c>
      <c r="BN1526" t="s">
        <v>11987</v>
      </c>
      <c r="BP1526" t="s">
        <v>3985</v>
      </c>
      <c r="BQ1526" t="s">
        <v>1513</v>
      </c>
      <c r="BR1526" t="s">
        <v>114</v>
      </c>
      <c r="BS1526" s="5">
        <v>78249</v>
      </c>
      <c r="BT1526" s="2">
        <v>91562</v>
      </c>
      <c r="BU1526" s="2">
        <v>92000</v>
      </c>
      <c r="BV1526" t="s">
        <v>105</v>
      </c>
      <c r="BW1526" s="2">
        <v>91562</v>
      </c>
      <c r="BX1526" t="s">
        <v>105</v>
      </c>
      <c r="BZ1526" t="s">
        <v>167</v>
      </c>
      <c r="CA1526" t="str">
        <f t="shared" si="115"/>
        <v>7/1/2020 - 6/30/2021</v>
      </c>
      <c r="CF1526">
        <v>1</v>
      </c>
      <c r="CG1526" t="s">
        <v>98</v>
      </c>
      <c r="CH1526" t="s">
        <v>98</v>
      </c>
      <c r="CI1526" t="s">
        <v>206</v>
      </c>
      <c r="CJ1526" t="s">
        <v>98</v>
      </c>
      <c r="CK1526" t="s">
        <v>12323</v>
      </c>
      <c r="CL1526" t="s">
        <v>108</v>
      </c>
      <c r="CM1526" t="s">
        <v>353</v>
      </c>
      <c r="CN1526" t="str">
        <f>""</f>
        <v/>
      </c>
      <c r="CO1526" t="str">
        <f>""</f>
        <v/>
      </c>
      <c r="CP1526" t="str">
        <f>""</f>
        <v/>
      </c>
      <c r="CQ1526" t="str">
        <f>""</f>
        <v/>
      </c>
    </row>
    <row r="1527" spans="1:96" x14ac:dyDescent="0.2">
      <c r="A1527" t="s">
        <v>12003</v>
      </c>
      <c r="B1527" t="s">
        <v>96</v>
      </c>
      <c r="C1527" s="1">
        <v>44099</v>
      </c>
      <c r="D1527" s="1">
        <v>44106</v>
      </c>
      <c r="F1527" t="s">
        <v>97</v>
      </c>
      <c r="G1527" t="str">
        <f>"Software Developer"</f>
        <v>Software Developer</v>
      </c>
      <c r="H1527" t="s">
        <v>12169</v>
      </c>
      <c r="I1527" t="s">
        <v>124</v>
      </c>
      <c r="J1527" t="s">
        <v>98</v>
      </c>
      <c r="K1527" s="1">
        <v>44102</v>
      </c>
      <c r="L1527" s="1">
        <v>45196</v>
      </c>
      <c r="M1527">
        <v>6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 t="s">
        <v>2509</v>
      </c>
      <c r="U1527" t="str">
        <f>"Mastech Digital InfoTech, Inc."</f>
        <v>Mastech Digital InfoTech, Inc.</v>
      </c>
      <c r="V1527" t="s">
        <v>1081</v>
      </c>
      <c r="W1527" t="str">
        <f>"Bldg. 210, Suite 400"</f>
        <v>Bldg. 210, Suite 400</v>
      </c>
      <c r="X1527" t="s">
        <v>1082</v>
      </c>
      <c r="Y1527" t="s">
        <v>127</v>
      </c>
      <c r="Z1527" s="3">
        <v>15108</v>
      </c>
      <c r="AA1527" t="s">
        <v>101</v>
      </c>
      <c r="AB1527" t="s">
        <v>2510</v>
      </c>
      <c r="AC1527" s="4" t="str">
        <f>"+14127879553"</f>
        <v>+14127879553</v>
      </c>
      <c r="AE1527" t="str">
        <f t="shared" si="117"/>
        <v>541511</v>
      </c>
      <c r="AF1527" t="s">
        <v>1083</v>
      </c>
      <c r="AG1527" t="s">
        <v>1084</v>
      </c>
      <c r="AI1527" t="s">
        <v>1085</v>
      </c>
      <c r="AJ1527" t="s">
        <v>1081</v>
      </c>
      <c r="AK1527" t="str">
        <f>"Bldg. 210, Ste 400"</f>
        <v>Bldg. 210, Ste 400</v>
      </c>
      <c r="AL1527" t="s">
        <v>1082</v>
      </c>
      <c r="AM1527" t="s">
        <v>127</v>
      </c>
      <c r="AN1527" s="3">
        <v>15108</v>
      </c>
      <c r="AO1527" t="s">
        <v>101</v>
      </c>
      <c r="AQ1527" t="str">
        <f>"+14127879553"</f>
        <v>+14127879553</v>
      </c>
      <c r="AS1527" t="s">
        <v>1086</v>
      </c>
      <c r="AT1527" t="s">
        <v>102</v>
      </c>
      <c r="AU1527" t="str">
        <f>""</f>
        <v/>
      </c>
      <c r="AV1527" t="str">
        <f>""</f>
        <v/>
      </c>
      <c r="AW1527" t="str">
        <f>""</f>
        <v/>
      </c>
      <c r="AX1527" t="str">
        <f>""</f>
        <v/>
      </c>
      <c r="AY1527" t="str">
        <f>""</f>
        <v/>
      </c>
      <c r="AZ1527" t="str">
        <f>""</f>
        <v/>
      </c>
      <c r="BA1527" t="str">
        <f>""</f>
        <v/>
      </c>
      <c r="BC1527" t="str">
        <f>""</f>
        <v/>
      </c>
      <c r="BD1527" t="str">
        <f>""</f>
        <v/>
      </c>
      <c r="BE1527" t="str">
        <f>""</f>
        <v/>
      </c>
      <c r="BF1527" t="str">
        <f>""</f>
        <v/>
      </c>
      <c r="BG1527" t="str">
        <f>""</f>
        <v/>
      </c>
      <c r="BH1527" t="str">
        <f>""</f>
        <v/>
      </c>
      <c r="BI1527" t="str">
        <f>""</f>
        <v/>
      </c>
      <c r="BJ1527" t="str">
        <f>""</f>
        <v/>
      </c>
      <c r="BK1527">
        <v>6</v>
      </c>
      <c r="BL1527" t="s">
        <v>107</v>
      </c>
      <c r="BM1527" t="str">
        <f>"Liberty Mutual"</f>
        <v>Liberty Mutual</v>
      </c>
      <c r="BN1527" t="s">
        <v>12004</v>
      </c>
      <c r="BO1527" t="s">
        <v>12005</v>
      </c>
      <c r="BP1527" t="s">
        <v>261</v>
      </c>
      <c r="BQ1527" t="s">
        <v>183</v>
      </c>
      <c r="BR1527" t="s">
        <v>176</v>
      </c>
      <c r="BS1527" s="5">
        <v>98154</v>
      </c>
      <c r="BT1527" s="2">
        <v>54.38</v>
      </c>
      <c r="BU1527" s="2">
        <v>54.48</v>
      </c>
      <c r="BV1527" t="s">
        <v>210</v>
      </c>
      <c r="BW1527" s="2">
        <v>54.38</v>
      </c>
      <c r="BX1527" t="s">
        <v>210</v>
      </c>
      <c r="BZ1527" t="s">
        <v>167</v>
      </c>
      <c r="CA1527" t="str">
        <f t="shared" si="115"/>
        <v>7/1/2020 - 6/30/2021</v>
      </c>
      <c r="CF1527">
        <v>2</v>
      </c>
      <c r="CG1527" t="s">
        <v>98</v>
      </c>
      <c r="CH1527" t="s">
        <v>98</v>
      </c>
      <c r="CI1527" t="s">
        <v>206</v>
      </c>
      <c r="CJ1527" t="s">
        <v>98</v>
      </c>
      <c r="CK1527" t="s">
        <v>12323</v>
      </c>
      <c r="CL1527" t="s">
        <v>108</v>
      </c>
      <c r="CM1527" t="s">
        <v>109</v>
      </c>
      <c r="CN1527" t="str">
        <f>""</f>
        <v/>
      </c>
      <c r="CO1527" t="str">
        <f>""</f>
        <v/>
      </c>
      <c r="CP1527" t="str">
        <f>""</f>
        <v/>
      </c>
      <c r="CQ1527" t="str">
        <f>""</f>
        <v/>
      </c>
    </row>
    <row r="1528" spans="1:96" x14ac:dyDescent="0.2">
      <c r="A1528" t="s">
        <v>12008</v>
      </c>
      <c r="B1528" t="s">
        <v>96</v>
      </c>
      <c r="C1528" s="1">
        <v>44099</v>
      </c>
      <c r="D1528" s="1">
        <v>44106</v>
      </c>
      <c r="F1528" t="s">
        <v>97</v>
      </c>
      <c r="G1528" t="str">
        <f>"Lead Consultant - US "</f>
        <v xml:space="preserve">Lead Consultant - US </v>
      </c>
      <c r="H1528" t="s">
        <v>12181</v>
      </c>
      <c r="I1528" t="s">
        <v>110</v>
      </c>
      <c r="J1528" t="s">
        <v>98</v>
      </c>
      <c r="K1528" s="1">
        <v>44136</v>
      </c>
      <c r="L1528" s="1">
        <v>45228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 t="s">
        <v>723</v>
      </c>
      <c r="U1528" t="str">
        <f>""</f>
        <v/>
      </c>
      <c r="V1528" t="s">
        <v>724</v>
      </c>
      <c r="W1528" t="str">
        <f>"STE C150"</f>
        <v>STE C150</v>
      </c>
      <c r="X1528" t="s">
        <v>725</v>
      </c>
      <c r="Y1528" t="s">
        <v>114</v>
      </c>
      <c r="Z1528" s="3">
        <v>75082</v>
      </c>
      <c r="AA1528" t="s">
        <v>101</v>
      </c>
      <c r="AC1528" s="4" t="str">
        <f>"+12143062100"</f>
        <v>+12143062100</v>
      </c>
      <c r="AE1528" t="str">
        <f t="shared" si="117"/>
        <v>541511</v>
      </c>
      <c r="AF1528" t="s">
        <v>726</v>
      </c>
      <c r="AG1528" t="s">
        <v>727</v>
      </c>
      <c r="AI1528" t="s">
        <v>728</v>
      </c>
      <c r="AJ1528" t="s">
        <v>724</v>
      </c>
      <c r="AK1528" t="str">
        <f>"STE C150"</f>
        <v>STE C150</v>
      </c>
      <c r="AL1528" t="s">
        <v>725</v>
      </c>
      <c r="AM1528" t="s">
        <v>114</v>
      </c>
      <c r="AN1528" s="3">
        <v>75082</v>
      </c>
      <c r="AO1528" t="s">
        <v>101</v>
      </c>
      <c r="AQ1528" t="str">
        <f>"+12143062100"</f>
        <v>+12143062100</v>
      </c>
      <c r="AS1528" t="s">
        <v>729</v>
      </c>
      <c r="AT1528" t="s">
        <v>102</v>
      </c>
      <c r="AU1528" t="str">
        <f>""</f>
        <v/>
      </c>
      <c r="AV1528" t="str">
        <f>""</f>
        <v/>
      </c>
      <c r="AW1528" t="str">
        <f>""</f>
        <v/>
      </c>
      <c r="AX1528" t="str">
        <f>""</f>
        <v/>
      </c>
      <c r="AY1528" t="str">
        <f>""</f>
        <v/>
      </c>
      <c r="AZ1528" t="str">
        <f>""</f>
        <v/>
      </c>
      <c r="BA1528" t="str">
        <f>""</f>
        <v/>
      </c>
      <c r="BC1528" t="str">
        <f>""</f>
        <v/>
      </c>
      <c r="BD1528" t="str">
        <f>""</f>
        <v/>
      </c>
      <c r="BE1528" t="str">
        <f>""</f>
        <v/>
      </c>
      <c r="BF1528" t="str">
        <f>""</f>
        <v/>
      </c>
      <c r="BG1528" t="str">
        <f>""</f>
        <v/>
      </c>
      <c r="BH1528" t="str">
        <f>""</f>
        <v/>
      </c>
      <c r="BI1528" t="str">
        <f>""</f>
        <v/>
      </c>
      <c r="BJ1528" t="str">
        <f>""</f>
        <v/>
      </c>
      <c r="BK1528">
        <v>1</v>
      </c>
      <c r="BL1528" t="s">
        <v>107</v>
      </c>
      <c r="BM1528" t="str">
        <f>"SunTrust Banks, Inc"</f>
        <v>SunTrust Banks, Inc</v>
      </c>
      <c r="BN1528" t="s">
        <v>12009</v>
      </c>
      <c r="BP1528" t="s">
        <v>213</v>
      </c>
      <c r="BQ1528" t="s">
        <v>214</v>
      </c>
      <c r="BR1528" t="s">
        <v>215</v>
      </c>
      <c r="BS1528" s="5">
        <v>30308</v>
      </c>
      <c r="BT1528" s="2">
        <v>91686</v>
      </c>
      <c r="BV1528" t="s">
        <v>105</v>
      </c>
      <c r="BW1528" s="2">
        <v>91686</v>
      </c>
      <c r="BX1528" t="s">
        <v>105</v>
      </c>
      <c r="BZ1528" t="s">
        <v>123</v>
      </c>
      <c r="CA1528" t="str">
        <f t="shared" si="115"/>
        <v>7/1/2020 - 6/30/2021</v>
      </c>
      <c r="CF1528">
        <v>1</v>
      </c>
      <c r="CG1528" t="s">
        <v>98</v>
      </c>
      <c r="CH1528" t="s">
        <v>98</v>
      </c>
      <c r="CI1528" t="s">
        <v>206</v>
      </c>
      <c r="CJ1528" t="s">
        <v>98</v>
      </c>
      <c r="CK1528" t="s">
        <v>12323</v>
      </c>
      <c r="CL1528" t="s">
        <v>108</v>
      </c>
      <c r="CM1528" t="s">
        <v>109</v>
      </c>
      <c r="CN1528" t="str">
        <f>"JAYARAM"</f>
        <v>JAYARAM</v>
      </c>
      <c r="CO1528" t="str">
        <f>"SUSHMA"</f>
        <v>SUSHMA</v>
      </c>
      <c r="CP1528" t="str">
        <f>""</f>
        <v/>
      </c>
      <c r="CQ1528" t="str">
        <f>"INFOSYS LIMITED"</f>
        <v>INFOSYS LIMITED</v>
      </c>
      <c r="CR1528" t="s">
        <v>3699</v>
      </c>
    </row>
    <row r="1529" spans="1:96" x14ac:dyDescent="0.2">
      <c r="A1529" t="s">
        <v>12026</v>
      </c>
      <c r="B1529" t="s">
        <v>96</v>
      </c>
      <c r="C1529" s="1">
        <v>44099</v>
      </c>
      <c r="D1529" s="1">
        <v>44106</v>
      </c>
      <c r="F1529" t="s">
        <v>97</v>
      </c>
      <c r="G1529" t="str">
        <f>"Software Engineer"</f>
        <v>Software Engineer</v>
      </c>
      <c r="H1529" t="s">
        <v>12169</v>
      </c>
      <c r="I1529" t="s">
        <v>124</v>
      </c>
      <c r="J1529" t="s">
        <v>98</v>
      </c>
      <c r="K1529" s="1">
        <v>44271</v>
      </c>
      <c r="L1529" s="1">
        <v>45366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 t="s">
        <v>12027</v>
      </c>
      <c r="U1529" t="str">
        <f>""</f>
        <v/>
      </c>
      <c r="V1529" t="s">
        <v>12028</v>
      </c>
      <c r="W1529" t="str">
        <f>"SUITE-518"</f>
        <v>SUITE-518</v>
      </c>
      <c r="X1529" t="s">
        <v>4754</v>
      </c>
      <c r="Y1529" t="s">
        <v>1035</v>
      </c>
      <c r="Z1529" s="3">
        <v>3110</v>
      </c>
      <c r="AA1529" t="s">
        <v>101</v>
      </c>
      <c r="AC1529" s="4" t="str">
        <f>"+16035917466"</f>
        <v>+16035917466</v>
      </c>
      <c r="AE1529" t="str">
        <f t="shared" si="117"/>
        <v>541511</v>
      </c>
      <c r="AF1529" t="s">
        <v>12029</v>
      </c>
      <c r="AG1529" t="s">
        <v>12030</v>
      </c>
      <c r="AH1529" t="s">
        <v>108</v>
      </c>
      <c r="AI1529" t="s">
        <v>1586</v>
      </c>
      <c r="AJ1529" t="s">
        <v>12028</v>
      </c>
      <c r="AK1529" t="str">
        <f>"SUITE 518"</f>
        <v>SUITE 518</v>
      </c>
      <c r="AL1529" t="s">
        <v>4754</v>
      </c>
      <c r="AM1529" t="s">
        <v>1035</v>
      </c>
      <c r="AN1529" s="3">
        <v>3110</v>
      </c>
      <c r="AO1529" t="s">
        <v>101</v>
      </c>
      <c r="AQ1529" t="str">
        <f>"+16035917466"</f>
        <v>+16035917466</v>
      </c>
      <c r="AS1529" t="s">
        <v>12031</v>
      </c>
      <c r="AT1529" t="s">
        <v>107</v>
      </c>
      <c r="AU1529" t="str">
        <f>"KENNEDY"</f>
        <v>KENNEDY</v>
      </c>
      <c r="AV1529" t="str">
        <f>"ADAIKALA MARY"</f>
        <v>ADAIKALA MARY</v>
      </c>
      <c r="AW1529" t="str">
        <f>""</f>
        <v/>
      </c>
      <c r="AX1529" t="str">
        <f>"1111 PLAZA DRIVE"</f>
        <v>1111 PLAZA DRIVE</v>
      </c>
      <c r="AY1529" t="str">
        <f>"SUITE 500"</f>
        <v>SUITE 500</v>
      </c>
      <c r="AZ1529" t="str">
        <f>"SCHAUMBURG"</f>
        <v>SCHAUMBURG</v>
      </c>
      <c r="BA1529" t="str">
        <f>"IL"</f>
        <v>IL</v>
      </c>
      <c r="BB1529" s="3">
        <v>60173</v>
      </c>
      <c r="BC1529" t="str">
        <f>"UNITED STATES OF AMERICA"</f>
        <v>UNITED STATES OF AMERICA</v>
      </c>
      <c r="BD1529" t="str">
        <f>""</f>
        <v/>
      </c>
      <c r="BE1529" t="str">
        <f>"+18472201560"</f>
        <v>+18472201560</v>
      </c>
      <c r="BF1529" t="str">
        <f>""</f>
        <v/>
      </c>
      <c r="BG1529" t="str">
        <f>"LEGAL@MKIMMIGRATIONLAW.COM"</f>
        <v>LEGAL@MKIMMIGRATIONLAW.COM</v>
      </c>
      <c r="BH1529" t="str">
        <f>"LAW OFFICES OF MARY KENNEDY, LLC"</f>
        <v>LAW OFFICES OF MARY KENNEDY, LLC</v>
      </c>
      <c r="BI1529" t="str">
        <f>"OR"</f>
        <v>OR</v>
      </c>
      <c r="BJ1529" t="str">
        <f>"SUPREME COURT, OR"</f>
        <v>SUPREME COURT, OR</v>
      </c>
      <c r="BK1529">
        <v>1</v>
      </c>
      <c r="BL1529" t="s">
        <v>107</v>
      </c>
      <c r="BM1529" t="str">
        <f>"Verizon"</f>
        <v>Verizon</v>
      </c>
      <c r="BN1529" t="s">
        <v>3568</v>
      </c>
      <c r="BP1529" t="s">
        <v>483</v>
      </c>
      <c r="BQ1529" t="s">
        <v>484</v>
      </c>
      <c r="BR1529" t="s">
        <v>114</v>
      </c>
      <c r="BS1529" s="5">
        <v>75038</v>
      </c>
      <c r="BT1529" s="2">
        <v>93558</v>
      </c>
      <c r="BV1529" t="s">
        <v>105</v>
      </c>
      <c r="BW1529" s="2">
        <v>93558</v>
      </c>
      <c r="BX1529" t="s">
        <v>105</v>
      </c>
      <c r="BZ1529" t="s">
        <v>167</v>
      </c>
      <c r="CA1529" t="str">
        <f t="shared" ref="CA1529:CA1552" si="118">"7/1/2020 - 6/30/2021"</f>
        <v>7/1/2020 - 6/30/2021</v>
      </c>
      <c r="CF1529">
        <v>1</v>
      </c>
      <c r="CG1529" t="s">
        <v>98</v>
      </c>
      <c r="CH1529" t="s">
        <v>98</v>
      </c>
      <c r="CI1529" t="s">
        <v>206</v>
      </c>
      <c r="CJ1529" t="s">
        <v>98</v>
      </c>
      <c r="CK1529" t="s">
        <v>12323</v>
      </c>
      <c r="CL1529" t="s">
        <v>108</v>
      </c>
      <c r="CM1529" t="s">
        <v>109</v>
      </c>
      <c r="CN1529" t="str">
        <f>"KENNEDY"</f>
        <v>KENNEDY</v>
      </c>
      <c r="CO1529" t="str">
        <f>"ADAIKALA MARY"</f>
        <v>ADAIKALA MARY</v>
      </c>
      <c r="CP1529" t="str">
        <f>""</f>
        <v/>
      </c>
      <c r="CQ1529" t="str">
        <f>"LAW OFFICES OF MARY KENNEDY, LLC"</f>
        <v>LAW OFFICES OF MARY KENNEDY, LLC</v>
      </c>
      <c r="CR1529" t="s">
        <v>2363</v>
      </c>
    </row>
    <row r="1530" spans="1:96" x14ac:dyDescent="0.2">
      <c r="A1530" t="s">
        <v>12052</v>
      </c>
      <c r="B1530" t="s">
        <v>96</v>
      </c>
      <c r="C1530" s="1">
        <v>44099</v>
      </c>
      <c r="D1530" s="1">
        <v>44106</v>
      </c>
      <c r="F1530" t="s">
        <v>97</v>
      </c>
      <c r="G1530" t="str">
        <f>"Manager JC50"</f>
        <v>Manager JC50</v>
      </c>
      <c r="H1530" t="s">
        <v>12181</v>
      </c>
      <c r="I1530" t="s">
        <v>110</v>
      </c>
      <c r="J1530" t="s">
        <v>98</v>
      </c>
      <c r="K1530" s="1">
        <v>44107</v>
      </c>
      <c r="L1530" s="1">
        <v>45201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 t="s">
        <v>111</v>
      </c>
      <c r="U1530" t="str">
        <f>"CTSUS"</f>
        <v>CTSUS</v>
      </c>
      <c r="V1530" t="s">
        <v>112</v>
      </c>
      <c r="W1530" t="str">
        <f>""</f>
        <v/>
      </c>
      <c r="X1530" t="s">
        <v>113</v>
      </c>
      <c r="Y1530" t="s">
        <v>114</v>
      </c>
      <c r="Z1530" s="3">
        <v>77845</v>
      </c>
      <c r="AA1530" t="s">
        <v>101</v>
      </c>
      <c r="AB1530" t="s">
        <v>114</v>
      </c>
      <c r="AC1530" s="4" t="str">
        <f>"+19793296682"</f>
        <v>+19793296682</v>
      </c>
      <c r="AE1530" t="str">
        <f>"541512"</f>
        <v>541512</v>
      </c>
      <c r="AF1530" t="s">
        <v>115</v>
      </c>
      <c r="AG1530" t="s">
        <v>116</v>
      </c>
      <c r="AH1530" t="s">
        <v>108</v>
      </c>
      <c r="AI1530" t="s">
        <v>117</v>
      </c>
      <c r="AJ1530" t="s">
        <v>118</v>
      </c>
      <c r="AK1530" t="str">
        <f>""</f>
        <v/>
      </c>
      <c r="AL1530" t="s">
        <v>119</v>
      </c>
      <c r="AM1530" t="s">
        <v>114</v>
      </c>
      <c r="AN1530" s="3">
        <v>77845</v>
      </c>
      <c r="AO1530" t="s">
        <v>101</v>
      </c>
      <c r="AQ1530" t="str">
        <f>"+19793296682"</f>
        <v>+19793296682</v>
      </c>
      <c r="AS1530" t="s">
        <v>120</v>
      </c>
      <c r="AT1530" t="s">
        <v>102</v>
      </c>
      <c r="AU1530" t="str">
        <f>""</f>
        <v/>
      </c>
      <c r="AV1530" t="str">
        <f>""</f>
        <v/>
      </c>
      <c r="AW1530" t="str">
        <f>""</f>
        <v/>
      </c>
      <c r="AX1530" t="str">
        <f>""</f>
        <v/>
      </c>
      <c r="AY1530" t="str">
        <f>""</f>
        <v/>
      </c>
      <c r="AZ1530" t="str">
        <f>""</f>
        <v/>
      </c>
      <c r="BA1530" t="str">
        <f>""</f>
        <v/>
      </c>
      <c r="BC1530" t="str">
        <f>""</f>
        <v/>
      </c>
      <c r="BD1530" t="str">
        <f>""</f>
        <v/>
      </c>
      <c r="BE1530" t="str">
        <f>""</f>
        <v/>
      </c>
      <c r="BF1530" t="str">
        <f>""</f>
        <v/>
      </c>
      <c r="BG1530" t="str">
        <f>""</f>
        <v/>
      </c>
      <c r="BH1530" t="str">
        <f>""</f>
        <v/>
      </c>
      <c r="BI1530" t="str">
        <f>""</f>
        <v/>
      </c>
      <c r="BJ1530" t="str">
        <f>""</f>
        <v/>
      </c>
      <c r="BK1530">
        <v>1</v>
      </c>
      <c r="BL1530" t="s">
        <v>107</v>
      </c>
      <c r="BM1530" t="str">
        <f>"BNY Mellon"</f>
        <v>BNY Mellon</v>
      </c>
      <c r="BN1530" t="s">
        <v>12053</v>
      </c>
      <c r="BP1530" t="s">
        <v>333</v>
      </c>
      <c r="BQ1530" t="s">
        <v>861</v>
      </c>
      <c r="BR1530" t="s">
        <v>127</v>
      </c>
      <c r="BS1530" s="5">
        <v>15219</v>
      </c>
      <c r="BT1530" s="2">
        <v>93496</v>
      </c>
      <c r="BV1530" t="s">
        <v>105</v>
      </c>
      <c r="BW1530" s="2">
        <v>93496</v>
      </c>
      <c r="BX1530" t="s">
        <v>105</v>
      </c>
      <c r="BZ1530" t="s">
        <v>123</v>
      </c>
      <c r="CA1530" t="str">
        <f t="shared" si="118"/>
        <v>7/1/2020 - 6/30/2021</v>
      </c>
      <c r="CF1530">
        <v>1</v>
      </c>
      <c r="CG1530" t="s">
        <v>98</v>
      </c>
      <c r="CH1530" t="s">
        <v>98</v>
      </c>
      <c r="CI1530" t="s">
        <v>206</v>
      </c>
      <c r="CJ1530" t="s">
        <v>98</v>
      </c>
      <c r="CK1530" t="s">
        <v>12323</v>
      </c>
      <c r="CL1530" t="s">
        <v>108</v>
      </c>
      <c r="CM1530" t="s">
        <v>109</v>
      </c>
      <c r="CN1530" t="str">
        <f>""</f>
        <v/>
      </c>
      <c r="CO1530" t="str">
        <f>""</f>
        <v/>
      </c>
      <c r="CP1530" t="str">
        <f>""</f>
        <v/>
      </c>
      <c r="CQ1530" t="str">
        <f>""</f>
        <v/>
      </c>
    </row>
    <row r="1531" spans="1:96" x14ac:dyDescent="0.2">
      <c r="A1531" t="s">
        <v>12060</v>
      </c>
      <c r="B1531" t="s">
        <v>96</v>
      </c>
      <c r="C1531" s="1">
        <v>44099</v>
      </c>
      <c r="D1531" s="1">
        <v>44106</v>
      </c>
      <c r="F1531" t="s">
        <v>97</v>
      </c>
      <c r="G1531" t="str">
        <f>"System Engineer"</f>
        <v>System Engineer</v>
      </c>
      <c r="H1531" t="s">
        <v>12169</v>
      </c>
      <c r="I1531" t="s">
        <v>124</v>
      </c>
      <c r="J1531" t="s">
        <v>98</v>
      </c>
      <c r="K1531" s="1">
        <v>44109</v>
      </c>
      <c r="L1531" s="1">
        <v>44795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 t="s">
        <v>5970</v>
      </c>
      <c r="U1531" t="str">
        <f>""</f>
        <v/>
      </c>
      <c r="V1531" t="s">
        <v>5971</v>
      </c>
      <c r="W1531" t="str">
        <f>"Suite 3020 "</f>
        <v xml:space="preserve">Suite 3020 </v>
      </c>
      <c r="X1531" t="s">
        <v>483</v>
      </c>
      <c r="Y1531" t="s">
        <v>114</v>
      </c>
      <c r="Z1531" s="3">
        <v>75063</v>
      </c>
      <c r="AA1531" t="s">
        <v>101</v>
      </c>
      <c r="AC1531" s="4" t="str">
        <f>"+19729296600"</f>
        <v>+19729296600</v>
      </c>
      <c r="AE1531" t="str">
        <f>"541511"</f>
        <v>541511</v>
      </c>
      <c r="AF1531" t="s">
        <v>1180</v>
      </c>
      <c r="AG1531" t="s">
        <v>5972</v>
      </c>
      <c r="AH1531" t="s">
        <v>108</v>
      </c>
      <c r="AI1531" t="s">
        <v>1789</v>
      </c>
      <c r="AJ1531" t="s">
        <v>5971</v>
      </c>
      <c r="AK1531" t="str">
        <f>" Suite 3020 "</f>
        <v xml:space="preserve"> Suite 3020 </v>
      </c>
      <c r="AL1531" t="s">
        <v>483</v>
      </c>
      <c r="AM1531" t="s">
        <v>114</v>
      </c>
      <c r="AN1531" s="3">
        <v>75063</v>
      </c>
      <c r="AO1531" t="s">
        <v>101</v>
      </c>
      <c r="AQ1531" t="str">
        <f>"+19729296600"</f>
        <v>+19729296600</v>
      </c>
      <c r="AS1531" t="s">
        <v>5973</v>
      </c>
      <c r="AT1531" t="s">
        <v>102</v>
      </c>
      <c r="AU1531" t="str">
        <f>""</f>
        <v/>
      </c>
      <c r="AV1531" t="str">
        <f>""</f>
        <v/>
      </c>
      <c r="AW1531" t="str">
        <f>""</f>
        <v/>
      </c>
      <c r="AX1531" t="str">
        <f>""</f>
        <v/>
      </c>
      <c r="AY1531" t="str">
        <f>""</f>
        <v/>
      </c>
      <c r="AZ1531" t="str">
        <f>""</f>
        <v/>
      </c>
      <c r="BA1531" t="str">
        <f>""</f>
        <v/>
      </c>
      <c r="BC1531" t="str">
        <f>""</f>
        <v/>
      </c>
      <c r="BD1531" t="str">
        <f>""</f>
        <v/>
      </c>
      <c r="BE1531" t="str">
        <f>""</f>
        <v/>
      </c>
      <c r="BF1531" t="str">
        <f>""</f>
        <v/>
      </c>
      <c r="BG1531" t="str">
        <f>""</f>
        <v/>
      </c>
      <c r="BH1531" t="str">
        <f>""</f>
        <v/>
      </c>
      <c r="BI1531" t="str">
        <f>""</f>
        <v/>
      </c>
      <c r="BJ1531" t="str">
        <f>""</f>
        <v/>
      </c>
      <c r="BK1531">
        <v>1</v>
      </c>
      <c r="BL1531" t="s">
        <v>107</v>
      </c>
      <c r="BM1531" t="str">
        <f>"At &amp;T"</f>
        <v>At &amp;T</v>
      </c>
      <c r="BN1531" t="s">
        <v>4720</v>
      </c>
      <c r="BP1531" t="s">
        <v>297</v>
      </c>
      <c r="BQ1531" t="s">
        <v>556</v>
      </c>
      <c r="BR1531" t="s">
        <v>114</v>
      </c>
      <c r="BS1531" s="5">
        <v>75075</v>
      </c>
      <c r="BT1531" s="2">
        <v>76752</v>
      </c>
      <c r="BU1531" s="2">
        <v>77000</v>
      </c>
      <c r="BV1531" t="s">
        <v>105</v>
      </c>
      <c r="BW1531" s="2">
        <v>76752</v>
      </c>
      <c r="BX1531" t="s">
        <v>105</v>
      </c>
      <c r="BZ1531" t="s">
        <v>191</v>
      </c>
      <c r="CA1531" t="str">
        <f t="shared" si="118"/>
        <v>7/1/2020 - 6/30/2021</v>
      </c>
      <c r="CF1531">
        <v>1</v>
      </c>
      <c r="CG1531" t="s">
        <v>98</v>
      </c>
      <c r="CH1531" t="s">
        <v>98</v>
      </c>
      <c r="CI1531" t="s">
        <v>206</v>
      </c>
      <c r="CJ1531" t="s">
        <v>98</v>
      </c>
      <c r="CK1531" t="s">
        <v>12323</v>
      </c>
      <c r="CL1531" t="s">
        <v>108</v>
      </c>
      <c r="CM1531" t="s">
        <v>109</v>
      </c>
      <c r="CN1531" t="str">
        <f>""</f>
        <v/>
      </c>
      <c r="CO1531" t="str">
        <f>""</f>
        <v/>
      </c>
      <c r="CP1531" t="str">
        <f>""</f>
        <v/>
      </c>
      <c r="CQ1531" t="str">
        <f>""</f>
        <v/>
      </c>
    </row>
    <row r="1532" spans="1:96" x14ac:dyDescent="0.2">
      <c r="A1532" t="s">
        <v>12098</v>
      </c>
      <c r="B1532" t="s">
        <v>96</v>
      </c>
      <c r="C1532" s="1">
        <v>44099</v>
      </c>
      <c r="D1532" s="1">
        <v>44106</v>
      </c>
      <c r="F1532" t="s">
        <v>97</v>
      </c>
      <c r="G1532" t="str">
        <f>"Applications Consultant 4"</f>
        <v>Applications Consultant 4</v>
      </c>
      <c r="H1532" t="s">
        <v>12169</v>
      </c>
      <c r="I1532" t="s">
        <v>124</v>
      </c>
      <c r="J1532" t="s">
        <v>98</v>
      </c>
      <c r="K1532" s="1">
        <v>44099</v>
      </c>
      <c r="L1532" s="1">
        <v>45182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 t="s">
        <v>1421</v>
      </c>
      <c r="U1532" t="str">
        <f>""</f>
        <v/>
      </c>
      <c r="V1532" t="s">
        <v>1422</v>
      </c>
      <c r="W1532" t="str">
        <f>"SUITE 300"</f>
        <v>SUITE 300</v>
      </c>
      <c r="X1532" t="s">
        <v>843</v>
      </c>
      <c r="Y1532" t="s">
        <v>345</v>
      </c>
      <c r="Z1532" s="3">
        <v>60606</v>
      </c>
      <c r="AA1532" t="s">
        <v>101</v>
      </c>
      <c r="AC1532" s="4" t="str">
        <f>"+13123955000"</f>
        <v>+13123955000</v>
      </c>
      <c r="AE1532" t="str">
        <f>"5416"</f>
        <v>5416</v>
      </c>
      <c r="AF1532" t="s">
        <v>1423</v>
      </c>
      <c r="AG1532" t="s">
        <v>1424</v>
      </c>
      <c r="AI1532" t="s">
        <v>1425</v>
      </c>
      <c r="AJ1532" t="s">
        <v>1422</v>
      </c>
      <c r="AK1532" t="str">
        <f>"SUITE 300"</f>
        <v>SUITE 300</v>
      </c>
      <c r="AL1532" t="s">
        <v>843</v>
      </c>
      <c r="AM1532" t="s">
        <v>345</v>
      </c>
      <c r="AN1532" s="3">
        <v>60606</v>
      </c>
      <c r="AO1532" t="s">
        <v>101</v>
      </c>
      <c r="AQ1532" t="str">
        <f>"+13123958209"</f>
        <v>+13123958209</v>
      </c>
      <c r="AS1532" t="s">
        <v>1426</v>
      </c>
      <c r="AT1532" t="s">
        <v>102</v>
      </c>
      <c r="AU1532" t="str">
        <f>""</f>
        <v/>
      </c>
      <c r="AV1532" t="str">
        <f>""</f>
        <v/>
      </c>
      <c r="AW1532" t="str">
        <f>""</f>
        <v/>
      </c>
      <c r="AX1532" t="str">
        <f>""</f>
        <v/>
      </c>
      <c r="AY1532" t="str">
        <f>""</f>
        <v/>
      </c>
      <c r="AZ1532" t="str">
        <f>""</f>
        <v/>
      </c>
      <c r="BA1532" t="str">
        <f>""</f>
        <v/>
      </c>
      <c r="BC1532" t="str">
        <f>""</f>
        <v/>
      </c>
      <c r="BD1532" t="str">
        <f>""</f>
        <v/>
      </c>
      <c r="BE1532" t="str">
        <f>""</f>
        <v/>
      </c>
      <c r="BF1532" t="str">
        <f>""</f>
        <v/>
      </c>
      <c r="BG1532" t="str">
        <f>""</f>
        <v/>
      </c>
      <c r="BH1532" t="str">
        <f>""</f>
        <v/>
      </c>
      <c r="BI1532" t="str">
        <f>""</f>
        <v/>
      </c>
      <c r="BJ1532" t="str">
        <f>""</f>
        <v/>
      </c>
      <c r="BK1532">
        <v>1</v>
      </c>
      <c r="BL1532" t="s">
        <v>102</v>
      </c>
      <c r="BM1532" t="str">
        <f>""</f>
        <v/>
      </c>
      <c r="BN1532" t="s">
        <v>12099</v>
      </c>
      <c r="BP1532" t="s">
        <v>4091</v>
      </c>
      <c r="BQ1532" t="s">
        <v>2685</v>
      </c>
      <c r="BR1532" t="s">
        <v>594</v>
      </c>
      <c r="BS1532" s="5">
        <v>29708</v>
      </c>
      <c r="BT1532" s="2">
        <v>122616</v>
      </c>
      <c r="BU1532" s="2">
        <v>137138</v>
      </c>
      <c r="BV1532" t="s">
        <v>105</v>
      </c>
      <c r="BW1532" s="2">
        <v>122616</v>
      </c>
      <c r="BX1532" t="s">
        <v>105</v>
      </c>
      <c r="BZ1532" t="s">
        <v>159</v>
      </c>
      <c r="CA1532" t="str">
        <f t="shared" si="118"/>
        <v>7/1/2020 - 6/30/2021</v>
      </c>
      <c r="CF1532">
        <v>1</v>
      </c>
      <c r="CG1532" t="s">
        <v>98</v>
      </c>
      <c r="CH1532" t="s">
        <v>98</v>
      </c>
      <c r="CI1532" t="s">
        <v>206</v>
      </c>
      <c r="CJ1532" t="s">
        <v>98</v>
      </c>
      <c r="CK1532" t="s">
        <v>12323</v>
      </c>
      <c r="CL1532" t="s">
        <v>108</v>
      </c>
      <c r="CM1532" t="s">
        <v>109</v>
      </c>
      <c r="CN1532" t="str">
        <f>""</f>
        <v/>
      </c>
      <c r="CO1532" t="str">
        <f>""</f>
        <v/>
      </c>
      <c r="CP1532" t="str">
        <f>""</f>
        <v/>
      </c>
      <c r="CQ1532" t="str">
        <f>""</f>
        <v/>
      </c>
    </row>
    <row r="1533" spans="1:96" x14ac:dyDescent="0.2">
      <c r="A1533" t="s">
        <v>12104</v>
      </c>
      <c r="B1533" t="s">
        <v>96</v>
      </c>
      <c r="C1533" s="1">
        <v>44099</v>
      </c>
      <c r="D1533" s="1">
        <v>44106</v>
      </c>
      <c r="F1533" t="s">
        <v>97</v>
      </c>
      <c r="G1533" t="str">
        <f>"SOFTWARE ENGINEER"</f>
        <v>SOFTWARE ENGINEER</v>
      </c>
      <c r="H1533" t="s">
        <v>12169</v>
      </c>
      <c r="I1533" t="s">
        <v>124</v>
      </c>
      <c r="J1533" t="s">
        <v>98</v>
      </c>
      <c r="K1533" s="1">
        <v>44099</v>
      </c>
      <c r="L1533" s="1">
        <v>45193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 t="s">
        <v>1588</v>
      </c>
      <c r="U1533" t="str">
        <f>""</f>
        <v/>
      </c>
      <c r="V1533" t="s">
        <v>1589</v>
      </c>
      <c r="W1533" t="str">
        <f>""</f>
        <v/>
      </c>
      <c r="X1533" t="s">
        <v>535</v>
      </c>
      <c r="Y1533" t="s">
        <v>100</v>
      </c>
      <c r="Z1533" s="3">
        <v>8873</v>
      </c>
      <c r="AA1533" t="s">
        <v>101</v>
      </c>
      <c r="AC1533" s="4" t="str">
        <f>"+17327260593"</f>
        <v>+17327260593</v>
      </c>
      <c r="AE1533" t="str">
        <f>"541511"</f>
        <v>541511</v>
      </c>
      <c r="AF1533" t="s">
        <v>1590</v>
      </c>
      <c r="AG1533" t="s">
        <v>1591</v>
      </c>
      <c r="AI1533" t="s">
        <v>1586</v>
      </c>
      <c r="AJ1533" t="s">
        <v>1589</v>
      </c>
      <c r="AK1533" t="str">
        <f>""</f>
        <v/>
      </c>
      <c r="AL1533" t="s">
        <v>535</v>
      </c>
      <c r="AM1533" t="s">
        <v>100</v>
      </c>
      <c r="AN1533" s="3">
        <v>8873</v>
      </c>
      <c r="AO1533" t="s">
        <v>101</v>
      </c>
      <c r="AQ1533" t="str">
        <f>"+17327260593"</f>
        <v>+17327260593</v>
      </c>
      <c r="AS1533" t="s">
        <v>1592</v>
      </c>
      <c r="AT1533" t="s">
        <v>102</v>
      </c>
      <c r="AU1533" t="str">
        <f>""</f>
        <v/>
      </c>
      <c r="AV1533" t="str">
        <f>""</f>
        <v/>
      </c>
      <c r="AW1533" t="str">
        <f>""</f>
        <v/>
      </c>
      <c r="AX1533" t="str">
        <f>""</f>
        <v/>
      </c>
      <c r="AY1533" t="str">
        <f>""</f>
        <v/>
      </c>
      <c r="AZ1533" t="str">
        <f>""</f>
        <v/>
      </c>
      <c r="BA1533" t="str">
        <f>""</f>
        <v/>
      </c>
      <c r="BC1533" t="str">
        <f>""</f>
        <v/>
      </c>
      <c r="BD1533" t="str">
        <f>""</f>
        <v/>
      </c>
      <c r="BE1533" t="str">
        <f>""</f>
        <v/>
      </c>
      <c r="BF1533" t="str">
        <f>""</f>
        <v/>
      </c>
      <c r="BG1533" t="str">
        <f>""</f>
        <v/>
      </c>
      <c r="BH1533" t="str">
        <f>""</f>
        <v/>
      </c>
      <c r="BI1533" t="str">
        <f>""</f>
        <v/>
      </c>
      <c r="BJ1533" t="str">
        <f>""</f>
        <v/>
      </c>
      <c r="BK1533">
        <v>1</v>
      </c>
      <c r="BL1533" t="s">
        <v>102</v>
      </c>
      <c r="BM1533" t="str">
        <f>""</f>
        <v/>
      </c>
      <c r="BN1533" t="s">
        <v>6183</v>
      </c>
      <c r="BO1533" t="s">
        <v>3312</v>
      </c>
      <c r="BP1533" t="s">
        <v>277</v>
      </c>
      <c r="BQ1533" t="s">
        <v>189</v>
      </c>
      <c r="BR1533" t="s">
        <v>190</v>
      </c>
      <c r="BS1533" s="5">
        <v>10017</v>
      </c>
      <c r="BT1533" s="2">
        <v>100526</v>
      </c>
      <c r="BU1533" s="2">
        <v>122221</v>
      </c>
      <c r="BV1533" t="s">
        <v>105</v>
      </c>
      <c r="BW1533" s="2">
        <v>100526</v>
      </c>
      <c r="BX1533" t="s">
        <v>105</v>
      </c>
      <c r="BZ1533" t="s">
        <v>167</v>
      </c>
      <c r="CA1533" t="str">
        <f t="shared" si="118"/>
        <v>7/1/2020 - 6/30/2021</v>
      </c>
      <c r="CF1533">
        <v>1</v>
      </c>
      <c r="CG1533" t="s">
        <v>98</v>
      </c>
      <c r="CH1533" t="s">
        <v>98</v>
      </c>
      <c r="CI1533" t="s">
        <v>206</v>
      </c>
      <c r="CJ1533" t="s">
        <v>98</v>
      </c>
      <c r="CK1533" t="s">
        <v>12323</v>
      </c>
      <c r="CL1533" t="s">
        <v>108</v>
      </c>
      <c r="CM1533" t="s">
        <v>109</v>
      </c>
      <c r="CN1533" t="str">
        <f>""</f>
        <v/>
      </c>
      <c r="CO1533" t="str">
        <f>""</f>
        <v/>
      </c>
      <c r="CP1533" t="str">
        <f>""</f>
        <v/>
      </c>
      <c r="CQ1533" t="str">
        <f>""</f>
        <v/>
      </c>
    </row>
    <row r="1534" spans="1:96" x14ac:dyDescent="0.2">
      <c r="A1534" t="s">
        <v>12106</v>
      </c>
      <c r="B1534" t="s">
        <v>96</v>
      </c>
      <c r="C1534" s="1">
        <v>44099</v>
      </c>
      <c r="D1534" s="1">
        <v>44106</v>
      </c>
      <c r="F1534" t="s">
        <v>97</v>
      </c>
      <c r="G1534" t="str">
        <f>"Azure Security Engineer - Log Analytics"</f>
        <v>Azure Security Engineer - Log Analytics</v>
      </c>
      <c r="H1534" t="s">
        <v>12169</v>
      </c>
      <c r="I1534" t="s">
        <v>124</v>
      </c>
      <c r="J1534" t="s">
        <v>98</v>
      </c>
      <c r="K1534" s="1">
        <v>44099</v>
      </c>
      <c r="L1534" s="1">
        <v>45193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 t="s">
        <v>9852</v>
      </c>
      <c r="U1534" t="str">
        <f>""</f>
        <v/>
      </c>
      <c r="V1534" t="s">
        <v>9853</v>
      </c>
      <c r="W1534" t="str">
        <f>"Suite #205 D"</f>
        <v>Suite #205 D</v>
      </c>
      <c r="X1534" t="s">
        <v>308</v>
      </c>
      <c r="Y1534" t="s">
        <v>1776</v>
      </c>
      <c r="Z1534" s="3">
        <v>19702</v>
      </c>
      <c r="AA1534" t="s">
        <v>101</v>
      </c>
      <c r="AC1534" s="4" t="str">
        <f>"+14255239543"</f>
        <v>+14255239543</v>
      </c>
      <c r="AE1534" t="str">
        <f>"541511"</f>
        <v>541511</v>
      </c>
      <c r="AF1534" t="s">
        <v>9854</v>
      </c>
      <c r="AG1534" t="s">
        <v>4649</v>
      </c>
      <c r="AH1534" t="s">
        <v>9855</v>
      </c>
      <c r="AI1534" t="s">
        <v>629</v>
      </c>
      <c r="AJ1534" t="s">
        <v>9853</v>
      </c>
      <c r="AK1534" t="str">
        <f>"Suite #205 D"</f>
        <v>Suite #205 D</v>
      </c>
      <c r="AL1534" t="s">
        <v>308</v>
      </c>
      <c r="AM1534" t="s">
        <v>1776</v>
      </c>
      <c r="AN1534" s="3">
        <v>19702</v>
      </c>
      <c r="AO1534" t="s">
        <v>101</v>
      </c>
      <c r="AQ1534" t="str">
        <f>"+14255239543"</f>
        <v>+14255239543</v>
      </c>
      <c r="AS1534" t="s">
        <v>9856</v>
      </c>
      <c r="AT1534" t="s">
        <v>107</v>
      </c>
      <c r="AU1534" t="str">
        <f>"Mannam"</f>
        <v>Mannam</v>
      </c>
      <c r="AV1534" t="str">
        <f>"Ravi"</f>
        <v>Ravi</v>
      </c>
      <c r="AW1534" t="str">
        <f>""</f>
        <v/>
      </c>
      <c r="AX1534" t="str">
        <f>"3651 Peachtree Parkway"</f>
        <v>3651 Peachtree Parkway</v>
      </c>
      <c r="AY1534" t="str">
        <f>"Suite E-360"</f>
        <v>Suite E-360</v>
      </c>
      <c r="AZ1534" t="str">
        <f>"Suwanee"</f>
        <v>Suwanee</v>
      </c>
      <c r="BA1534" t="str">
        <f>"GA"</f>
        <v>GA</v>
      </c>
      <c r="BB1534" s="3">
        <v>30024</v>
      </c>
      <c r="BC1534" t="str">
        <f>"UNITED STATES OF AMERICA"</f>
        <v>UNITED STATES OF AMERICA</v>
      </c>
      <c r="BD1534" t="str">
        <f>""</f>
        <v/>
      </c>
      <c r="BE1534" t="str">
        <f>"+18775961761"</f>
        <v>+18775961761</v>
      </c>
      <c r="BF1534" t="str">
        <f>""</f>
        <v/>
      </c>
      <c r="BG1534" t="str">
        <f>"lawxpert@yahoo.com"</f>
        <v>lawxpert@yahoo.com</v>
      </c>
      <c r="BH1534" t="str">
        <f>"Mannam &amp; Associates, LLC"</f>
        <v>Mannam &amp; Associates, LLC</v>
      </c>
      <c r="BI1534" t="str">
        <f>"TN"</f>
        <v>TN</v>
      </c>
      <c r="BJ1534" t="str">
        <f>"Supreme Court"</f>
        <v>Supreme Court</v>
      </c>
      <c r="BK1534">
        <v>1</v>
      </c>
      <c r="BL1534" t="s">
        <v>107</v>
      </c>
      <c r="BM1534" t="str">
        <f>"Remote Work From Home for IPTIQ Americas, Inc."</f>
        <v>Remote Work From Home for IPTIQ Americas, Inc.</v>
      </c>
      <c r="BN1534" t="s">
        <v>12107</v>
      </c>
      <c r="BO1534" t="s">
        <v>12108</v>
      </c>
      <c r="BP1534" t="s">
        <v>182</v>
      </c>
      <c r="BQ1534" t="s">
        <v>183</v>
      </c>
      <c r="BR1534" t="s">
        <v>176</v>
      </c>
      <c r="BS1534" s="5">
        <v>98005</v>
      </c>
      <c r="BT1534" s="2">
        <v>124000</v>
      </c>
      <c r="BU1534" s="2">
        <v>125000</v>
      </c>
      <c r="BV1534" t="s">
        <v>105</v>
      </c>
      <c r="BW1534" s="2">
        <v>113110</v>
      </c>
      <c r="BX1534" t="s">
        <v>105</v>
      </c>
      <c r="BZ1534" t="s">
        <v>167</v>
      </c>
      <c r="CA1534" t="str">
        <f t="shared" si="118"/>
        <v>7/1/2020 - 6/30/2021</v>
      </c>
      <c r="CF1534">
        <v>2</v>
      </c>
      <c r="CG1534" t="s">
        <v>98</v>
      </c>
      <c r="CH1534" t="s">
        <v>98</v>
      </c>
      <c r="CI1534" t="s">
        <v>206</v>
      </c>
      <c r="CJ1534" t="s">
        <v>98</v>
      </c>
      <c r="CK1534" t="s">
        <v>12323</v>
      </c>
      <c r="CL1534" t="s">
        <v>108</v>
      </c>
      <c r="CM1534" t="s">
        <v>109</v>
      </c>
      <c r="CN1534" t="str">
        <f>"Sanoussi"</f>
        <v>Sanoussi</v>
      </c>
      <c r="CO1534" t="str">
        <f>"Sabirou"</f>
        <v>Sabirou</v>
      </c>
      <c r="CP1534" t="str">
        <f>"T"</f>
        <v>T</v>
      </c>
      <c r="CQ1534" t="str">
        <f>"Mannam &amp; Associates, LLC"</f>
        <v>Mannam &amp; Associates, LLC</v>
      </c>
      <c r="CR1534" t="s">
        <v>3265</v>
      </c>
    </row>
    <row r="1535" spans="1:96" x14ac:dyDescent="0.2">
      <c r="A1535" t="s">
        <v>12124</v>
      </c>
      <c r="B1535" t="s">
        <v>96</v>
      </c>
      <c r="C1535" s="1">
        <v>44099</v>
      </c>
      <c r="D1535" s="1">
        <v>44106</v>
      </c>
      <c r="F1535" t="s">
        <v>97</v>
      </c>
      <c r="G1535" t="str">
        <f>"Programmer Analyst"</f>
        <v>Programmer Analyst</v>
      </c>
      <c r="H1535" t="s">
        <v>12181</v>
      </c>
      <c r="I1535" t="s">
        <v>110</v>
      </c>
      <c r="J1535" t="s">
        <v>98</v>
      </c>
      <c r="K1535" s="1">
        <v>44207</v>
      </c>
      <c r="L1535" s="1">
        <v>45301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 t="s">
        <v>5136</v>
      </c>
      <c r="U1535" t="str">
        <f>""</f>
        <v/>
      </c>
      <c r="V1535" t="s">
        <v>5137</v>
      </c>
      <c r="W1535" t="str">
        <f>"Suite 210"</f>
        <v>Suite 210</v>
      </c>
      <c r="X1535" t="s">
        <v>5138</v>
      </c>
      <c r="Y1535" t="s">
        <v>127</v>
      </c>
      <c r="Z1535" s="3">
        <v>15317</v>
      </c>
      <c r="AA1535" t="s">
        <v>101</v>
      </c>
      <c r="AB1535" t="s">
        <v>127</v>
      </c>
      <c r="AC1535" s="4" t="str">
        <f>"+17247457100"</f>
        <v>+17247457100</v>
      </c>
      <c r="AE1535" t="str">
        <f>"541511"</f>
        <v>541511</v>
      </c>
      <c r="AF1535" t="s">
        <v>4058</v>
      </c>
      <c r="AG1535" t="s">
        <v>964</v>
      </c>
      <c r="AH1535" t="s">
        <v>1032</v>
      </c>
      <c r="AI1535" t="s">
        <v>5139</v>
      </c>
      <c r="AJ1535" t="s">
        <v>5140</v>
      </c>
      <c r="AK1535" t="str">
        <f>"STE 210"</f>
        <v>STE 210</v>
      </c>
      <c r="AL1535" t="s">
        <v>5141</v>
      </c>
      <c r="AM1535" t="s">
        <v>127</v>
      </c>
      <c r="AN1535" s="3">
        <v>15317</v>
      </c>
      <c r="AO1535" t="s">
        <v>101</v>
      </c>
      <c r="AQ1535" t="str">
        <f>"+17245147100"</f>
        <v>+17245147100</v>
      </c>
      <c r="AR1535">
        <v>5667</v>
      </c>
      <c r="AS1535" t="s">
        <v>5142</v>
      </c>
      <c r="AT1535" t="s">
        <v>102</v>
      </c>
      <c r="AU1535" t="str">
        <f>""</f>
        <v/>
      </c>
      <c r="AV1535" t="str">
        <f>""</f>
        <v/>
      </c>
      <c r="AW1535" t="str">
        <f>""</f>
        <v/>
      </c>
      <c r="AX1535" t="str">
        <f>""</f>
        <v/>
      </c>
      <c r="AY1535" t="str">
        <f>""</f>
        <v/>
      </c>
      <c r="AZ1535" t="str">
        <f>""</f>
        <v/>
      </c>
      <c r="BA1535" t="str">
        <f>""</f>
        <v/>
      </c>
      <c r="BC1535" t="str">
        <f>""</f>
        <v/>
      </c>
      <c r="BD1535" t="str">
        <f>""</f>
        <v/>
      </c>
      <c r="BE1535" t="str">
        <f>""</f>
        <v/>
      </c>
      <c r="BF1535" t="str">
        <f>""</f>
        <v/>
      </c>
      <c r="BG1535" t="str">
        <f>""</f>
        <v/>
      </c>
      <c r="BH1535" t="str">
        <f>""</f>
        <v/>
      </c>
      <c r="BI1535" t="str">
        <f>""</f>
        <v/>
      </c>
      <c r="BJ1535" t="str">
        <f>""</f>
        <v/>
      </c>
      <c r="BK1535">
        <v>1</v>
      </c>
      <c r="BL1535" t="s">
        <v>107</v>
      </c>
      <c r="BM1535" t="str">
        <f>"Deloitte Consulting LLP"</f>
        <v>Deloitte Consulting LLP</v>
      </c>
      <c r="BN1535" t="s">
        <v>12125</v>
      </c>
      <c r="BO1535" t="s">
        <v>7849</v>
      </c>
      <c r="BP1535" t="s">
        <v>1018</v>
      </c>
      <c r="BQ1535" t="s">
        <v>1019</v>
      </c>
      <c r="BR1535" t="s">
        <v>330</v>
      </c>
      <c r="BS1535" s="5">
        <v>53703</v>
      </c>
      <c r="BT1535" s="2">
        <v>80000</v>
      </c>
      <c r="BU1535" s="2">
        <v>100000</v>
      </c>
      <c r="BV1535" t="s">
        <v>105</v>
      </c>
      <c r="BW1535" s="2">
        <v>76232</v>
      </c>
      <c r="BX1535" t="s">
        <v>105</v>
      </c>
      <c r="BZ1535" t="s">
        <v>167</v>
      </c>
      <c r="CA1535" t="str">
        <f t="shared" si="118"/>
        <v>7/1/2020 - 6/30/2021</v>
      </c>
      <c r="CF1535">
        <v>1</v>
      </c>
      <c r="CG1535" t="s">
        <v>98</v>
      </c>
      <c r="CH1535" t="s">
        <v>98</v>
      </c>
      <c r="CI1535" t="s">
        <v>206</v>
      </c>
      <c r="CJ1535" t="s">
        <v>98</v>
      </c>
      <c r="CK1535" t="s">
        <v>12323</v>
      </c>
      <c r="CL1535" t="s">
        <v>108</v>
      </c>
      <c r="CM1535" t="s">
        <v>109</v>
      </c>
      <c r="CN1535" t="str">
        <f>"Asher"</f>
        <v>Asher</v>
      </c>
      <c r="CO1535" t="str">
        <f>"Bimal"</f>
        <v>Bimal</v>
      </c>
      <c r="CP1535" t="str">
        <f>"NA"</f>
        <v>NA</v>
      </c>
      <c r="CQ1535" t="str">
        <f>"Ness USA Inc"</f>
        <v>Ness USA Inc</v>
      </c>
      <c r="CR1535" t="s">
        <v>5565</v>
      </c>
    </row>
    <row r="1536" spans="1:96" x14ac:dyDescent="0.2">
      <c r="A1536" t="s">
        <v>12126</v>
      </c>
      <c r="B1536" t="s">
        <v>96</v>
      </c>
      <c r="C1536" s="1">
        <v>44099</v>
      </c>
      <c r="D1536" s="1">
        <v>44106</v>
      </c>
      <c r="F1536" t="s">
        <v>97</v>
      </c>
      <c r="G1536" t="str">
        <f>"Senior Systems Analyst JC60"</f>
        <v>Senior Systems Analyst JC60</v>
      </c>
      <c r="H1536" t="s">
        <v>12181</v>
      </c>
      <c r="I1536" t="s">
        <v>110</v>
      </c>
      <c r="J1536" t="s">
        <v>98</v>
      </c>
      <c r="K1536" s="1">
        <v>44185</v>
      </c>
      <c r="L1536" s="1">
        <v>45279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 t="s">
        <v>111</v>
      </c>
      <c r="U1536" t="str">
        <f>"CTSUS"</f>
        <v>CTSUS</v>
      </c>
      <c r="V1536" t="s">
        <v>112</v>
      </c>
      <c r="W1536" t="str">
        <f>""</f>
        <v/>
      </c>
      <c r="X1536" t="s">
        <v>113</v>
      </c>
      <c r="Y1536" t="s">
        <v>114</v>
      </c>
      <c r="Z1536" s="3">
        <v>77845</v>
      </c>
      <c r="AA1536" t="s">
        <v>101</v>
      </c>
      <c r="AB1536" t="s">
        <v>114</v>
      </c>
      <c r="AC1536" s="4" t="str">
        <f>"+19793296682"</f>
        <v>+19793296682</v>
      </c>
      <c r="AE1536" t="str">
        <f>"541512"</f>
        <v>541512</v>
      </c>
      <c r="AF1536" t="s">
        <v>115</v>
      </c>
      <c r="AG1536" t="s">
        <v>116</v>
      </c>
      <c r="AH1536" t="s">
        <v>108</v>
      </c>
      <c r="AI1536" t="s">
        <v>117</v>
      </c>
      <c r="AJ1536" t="s">
        <v>118</v>
      </c>
      <c r="AK1536" t="str">
        <f>""</f>
        <v/>
      </c>
      <c r="AL1536" t="s">
        <v>119</v>
      </c>
      <c r="AM1536" t="s">
        <v>114</v>
      </c>
      <c r="AN1536" s="3">
        <v>77845</v>
      </c>
      <c r="AO1536" t="s">
        <v>101</v>
      </c>
      <c r="AQ1536" t="str">
        <f>"+19793296682"</f>
        <v>+19793296682</v>
      </c>
      <c r="AS1536" t="s">
        <v>120</v>
      </c>
      <c r="AT1536" t="s">
        <v>102</v>
      </c>
      <c r="AU1536" t="str">
        <f>""</f>
        <v/>
      </c>
      <c r="AV1536" t="str">
        <f>""</f>
        <v/>
      </c>
      <c r="AW1536" t="str">
        <f>""</f>
        <v/>
      </c>
      <c r="AX1536" t="str">
        <f>""</f>
        <v/>
      </c>
      <c r="AY1536" t="str">
        <f>""</f>
        <v/>
      </c>
      <c r="AZ1536" t="str">
        <f>""</f>
        <v/>
      </c>
      <c r="BA1536" t="str">
        <f>""</f>
        <v/>
      </c>
      <c r="BC1536" t="str">
        <f>""</f>
        <v/>
      </c>
      <c r="BD1536" t="str">
        <f>""</f>
        <v/>
      </c>
      <c r="BE1536" t="str">
        <f>""</f>
        <v/>
      </c>
      <c r="BF1536" t="str">
        <f>""</f>
        <v/>
      </c>
      <c r="BG1536" t="str">
        <f>""</f>
        <v/>
      </c>
      <c r="BH1536" t="str">
        <f>""</f>
        <v/>
      </c>
      <c r="BI1536" t="str">
        <f>""</f>
        <v/>
      </c>
      <c r="BJ1536" t="str">
        <f>""</f>
        <v/>
      </c>
      <c r="BK1536">
        <v>1</v>
      </c>
      <c r="BL1536" t="s">
        <v>107</v>
      </c>
      <c r="BM1536" t="str">
        <f>"The TJX Companies Inc"</f>
        <v>The TJX Companies Inc</v>
      </c>
      <c r="BN1536" t="s">
        <v>12127</v>
      </c>
      <c r="BP1536" t="s">
        <v>940</v>
      </c>
      <c r="BQ1536" t="s">
        <v>941</v>
      </c>
      <c r="BR1536" t="s">
        <v>171</v>
      </c>
      <c r="BS1536" s="5">
        <v>1752</v>
      </c>
      <c r="BT1536" s="2">
        <v>83928</v>
      </c>
      <c r="BV1536" t="s">
        <v>105</v>
      </c>
      <c r="BW1536" s="2">
        <v>83928</v>
      </c>
      <c r="BX1536" t="s">
        <v>105</v>
      </c>
      <c r="BZ1536" t="s">
        <v>167</v>
      </c>
      <c r="CA1536" t="str">
        <f t="shared" si="118"/>
        <v>7/1/2020 - 6/30/2021</v>
      </c>
      <c r="CF1536">
        <v>1</v>
      </c>
      <c r="CG1536" t="s">
        <v>98</v>
      </c>
      <c r="CH1536" t="s">
        <v>98</v>
      </c>
      <c r="CI1536" t="s">
        <v>206</v>
      </c>
      <c r="CJ1536" t="s">
        <v>98</v>
      </c>
      <c r="CK1536" t="s">
        <v>12323</v>
      </c>
      <c r="CL1536" t="s">
        <v>108</v>
      </c>
      <c r="CM1536" t="s">
        <v>109</v>
      </c>
      <c r="CN1536" t="str">
        <f>""</f>
        <v/>
      </c>
      <c r="CO1536" t="str">
        <f>""</f>
        <v/>
      </c>
      <c r="CP1536" t="str">
        <f>""</f>
        <v/>
      </c>
      <c r="CQ1536" t="str">
        <f>""</f>
        <v/>
      </c>
    </row>
    <row r="1537" spans="1:96" x14ac:dyDescent="0.2">
      <c r="A1537" t="s">
        <v>12152</v>
      </c>
      <c r="B1537" t="s">
        <v>96</v>
      </c>
      <c r="C1537" s="1">
        <v>44099</v>
      </c>
      <c r="D1537" s="1">
        <v>44106</v>
      </c>
      <c r="F1537" t="s">
        <v>97</v>
      </c>
      <c r="G1537" t="str">
        <f>"SOFTWARE DEVELOPER"</f>
        <v>SOFTWARE DEVELOPER</v>
      </c>
      <c r="H1537" t="s">
        <v>12169</v>
      </c>
      <c r="I1537" t="s">
        <v>124</v>
      </c>
      <c r="J1537" t="s">
        <v>98</v>
      </c>
      <c r="K1537" s="1">
        <v>44109</v>
      </c>
      <c r="L1537" s="1">
        <v>44926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 t="s">
        <v>6138</v>
      </c>
      <c r="U1537" t="str">
        <f>""</f>
        <v/>
      </c>
      <c r="V1537" t="s">
        <v>2427</v>
      </c>
      <c r="W1537" t="str">
        <f>"SUITE # D-26"</f>
        <v>SUITE # D-26</v>
      </c>
      <c r="X1537" t="s">
        <v>2428</v>
      </c>
      <c r="Y1537" t="s">
        <v>190</v>
      </c>
      <c r="Z1537" s="3">
        <v>11788</v>
      </c>
      <c r="AA1537" t="s">
        <v>101</v>
      </c>
      <c r="AC1537" s="4" t="str">
        <f>"+13023668960"</f>
        <v>+13023668960</v>
      </c>
      <c r="AE1537" t="str">
        <f>"541511"</f>
        <v>541511</v>
      </c>
      <c r="AF1537" t="s">
        <v>6139</v>
      </c>
      <c r="AG1537" t="s">
        <v>5972</v>
      </c>
      <c r="AI1537" t="s">
        <v>6140</v>
      </c>
      <c r="AJ1537" t="s">
        <v>2427</v>
      </c>
      <c r="AK1537" t="str">
        <f>"SUITE # D-26"</f>
        <v>SUITE # D-26</v>
      </c>
      <c r="AL1537" t="s">
        <v>2428</v>
      </c>
      <c r="AM1537" t="s">
        <v>190</v>
      </c>
      <c r="AN1537" s="3">
        <v>11788</v>
      </c>
      <c r="AO1537" t="s">
        <v>101</v>
      </c>
      <c r="AQ1537" t="str">
        <f>"+13023668960"</f>
        <v>+13023668960</v>
      </c>
      <c r="AS1537" t="s">
        <v>6141</v>
      </c>
      <c r="AT1537" t="s">
        <v>102</v>
      </c>
      <c r="AU1537" t="str">
        <f>""</f>
        <v/>
      </c>
      <c r="AV1537" t="str">
        <f>""</f>
        <v/>
      </c>
      <c r="AW1537" t="str">
        <f>""</f>
        <v/>
      </c>
      <c r="AX1537" t="str">
        <f>""</f>
        <v/>
      </c>
      <c r="AY1537" t="str">
        <f>""</f>
        <v/>
      </c>
      <c r="AZ1537" t="str">
        <f>""</f>
        <v/>
      </c>
      <c r="BA1537" t="str">
        <f>""</f>
        <v/>
      </c>
      <c r="BC1537" t="str">
        <f>""</f>
        <v/>
      </c>
      <c r="BD1537" t="str">
        <f>""</f>
        <v/>
      </c>
      <c r="BE1537" t="str">
        <f>""</f>
        <v/>
      </c>
      <c r="BF1537" t="str">
        <f>""</f>
        <v/>
      </c>
      <c r="BG1537" t="str">
        <f>""</f>
        <v/>
      </c>
      <c r="BH1537" t="str">
        <f>""</f>
        <v/>
      </c>
      <c r="BI1537" t="str">
        <f>""</f>
        <v/>
      </c>
      <c r="BJ1537" t="str">
        <f>""</f>
        <v/>
      </c>
      <c r="BK1537">
        <v>1</v>
      </c>
      <c r="BL1537" t="s">
        <v>107</v>
      </c>
      <c r="BM1537" t="str">
        <f>"REMOTE WORK FROM HOME"</f>
        <v>REMOTE WORK FROM HOME</v>
      </c>
      <c r="BN1537" t="s">
        <v>12153</v>
      </c>
      <c r="BO1537" t="s">
        <v>12154</v>
      </c>
      <c r="BP1537" t="s">
        <v>1614</v>
      </c>
      <c r="BQ1537" t="s">
        <v>1614</v>
      </c>
      <c r="BR1537" t="s">
        <v>330</v>
      </c>
      <c r="BS1537" s="5">
        <v>53221</v>
      </c>
      <c r="BT1537" s="2">
        <v>101000</v>
      </c>
      <c r="BV1537" t="s">
        <v>105</v>
      </c>
      <c r="BW1537" s="2">
        <v>79498</v>
      </c>
      <c r="BX1537" t="s">
        <v>105</v>
      </c>
      <c r="BZ1537" t="s">
        <v>167</v>
      </c>
      <c r="CA1537" t="str">
        <f t="shared" si="118"/>
        <v>7/1/2020 - 6/30/2021</v>
      </c>
      <c r="CF1537">
        <v>2</v>
      </c>
      <c r="CG1537" t="s">
        <v>98</v>
      </c>
      <c r="CH1537" t="s">
        <v>98</v>
      </c>
      <c r="CI1537" t="s">
        <v>206</v>
      </c>
      <c r="CJ1537" t="s">
        <v>98</v>
      </c>
      <c r="CK1537" t="s">
        <v>12323</v>
      </c>
      <c r="CL1537" t="s">
        <v>108</v>
      </c>
      <c r="CM1537" t="s">
        <v>109</v>
      </c>
      <c r="CN1537" t="str">
        <f>""</f>
        <v/>
      </c>
      <c r="CO1537" t="str">
        <f>""</f>
        <v/>
      </c>
      <c r="CP1537" t="str">
        <f>""</f>
        <v/>
      </c>
      <c r="CQ1537" t="str">
        <f>""</f>
        <v/>
      </c>
    </row>
    <row r="1538" spans="1:96" x14ac:dyDescent="0.2">
      <c r="A1538" t="s">
        <v>2033</v>
      </c>
      <c r="B1538" t="s">
        <v>96</v>
      </c>
      <c r="C1538" s="1">
        <v>44099</v>
      </c>
      <c r="D1538" s="1">
        <v>44106</v>
      </c>
      <c r="F1538" t="s">
        <v>97</v>
      </c>
      <c r="G1538" t="str">
        <f>"Software Developer"</f>
        <v>Software Developer</v>
      </c>
      <c r="H1538" t="s">
        <v>12169</v>
      </c>
      <c r="I1538" t="s">
        <v>124</v>
      </c>
      <c r="J1538" t="s">
        <v>98</v>
      </c>
      <c r="K1538" s="1">
        <v>44106</v>
      </c>
      <c r="L1538" s="1">
        <v>45200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 t="s">
        <v>2034</v>
      </c>
      <c r="U1538" t="str">
        <f>""</f>
        <v/>
      </c>
      <c r="V1538" t="s">
        <v>2035</v>
      </c>
      <c r="W1538" t="str">
        <f>"Suite B358"</f>
        <v>Suite B358</v>
      </c>
      <c r="X1538" t="s">
        <v>595</v>
      </c>
      <c r="Y1538" t="s">
        <v>114</v>
      </c>
      <c r="Z1538" s="3">
        <v>75234</v>
      </c>
      <c r="AA1538" t="s">
        <v>101</v>
      </c>
      <c r="AC1538" s="4" t="str">
        <f>"+14692096231"</f>
        <v>+14692096231</v>
      </c>
      <c r="AE1538" t="str">
        <f>"541511"</f>
        <v>541511</v>
      </c>
      <c r="AF1538" t="s">
        <v>2036</v>
      </c>
      <c r="AG1538" t="s">
        <v>2037</v>
      </c>
      <c r="AH1538" t="s">
        <v>2038</v>
      </c>
      <c r="AI1538" t="s">
        <v>508</v>
      </c>
      <c r="AJ1538" t="s">
        <v>2039</v>
      </c>
      <c r="AK1538" t="str">
        <f>"Suite B358"</f>
        <v>Suite B358</v>
      </c>
      <c r="AL1538" t="s">
        <v>595</v>
      </c>
      <c r="AM1538" t="s">
        <v>114</v>
      </c>
      <c r="AN1538" s="3">
        <v>75234</v>
      </c>
      <c r="AO1538" t="s">
        <v>101</v>
      </c>
      <c r="AQ1538" t="str">
        <f>"+14692096231"</f>
        <v>+14692096231</v>
      </c>
      <c r="AS1538" t="s">
        <v>2040</v>
      </c>
      <c r="AT1538" t="s">
        <v>107</v>
      </c>
      <c r="AU1538" t="str">
        <f>"Harrison-Donaldson"</f>
        <v>Harrison-Donaldson</v>
      </c>
      <c r="AV1538" t="str">
        <f>"Kimberly"</f>
        <v>Kimberly</v>
      </c>
      <c r="AW1538" t="str">
        <f>"E"</f>
        <v>E</v>
      </c>
      <c r="AX1538" t="str">
        <f>"4249 Easton Way"</f>
        <v>4249 Easton Way</v>
      </c>
      <c r="AY1538" t="str">
        <f>"Suite 125"</f>
        <v>Suite 125</v>
      </c>
      <c r="AZ1538" t="str">
        <f>"Columbus"</f>
        <v>Columbus</v>
      </c>
      <c r="BA1538" t="str">
        <f>"OH"</f>
        <v>OH</v>
      </c>
      <c r="BB1538" s="3">
        <v>43219</v>
      </c>
      <c r="BC1538" t="str">
        <f>"UNITED STATES OF AMERICA"</f>
        <v>UNITED STATES OF AMERICA</v>
      </c>
      <c r="BD1538" t="str">
        <f>""</f>
        <v/>
      </c>
      <c r="BE1538" t="str">
        <f>"+16144288472"</f>
        <v>+16144288472</v>
      </c>
      <c r="BF1538" t="str">
        <f>"2"</f>
        <v>2</v>
      </c>
      <c r="BG1538" t="str">
        <f>"kimberly@hdimmigrationlaw.com"</f>
        <v>kimberly@hdimmigrationlaw.com</v>
      </c>
      <c r="BH1538" t="str">
        <f>"Harrison-Donaldson, Attorney at Law"</f>
        <v>Harrison-Donaldson, Attorney at Law</v>
      </c>
      <c r="BI1538" t="str">
        <f>"OH"</f>
        <v>OH</v>
      </c>
      <c r="BJ1538" t="str">
        <f>"The Supreme Court of Ohio "</f>
        <v xml:space="preserve">The Supreme Court of Ohio </v>
      </c>
      <c r="BK1538">
        <v>1</v>
      </c>
      <c r="BL1538" t="s">
        <v>107</v>
      </c>
      <c r="BM1538" t="str">
        <f>"Sharplink Software"</f>
        <v>Sharplink Software</v>
      </c>
      <c r="BN1538" t="s">
        <v>2041</v>
      </c>
      <c r="BO1538" t="s">
        <v>132</v>
      </c>
      <c r="BP1538" t="s">
        <v>765</v>
      </c>
      <c r="BQ1538" t="s">
        <v>721</v>
      </c>
      <c r="BR1538" t="s">
        <v>114</v>
      </c>
      <c r="BS1538" s="5">
        <v>78701</v>
      </c>
      <c r="BT1538" s="2">
        <v>88000</v>
      </c>
      <c r="BV1538" t="s">
        <v>105</v>
      </c>
      <c r="BW1538" s="2">
        <v>87589</v>
      </c>
      <c r="BX1538" t="s">
        <v>105</v>
      </c>
      <c r="BZ1538" t="s">
        <v>167</v>
      </c>
      <c r="CA1538" t="str">
        <f t="shared" si="118"/>
        <v>7/1/2020 - 6/30/2021</v>
      </c>
      <c r="CF1538">
        <v>1</v>
      </c>
      <c r="CG1538" t="s">
        <v>98</v>
      </c>
      <c r="CH1538" t="s">
        <v>98</v>
      </c>
      <c r="CI1538" t="s">
        <v>206</v>
      </c>
      <c r="CJ1538" t="s">
        <v>98</v>
      </c>
      <c r="CK1538" t="s">
        <v>12324</v>
      </c>
      <c r="CL1538" t="s">
        <v>108</v>
      </c>
      <c r="CM1538" t="s">
        <v>109</v>
      </c>
      <c r="CN1538" t="str">
        <f>""</f>
        <v/>
      </c>
      <c r="CO1538" t="str">
        <f>""</f>
        <v/>
      </c>
      <c r="CP1538" t="str">
        <f>""</f>
        <v/>
      </c>
      <c r="CQ1538" t="str">
        <f>""</f>
        <v/>
      </c>
    </row>
    <row r="1539" spans="1:96" x14ac:dyDescent="0.2">
      <c r="A1539" t="s">
        <v>2152</v>
      </c>
      <c r="B1539" t="s">
        <v>96</v>
      </c>
      <c r="C1539" s="1">
        <v>44099</v>
      </c>
      <c r="D1539" s="1">
        <v>44106</v>
      </c>
      <c r="F1539" t="s">
        <v>97</v>
      </c>
      <c r="G1539" t="str">
        <f>"Manager JC50"</f>
        <v>Manager JC50</v>
      </c>
      <c r="H1539" t="s">
        <v>12181</v>
      </c>
      <c r="I1539" t="s">
        <v>110</v>
      </c>
      <c r="J1539" t="s">
        <v>98</v>
      </c>
      <c r="K1539" s="1">
        <v>44107</v>
      </c>
      <c r="L1539" s="1">
        <v>45201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 t="s">
        <v>111</v>
      </c>
      <c r="U1539" t="str">
        <f>"CTSUS"</f>
        <v>CTSUS</v>
      </c>
      <c r="V1539" t="s">
        <v>112</v>
      </c>
      <c r="W1539" t="str">
        <f>""</f>
        <v/>
      </c>
      <c r="X1539" t="s">
        <v>113</v>
      </c>
      <c r="Y1539" t="s">
        <v>114</v>
      </c>
      <c r="Z1539" s="3">
        <v>77845</v>
      </c>
      <c r="AA1539" t="s">
        <v>101</v>
      </c>
      <c r="AB1539" t="s">
        <v>114</v>
      </c>
      <c r="AC1539" s="4" t="str">
        <f>"+19793296682"</f>
        <v>+19793296682</v>
      </c>
      <c r="AE1539" t="str">
        <f>"541512"</f>
        <v>541512</v>
      </c>
      <c r="AF1539" t="s">
        <v>115</v>
      </c>
      <c r="AG1539" t="s">
        <v>116</v>
      </c>
      <c r="AH1539" t="s">
        <v>108</v>
      </c>
      <c r="AI1539" t="s">
        <v>117</v>
      </c>
      <c r="AJ1539" t="s">
        <v>118</v>
      </c>
      <c r="AK1539" t="str">
        <f>""</f>
        <v/>
      </c>
      <c r="AL1539" t="s">
        <v>119</v>
      </c>
      <c r="AM1539" t="s">
        <v>114</v>
      </c>
      <c r="AN1539" s="3">
        <v>77845</v>
      </c>
      <c r="AO1539" t="s">
        <v>101</v>
      </c>
      <c r="AQ1539" t="str">
        <f>"+19793296682"</f>
        <v>+19793296682</v>
      </c>
      <c r="AS1539" t="s">
        <v>120</v>
      </c>
      <c r="AT1539" t="s">
        <v>102</v>
      </c>
      <c r="AU1539" t="str">
        <f>""</f>
        <v/>
      </c>
      <c r="AV1539" t="str">
        <f>""</f>
        <v/>
      </c>
      <c r="AW1539" t="str">
        <f>""</f>
        <v/>
      </c>
      <c r="AX1539" t="str">
        <f>""</f>
        <v/>
      </c>
      <c r="AY1539" t="str">
        <f>""</f>
        <v/>
      </c>
      <c r="AZ1539" t="str">
        <f>""</f>
        <v/>
      </c>
      <c r="BA1539" t="str">
        <f>""</f>
        <v/>
      </c>
      <c r="BC1539" t="str">
        <f>""</f>
        <v/>
      </c>
      <c r="BD1539" t="str">
        <f>""</f>
        <v/>
      </c>
      <c r="BE1539" t="str">
        <f>""</f>
        <v/>
      </c>
      <c r="BF1539" t="str">
        <f>""</f>
        <v/>
      </c>
      <c r="BG1539" t="str">
        <f>""</f>
        <v/>
      </c>
      <c r="BH1539" t="str">
        <f>""</f>
        <v/>
      </c>
      <c r="BI1539" t="str">
        <f>""</f>
        <v/>
      </c>
      <c r="BJ1539" t="str">
        <f>""</f>
        <v/>
      </c>
      <c r="BK1539">
        <v>1</v>
      </c>
      <c r="BL1539" t="s">
        <v>102</v>
      </c>
      <c r="BM1539" t="str">
        <f>""</f>
        <v/>
      </c>
      <c r="BN1539" t="s">
        <v>2153</v>
      </c>
      <c r="BP1539" t="s">
        <v>765</v>
      </c>
      <c r="BQ1539" t="s">
        <v>721</v>
      </c>
      <c r="BR1539" t="s">
        <v>114</v>
      </c>
      <c r="BS1539" s="5">
        <v>78717</v>
      </c>
      <c r="BT1539" s="2">
        <v>87485</v>
      </c>
      <c r="BV1539" t="s">
        <v>105</v>
      </c>
      <c r="BW1539" s="2">
        <v>87485</v>
      </c>
      <c r="BX1539" t="s">
        <v>105</v>
      </c>
      <c r="BZ1539" t="s">
        <v>123</v>
      </c>
      <c r="CA1539" t="str">
        <f t="shared" si="118"/>
        <v>7/1/2020 - 6/30/2021</v>
      </c>
      <c r="CF1539">
        <v>1</v>
      </c>
      <c r="CG1539" t="s">
        <v>98</v>
      </c>
      <c r="CH1539" t="s">
        <v>98</v>
      </c>
      <c r="CI1539" t="s">
        <v>206</v>
      </c>
      <c r="CJ1539" t="s">
        <v>98</v>
      </c>
      <c r="CK1539" t="s">
        <v>12324</v>
      </c>
      <c r="CL1539" t="s">
        <v>108</v>
      </c>
      <c r="CM1539" t="s">
        <v>109</v>
      </c>
      <c r="CN1539" t="str">
        <f>""</f>
        <v/>
      </c>
      <c r="CO1539" t="str">
        <f>""</f>
        <v/>
      </c>
      <c r="CP1539" t="str">
        <f>""</f>
        <v/>
      </c>
      <c r="CQ1539" t="str">
        <f>""</f>
        <v/>
      </c>
    </row>
    <row r="1540" spans="1:96" x14ac:dyDescent="0.2">
      <c r="A1540" t="s">
        <v>2740</v>
      </c>
      <c r="B1540" t="s">
        <v>96</v>
      </c>
      <c r="C1540" s="1">
        <v>44099</v>
      </c>
      <c r="D1540" s="1">
        <v>44106</v>
      </c>
      <c r="F1540" t="s">
        <v>97</v>
      </c>
      <c r="G1540" t="str">
        <f>"Product Manager"</f>
        <v>Product Manager</v>
      </c>
      <c r="H1540" t="s">
        <v>12168</v>
      </c>
      <c r="I1540" t="s">
        <v>367</v>
      </c>
      <c r="J1540" t="s">
        <v>98</v>
      </c>
      <c r="K1540" s="1">
        <v>44138</v>
      </c>
      <c r="L1540" s="1">
        <v>45232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 t="s">
        <v>2644</v>
      </c>
      <c r="U1540" t="str">
        <f>""</f>
        <v/>
      </c>
      <c r="V1540" t="s">
        <v>2645</v>
      </c>
      <c r="W1540" t="str">
        <f>"Floor 2"</f>
        <v>Floor 2</v>
      </c>
      <c r="X1540" t="s">
        <v>2646</v>
      </c>
      <c r="Y1540" t="s">
        <v>100</v>
      </c>
      <c r="Z1540" s="3">
        <v>8816</v>
      </c>
      <c r="AA1540" t="s">
        <v>101</v>
      </c>
      <c r="AC1540" s="4" t="str">
        <f>"+17325530566"</f>
        <v>+17325530566</v>
      </c>
      <c r="AD1540">
        <v>26</v>
      </c>
      <c r="AE1540" t="str">
        <f t="shared" ref="AE1540:AE1559" si="119">"541511"</f>
        <v>541511</v>
      </c>
      <c r="AF1540" t="s">
        <v>2647</v>
      </c>
      <c r="AG1540" t="s">
        <v>2648</v>
      </c>
      <c r="AH1540" t="s">
        <v>2354</v>
      </c>
      <c r="AI1540" t="s">
        <v>2649</v>
      </c>
      <c r="AJ1540" t="s">
        <v>2645</v>
      </c>
      <c r="AK1540" t="str">
        <f>"Floor 2"</f>
        <v>Floor 2</v>
      </c>
      <c r="AL1540" t="s">
        <v>2646</v>
      </c>
      <c r="AM1540" t="s">
        <v>100</v>
      </c>
      <c r="AN1540" s="3">
        <v>8816</v>
      </c>
      <c r="AO1540" t="s">
        <v>101</v>
      </c>
      <c r="AQ1540" t="str">
        <f>"+17325530566"</f>
        <v>+17325530566</v>
      </c>
      <c r="AR1540">
        <v>19</v>
      </c>
      <c r="AS1540" t="s">
        <v>2650</v>
      </c>
      <c r="AT1540" t="s">
        <v>102</v>
      </c>
      <c r="AU1540" t="str">
        <f>""</f>
        <v/>
      </c>
      <c r="AV1540" t="str">
        <f>""</f>
        <v/>
      </c>
      <c r="AW1540" t="str">
        <f>""</f>
        <v/>
      </c>
      <c r="AX1540" t="str">
        <f>""</f>
        <v/>
      </c>
      <c r="AY1540" t="str">
        <f>""</f>
        <v/>
      </c>
      <c r="AZ1540" t="str">
        <f>""</f>
        <v/>
      </c>
      <c r="BA1540" t="str">
        <f>""</f>
        <v/>
      </c>
      <c r="BC1540" t="str">
        <f>""</f>
        <v/>
      </c>
      <c r="BD1540" t="str">
        <f>""</f>
        <v/>
      </c>
      <c r="BE1540" t="str">
        <f>""</f>
        <v/>
      </c>
      <c r="BF1540" t="str">
        <f>""</f>
        <v/>
      </c>
      <c r="BG1540" t="str">
        <f>""</f>
        <v/>
      </c>
      <c r="BH1540" t="str">
        <f>""</f>
        <v/>
      </c>
      <c r="BI1540" t="str">
        <f>""</f>
        <v/>
      </c>
      <c r="BJ1540" t="str">
        <f>""</f>
        <v/>
      </c>
      <c r="BK1540">
        <v>1</v>
      </c>
      <c r="BL1540" t="s">
        <v>107</v>
      </c>
      <c r="BM1540" t="str">
        <f>"ADP (Automatic Data Processing)"</f>
        <v>ADP (Automatic Data Processing)</v>
      </c>
      <c r="BN1540" t="s">
        <v>2741</v>
      </c>
      <c r="BP1540" t="s">
        <v>847</v>
      </c>
      <c r="BQ1540" t="s">
        <v>214</v>
      </c>
      <c r="BR1540" t="s">
        <v>215</v>
      </c>
      <c r="BS1540" s="5">
        <v>30004</v>
      </c>
      <c r="BT1540" s="2">
        <v>95000</v>
      </c>
      <c r="BV1540" t="s">
        <v>105</v>
      </c>
      <c r="BW1540" s="2">
        <v>94453</v>
      </c>
      <c r="BX1540" t="s">
        <v>105</v>
      </c>
      <c r="BZ1540" t="s">
        <v>123</v>
      </c>
      <c r="CA1540" t="str">
        <f t="shared" si="118"/>
        <v>7/1/2020 - 6/30/2021</v>
      </c>
      <c r="CF1540">
        <v>2</v>
      </c>
      <c r="CG1540" t="s">
        <v>98</v>
      </c>
      <c r="CH1540" t="s">
        <v>98</v>
      </c>
      <c r="CI1540" t="s">
        <v>206</v>
      </c>
      <c r="CJ1540" t="s">
        <v>98</v>
      </c>
      <c r="CK1540" t="s">
        <v>12324</v>
      </c>
      <c r="CL1540" t="s">
        <v>108</v>
      </c>
      <c r="CM1540" t="s">
        <v>109</v>
      </c>
      <c r="CN1540" t="str">
        <f>"Iyer"</f>
        <v>Iyer</v>
      </c>
      <c r="CO1540" t="str">
        <f>"Venkatesh"</f>
        <v>Venkatesh</v>
      </c>
      <c r="CP1540" t="str">
        <f>"P"</f>
        <v>P</v>
      </c>
      <c r="CQ1540" t="str">
        <f>"Resource Logistics Inc"</f>
        <v>Resource Logistics Inc</v>
      </c>
      <c r="CR1540" t="s">
        <v>2650</v>
      </c>
    </row>
    <row r="1541" spans="1:96" x14ac:dyDescent="0.2">
      <c r="A1541" t="s">
        <v>3036</v>
      </c>
      <c r="B1541" t="s">
        <v>96</v>
      </c>
      <c r="C1541" s="1">
        <v>44099</v>
      </c>
      <c r="D1541" s="1">
        <v>44106</v>
      </c>
      <c r="F1541" t="s">
        <v>97</v>
      </c>
      <c r="G1541" t="str">
        <f>"Senior Clinical Trial Associate"</f>
        <v>Senior Clinical Trial Associate</v>
      </c>
      <c r="H1541" t="s">
        <v>12218</v>
      </c>
      <c r="I1541" t="s">
        <v>2929</v>
      </c>
      <c r="J1541" t="s">
        <v>98</v>
      </c>
      <c r="K1541" s="1">
        <v>44109</v>
      </c>
      <c r="L1541" s="1">
        <v>45203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 t="s">
        <v>3037</v>
      </c>
      <c r="U1541" t="str">
        <f>"INFOQUEST CONSULTING GROUP, INC."</f>
        <v>INFOQUEST CONSULTING GROUP, INC.</v>
      </c>
      <c r="V1541" t="s">
        <v>3038</v>
      </c>
      <c r="W1541" t="str">
        <f>"SUITE 106"</f>
        <v>SUITE 106</v>
      </c>
      <c r="X1541" t="s">
        <v>1932</v>
      </c>
      <c r="Y1541" t="s">
        <v>100</v>
      </c>
      <c r="Z1541" s="3">
        <v>8852</v>
      </c>
      <c r="AA1541" t="s">
        <v>101</v>
      </c>
      <c r="AC1541" s="4" t="str">
        <f>"+16094095151"</f>
        <v>+16094095151</v>
      </c>
      <c r="AE1541" t="str">
        <f t="shared" si="119"/>
        <v>541511</v>
      </c>
      <c r="AF1541" t="s">
        <v>1030</v>
      </c>
      <c r="AG1541" t="s">
        <v>3039</v>
      </c>
      <c r="AH1541" t="s">
        <v>108</v>
      </c>
      <c r="AI1541" t="s">
        <v>425</v>
      </c>
      <c r="AJ1541" t="s">
        <v>3038</v>
      </c>
      <c r="AK1541" t="str">
        <f>"SUITE 106"</f>
        <v>SUITE 106</v>
      </c>
      <c r="AL1541" t="s">
        <v>1932</v>
      </c>
      <c r="AM1541" t="s">
        <v>100</v>
      </c>
      <c r="AN1541" s="3">
        <v>8852</v>
      </c>
      <c r="AO1541" t="s">
        <v>101</v>
      </c>
      <c r="AQ1541" t="str">
        <f>"+16094095151"</f>
        <v>+16094095151</v>
      </c>
      <c r="AS1541" t="s">
        <v>3040</v>
      </c>
      <c r="AT1541" t="s">
        <v>107</v>
      </c>
      <c r="AU1541" t="str">
        <f>"SIDHU"</f>
        <v>SIDHU</v>
      </c>
      <c r="AV1541" t="str">
        <f>"INDERJIT"</f>
        <v>INDERJIT</v>
      </c>
      <c r="AW1541" t="str">
        <f>""</f>
        <v/>
      </c>
      <c r="AX1541" t="str">
        <f>"12 ROSZEL ROAD"</f>
        <v>12 ROSZEL ROAD</v>
      </c>
      <c r="AY1541" t="str">
        <f>"SUITE A203"</f>
        <v>SUITE A203</v>
      </c>
      <c r="AZ1541" t="str">
        <f>"PRINCETON"</f>
        <v>PRINCETON</v>
      </c>
      <c r="BA1541" t="str">
        <f>"NJ"</f>
        <v>NJ</v>
      </c>
      <c r="BB1541" s="3">
        <v>8540</v>
      </c>
      <c r="BC1541" t="str">
        <f>"UNITED STATES OF AMERICA"</f>
        <v>UNITED STATES OF AMERICA</v>
      </c>
      <c r="BD1541" t="str">
        <f>""</f>
        <v/>
      </c>
      <c r="BE1541" t="str">
        <f>"+16094095434"</f>
        <v>+16094095434</v>
      </c>
      <c r="BF1541" t="str">
        <f>""</f>
        <v/>
      </c>
      <c r="BG1541" t="str">
        <f>"inderjit@indysidhu.com"</f>
        <v>inderjit@indysidhu.com</v>
      </c>
      <c r="BH1541" t="str">
        <f>"INDERJIT K SIDHU ESQ LLC"</f>
        <v>INDERJIT K SIDHU ESQ LLC</v>
      </c>
      <c r="BI1541" t="str">
        <f>"MI"</f>
        <v>MI</v>
      </c>
      <c r="BJ1541" t="str">
        <f>"SUPREME COURT OF MICHIGAN"</f>
        <v>SUPREME COURT OF MICHIGAN</v>
      </c>
      <c r="BK1541">
        <v>1</v>
      </c>
      <c r="BL1541" t="s">
        <v>107</v>
      </c>
      <c r="BM1541" t="str">
        <f>"SEQIRUS"</f>
        <v>SEQIRUS</v>
      </c>
      <c r="BN1541" t="s">
        <v>3041</v>
      </c>
      <c r="BP1541" t="s">
        <v>2383</v>
      </c>
      <c r="BQ1541" t="s">
        <v>1250</v>
      </c>
      <c r="BR1541" t="s">
        <v>171</v>
      </c>
      <c r="BS1541" s="5">
        <v>2139</v>
      </c>
      <c r="BT1541" s="2">
        <v>101000</v>
      </c>
      <c r="BV1541" t="s">
        <v>105</v>
      </c>
      <c r="BW1541" s="2">
        <v>100880</v>
      </c>
      <c r="BX1541" t="s">
        <v>105</v>
      </c>
      <c r="BZ1541" t="s">
        <v>159</v>
      </c>
      <c r="CA1541" t="str">
        <f t="shared" si="118"/>
        <v>7/1/2020 - 6/30/2021</v>
      </c>
      <c r="CF1541">
        <v>3</v>
      </c>
      <c r="CG1541" t="s">
        <v>98</v>
      </c>
      <c r="CH1541" t="s">
        <v>98</v>
      </c>
      <c r="CI1541" t="s">
        <v>206</v>
      </c>
      <c r="CJ1541" t="s">
        <v>98</v>
      </c>
      <c r="CK1541" t="s">
        <v>12324</v>
      </c>
      <c r="CL1541" t="s">
        <v>108</v>
      </c>
      <c r="CM1541" t="s">
        <v>109</v>
      </c>
      <c r="CN1541" t="str">
        <f>"SIDHU"</f>
        <v>SIDHU</v>
      </c>
      <c r="CO1541" t="str">
        <f>"INDERJIT"</f>
        <v>INDERJIT</v>
      </c>
      <c r="CP1541" t="str">
        <f>"K"</f>
        <v>K</v>
      </c>
      <c r="CQ1541" t="str">
        <f>"INDERJIT K. SIDHU, ESQ. LLC."</f>
        <v>INDERJIT K. SIDHU, ESQ. LLC.</v>
      </c>
      <c r="CR1541" t="s">
        <v>3042</v>
      </c>
    </row>
    <row r="1542" spans="1:96" x14ac:dyDescent="0.2">
      <c r="A1542" t="s">
        <v>3710</v>
      </c>
      <c r="B1542" t="s">
        <v>96</v>
      </c>
      <c r="C1542" s="1">
        <v>44099</v>
      </c>
      <c r="D1542" s="1">
        <v>44106</v>
      </c>
      <c r="F1542" t="s">
        <v>97</v>
      </c>
      <c r="G1542" t="str">
        <f>"Software Engineer "</f>
        <v xml:space="preserve">Software Engineer </v>
      </c>
      <c r="H1542" t="s">
        <v>12169</v>
      </c>
      <c r="I1542" t="s">
        <v>124</v>
      </c>
      <c r="J1542" t="s">
        <v>98</v>
      </c>
      <c r="K1542" s="1">
        <v>44191</v>
      </c>
      <c r="L1542" s="1">
        <v>45285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 t="s">
        <v>3711</v>
      </c>
      <c r="U1542" t="str">
        <f>""</f>
        <v/>
      </c>
      <c r="V1542" t="s">
        <v>3712</v>
      </c>
      <c r="W1542" t="str">
        <f>"Suite 30"</f>
        <v>Suite 30</v>
      </c>
      <c r="X1542" t="s">
        <v>1775</v>
      </c>
      <c r="Y1542" t="s">
        <v>1776</v>
      </c>
      <c r="Z1542" s="3">
        <v>19810</v>
      </c>
      <c r="AA1542" t="s">
        <v>101</v>
      </c>
      <c r="AC1542" s="4" t="str">
        <f>"+13023925202"</f>
        <v>+13023925202</v>
      </c>
      <c r="AE1542" t="str">
        <f t="shared" si="119"/>
        <v>541511</v>
      </c>
      <c r="AF1542" t="s">
        <v>3713</v>
      </c>
      <c r="AG1542" t="s">
        <v>3714</v>
      </c>
      <c r="AH1542" t="s">
        <v>108</v>
      </c>
      <c r="AI1542" t="s">
        <v>3715</v>
      </c>
      <c r="AJ1542" t="s">
        <v>3712</v>
      </c>
      <c r="AK1542" t="str">
        <f>"SUITE 30"</f>
        <v>SUITE 30</v>
      </c>
      <c r="AL1542" t="s">
        <v>1775</v>
      </c>
      <c r="AM1542" t="s">
        <v>1776</v>
      </c>
      <c r="AN1542" s="3">
        <v>19810</v>
      </c>
      <c r="AO1542" t="s">
        <v>101</v>
      </c>
      <c r="AQ1542" t="str">
        <f>"+13023925202"</f>
        <v>+13023925202</v>
      </c>
      <c r="AS1542" t="s">
        <v>3716</v>
      </c>
      <c r="AT1542" t="s">
        <v>107</v>
      </c>
      <c r="AU1542" t="str">
        <f>"Tadmor"</f>
        <v>Tadmor</v>
      </c>
      <c r="AV1542" t="str">
        <f>"Yoav"</f>
        <v>Yoav</v>
      </c>
      <c r="AW1542" t="str">
        <f>"N/A"</f>
        <v>N/A</v>
      </c>
      <c r="AX1542" t="str">
        <f>"340 Main Street "</f>
        <v xml:space="preserve">340 Main Street </v>
      </c>
      <c r="AY1542" t="str">
        <f>"Suite 610"</f>
        <v>Suite 610</v>
      </c>
      <c r="AZ1542" t="str">
        <f>"Worcester "</f>
        <v xml:space="preserve">Worcester </v>
      </c>
      <c r="BA1542" t="str">
        <f>"MA"</f>
        <v>MA</v>
      </c>
      <c r="BB1542" s="3">
        <v>1608</v>
      </c>
      <c r="BC1542" t="str">
        <f>"UNITED STATES OF AMERICA"</f>
        <v>UNITED STATES OF AMERICA</v>
      </c>
      <c r="BD1542" t="str">
        <f>""</f>
        <v/>
      </c>
      <c r="BE1542" t="str">
        <f>"+15087919400"</f>
        <v>+15087919400</v>
      </c>
      <c r="BF1542" t="str">
        <f>""</f>
        <v/>
      </c>
      <c r="BG1542" t="str">
        <f>"yoav@tadmorlaw.com"</f>
        <v>yoav@tadmorlaw.com</v>
      </c>
      <c r="BH1542" t="str">
        <f>"Tadmor &amp; Tadmor LLP"</f>
        <v>Tadmor &amp; Tadmor LLP</v>
      </c>
      <c r="BI1542" t="str">
        <f>"MA"</f>
        <v>MA</v>
      </c>
      <c r="BJ1542" t="str">
        <f>"SUPREME JUDICIAL COURT"</f>
        <v>SUPREME JUDICIAL COURT</v>
      </c>
      <c r="BK1542">
        <v>1</v>
      </c>
      <c r="BL1542" t="s">
        <v>107</v>
      </c>
      <c r="BM1542" t="str">
        <f>"American Express"</f>
        <v>American Express</v>
      </c>
      <c r="BN1542" t="s">
        <v>3717</v>
      </c>
      <c r="BP1542" t="s">
        <v>3718</v>
      </c>
      <c r="BQ1542" t="s">
        <v>257</v>
      </c>
      <c r="BR1542" t="s">
        <v>258</v>
      </c>
      <c r="BS1542" s="5">
        <v>85054</v>
      </c>
      <c r="BT1542" s="2">
        <v>87963</v>
      </c>
      <c r="BV1542" t="s">
        <v>105</v>
      </c>
      <c r="BW1542" s="2">
        <v>83637</v>
      </c>
      <c r="BX1542" t="s">
        <v>105</v>
      </c>
      <c r="BZ1542" t="s">
        <v>167</v>
      </c>
      <c r="CA1542" t="str">
        <f t="shared" si="118"/>
        <v>7/1/2020 - 6/30/2021</v>
      </c>
      <c r="CF1542">
        <v>2</v>
      </c>
      <c r="CG1542" t="s">
        <v>98</v>
      </c>
      <c r="CH1542" t="s">
        <v>98</v>
      </c>
      <c r="CI1542" t="s">
        <v>206</v>
      </c>
      <c r="CJ1542" t="s">
        <v>98</v>
      </c>
      <c r="CK1542" t="s">
        <v>12324</v>
      </c>
      <c r="CL1542" t="s">
        <v>108</v>
      </c>
      <c r="CM1542" t="s">
        <v>109</v>
      </c>
      <c r="CN1542" t="str">
        <f>""</f>
        <v/>
      </c>
      <c r="CO1542" t="str">
        <f>""</f>
        <v/>
      </c>
      <c r="CP1542" t="str">
        <f>""</f>
        <v/>
      </c>
      <c r="CQ1542" t="str">
        <f>""</f>
        <v/>
      </c>
    </row>
    <row r="1543" spans="1:96" x14ac:dyDescent="0.2">
      <c r="A1543" t="s">
        <v>3884</v>
      </c>
      <c r="B1543" t="s">
        <v>96</v>
      </c>
      <c r="C1543" s="1">
        <v>44099</v>
      </c>
      <c r="D1543" s="1">
        <v>44106</v>
      </c>
      <c r="F1543" t="s">
        <v>97</v>
      </c>
      <c r="G1543" t="str">
        <f>"Computer Systems Engineer"</f>
        <v>Computer Systems Engineer</v>
      </c>
      <c r="H1543" t="s">
        <v>12168</v>
      </c>
      <c r="I1543" t="s">
        <v>160</v>
      </c>
      <c r="J1543" t="s">
        <v>98</v>
      </c>
      <c r="K1543" s="1">
        <v>44259</v>
      </c>
      <c r="L1543" s="1">
        <v>45354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 t="s">
        <v>3885</v>
      </c>
      <c r="U1543" t="str">
        <f>"dba Apolis"</f>
        <v>dba Apolis</v>
      </c>
      <c r="V1543" t="s">
        <v>3886</v>
      </c>
      <c r="W1543" t="str">
        <f>"Suite 2250"</f>
        <v>Suite 2250</v>
      </c>
      <c r="X1543" t="s">
        <v>1247</v>
      </c>
      <c r="Y1543" t="s">
        <v>141</v>
      </c>
      <c r="Z1543" s="3">
        <v>90245</v>
      </c>
      <c r="AA1543" t="s">
        <v>101</v>
      </c>
      <c r="AC1543" s="4" t="str">
        <f>"+13104211285"</f>
        <v>+13104211285</v>
      </c>
      <c r="AE1543" t="str">
        <f t="shared" si="119"/>
        <v>541511</v>
      </c>
      <c r="AF1543" t="s">
        <v>3887</v>
      </c>
      <c r="AG1543" t="s">
        <v>2303</v>
      </c>
      <c r="AI1543" t="s">
        <v>1203</v>
      </c>
      <c r="AJ1543" t="s">
        <v>3886</v>
      </c>
      <c r="AK1543" t="str">
        <f>"Suite 2250"</f>
        <v>Suite 2250</v>
      </c>
      <c r="AL1543" t="s">
        <v>1247</v>
      </c>
      <c r="AM1543" t="s">
        <v>141</v>
      </c>
      <c r="AN1543" s="3">
        <v>90245</v>
      </c>
      <c r="AO1543" t="s">
        <v>101</v>
      </c>
      <c r="AQ1543" t="str">
        <f>"+13104211285"</f>
        <v>+13104211285</v>
      </c>
      <c r="AS1543" t="s">
        <v>3888</v>
      </c>
      <c r="AT1543" t="s">
        <v>102</v>
      </c>
      <c r="AU1543" t="str">
        <f>""</f>
        <v/>
      </c>
      <c r="AV1543" t="str">
        <f>""</f>
        <v/>
      </c>
      <c r="AW1543" t="str">
        <f>""</f>
        <v/>
      </c>
      <c r="AX1543" t="str">
        <f>""</f>
        <v/>
      </c>
      <c r="AY1543" t="str">
        <f>""</f>
        <v/>
      </c>
      <c r="AZ1543" t="str">
        <f>""</f>
        <v/>
      </c>
      <c r="BA1543" t="str">
        <f>""</f>
        <v/>
      </c>
      <c r="BC1543" t="str">
        <f>""</f>
        <v/>
      </c>
      <c r="BD1543" t="str">
        <f>""</f>
        <v/>
      </c>
      <c r="BE1543" t="str">
        <f>""</f>
        <v/>
      </c>
      <c r="BF1543" t="str">
        <f>""</f>
        <v/>
      </c>
      <c r="BG1543" t="str">
        <f>""</f>
        <v/>
      </c>
      <c r="BH1543" t="str">
        <f>""</f>
        <v/>
      </c>
      <c r="BI1543" t="str">
        <f>""</f>
        <v/>
      </c>
      <c r="BJ1543" t="str">
        <f>""</f>
        <v/>
      </c>
      <c r="BK1543">
        <v>1</v>
      </c>
      <c r="BL1543" t="s">
        <v>107</v>
      </c>
      <c r="BM1543" t="str">
        <f>"Qualcomm"</f>
        <v>Qualcomm</v>
      </c>
      <c r="BN1543" t="s">
        <v>3889</v>
      </c>
      <c r="BP1543" t="s">
        <v>157</v>
      </c>
      <c r="BQ1543" t="s">
        <v>158</v>
      </c>
      <c r="BR1543" t="s">
        <v>141</v>
      </c>
      <c r="BS1543" s="5">
        <v>92121</v>
      </c>
      <c r="BT1543" s="2">
        <v>78000</v>
      </c>
      <c r="BV1543" t="s">
        <v>105</v>
      </c>
      <c r="BW1543" s="2">
        <v>74942</v>
      </c>
      <c r="BX1543" t="s">
        <v>105</v>
      </c>
      <c r="BZ1543" t="s">
        <v>167</v>
      </c>
      <c r="CA1543" t="str">
        <f t="shared" si="118"/>
        <v>7/1/2020 - 6/30/2021</v>
      </c>
      <c r="CF1543">
        <v>2</v>
      </c>
      <c r="CG1543" t="s">
        <v>98</v>
      </c>
      <c r="CH1543" t="s">
        <v>98</v>
      </c>
      <c r="CI1543" t="s">
        <v>206</v>
      </c>
      <c r="CJ1543" t="s">
        <v>98</v>
      </c>
      <c r="CK1543" t="s">
        <v>12324</v>
      </c>
      <c r="CL1543" t="s">
        <v>108</v>
      </c>
      <c r="CM1543" t="s">
        <v>109</v>
      </c>
      <c r="CN1543" t="str">
        <f>""</f>
        <v/>
      </c>
      <c r="CO1543" t="str">
        <f>""</f>
        <v/>
      </c>
      <c r="CP1543" t="str">
        <f>""</f>
        <v/>
      </c>
      <c r="CQ1543" t="str">
        <f>""</f>
        <v/>
      </c>
    </row>
    <row r="1544" spans="1:96" x14ac:dyDescent="0.2">
      <c r="A1544" t="s">
        <v>4721</v>
      </c>
      <c r="B1544" t="s">
        <v>96</v>
      </c>
      <c r="C1544" s="1">
        <v>44099</v>
      </c>
      <c r="D1544" s="1">
        <v>44106</v>
      </c>
      <c r="F1544" t="s">
        <v>97</v>
      </c>
      <c r="G1544" t="str">
        <f>" Software Developer"</f>
        <v xml:space="preserve"> Software Developer</v>
      </c>
      <c r="H1544" t="s">
        <v>12169</v>
      </c>
      <c r="I1544" t="s">
        <v>124</v>
      </c>
      <c r="J1544" t="s">
        <v>98</v>
      </c>
      <c r="K1544" s="1">
        <v>44100</v>
      </c>
      <c r="L1544" s="1">
        <v>45193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 t="s">
        <v>503</v>
      </c>
      <c r="U1544" t="str">
        <f>""</f>
        <v/>
      </c>
      <c r="V1544" t="s">
        <v>504</v>
      </c>
      <c r="W1544" t="str">
        <f>"SUITE 102"</f>
        <v>SUITE 102</v>
      </c>
      <c r="X1544" t="s">
        <v>162</v>
      </c>
      <c r="Y1544" t="s">
        <v>100</v>
      </c>
      <c r="Z1544" s="3">
        <v>8536</v>
      </c>
      <c r="AA1544" t="s">
        <v>101</v>
      </c>
      <c r="AB1544" t="s">
        <v>505</v>
      </c>
      <c r="AC1544" s="4" t="str">
        <f>"+16096069010"</f>
        <v>+16096069010</v>
      </c>
      <c r="AE1544" t="str">
        <f t="shared" si="119"/>
        <v>541511</v>
      </c>
      <c r="AF1544" t="s">
        <v>4722</v>
      </c>
      <c r="AG1544" t="s">
        <v>4723</v>
      </c>
      <c r="AH1544" t="s">
        <v>108</v>
      </c>
      <c r="AI1544" t="s">
        <v>799</v>
      </c>
      <c r="AJ1544" t="s">
        <v>4724</v>
      </c>
      <c r="AK1544" t="str">
        <f>" SUITE 102"</f>
        <v xml:space="preserve"> SUITE 102</v>
      </c>
      <c r="AL1544" t="s">
        <v>4725</v>
      </c>
      <c r="AM1544" t="s">
        <v>100</v>
      </c>
      <c r="AN1544" s="3">
        <v>8536</v>
      </c>
      <c r="AO1544" t="s">
        <v>101</v>
      </c>
      <c r="AQ1544" t="str">
        <f>"+16096069010"</f>
        <v>+16096069010</v>
      </c>
      <c r="AR1544">
        <v>1253</v>
      </c>
      <c r="AS1544" t="s">
        <v>509</v>
      </c>
      <c r="AT1544" t="s">
        <v>102</v>
      </c>
      <c r="AU1544" t="str">
        <f>""</f>
        <v/>
      </c>
      <c r="AV1544" t="str">
        <f>""</f>
        <v/>
      </c>
      <c r="AW1544" t="str">
        <f>""</f>
        <v/>
      </c>
      <c r="AX1544" t="str">
        <f>""</f>
        <v/>
      </c>
      <c r="AY1544" t="str">
        <f>""</f>
        <v/>
      </c>
      <c r="AZ1544" t="str">
        <f>""</f>
        <v/>
      </c>
      <c r="BA1544" t="str">
        <f>""</f>
        <v/>
      </c>
      <c r="BC1544" t="str">
        <f>""</f>
        <v/>
      </c>
      <c r="BD1544" t="str">
        <f>""</f>
        <v/>
      </c>
      <c r="BE1544" t="str">
        <f>""</f>
        <v/>
      </c>
      <c r="BF1544" t="str">
        <f>""</f>
        <v/>
      </c>
      <c r="BG1544" t="str">
        <f>""</f>
        <v/>
      </c>
      <c r="BH1544" t="str">
        <f>""</f>
        <v/>
      </c>
      <c r="BI1544" t="str">
        <f>""</f>
        <v/>
      </c>
      <c r="BJ1544" t="str">
        <f>""</f>
        <v/>
      </c>
      <c r="BK1544">
        <v>1</v>
      </c>
      <c r="BL1544" t="s">
        <v>107</v>
      </c>
      <c r="BM1544" t="str">
        <f>"Comcast"</f>
        <v>Comcast</v>
      </c>
      <c r="BN1544" t="s">
        <v>4726</v>
      </c>
      <c r="BP1544" t="s">
        <v>1817</v>
      </c>
      <c r="BQ1544" t="s">
        <v>510</v>
      </c>
      <c r="BR1544" t="s">
        <v>127</v>
      </c>
      <c r="BS1544" s="5">
        <v>19103</v>
      </c>
      <c r="BT1544" s="2">
        <v>100750</v>
      </c>
      <c r="BU1544" s="2">
        <v>122250</v>
      </c>
      <c r="BV1544" t="s">
        <v>105</v>
      </c>
      <c r="BW1544" s="2">
        <v>89773</v>
      </c>
      <c r="BX1544" t="s">
        <v>105</v>
      </c>
      <c r="BZ1544" t="s">
        <v>167</v>
      </c>
      <c r="CA1544" t="str">
        <f t="shared" si="118"/>
        <v>7/1/2020 - 6/30/2021</v>
      </c>
      <c r="CF1544">
        <v>2</v>
      </c>
      <c r="CG1544" t="s">
        <v>98</v>
      </c>
      <c r="CH1544" t="s">
        <v>98</v>
      </c>
      <c r="CI1544" t="s">
        <v>206</v>
      </c>
      <c r="CJ1544" t="s">
        <v>98</v>
      </c>
      <c r="CK1544" t="s">
        <v>12324</v>
      </c>
      <c r="CL1544" t="s">
        <v>108</v>
      </c>
      <c r="CM1544" t="s">
        <v>109</v>
      </c>
      <c r="CN1544" t="str">
        <f>"N/A"</f>
        <v>N/A</v>
      </c>
      <c r="CO1544" t="str">
        <f>"N/A"</f>
        <v>N/A</v>
      </c>
      <c r="CP1544" t="str">
        <f>"N/A"</f>
        <v>N/A</v>
      </c>
      <c r="CQ1544" t="str">
        <f>"COMPUNNEL SOFTWARE GROUP, INC     "</f>
        <v xml:space="preserve">COMPUNNEL SOFTWARE GROUP, INC     </v>
      </c>
      <c r="CR1544" t="s">
        <v>509</v>
      </c>
    </row>
    <row r="1545" spans="1:96" x14ac:dyDescent="0.2">
      <c r="A1545" t="s">
        <v>5193</v>
      </c>
      <c r="B1545" t="s">
        <v>96</v>
      </c>
      <c r="C1545" s="1">
        <v>44099</v>
      </c>
      <c r="D1545" s="1">
        <v>44106</v>
      </c>
      <c r="F1545" t="s">
        <v>97</v>
      </c>
      <c r="G1545" t="str">
        <f>"Business Intelligence Analyst"</f>
        <v>Business Intelligence Analyst</v>
      </c>
      <c r="H1545" t="s">
        <v>12168</v>
      </c>
      <c r="I1545" t="s">
        <v>249</v>
      </c>
      <c r="J1545" t="s">
        <v>98</v>
      </c>
      <c r="K1545" s="1">
        <v>44197</v>
      </c>
      <c r="L1545" s="1">
        <v>45291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 t="s">
        <v>4788</v>
      </c>
      <c r="U1545" t="str">
        <f>""</f>
        <v/>
      </c>
      <c r="V1545" t="s">
        <v>4789</v>
      </c>
      <c r="W1545" t="str">
        <f>"SUITE 300"</f>
        <v>SUITE 300</v>
      </c>
      <c r="X1545" t="s">
        <v>561</v>
      </c>
      <c r="Y1545" t="s">
        <v>100</v>
      </c>
      <c r="Z1545" s="3">
        <v>8817</v>
      </c>
      <c r="AA1545" t="s">
        <v>101</v>
      </c>
      <c r="AB1545" t="s">
        <v>100</v>
      </c>
      <c r="AC1545" s="4" t="str">
        <f>"+17323930034"</f>
        <v>+17323930034</v>
      </c>
      <c r="AD1545">
        <v>104</v>
      </c>
      <c r="AE1545" t="str">
        <f t="shared" si="119"/>
        <v>541511</v>
      </c>
      <c r="AF1545" t="s">
        <v>4790</v>
      </c>
      <c r="AG1545" t="s">
        <v>4791</v>
      </c>
      <c r="AI1545" t="s">
        <v>4792</v>
      </c>
      <c r="AJ1545" t="s">
        <v>4789</v>
      </c>
      <c r="AK1545" t="str">
        <f>"SUITE 300"</f>
        <v>SUITE 300</v>
      </c>
      <c r="AL1545" t="s">
        <v>561</v>
      </c>
      <c r="AM1545" t="s">
        <v>100</v>
      </c>
      <c r="AN1545" s="3">
        <v>8817</v>
      </c>
      <c r="AO1545" t="s">
        <v>101</v>
      </c>
      <c r="AQ1545" t="str">
        <f>"+17323930034"</f>
        <v>+17323930034</v>
      </c>
      <c r="AS1545" t="s">
        <v>915</v>
      </c>
      <c r="AT1545" t="s">
        <v>107</v>
      </c>
      <c r="AU1545" t="str">
        <f>"Kidambi"</f>
        <v>Kidambi</v>
      </c>
      <c r="AV1545" t="str">
        <f>"Vaman"</f>
        <v>Vaman</v>
      </c>
      <c r="AW1545" t="str">
        <f>"B"</f>
        <v>B</v>
      </c>
      <c r="AX1545" t="str">
        <f>"140 Monroe Tpke"</f>
        <v>140 Monroe Tpke</v>
      </c>
      <c r="AY1545" t="str">
        <f>"Suite A"</f>
        <v>Suite A</v>
      </c>
      <c r="AZ1545" t="str">
        <f>"Trumbull"</f>
        <v>Trumbull</v>
      </c>
      <c r="BA1545" t="str">
        <f>"CT"</f>
        <v>CT</v>
      </c>
      <c r="BB1545" s="3">
        <v>6611</v>
      </c>
      <c r="BC1545" t="str">
        <f>"UNITED STATES OF AMERICA"</f>
        <v>UNITED STATES OF AMERICA</v>
      </c>
      <c r="BD1545" t="str">
        <f>""</f>
        <v/>
      </c>
      <c r="BE1545" t="str">
        <f>"+12034165300"</f>
        <v>+12034165300</v>
      </c>
      <c r="BF1545" t="str">
        <f>"104"</f>
        <v>104</v>
      </c>
      <c r="BG1545" t="str">
        <f>"LCA@Kidambi.com"</f>
        <v>LCA@Kidambi.com</v>
      </c>
      <c r="BH1545" t="str">
        <f>"Kidambi &amp; Associates, P.C."</f>
        <v>Kidambi &amp; Associates, P.C.</v>
      </c>
      <c r="BI1545" t="str">
        <f>"NY"</f>
        <v>NY</v>
      </c>
      <c r="BJ1545" t="str">
        <f>"Supreme Court"</f>
        <v>Supreme Court</v>
      </c>
      <c r="BK1545">
        <v>1</v>
      </c>
      <c r="BL1545" t="s">
        <v>107</v>
      </c>
      <c r="BM1545" t="str">
        <f>"Citigroup"</f>
        <v>Citigroup</v>
      </c>
      <c r="BN1545" t="s">
        <v>4829</v>
      </c>
      <c r="BO1545" t="s">
        <v>5194</v>
      </c>
      <c r="BP1545" t="s">
        <v>1107</v>
      </c>
      <c r="BQ1545" t="s">
        <v>1034</v>
      </c>
      <c r="BR1545" t="s">
        <v>577</v>
      </c>
      <c r="BS1545" s="5">
        <v>33610</v>
      </c>
      <c r="BT1545" s="2">
        <v>98000</v>
      </c>
      <c r="BV1545" t="s">
        <v>105</v>
      </c>
      <c r="BW1545" s="2">
        <v>88774</v>
      </c>
      <c r="BX1545" t="s">
        <v>105</v>
      </c>
      <c r="BZ1545" t="s">
        <v>123</v>
      </c>
      <c r="CA1545" t="str">
        <f t="shared" si="118"/>
        <v>7/1/2020 - 6/30/2021</v>
      </c>
      <c r="CF1545">
        <v>2</v>
      </c>
      <c r="CG1545" t="s">
        <v>98</v>
      </c>
      <c r="CH1545" t="s">
        <v>98</v>
      </c>
      <c r="CI1545" t="s">
        <v>206</v>
      </c>
      <c r="CJ1545" t="s">
        <v>98</v>
      </c>
      <c r="CK1545" t="s">
        <v>12324</v>
      </c>
      <c r="CL1545" t="s">
        <v>108</v>
      </c>
      <c r="CM1545" t="s">
        <v>109</v>
      </c>
      <c r="CN1545" t="str">
        <f>"Kidambi"</f>
        <v>Kidambi</v>
      </c>
      <c r="CO1545" t="str">
        <f>"Vaman"</f>
        <v>Vaman</v>
      </c>
      <c r="CP1545" t="str">
        <f>""</f>
        <v/>
      </c>
      <c r="CQ1545" t="str">
        <f>"Kidambi &amp; Associates, P.C."</f>
        <v>Kidambi &amp; Associates, P.C.</v>
      </c>
      <c r="CR1545" t="s">
        <v>4663</v>
      </c>
    </row>
    <row r="1546" spans="1:96" x14ac:dyDescent="0.2">
      <c r="A1546" t="s">
        <v>5678</v>
      </c>
      <c r="B1546" t="s">
        <v>96</v>
      </c>
      <c r="C1546" s="1">
        <v>44099</v>
      </c>
      <c r="D1546" s="1">
        <v>44106</v>
      </c>
      <c r="F1546" t="s">
        <v>97</v>
      </c>
      <c r="G1546" t="str">
        <f>"Database Administrator"</f>
        <v>Database Administrator</v>
      </c>
      <c r="H1546" t="s">
        <v>12225</v>
      </c>
      <c r="I1546" t="s">
        <v>628</v>
      </c>
      <c r="J1546" t="s">
        <v>98</v>
      </c>
      <c r="K1546" s="1">
        <v>44111</v>
      </c>
      <c r="L1546" s="1">
        <v>45205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 t="s">
        <v>5679</v>
      </c>
      <c r="U1546" t="str">
        <f>""</f>
        <v/>
      </c>
      <c r="V1546" t="s">
        <v>5680</v>
      </c>
      <c r="W1546" t="str">
        <f>"Suite 123"</f>
        <v>Suite 123</v>
      </c>
      <c r="X1546" t="s">
        <v>394</v>
      </c>
      <c r="Y1546" t="s">
        <v>114</v>
      </c>
      <c r="Z1546" s="3">
        <v>77099</v>
      </c>
      <c r="AA1546" t="s">
        <v>101</v>
      </c>
      <c r="AC1546" s="4" t="str">
        <f>"+19794819999"</f>
        <v>+19794819999</v>
      </c>
      <c r="AE1546" t="str">
        <f t="shared" si="119"/>
        <v>541511</v>
      </c>
      <c r="AF1546" t="s">
        <v>5681</v>
      </c>
      <c r="AG1546" t="s">
        <v>5682</v>
      </c>
      <c r="AI1546" t="s">
        <v>5683</v>
      </c>
      <c r="AJ1546" t="s">
        <v>5680</v>
      </c>
      <c r="AK1546" t="str">
        <f>"Suite 123"</f>
        <v>Suite 123</v>
      </c>
      <c r="AL1546" t="s">
        <v>394</v>
      </c>
      <c r="AM1546" t="s">
        <v>114</v>
      </c>
      <c r="AN1546" s="3">
        <v>77099</v>
      </c>
      <c r="AO1546" t="s">
        <v>101</v>
      </c>
      <c r="AQ1546" t="str">
        <f>"+19794819999"</f>
        <v>+19794819999</v>
      </c>
      <c r="AS1546" t="s">
        <v>5684</v>
      </c>
      <c r="AT1546" t="s">
        <v>107</v>
      </c>
      <c r="AU1546" t="str">
        <f>"Hass"</f>
        <v>Hass</v>
      </c>
      <c r="AV1546" t="str">
        <f>"Trevor"</f>
        <v>Trevor</v>
      </c>
      <c r="AW1546" t="str">
        <f>"Loman"</f>
        <v>Loman</v>
      </c>
      <c r="AX1546" t="str">
        <f>"7031 Orchard Lake Road"</f>
        <v>7031 Orchard Lake Road</v>
      </c>
      <c r="AY1546" t="str">
        <f>"Suite 302"</f>
        <v>Suite 302</v>
      </c>
      <c r="AZ1546" t="str">
        <f>"West Bloomfield"</f>
        <v>West Bloomfield</v>
      </c>
      <c r="BA1546" t="str">
        <f>"MI"</f>
        <v>MI</v>
      </c>
      <c r="BB1546" s="3">
        <v>48322</v>
      </c>
      <c r="BC1546" t="str">
        <f>"UNITED STATES OF AMERICA"</f>
        <v>UNITED STATES OF AMERICA</v>
      </c>
      <c r="BD1546" t="str">
        <f>""</f>
        <v/>
      </c>
      <c r="BE1546" t="str">
        <f>"+12488653331"</f>
        <v>+12488653331</v>
      </c>
      <c r="BF1546" t="str">
        <f>""</f>
        <v/>
      </c>
      <c r="BG1546" t="str">
        <f>"trevor@insvisa.com"</f>
        <v>trevor@insvisa.com</v>
      </c>
      <c r="BH1546" t="str">
        <f>"Joseph Kallabat &amp; Associates, P.C."</f>
        <v>Joseph Kallabat &amp; Associates, P.C.</v>
      </c>
      <c r="BI1546" t="str">
        <f>"MI"</f>
        <v>MI</v>
      </c>
      <c r="BJ1546" t="str">
        <f>"Michigan Supreme Court"</f>
        <v>Michigan Supreme Court</v>
      </c>
      <c r="BK1546">
        <v>1</v>
      </c>
      <c r="BL1546" t="s">
        <v>107</v>
      </c>
      <c r="BM1546" t="str">
        <f>"Refinitiv"</f>
        <v>Refinitiv</v>
      </c>
      <c r="BN1546" t="s">
        <v>5685</v>
      </c>
      <c r="BP1546" t="s">
        <v>746</v>
      </c>
      <c r="BQ1546" t="s">
        <v>1964</v>
      </c>
      <c r="BR1546" t="s">
        <v>374</v>
      </c>
      <c r="BS1546" s="5">
        <v>63141</v>
      </c>
      <c r="BT1546" s="2">
        <v>88421</v>
      </c>
      <c r="BV1546" t="s">
        <v>105</v>
      </c>
      <c r="BW1546" s="2">
        <v>88421</v>
      </c>
      <c r="BX1546" t="s">
        <v>105</v>
      </c>
      <c r="BZ1546" t="s">
        <v>123</v>
      </c>
      <c r="CA1546" t="str">
        <f t="shared" si="118"/>
        <v>7/1/2020 - 6/30/2021</v>
      </c>
      <c r="CF1546">
        <v>1</v>
      </c>
      <c r="CG1546" t="s">
        <v>98</v>
      </c>
      <c r="CH1546" t="s">
        <v>98</v>
      </c>
      <c r="CI1546" t="s">
        <v>206</v>
      </c>
      <c r="CJ1546" t="s">
        <v>98</v>
      </c>
      <c r="CK1546" t="s">
        <v>12324</v>
      </c>
      <c r="CL1546" t="s">
        <v>108</v>
      </c>
      <c r="CM1546" t="s">
        <v>109</v>
      </c>
      <c r="CN1546" t="str">
        <f>""</f>
        <v/>
      </c>
      <c r="CO1546" t="str">
        <f>""</f>
        <v/>
      </c>
      <c r="CP1546" t="str">
        <f>""</f>
        <v/>
      </c>
      <c r="CQ1546" t="str">
        <f>""</f>
        <v/>
      </c>
    </row>
    <row r="1547" spans="1:96" x14ac:dyDescent="0.2">
      <c r="A1547" t="s">
        <v>6111</v>
      </c>
      <c r="B1547" t="s">
        <v>96</v>
      </c>
      <c r="C1547" s="1">
        <v>44099</v>
      </c>
      <c r="D1547" s="1">
        <v>44106</v>
      </c>
      <c r="F1547" t="s">
        <v>97</v>
      </c>
      <c r="G1547" t="str">
        <f>"Director - Marketing Technology &amp; Strategy"</f>
        <v>Director - Marketing Technology &amp; Strategy</v>
      </c>
      <c r="H1547" t="s">
        <v>12168</v>
      </c>
      <c r="I1547" t="s">
        <v>1504</v>
      </c>
      <c r="J1547" t="s">
        <v>98</v>
      </c>
      <c r="K1547" s="1">
        <v>44105</v>
      </c>
      <c r="L1547" s="1">
        <v>45199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 t="s">
        <v>1505</v>
      </c>
      <c r="U1547" t="str">
        <f>""</f>
        <v/>
      </c>
      <c r="V1547" t="s">
        <v>1506</v>
      </c>
      <c r="W1547" t="str">
        <f>"SUITE 350"</f>
        <v>SUITE 350</v>
      </c>
      <c r="X1547" t="s">
        <v>1507</v>
      </c>
      <c r="Y1547" t="s">
        <v>135</v>
      </c>
      <c r="Z1547" s="3">
        <v>20171</v>
      </c>
      <c r="AA1547" t="s">
        <v>101</v>
      </c>
      <c r="AC1547" s="4" t="str">
        <f>"+17038707407"</f>
        <v>+17038707407</v>
      </c>
      <c r="AE1547" t="str">
        <f t="shared" si="119"/>
        <v>541511</v>
      </c>
      <c r="AF1547" t="s">
        <v>1508</v>
      </c>
      <c r="AG1547" t="s">
        <v>1509</v>
      </c>
      <c r="AI1547" t="s">
        <v>1510</v>
      </c>
      <c r="AJ1547" t="s">
        <v>1506</v>
      </c>
      <c r="AK1547" t="str">
        <f>"SUITE 350"</f>
        <v>SUITE 350</v>
      </c>
      <c r="AL1547" t="s">
        <v>1507</v>
      </c>
      <c r="AM1547" t="s">
        <v>135</v>
      </c>
      <c r="AN1547" s="3">
        <v>20171</v>
      </c>
      <c r="AO1547" t="s">
        <v>101</v>
      </c>
      <c r="AQ1547" t="str">
        <f>"+17038707407"</f>
        <v>+17038707407</v>
      </c>
      <c r="AS1547" t="s">
        <v>1511</v>
      </c>
      <c r="AT1547" t="s">
        <v>102</v>
      </c>
      <c r="AU1547" t="str">
        <f>""</f>
        <v/>
      </c>
      <c r="AV1547" t="str">
        <f>""</f>
        <v/>
      </c>
      <c r="AW1547" t="str">
        <f>""</f>
        <v/>
      </c>
      <c r="AX1547" t="str">
        <f>""</f>
        <v/>
      </c>
      <c r="AY1547" t="str">
        <f>""</f>
        <v/>
      </c>
      <c r="AZ1547" t="str">
        <f>""</f>
        <v/>
      </c>
      <c r="BA1547" t="str">
        <f>""</f>
        <v/>
      </c>
      <c r="BC1547" t="str">
        <f>""</f>
        <v/>
      </c>
      <c r="BD1547" t="str">
        <f>""</f>
        <v/>
      </c>
      <c r="BE1547" t="str">
        <f>""</f>
        <v/>
      </c>
      <c r="BF1547" t="str">
        <f>""</f>
        <v/>
      </c>
      <c r="BG1547" t="str">
        <f>""</f>
        <v/>
      </c>
      <c r="BH1547" t="str">
        <f>""</f>
        <v/>
      </c>
      <c r="BI1547" t="str">
        <f>""</f>
        <v/>
      </c>
      <c r="BJ1547" t="str">
        <f>""</f>
        <v/>
      </c>
      <c r="BK1547">
        <v>1</v>
      </c>
      <c r="BL1547" t="s">
        <v>102</v>
      </c>
      <c r="BM1547" t="str">
        <f>""</f>
        <v/>
      </c>
      <c r="BN1547" t="s">
        <v>2067</v>
      </c>
      <c r="BO1547" t="s">
        <v>2561</v>
      </c>
      <c r="BP1547" t="s">
        <v>297</v>
      </c>
      <c r="BQ1547" t="s">
        <v>556</v>
      </c>
      <c r="BR1547" t="s">
        <v>114</v>
      </c>
      <c r="BS1547" s="5">
        <v>75024</v>
      </c>
      <c r="BT1547" s="2">
        <v>115000</v>
      </c>
      <c r="BU1547" s="2">
        <v>130000</v>
      </c>
      <c r="BV1547" t="s">
        <v>105</v>
      </c>
      <c r="BW1547" s="2">
        <v>113027</v>
      </c>
      <c r="BX1547" t="s">
        <v>105</v>
      </c>
      <c r="BZ1547" t="s">
        <v>159</v>
      </c>
      <c r="CA1547" t="str">
        <f t="shared" si="118"/>
        <v>7/1/2020 - 6/30/2021</v>
      </c>
      <c r="CF1547">
        <v>2</v>
      </c>
      <c r="CG1547" t="s">
        <v>98</v>
      </c>
      <c r="CH1547" t="s">
        <v>98</v>
      </c>
      <c r="CI1547" t="s">
        <v>206</v>
      </c>
      <c r="CJ1547" t="s">
        <v>98</v>
      </c>
      <c r="CK1547" t="s">
        <v>12324</v>
      </c>
      <c r="CL1547" t="s">
        <v>108</v>
      </c>
      <c r="CM1547" t="s">
        <v>109</v>
      </c>
      <c r="CN1547" t="str">
        <f>""</f>
        <v/>
      </c>
      <c r="CO1547" t="str">
        <f>""</f>
        <v/>
      </c>
      <c r="CP1547" t="str">
        <f>""</f>
        <v/>
      </c>
      <c r="CQ1547" t="str">
        <f>""</f>
        <v/>
      </c>
    </row>
    <row r="1548" spans="1:96" x14ac:dyDescent="0.2">
      <c r="A1548" t="s">
        <v>6356</v>
      </c>
      <c r="B1548" t="s">
        <v>96</v>
      </c>
      <c r="C1548" s="1">
        <v>44099</v>
      </c>
      <c r="D1548" s="1">
        <v>44106</v>
      </c>
      <c r="F1548" t="s">
        <v>97</v>
      </c>
      <c r="G1548" t="str">
        <f>"SOFTWARE DEVELOPER (ORACLE ADF)"</f>
        <v>SOFTWARE DEVELOPER (ORACLE ADF)</v>
      </c>
      <c r="H1548" t="s">
        <v>12169</v>
      </c>
      <c r="I1548" t="s">
        <v>124</v>
      </c>
      <c r="J1548" t="s">
        <v>98</v>
      </c>
      <c r="K1548" s="1">
        <v>44109</v>
      </c>
      <c r="L1548" s="1">
        <v>44458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 t="s">
        <v>4029</v>
      </c>
      <c r="U1548" t="str">
        <f>""</f>
        <v/>
      </c>
      <c r="V1548" t="s">
        <v>4030</v>
      </c>
      <c r="W1548" t="str">
        <f>"SUITE # 303"</f>
        <v>SUITE # 303</v>
      </c>
      <c r="X1548" t="s">
        <v>1733</v>
      </c>
      <c r="Y1548" t="s">
        <v>100</v>
      </c>
      <c r="Z1548" s="3">
        <v>7095</v>
      </c>
      <c r="AA1548" t="s">
        <v>101</v>
      </c>
      <c r="AC1548" s="4" t="str">
        <f>"+18564401050"</f>
        <v>+18564401050</v>
      </c>
      <c r="AD1548">
        <v>101</v>
      </c>
      <c r="AE1548" t="str">
        <f t="shared" si="119"/>
        <v>541511</v>
      </c>
      <c r="AF1548" t="s">
        <v>4031</v>
      </c>
      <c r="AG1548" t="s">
        <v>2347</v>
      </c>
      <c r="AH1548" t="s">
        <v>108</v>
      </c>
      <c r="AI1548" t="s">
        <v>425</v>
      </c>
      <c r="AJ1548" t="s">
        <v>4030</v>
      </c>
      <c r="AK1548" t="str">
        <f>"SUITE # 303"</f>
        <v>SUITE # 303</v>
      </c>
      <c r="AL1548" t="s">
        <v>1733</v>
      </c>
      <c r="AM1548" t="s">
        <v>100</v>
      </c>
      <c r="AN1548" s="3">
        <v>7095</v>
      </c>
      <c r="AO1548" t="s">
        <v>101</v>
      </c>
      <c r="AQ1548" t="str">
        <f>"+18564401050"</f>
        <v>+18564401050</v>
      </c>
      <c r="AR1548">
        <v>101</v>
      </c>
      <c r="AS1548" t="s">
        <v>4032</v>
      </c>
      <c r="AT1548" t="s">
        <v>107</v>
      </c>
      <c r="AU1548" t="str">
        <f>"MARKAN"</f>
        <v>MARKAN</v>
      </c>
      <c r="AV1548" t="str">
        <f>"SHEETAL"</f>
        <v>SHEETAL</v>
      </c>
      <c r="AW1548" t="str">
        <f>"N/A"</f>
        <v>N/A</v>
      </c>
      <c r="AX1548" t="str">
        <f>"200 CENTENNIAL AVENUE"</f>
        <v>200 CENTENNIAL AVENUE</v>
      </c>
      <c r="AY1548" t="str">
        <f>"SUITE # 209"</f>
        <v>SUITE # 209</v>
      </c>
      <c r="AZ1548" t="str">
        <f>"PISCATAWAY"</f>
        <v>PISCATAWAY</v>
      </c>
      <c r="BA1548" t="str">
        <f>"NJ"</f>
        <v>NJ</v>
      </c>
      <c r="BB1548" s="3">
        <v>8854</v>
      </c>
      <c r="BC1548" t="str">
        <f t="shared" ref="BC1548:BC1553" si="120">"UNITED STATES OF AMERICA"</f>
        <v>UNITED STATES OF AMERICA</v>
      </c>
      <c r="BD1548" t="str">
        <f>""</f>
        <v/>
      </c>
      <c r="BE1548" t="str">
        <f>"+16464166252"</f>
        <v>+16464166252</v>
      </c>
      <c r="BF1548" t="str">
        <f>""</f>
        <v/>
      </c>
      <c r="BG1548" t="str">
        <f>"HR@VISAKONNECT.COM"</f>
        <v>HR@VISAKONNECT.COM</v>
      </c>
      <c r="BH1548" t="str">
        <f>"MARKAN LAW PLLC"</f>
        <v>MARKAN LAW PLLC</v>
      </c>
      <c r="BI1548" t="str">
        <f>"NY"</f>
        <v>NY</v>
      </c>
      <c r="BJ1548" t="str">
        <f>"APPELLATE DIVISION, III JUDICIAL"</f>
        <v>APPELLATE DIVISION, III JUDICIAL</v>
      </c>
      <c r="BK1548">
        <v>1</v>
      </c>
      <c r="BL1548" t="s">
        <v>107</v>
      </c>
      <c r="BM1548" t="str">
        <f>"OMNITRACS, LLC"</f>
        <v>OMNITRACS, LLC</v>
      </c>
      <c r="BN1548" t="s">
        <v>4033</v>
      </c>
      <c r="BO1548" t="s">
        <v>4034</v>
      </c>
      <c r="BP1548" t="s">
        <v>484</v>
      </c>
      <c r="BQ1548" t="s">
        <v>484</v>
      </c>
      <c r="BR1548" t="s">
        <v>114</v>
      </c>
      <c r="BS1548" s="5">
        <v>75201</v>
      </c>
      <c r="BT1548" s="2">
        <v>76752</v>
      </c>
      <c r="BU1548" s="2">
        <v>76800</v>
      </c>
      <c r="BV1548" t="s">
        <v>105</v>
      </c>
      <c r="BW1548" s="2">
        <v>76752</v>
      </c>
      <c r="BX1548" t="s">
        <v>105</v>
      </c>
      <c r="BZ1548" t="s">
        <v>191</v>
      </c>
      <c r="CA1548" t="str">
        <f t="shared" si="118"/>
        <v>7/1/2020 - 6/30/2021</v>
      </c>
      <c r="CF1548">
        <v>1</v>
      </c>
      <c r="CG1548" t="s">
        <v>98</v>
      </c>
      <c r="CH1548" t="s">
        <v>98</v>
      </c>
      <c r="CI1548" t="s">
        <v>206</v>
      </c>
      <c r="CJ1548" t="s">
        <v>98</v>
      </c>
      <c r="CK1548" t="s">
        <v>12324</v>
      </c>
      <c r="CL1548" t="s">
        <v>108</v>
      </c>
      <c r="CM1548" t="s">
        <v>109</v>
      </c>
      <c r="CN1548" t="str">
        <f>"MARKAN"</f>
        <v>MARKAN</v>
      </c>
      <c r="CO1548" t="str">
        <f>"SHEETAL"</f>
        <v>SHEETAL</v>
      </c>
      <c r="CP1548" t="str">
        <f>""</f>
        <v/>
      </c>
      <c r="CQ1548" t="str">
        <f>"MARKAN LAW PLLC"</f>
        <v>MARKAN LAW PLLC</v>
      </c>
      <c r="CR1548" t="s">
        <v>4035</v>
      </c>
    </row>
    <row r="1549" spans="1:96" x14ac:dyDescent="0.2">
      <c r="A1549" t="s">
        <v>6647</v>
      </c>
      <c r="B1549" t="s">
        <v>96</v>
      </c>
      <c r="C1549" s="1">
        <v>44099</v>
      </c>
      <c r="D1549" s="1">
        <v>44106</v>
      </c>
      <c r="F1549" t="s">
        <v>97</v>
      </c>
      <c r="G1549" t="str">
        <f>"Software Developer"</f>
        <v>Software Developer</v>
      </c>
      <c r="H1549" t="s">
        <v>12169</v>
      </c>
      <c r="I1549" t="s">
        <v>124</v>
      </c>
      <c r="J1549" t="s">
        <v>98</v>
      </c>
      <c r="K1549" s="1">
        <v>44104</v>
      </c>
      <c r="L1549" s="1">
        <v>45198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 t="s">
        <v>6648</v>
      </c>
      <c r="U1549" t="str">
        <f>""</f>
        <v/>
      </c>
      <c r="V1549" t="s">
        <v>6649</v>
      </c>
      <c r="W1549" t="str">
        <f>""</f>
        <v/>
      </c>
      <c r="X1549" t="s">
        <v>2892</v>
      </c>
      <c r="Y1549" t="s">
        <v>135</v>
      </c>
      <c r="Z1549" s="3">
        <v>24060</v>
      </c>
      <c r="AA1549" t="s">
        <v>101</v>
      </c>
      <c r="AC1549" s="4" t="str">
        <f>"+15409515900"</f>
        <v>+15409515900</v>
      </c>
      <c r="AD1549">
        <v>205</v>
      </c>
      <c r="AE1549" t="str">
        <f t="shared" si="119"/>
        <v>541511</v>
      </c>
      <c r="AF1549" t="s">
        <v>2388</v>
      </c>
      <c r="AG1549" t="s">
        <v>6650</v>
      </c>
      <c r="AH1549" t="s">
        <v>702</v>
      </c>
      <c r="AI1549" t="s">
        <v>6651</v>
      </c>
      <c r="AJ1549" t="s">
        <v>6649</v>
      </c>
      <c r="AK1549" t="str">
        <f>""</f>
        <v/>
      </c>
      <c r="AL1549" t="s">
        <v>2892</v>
      </c>
      <c r="AM1549" t="s">
        <v>135</v>
      </c>
      <c r="AN1549" s="3">
        <v>24060</v>
      </c>
      <c r="AO1549" t="s">
        <v>101</v>
      </c>
      <c r="AQ1549" t="str">
        <f>"+15409515900"</f>
        <v>+15409515900</v>
      </c>
      <c r="AR1549">
        <v>205</v>
      </c>
      <c r="AS1549" t="s">
        <v>6652</v>
      </c>
      <c r="AT1549" t="s">
        <v>107</v>
      </c>
      <c r="AU1549" t="str">
        <f>"Dave"</f>
        <v>Dave</v>
      </c>
      <c r="AV1549" t="str">
        <f>"Aparna"</f>
        <v>Aparna</v>
      </c>
      <c r="AW1549" t="str">
        <f>"Raju"</f>
        <v>Raju</v>
      </c>
      <c r="AX1549" t="str">
        <f>"107 Alderwood Drive"</f>
        <v>107 Alderwood Drive</v>
      </c>
      <c r="AY1549" t="str">
        <f>""</f>
        <v/>
      </c>
      <c r="AZ1549" t="str">
        <f>"Gaithersburg"</f>
        <v>Gaithersburg</v>
      </c>
      <c r="BA1549" t="str">
        <f>"MD"</f>
        <v>MD</v>
      </c>
      <c r="BB1549" s="3">
        <v>20878</v>
      </c>
      <c r="BC1549" t="str">
        <f t="shared" si="120"/>
        <v>UNITED STATES OF AMERICA</v>
      </c>
      <c r="BD1549" t="str">
        <f>""</f>
        <v/>
      </c>
      <c r="BE1549" t="str">
        <f>"+13013155842"</f>
        <v>+13013155842</v>
      </c>
      <c r="BF1549" t="str">
        <f>""</f>
        <v/>
      </c>
      <c r="BG1549" t="str">
        <f>"aparnadave@immigration2us.com"</f>
        <v>aparnadave@immigration2us.com</v>
      </c>
      <c r="BH1549" t="str">
        <f>"Law Offices of Aparna Dave"</f>
        <v>Law Offices of Aparna Dave</v>
      </c>
      <c r="BI1549" t="str">
        <f>"MA"</f>
        <v>MA</v>
      </c>
      <c r="BJ1549" t="str">
        <f>"Supreme Judicial Court"</f>
        <v>Supreme Judicial Court</v>
      </c>
      <c r="BK1549">
        <v>1</v>
      </c>
      <c r="BL1549" t="s">
        <v>102</v>
      </c>
      <c r="BM1549" t="str">
        <f>""</f>
        <v/>
      </c>
      <c r="BN1549" t="s">
        <v>6653</v>
      </c>
      <c r="BP1549" t="s">
        <v>958</v>
      </c>
      <c r="BQ1549" t="s">
        <v>454</v>
      </c>
      <c r="BR1549" t="s">
        <v>135</v>
      </c>
      <c r="BS1549" s="5">
        <v>22102</v>
      </c>
      <c r="BT1549" s="2">
        <v>97500</v>
      </c>
      <c r="BV1549" t="s">
        <v>105</v>
      </c>
      <c r="BW1549" s="2">
        <v>97406</v>
      </c>
      <c r="BX1549" t="s">
        <v>105</v>
      </c>
      <c r="BZ1549" t="s">
        <v>167</v>
      </c>
      <c r="CA1549" t="str">
        <f t="shared" si="118"/>
        <v>7/1/2020 - 6/30/2021</v>
      </c>
      <c r="CF1549">
        <v>1</v>
      </c>
      <c r="CG1549" t="s">
        <v>98</v>
      </c>
      <c r="CH1549" t="s">
        <v>98</v>
      </c>
      <c r="CI1549" t="s">
        <v>206</v>
      </c>
      <c r="CJ1549" t="s">
        <v>98</v>
      </c>
      <c r="CK1549" t="s">
        <v>12324</v>
      </c>
      <c r="CL1549" t="s">
        <v>108</v>
      </c>
      <c r="CM1549" t="s">
        <v>109</v>
      </c>
      <c r="CN1549" t="str">
        <f>""</f>
        <v/>
      </c>
      <c r="CO1549" t="str">
        <f>""</f>
        <v/>
      </c>
      <c r="CP1549" t="str">
        <f>""</f>
        <v/>
      </c>
      <c r="CQ1549" t="str">
        <f>""</f>
        <v/>
      </c>
    </row>
    <row r="1550" spans="1:96" x14ac:dyDescent="0.2">
      <c r="A1550" t="s">
        <v>6659</v>
      </c>
      <c r="B1550" t="s">
        <v>96</v>
      </c>
      <c r="C1550" s="1">
        <v>44099</v>
      </c>
      <c r="D1550" s="1">
        <v>44106</v>
      </c>
      <c r="F1550" t="s">
        <v>97</v>
      </c>
      <c r="G1550" t="str">
        <f>"OIM Developer"</f>
        <v>OIM Developer</v>
      </c>
      <c r="H1550" t="s">
        <v>12169</v>
      </c>
      <c r="I1550" t="s">
        <v>124</v>
      </c>
      <c r="J1550" t="s">
        <v>98</v>
      </c>
      <c r="K1550" s="1">
        <v>44105</v>
      </c>
      <c r="L1550" s="1">
        <v>45199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6660</v>
      </c>
      <c r="U1550" t="str">
        <f>""</f>
        <v/>
      </c>
      <c r="V1550" t="s">
        <v>6661</v>
      </c>
      <c r="W1550" t="str">
        <f>"Suite # 187"</f>
        <v>Suite # 187</v>
      </c>
      <c r="X1550" t="s">
        <v>297</v>
      </c>
      <c r="Y1550" t="s">
        <v>114</v>
      </c>
      <c r="Z1550" s="3">
        <v>75023</v>
      </c>
      <c r="AA1550" t="s">
        <v>101</v>
      </c>
      <c r="AC1550" s="4" t="str">
        <f>"+14692778291"</f>
        <v>+14692778291</v>
      </c>
      <c r="AE1550" t="str">
        <f t="shared" si="119"/>
        <v>541511</v>
      </c>
      <c r="AF1550" t="s">
        <v>6662</v>
      </c>
      <c r="AG1550" t="s">
        <v>4229</v>
      </c>
      <c r="AI1550" t="s">
        <v>646</v>
      </c>
      <c r="AJ1550" t="s">
        <v>6663</v>
      </c>
      <c r="AK1550" t="str">
        <f>"Suite #187"</f>
        <v>Suite #187</v>
      </c>
      <c r="AL1550" t="s">
        <v>297</v>
      </c>
      <c r="AM1550" t="s">
        <v>114</v>
      </c>
      <c r="AN1550" s="3">
        <v>75023</v>
      </c>
      <c r="AO1550" t="s">
        <v>101</v>
      </c>
      <c r="AQ1550" t="str">
        <f>"+14692778291"</f>
        <v>+14692778291</v>
      </c>
      <c r="AS1550" t="s">
        <v>6664</v>
      </c>
      <c r="AT1550" t="s">
        <v>107</v>
      </c>
      <c r="AU1550" t="str">
        <f>"Mahajan"</f>
        <v>Mahajan</v>
      </c>
      <c r="AV1550" t="str">
        <f>"Vandana"</f>
        <v>Vandana</v>
      </c>
      <c r="AW1550" t="str">
        <f>""</f>
        <v/>
      </c>
      <c r="AX1550" t="str">
        <f>"3101 Ashbrook Lane"</f>
        <v>3101 Ashbrook Lane</v>
      </c>
      <c r="AY1550" t="str">
        <f>""</f>
        <v/>
      </c>
      <c r="AZ1550" t="str">
        <f>"San Ramon"</f>
        <v>San Ramon</v>
      </c>
      <c r="BA1550" t="str">
        <f>"CA"</f>
        <v>CA</v>
      </c>
      <c r="BB1550" s="3">
        <v>94582</v>
      </c>
      <c r="BC1550" t="str">
        <f t="shared" si="120"/>
        <v>UNITED STATES OF AMERICA</v>
      </c>
      <c r="BD1550" t="str">
        <f>""</f>
        <v/>
      </c>
      <c r="BE1550" t="str">
        <f>"+15107318348"</f>
        <v>+15107318348</v>
      </c>
      <c r="BF1550" t="str">
        <f>""</f>
        <v/>
      </c>
      <c r="BG1550" t="str">
        <f>"vandana@vivaimmigrationinc.com"</f>
        <v>vandana@vivaimmigrationinc.com</v>
      </c>
      <c r="BH1550" t="str">
        <f>"Viva Immigration Inc"</f>
        <v>Viva Immigration Inc</v>
      </c>
      <c r="BI1550" t="str">
        <f>""</f>
        <v/>
      </c>
      <c r="BJ1550" t="str">
        <f>""</f>
        <v/>
      </c>
      <c r="BK1550">
        <v>1</v>
      </c>
      <c r="BL1550" t="s">
        <v>107</v>
      </c>
      <c r="BM1550" t="str">
        <f>"New Island Pharmacy Inc"</f>
        <v>New Island Pharmacy Inc</v>
      </c>
      <c r="BN1550" t="s">
        <v>6665</v>
      </c>
      <c r="BP1550" t="s">
        <v>6666</v>
      </c>
      <c r="BQ1550" t="s">
        <v>1354</v>
      </c>
      <c r="BR1550" t="s">
        <v>190</v>
      </c>
      <c r="BS1550" s="5">
        <v>11729</v>
      </c>
      <c r="BT1550" s="2">
        <v>100526</v>
      </c>
      <c r="BV1550" t="s">
        <v>105</v>
      </c>
      <c r="BW1550" s="2">
        <v>100526</v>
      </c>
      <c r="BX1550" t="s">
        <v>105</v>
      </c>
      <c r="BZ1550" t="s">
        <v>167</v>
      </c>
      <c r="CA1550" t="str">
        <f t="shared" si="118"/>
        <v>7/1/2020 - 6/30/2021</v>
      </c>
      <c r="CF1550">
        <v>1</v>
      </c>
      <c r="CG1550" t="s">
        <v>98</v>
      </c>
      <c r="CH1550" t="s">
        <v>98</v>
      </c>
      <c r="CI1550" t="s">
        <v>206</v>
      </c>
      <c r="CJ1550" t="s">
        <v>98</v>
      </c>
      <c r="CK1550" t="s">
        <v>12324</v>
      </c>
      <c r="CL1550" t="s">
        <v>108</v>
      </c>
      <c r="CM1550" t="s">
        <v>109</v>
      </c>
      <c r="CN1550" t="str">
        <f>"Mahajan"</f>
        <v>Mahajan</v>
      </c>
      <c r="CO1550" t="str">
        <f>"Vandana"</f>
        <v>Vandana</v>
      </c>
      <c r="CP1550" t="str">
        <f>""</f>
        <v/>
      </c>
      <c r="CQ1550" t="str">
        <f>"Viva Immigration Inc"</f>
        <v>Viva Immigration Inc</v>
      </c>
      <c r="CR1550" t="s">
        <v>4321</v>
      </c>
    </row>
    <row r="1551" spans="1:96" x14ac:dyDescent="0.2">
      <c r="A1551" t="s">
        <v>6774</v>
      </c>
      <c r="B1551" t="s">
        <v>96</v>
      </c>
      <c r="C1551" s="1">
        <v>44099</v>
      </c>
      <c r="D1551" s="1">
        <v>44106</v>
      </c>
      <c r="F1551" t="s">
        <v>97</v>
      </c>
      <c r="G1551" t="str">
        <f>"Network Administrator"</f>
        <v>Network Administrator</v>
      </c>
      <c r="H1551" t="s">
        <v>12225</v>
      </c>
      <c r="I1551" t="s">
        <v>628</v>
      </c>
      <c r="J1551" t="s">
        <v>98</v>
      </c>
      <c r="K1551" s="1">
        <v>44198</v>
      </c>
      <c r="L1551" s="1">
        <v>45292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 t="s">
        <v>6775</v>
      </c>
      <c r="U1551" t="str">
        <f>""</f>
        <v/>
      </c>
      <c r="V1551" t="s">
        <v>6776</v>
      </c>
      <c r="W1551" t="str">
        <f>"SUITE 668"</f>
        <v>SUITE 668</v>
      </c>
      <c r="X1551" t="s">
        <v>3904</v>
      </c>
      <c r="Y1551" t="s">
        <v>190</v>
      </c>
      <c r="Z1551" s="3">
        <v>11556</v>
      </c>
      <c r="AA1551" t="s">
        <v>101</v>
      </c>
      <c r="AC1551" s="4" t="str">
        <f>"+18886626888"</f>
        <v>+18886626888</v>
      </c>
      <c r="AE1551" t="str">
        <f t="shared" si="119"/>
        <v>541511</v>
      </c>
      <c r="AF1551" t="s">
        <v>6777</v>
      </c>
      <c r="AG1551" t="s">
        <v>6778</v>
      </c>
      <c r="AI1551" t="s">
        <v>508</v>
      </c>
      <c r="AJ1551" t="s">
        <v>6776</v>
      </c>
      <c r="AK1551" t="str">
        <f>"SUITE 668"</f>
        <v>SUITE 668</v>
      </c>
      <c r="AL1551" t="s">
        <v>3904</v>
      </c>
      <c r="AM1551" t="s">
        <v>190</v>
      </c>
      <c r="AN1551" s="3">
        <v>11556</v>
      </c>
      <c r="AO1551" t="s">
        <v>101</v>
      </c>
      <c r="AQ1551" t="str">
        <f>"+18886626888"</f>
        <v>+18886626888</v>
      </c>
      <c r="AS1551" t="s">
        <v>6779</v>
      </c>
      <c r="AT1551" t="s">
        <v>107</v>
      </c>
      <c r="AU1551" t="str">
        <f>"Clement"</f>
        <v>Clement</v>
      </c>
      <c r="AV1551" t="str">
        <f>"John"</f>
        <v>John</v>
      </c>
      <c r="AW1551" t="str">
        <f>""</f>
        <v/>
      </c>
      <c r="AX1551" t="str">
        <f>"575 E. Big Beaver Road"</f>
        <v>575 E. Big Beaver Road</v>
      </c>
      <c r="AY1551" t="str">
        <f>"Suite 190"</f>
        <v>Suite 190</v>
      </c>
      <c r="AZ1551" t="str">
        <f>"Troy"</f>
        <v>Troy</v>
      </c>
      <c r="BA1551" t="str">
        <f>"MI"</f>
        <v>MI</v>
      </c>
      <c r="BB1551" s="3">
        <v>48083</v>
      </c>
      <c r="BC1551" t="str">
        <f t="shared" si="120"/>
        <v>UNITED STATES OF AMERICA</v>
      </c>
      <c r="BD1551" t="str">
        <f>""</f>
        <v/>
      </c>
      <c r="BE1551" t="str">
        <f>"+12485281426"</f>
        <v>+12485281426</v>
      </c>
      <c r="BF1551" t="str">
        <f>""</f>
        <v/>
      </c>
      <c r="BG1551" t="str">
        <f>"john@clement-immlaw.com"</f>
        <v>john@clement-immlaw.com</v>
      </c>
      <c r="BH1551" t="str">
        <f>"John Clement PLC"</f>
        <v>John Clement PLC</v>
      </c>
      <c r="BI1551" t="str">
        <f>"MI"</f>
        <v>MI</v>
      </c>
      <c r="BJ1551" t="str">
        <f>"Michigan Supreme Court"</f>
        <v>Michigan Supreme Court</v>
      </c>
      <c r="BK1551">
        <v>1</v>
      </c>
      <c r="BL1551" t="s">
        <v>107</v>
      </c>
      <c r="BM1551" t="str">
        <f>"Merck &amp; Co Inc"</f>
        <v>Merck &amp; Co Inc</v>
      </c>
      <c r="BN1551" t="s">
        <v>6780</v>
      </c>
      <c r="BP1551" t="s">
        <v>5610</v>
      </c>
      <c r="BQ1551" t="s">
        <v>535</v>
      </c>
      <c r="BR1551" t="s">
        <v>100</v>
      </c>
      <c r="BS1551" s="5">
        <v>8876</v>
      </c>
      <c r="BT1551" s="2">
        <v>91770</v>
      </c>
      <c r="BU1551" s="2">
        <v>91770.01</v>
      </c>
      <c r="BV1551" t="s">
        <v>105</v>
      </c>
      <c r="BW1551" s="2">
        <v>90584</v>
      </c>
      <c r="BX1551" t="s">
        <v>105</v>
      </c>
      <c r="BZ1551" t="s">
        <v>167</v>
      </c>
      <c r="CA1551" t="str">
        <f t="shared" si="118"/>
        <v>7/1/2020 - 6/30/2021</v>
      </c>
      <c r="CF1551">
        <v>2</v>
      </c>
      <c r="CG1551" t="s">
        <v>98</v>
      </c>
      <c r="CH1551" t="s">
        <v>98</v>
      </c>
      <c r="CI1551" t="s">
        <v>206</v>
      </c>
      <c r="CJ1551" t="s">
        <v>98</v>
      </c>
      <c r="CK1551" t="s">
        <v>12324</v>
      </c>
      <c r="CL1551" t="s">
        <v>108</v>
      </c>
      <c r="CM1551" t="s">
        <v>109</v>
      </c>
      <c r="CN1551" t="str">
        <f>""</f>
        <v/>
      </c>
      <c r="CO1551" t="str">
        <f>""</f>
        <v/>
      </c>
      <c r="CP1551" t="str">
        <f>""</f>
        <v/>
      </c>
      <c r="CQ1551" t="str">
        <f>""</f>
        <v/>
      </c>
    </row>
    <row r="1552" spans="1:96" x14ac:dyDescent="0.2">
      <c r="A1552" t="s">
        <v>7245</v>
      </c>
      <c r="B1552" t="s">
        <v>96</v>
      </c>
      <c r="C1552" s="1">
        <v>44099</v>
      </c>
      <c r="D1552" s="1">
        <v>44106</v>
      </c>
      <c r="F1552" t="s">
        <v>97</v>
      </c>
      <c r="G1552" t="str">
        <f>"Database Administrator "</f>
        <v xml:space="preserve">Database Administrator </v>
      </c>
      <c r="H1552" t="s">
        <v>12225</v>
      </c>
      <c r="I1552" t="s">
        <v>628</v>
      </c>
      <c r="J1552" t="s">
        <v>98</v>
      </c>
      <c r="K1552" s="1">
        <v>44197</v>
      </c>
      <c r="L1552" s="1">
        <v>45291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 t="s">
        <v>3763</v>
      </c>
      <c r="U1552" t="str">
        <f>""</f>
        <v/>
      </c>
      <c r="V1552" t="s">
        <v>3712</v>
      </c>
      <c r="W1552" t="str">
        <f>"SUITE 30"</f>
        <v>SUITE 30</v>
      </c>
      <c r="X1552" t="s">
        <v>1775</v>
      </c>
      <c r="Y1552" t="s">
        <v>1776</v>
      </c>
      <c r="Z1552" s="3">
        <v>19810</v>
      </c>
      <c r="AA1552" t="s">
        <v>101</v>
      </c>
      <c r="AC1552" s="4" t="str">
        <f>"+13023925202"</f>
        <v>+13023925202</v>
      </c>
      <c r="AE1552" t="str">
        <f t="shared" si="119"/>
        <v>541511</v>
      </c>
      <c r="AF1552" t="s">
        <v>3713</v>
      </c>
      <c r="AG1552" t="s">
        <v>3714</v>
      </c>
      <c r="AH1552" t="s">
        <v>108</v>
      </c>
      <c r="AI1552" t="s">
        <v>3715</v>
      </c>
      <c r="AJ1552" t="s">
        <v>3712</v>
      </c>
      <c r="AK1552" t="str">
        <f>"SUITE 30"</f>
        <v>SUITE 30</v>
      </c>
      <c r="AL1552" t="s">
        <v>1775</v>
      </c>
      <c r="AM1552" t="s">
        <v>1776</v>
      </c>
      <c r="AN1552" s="3">
        <v>19810</v>
      </c>
      <c r="AO1552" t="s">
        <v>101</v>
      </c>
      <c r="AQ1552" t="str">
        <f>"+13023925202"</f>
        <v>+13023925202</v>
      </c>
      <c r="AS1552" t="s">
        <v>3716</v>
      </c>
      <c r="AT1552" t="s">
        <v>107</v>
      </c>
      <c r="AU1552" t="str">
        <f>"Tadmor"</f>
        <v>Tadmor</v>
      </c>
      <c r="AV1552" t="str">
        <f>"Yoav"</f>
        <v>Yoav</v>
      </c>
      <c r="AW1552" t="str">
        <f>"N/A"</f>
        <v>N/A</v>
      </c>
      <c r="AX1552" t="str">
        <f>"340 Main Street "</f>
        <v xml:space="preserve">340 Main Street </v>
      </c>
      <c r="AY1552" t="str">
        <f>"Suite 610"</f>
        <v>Suite 610</v>
      </c>
      <c r="AZ1552" t="str">
        <f>"Worcester "</f>
        <v xml:space="preserve">Worcester </v>
      </c>
      <c r="BA1552" t="str">
        <f>"MA"</f>
        <v>MA</v>
      </c>
      <c r="BB1552" s="3">
        <v>1608</v>
      </c>
      <c r="BC1552" t="str">
        <f t="shared" si="120"/>
        <v>UNITED STATES OF AMERICA</v>
      </c>
      <c r="BD1552" t="str">
        <f>""</f>
        <v/>
      </c>
      <c r="BE1552" t="str">
        <f>"+15087919400"</f>
        <v>+15087919400</v>
      </c>
      <c r="BF1552" t="str">
        <f>""</f>
        <v/>
      </c>
      <c r="BG1552" t="str">
        <f>"yoav@tadmorlaw.com"</f>
        <v>yoav@tadmorlaw.com</v>
      </c>
      <c r="BH1552" t="str">
        <f>"Tadmor &amp; Tadmor LLP"</f>
        <v>Tadmor &amp; Tadmor LLP</v>
      </c>
      <c r="BI1552" t="str">
        <f>"MA"</f>
        <v>MA</v>
      </c>
      <c r="BJ1552" t="str">
        <f>"SUPREME JUDICIAL COURT"</f>
        <v>SUPREME JUDICIAL COURT</v>
      </c>
      <c r="BK1552">
        <v>1</v>
      </c>
      <c r="BL1552" t="s">
        <v>107</v>
      </c>
      <c r="BM1552" t="str">
        <f>"New York City Metropolitan Transportation Authority "</f>
        <v xml:space="preserve">New York City Metropolitan Transportation Authority </v>
      </c>
      <c r="BN1552" t="s">
        <v>7246</v>
      </c>
      <c r="BO1552" t="s">
        <v>7224</v>
      </c>
      <c r="BP1552" t="s">
        <v>1213</v>
      </c>
      <c r="BQ1552" t="s">
        <v>1214</v>
      </c>
      <c r="BR1552" t="s">
        <v>100</v>
      </c>
      <c r="BS1552" s="5">
        <v>7306</v>
      </c>
      <c r="BT1552" s="2">
        <v>90584</v>
      </c>
      <c r="BV1552" t="s">
        <v>105</v>
      </c>
      <c r="BW1552" s="2">
        <v>90584</v>
      </c>
      <c r="BX1552" t="s">
        <v>105</v>
      </c>
      <c r="BZ1552" t="s">
        <v>167</v>
      </c>
      <c r="CA1552" t="str">
        <f t="shared" si="118"/>
        <v>7/1/2020 - 6/30/2021</v>
      </c>
      <c r="CF1552">
        <v>2</v>
      </c>
      <c r="CG1552" t="s">
        <v>98</v>
      </c>
      <c r="CH1552" t="s">
        <v>98</v>
      </c>
      <c r="CI1552" t="s">
        <v>206</v>
      </c>
      <c r="CJ1552" t="s">
        <v>98</v>
      </c>
      <c r="CK1552" t="s">
        <v>12324</v>
      </c>
      <c r="CL1552" t="s">
        <v>108</v>
      </c>
      <c r="CM1552" t="s">
        <v>109</v>
      </c>
      <c r="CN1552" t="str">
        <f>""</f>
        <v/>
      </c>
      <c r="CO1552" t="str">
        <f>""</f>
        <v/>
      </c>
      <c r="CP1552" t="str">
        <f>""</f>
        <v/>
      </c>
      <c r="CQ1552" t="str">
        <f>""</f>
        <v/>
      </c>
    </row>
    <row r="1553" spans="1:96" x14ac:dyDescent="0.2">
      <c r="A1553" t="s">
        <v>7421</v>
      </c>
      <c r="B1553" t="s">
        <v>96</v>
      </c>
      <c r="C1553" s="1">
        <v>44099</v>
      </c>
      <c r="D1553" s="1">
        <v>44106</v>
      </c>
      <c r="F1553" t="s">
        <v>97</v>
      </c>
      <c r="G1553" t="str">
        <f>"Network Architect"</f>
        <v>Network Architect</v>
      </c>
      <c r="H1553" t="s">
        <v>12183</v>
      </c>
      <c r="I1553" t="s">
        <v>2335</v>
      </c>
      <c r="J1553" t="s">
        <v>98</v>
      </c>
      <c r="K1553" s="1">
        <v>44170</v>
      </c>
      <c r="L1553" s="1">
        <v>45264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 t="s">
        <v>5189</v>
      </c>
      <c r="U1553" t="str">
        <f>""</f>
        <v/>
      </c>
      <c r="V1553" t="s">
        <v>6870</v>
      </c>
      <c r="W1553" t="str">
        <f>"Suite 100"</f>
        <v>Suite 100</v>
      </c>
      <c r="X1553" t="s">
        <v>1337</v>
      </c>
      <c r="Y1553" t="s">
        <v>141</v>
      </c>
      <c r="Z1553" s="3">
        <v>95032</v>
      </c>
      <c r="AA1553" t="s">
        <v>101</v>
      </c>
      <c r="AC1553" s="4" t="str">
        <f>"+14083556000"</f>
        <v>+14083556000</v>
      </c>
      <c r="AE1553" t="str">
        <f t="shared" si="119"/>
        <v>541511</v>
      </c>
      <c r="AF1553" t="s">
        <v>3403</v>
      </c>
      <c r="AG1553" t="s">
        <v>6871</v>
      </c>
      <c r="AI1553" t="s">
        <v>2445</v>
      </c>
      <c r="AJ1553" t="s">
        <v>6870</v>
      </c>
      <c r="AK1553" t="str">
        <f>"Suite 100"</f>
        <v>Suite 100</v>
      </c>
      <c r="AL1553" t="s">
        <v>1337</v>
      </c>
      <c r="AM1553" t="s">
        <v>141</v>
      </c>
      <c r="AN1553" s="3">
        <v>95032</v>
      </c>
      <c r="AO1553" t="s">
        <v>101</v>
      </c>
      <c r="AQ1553" t="str">
        <f>"+14083556000"</f>
        <v>+14083556000</v>
      </c>
      <c r="AS1553" t="s">
        <v>7422</v>
      </c>
      <c r="AT1553" t="s">
        <v>107</v>
      </c>
      <c r="AU1553" t="str">
        <f>"Do"</f>
        <v>Do</v>
      </c>
      <c r="AV1553" t="str">
        <f>"Grace"</f>
        <v>Grace</v>
      </c>
      <c r="AW1553" t="str">
        <f>""</f>
        <v/>
      </c>
      <c r="AX1553" t="str">
        <f>"4966 El Camino Real"</f>
        <v>4966 El Camino Real</v>
      </c>
      <c r="AY1553" t="str">
        <f>"Suite 200"</f>
        <v>Suite 200</v>
      </c>
      <c r="AZ1553" t="str">
        <f>"Los Altos"</f>
        <v>Los Altos</v>
      </c>
      <c r="BA1553" t="str">
        <f>"CA"</f>
        <v>CA</v>
      </c>
      <c r="BB1553" s="3">
        <v>94022</v>
      </c>
      <c r="BC1553" t="str">
        <f t="shared" si="120"/>
        <v>UNITED STATES OF AMERICA</v>
      </c>
      <c r="BD1553" t="str">
        <f>""</f>
        <v/>
      </c>
      <c r="BE1553" t="str">
        <f>"+16506178888"</f>
        <v>+16506178888</v>
      </c>
      <c r="BF1553" t="str">
        <f>""</f>
        <v/>
      </c>
      <c r="BG1553" t="str">
        <f>"gracedo@rosecarson.com"</f>
        <v>gracedo@rosecarson.com</v>
      </c>
      <c r="BH1553" t="str">
        <f>"Rose Carson LLP"</f>
        <v>Rose Carson LLP</v>
      </c>
      <c r="BI1553" t="str">
        <f>"CA"</f>
        <v>CA</v>
      </c>
      <c r="BJ1553" t="str">
        <f>"Supreme Court"</f>
        <v>Supreme Court</v>
      </c>
      <c r="BK1553">
        <v>1</v>
      </c>
      <c r="BL1553" t="s">
        <v>102</v>
      </c>
      <c r="BM1553" t="str">
        <f>""</f>
        <v/>
      </c>
      <c r="BN1553" t="s">
        <v>7423</v>
      </c>
      <c r="BO1553" t="s">
        <v>7424</v>
      </c>
      <c r="BP1553" t="s">
        <v>229</v>
      </c>
      <c r="BQ1553" t="s">
        <v>230</v>
      </c>
      <c r="BR1553" t="s">
        <v>141</v>
      </c>
      <c r="BS1553" s="5">
        <v>94086</v>
      </c>
      <c r="BT1553" s="2">
        <v>145305</v>
      </c>
      <c r="BV1553" t="s">
        <v>105</v>
      </c>
      <c r="BW1553" s="2">
        <v>120405</v>
      </c>
      <c r="BX1553" t="s">
        <v>105</v>
      </c>
      <c r="CA1553" t="str">
        <f>""</f>
        <v/>
      </c>
      <c r="CB1553" t="s">
        <v>244</v>
      </c>
      <c r="CC1553">
        <v>2020</v>
      </c>
      <c r="CD1553" t="s">
        <v>1823</v>
      </c>
      <c r="CE1553" t="s">
        <v>7425</v>
      </c>
      <c r="CF1553">
        <v>4</v>
      </c>
      <c r="CG1553" t="s">
        <v>98</v>
      </c>
      <c r="CH1553" t="s">
        <v>98</v>
      </c>
      <c r="CI1553" t="s">
        <v>206</v>
      </c>
      <c r="CJ1553" t="s">
        <v>98</v>
      </c>
      <c r="CK1553" t="s">
        <v>12324</v>
      </c>
      <c r="CL1553" t="s">
        <v>108</v>
      </c>
      <c r="CM1553" t="s">
        <v>109</v>
      </c>
      <c r="CN1553" t="str">
        <f>"Chakravorty"</f>
        <v>Chakravorty</v>
      </c>
      <c r="CO1553" t="str">
        <f>"Arundhati"</f>
        <v>Arundhati</v>
      </c>
      <c r="CP1553" t="str">
        <f>""</f>
        <v/>
      </c>
      <c r="CQ1553" t="str">
        <f>"Rose Carson LLP"</f>
        <v>Rose Carson LLP</v>
      </c>
      <c r="CR1553" t="s">
        <v>7426</v>
      </c>
    </row>
    <row r="1554" spans="1:96" x14ac:dyDescent="0.2">
      <c r="A1554" t="s">
        <v>7665</v>
      </c>
      <c r="B1554" t="s">
        <v>96</v>
      </c>
      <c r="C1554" s="1">
        <v>44099</v>
      </c>
      <c r="D1554" s="1">
        <v>44106</v>
      </c>
      <c r="F1554" t="s">
        <v>97</v>
      </c>
      <c r="G1554" t="str">
        <f>"Software Engineer - QA"</f>
        <v>Software Engineer - QA</v>
      </c>
      <c r="H1554" t="s">
        <v>12169</v>
      </c>
      <c r="I1554" t="s">
        <v>124</v>
      </c>
      <c r="J1554" t="s">
        <v>98</v>
      </c>
      <c r="K1554" s="1">
        <v>44102</v>
      </c>
      <c r="L1554" s="1">
        <v>44520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 t="s">
        <v>7666</v>
      </c>
      <c r="U1554" t="str">
        <f>""</f>
        <v/>
      </c>
      <c r="V1554" t="s">
        <v>7667</v>
      </c>
      <c r="W1554" t="str">
        <f>"SUITE 320"</f>
        <v>SUITE 320</v>
      </c>
      <c r="X1554" t="s">
        <v>843</v>
      </c>
      <c r="Y1554" t="s">
        <v>345</v>
      </c>
      <c r="Z1554" s="3">
        <v>60659</v>
      </c>
      <c r="AA1554" t="s">
        <v>101</v>
      </c>
      <c r="AC1554" s="4" t="str">
        <f>"+17738662180"</f>
        <v>+17738662180</v>
      </c>
      <c r="AE1554" t="str">
        <f t="shared" si="119"/>
        <v>541511</v>
      </c>
      <c r="AF1554" t="s">
        <v>7668</v>
      </c>
      <c r="AG1554" t="s">
        <v>7669</v>
      </c>
      <c r="AH1554" t="s">
        <v>1517</v>
      </c>
      <c r="AI1554" t="s">
        <v>7670</v>
      </c>
      <c r="AJ1554" t="s">
        <v>7667</v>
      </c>
      <c r="AK1554" t="str">
        <f>"STE 320"</f>
        <v>STE 320</v>
      </c>
      <c r="AL1554" t="s">
        <v>843</v>
      </c>
      <c r="AM1554" t="s">
        <v>345</v>
      </c>
      <c r="AN1554" s="3">
        <v>60659</v>
      </c>
      <c r="AO1554" t="s">
        <v>101</v>
      </c>
      <c r="AQ1554" t="str">
        <f>"+17738662180"</f>
        <v>+17738662180</v>
      </c>
      <c r="AS1554" t="s">
        <v>7671</v>
      </c>
      <c r="AT1554" t="s">
        <v>102</v>
      </c>
      <c r="AU1554" t="str">
        <f>""</f>
        <v/>
      </c>
      <c r="AV1554" t="str">
        <f>""</f>
        <v/>
      </c>
      <c r="AW1554" t="str">
        <f>""</f>
        <v/>
      </c>
      <c r="AX1554" t="str">
        <f>""</f>
        <v/>
      </c>
      <c r="AY1554" t="str">
        <f>""</f>
        <v/>
      </c>
      <c r="AZ1554" t="str">
        <f>""</f>
        <v/>
      </c>
      <c r="BA1554" t="str">
        <f>""</f>
        <v/>
      </c>
      <c r="BC1554" t="str">
        <f>""</f>
        <v/>
      </c>
      <c r="BD1554" t="str">
        <f>""</f>
        <v/>
      </c>
      <c r="BE1554" t="str">
        <f>""</f>
        <v/>
      </c>
      <c r="BF1554" t="str">
        <f>""</f>
        <v/>
      </c>
      <c r="BG1554" t="str">
        <f>""</f>
        <v/>
      </c>
      <c r="BH1554" t="str">
        <f>""</f>
        <v/>
      </c>
      <c r="BI1554" t="str">
        <f>""</f>
        <v/>
      </c>
      <c r="BJ1554" t="str">
        <f>""</f>
        <v/>
      </c>
      <c r="BK1554">
        <v>1</v>
      </c>
      <c r="BL1554" t="s">
        <v>107</v>
      </c>
      <c r="BM1554" t="str">
        <f>"Verizon Communications Inc., (VERIZON)"</f>
        <v>Verizon Communications Inc., (VERIZON)</v>
      </c>
      <c r="BN1554" t="s">
        <v>7672</v>
      </c>
      <c r="BO1554" t="s">
        <v>7673</v>
      </c>
      <c r="BP1554" t="s">
        <v>833</v>
      </c>
      <c r="BQ1554" t="s">
        <v>788</v>
      </c>
      <c r="BR1554" t="s">
        <v>345</v>
      </c>
      <c r="BS1554" s="5">
        <v>60603</v>
      </c>
      <c r="BT1554" s="2">
        <v>94000</v>
      </c>
      <c r="BV1554" t="s">
        <v>105</v>
      </c>
      <c r="BW1554" s="2">
        <v>87838</v>
      </c>
      <c r="BX1554" t="s">
        <v>105</v>
      </c>
      <c r="BZ1554" t="s">
        <v>167</v>
      </c>
      <c r="CA1554" t="str">
        <f t="shared" ref="CA1554:CA1585" si="121">"7/1/2020 - 6/30/2021"</f>
        <v>7/1/2020 - 6/30/2021</v>
      </c>
      <c r="CF1554">
        <v>2</v>
      </c>
      <c r="CG1554" t="s">
        <v>98</v>
      </c>
      <c r="CH1554" t="s">
        <v>98</v>
      </c>
      <c r="CI1554" t="s">
        <v>206</v>
      </c>
      <c r="CJ1554" t="s">
        <v>98</v>
      </c>
      <c r="CK1554" t="s">
        <v>12324</v>
      </c>
      <c r="CL1554" t="s">
        <v>108</v>
      </c>
      <c r="CM1554" t="s">
        <v>109</v>
      </c>
      <c r="CN1554" t="str">
        <f>""</f>
        <v/>
      </c>
      <c r="CO1554" t="str">
        <f>""</f>
        <v/>
      </c>
      <c r="CP1554" t="str">
        <f>""</f>
        <v/>
      </c>
      <c r="CQ1554" t="str">
        <f>""</f>
        <v/>
      </c>
    </row>
    <row r="1555" spans="1:96" x14ac:dyDescent="0.2">
      <c r="A1555" t="s">
        <v>7754</v>
      </c>
      <c r="B1555" t="s">
        <v>96</v>
      </c>
      <c r="C1555" s="1">
        <v>44099</v>
      </c>
      <c r="D1555" s="1">
        <v>44106</v>
      </c>
      <c r="F1555" t="s">
        <v>97</v>
      </c>
      <c r="G1555" t="str">
        <f>"Oracle EBS consultant"</f>
        <v>Oracle EBS consultant</v>
      </c>
      <c r="H1555" t="s">
        <v>12169</v>
      </c>
      <c r="I1555" t="s">
        <v>124</v>
      </c>
      <c r="J1555" t="s">
        <v>98</v>
      </c>
      <c r="K1555" s="1">
        <v>44109</v>
      </c>
      <c r="L1555" s="1">
        <v>45203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 t="s">
        <v>7755</v>
      </c>
      <c r="U1555" t="str">
        <f>""</f>
        <v/>
      </c>
      <c r="V1555" t="s">
        <v>2630</v>
      </c>
      <c r="W1555" t="str">
        <f>"SUITE 303"</f>
        <v>SUITE 303</v>
      </c>
      <c r="X1555" t="s">
        <v>211</v>
      </c>
      <c r="Y1555" t="s">
        <v>100</v>
      </c>
      <c r="Z1555" s="3">
        <v>8817</v>
      </c>
      <c r="AA1555" t="s">
        <v>101</v>
      </c>
      <c r="AC1555" s="4" t="str">
        <f>"+17322001177"</f>
        <v>+17322001177</v>
      </c>
      <c r="AE1555" t="str">
        <f t="shared" si="119"/>
        <v>541511</v>
      </c>
      <c r="AF1555" t="s">
        <v>6424</v>
      </c>
      <c r="AG1555" t="s">
        <v>6425</v>
      </c>
      <c r="AI1555" t="s">
        <v>228</v>
      </c>
      <c r="AJ1555" t="s">
        <v>2630</v>
      </c>
      <c r="AK1555" t="str">
        <f>"SUITE 303"</f>
        <v>SUITE 303</v>
      </c>
      <c r="AL1555" t="s">
        <v>211</v>
      </c>
      <c r="AM1555" t="s">
        <v>100</v>
      </c>
      <c r="AN1555" s="3">
        <v>8817</v>
      </c>
      <c r="AO1555" t="s">
        <v>101</v>
      </c>
      <c r="AQ1555" t="str">
        <f>"+17322001177"</f>
        <v>+17322001177</v>
      </c>
      <c r="AS1555" t="s">
        <v>7140</v>
      </c>
      <c r="AT1555" t="s">
        <v>102</v>
      </c>
      <c r="AU1555" t="str">
        <f>""</f>
        <v/>
      </c>
      <c r="AV1555" t="str">
        <f>""</f>
        <v/>
      </c>
      <c r="AW1555" t="str">
        <f>""</f>
        <v/>
      </c>
      <c r="AX1555" t="str">
        <f>""</f>
        <v/>
      </c>
      <c r="AY1555" t="str">
        <f>""</f>
        <v/>
      </c>
      <c r="AZ1555" t="str">
        <f>""</f>
        <v/>
      </c>
      <c r="BA1555" t="str">
        <f>""</f>
        <v/>
      </c>
      <c r="BC1555" t="str">
        <f>""</f>
        <v/>
      </c>
      <c r="BD1555" t="str">
        <f>""</f>
        <v/>
      </c>
      <c r="BE1555" t="str">
        <f>""</f>
        <v/>
      </c>
      <c r="BF1555" t="str">
        <f>""</f>
        <v/>
      </c>
      <c r="BG1555" t="str">
        <f>""</f>
        <v/>
      </c>
      <c r="BH1555" t="str">
        <f>""</f>
        <v/>
      </c>
      <c r="BI1555" t="str">
        <f>""</f>
        <v/>
      </c>
      <c r="BJ1555" t="str">
        <f>""</f>
        <v/>
      </c>
      <c r="BK1555">
        <v>1</v>
      </c>
      <c r="BL1555" t="s">
        <v>107</v>
      </c>
      <c r="BM1555" t="str">
        <f>"c/o Mahesh Recharla"</f>
        <v>c/o Mahesh Recharla</v>
      </c>
      <c r="BN1555" t="s">
        <v>7756</v>
      </c>
      <c r="BO1555" t="s">
        <v>7757</v>
      </c>
      <c r="BP1555" t="s">
        <v>1647</v>
      </c>
      <c r="BQ1555" t="s">
        <v>1087</v>
      </c>
      <c r="BR1555" t="s">
        <v>225</v>
      </c>
      <c r="BS1555" s="5">
        <v>44124</v>
      </c>
      <c r="BT1555" s="2">
        <v>121000</v>
      </c>
      <c r="BV1555" t="s">
        <v>105</v>
      </c>
      <c r="BW1555" s="2">
        <v>70678</v>
      </c>
      <c r="BX1555" t="s">
        <v>105</v>
      </c>
      <c r="BZ1555" t="s">
        <v>167</v>
      </c>
      <c r="CA1555" t="str">
        <f t="shared" si="121"/>
        <v>7/1/2020 - 6/30/2021</v>
      </c>
      <c r="CF1555">
        <v>2</v>
      </c>
      <c r="CG1555" t="s">
        <v>98</v>
      </c>
      <c r="CH1555" t="s">
        <v>98</v>
      </c>
      <c r="CI1555" t="s">
        <v>206</v>
      </c>
      <c r="CJ1555" t="s">
        <v>98</v>
      </c>
      <c r="CK1555" t="s">
        <v>12324</v>
      </c>
      <c r="CL1555" t="s">
        <v>108</v>
      </c>
      <c r="CM1555" t="s">
        <v>109</v>
      </c>
      <c r="CN1555" t="str">
        <f>""</f>
        <v/>
      </c>
      <c r="CO1555" t="str">
        <f>""</f>
        <v/>
      </c>
      <c r="CP1555" t="str">
        <f>""</f>
        <v/>
      </c>
      <c r="CQ1555" t="str">
        <f>""</f>
        <v/>
      </c>
    </row>
    <row r="1556" spans="1:96" x14ac:dyDescent="0.2">
      <c r="A1556" t="s">
        <v>7853</v>
      </c>
      <c r="B1556" t="s">
        <v>96</v>
      </c>
      <c r="C1556" s="1">
        <v>44099</v>
      </c>
      <c r="D1556" s="1">
        <v>44106</v>
      </c>
      <c r="F1556" t="s">
        <v>97</v>
      </c>
      <c r="G1556" t="str">
        <f>"Informatica Developer"</f>
        <v>Informatica Developer</v>
      </c>
      <c r="H1556" t="s">
        <v>12169</v>
      </c>
      <c r="I1556" t="s">
        <v>124</v>
      </c>
      <c r="J1556" t="s">
        <v>98</v>
      </c>
      <c r="K1556" s="1">
        <v>44109</v>
      </c>
      <c r="L1556" s="1">
        <v>45203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 t="s">
        <v>775</v>
      </c>
      <c r="U1556" t="str">
        <f>""</f>
        <v/>
      </c>
      <c r="V1556" t="s">
        <v>3129</v>
      </c>
      <c r="W1556" t="str">
        <f>"STE. 510"</f>
        <v>STE. 510</v>
      </c>
      <c r="X1556" t="s">
        <v>223</v>
      </c>
      <c r="Y1556" t="s">
        <v>225</v>
      </c>
      <c r="Z1556" s="3">
        <v>43017</v>
      </c>
      <c r="AA1556" t="s">
        <v>101</v>
      </c>
      <c r="AC1556" s="4" t="str">
        <f>"+16147189222"</f>
        <v>+16147189222</v>
      </c>
      <c r="AE1556" t="str">
        <f t="shared" si="119"/>
        <v>541511</v>
      </c>
      <c r="AF1556" t="s">
        <v>776</v>
      </c>
      <c r="AG1556" t="s">
        <v>3130</v>
      </c>
      <c r="AI1556" t="s">
        <v>777</v>
      </c>
      <c r="AJ1556" t="s">
        <v>3129</v>
      </c>
      <c r="AK1556" t="str">
        <f>""</f>
        <v/>
      </c>
      <c r="AL1556" t="s">
        <v>223</v>
      </c>
      <c r="AM1556" t="s">
        <v>225</v>
      </c>
      <c r="AN1556" s="3">
        <v>43017</v>
      </c>
      <c r="AO1556" t="s">
        <v>101</v>
      </c>
      <c r="AQ1556" t="str">
        <f>"+16147189222"</f>
        <v>+16147189222</v>
      </c>
      <c r="AS1556" t="s">
        <v>3131</v>
      </c>
      <c r="AT1556" t="s">
        <v>107</v>
      </c>
      <c r="AU1556" t="str">
        <f>"Chugh"</f>
        <v>Chugh</v>
      </c>
      <c r="AV1556" t="str">
        <f>"Navneet"</f>
        <v>Navneet</v>
      </c>
      <c r="AW1556" t="str">
        <f>"Singh"</f>
        <v>Singh</v>
      </c>
      <c r="AX1556" t="str">
        <f>"15925 Carmenita Road"</f>
        <v>15925 Carmenita Road</v>
      </c>
      <c r="AY1556" t="str">
        <f>""</f>
        <v/>
      </c>
      <c r="AZ1556" t="str">
        <f>"Cerritos"</f>
        <v>Cerritos</v>
      </c>
      <c r="BA1556" t="str">
        <f>"CA"</f>
        <v>CA</v>
      </c>
      <c r="BB1556" s="3">
        <v>90703</v>
      </c>
      <c r="BC1556" t="str">
        <f>"UNITED STATES OF AMERICA"</f>
        <v>UNITED STATES OF AMERICA</v>
      </c>
      <c r="BD1556" t="str">
        <f>""</f>
        <v/>
      </c>
      <c r="BE1556" t="str">
        <f>"+15622291220"</f>
        <v>+15622291220</v>
      </c>
      <c r="BF1556" t="str">
        <f>""</f>
        <v/>
      </c>
      <c r="BG1556" t="str">
        <f>"nicholas.kim@chugh.com"</f>
        <v>nicholas.kim@chugh.com</v>
      </c>
      <c r="BH1556" t="str">
        <f>"Chugh, LLP"</f>
        <v>Chugh, LLP</v>
      </c>
      <c r="BI1556" t="str">
        <f>"CA"</f>
        <v>CA</v>
      </c>
      <c r="BJ1556" t="str">
        <f>"Supreme Court"</f>
        <v>Supreme Court</v>
      </c>
      <c r="BK1556">
        <v>1</v>
      </c>
      <c r="BL1556" t="s">
        <v>107</v>
      </c>
      <c r="BM1556" t="str">
        <f>"Dine Brands Global, Inc."</f>
        <v>Dine Brands Global, Inc.</v>
      </c>
      <c r="BN1556" t="s">
        <v>7854</v>
      </c>
      <c r="BO1556" t="s">
        <v>3411</v>
      </c>
      <c r="BP1556" t="s">
        <v>1796</v>
      </c>
      <c r="BQ1556" t="s">
        <v>365</v>
      </c>
      <c r="BR1556" t="s">
        <v>141</v>
      </c>
      <c r="BS1556" s="5">
        <v>91203</v>
      </c>
      <c r="BT1556" s="2">
        <v>100000</v>
      </c>
      <c r="BV1556" t="s">
        <v>105</v>
      </c>
      <c r="BW1556" s="2">
        <v>99632</v>
      </c>
      <c r="BX1556" t="s">
        <v>105</v>
      </c>
      <c r="BZ1556" t="s">
        <v>167</v>
      </c>
      <c r="CA1556" t="str">
        <f t="shared" si="121"/>
        <v>7/1/2020 - 6/30/2021</v>
      </c>
      <c r="CF1556">
        <v>2</v>
      </c>
      <c r="CG1556" t="s">
        <v>98</v>
      </c>
      <c r="CH1556" t="s">
        <v>98</v>
      </c>
      <c r="CI1556" t="s">
        <v>206</v>
      </c>
      <c r="CJ1556" t="s">
        <v>98</v>
      </c>
      <c r="CK1556" t="s">
        <v>12324</v>
      </c>
      <c r="CL1556" t="s">
        <v>108</v>
      </c>
      <c r="CM1556" t="s">
        <v>109</v>
      </c>
      <c r="CN1556" t="str">
        <f>"Kim"</f>
        <v>Kim</v>
      </c>
      <c r="CO1556" t="str">
        <f>"Nicholas"</f>
        <v>Nicholas</v>
      </c>
      <c r="CP1556" t="str">
        <f>""</f>
        <v/>
      </c>
      <c r="CQ1556" t="str">
        <f>"Chugh, LLP"</f>
        <v>Chugh, LLP</v>
      </c>
      <c r="CR1556" t="s">
        <v>948</v>
      </c>
    </row>
    <row r="1557" spans="1:96" x14ac:dyDescent="0.2">
      <c r="A1557" t="s">
        <v>8036</v>
      </c>
      <c r="B1557" t="s">
        <v>96</v>
      </c>
      <c r="C1557" s="1">
        <v>44099</v>
      </c>
      <c r="D1557" s="1">
        <v>44106</v>
      </c>
      <c r="F1557" t="s">
        <v>97</v>
      </c>
      <c r="G1557" t="str">
        <f>"Salesforce Developer "</f>
        <v xml:space="preserve">Salesforce Developer </v>
      </c>
      <c r="H1557" t="s">
        <v>12169</v>
      </c>
      <c r="I1557" t="s">
        <v>124</v>
      </c>
      <c r="J1557" t="s">
        <v>98</v>
      </c>
      <c r="K1557" s="1">
        <v>44105</v>
      </c>
      <c r="L1557" s="1">
        <v>45199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8037</v>
      </c>
      <c r="U1557" t="str">
        <f>""</f>
        <v/>
      </c>
      <c r="V1557" t="s">
        <v>8038</v>
      </c>
      <c r="W1557" t="str">
        <f>"SUITE 121"</f>
        <v>SUITE 121</v>
      </c>
      <c r="X1557" t="s">
        <v>1487</v>
      </c>
      <c r="Y1557" t="s">
        <v>114</v>
      </c>
      <c r="Z1557" s="3">
        <v>75038</v>
      </c>
      <c r="AA1557" t="s">
        <v>101</v>
      </c>
      <c r="AC1557" s="4" t="str">
        <f>"+19794460022"</f>
        <v>+19794460022</v>
      </c>
      <c r="AE1557" t="str">
        <f t="shared" si="119"/>
        <v>541511</v>
      </c>
      <c r="AF1557" t="s">
        <v>8039</v>
      </c>
      <c r="AG1557" t="s">
        <v>1638</v>
      </c>
      <c r="AI1557" t="s">
        <v>629</v>
      </c>
      <c r="AJ1557" t="s">
        <v>8038</v>
      </c>
      <c r="AK1557" t="str">
        <f>"SUITE 121"</f>
        <v>SUITE 121</v>
      </c>
      <c r="AL1557" t="s">
        <v>1487</v>
      </c>
      <c r="AM1557" t="s">
        <v>114</v>
      </c>
      <c r="AN1557" s="3">
        <v>75038</v>
      </c>
      <c r="AO1557" t="s">
        <v>101</v>
      </c>
      <c r="AQ1557" t="str">
        <f>"+19794460022"</f>
        <v>+19794460022</v>
      </c>
      <c r="AS1557" t="s">
        <v>8040</v>
      </c>
      <c r="AT1557" t="s">
        <v>107</v>
      </c>
      <c r="AU1557" t="str">
        <f>"Akula"</f>
        <v>Akula</v>
      </c>
      <c r="AV1557" t="str">
        <f>"Kavitha"</f>
        <v>Kavitha</v>
      </c>
      <c r="AW1557" t="str">
        <f>""</f>
        <v/>
      </c>
      <c r="AX1557" t="str">
        <f>"17400 DALLAS PKWY"</f>
        <v>17400 DALLAS PKWY</v>
      </c>
      <c r="AY1557" t="str">
        <f>"SUITE 216"</f>
        <v>SUITE 216</v>
      </c>
      <c r="AZ1557" t="str">
        <f>"DALLAS"</f>
        <v>DALLAS</v>
      </c>
      <c r="BA1557" t="str">
        <f>"TX"</f>
        <v>TX</v>
      </c>
      <c r="BB1557" s="3">
        <v>75287</v>
      </c>
      <c r="BC1557" t="str">
        <f>"UNITED STATES OF AMERICA"</f>
        <v>UNITED STATES OF AMERICA</v>
      </c>
      <c r="BD1557" t="str">
        <f>""</f>
        <v/>
      </c>
      <c r="BE1557" t="str">
        <f>"+19722414698"</f>
        <v>+19722414698</v>
      </c>
      <c r="BF1557" t="str">
        <f>""</f>
        <v/>
      </c>
      <c r="BG1557" t="str">
        <f>"erika.sanchez@akulalaw.com"</f>
        <v>erika.sanchez@akulalaw.com</v>
      </c>
      <c r="BH1557" t="str">
        <f>"Akula &amp; Associates, P.C."</f>
        <v>Akula &amp; Associates, P.C.</v>
      </c>
      <c r="BI1557" t="str">
        <f>"TX"</f>
        <v>TX</v>
      </c>
      <c r="BJ1557" t="str">
        <f>"SUPREME COURT"</f>
        <v>SUPREME COURT</v>
      </c>
      <c r="BK1557">
        <v>1</v>
      </c>
      <c r="BL1557" t="s">
        <v>102</v>
      </c>
      <c r="BM1557" t="str">
        <f>""</f>
        <v/>
      </c>
      <c r="BN1557" t="s">
        <v>8041</v>
      </c>
      <c r="BP1557" t="s">
        <v>483</v>
      </c>
      <c r="BQ1557" t="s">
        <v>484</v>
      </c>
      <c r="BR1557" t="s">
        <v>114</v>
      </c>
      <c r="BS1557" s="5">
        <v>75038</v>
      </c>
      <c r="BT1557" s="2">
        <v>93558</v>
      </c>
      <c r="BU1557" s="2">
        <v>93560</v>
      </c>
      <c r="BV1557" t="s">
        <v>105</v>
      </c>
      <c r="BW1557" s="2">
        <v>93558</v>
      </c>
      <c r="BX1557" t="s">
        <v>105</v>
      </c>
      <c r="BZ1557" t="s">
        <v>167</v>
      </c>
      <c r="CA1557" t="str">
        <f t="shared" si="121"/>
        <v>7/1/2020 - 6/30/2021</v>
      </c>
      <c r="CF1557">
        <v>1</v>
      </c>
      <c r="CG1557" t="s">
        <v>98</v>
      </c>
      <c r="CH1557" t="s">
        <v>98</v>
      </c>
      <c r="CI1557" t="s">
        <v>206</v>
      </c>
      <c r="CJ1557" t="s">
        <v>98</v>
      </c>
      <c r="CK1557" t="s">
        <v>12324</v>
      </c>
      <c r="CL1557" t="s">
        <v>108</v>
      </c>
      <c r="CM1557" t="s">
        <v>109</v>
      </c>
      <c r="CN1557" t="str">
        <f>""</f>
        <v/>
      </c>
      <c r="CO1557" t="str">
        <f>""</f>
        <v/>
      </c>
      <c r="CP1557" t="str">
        <f>""</f>
        <v/>
      </c>
      <c r="CQ1557" t="str">
        <f>""</f>
        <v/>
      </c>
    </row>
    <row r="1558" spans="1:96" x14ac:dyDescent="0.2">
      <c r="A1558" t="s">
        <v>8049</v>
      </c>
      <c r="B1558" t="s">
        <v>96</v>
      </c>
      <c r="C1558" s="1">
        <v>44099</v>
      </c>
      <c r="D1558" s="1">
        <v>44106</v>
      </c>
      <c r="F1558" t="s">
        <v>97</v>
      </c>
      <c r="G1558" t="str">
        <f>"Azure Machine Learning Engineer"</f>
        <v>Azure Machine Learning Engineer</v>
      </c>
      <c r="H1558" t="s">
        <v>12169</v>
      </c>
      <c r="I1558" t="s">
        <v>124</v>
      </c>
      <c r="J1558" t="s">
        <v>98</v>
      </c>
      <c r="K1558" s="1">
        <v>44105</v>
      </c>
      <c r="L1558" s="1">
        <v>45199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 t="s">
        <v>6802</v>
      </c>
      <c r="U1558" t="str">
        <f>""</f>
        <v/>
      </c>
      <c r="V1558" t="s">
        <v>6803</v>
      </c>
      <c r="W1558" t="str">
        <f>""</f>
        <v/>
      </c>
      <c r="X1558" t="s">
        <v>959</v>
      </c>
      <c r="Y1558" t="s">
        <v>141</v>
      </c>
      <c r="Z1558" s="3">
        <v>95834</v>
      </c>
      <c r="AA1558" t="s">
        <v>101</v>
      </c>
      <c r="AC1558" s="4" t="str">
        <f>"+19166462080"</f>
        <v>+19166462080</v>
      </c>
      <c r="AE1558" t="str">
        <f t="shared" si="119"/>
        <v>541511</v>
      </c>
      <c r="AF1558" t="s">
        <v>6804</v>
      </c>
      <c r="AG1558" t="s">
        <v>6805</v>
      </c>
      <c r="AI1558" t="s">
        <v>508</v>
      </c>
      <c r="AJ1558" t="s">
        <v>6803</v>
      </c>
      <c r="AK1558" t="str">
        <f>""</f>
        <v/>
      </c>
      <c r="AL1558" t="s">
        <v>959</v>
      </c>
      <c r="AM1558" t="s">
        <v>141</v>
      </c>
      <c r="AN1558" s="3">
        <v>95834</v>
      </c>
      <c r="AO1558" t="s">
        <v>101</v>
      </c>
      <c r="AQ1558" t="str">
        <f>"+19166462080"</f>
        <v>+19166462080</v>
      </c>
      <c r="AS1558" t="s">
        <v>6806</v>
      </c>
      <c r="AT1558" t="s">
        <v>107</v>
      </c>
      <c r="AU1558" t="str">
        <f>"Leontyeva"</f>
        <v>Leontyeva</v>
      </c>
      <c r="AV1558" t="str">
        <f>"Veronica"</f>
        <v>Veronica</v>
      </c>
      <c r="AW1558" t="str">
        <f>""</f>
        <v/>
      </c>
      <c r="AX1558" t="str">
        <f>"7031 Orchard Lake Rd."</f>
        <v>7031 Orchard Lake Rd.</v>
      </c>
      <c r="AY1558" t="str">
        <f>"Ste 302"</f>
        <v>Ste 302</v>
      </c>
      <c r="AZ1558" t="str">
        <f>"West Bloomfield"</f>
        <v>West Bloomfield</v>
      </c>
      <c r="BA1558" t="str">
        <f>"MI"</f>
        <v>MI</v>
      </c>
      <c r="BB1558" s="3">
        <v>48322</v>
      </c>
      <c r="BC1558" t="str">
        <f>"UNITED STATES OF AMERICA"</f>
        <v>UNITED STATES OF AMERICA</v>
      </c>
      <c r="BD1558" t="str">
        <f>""</f>
        <v/>
      </c>
      <c r="BE1558" t="str">
        <f>"+12488653331"</f>
        <v>+12488653331</v>
      </c>
      <c r="BF1558" t="str">
        <f>""</f>
        <v/>
      </c>
      <c r="BG1558" t="str">
        <f>"veronica@insvisa.com"</f>
        <v>veronica@insvisa.com</v>
      </c>
      <c r="BH1558" t="str">
        <f>"Joseph Kallabat &amp; Associates, P.C."</f>
        <v>Joseph Kallabat &amp; Associates, P.C.</v>
      </c>
      <c r="BI1558" t="str">
        <f>"MI"</f>
        <v>MI</v>
      </c>
      <c r="BJ1558" t="str">
        <f>"Michigan Supreme Court"</f>
        <v>Michigan Supreme Court</v>
      </c>
      <c r="BK1558">
        <v>1</v>
      </c>
      <c r="BL1558" t="s">
        <v>102</v>
      </c>
      <c r="BM1558" t="str">
        <f>""</f>
        <v/>
      </c>
      <c r="BN1558" t="s">
        <v>6803</v>
      </c>
      <c r="BP1558" t="s">
        <v>959</v>
      </c>
      <c r="BQ1558" t="s">
        <v>474</v>
      </c>
      <c r="BR1558" t="s">
        <v>141</v>
      </c>
      <c r="BS1558" s="5">
        <v>95834</v>
      </c>
      <c r="BT1558" s="2">
        <v>98000</v>
      </c>
      <c r="BV1558" t="s">
        <v>105</v>
      </c>
      <c r="BW1558" s="2">
        <v>97677</v>
      </c>
      <c r="BX1558" t="s">
        <v>105</v>
      </c>
      <c r="BZ1558" t="s">
        <v>167</v>
      </c>
      <c r="CA1558" t="str">
        <f t="shared" si="121"/>
        <v>7/1/2020 - 6/30/2021</v>
      </c>
      <c r="CF1558">
        <v>1</v>
      </c>
      <c r="CG1558" t="s">
        <v>98</v>
      </c>
      <c r="CH1558" t="s">
        <v>98</v>
      </c>
      <c r="CI1558" t="s">
        <v>206</v>
      </c>
      <c r="CJ1558" t="s">
        <v>98</v>
      </c>
      <c r="CK1558" t="s">
        <v>12324</v>
      </c>
      <c r="CL1558" t="s">
        <v>108</v>
      </c>
      <c r="CM1558" t="s">
        <v>109</v>
      </c>
      <c r="CN1558" t="str">
        <f>""</f>
        <v/>
      </c>
      <c r="CO1558" t="str">
        <f>""</f>
        <v/>
      </c>
      <c r="CP1558" t="str">
        <f>""</f>
        <v/>
      </c>
      <c r="CQ1558" t="str">
        <f>""</f>
        <v/>
      </c>
    </row>
    <row r="1559" spans="1:96" x14ac:dyDescent="0.2">
      <c r="A1559" t="s">
        <v>8140</v>
      </c>
      <c r="B1559" t="s">
        <v>96</v>
      </c>
      <c r="C1559" s="1">
        <v>44099</v>
      </c>
      <c r="D1559" s="1">
        <v>44106</v>
      </c>
      <c r="F1559" t="s">
        <v>97</v>
      </c>
      <c r="G1559" t="str">
        <f>"APPLICATION DEVELOPER"</f>
        <v>APPLICATION DEVELOPER</v>
      </c>
      <c r="H1559" t="s">
        <v>12169</v>
      </c>
      <c r="I1559" t="s">
        <v>124</v>
      </c>
      <c r="J1559" t="s">
        <v>98</v>
      </c>
      <c r="K1559" s="1">
        <v>44197</v>
      </c>
      <c r="L1559" s="1">
        <v>45291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 t="s">
        <v>2084</v>
      </c>
      <c r="U1559" t="str">
        <f>""</f>
        <v/>
      </c>
      <c r="V1559" t="s">
        <v>2085</v>
      </c>
      <c r="W1559" t="str">
        <f>"BUILDING 10"</f>
        <v>BUILDING 10</v>
      </c>
      <c r="X1559" t="s">
        <v>403</v>
      </c>
      <c r="Y1559" t="s">
        <v>100</v>
      </c>
      <c r="Z1559" s="3">
        <v>8540</v>
      </c>
      <c r="AA1559" t="s">
        <v>101</v>
      </c>
      <c r="AC1559" s="4" t="str">
        <f>"+17329630433"</f>
        <v>+17329630433</v>
      </c>
      <c r="AE1559" t="str">
        <f t="shared" si="119"/>
        <v>541511</v>
      </c>
      <c r="AF1559" t="s">
        <v>2086</v>
      </c>
      <c r="AG1559" t="s">
        <v>2087</v>
      </c>
      <c r="AI1559" t="s">
        <v>2088</v>
      </c>
      <c r="AJ1559" t="s">
        <v>2085</v>
      </c>
      <c r="AK1559" t="str">
        <f>"BUILDING 10"</f>
        <v>BUILDING 10</v>
      </c>
      <c r="AL1559" t="s">
        <v>403</v>
      </c>
      <c r="AM1559" t="s">
        <v>100</v>
      </c>
      <c r="AN1559" s="3">
        <v>8540</v>
      </c>
      <c r="AO1559" t="s">
        <v>101</v>
      </c>
      <c r="AQ1559" t="str">
        <f>"+17347096702"</f>
        <v>+17347096702</v>
      </c>
      <c r="AS1559" t="s">
        <v>2089</v>
      </c>
      <c r="AT1559" t="s">
        <v>102</v>
      </c>
      <c r="AU1559" t="str">
        <f>""</f>
        <v/>
      </c>
      <c r="AV1559" t="str">
        <f>""</f>
        <v/>
      </c>
      <c r="AW1559" t="str">
        <f>""</f>
        <v/>
      </c>
      <c r="AX1559" t="str">
        <f>""</f>
        <v/>
      </c>
      <c r="AY1559" t="str">
        <f>""</f>
        <v/>
      </c>
      <c r="AZ1559" t="str">
        <f>""</f>
        <v/>
      </c>
      <c r="BA1559" t="str">
        <f>""</f>
        <v/>
      </c>
      <c r="BC1559" t="str">
        <f>""</f>
        <v/>
      </c>
      <c r="BD1559" t="str">
        <f>""</f>
        <v/>
      </c>
      <c r="BE1559" t="str">
        <f>""</f>
        <v/>
      </c>
      <c r="BF1559" t="str">
        <f>""</f>
        <v/>
      </c>
      <c r="BG1559" t="str">
        <f>""</f>
        <v/>
      </c>
      <c r="BH1559" t="str">
        <f>""</f>
        <v/>
      </c>
      <c r="BI1559" t="str">
        <f>""</f>
        <v/>
      </c>
      <c r="BJ1559" t="str">
        <f>""</f>
        <v/>
      </c>
      <c r="BK1559">
        <v>1</v>
      </c>
      <c r="BL1559" t="s">
        <v>102</v>
      </c>
      <c r="BM1559" t="str">
        <f>""</f>
        <v/>
      </c>
      <c r="BN1559" t="s">
        <v>8141</v>
      </c>
      <c r="BO1559" t="s">
        <v>108</v>
      </c>
      <c r="BP1559" t="s">
        <v>8142</v>
      </c>
      <c r="BQ1559" t="s">
        <v>788</v>
      </c>
      <c r="BR1559" t="s">
        <v>345</v>
      </c>
      <c r="BS1559" s="5">
        <v>60018</v>
      </c>
      <c r="BT1559" s="2">
        <v>87838</v>
      </c>
      <c r="BU1559" s="2">
        <v>90000</v>
      </c>
      <c r="BV1559" t="s">
        <v>105</v>
      </c>
      <c r="BW1559" s="2">
        <v>87838</v>
      </c>
      <c r="BX1559" t="s">
        <v>105</v>
      </c>
      <c r="BZ1559" t="s">
        <v>167</v>
      </c>
      <c r="CA1559" t="str">
        <f t="shared" si="121"/>
        <v>7/1/2020 - 6/30/2021</v>
      </c>
      <c r="CF1559">
        <v>1</v>
      </c>
      <c r="CG1559" t="s">
        <v>98</v>
      </c>
      <c r="CH1559" t="s">
        <v>98</v>
      </c>
      <c r="CI1559" t="s">
        <v>206</v>
      </c>
      <c r="CJ1559" t="s">
        <v>98</v>
      </c>
      <c r="CK1559" t="s">
        <v>12324</v>
      </c>
      <c r="CL1559" t="s">
        <v>108</v>
      </c>
      <c r="CM1559" t="s">
        <v>109</v>
      </c>
      <c r="CN1559" t="str">
        <f>""</f>
        <v/>
      </c>
      <c r="CO1559" t="str">
        <f>""</f>
        <v/>
      </c>
      <c r="CP1559" t="str">
        <f>""</f>
        <v/>
      </c>
      <c r="CQ1559" t="str">
        <f>""</f>
        <v/>
      </c>
    </row>
    <row r="1560" spans="1:96" x14ac:dyDescent="0.2">
      <c r="A1560" t="s">
        <v>8160</v>
      </c>
      <c r="B1560" t="s">
        <v>96</v>
      </c>
      <c r="C1560" s="1">
        <v>44099</v>
      </c>
      <c r="D1560" s="1">
        <v>44106</v>
      </c>
      <c r="F1560" t="s">
        <v>97</v>
      </c>
      <c r="G1560" t="str">
        <f>"SOFTWARE (APPLICATIONS) DEVELOPER"</f>
        <v>SOFTWARE (APPLICATIONS) DEVELOPER</v>
      </c>
      <c r="H1560" t="s">
        <v>12169</v>
      </c>
      <c r="I1560" t="s">
        <v>124</v>
      </c>
      <c r="J1560" t="s">
        <v>98</v>
      </c>
      <c r="K1560" s="1">
        <v>44109</v>
      </c>
      <c r="L1560" s="1">
        <v>45203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2691</v>
      </c>
      <c r="U1560" t="str">
        <f>""</f>
        <v/>
      </c>
      <c r="V1560" t="s">
        <v>2692</v>
      </c>
      <c r="W1560" t="str">
        <f>""</f>
        <v/>
      </c>
      <c r="X1560" t="s">
        <v>2693</v>
      </c>
      <c r="Y1560" t="s">
        <v>100</v>
      </c>
      <c r="Z1560" s="3">
        <v>7645</v>
      </c>
      <c r="AA1560" t="s">
        <v>101</v>
      </c>
      <c r="AC1560" s="4" t="str">
        <f>"+12017351962"</f>
        <v>+12017351962</v>
      </c>
      <c r="AE1560" t="str">
        <f>"5416"</f>
        <v>5416</v>
      </c>
      <c r="AF1560" t="s">
        <v>2694</v>
      </c>
      <c r="AG1560" t="s">
        <v>360</v>
      </c>
      <c r="AI1560" t="s">
        <v>425</v>
      </c>
      <c r="AJ1560" t="s">
        <v>2692</v>
      </c>
      <c r="AK1560" t="str">
        <f>""</f>
        <v/>
      </c>
      <c r="AL1560" t="s">
        <v>2693</v>
      </c>
      <c r="AM1560" t="s">
        <v>100</v>
      </c>
      <c r="AN1560" s="3">
        <v>7645</v>
      </c>
      <c r="AO1560" t="s">
        <v>101</v>
      </c>
      <c r="AQ1560" t="str">
        <f>"+12017351962"</f>
        <v>+12017351962</v>
      </c>
      <c r="AS1560" t="s">
        <v>2695</v>
      </c>
      <c r="AT1560" t="s">
        <v>107</v>
      </c>
      <c r="AU1560" t="str">
        <f>"MADAN"</f>
        <v>MADAN</v>
      </c>
      <c r="AV1560" t="str">
        <f>"NEAL"</f>
        <v>NEAL</v>
      </c>
      <c r="AW1560" t="str">
        <f>""</f>
        <v/>
      </c>
      <c r="AX1560" t="str">
        <f>"358 5TH AVENUE, SUITE 704"</f>
        <v>358 5TH AVENUE, SUITE 704</v>
      </c>
      <c r="AY1560" t="str">
        <f>""</f>
        <v/>
      </c>
      <c r="AZ1560" t="str">
        <f>"NEW YORK"</f>
        <v>NEW YORK</v>
      </c>
      <c r="BA1560" t="str">
        <f>"NY"</f>
        <v>NY</v>
      </c>
      <c r="BB1560" s="3">
        <v>10001</v>
      </c>
      <c r="BC1560" t="str">
        <f>"UNITED STATES OF AMERICA"</f>
        <v>UNITED STATES OF AMERICA</v>
      </c>
      <c r="BD1560" t="str">
        <f>""</f>
        <v/>
      </c>
      <c r="BE1560" t="str">
        <f>"+12122398008"</f>
        <v>+12122398008</v>
      </c>
      <c r="BF1560" t="str">
        <f>"201"</f>
        <v>201</v>
      </c>
      <c r="BG1560" t="str">
        <f>"LCA@ILAWUS.COM"</f>
        <v>LCA@ILAWUS.COM</v>
      </c>
      <c r="BH1560" t="str">
        <f>"MADAN &amp; SAIGAL, LLC"</f>
        <v>MADAN &amp; SAIGAL, LLC</v>
      </c>
      <c r="BI1560" t="str">
        <f>"MD"</f>
        <v>MD</v>
      </c>
      <c r="BJ1560" t="str">
        <f>"COURT OF APPEALS"</f>
        <v>COURT OF APPEALS</v>
      </c>
      <c r="BK1560">
        <v>1</v>
      </c>
      <c r="BL1560" t="s">
        <v>107</v>
      </c>
      <c r="BM1560" t="str">
        <f>"BANK OF AMERICA"</f>
        <v>BANK OF AMERICA</v>
      </c>
      <c r="BN1560" t="s">
        <v>8161</v>
      </c>
      <c r="BP1560" t="s">
        <v>998</v>
      </c>
      <c r="BQ1560" t="s">
        <v>121</v>
      </c>
      <c r="BR1560" t="s">
        <v>122</v>
      </c>
      <c r="BS1560" s="5">
        <v>28202</v>
      </c>
      <c r="BT1560" s="2">
        <v>105000</v>
      </c>
      <c r="BU1560" s="2">
        <v>145000</v>
      </c>
      <c r="BV1560" t="s">
        <v>105</v>
      </c>
      <c r="BW1560" s="2">
        <v>104042</v>
      </c>
      <c r="BX1560" t="s">
        <v>105</v>
      </c>
      <c r="BZ1560" t="s">
        <v>123</v>
      </c>
      <c r="CA1560" t="str">
        <f t="shared" si="121"/>
        <v>7/1/2020 - 6/30/2021</v>
      </c>
      <c r="CF1560">
        <v>2</v>
      </c>
      <c r="CG1560" t="s">
        <v>98</v>
      </c>
      <c r="CH1560" t="s">
        <v>98</v>
      </c>
      <c r="CI1560" t="s">
        <v>206</v>
      </c>
      <c r="CJ1560" t="s">
        <v>98</v>
      </c>
      <c r="CK1560" t="s">
        <v>12324</v>
      </c>
      <c r="CL1560" t="s">
        <v>108</v>
      </c>
      <c r="CM1560" t="s">
        <v>109</v>
      </c>
      <c r="CN1560" t="str">
        <f>""</f>
        <v/>
      </c>
      <c r="CO1560" t="str">
        <f>""</f>
        <v/>
      </c>
      <c r="CP1560" t="str">
        <f>""</f>
        <v/>
      </c>
      <c r="CQ1560" t="str">
        <f>""</f>
        <v/>
      </c>
    </row>
    <row r="1561" spans="1:96" x14ac:dyDescent="0.2">
      <c r="A1561" t="s">
        <v>8267</v>
      </c>
      <c r="B1561" t="s">
        <v>96</v>
      </c>
      <c r="C1561" s="1">
        <v>44099</v>
      </c>
      <c r="D1561" s="1">
        <v>44106</v>
      </c>
      <c r="F1561" t="s">
        <v>97</v>
      </c>
      <c r="G1561" t="str">
        <f>"Quality Assurance Engineer"</f>
        <v>Quality Assurance Engineer</v>
      </c>
      <c r="H1561" t="s">
        <v>12168</v>
      </c>
      <c r="I1561" t="s">
        <v>319</v>
      </c>
      <c r="J1561" t="s">
        <v>98</v>
      </c>
      <c r="K1561" s="1">
        <v>44105</v>
      </c>
      <c r="L1561" s="1">
        <v>44811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 t="s">
        <v>7141</v>
      </c>
      <c r="U1561" t="str">
        <f>""</f>
        <v/>
      </c>
      <c r="V1561" t="s">
        <v>7142</v>
      </c>
      <c r="W1561" t="str">
        <f>"SUITE # 250"</f>
        <v>SUITE # 250</v>
      </c>
      <c r="X1561" t="s">
        <v>230</v>
      </c>
      <c r="Y1561" t="s">
        <v>141</v>
      </c>
      <c r="Z1561" s="3">
        <v>95054</v>
      </c>
      <c r="AA1561" t="s">
        <v>101</v>
      </c>
      <c r="AC1561" s="4" t="str">
        <f>"+14087271100"</f>
        <v>+14087271100</v>
      </c>
      <c r="AD1561">
        <v>225</v>
      </c>
      <c r="AE1561" t="str">
        <f>"541511"</f>
        <v>541511</v>
      </c>
      <c r="AF1561" t="s">
        <v>7143</v>
      </c>
      <c r="AG1561" t="s">
        <v>7144</v>
      </c>
      <c r="AI1561" t="s">
        <v>7145</v>
      </c>
      <c r="AJ1561" t="s">
        <v>7142</v>
      </c>
      <c r="AK1561" t="str">
        <f>"SUITE # 250"</f>
        <v>SUITE # 250</v>
      </c>
      <c r="AL1561" t="s">
        <v>230</v>
      </c>
      <c r="AM1561" t="s">
        <v>141</v>
      </c>
      <c r="AN1561" s="3">
        <v>95054</v>
      </c>
      <c r="AO1561" t="s">
        <v>101</v>
      </c>
      <c r="AQ1561" t="str">
        <f>"+14087271100"</f>
        <v>+14087271100</v>
      </c>
      <c r="AR1561">
        <v>225</v>
      </c>
      <c r="AS1561" t="s">
        <v>7146</v>
      </c>
      <c r="AT1561" t="s">
        <v>102</v>
      </c>
      <c r="AU1561" t="str">
        <f>""</f>
        <v/>
      </c>
      <c r="AV1561" t="str">
        <f>""</f>
        <v/>
      </c>
      <c r="AW1561" t="str">
        <f>""</f>
        <v/>
      </c>
      <c r="AX1561" t="str">
        <f>""</f>
        <v/>
      </c>
      <c r="AY1561" t="str">
        <f>""</f>
        <v/>
      </c>
      <c r="AZ1561" t="str">
        <f>""</f>
        <v/>
      </c>
      <c r="BA1561" t="str">
        <f>""</f>
        <v/>
      </c>
      <c r="BC1561" t="str">
        <f>""</f>
        <v/>
      </c>
      <c r="BD1561" t="str">
        <f>""</f>
        <v/>
      </c>
      <c r="BE1561" t="str">
        <f>""</f>
        <v/>
      </c>
      <c r="BF1561" t="str">
        <f>""</f>
        <v/>
      </c>
      <c r="BG1561" t="str">
        <f>""</f>
        <v/>
      </c>
      <c r="BH1561" t="str">
        <f>""</f>
        <v/>
      </c>
      <c r="BI1561" t="str">
        <f>""</f>
        <v/>
      </c>
      <c r="BJ1561" t="str">
        <f>""</f>
        <v/>
      </c>
      <c r="BK1561">
        <v>1</v>
      </c>
      <c r="BL1561" t="s">
        <v>107</v>
      </c>
      <c r="BM1561" t="str">
        <f>"Kaiser Permanente"</f>
        <v>Kaiser Permanente</v>
      </c>
      <c r="BN1561" t="s">
        <v>6415</v>
      </c>
      <c r="BP1561" t="s">
        <v>631</v>
      </c>
      <c r="BQ1561" t="s">
        <v>419</v>
      </c>
      <c r="BR1561" t="s">
        <v>141</v>
      </c>
      <c r="BS1561" s="5">
        <v>94588</v>
      </c>
      <c r="BT1561" s="2">
        <v>95600</v>
      </c>
      <c r="BU1561" s="2">
        <v>95700</v>
      </c>
      <c r="BV1561" t="s">
        <v>105</v>
      </c>
      <c r="BW1561" s="2">
        <v>95555</v>
      </c>
      <c r="BX1561" t="s">
        <v>105</v>
      </c>
      <c r="BZ1561" t="s">
        <v>167</v>
      </c>
      <c r="CA1561" t="str">
        <f t="shared" si="121"/>
        <v>7/1/2020 - 6/30/2021</v>
      </c>
      <c r="CF1561">
        <v>1</v>
      </c>
      <c r="CG1561" t="s">
        <v>98</v>
      </c>
      <c r="CH1561" t="s">
        <v>98</v>
      </c>
      <c r="CI1561" t="s">
        <v>206</v>
      </c>
      <c r="CJ1561" t="s">
        <v>98</v>
      </c>
      <c r="CK1561" t="s">
        <v>12324</v>
      </c>
      <c r="CL1561" t="s">
        <v>108</v>
      </c>
      <c r="CM1561" t="s">
        <v>109</v>
      </c>
      <c r="CN1561" t="str">
        <f>"ACHOUCHE MELLOUHI"</f>
        <v>ACHOUCHE MELLOUHI</v>
      </c>
      <c r="CO1561" t="str">
        <f>"NADJET"</f>
        <v>NADJET</v>
      </c>
      <c r="CP1561" t="str">
        <f>""</f>
        <v/>
      </c>
      <c r="CQ1561" t="str">
        <f>"INFOSTRETCH CORPORATION"</f>
        <v>INFOSTRETCH CORPORATION</v>
      </c>
      <c r="CR1561" t="s">
        <v>7146</v>
      </c>
    </row>
    <row r="1562" spans="1:96" x14ac:dyDescent="0.2">
      <c r="A1562" t="s">
        <v>8417</v>
      </c>
      <c r="B1562" t="s">
        <v>96</v>
      </c>
      <c r="C1562" s="1">
        <v>44099</v>
      </c>
      <c r="D1562" s="1">
        <v>44106</v>
      </c>
      <c r="F1562" t="s">
        <v>97</v>
      </c>
      <c r="G1562" t="str">
        <f>"Oracle Cloud DBA/Oracle Apps DBA"</f>
        <v>Oracle Cloud DBA/Oracle Apps DBA</v>
      </c>
      <c r="H1562" t="s">
        <v>12225</v>
      </c>
      <c r="I1562" t="s">
        <v>628</v>
      </c>
      <c r="J1562" t="s">
        <v>98</v>
      </c>
      <c r="K1562" s="1">
        <v>44109</v>
      </c>
      <c r="L1562" s="1">
        <v>45204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 t="s">
        <v>8418</v>
      </c>
      <c r="U1562" t="str">
        <f>""</f>
        <v/>
      </c>
      <c r="V1562" t="s">
        <v>8419</v>
      </c>
      <c r="W1562" t="str">
        <f>""</f>
        <v/>
      </c>
      <c r="X1562" t="s">
        <v>1498</v>
      </c>
      <c r="Y1562" t="s">
        <v>265</v>
      </c>
      <c r="Z1562" s="3">
        <v>48335</v>
      </c>
      <c r="AA1562" t="s">
        <v>101</v>
      </c>
      <c r="AC1562" s="4" t="str">
        <f>"+12483974711"</f>
        <v>+12483974711</v>
      </c>
      <c r="AE1562" t="str">
        <f>"54151"</f>
        <v>54151</v>
      </c>
      <c r="AF1562" t="s">
        <v>8420</v>
      </c>
      <c r="AG1562" t="s">
        <v>3401</v>
      </c>
      <c r="AI1562" t="s">
        <v>629</v>
      </c>
      <c r="AJ1562" t="s">
        <v>8419</v>
      </c>
      <c r="AK1562" t="str">
        <f>""</f>
        <v/>
      </c>
      <c r="AL1562" t="s">
        <v>1498</v>
      </c>
      <c r="AM1562" t="s">
        <v>265</v>
      </c>
      <c r="AN1562" s="3">
        <v>48335</v>
      </c>
      <c r="AO1562" t="s">
        <v>101</v>
      </c>
      <c r="AQ1562" t="str">
        <f>"+12483974711"</f>
        <v>+12483974711</v>
      </c>
      <c r="AS1562" t="s">
        <v>8421</v>
      </c>
      <c r="AT1562" t="s">
        <v>107</v>
      </c>
      <c r="AU1562" t="str">
        <f>"Bowman"</f>
        <v>Bowman</v>
      </c>
      <c r="AV1562" t="str">
        <f>"Luke"</f>
        <v>Luke</v>
      </c>
      <c r="AW1562" t="str">
        <f>"Scott"</f>
        <v>Scott</v>
      </c>
      <c r="AX1562" t="str">
        <f>"120 Flint Road"</f>
        <v>120 Flint Road</v>
      </c>
      <c r="AY1562" t="str">
        <f>""</f>
        <v/>
      </c>
      <c r="AZ1562" t="str">
        <f>"Brighton"</f>
        <v>Brighton</v>
      </c>
      <c r="BA1562" t="str">
        <f>"MI"</f>
        <v>MI</v>
      </c>
      <c r="BB1562" s="3">
        <v>48116</v>
      </c>
      <c r="BC1562" t="str">
        <f>"UNITED STATES OF AMERICA"</f>
        <v>UNITED STATES OF AMERICA</v>
      </c>
      <c r="BD1562" t="str">
        <f>""</f>
        <v/>
      </c>
      <c r="BE1562" t="str">
        <f>"+18105225405"</f>
        <v>+18105225405</v>
      </c>
      <c r="BF1562" t="str">
        <f>""</f>
        <v/>
      </c>
      <c r="BG1562" t="str">
        <f>"luke@lukebowmanlaw.com"</f>
        <v>luke@lukebowmanlaw.com</v>
      </c>
      <c r="BH1562" t="str">
        <f>"The Law Office of Luke Bowman"</f>
        <v>The Law Office of Luke Bowman</v>
      </c>
      <c r="BI1562" t="str">
        <f>"CA"</f>
        <v>CA</v>
      </c>
      <c r="BJ1562" t="str">
        <f>"Supreme Court"</f>
        <v>Supreme Court</v>
      </c>
      <c r="BK1562">
        <v>1</v>
      </c>
      <c r="BL1562" t="s">
        <v>107</v>
      </c>
      <c r="BM1562" t="str">
        <f>"Harper College"</f>
        <v>Harper College</v>
      </c>
      <c r="BN1562" t="s">
        <v>8422</v>
      </c>
      <c r="BP1562" t="s">
        <v>5153</v>
      </c>
      <c r="BQ1562" t="s">
        <v>788</v>
      </c>
      <c r="BR1562" t="s">
        <v>345</v>
      </c>
      <c r="BS1562" s="5">
        <v>60067</v>
      </c>
      <c r="BT1562" s="2">
        <v>78853</v>
      </c>
      <c r="BU1562" s="2">
        <v>90000</v>
      </c>
      <c r="BV1562" t="s">
        <v>105</v>
      </c>
      <c r="BW1562" s="2">
        <v>78853</v>
      </c>
      <c r="BX1562" t="s">
        <v>105</v>
      </c>
      <c r="BZ1562" t="s">
        <v>167</v>
      </c>
      <c r="CA1562" t="str">
        <f t="shared" si="121"/>
        <v>7/1/2020 - 6/30/2021</v>
      </c>
      <c r="CF1562">
        <v>2</v>
      </c>
      <c r="CG1562" t="s">
        <v>98</v>
      </c>
      <c r="CH1562" t="s">
        <v>98</v>
      </c>
      <c r="CI1562" t="s">
        <v>206</v>
      </c>
      <c r="CJ1562" t="s">
        <v>98</v>
      </c>
      <c r="CK1562" t="s">
        <v>12324</v>
      </c>
      <c r="CL1562" t="s">
        <v>108</v>
      </c>
      <c r="CM1562" t="s">
        <v>109</v>
      </c>
      <c r="CN1562" t="str">
        <f>""</f>
        <v/>
      </c>
      <c r="CO1562" t="str">
        <f>""</f>
        <v/>
      </c>
      <c r="CP1562" t="str">
        <f>""</f>
        <v/>
      </c>
      <c r="CQ1562" t="str">
        <f>""</f>
        <v/>
      </c>
    </row>
    <row r="1563" spans="1:96" x14ac:dyDescent="0.2">
      <c r="A1563" t="s">
        <v>8463</v>
      </c>
      <c r="B1563" t="s">
        <v>96</v>
      </c>
      <c r="C1563" s="1">
        <v>44099</v>
      </c>
      <c r="D1563" s="1">
        <v>44106</v>
      </c>
      <c r="F1563" t="s">
        <v>97</v>
      </c>
      <c r="G1563" t="str">
        <f>"Computer Vision Engineer"</f>
        <v>Computer Vision Engineer</v>
      </c>
      <c r="H1563" t="s">
        <v>12176</v>
      </c>
      <c r="I1563" t="s">
        <v>246</v>
      </c>
      <c r="J1563" t="s">
        <v>98</v>
      </c>
      <c r="K1563" s="1">
        <v>44133</v>
      </c>
      <c r="L1563" s="1">
        <v>45227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 t="s">
        <v>8464</v>
      </c>
      <c r="U1563" t="str">
        <f>"Xmotors.ai Inc."</f>
        <v>Xmotors.ai Inc.</v>
      </c>
      <c r="V1563" t="s">
        <v>8465</v>
      </c>
      <c r="W1563" t="str">
        <f>""</f>
        <v/>
      </c>
      <c r="X1563" t="s">
        <v>155</v>
      </c>
      <c r="Y1563" t="s">
        <v>141</v>
      </c>
      <c r="Z1563" s="3">
        <v>94043</v>
      </c>
      <c r="AA1563" t="s">
        <v>101</v>
      </c>
      <c r="AC1563" s="4" t="str">
        <f>"+16502131359"</f>
        <v>+16502131359</v>
      </c>
      <c r="AE1563" t="str">
        <f>"336111"</f>
        <v>336111</v>
      </c>
      <c r="AF1563" t="s">
        <v>5997</v>
      </c>
      <c r="AG1563" t="s">
        <v>7075</v>
      </c>
      <c r="AI1563" t="s">
        <v>2538</v>
      </c>
      <c r="AJ1563" t="s">
        <v>8465</v>
      </c>
      <c r="AK1563" t="str">
        <f>""</f>
        <v/>
      </c>
      <c r="AL1563" t="s">
        <v>155</v>
      </c>
      <c r="AM1563" t="s">
        <v>141</v>
      </c>
      <c r="AN1563" s="3">
        <v>94043</v>
      </c>
      <c r="AO1563" t="s">
        <v>101</v>
      </c>
      <c r="AQ1563" t="str">
        <f>"+16502131359"</f>
        <v>+16502131359</v>
      </c>
      <c r="AS1563" t="s">
        <v>8466</v>
      </c>
      <c r="AT1563" t="s">
        <v>107</v>
      </c>
      <c r="AU1563" t="str">
        <f>"Hu"</f>
        <v>Hu</v>
      </c>
      <c r="AV1563" t="str">
        <f>"Xiaomin"</f>
        <v>Xiaomin</v>
      </c>
      <c r="AW1563" t="str">
        <f>""</f>
        <v/>
      </c>
      <c r="AX1563" t="str">
        <f>"2070 BUSINESS CENTER DR "</f>
        <v xml:space="preserve">2070 BUSINESS CENTER DR </v>
      </c>
      <c r="AY1563" t="str">
        <f>"Suite 205"</f>
        <v>Suite 205</v>
      </c>
      <c r="AZ1563" t="str">
        <f>"Irvine"</f>
        <v>Irvine</v>
      </c>
      <c r="BA1563" t="str">
        <f>"CA"</f>
        <v>CA</v>
      </c>
      <c r="BB1563" s="3">
        <v>92612</v>
      </c>
      <c r="BC1563" t="str">
        <f>"UNITED STATES OF AMERICA"</f>
        <v>UNITED STATES OF AMERICA</v>
      </c>
      <c r="BD1563" t="str">
        <f>""</f>
        <v/>
      </c>
      <c r="BE1563" t="str">
        <f>"+19495020873"</f>
        <v>+19495020873</v>
      </c>
      <c r="BF1563" t="str">
        <f>""</f>
        <v/>
      </c>
      <c r="BG1563" t="str">
        <f>"xhu@huimmigration.com"</f>
        <v>xhu@huimmigration.com</v>
      </c>
      <c r="BH1563" t="str">
        <f>"Law Office of Xiaomin Hu, P.C."</f>
        <v>Law Office of Xiaomin Hu, P.C.</v>
      </c>
      <c r="BI1563" t="str">
        <f>"FL"</f>
        <v>FL</v>
      </c>
      <c r="BJ1563" t="str">
        <f>"Supreme Court of Florida"</f>
        <v>Supreme Court of Florida</v>
      </c>
      <c r="BK1563">
        <v>1</v>
      </c>
      <c r="BL1563" t="s">
        <v>102</v>
      </c>
      <c r="BM1563" t="str">
        <f>""</f>
        <v/>
      </c>
      <c r="BN1563" t="s">
        <v>8467</v>
      </c>
      <c r="BP1563" t="s">
        <v>155</v>
      </c>
      <c r="BQ1563" t="s">
        <v>230</v>
      </c>
      <c r="BR1563" t="s">
        <v>141</v>
      </c>
      <c r="BS1563" s="5">
        <v>94043</v>
      </c>
      <c r="BT1563" s="2">
        <v>200000</v>
      </c>
      <c r="BV1563" t="s">
        <v>105</v>
      </c>
      <c r="BW1563" s="2">
        <v>120578</v>
      </c>
      <c r="BX1563" t="s">
        <v>105</v>
      </c>
      <c r="BZ1563" t="s">
        <v>167</v>
      </c>
      <c r="CA1563" t="str">
        <f t="shared" si="121"/>
        <v>7/1/2020 - 6/30/2021</v>
      </c>
      <c r="CF1563">
        <v>1</v>
      </c>
      <c r="CG1563" t="s">
        <v>98</v>
      </c>
      <c r="CH1563" t="s">
        <v>98</v>
      </c>
      <c r="CI1563" t="s">
        <v>206</v>
      </c>
      <c r="CJ1563" t="s">
        <v>98</v>
      </c>
      <c r="CK1563" t="s">
        <v>12324</v>
      </c>
      <c r="CL1563" t="s">
        <v>108</v>
      </c>
      <c r="CM1563" t="s">
        <v>109</v>
      </c>
      <c r="CN1563" t="str">
        <f>"Hu"</f>
        <v>Hu</v>
      </c>
      <c r="CO1563" t="str">
        <f>"Xiaomin"</f>
        <v>Xiaomin</v>
      </c>
      <c r="CP1563" t="str">
        <f>""</f>
        <v/>
      </c>
      <c r="CQ1563" t="str">
        <f>"Law Office of Xiaomin Hu, P.C."</f>
        <v>Law Office of Xiaomin Hu, P.C.</v>
      </c>
      <c r="CR1563" t="s">
        <v>4380</v>
      </c>
    </row>
    <row r="1564" spans="1:96" x14ac:dyDescent="0.2">
      <c r="A1564" t="s">
        <v>8557</v>
      </c>
      <c r="B1564" t="s">
        <v>96</v>
      </c>
      <c r="C1564" s="1">
        <v>44099</v>
      </c>
      <c r="D1564" s="1">
        <v>44106</v>
      </c>
      <c r="F1564" t="s">
        <v>97</v>
      </c>
      <c r="G1564" t="str">
        <f>"Product Lead (Quality Assurance, Risk and Compliance)"</f>
        <v>Product Lead (Quality Assurance, Risk and Compliance)</v>
      </c>
      <c r="H1564" t="s">
        <v>12169</v>
      </c>
      <c r="I1564" t="s">
        <v>124</v>
      </c>
      <c r="J1564" t="s">
        <v>98</v>
      </c>
      <c r="K1564" s="1">
        <v>44123</v>
      </c>
      <c r="L1564" s="1">
        <v>45217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 t="s">
        <v>8558</v>
      </c>
      <c r="U1564" t="str">
        <f>""</f>
        <v/>
      </c>
      <c r="V1564" t="s">
        <v>8559</v>
      </c>
      <c r="W1564" t="str">
        <f>""</f>
        <v/>
      </c>
      <c r="X1564" t="s">
        <v>3928</v>
      </c>
      <c r="Y1564" t="s">
        <v>100</v>
      </c>
      <c r="Z1564" s="3">
        <v>8512</v>
      </c>
      <c r="AA1564" t="s">
        <v>101</v>
      </c>
      <c r="AC1564" s="4" t="str">
        <f>"+16096427451"</f>
        <v>+16096427451</v>
      </c>
      <c r="AE1564" t="str">
        <f>"541511"</f>
        <v>541511</v>
      </c>
      <c r="AF1564" t="s">
        <v>5366</v>
      </c>
      <c r="AG1564" t="s">
        <v>5763</v>
      </c>
      <c r="AI1564" t="s">
        <v>508</v>
      </c>
      <c r="AJ1564" t="s">
        <v>8560</v>
      </c>
      <c r="AK1564" t="str">
        <f>""</f>
        <v/>
      </c>
      <c r="AL1564" t="s">
        <v>3928</v>
      </c>
      <c r="AM1564" t="s">
        <v>100</v>
      </c>
      <c r="AN1564" s="3">
        <v>8512</v>
      </c>
      <c r="AO1564" t="s">
        <v>101</v>
      </c>
      <c r="AQ1564" t="str">
        <f>"+16096427451"</f>
        <v>+16096427451</v>
      </c>
      <c r="AS1564" t="s">
        <v>8561</v>
      </c>
      <c r="AT1564" t="s">
        <v>107</v>
      </c>
      <c r="AU1564" t="str">
        <f>"Chang"</f>
        <v>Chang</v>
      </c>
      <c r="AV1564" t="str">
        <f>"Clement"</f>
        <v>Clement</v>
      </c>
      <c r="AW1564" t="str">
        <f>"C"</f>
        <v>C</v>
      </c>
      <c r="AX1564" t="str">
        <f>"1794 Oak Tree Road"</f>
        <v>1794 Oak Tree Road</v>
      </c>
      <c r="AY1564" t="str">
        <f>""</f>
        <v/>
      </c>
      <c r="AZ1564" t="str">
        <f>"Edison"</f>
        <v>Edison</v>
      </c>
      <c r="BA1564" t="str">
        <f>"NJ"</f>
        <v>NJ</v>
      </c>
      <c r="BB1564" s="3">
        <v>8820</v>
      </c>
      <c r="BC1564" t="str">
        <f>"UNITED STATES OF AMERICA"</f>
        <v>UNITED STATES OF AMERICA</v>
      </c>
      <c r="BD1564" t="str">
        <f>""</f>
        <v/>
      </c>
      <c r="BE1564" t="str">
        <f>"+17325936200"</f>
        <v>+17325936200</v>
      </c>
      <c r="BF1564" t="str">
        <f>""</f>
        <v/>
      </c>
      <c r="BG1564" t="str">
        <f>"clement@pasricha.com"</f>
        <v>clement@pasricha.com</v>
      </c>
      <c r="BH1564" t="str">
        <f>"Pasricha &amp; Patel, LLC"</f>
        <v>Pasricha &amp; Patel, LLC</v>
      </c>
      <c r="BI1564" t="str">
        <f>"NJ"</f>
        <v>NJ</v>
      </c>
      <c r="BJ1564" t="str">
        <f>"New Jersey Supreme Court"</f>
        <v>New Jersey Supreme Court</v>
      </c>
      <c r="BK1564">
        <v>1</v>
      </c>
      <c r="BL1564" t="s">
        <v>102</v>
      </c>
      <c r="BM1564" t="str">
        <f>""</f>
        <v/>
      </c>
      <c r="BN1564" t="s">
        <v>8560</v>
      </c>
      <c r="BP1564" t="s">
        <v>3928</v>
      </c>
      <c r="BQ1564" t="s">
        <v>104</v>
      </c>
      <c r="BR1564" t="s">
        <v>100</v>
      </c>
      <c r="BS1564" s="5">
        <v>8512</v>
      </c>
      <c r="BT1564" s="2">
        <v>108000</v>
      </c>
      <c r="BV1564" t="s">
        <v>105</v>
      </c>
      <c r="BW1564" s="2">
        <v>100526</v>
      </c>
      <c r="BX1564" t="s">
        <v>105</v>
      </c>
      <c r="BZ1564" t="s">
        <v>167</v>
      </c>
      <c r="CA1564" t="str">
        <f t="shared" si="121"/>
        <v>7/1/2020 - 6/30/2021</v>
      </c>
      <c r="CF1564">
        <v>2</v>
      </c>
      <c r="CG1564" t="s">
        <v>98</v>
      </c>
      <c r="CH1564" t="s">
        <v>98</v>
      </c>
      <c r="CI1564" t="s">
        <v>206</v>
      </c>
      <c r="CJ1564" t="s">
        <v>98</v>
      </c>
      <c r="CK1564" t="s">
        <v>12324</v>
      </c>
      <c r="CL1564" t="s">
        <v>108</v>
      </c>
      <c r="CM1564" t="s">
        <v>109</v>
      </c>
      <c r="CN1564" t="str">
        <f>""</f>
        <v/>
      </c>
      <c r="CO1564" t="str">
        <f>""</f>
        <v/>
      </c>
      <c r="CP1564" t="str">
        <f>""</f>
        <v/>
      </c>
      <c r="CQ1564" t="str">
        <f>""</f>
        <v/>
      </c>
    </row>
    <row r="1565" spans="1:96" x14ac:dyDescent="0.2">
      <c r="A1565" t="s">
        <v>8610</v>
      </c>
      <c r="B1565" t="s">
        <v>96</v>
      </c>
      <c r="C1565" s="1">
        <v>44099</v>
      </c>
      <c r="D1565" s="1">
        <v>44106</v>
      </c>
      <c r="F1565" t="s">
        <v>97</v>
      </c>
      <c r="G1565" t="str">
        <f>"Software Developer (ServiceNow Developer)"</f>
        <v>Software Developer (ServiceNow Developer)</v>
      </c>
      <c r="H1565" t="s">
        <v>12169</v>
      </c>
      <c r="I1565" t="s">
        <v>124</v>
      </c>
      <c r="J1565" t="s">
        <v>98</v>
      </c>
      <c r="K1565" s="1">
        <v>44197</v>
      </c>
      <c r="L1565" s="1">
        <v>45291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3763</v>
      </c>
      <c r="U1565" t="str">
        <f>""</f>
        <v/>
      </c>
      <c r="V1565" t="s">
        <v>3712</v>
      </c>
      <c r="W1565" t="str">
        <f>"SUITE 30"</f>
        <v>SUITE 30</v>
      </c>
      <c r="X1565" t="s">
        <v>1775</v>
      </c>
      <c r="Y1565" t="s">
        <v>1776</v>
      </c>
      <c r="Z1565" s="3">
        <v>19810</v>
      </c>
      <c r="AA1565" t="s">
        <v>101</v>
      </c>
      <c r="AC1565" s="4" t="str">
        <f>"+13023925202"</f>
        <v>+13023925202</v>
      </c>
      <c r="AE1565" t="str">
        <f>"541511"</f>
        <v>541511</v>
      </c>
      <c r="AF1565" t="s">
        <v>3713</v>
      </c>
      <c r="AG1565" t="s">
        <v>3714</v>
      </c>
      <c r="AH1565" t="s">
        <v>108</v>
      </c>
      <c r="AI1565" t="s">
        <v>3715</v>
      </c>
      <c r="AJ1565" t="s">
        <v>3712</v>
      </c>
      <c r="AK1565" t="str">
        <f>"SUITE 30"</f>
        <v>SUITE 30</v>
      </c>
      <c r="AL1565" t="s">
        <v>1775</v>
      </c>
      <c r="AM1565" t="s">
        <v>1776</v>
      </c>
      <c r="AN1565" s="3">
        <v>19810</v>
      </c>
      <c r="AO1565" t="s">
        <v>101</v>
      </c>
      <c r="AQ1565" t="str">
        <f>"+13023925202"</f>
        <v>+13023925202</v>
      </c>
      <c r="AS1565" t="s">
        <v>3716</v>
      </c>
      <c r="AT1565" t="s">
        <v>107</v>
      </c>
      <c r="AU1565" t="str">
        <f>"Tadmor"</f>
        <v>Tadmor</v>
      </c>
      <c r="AV1565" t="str">
        <f>"Yoav"</f>
        <v>Yoav</v>
      </c>
      <c r="AW1565" t="str">
        <f>"N/A"</f>
        <v>N/A</v>
      </c>
      <c r="AX1565" t="str">
        <f>"340 Main Street "</f>
        <v xml:space="preserve">340 Main Street </v>
      </c>
      <c r="AY1565" t="str">
        <f>"Suite 610"</f>
        <v>Suite 610</v>
      </c>
      <c r="AZ1565" t="str">
        <f>"Worcester "</f>
        <v xml:space="preserve">Worcester </v>
      </c>
      <c r="BA1565" t="str">
        <f>"MA"</f>
        <v>MA</v>
      </c>
      <c r="BB1565" s="3">
        <v>1608</v>
      </c>
      <c r="BC1565" t="str">
        <f>"UNITED STATES OF AMERICA"</f>
        <v>UNITED STATES OF AMERICA</v>
      </c>
      <c r="BD1565" t="str">
        <f>""</f>
        <v/>
      </c>
      <c r="BE1565" t="str">
        <f>"+15087919400"</f>
        <v>+15087919400</v>
      </c>
      <c r="BF1565" t="str">
        <f>""</f>
        <v/>
      </c>
      <c r="BG1565" t="str">
        <f>"yoav@tadmorlaw.com"</f>
        <v>yoav@tadmorlaw.com</v>
      </c>
      <c r="BH1565" t="str">
        <f>"Tadmor &amp; Tadmor LLP"</f>
        <v>Tadmor &amp; Tadmor LLP</v>
      </c>
      <c r="BI1565" t="str">
        <f>"MA"</f>
        <v>MA</v>
      </c>
      <c r="BJ1565" t="str">
        <f>"SUPREME JUDICIAL COURT"</f>
        <v>SUPREME JUDICIAL COURT</v>
      </c>
      <c r="BK1565">
        <v>1</v>
      </c>
      <c r="BL1565" t="s">
        <v>107</v>
      </c>
      <c r="BM1565" t="str">
        <f>"The Hershey Company "</f>
        <v xml:space="preserve">The Hershey Company </v>
      </c>
      <c r="BN1565" t="s">
        <v>8611</v>
      </c>
      <c r="BP1565" t="s">
        <v>4159</v>
      </c>
      <c r="BQ1565" t="s">
        <v>2715</v>
      </c>
      <c r="BR1565" t="s">
        <v>127</v>
      </c>
      <c r="BS1565" s="5">
        <v>17033</v>
      </c>
      <c r="BT1565" s="2">
        <v>74006</v>
      </c>
      <c r="BV1565" t="s">
        <v>105</v>
      </c>
      <c r="BW1565" s="2">
        <v>74006</v>
      </c>
      <c r="BX1565" t="s">
        <v>105</v>
      </c>
      <c r="BZ1565" t="s">
        <v>167</v>
      </c>
      <c r="CA1565" t="str">
        <f t="shared" si="121"/>
        <v>7/1/2020 - 6/30/2021</v>
      </c>
      <c r="CF1565">
        <v>2</v>
      </c>
      <c r="CG1565" t="s">
        <v>98</v>
      </c>
      <c r="CH1565" t="s">
        <v>98</v>
      </c>
      <c r="CI1565" t="s">
        <v>206</v>
      </c>
      <c r="CJ1565" t="s">
        <v>98</v>
      </c>
      <c r="CK1565" t="s">
        <v>12324</v>
      </c>
      <c r="CL1565" t="s">
        <v>108</v>
      </c>
      <c r="CM1565" t="s">
        <v>109</v>
      </c>
      <c r="CN1565" t="str">
        <f>""</f>
        <v/>
      </c>
      <c r="CO1565" t="str">
        <f>""</f>
        <v/>
      </c>
      <c r="CP1565" t="str">
        <f>""</f>
        <v/>
      </c>
      <c r="CQ1565" t="str">
        <f>""</f>
        <v/>
      </c>
    </row>
    <row r="1566" spans="1:96" x14ac:dyDescent="0.2">
      <c r="A1566" t="s">
        <v>8615</v>
      </c>
      <c r="B1566" t="s">
        <v>96</v>
      </c>
      <c r="C1566" s="1">
        <v>44099</v>
      </c>
      <c r="D1566" s="1">
        <v>44106</v>
      </c>
      <c r="F1566" t="s">
        <v>97</v>
      </c>
      <c r="G1566" t="str">
        <f>"Automation Engineer"</f>
        <v>Automation Engineer</v>
      </c>
      <c r="H1566" t="s">
        <v>12168</v>
      </c>
      <c r="I1566" t="s">
        <v>319</v>
      </c>
      <c r="J1566" t="s">
        <v>98</v>
      </c>
      <c r="K1566" s="1">
        <v>44105</v>
      </c>
      <c r="L1566" s="1">
        <v>45199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 t="s">
        <v>7141</v>
      </c>
      <c r="U1566" t="str">
        <f>""</f>
        <v/>
      </c>
      <c r="V1566" t="s">
        <v>7142</v>
      </c>
      <c r="W1566" t="str">
        <f>"SUITE # 250"</f>
        <v>SUITE # 250</v>
      </c>
      <c r="X1566" t="s">
        <v>230</v>
      </c>
      <c r="Y1566" t="s">
        <v>141</v>
      </c>
      <c r="Z1566" s="3">
        <v>95054</v>
      </c>
      <c r="AA1566" t="s">
        <v>101</v>
      </c>
      <c r="AC1566" s="4" t="str">
        <f>"+14087271100"</f>
        <v>+14087271100</v>
      </c>
      <c r="AD1566">
        <v>225</v>
      </c>
      <c r="AE1566" t="str">
        <f>"541511"</f>
        <v>541511</v>
      </c>
      <c r="AF1566" t="s">
        <v>7143</v>
      </c>
      <c r="AG1566" t="s">
        <v>7144</v>
      </c>
      <c r="AI1566" t="s">
        <v>7145</v>
      </c>
      <c r="AJ1566" t="s">
        <v>7142</v>
      </c>
      <c r="AK1566" t="str">
        <f>"SUITE # 250"</f>
        <v>SUITE # 250</v>
      </c>
      <c r="AL1566" t="s">
        <v>230</v>
      </c>
      <c r="AM1566" t="s">
        <v>141</v>
      </c>
      <c r="AN1566" s="3">
        <v>95054</v>
      </c>
      <c r="AO1566" t="s">
        <v>101</v>
      </c>
      <c r="AQ1566" t="str">
        <f>"+14087271100"</f>
        <v>+14087271100</v>
      </c>
      <c r="AR1566">
        <v>225</v>
      </c>
      <c r="AS1566" t="s">
        <v>7146</v>
      </c>
      <c r="AT1566" t="s">
        <v>102</v>
      </c>
      <c r="AU1566" t="str">
        <f>""</f>
        <v/>
      </c>
      <c r="AV1566" t="str">
        <f>""</f>
        <v/>
      </c>
      <c r="AW1566" t="str">
        <f>""</f>
        <v/>
      </c>
      <c r="AX1566" t="str">
        <f>""</f>
        <v/>
      </c>
      <c r="AY1566" t="str">
        <f>""</f>
        <v/>
      </c>
      <c r="AZ1566" t="str">
        <f>""</f>
        <v/>
      </c>
      <c r="BA1566" t="str">
        <f>""</f>
        <v/>
      </c>
      <c r="BC1566" t="str">
        <f>""</f>
        <v/>
      </c>
      <c r="BD1566" t="str">
        <f>""</f>
        <v/>
      </c>
      <c r="BE1566" t="str">
        <f>""</f>
        <v/>
      </c>
      <c r="BF1566" t="str">
        <f>""</f>
        <v/>
      </c>
      <c r="BG1566" t="str">
        <f>""</f>
        <v/>
      </c>
      <c r="BH1566" t="str">
        <f>""</f>
        <v/>
      </c>
      <c r="BI1566" t="str">
        <f>""</f>
        <v/>
      </c>
      <c r="BJ1566" t="str">
        <f>""</f>
        <v/>
      </c>
      <c r="BK1566">
        <v>1</v>
      </c>
      <c r="BL1566" t="s">
        <v>107</v>
      </c>
      <c r="BM1566" t="str">
        <f>"Kaiser Permanente"</f>
        <v>Kaiser Permanente</v>
      </c>
      <c r="BN1566" t="s">
        <v>8084</v>
      </c>
      <c r="BP1566" t="s">
        <v>631</v>
      </c>
      <c r="BQ1566" t="s">
        <v>419</v>
      </c>
      <c r="BR1566" t="s">
        <v>141</v>
      </c>
      <c r="BS1566" s="5">
        <v>94588</v>
      </c>
      <c r="BT1566" s="2">
        <v>97000</v>
      </c>
      <c r="BU1566" s="2">
        <v>99000</v>
      </c>
      <c r="BV1566" t="s">
        <v>105</v>
      </c>
      <c r="BW1566" s="2">
        <v>95555</v>
      </c>
      <c r="BX1566" t="s">
        <v>105</v>
      </c>
      <c r="BZ1566" t="s">
        <v>167</v>
      </c>
      <c r="CA1566" t="str">
        <f t="shared" si="121"/>
        <v>7/1/2020 - 6/30/2021</v>
      </c>
      <c r="CF1566">
        <v>1</v>
      </c>
      <c r="CG1566" t="s">
        <v>98</v>
      </c>
      <c r="CH1566" t="s">
        <v>98</v>
      </c>
      <c r="CI1566" t="s">
        <v>206</v>
      </c>
      <c r="CJ1566" t="s">
        <v>98</v>
      </c>
      <c r="CK1566" t="s">
        <v>12324</v>
      </c>
      <c r="CL1566" t="s">
        <v>108</v>
      </c>
      <c r="CM1566" t="s">
        <v>109</v>
      </c>
      <c r="CN1566" t="str">
        <f>"ACHOUCHE MELLOUHI"</f>
        <v>ACHOUCHE MELLOUHI</v>
      </c>
      <c r="CO1566" t="str">
        <f>"NADJET"</f>
        <v>NADJET</v>
      </c>
      <c r="CP1566" t="str">
        <f>""</f>
        <v/>
      </c>
      <c r="CQ1566" t="str">
        <f>"INFOSTRETCH CORPORATION"</f>
        <v>INFOSTRETCH CORPORATION</v>
      </c>
      <c r="CR1566" t="s">
        <v>7146</v>
      </c>
    </row>
    <row r="1567" spans="1:96" x14ac:dyDescent="0.2">
      <c r="A1567" t="s">
        <v>8642</v>
      </c>
      <c r="B1567" t="s">
        <v>96</v>
      </c>
      <c r="C1567" s="1">
        <v>44099</v>
      </c>
      <c r="D1567" s="1">
        <v>44106</v>
      </c>
      <c r="F1567" t="s">
        <v>97</v>
      </c>
      <c r="G1567" t="str">
        <f>"Information Security Analyst "</f>
        <v xml:space="preserve">Information Security Analyst </v>
      </c>
      <c r="H1567" t="s">
        <v>12197</v>
      </c>
      <c r="I1567" t="s">
        <v>137</v>
      </c>
      <c r="J1567" t="s">
        <v>98</v>
      </c>
      <c r="K1567" s="1">
        <v>44106</v>
      </c>
      <c r="L1567" s="1">
        <v>45200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 t="s">
        <v>4037</v>
      </c>
      <c r="U1567" t="str">
        <f>""</f>
        <v/>
      </c>
      <c r="V1567" t="s">
        <v>983</v>
      </c>
      <c r="W1567" t="str">
        <f>"Suite 337"</f>
        <v>Suite 337</v>
      </c>
      <c r="X1567" t="s">
        <v>982</v>
      </c>
      <c r="Y1567" t="s">
        <v>265</v>
      </c>
      <c r="Z1567" s="3">
        <v>48152</v>
      </c>
      <c r="AA1567" t="s">
        <v>101</v>
      </c>
      <c r="AC1567" s="4" t="str">
        <f>"+12483966252"</f>
        <v>+12483966252</v>
      </c>
      <c r="AE1567" t="str">
        <f>"541511"</f>
        <v>541511</v>
      </c>
      <c r="AF1567" t="s">
        <v>4038</v>
      </c>
      <c r="AG1567" t="s">
        <v>4022</v>
      </c>
      <c r="AI1567" t="s">
        <v>508</v>
      </c>
      <c r="AJ1567" t="s">
        <v>983</v>
      </c>
      <c r="AK1567" t="str">
        <f>"Suite 337"</f>
        <v>Suite 337</v>
      </c>
      <c r="AL1567" t="s">
        <v>982</v>
      </c>
      <c r="AM1567" t="s">
        <v>265</v>
      </c>
      <c r="AN1567" s="3">
        <v>48152</v>
      </c>
      <c r="AO1567" t="s">
        <v>101</v>
      </c>
      <c r="AQ1567" t="str">
        <f>"+12483966252"</f>
        <v>+12483966252</v>
      </c>
      <c r="AS1567" t="s">
        <v>4039</v>
      </c>
      <c r="AT1567" t="s">
        <v>107</v>
      </c>
      <c r="AU1567" t="str">
        <f>"Akkam"</f>
        <v>Akkam</v>
      </c>
      <c r="AV1567" t="str">
        <f>"Scarlett"</f>
        <v>Scarlett</v>
      </c>
      <c r="AW1567" t="str">
        <f>"June"</f>
        <v>June</v>
      </c>
      <c r="AX1567" t="str">
        <f>"7031 Orchard Lake Road"</f>
        <v>7031 Orchard Lake Road</v>
      </c>
      <c r="AY1567" t="str">
        <f>"Suite 302"</f>
        <v>Suite 302</v>
      </c>
      <c r="AZ1567" t="str">
        <f>"West Bloomfield"</f>
        <v>West Bloomfield</v>
      </c>
      <c r="BA1567" t="str">
        <f>"MI"</f>
        <v>MI</v>
      </c>
      <c r="BB1567" s="3">
        <v>48322</v>
      </c>
      <c r="BC1567" t="str">
        <f>"UNITED STATES OF AMERICA"</f>
        <v>UNITED STATES OF AMERICA</v>
      </c>
      <c r="BD1567" t="str">
        <f>"MI"</f>
        <v>MI</v>
      </c>
      <c r="BE1567" t="str">
        <f>"+12488653331"</f>
        <v>+12488653331</v>
      </c>
      <c r="BF1567" t="str">
        <f>""</f>
        <v/>
      </c>
      <c r="BG1567" t="str">
        <f>"scarlett@insvisa.com"</f>
        <v>scarlett@insvisa.com</v>
      </c>
      <c r="BH1567" t="str">
        <f>"Joseph Kallabat &amp; Associates, P.C."</f>
        <v>Joseph Kallabat &amp; Associates, P.C.</v>
      </c>
      <c r="BI1567" t="str">
        <f>"MI"</f>
        <v>MI</v>
      </c>
      <c r="BJ1567" t="str">
        <f>"Michigan Supreme Court"</f>
        <v>Michigan Supreme Court</v>
      </c>
      <c r="BK1567">
        <v>1</v>
      </c>
      <c r="BL1567" t="s">
        <v>107</v>
      </c>
      <c r="BM1567" t="str">
        <f>"Abbvie Inc."</f>
        <v>Abbvie Inc.</v>
      </c>
      <c r="BN1567" t="s">
        <v>8643</v>
      </c>
      <c r="BP1567" t="s">
        <v>2357</v>
      </c>
      <c r="BQ1567" t="s">
        <v>691</v>
      </c>
      <c r="BR1567" t="s">
        <v>345</v>
      </c>
      <c r="BS1567" s="5">
        <v>60085</v>
      </c>
      <c r="BT1567" s="2">
        <v>42</v>
      </c>
      <c r="BV1567" t="s">
        <v>210</v>
      </c>
      <c r="BW1567" s="2">
        <v>40.93</v>
      </c>
      <c r="BX1567" t="s">
        <v>210</v>
      </c>
      <c r="BZ1567" t="s">
        <v>167</v>
      </c>
      <c r="CA1567" t="str">
        <f t="shared" si="121"/>
        <v>7/1/2020 - 6/30/2021</v>
      </c>
      <c r="CF1567">
        <v>1</v>
      </c>
      <c r="CG1567" t="s">
        <v>98</v>
      </c>
      <c r="CH1567" t="s">
        <v>98</v>
      </c>
      <c r="CI1567" t="s">
        <v>206</v>
      </c>
      <c r="CJ1567" t="s">
        <v>98</v>
      </c>
      <c r="CK1567" t="s">
        <v>12324</v>
      </c>
      <c r="CL1567" t="s">
        <v>108</v>
      </c>
      <c r="CM1567" t="s">
        <v>109</v>
      </c>
      <c r="CN1567" t="str">
        <f>""</f>
        <v/>
      </c>
      <c r="CO1567" t="str">
        <f>""</f>
        <v/>
      </c>
      <c r="CP1567" t="str">
        <f>""</f>
        <v/>
      </c>
      <c r="CQ1567" t="str">
        <f>""</f>
        <v/>
      </c>
    </row>
    <row r="1568" spans="1:96" x14ac:dyDescent="0.2">
      <c r="A1568" t="s">
        <v>8841</v>
      </c>
      <c r="B1568" t="s">
        <v>96</v>
      </c>
      <c r="C1568" s="1">
        <v>44099</v>
      </c>
      <c r="D1568" s="1">
        <v>44106</v>
      </c>
      <c r="F1568" t="s">
        <v>97</v>
      </c>
      <c r="G1568" t="str">
        <f>"SOFTWARE AUTOMATION ENGINEER"</f>
        <v>SOFTWARE AUTOMATION ENGINEER</v>
      </c>
      <c r="H1568" t="s">
        <v>12169</v>
      </c>
      <c r="I1568" t="s">
        <v>124</v>
      </c>
      <c r="J1568" t="s">
        <v>98</v>
      </c>
      <c r="K1568" s="1">
        <v>44099</v>
      </c>
      <c r="L1568" s="1">
        <v>45193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2142</v>
      </c>
      <c r="U1568" t="str">
        <f>""</f>
        <v/>
      </c>
      <c r="V1568" t="s">
        <v>2143</v>
      </c>
      <c r="W1568" t="str">
        <f>"SUITE 220 "</f>
        <v xml:space="preserve">SUITE 220 </v>
      </c>
      <c r="X1568" t="s">
        <v>2146</v>
      </c>
      <c r="Y1568" t="s">
        <v>265</v>
      </c>
      <c r="Z1568" s="3">
        <v>48335</v>
      </c>
      <c r="AA1568" t="s">
        <v>101</v>
      </c>
      <c r="AC1568" s="4" t="str">
        <f>"+12484730720"</f>
        <v>+12484730720</v>
      </c>
      <c r="AD1568">
        <v>200</v>
      </c>
      <c r="AE1568" t="str">
        <f>"54151"</f>
        <v>54151</v>
      </c>
      <c r="AF1568" t="s">
        <v>2144</v>
      </c>
      <c r="AG1568" t="s">
        <v>2634</v>
      </c>
      <c r="AI1568" t="s">
        <v>2145</v>
      </c>
      <c r="AJ1568" t="s">
        <v>2143</v>
      </c>
      <c r="AK1568" t="str">
        <f>"SUITE 220 "</f>
        <v xml:space="preserve">SUITE 220 </v>
      </c>
      <c r="AL1568" t="s">
        <v>2146</v>
      </c>
      <c r="AM1568" t="s">
        <v>265</v>
      </c>
      <c r="AN1568" s="3">
        <v>48335</v>
      </c>
      <c r="AO1568" t="s">
        <v>101</v>
      </c>
      <c r="AQ1568" t="str">
        <f>"+12484730720"</f>
        <v>+12484730720</v>
      </c>
      <c r="AR1568">
        <v>200</v>
      </c>
      <c r="AS1568" t="s">
        <v>2147</v>
      </c>
      <c r="AT1568" t="s">
        <v>102</v>
      </c>
      <c r="AU1568" t="str">
        <f>""</f>
        <v/>
      </c>
      <c r="AV1568" t="str">
        <f>""</f>
        <v/>
      </c>
      <c r="AW1568" t="str">
        <f>""</f>
        <v/>
      </c>
      <c r="AX1568" t="str">
        <f>""</f>
        <v/>
      </c>
      <c r="AY1568" t="str">
        <f>""</f>
        <v/>
      </c>
      <c r="AZ1568" t="str">
        <f>""</f>
        <v/>
      </c>
      <c r="BA1568" t="str">
        <f>""</f>
        <v/>
      </c>
      <c r="BC1568" t="str">
        <f>""</f>
        <v/>
      </c>
      <c r="BD1568" t="str">
        <f>""</f>
        <v/>
      </c>
      <c r="BE1568" t="str">
        <f>""</f>
        <v/>
      </c>
      <c r="BF1568" t="str">
        <f>""</f>
        <v/>
      </c>
      <c r="BG1568" t="str">
        <f>""</f>
        <v/>
      </c>
      <c r="BH1568" t="str">
        <f>""</f>
        <v/>
      </c>
      <c r="BI1568" t="str">
        <f>""</f>
        <v/>
      </c>
      <c r="BJ1568" t="str">
        <f>""</f>
        <v/>
      </c>
      <c r="BK1568">
        <v>1</v>
      </c>
      <c r="BL1568" t="s">
        <v>107</v>
      </c>
      <c r="BM1568" t="str">
        <f>"KROGER"</f>
        <v>KROGER</v>
      </c>
      <c r="BN1568" t="s">
        <v>8842</v>
      </c>
      <c r="BP1568" t="s">
        <v>8843</v>
      </c>
      <c r="BQ1568" t="s">
        <v>1624</v>
      </c>
      <c r="BR1568" t="s">
        <v>225</v>
      </c>
      <c r="BS1568" s="5">
        <v>45242</v>
      </c>
      <c r="BT1568" s="2">
        <v>41.92</v>
      </c>
      <c r="BV1568" t="s">
        <v>210</v>
      </c>
      <c r="BW1568" s="2">
        <v>41.92</v>
      </c>
      <c r="BX1568" t="s">
        <v>210</v>
      </c>
      <c r="BZ1568" t="s">
        <v>167</v>
      </c>
      <c r="CA1568" t="str">
        <f t="shared" si="121"/>
        <v>7/1/2020 - 6/30/2021</v>
      </c>
      <c r="CF1568">
        <v>2</v>
      </c>
      <c r="CG1568" t="s">
        <v>98</v>
      </c>
      <c r="CH1568" t="s">
        <v>98</v>
      </c>
      <c r="CI1568" t="s">
        <v>206</v>
      </c>
      <c r="CJ1568" t="s">
        <v>98</v>
      </c>
      <c r="CK1568" t="s">
        <v>12324</v>
      </c>
      <c r="CL1568" t="s">
        <v>108</v>
      </c>
      <c r="CM1568" t="s">
        <v>109</v>
      </c>
      <c r="CN1568" t="str">
        <f>""</f>
        <v/>
      </c>
      <c r="CO1568" t="str">
        <f>""</f>
        <v/>
      </c>
      <c r="CP1568" t="str">
        <f>""</f>
        <v/>
      </c>
      <c r="CQ1568" t="str">
        <f>""</f>
        <v/>
      </c>
    </row>
    <row r="1569" spans="1:96" x14ac:dyDescent="0.2">
      <c r="A1569" t="s">
        <v>8952</v>
      </c>
      <c r="B1569" t="s">
        <v>96</v>
      </c>
      <c r="C1569" s="1">
        <v>44099</v>
      </c>
      <c r="D1569" s="1">
        <v>44106</v>
      </c>
      <c r="F1569" t="s">
        <v>97</v>
      </c>
      <c r="G1569" t="str">
        <f>"Senior Engineer, Machine Learning Research"</f>
        <v>Senior Engineer, Machine Learning Research</v>
      </c>
      <c r="H1569" t="s">
        <v>12169</v>
      </c>
      <c r="I1569" t="s">
        <v>124</v>
      </c>
      <c r="J1569" t="s">
        <v>98</v>
      </c>
      <c r="K1569" s="1">
        <v>44116</v>
      </c>
      <c r="L1569" s="1">
        <v>45210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 t="s">
        <v>3148</v>
      </c>
      <c r="U1569" t="str">
        <f>""</f>
        <v/>
      </c>
      <c r="V1569" t="s">
        <v>3149</v>
      </c>
      <c r="W1569" t="str">
        <f>""</f>
        <v/>
      </c>
      <c r="X1569" t="s">
        <v>155</v>
      </c>
      <c r="Y1569" t="s">
        <v>141</v>
      </c>
      <c r="Z1569" s="3">
        <v>94043</v>
      </c>
      <c r="AA1569" t="s">
        <v>101</v>
      </c>
      <c r="AC1569" s="4" t="str">
        <f>"+16502101000"</f>
        <v>+16502101000</v>
      </c>
      <c r="AE1569" t="str">
        <f>"54171"</f>
        <v>54171</v>
      </c>
      <c r="AF1569" t="s">
        <v>3150</v>
      </c>
      <c r="AG1569" t="s">
        <v>3151</v>
      </c>
      <c r="AI1569" t="s">
        <v>3152</v>
      </c>
      <c r="AJ1569" t="s">
        <v>3149</v>
      </c>
      <c r="AK1569" t="str">
        <f>""</f>
        <v/>
      </c>
      <c r="AL1569" t="s">
        <v>155</v>
      </c>
      <c r="AM1569" t="s">
        <v>141</v>
      </c>
      <c r="AN1569" s="3">
        <v>94043</v>
      </c>
      <c r="AO1569" t="s">
        <v>101</v>
      </c>
      <c r="AQ1569" t="str">
        <f>"+16505842206"</f>
        <v>+16505842206</v>
      </c>
      <c r="AS1569" t="s">
        <v>3153</v>
      </c>
      <c r="AT1569" t="s">
        <v>107</v>
      </c>
      <c r="AU1569" t="str">
        <f>"Vazquez Azpiri"</f>
        <v>Vazquez Azpiri</v>
      </c>
      <c r="AV1569" t="str">
        <f>"A James"</f>
        <v>A James</v>
      </c>
      <c r="AW1569" t="str">
        <f>""</f>
        <v/>
      </c>
      <c r="AX1569" t="str">
        <f>"One Market, Spear Street Tower"</f>
        <v>One Market, Spear Street Tower</v>
      </c>
      <c r="AY1569" t="str">
        <f>"5th Floor"</f>
        <v>5th Floor</v>
      </c>
      <c r="AZ1569" t="str">
        <f>"San Francisco"</f>
        <v>San Francisco</v>
      </c>
      <c r="BA1569" t="str">
        <f>"CA"</f>
        <v>CA</v>
      </c>
      <c r="BB1569" s="3">
        <v>94105</v>
      </c>
      <c r="BC1569" t="str">
        <f>"UNITED STATES OF AMERICA"</f>
        <v>UNITED STATES OF AMERICA</v>
      </c>
      <c r="BD1569" t="str">
        <f>""</f>
        <v/>
      </c>
      <c r="BE1569" t="str">
        <f>"+14154421000"</f>
        <v>+14154421000</v>
      </c>
      <c r="BF1569" t="str">
        <f>""</f>
        <v/>
      </c>
      <c r="BG1569" t="str">
        <f>"sralcateam@morganlewis.com"</f>
        <v>sralcateam@morganlewis.com</v>
      </c>
      <c r="BH1569" t="str">
        <f>"Morgan, Lewis &amp; Bockius LLP"</f>
        <v>Morgan, Lewis &amp; Bockius LLP</v>
      </c>
      <c r="BI1569" t="str">
        <f>"CA"</f>
        <v>CA</v>
      </c>
      <c r="BJ1569" t="str">
        <f>"CA Supreme Court"</f>
        <v>CA Supreme Court</v>
      </c>
      <c r="BK1569">
        <v>1</v>
      </c>
      <c r="BL1569" t="s">
        <v>102</v>
      </c>
      <c r="BM1569" t="str">
        <f>""</f>
        <v/>
      </c>
      <c r="BN1569" t="s">
        <v>3149</v>
      </c>
      <c r="BP1569" t="s">
        <v>155</v>
      </c>
      <c r="BQ1569" t="s">
        <v>230</v>
      </c>
      <c r="BR1569" t="s">
        <v>141</v>
      </c>
      <c r="BS1569" s="5">
        <v>94043</v>
      </c>
      <c r="BT1569" s="2">
        <v>145725</v>
      </c>
      <c r="BU1569" s="2">
        <v>166000</v>
      </c>
      <c r="BV1569" t="s">
        <v>105</v>
      </c>
      <c r="BW1569" s="2">
        <v>145725</v>
      </c>
      <c r="BX1569" t="s">
        <v>105</v>
      </c>
      <c r="BZ1569" t="s">
        <v>123</v>
      </c>
      <c r="CA1569" t="str">
        <f t="shared" si="121"/>
        <v>7/1/2020 - 6/30/2021</v>
      </c>
      <c r="CF1569">
        <v>4</v>
      </c>
      <c r="CG1569" t="s">
        <v>98</v>
      </c>
      <c r="CH1569" t="s">
        <v>98</v>
      </c>
      <c r="CI1569" t="s">
        <v>206</v>
      </c>
      <c r="CJ1569" t="s">
        <v>98</v>
      </c>
      <c r="CK1569" t="s">
        <v>12324</v>
      </c>
      <c r="CL1569" t="s">
        <v>108</v>
      </c>
      <c r="CM1569" t="s">
        <v>109</v>
      </c>
      <c r="CN1569" t="str">
        <f>"Yeung"</f>
        <v>Yeung</v>
      </c>
      <c r="CO1569" t="str">
        <f>"Gigi"</f>
        <v>Gigi</v>
      </c>
      <c r="CP1569" t="str">
        <f>"W"</f>
        <v>W</v>
      </c>
      <c r="CQ1569" t="str">
        <f>"Morgan, Lewis &amp; Bockius LLP"</f>
        <v>Morgan, Lewis &amp; Bockius LLP</v>
      </c>
      <c r="CR1569" t="s">
        <v>5483</v>
      </c>
    </row>
    <row r="1570" spans="1:96" x14ac:dyDescent="0.2">
      <c r="A1570" t="s">
        <v>9052</v>
      </c>
      <c r="B1570" t="s">
        <v>96</v>
      </c>
      <c r="C1570" s="1">
        <v>44099</v>
      </c>
      <c r="D1570" s="1">
        <v>44106</v>
      </c>
      <c r="F1570" t="s">
        <v>97</v>
      </c>
      <c r="G1570" t="str">
        <f>"Execution Trader"</f>
        <v>Execution Trader</v>
      </c>
      <c r="H1570" t="s">
        <v>12213</v>
      </c>
      <c r="I1570" t="s">
        <v>493</v>
      </c>
      <c r="J1570" t="s">
        <v>98</v>
      </c>
      <c r="K1570" s="1">
        <v>44123</v>
      </c>
      <c r="L1570" s="1">
        <v>45217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5559</v>
      </c>
      <c r="U1570" t="str">
        <f>""</f>
        <v/>
      </c>
      <c r="V1570" t="s">
        <v>5560</v>
      </c>
      <c r="W1570" t="str">
        <f>"3rd Floor"</f>
        <v>3rd Floor</v>
      </c>
      <c r="X1570" t="s">
        <v>5561</v>
      </c>
      <c r="Y1570" t="s">
        <v>280</v>
      </c>
      <c r="Z1570" s="3">
        <v>6870</v>
      </c>
      <c r="AA1570" t="s">
        <v>101</v>
      </c>
      <c r="AC1570" s="4" t="str">
        <f>"+12033446050"</f>
        <v>+12033446050</v>
      </c>
      <c r="AE1570" t="str">
        <f>"52392"</f>
        <v>52392</v>
      </c>
      <c r="AF1570" t="s">
        <v>9053</v>
      </c>
      <c r="AG1570" t="s">
        <v>1579</v>
      </c>
      <c r="AI1570" t="s">
        <v>9054</v>
      </c>
      <c r="AJ1570" t="s">
        <v>5560</v>
      </c>
      <c r="AK1570" t="str">
        <f>"3rd Floor"</f>
        <v>3rd Floor</v>
      </c>
      <c r="AL1570" t="s">
        <v>5561</v>
      </c>
      <c r="AM1570" t="s">
        <v>280</v>
      </c>
      <c r="AN1570" s="3">
        <v>6870</v>
      </c>
      <c r="AO1570" t="s">
        <v>101</v>
      </c>
      <c r="AQ1570" t="str">
        <f>"+12033446427"</f>
        <v>+12033446427</v>
      </c>
      <c r="AS1570" t="s">
        <v>9055</v>
      </c>
      <c r="AT1570" t="s">
        <v>107</v>
      </c>
      <c r="AU1570" t="str">
        <f>"Rudnick"</f>
        <v>Rudnick</v>
      </c>
      <c r="AV1570" t="str">
        <f>"Daniel"</f>
        <v>Daniel</v>
      </c>
      <c r="AW1570" t="str">
        <f>"M."</f>
        <v>M.</v>
      </c>
      <c r="AX1570" t="str">
        <f>"1845 Walnut Street"</f>
        <v>1845 Walnut Street</v>
      </c>
      <c r="AY1570" t="str">
        <f>"Suite 1550"</f>
        <v>Suite 1550</v>
      </c>
      <c r="AZ1570" t="str">
        <f>"Philadelphia"</f>
        <v>Philadelphia</v>
      </c>
      <c r="BA1570" t="str">
        <f>"PA"</f>
        <v>PA</v>
      </c>
      <c r="BB1570" s="3">
        <v>19103</v>
      </c>
      <c r="BC1570" t="str">
        <f>"UNITED STATES OF AMERICA"</f>
        <v>UNITED STATES OF AMERICA</v>
      </c>
      <c r="BD1570" t="str">
        <f>""</f>
        <v/>
      </c>
      <c r="BE1570" t="str">
        <f>"+12156905099"</f>
        <v>+12156905099</v>
      </c>
      <c r="BF1570" t="str">
        <f>""</f>
        <v/>
      </c>
      <c r="BG1570" t="str">
        <f>"drudnick@rudnickgroup.com"</f>
        <v>drudnick@rudnickgroup.com</v>
      </c>
      <c r="BH1570" t="str">
        <f>"Rudnick Immigration Group P.C."</f>
        <v>Rudnick Immigration Group P.C.</v>
      </c>
      <c r="BI1570" t="str">
        <f>"PA"</f>
        <v>PA</v>
      </c>
      <c r="BJ1570" t="str">
        <f>"Supreme Court of Pennsylvania"</f>
        <v>Supreme Court of Pennsylvania</v>
      </c>
      <c r="BK1570">
        <v>1</v>
      </c>
      <c r="BL1570" t="s">
        <v>102</v>
      </c>
      <c r="BM1570" t="str">
        <f>""</f>
        <v/>
      </c>
      <c r="BN1570" t="s">
        <v>5562</v>
      </c>
      <c r="BO1570" t="s">
        <v>5563</v>
      </c>
      <c r="BP1570" t="s">
        <v>277</v>
      </c>
      <c r="BQ1570" t="s">
        <v>189</v>
      </c>
      <c r="BR1570" t="s">
        <v>190</v>
      </c>
      <c r="BS1570" s="5">
        <v>10019</v>
      </c>
      <c r="BT1570" s="2">
        <v>102024</v>
      </c>
      <c r="BU1570" s="2">
        <v>132024</v>
      </c>
      <c r="BV1570" t="s">
        <v>105</v>
      </c>
      <c r="BW1570" s="2">
        <v>102024</v>
      </c>
      <c r="BX1570" t="s">
        <v>105</v>
      </c>
      <c r="BZ1570" t="s">
        <v>167</v>
      </c>
      <c r="CA1570" t="str">
        <f t="shared" si="121"/>
        <v>7/1/2020 - 6/30/2021</v>
      </c>
      <c r="CF1570">
        <v>2</v>
      </c>
      <c r="CG1570" t="s">
        <v>98</v>
      </c>
      <c r="CH1570" t="s">
        <v>98</v>
      </c>
      <c r="CI1570" t="s">
        <v>206</v>
      </c>
      <c r="CJ1570" t="s">
        <v>98</v>
      </c>
      <c r="CK1570" t="s">
        <v>12324</v>
      </c>
      <c r="CL1570" t="s">
        <v>108</v>
      </c>
      <c r="CM1570" t="s">
        <v>109</v>
      </c>
      <c r="CN1570" t="str">
        <f>"Kolios"</f>
        <v>Kolios</v>
      </c>
      <c r="CO1570" t="str">
        <f>"John"</f>
        <v>John</v>
      </c>
      <c r="CP1570" t="str">
        <f>""</f>
        <v/>
      </c>
      <c r="CQ1570" t="str">
        <f>"Rudnick Immigration Group P.C."</f>
        <v>Rudnick Immigration Group P.C.</v>
      </c>
      <c r="CR1570" t="s">
        <v>8917</v>
      </c>
    </row>
    <row r="1571" spans="1:96" x14ac:dyDescent="0.2">
      <c r="A1571" t="s">
        <v>9070</v>
      </c>
      <c r="B1571" t="s">
        <v>96</v>
      </c>
      <c r="C1571" s="1">
        <v>44099</v>
      </c>
      <c r="D1571" s="1">
        <v>44106</v>
      </c>
      <c r="F1571" t="s">
        <v>97</v>
      </c>
      <c r="G1571" t="str">
        <f>"Lead Business Analyst"</f>
        <v>Lead Business Analyst</v>
      </c>
      <c r="H1571" t="s">
        <v>12168</v>
      </c>
      <c r="I1571" t="s">
        <v>249</v>
      </c>
      <c r="J1571" t="s">
        <v>98</v>
      </c>
      <c r="K1571" s="1">
        <v>44099</v>
      </c>
      <c r="L1571" s="1">
        <v>45193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 t="s">
        <v>5319</v>
      </c>
      <c r="U1571" t="str">
        <f>""</f>
        <v/>
      </c>
      <c r="V1571" t="s">
        <v>5320</v>
      </c>
      <c r="W1571" t="str">
        <f>"SUITE 230"</f>
        <v>SUITE 230</v>
      </c>
      <c r="X1571" t="s">
        <v>2006</v>
      </c>
      <c r="Y1571" t="s">
        <v>135</v>
      </c>
      <c r="Z1571" s="3">
        <v>20147</v>
      </c>
      <c r="AA1571" t="s">
        <v>101</v>
      </c>
      <c r="AC1571" s="4" t="str">
        <f>"+17038898511"</f>
        <v>+17038898511</v>
      </c>
      <c r="AE1571" t="str">
        <f>"541511"</f>
        <v>541511</v>
      </c>
      <c r="AF1571" t="s">
        <v>6283</v>
      </c>
      <c r="AG1571" t="s">
        <v>6284</v>
      </c>
      <c r="AI1571" t="s">
        <v>6285</v>
      </c>
      <c r="AJ1571" t="s">
        <v>5320</v>
      </c>
      <c r="AK1571" t="str">
        <f>"SUITE 230"</f>
        <v>SUITE 230</v>
      </c>
      <c r="AL1571" t="s">
        <v>2006</v>
      </c>
      <c r="AM1571" t="s">
        <v>135</v>
      </c>
      <c r="AN1571" s="3">
        <v>20147</v>
      </c>
      <c r="AO1571" t="s">
        <v>101</v>
      </c>
      <c r="AQ1571" t="str">
        <f>"+17038898511"</f>
        <v>+17038898511</v>
      </c>
      <c r="AR1571">
        <v>111</v>
      </c>
      <c r="AS1571" t="s">
        <v>5321</v>
      </c>
      <c r="AT1571" t="s">
        <v>107</v>
      </c>
      <c r="AU1571" t="str">
        <f>"SETH"</f>
        <v>SETH</v>
      </c>
      <c r="AV1571" t="str">
        <f>"PIYUSH"</f>
        <v>PIYUSH</v>
      </c>
      <c r="AW1571" t="str">
        <f>""</f>
        <v/>
      </c>
      <c r="AX1571" t="str">
        <f>"1000 MCKNIGHT PARK DRIVE"</f>
        <v>1000 MCKNIGHT PARK DRIVE</v>
      </c>
      <c r="AY1571" t="str">
        <f>"SUITE 1006A"</f>
        <v>SUITE 1006A</v>
      </c>
      <c r="AZ1571" t="str">
        <f>"PITTSBURGH"</f>
        <v>PITTSBURGH</v>
      </c>
      <c r="BA1571" t="str">
        <f>"PA"</f>
        <v>PA</v>
      </c>
      <c r="BB1571" s="3">
        <v>15237</v>
      </c>
      <c r="BC1571" t="str">
        <f>"UNITED STATES OF AMERICA"</f>
        <v>UNITED STATES OF AMERICA</v>
      </c>
      <c r="BD1571" t="str">
        <f>""</f>
        <v/>
      </c>
      <c r="BE1571" t="str">
        <f>"+14122816005"</f>
        <v>+14122816005</v>
      </c>
      <c r="BF1571" t="str">
        <f>""</f>
        <v/>
      </c>
      <c r="BG1571" t="str">
        <f>"SETH@SETHLEGAL.COM"</f>
        <v>SETH@SETHLEGAL.COM</v>
      </c>
      <c r="BH1571" t="str">
        <f>"SETH LAW OFFICES, P.C. "</f>
        <v xml:space="preserve">SETH LAW OFFICES, P.C. </v>
      </c>
      <c r="BI1571" t="str">
        <f>"PA"</f>
        <v>PA</v>
      </c>
      <c r="BJ1571" t="str">
        <f>"SUPREME COURT"</f>
        <v>SUPREME COURT</v>
      </c>
      <c r="BK1571">
        <v>1</v>
      </c>
      <c r="BL1571" t="s">
        <v>107</v>
      </c>
      <c r="BM1571" t="str">
        <f>"Wells Fargo"</f>
        <v>Wells Fargo</v>
      </c>
      <c r="BN1571" t="s">
        <v>9071</v>
      </c>
      <c r="BO1571" t="s">
        <v>9072</v>
      </c>
      <c r="BP1571" t="s">
        <v>604</v>
      </c>
      <c r="BQ1571" t="s">
        <v>121</v>
      </c>
      <c r="BR1571" t="s">
        <v>122</v>
      </c>
      <c r="BS1571" s="5">
        <v>28202</v>
      </c>
      <c r="BT1571" s="2">
        <v>45</v>
      </c>
      <c r="BV1571" t="s">
        <v>210</v>
      </c>
      <c r="BW1571" s="2">
        <v>44.91</v>
      </c>
      <c r="BX1571" t="s">
        <v>210</v>
      </c>
      <c r="BZ1571" t="s">
        <v>123</v>
      </c>
      <c r="CA1571" t="str">
        <f t="shared" si="121"/>
        <v>7/1/2020 - 6/30/2021</v>
      </c>
      <c r="CF1571">
        <v>1</v>
      </c>
      <c r="CG1571" t="s">
        <v>98</v>
      </c>
      <c r="CH1571" t="s">
        <v>98</v>
      </c>
      <c r="CI1571" t="s">
        <v>206</v>
      </c>
      <c r="CJ1571" t="s">
        <v>98</v>
      </c>
      <c r="CK1571" t="s">
        <v>12324</v>
      </c>
      <c r="CL1571" t="s">
        <v>108</v>
      </c>
      <c r="CM1571" t="s">
        <v>109</v>
      </c>
      <c r="CN1571" t="str">
        <f>"Seth"</f>
        <v>Seth</v>
      </c>
      <c r="CO1571" t="str">
        <f>"Piyush"</f>
        <v>Piyush</v>
      </c>
      <c r="CP1571" t="str">
        <f>""</f>
        <v/>
      </c>
      <c r="CQ1571" t="str">
        <f>"Seth Law Offices, P. C."</f>
        <v>Seth Law Offices, P. C.</v>
      </c>
      <c r="CR1571" t="s">
        <v>625</v>
      </c>
    </row>
    <row r="1572" spans="1:96" x14ac:dyDescent="0.2">
      <c r="A1572" t="s">
        <v>9164</v>
      </c>
      <c r="B1572" t="s">
        <v>96</v>
      </c>
      <c r="C1572" s="1">
        <v>44099</v>
      </c>
      <c r="D1572" s="1">
        <v>44106</v>
      </c>
      <c r="F1572" t="s">
        <v>97</v>
      </c>
      <c r="G1572" t="str">
        <f>"Software Test Automation Engineer"</f>
        <v>Software Test Automation Engineer</v>
      </c>
      <c r="H1572" t="s">
        <v>12168</v>
      </c>
      <c r="I1572" t="s">
        <v>319</v>
      </c>
      <c r="J1572" t="s">
        <v>98</v>
      </c>
      <c r="K1572" s="1">
        <v>44105</v>
      </c>
      <c r="L1572" s="1">
        <v>44824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 t="s">
        <v>7141</v>
      </c>
      <c r="U1572" t="str">
        <f>""</f>
        <v/>
      </c>
      <c r="V1572" t="s">
        <v>7142</v>
      </c>
      <c r="W1572" t="str">
        <f>"SUITE # 250"</f>
        <v>SUITE # 250</v>
      </c>
      <c r="X1572" t="s">
        <v>230</v>
      </c>
      <c r="Y1572" t="s">
        <v>141</v>
      </c>
      <c r="Z1572" s="3">
        <v>95054</v>
      </c>
      <c r="AA1572" t="s">
        <v>101</v>
      </c>
      <c r="AC1572" s="4" t="str">
        <f>"+14087271100"</f>
        <v>+14087271100</v>
      </c>
      <c r="AD1572">
        <v>225</v>
      </c>
      <c r="AE1572" t="str">
        <f>"541511"</f>
        <v>541511</v>
      </c>
      <c r="AF1572" t="s">
        <v>7143</v>
      </c>
      <c r="AG1572" t="s">
        <v>7144</v>
      </c>
      <c r="AI1572" t="s">
        <v>7145</v>
      </c>
      <c r="AJ1572" t="s">
        <v>7142</v>
      </c>
      <c r="AK1572" t="str">
        <f>"SUITE # 250"</f>
        <v>SUITE # 250</v>
      </c>
      <c r="AL1572" t="s">
        <v>230</v>
      </c>
      <c r="AM1572" t="s">
        <v>141</v>
      </c>
      <c r="AN1572" s="3">
        <v>95054</v>
      </c>
      <c r="AO1572" t="s">
        <v>101</v>
      </c>
      <c r="AQ1572" t="str">
        <f>"+14087271100"</f>
        <v>+14087271100</v>
      </c>
      <c r="AR1572">
        <v>225</v>
      </c>
      <c r="AS1572" t="s">
        <v>7146</v>
      </c>
      <c r="AT1572" t="s">
        <v>102</v>
      </c>
      <c r="AU1572" t="str">
        <f>""</f>
        <v/>
      </c>
      <c r="AV1572" t="str">
        <f>""</f>
        <v/>
      </c>
      <c r="AW1572" t="str">
        <f>""</f>
        <v/>
      </c>
      <c r="AX1572" t="str">
        <f>""</f>
        <v/>
      </c>
      <c r="AY1572" t="str">
        <f>""</f>
        <v/>
      </c>
      <c r="AZ1572" t="str">
        <f>""</f>
        <v/>
      </c>
      <c r="BA1572" t="str">
        <f>""</f>
        <v/>
      </c>
      <c r="BC1572" t="str">
        <f>""</f>
        <v/>
      </c>
      <c r="BD1572" t="str">
        <f>""</f>
        <v/>
      </c>
      <c r="BE1572" t="str">
        <f>""</f>
        <v/>
      </c>
      <c r="BF1572" t="str">
        <f>""</f>
        <v/>
      </c>
      <c r="BG1572" t="str">
        <f>""</f>
        <v/>
      </c>
      <c r="BH1572" t="str">
        <f>""</f>
        <v/>
      </c>
      <c r="BI1572" t="str">
        <f>""</f>
        <v/>
      </c>
      <c r="BJ1572" t="str">
        <f>""</f>
        <v/>
      </c>
      <c r="BK1572">
        <v>1</v>
      </c>
      <c r="BL1572" t="s">
        <v>107</v>
      </c>
      <c r="BM1572" t="str">
        <f>"Kaiser Permanente"</f>
        <v>Kaiser Permanente</v>
      </c>
      <c r="BN1572" t="s">
        <v>6415</v>
      </c>
      <c r="BP1572" t="s">
        <v>631</v>
      </c>
      <c r="BQ1572" t="s">
        <v>419</v>
      </c>
      <c r="BR1572" t="s">
        <v>141</v>
      </c>
      <c r="BS1572" s="5">
        <v>94588</v>
      </c>
      <c r="BT1572" s="2">
        <v>95555</v>
      </c>
      <c r="BU1572" s="2">
        <v>95600</v>
      </c>
      <c r="BV1572" t="s">
        <v>105</v>
      </c>
      <c r="BW1572" s="2">
        <v>95555</v>
      </c>
      <c r="BX1572" t="s">
        <v>105</v>
      </c>
      <c r="BZ1572" t="s">
        <v>167</v>
      </c>
      <c r="CA1572" t="str">
        <f t="shared" si="121"/>
        <v>7/1/2020 - 6/30/2021</v>
      </c>
      <c r="CF1572">
        <v>1</v>
      </c>
      <c r="CG1572" t="s">
        <v>98</v>
      </c>
      <c r="CH1572" t="s">
        <v>98</v>
      </c>
      <c r="CI1572" t="s">
        <v>206</v>
      </c>
      <c r="CJ1572" t="s">
        <v>98</v>
      </c>
      <c r="CK1572" t="s">
        <v>12324</v>
      </c>
      <c r="CL1572" t="s">
        <v>108</v>
      </c>
      <c r="CM1572" t="s">
        <v>109</v>
      </c>
      <c r="CN1572" t="str">
        <f>"ACHOUCHE MELLOUHI"</f>
        <v>ACHOUCHE MELLOUHI</v>
      </c>
      <c r="CO1572" t="str">
        <f>"NADJET"</f>
        <v>NADJET</v>
      </c>
      <c r="CP1572" t="str">
        <f>""</f>
        <v/>
      </c>
      <c r="CQ1572" t="str">
        <f>"INFOSTRETCH CORPORATION"</f>
        <v>INFOSTRETCH CORPORATION</v>
      </c>
      <c r="CR1572" t="s">
        <v>7146</v>
      </c>
    </row>
    <row r="1573" spans="1:96" x14ac:dyDescent="0.2">
      <c r="A1573" t="s">
        <v>9271</v>
      </c>
      <c r="B1573" t="s">
        <v>96</v>
      </c>
      <c r="C1573" s="1">
        <v>44099</v>
      </c>
      <c r="D1573" s="1">
        <v>44106</v>
      </c>
      <c r="F1573" t="s">
        <v>97</v>
      </c>
      <c r="G1573" t="str">
        <f>"Technical Lead"</f>
        <v>Technical Lead</v>
      </c>
      <c r="H1573" t="s">
        <v>12169</v>
      </c>
      <c r="I1573" t="s">
        <v>124</v>
      </c>
      <c r="J1573" t="s">
        <v>98</v>
      </c>
      <c r="K1573" s="1">
        <v>44099</v>
      </c>
      <c r="L1573" s="1">
        <v>45193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 t="s">
        <v>310</v>
      </c>
      <c r="U1573" t="str">
        <f>""</f>
        <v/>
      </c>
      <c r="V1573" t="s">
        <v>311</v>
      </c>
      <c r="W1573" t="str">
        <f>"SUITE 300"</f>
        <v>SUITE 300</v>
      </c>
      <c r="X1573" t="s">
        <v>312</v>
      </c>
      <c r="Y1573" t="s">
        <v>265</v>
      </c>
      <c r="Z1573" s="3">
        <v>48083</v>
      </c>
      <c r="AA1573" t="s">
        <v>101</v>
      </c>
      <c r="AC1573" s="4" t="str">
        <f>"+12486193580"</f>
        <v>+12486193580</v>
      </c>
      <c r="AE1573" t="str">
        <f>"541511"</f>
        <v>541511</v>
      </c>
      <c r="AF1573" t="s">
        <v>313</v>
      </c>
      <c r="AG1573" t="s">
        <v>314</v>
      </c>
      <c r="AI1573" t="s">
        <v>315</v>
      </c>
      <c r="AJ1573" t="s">
        <v>311</v>
      </c>
      <c r="AK1573" t="str">
        <f>"SUITE 300"</f>
        <v>SUITE 300</v>
      </c>
      <c r="AL1573" t="s">
        <v>312</v>
      </c>
      <c r="AM1573" t="s">
        <v>265</v>
      </c>
      <c r="AN1573" s="3">
        <v>48083</v>
      </c>
      <c r="AO1573" t="s">
        <v>101</v>
      </c>
      <c r="AQ1573" t="str">
        <f>"+12486193580"</f>
        <v>+12486193580</v>
      </c>
      <c r="AS1573" t="s">
        <v>316</v>
      </c>
      <c r="AT1573" t="s">
        <v>102</v>
      </c>
      <c r="AU1573" t="str">
        <f>""</f>
        <v/>
      </c>
      <c r="AV1573" t="str">
        <f>""</f>
        <v/>
      </c>
      <c r="AW1573" t="str">
        <f>""</f>
        <v/>
      </c>
      <c r="AX1573" t="str">
        <f>""</f>
        <v/>
      </c>
      <c r="AY1573" t="str">
        <f>""</f>
        <v/>
      </c>
      <c r="AZ1573" t="str">
        <f>""</f>
        <v/>
      </c>
      <c r="BA1573" t="str">
        <f>""</f>
        <v/>
      </c>
      <c r="BC1573" t="str">
        <f>""</f>
        <v/>
      </c>
      <c r="BD1573" t="str">
        <f>""</f>
        <v/>
      </c>
      <c r="BE1573" t="str">
        <f>""</f>
        <v/>
      </c>
      <c r="BF1573" t="str">
        <f>""</f>
        <v/>
      </c>
      <c r="BG1573" t="str">
        <f>""</f>
        <v/>
      </c>
      <c r="BH1573" t="str">
        <f>""</f>
        <v/>
      </c>
      <c r="BI1573" t="str">
        <f>""</f>
        <v/>
      </c>
      <c r="BJ1573" t="str">
        <f>""</f>
        <v/>
      </c>
      <c r="BK1573">
        <v>1</v>
      </c>
      <c r="BL1573" t="s">
        <v>107</v>
      </c>
      <c r="BM1573" t="str">
        <f>"AutoZone Parts, Inc. "</f>
        <v xml:space="preserve">AutoZone Parts, Inc. </v>
      </c>
      <c r="BN1573" t="s">
        <v>9272</v>
      </c>
      <c r="BO1573" t="s">
        <v>108</v>
      </c>
      <c r="BP1573" t="s">
        <v>3850</v>
      </c>
      <c r="BQ1573" t="s">
        <v>2573</v>
      </c>
      <c r="BR1573" t="s">
        <v>545</v>
      </c>
      <c r="BS1573" s="5">
        <v>38103</v>
      </c>
      <c r="BT1573" s="2">
        <v>135000</v>
      </c>
      <c r="BV1573" t="s">
        <v>105</v>
      </c>
      <c r="BW1573" s="2">
        <v>69014</v>
      </c>
      <c r="BX1573" t="s">
        <v>105</v>
      </c>
      <c r="BZ1573" t="s">
        <v>167</v>
      </c>
      <c r="CA1573" t="str">
        <f t="shared" si="121"/>
        <v>7/1/2020 - 6/30/2021</v>
      </c>
      <c r="CF1573">
        <v>2</v>
      </c>
      <c r="CG1573" t="s">
        <v>98</v>
      </c>
      <c r="CH1573" t="s">
        <v>98</v>
      </c>
      <c r="CI1573" t="s">
        <v>206</v>
      </c>
      <c r="CJ1573" t="s">
        <v>98</v>
      </c>
      <c r="CK1573" t="s">
        <v>12324</v>
      </c>
      <c r="CL1573" t="s">
        <v>108</v>
      </c>
      <c r="CM1573" t="s">
        <v>109</v>
      </c>
      <c r="CN1573" t="str">
        <f>"Fernandes"</f>
        <v>Fernandes</v>
      </c>
      <c r="CO1573" t="str">
        <f>"Samson"</f>
        <v>Samson</v>
      </c>
      <c r="CP1573" t="str">
        <f>"D"</f>
        <v>D</v>
      </c>
      <c r="CQ1573" t="str">
        <f>"Atos Syntel Inc"</f>
        <v>Atos Syntel Inc</v>
      </c>
      <c r="CR1573" t="s">
        <v>318</v>
      </c>
    </row>
    <row r="1574" spans="1:96" x14ac:dyDescent="0.2">
      <c r="A1574" t="s">
        <v>9518</v>
      </c>
      <c r="B1574" t="s">
        <v>96</v>
      </c>
      <c r="C1574" s="1">
        <v>44099</v>
      </c>
      <c r="D1574" s="1">
        <v>44106</v>
      </c>
      <c r="F1574" t="s">
        <v>97</v>
      </c>
      <c r="G1574" t="str">
        <f>"AUTOMATION TEST ENGINEER"</f>
        <v>AUTOMATION TEST ENGINEER</v>
      </c>
      <c r="H1574" t="s">
        <v>12168</v>
      </c>
      <c r="I1574" t="s">
        <v>319</v>
      </c>
      <c r="J1574" t="s">
        <v>98</v>
      </c>
      <c r="K1574" s="1">
        <v>44109</v>
      </c>
      <c r="L1574" s="1">
        <v>45203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 t="s">
        <v>9519</v>
      </c>
      <c r="U1574" t="str">
        <f>""</f>
        <v/>
      </c>
      <c r="V1574" t="s">
        <v>9520</v>
      </c>
      <c r="W1574" t="str">
        <f>"SUITE # 304"</f>
        <v>SUITE # 304</v>
      </c>
      <c r="X1574" t="s">
        <v>2701</v>
      </c>
      <c r="Y1574" t="s">
        <v>345</v>
      </c>
      <c r="Z1574" s="3">
        <v>60563</v>
      </c>
      <c r="AA1574" t="s">
        <v>101</v>
      </c>
      <c r="AC1574" s="4" t="str">
        <f>"+16303885407"</f>
        <v>+16303885407</v>
      </c>
      <c r="AE1574" t="str">
        <f>"541511"</f>
        <v>541511</v>
      </c>
      <c r="AF1574" t="s">
        <v>9521</v>
      </c>
      <c r="AG1574" t="s">
        <v>9522</v>
      </c>
      <c r="AI1574" t="s">
        <v>228</v>
      </c>
      <c r="AJ1574" t="s">
        <v>9520</v>
      </c>
      <c r="AK1574" t="str">
        <f>"SUITE 304"</f>
        <v>SUITE 304</v>
      </c>
      <c r="AL1574" t="s">
        <v>2701</v>
      </c>
      <c r="AM1574" t="s">
        <v>345</v>
      </c>
      <c r="AN1574" s="3">
        <v>60563</v>
      </c>
      <c r="AO1574" t="s">
        <v>101</v>
      </c>
      <c r="AQ1574" t="str">
        <f>"+16303885407"</f>
        <v>+16303885407</v>
      </c>
      <c r="AS1574" t="s">
        <v>9523</v>
      </c>
      <c r="AT1574" t="s">
        <v>107</v>
      </c>
      <c r="AU1574" t="str">
        <f>"ALLEN"</f>
        <v>ALLEN</v>
      </c>
      <c r="AV1574" t="str">
        <f>"THOMAS"</f>
        <v>THOMAS</v>
      </c>
      <c r="AW1574" t="str">
        <f>"V."</f>
        <v>V.</v>
      </c>
      <c r="AX1574" t="str">
        <f>"50 CRAGWOOD ROAD"</f>
        <v>50 CRAGWOOD ROAD</v>
      </c>
      <c r="AY1574" t="str">
        <f>"SUITE 100"</f>
        <v>SUITE 100</v>
      </c>
      <c r="AZ1574" t="str">
        <f>"SOUTH PLAINFIELD"</f>
        <v>SOUTH PLAINFIELD</v>
      </c>
      <c r="BA1574" t="str">
        <f>"NJ"</f>
        <v>NJ</v>
      </c>
      <c r="BB1574" s="3">
        <v>7080</v>
      </c>
      <c r="BC1574" t="str">
        <f>"UNITED STATES OF AMERICA"</f>
        <v>UNITED STATES OF AMERICA</v>
      </c>
      <c r="BD1574" t="str">
        <f>""</f>
        <v/>
      </c>
      <c r="BE1574" t="str">
        <f>"+17328327978"</f>
        <v>+17328327978</v>
      </c>
      <c r="BF1574" t="str">
        <f>""</f>
        <v/>
      </c>
      <c r="BG1574" t="str">
        <f>"ICERT@THOMASVALLEN.COM"</f>
        <v>ICERT@THOMASVALLEN.COM</v>
      </c>
      <c r="BH1574" t="str">
        <f>"LAW OFFICE OF THOMAS V. ALLEN PLLC"</f>
        <v>LAW OFFICE OF THOMAS V. ALLEN PLLC</v>
      </c>
      <c r="BI1574" t="str">
        <f>"NY"</f>
        <v>NY</v>
      </c>
      <c r="BJ1574" t="str">
        <f>"APPELLATE COURT"</f>
        <v>APPELLATE COURT</v>
      </c>
      <c r="BK1574">
        <v>1</v>
      </c>
      <c r="BL1574" t="s">
        <v>107</v>
      </c>
      <c r="BM1574" t="str">
        <f>"WESTERN UNION"</f>
        <v>WESTERN UNION</v>
      </c>
      <c r="BN1574" t="s">
        <v>9524</v>
      </c>
      <c r="BO1574" t="s">
        <v>6918</v>
      </c>
      <c r="BP1574" t="s">
        <v>912</v>
      </c>
      <c r="BQ1574" t="s">
        <v>912</v>
      </c>
      <c r="BR1574" t="s">
        <v>166</v>
      </c>
      <c r="BS1574" s="5">
        <v>80237</v>
      </c>
      <c r="BT1574" s="2">
        <v>90418</v>
      </c>
      <c r="BV1574" t="s">
        <v>105</v>
      </c>
      <c r="BW1574" s="2">
        <v>90418</v>
      </c>
      <c r="BX1574" t="s">
        <v>105</v>
      </c>
      <c r="BZ1574" t="s">
        <v>167</v>
      </c>
      <c r="CA1574" t="str">
        <f t="shared" si="121"/>
        <v>7/1/2020 - 6/30/2021</v>
      </c>
      <c r="CF1574">
        <v>2</v>
      </c>
      <c r="CG1574" t="s">
        <v>98</v>
      </c>
      <c r="CH1574" t="s">
        <v>98</v>
      </c>
      <c r="CI1574" t="s">
        <v>206</v>
      </c>
      <c r="CJ1574" t="s">
        <v>98</v>
      </c>
      <c r="CK1574" t="s">
        <v>12324</v>
      </c>
      <c r="CL1574" t="s">
        <v>108</v>
      </c>
      <c r="CM1574" t="s">
        <v>109</v>
      </c>
      <c r="CN1574" t="str">
        <f>""</f>
        <v/>
      </c>
      <c r="CO1574" t="str">
        <f>""</f>
        <v/>
      </c>
      <c r="CP1574" t="str">
        <f>""</f>
        <v/>
      </c>
      <c r="CQ1574" t="str">
        <f>""</f>
        <v/>
      </c>
    </row>
    <row r="1575" spans="1:96" x14ac:dyDescent="0.2">
      <c r="A1575" t="s">
        <v>9544</v>
      </c>
      <c r="B1575" t="s">
        <v>96</v>
      </c>
      <c r="C1575" s="1">
        <v>44099</v>
      </c>
      <c r="D1575" s="1">
        <v>44106</v>
      </c>
      <c r="F1575" t="s">
        <v>97</v>
      </c>
      <c r="G1575" t="str">
        <f>"Software Developer "</f>
        <v xml:space="preserve">Software Developer </v>
      </c>
      <c r="H1575" t="s">
        <v>12169</v>
      </c>
      <c r="I1575" t="s">
        <v>124</v>
      </c>
      <c r="J1575" t="s">
        <v>98</v>
      </c>
      <c r="K1575" s="1">
        <v>44105</v>
      </c>
      <c r="L1575" s="1">
        <v>45199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 t="s">
        <v>3259</v>
      </c>
      <c r="U1575" t="str">
        <f>""</f>
        <v/>
      </c>
      <c r="V1575" t="s">
        <v>212</v>
      </c>
      <c r="W1575" t="str">
        <f>"SUITE 304"</f>
        <v>SUITE 304</v>
      </c>
      <c r="X1575" t="s">
        <v>211</v>
      </c>
      <c r="Y1575" t="s">
        <v>100</v>
      </c>
      <c r="Z1575" s="3">
        <v>8817</v>
      </c>
      <c r="AA1575" t="s">
        <v>101</v>
      </c>
      <c r="AC1575" s="4" t="str">
        <f>"+18482099676"</f>
        <v>+18482099676</v>
      </c>
      <c r="AE1575" t="str">
        <f>"541511"</f>
        <v>541511</v>
      </c>
      <c r="AF1575" t="s">
        <v>3260</v>
      </c>
      <c r="AG1575" t="s">
        <v>3261</v>
      </c>
      <c r="AI1575" t="s">
        <v>3262</v>
      </c>
      <c r="AJ1575" t="s">
        <v>2223</v>
      </c>
      <c r="AK1575" t="str">
        <f>"Suite 304 "</f>
        <v xml:space="preserve">Suite 304 </v>
      </c>
      <c r="AL1575" t="s">
        <v>561</v>
      </c>
      <c r="AM1575" t="s">
        <v>100</v>
      </c>
      <c r="AN1575" s="3">
        <v>8817</v>
      </c>
      <c r="AO1575" t="s">
        <v>101</v>
      </c>
      <c r="AQ1575" t="str">
        <f>"+18482099676"</f>
        <v>+18482099676</v>
      </c>
      <c r="AS1575" t="s">
        <v>3263</v>
      </c>
      <c r="AT1575" t="s">
        <v>102</v>
      </c>
      <c r="AU1575" t="str">
        <f>""</f>
        <v/>
      </c>
      <c r="AV1575" t="str">
        <f>""</f>
        <v/>
      </c>
      <c r="AW1575" t="str">
        <f>""</f>
        <v/>
      </c>
      <c r="AX1575" t="str">
        <f>""</f>
        <v/>
      </c>
      <c r="AY1575" t="str">
        <f>""</f>
        <v/>
      </c>
      <c r="AZ1575" t="str">
        <f>""</f>
        <v/>
      </c>
      <c r="BA1575" t="str">
        <f>""</f>
        <v/>
      </c>
      <c r="BC1575" t="str">
        <f>""</f>
        <v/>
      </c>
      <c r="BD1575" t="str">
        <f>""</f>
        <v/>
      </c>
      <c r="BE1575" t="str">
        <f>""</f>
        <v/>
      </c>
      <c r="BF1575" t="str">
        <f>""</f>
        <v/>
      </c>
      <c r="BG1575" t="str">
        <f>""</f>
        <v/>
      </c>
      <c r="BH1575" t="str">
        <f>""</f>
        <v/>
      </c>
      <c r="BI1575" t="str">
        <f>""</f>
        <v/>
      </c>
      <c r="BJ1575" t="str">
        <f>""</f>
        <v/>
      </c>
      <c r="BK1575">
        <v>1</v>
      </c>
      <c r="BL1575" t="s">
        <v>102</v>
      </c>
      <c r="BM1575" t="str">
        <f>""</f>
        <v/>
      </c>
      <c r="BN1575" t="s">
        <v>7929</v>
      </c>
      <c r="BO1575" t="s">
        <v>9545</v>
      </c>
      <c r="BP1575" t="s">
        <v>561</v>
      </c>
      <c r="BQ1575" t="s">
        <v>104</v>
      </c>
      <c r="BR1575" t="s">
        <v>100</v>
      </c>
      <c r="BS1575" s="5">
        <v>8817</v>
      </c>
      <c r="BT1575" s="2">
        <v>100526</v>
      </c>
      <c r="BU1575" s="2">
        <v>102000</v>
      </c>
      <c r="BV1575" t="s">
        <v>105</v>
      </c>
      <c r="BW1575" s="2">
        <v>100526</v>
      </c>
      <c r="BX1575" t="s">
        <v>105</v>
      </c>
      <c r="BZ1575" t="s">
        <v>167</v>
      </c>
      <c r="CA1575" t="str">
        <f t="shared" si="121"/>
        <v>7/1/2020 - 6/30/2021</v>
      </c>
      <c r="CF1575">
        <v>2</v>
      </c>
      <c r="CG1575" t="s">
        <v>98</v>
      </c>
      <c r="CH1575" t="s">
        <v>98</v>
      </c>
      <c r="CI1575" t="s">
        <v>206</v>
      </c>
      <c r="CJ1575" t="s">
        <v>98</v>
      </c>
      <c r="CK1575" t="s">
        <v>12324</v>
      </c>
      <c r="CL1575" t="s">
        <v>108</v>
      </c>
      <c r="CM1575" t="s">
        <v>109</v>
      </c>
      <c r="CN1575" t="str">
        <f>"Bolla "</f>
        <v xml:space="preserve">Bolla </v>
      </c>
      <c r="CO1575" t="str">
        <f>"Srini"</f>
        <v>Srini</v>
      </c>
      <c r="CP1575" t="str">
        <f>""</f>
        <v/>
      </c>
      <c r="CQ1575" t="str">
        <f>"Geeksoft LLC "</f>
        <v xml:space="preserve">Geeksoft LLC </v>
      </c>
      <c r="CR1575" t="s">
        <v>3263</v>
      </c>
    </row>
    <row r="1576" spans="1:96" x14ac:dyDescent="0.2">
      <c r="A1576" t="s">
        <v>9560</v>
      </c>
      <c r="B1576" t="s">
        <v>96</v>
      </c>
      <c r="C1576" s="1">
        <v>44099</v>
      </c>
      <c r="D1576" s="1">
        <v>44106</v>
      </c>
      <c r="F1576" t="s">
        <v>97</v>
      </c>
      <c r="G1576" t="str">
        <f>"Software Engineer"</f>
        <v>Software Engineer</v>
      </c>
      <c r="H1576" t="s">
        <v>12169</v>
      </c>
      <c r="I1576" t="s">
        <v>124</v>
      </c>
      <c r="J1576" t="s">
        <v>98</v>
      </c>
      <c r="K1576" s="1">
        <v>44197</v>
      </c>
      <c r="L1576" s="1">
        <v>45291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 t="s">
        <v>7741</v>
      </c>
      <c r="U1576" t="str">
        <f>""</f>
        <v/>
      </c>
      <c r="V1576" t="s">
        <v>7742</v>
      </c>
      <c r="W1576" t="str">
        <f>"Suite 2200"</f>
        <v>Suite 2200</v>
      </c>
      <c r="X1576" t="s">
        <v>483</v>
      </c>
      <c r="Y1576" t="s">
        <v>114</v>
      </c>
      <c r="Z1576" s="3">
        <v>75038</v>
      </c>
      <c r="AA1576" t="s">
        <v>101</v>
      </c>
      <c r="AC1576" s="4" t="str">
        <f>"+19725733382"</f>
        <v>+19725733382</v>
      </c>
      <c r="AE1576" t="str">
        <f>"541512"</f>
        <v>541512</v>
      </c>
      <c r="AF1576" t="s">
        <v>7743</v>
      </c>
      <c r="AG1576" t="s">
        <v>7744</v>
      </c>
      <c r="AI1576" t="s">
        <v>298</v>
      </c>
      <c r="AJ1576" t="s">
        <v>7742</v>
      </c>
      <c r="AK1576" t="str">
        <f>"Suite 2200"</f>
        <v>Suite 2200</v>
      </c>
      <c r="AL1576" t="s">
        <v>483</v>
      </c>
      <c r="AM1576" t="s">
        <v>114</v>
      </c>
      <c r="AN1576" s="3">
        <v>75038</v>
      </c>
      <c r="AO1576" t="s">
        <v>101</v>
      </c>
      <c r="AQ1576" t="str">
        <f>"+19725733382"</f>
        <v>+19725733382</v>
      </c>
      <c r="AS1576" t="s">
        <v>7745</v>
      </c>
      <c r="AT1576" t="s">
        <v>107</v>
      </c>
      <c r="AU1576" t="str">
        <f>"Singh"</f>
        <v>Singh</v>
      </c>
      <c r="AV1576" t="str">
        <f>"Amardeep"</f>
        <v>Amardeep</v>
      </c>
      <c r="AW1576" t="str">
        <f>""</f>
        <v/>
      </c>
      <c r="AX1576" t="str">
        <f>"230 W. Monroe Street"</f>
        <v>230 W. Monroe Street</v>
      </c>
      <c r="AY1576" t="str">
        <f>"Suite 2800"</f>
        <v>Suite 2800</v>
      </c>
      <c r="AZ1576" t="str">
        <f>"Chicago"</f>
        <v>Chicago</v>
      </c>
      <c r="BA1576" t="str">
        <f>"IL"</f>
        <v>IL</v>
      </c>
      <c r="BB1576" s="3">
        <v>60606</v>
      </c>
      <c r="BC1576" t="str">
        <f>"UNITED STATES OF AMERICA"</f>
        <v>UNITED STATES OF AMERICA</v>
      </c>
      <c r="BD1576" t="str">
        <f>""</f>
        <v/>
      </c>
      <c r="BE1576" t="str">
        <f>"+13127226300"</f>
        <v>+13127226300</v>
      </c>
      <c r="BF1576" t="str">
        <f>""</f>
        <v/>
      </c>
      <c r="BG1576" t="str">
        <f>"gov@giafirm.com"</f>
        <v>gov@giafirm.com</v>
      </c>
      <c r="BH1576" t="str">
        <f>"Global Immigration Associates, P.C."</f>
        <v>Global Immigration Associates, P.C.</v>
      </c>
      <c r="BI1576" t="str">
        <f>"WI"</f>
        <v>WI</v>
      </c>
      <c r="BJ1576" t="str">
        <f>"Supreme Court"</f>
        <v>Supreme Court</v>
      </c>
      <c r="BK1576">
        <v>1</v>
      </c>
      <c r="BL1576" t="s">
        <v>107</v>
      </c>
      <c r="BM1576" t="str">
        <f>"Fidelity Investments"</f>
        <v>Fidelity Investments</v>
      </c>
      <c r="BN1576" t="s">
        <v>3509</v>
      </c>
      <c r="BP1576" t="s">
        <v>3510</v>
      </c>
      <c r="BQ1576" t="s">
        <v>1033</v>
      </c>
      <c r="BR1576" t="s">
        <v>1035</v>
      </c>
      <c r="BS1576" s="5">
        <v>3054</v>
      </c>
      <c r="BT1576" s="2">
        <v>93600</v>
      </c>
      <c r="BV1576" t="s">
        <v>105</v>
      </c>
      <c r="BW1576" s="2">
        <v>76523</v>
      </c>
      <c r="BX1576" t="s">
        <v>105</v>
      </c>
      <c r="BZ1576" t="s">
        <v>191</v>
      </c>
      <c r="CA1576" t="str">
        <f t="shared" si="121"/>
        <v>7/1/2020 - 6/30/2021</v>
      </c>
      <c r="CF1576">
        <v>1</v>
      </c>
      <c r="CG1576" t="s">
        <v>98</v>
      </c>
      <c r="CH1576" t="s">
        <v>98</v>
      </c>
      <c r="CI1576" t="s">
        <v>206</v>
      </c>
      <c r="CJ1576" t="s">
        <v>98</v>
      </c>
      <c r="CK1576" t="s">
        <v>12324</v>
      </c>
      <c r="CL1576" t="s">
        <v>108</v>
      </c>
      <c r="CM1576" t="s">
        <v>109</v>
      </c>
      <c r="CN1576" t="str">
        <f>""</f>
        <v/>
      </c>
      <c r="CO1576" t="str">
        <f>""</f>
        <v/>
      </c>
      <c r="CP1576" t="str">
        <f>""</f>
        <v/>
      </c>
      <c r="CQ1576" t="str">
        <f>""</f>
        <v/>
      </c>
    </row>
    <row r="1577" spans="1:96" x14ac:dyDescent="0.2">
      <c r="A1577" t="s">
        <v>9562</v>
      </c>
      <c r="B1577" t="s">
        <v>96</v>
      </c>
      <c r="C1577" s="1">
        <v>44099</v>
      </c>
      <c r="D1577" s="1">
        <v>44106</v>
      </c>
      <c r="F1577" t="s">
        <v>97</v>
      </c>
      <c r="G1577" t="str">
        <f>"ETL Test Lead"</f>
        <v>ETL Test Lead</v>
      </c>
      <c r="H1577" t="s">
        <v>12169</v>
      </c>
      <c r="I1577" t="s">
        <v>124</v>
      </c>
      <c r="J1577" t="s">
        <v>98</v>
      </c>
      <c r="K1577" s="1">
        <v>44109</v>
      </c>
      <c r="L1577" s="1">
        <v>45203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 t="s">
        <v>7086</v>
      </c>
      <c r="U1577" t="str">
        <f>""</f>
        <v/>
      </c>
      <c r="V1577" t="s">
        <v>7087</v>
      </c>
      <c r="W1577" t="str">
        <f>"Suite 403"</f>
        <v>Suite 403</v>
      </c>
      <c r="X1577" t="s">
        <v>947</v>
      </c>
      <c r="Y1577" t="s">
        <v>100</v>
      </c>
      <c r="Z1577" s="3">
        <v>8540</v>
      </c>
      <c r="AA1577" t="s">
        <v>101</v>
      </c>
      <c r="AC1577" s="4" t="str">
        <f>"+17322186500"</f>
        <v>+17322186500</v>
      </c>
      <c r="AE1577" t="str">
        <f t="shared" ref="AE1577:AE1582" si="122">"541511"</f>
        <v>541511</v>
      </c>
      <c r="AF1577" t="s">
        <v>7088</v>
      </c>
      <c r="AG1577" t="s">
        <v>7089</v>
      </c>
      <c r="AI1577" t="s">
        <v>508</v>
      </c>
      <c r="AJ1577" t="s">
        <v>7087</v>
      </c>
      <c r="AK1577" t="str">
        <f>"Suite 403"</f>
        <v>Suite 403</v>
      </c>
      <c r="AL1577" t="s">
        <v>947</v>
      </c>
      <c r="AM1577" t="s">
        <v>100</v>
      </c>
      <c r="AN1577" s="3">
        <v>8540</v>
      </c>
      <c r="AO1577" t="s">
        <v>101</v>
      </c>
      <c r="AQ1577" t="str">
        <f>"+17322186500"</f>
        <v>+17322186500</v>
      </c>
      <c r="AS1577" t="s">
        <v>7090</v>
      </c>
      <c r="AT1577" t="s">
        <v>107</v>
      </c>
      <c r="AU1577" t="str">
        <f>"Ilindra"</f>
        <v>Ilindra</v>
      </c>
      <c r="AV1577" t="str">
        <f>"Bhanu"</f>
        <v>Bhanu</v>
      </c>
      <c r="AW1577" t="str">
        <f>"B"</f>
        <v>B</v>
      </c>
      <c r="AX1577" t="str">
        <f>"P.O. Box 1114"</f>
        <v>P.O. Box 1114</v>
      </c>
      <c r="AY1577" t="str">
        <f>""</f>
        <v/>
      </c>
      <c r="AZ1577" t="str">
        <f>"Herndon"</f>
        <v>Herndon</v>
      </c>
      <c r="BA1577" t="str">
        <f>"VA"</f>
        <v>VA</v>
      </c>
      <c r="BB1577" s="3">
        <v>20170</v>
      </c>
      <c r="BC1577" t="str">
        <f>"UNITED STATES OF AMERICA"</f>
        <v>UNITED STATES OF AMERICA</v>
      </c>
      <c r="BD1577" t="str">
        <f>""</f>
        <v/>
      </c>
      <c r="BE1577" t="str">
        <f>"+17034967722"</f>
        <v>+17034967722</v>
      </c>
      <c r="BF1577" t="str">
        <f>""</f>
        <v/>
      </c>
      <c r="BG1577" t="str">
        <f>"bhanu@bbilawgroup.com"</f>
        <v>bhanu@bbilawgroup.com</v>
      </c>
      <c r="BH1577" t="str">
        <f>"BBI Law Group, P.C."</f>
        <v>BBI Law Group, P.C.</v>
      </c>
      <c r="BI1577" t="str">
        <f>"NY"</f>
        <v>NY</v>
      </c>
      <c r="BJ1577" t="str">
        <f>"THIRD APPELLATE COURT"</f>
        <v>THIRD APPELLATE COURT</v>
      </c>
      <c r="BK1577">
        <v>1</v>
      </c>
      <c r="BL1577" t="s">
        <v>107</v>
      </c>
      <c r="BM1577" t="str">
        <f>"DFW Airport"</f>
        <v>DFW Airport</v>
      </c>
      <c r="BN1577" t="s">
        <v>9563</v>
      </c>
      <c r="BP1577" t="s">
        <v>9564</v>
      </c>
      <c r="BQ1577" t="s">
        <v>484</v>
      </c>
      <c r="BR1577" t="s">
        <v>114</v>
      </c>
      <c r="BS1577" s="5">
        <v>75261</v>
      </c>
      <c r="BT1577" s="2">
        <v>93600</v>
      </c>
      <c r="BV1577" t="s">
        <v>105</v>
      </c>
      <c r="BW1577" s="2">
        <v>93558</v>
      </c>
      <c r="BX1577" t="s">
        <v>105</v>
      </c>
      <c r="BZ1577" t="s">
        <v>167</v>
      </c>
      <c r="CA1577" t="str">
        <f t="shared" si="121"/>
        <v>7/1/2020 - 6/30/2021</v>
      </c>
      <c r="CF1577">
        <v>1</v>
      </c>
      <c r="CG1577" t="s">
        <v>98</v>
      </c>
      <c r="CH1577" t="s">
        <v>98</v>
      </c>
      <c r="CI1577" t="s">
        <v>206</v>
      </c>
      <c r="CJ1577" t="s">
        <v>98</v>
      </c>
      <c r="CK1577" t="s">
        <v>12324</v>
      </c>
      <c r="CL1577" t="s">
        <v>108</v>
      </c>
      <c r="CM1577" t="s">
        <v>109</v>
      </c>
      <c r="CN1577" t="str">
        <f>"ILINDRA"</f>
        <v>ILINDRA</v>
      </c>
      <c r="CO1577" t="str">
        <f>"BHANU"</f>
        <v>BHANU</v>
      </c>
      <c r="CP1577" t="str">
        <f>"B"</f>
        <v>B</v>
      </c>
      <c r="CQ1577" t="str">
        <f>"BBI LAW GROUP P.C."</f>
        <v>BBI LAW GROUP P.C.</v>
      </c>
      <c r="CR1577" t="s">
        <v>7091</v>
      </c>
    </row>
    <row r="1578" spans="1:96" x14ac:dyDescent="0.2">
      <c r="A1578" t="s">
        <v>9658</v>
      </c>
      <c r="B1578" t="s">
        <v>96</v>
      </c>
      <c r="C1578" s="1">
        <v>44099</v>
      </c>
      <c r="D1578" s="1">
        <v>44106</v>
      </c>
      <c r="F1578" t="s">
        <v>97</v>
      </c>
      <c r="G1578" t="str">
        <f>"ETL Developer"</f>
        <v>ETL Developer</v>
      </c>
      <c r="H1578" t="s">
        <v>12169</v>
      </c>
      <c r="I1578" t="s">
        <v>124</v>
      </c>
      <c r="J1578" t="s">
        <v>98</v>
      </c>
      <c r="K1578" s="1">
        <v>44234</v>
      </c>
      <c r="L1578" s="1">
        <v>45329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 t="s">
        <v>3404</v>
      </c>
      <c r="U1578" t="str">
        <f>""</f>
        <v/>
      </c>
      <c r="V1578" t="s">
        <v>3405</v>
      </c>
      <c r="W1578" t="str">
        <f>"SUITE 16"</f>
        <v>SUITE 16</v>
      </c>
      <c r="X1578" t="s">
        <v>1507</v>
      </c>
      <c r="Y1578" t="s">
        <v>135</v>
      </c>
      <c r="Z1578" s="3">
        <v>20171</v>
      </c>
      <c r="AA1578" t="s">
        <v>101</v>
      </c>
      <c r="AC1578" s="4" t="str">
        <f>"+17034818274"</f>
        <v>+17034818274</v>
      </c>
      <c r="AE1578" t="str">
        <f t="shared" si="122"/>
        <v>541511</v>
      </c>
      <c r="AF1578" t="s">
        <v>3406</v>
      </c>
      <c r="AG1578" t="s">
        <v>3407</v>
      </c>
      <c r="AH1578" t="s">
        <v>108</v>
      </c>
      <c r="AI1578" t="s">
        <v>425</v>
      </c>
      <c r="AJ1578" t="s">
        <v>3405</v>
      </c>
      <c r="AK1578" t="str">
        <f>"SUITE 16"</f>
        <v>SUITE 16</v>
      </c>
      <c r="AL1578" t="s">
        <v>1507</v>
      </c>
      <c r="AM1578" t="s">
        <v>135</v>
      </c>
      <c r="AN1578" s="3">
        <v>20171</v>
      </c>
      <c r="AO1578" t="s">
        <v>101</v>
      </c>
      <c r="AQ1578" t="str">
        <f>"+17034818274"</f>
        <v>+17034818274</v>
      </c>
      <c r="AS1578" t="s">
        <v>3408</v>
      </c>
      <c r="AT1578" t="s">
        <v>102</v>
      </c>
      <c r="AU1578" t="str">
        <f>""</f>
        <v/>
      </c>
      <c r="AV1578" t="str">
        <f>""</f>
        <v/>
      </c>
      <c r="AW1578" t="str">
        <f>""</f>
        <v/>
      </c>
      <c r="AX1578" t="str">
        <f>""</f>
        <v/>
      </c>
      <c r="AY1578" t="str">
        <f>""</f>
        <v/>
      </c>
      <c r="AZ1578" t="str">
        <f>""</f>
        <v/>
      </c>
      <c r="BA1578" t="str">
        <f>""</f>
        <v/>
      </c>
      <c r="BC1578" t="str">
        <f>""</f>
        <v/>
      </c>
      <c r="BD1578" t="str">
        <f>""</f>
        <v/>
      </c>
      <c r="BE1578" t="str">
        <f>""</f>
        <v/>
      </c>
      <c r="BF1578" t="str">
        <f>""</f>
        <v/>
      </c>
      <c r="BG1578" t="str">
        <f>""</f>
        <v/>
      </c>
      <c r="BH1578" t="str">
        <f>""</f>
        <v/>
      </c>
      <c r="BI1578" t="str">
        <f>""</f>
        <v/>
      </c>
      <c r="BJ1578" t="str">
        <f>""</f>
        <v/>
      </c>
      <c r="BK1578">
        <v>1</v>
      </c>
      <c r="BL1578" t="s">
        <v>107</v>
      </c>
      <c r="BM1578" t="str">
        <f>"The Kroger Co."</f>
        <v>The Kroger Co.</v>
      </c>
      <c r="BN1578" t="s">
        <v>5527</v>
      </c>
      <c r="BP1578" t="s">
        <v>2052</v>
      </c>
      <c r="BQ1578" t="s">
        <v>1624</v>
      </c>
      <c r="BR1578" t="s">
        <v>225</v>
      </c>
      <c r="BS1578" s="5">
        <v>45242</v>
      </c>
      <c r="BT1578" s="2">
        <v>87194</v>
      </c>
      <c r="BU1578" s="2">
        <v>87200</v>
      </c>
      <c r="BV1578" t="s">
        <v>105</v>
      </c>
      <c r="BW1578" s="2">
        <v>87194</v>
      </c>
      <c r="BX1578" t="s">
        <v>105</v>
      </c>
      <c r="BZ1578" t="s">
        <v>167</v>
      </c>
      <c r="CA1578" t="str">
        <f t="shared" si="121"/>
        <v>7/1/2020 - 6/30/2021</v>
      </c>
      <c r="CF1578">
        <v>1</v>
      </c>
      <c r="CG1578" t="s">
        <v>98</v>
      </c>
      <c r="CH1578" t="s">
        <v>98</v>
      </c>
      <c r="CI1578" t="s">
        <v>206</v>
      </c>
      <c r="CJ1578" t="s">
        <v>98</v>
      </c>
      <c r="CK1578" t="s">
        <v>12324</v>
      </c>
      <c r="CL1578" t="s">
        <v>108</v>
      </c>
      <c r="CM1578" t="s">
        <v>109</v>
      </c>
      <c r="CN1578" t="str">
        <f>""</f>
        <v/>
      </c>
      <c r="CO1578" t="str">
        <f>""</f>
        <v/>
      </c>
      <c r="CP1578" t="str">
        <f>""</f>
        <v/>
      </c>
      <c r="CQ1578" t="str">
        <f>""</f>
        <v/>
      </c>
    </row>
    <row r="1579" spans="1:96" x14ac:dyDescent="0.2">
      <c r="A1579" t="s">
        <v>9705</v>
      </c>
      <c r="B1579" t="s">
        <v>96</v>
      </c>
      <c r="C1579" s="1">
        <v>44099</v>
      </c>
      <c r="D1579" s="1">
        <v>44106</v>
      </c>
      <c r="F1579" t="s">
        <v>97</v>
      </c>
      <c r="G1579" t="str">
        <f>"SOFTWARE ENGINEER"</f>
        <v>SOFTWARE ENGINEER</v>
      </c>
      <c r="H1579" t="s">
        <v>12169</v>
      </c>
      <c r="I1579" t="s">
        <v>124</v>
      </c>
      <c r="J1579" t="s">
        <v>98</v>
      </c>
      <c r="K1579" s="1">
        <v>44106</v>
      </c>
      <c r="L1579" s="1">
        <v>45200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 t="s">
        <v>1588</v>
      </c>
      <c r="U1579" t="str">
        <f>""</f>
        <v/>
      </c>
      <c r="V1579" t="s">
        <v>1589</v>
      </c>
      <c r="W1579" t="str">
        <f>""</f>
        <v/>
      </c>
      <c r="X1579" t="s">
        <v>535</v>
      </c>
      <c r="Y1579" t="s">
        <v>100</v>
      </c>
      <c r="Z1579" s="3">
        <v>8873</v>
      </c>
      <c r="AA1579" t="s">
        <v>101</v>
      </c>
      <c r="AC1579" s="4" t="str">
        <f>"+17327260593"</f>
        <v>+17327260593</v>
      </c>
      <c r="AE1579" t="str">
        <f t="shared" si="122"/>
        <v>541511</v>
      </c>
      <c r="AF1579" t="s">
        <v>1590</v>
      </c>
      <c r="AG1579" t="s">
        <v>1591</v>
      </c>
      <c r="AI1579" t="s">
        <v>1586</v>
      </c>
      <c r="AJ1579" t="s">
        <v>1589</v>
      </c>
      <c r="AK1579" t="str">
        <f>""</f>
        <v/>
      </c>
      <c r="AL1579" t="s">
        <v>535</v>
      </c>
      <c r="AM1579" t="s">
        <v>100</v>
      </c>
      <c r="AN1579" s="3">
        <v>8873</v>
      </c>
      <c r="AO1579" t="s">
        <v>101</v>
      </c>
      <c r="AQ1579" t="str">
        <f>"+17327260593"</f>
        <v>+17327260593</v>
      </c>
      <c r="AS1579" t="s">
        <v>1592</v>
      </c>
      <c r="AT1579" t="s">
        <v>102</v>
      </c>
      <c r="AU1579" t="str">
        <f>""</f>
        <v/>
      </c>
      <c r="AV1579" t="str">
        <f>""</f>
        <v/>
      </c>
      <c r="AW1579" t="str">
        <f>""</f>
        <v/>
      </c>
      <c r="AX1579" t="str">
        <f>""</f>
        <v/>
      </c>
      <c r="AY1579" t="str">
        <f>""</f>
        <v/>
      </c>
      <c r="AZ1579" t="str">
        <f>""</f>
        <v/>
      </c>
      <c r="BA1579" t="str">
        <f>""</f>
        <v/>
      </c>
      <c r="BC1579" t="str">
        <f>""</f>
        <v/>
      </c>
      <c r="BD1579" t="str">
        <f>""</f>
        <v/>
      </c>
      <c r="BE1579" t="str">
        <f>""</f>
        <v/>
      </c>
      <c r="BF1579" t="str">
        <f>""</f>
        <v/>
      </c>
      <c r="BG1579" t="str">
        <f>""</f>
        <v/>
      </c>
      <c r="BH1579" t="str">
        <f>""</f>
        <v/>
      </c>
      <c r="BI1579" t="str">
        <f>""</f>
        <v/>
      </c>
      <c r="BJ1579" t="str">
        <f>""</f>
        <v/>
      </c>
      <c r="BK1579">
        <v>1</v>
      </c>
      <c r="BL1579" t="s">
        <v>102</v>
      </c>
      <c r="BM1579" t="str">
        <f>""</f>
        <v/>
      </c>
      <c r="BN1579" t="s">
        <v>9706</v>
      </c>
      <c r="BO1579" t="s">
        <v>9707</v>
      </c>
      <c r="BP1579" t="s">
        <v>6241</v>
      </c>
      <c r="BQ1579" t="s">
        <v>2666</v>
      </c>
      <c r="BR1579" t="s">
        <v>577</v>
      </c>
      <c r="BS1579" s="5">
        <v>33764</v>
      </c>
      <c r="BT1579" s="2">
        <v>81806</v>
      </c>
      <c r="BU1579" s="2">
        <v>99923</v>
      </c>
      <c r="BV1579" t="s">
        <v>105</v>
      </c>
      <c r="BW1579" s="2">
        <v>81806</v>
      </c>
      <c r="BX1579" t="s">
        <v>105</v>
      </c>
      <c r="BZ1579" t="s">
        <v>167</v>
      </c>
      <c r="CA1579" t="str">
        <f t="shared" si="121"/>
        <v>7/1/2020 - 6/30/2021</v>
      </c>
      <c r="CF1579">
        <v>1</v>
      </c>
      <c r="CG1579" t="s">
        <v>98</v>
      </c>
      <c r="CH1579" t="s">
        <v>98</v>
      </c>
      <c r="CI1579" t="s">
        <v>206</v>
      </c>
      <c r="CJ1579" t="s">
        <v>98</v>
      </c>
      <c r="CK1579" t="s">
        <v>12324</v>
      </c>
      <c r="CL1579" t="s">
        <v>108</v>
      </c>
      <c r="CM1579" t="s">
        <v>109</v>
      </c>
      <c r="CN1579" t="str">
        <f>""</f>
        <v/>
      </c>
      <c r="CO1579" t="str">
        <f>""</f>
        <v/>
      </c>
      <c r="CP1579" t="str">
        <f>""</f>
        <v/>
      </c>
      <c r="CQ1579" t="str">
        <f>""</f>
        <v/>
      </c>
    </row>
    <row r="1580" spans="1:96" x14ac:dyDescent="0.2">
      <c r="A1580" t="s">
        <v>9954</v>
      </c>
      <c r="B1580" t="s">
        <v>96</v>
      </c>
      <c r="C1580" s="1">
        <v>44099</v>
      </c>
      <c r="D1580" s="1">
        <v>44106</v>
      </c>
      <c r="F1580" t="s">
        <v>97</v>
      </c>
      <c r="G1580" t="str">
        <f>"DATABASE ADMINISTRATOR"</f>
        <v>DATABASE ADMINISTRATOR</v>
      </c>
      <c r="H1580" t="s">
        <v>12225</v>
      </c>
      <c r="I1580" t="s">
        <v>628</v>
      </c>
      <c r="J1580" t="s">
        <v>98</v>
      </c>
      <c r="K1580" s="1">
        <v>44099</v>
      </c>
      <c r="L1580" s="1">
        <v>45191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9955</v>
      </c>
      <c r="U1580" t="str">
        <f>""</f>
        <v/>
      </c>
      <c r="V1580" t="s">
        <v>6025</v>
      </c>
      <c r="W1580" t="str">
        <f>"STE#110"</f>
        <v>STE#110</v>
      </c>
      <c r="X1580" t="s">
        <v>6026</v>
      </c>
      <c r="Y1580" t="s">
        <v>265</v>
      </c>
      <c r="Z1580" s="3">
        <v>48187</v>
      </c>
      <c r="AA1580" t="s">
        <v>101</v>
      </c>
      <c r="AC1580" s="4" t="str">
        <f>"+17344045625"</f>
        <v>+17344045625</v>
      </c>
      <c r="AD1580">
        <v>105</v>
      </c>
      <c r="AE1580" t="str">
        <f t="shared" si="122"/>
        <v>541511</v>
      </c>
      <c r="AF1580" t="s">
        <v>1472</v>
      </c>
      <c r="AG1580" t="s">
        <v>9956</v>
      </c>
      <c r="AI1580" t="s">
        <v>228</v>
      </c>
      <c r="AJ1580" t="s">
        <v>6025</v>
      </c>
      <c r="AK1580" t="str">
        <f>"STE#110"</f>
        <v>STE#110</v>
      </c>
      <c r="AL1580" t="s">
        <v>6026</v>
      </c>
      <c r="AM1580" t="s">
        <v>265</v>
      </c>
      <c r="AN1580" s="3">
        <v>48187</v>
      </c>
      <c r="AO1580" t="s">
        <v>101</v>
      </c>
      <c r="AQ1580" t="str">
        <f>"+17344045625"</f>
        <v>+17344045625</v>
      </c>
      <c r="AR1580">
        <v>103</v>
      </c>
      <c r="AS1580" t="s">
        <v>9957</v>
      </c>
      <c r="AT1580" t="s">
        <v>102</v>
      </c>
      <c r="AU1580" t="str">
        <f>""</f>
        <v/>
      </c>
      <c r="AV1580" t="str">
        <f>""</f>
        <v/>
      </c>
      <c r="AW1580" t="str">
        <f>""</f>
        <v/>
      </c>
      <c r="AX1580" t="str">
        <f>""</f>
        <v/>
      </c>
      <c r="AY1580" t="str">
        <f>""</f>
        <v/>
      </c>
      <c r="AZ1580" t="str">
        <f>""</f>
        <v/>
      </c>
      <c r="BA1580" t="str">
        <f>""</f>
        <v/>
      </c>
      <c r="BC1580" t="str">
        <f>""</f>
        <v/>
      </c>
      <c r="BD1580" t="str">
        <f>""</f>
        <v/>
      </c>
      <c r="BE1580" t="str">
        <f>""</f>
        <v/>
      </c>
      <c r="BF1580" t="str">
        <f>""</f>
        <v/>
      </c>
      <c r="BG1580" t="str">
        <f>""</f>
        <v/>
      </c>
      <c r="BH1580" t="str">
        <f>""</f>
        <v/>
      </c>
      <c r="BI1580" t="str">
        <f>""</f>
        <v/>
      </c>
      <c r="BJ1580" t="str">
        <f>""</f>
        <v/>
      </c>
      <c r="BK1580">
        <v>1</v>
      </c>
      <c r="BL1580" t="s">
        <v>107</v>
      </c>
      <c r="BM1580" t="str">
        <f>"DEPARTMENT OF MOTOR VEHICLES"</f>
        <v>DEPARTMENT OF MOTOR VEHICLES</v>
      </c>
      <c r="BN1580" t="s">
        <v>9958</v>
      </c>
      <c r="BO1580" t="s">
        <v>2090</v>
      </c>
      <c r="BP1580" t="s">
        <v>720</v>
      </c>
      <c r="BQ1580" t="s">
        <v>721</v>
      </c>
      <c r="BR1580" t="s">
        <v>114</v>
      </c>
      <c r="BS1580" s="5">
        <v>78731</v>
      </c>
      <c r="BT1580" s="2">
        <v>91200</v>
      </c>
      <c r="BV1580" t="s">
        <v>105</v>
      </c>
      <c r="BW1580" s="2">
        <v>91146</v>
      </c>
      <c r="BX1580" t="s">
        <v>105</v>
      </c>
      <c r="BZ1580" t="s">
        <v>167</v>
      </c>
      <c r="CA1580" t="str">
        <f t="shared" si="121"/>
        <v>7/1/2020 - 6/30/2021</v>
      </c>
      <c r="CF1580">
        <v>1</v>
      </c>
      <c r="CG1580" t="s">
        <v>98</v>
      </c>
      <c r="CH1580" t="s">
        <v>98</v>
      </c>
      <c r="CI1580" t="s">
        <v>206</v>
      </c>
      <c r="CJ1580" t="s">
        <v>98</v>
      </c>
      <c r="CK1580" t="s">
        <v>12324</v>
      </c>
      <c r="CL1580" t="s">
        <v>108</v>
      </c>
      <c r="CM1580" t="s">
        <v>109</v>
      </c>
      <c r="CN1580" t="str">
        <f>""</f>
        <v/>
      </c>
      <c r="CO1580" t="str">
        <f>""</f>
        <v/>
      </c>
      <c r="CP1580" t="str">
        <f>""</f>
        <v/>
      </c>
      <c r="CQ1580" t="str">
        <f>""</f>
        <v/>
      </c>
    </row>
    <row r="1581" spans="1:96" x14ac:dyDescent="0.2">
      <c r="A1581" t="s">
        <v>10182</v>
      </c>
      <c r="B1581" t="s">
        <v>96</v>
      </c>
      <c r="C1581" s="1">
        <v>44099</v>
      </c>
      <c r="D1581" s="1">
        <v>44106</v>
      </c>
      <c r="F1581" t="s">
        <v>97</v>
      </c>
      <c r="G1581" t="str">
        <f>"ETL Developer"</f>
        <v>ETL Developer</v>
      </c>
      <c r="H1581" t="s">
        <v>12169</v>
      </c>
      <c r="I1581" t="s">
        <v>124</v>
      </c>
      <c r="J1581" t="s">
        <v>98</v>
      </c>
      <c r="K1581" s="1">
        <v>44234</v>
      </c>
      <c r="L1581" s="1">
        <v>45329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 t="s">
        <v>3404</v>
      </c>
      <c r="U1581" t="str">
        <f>""</f>
        <v/>
      </c>
      <c r="V1581" t="s">
        <v>3405</v>
      </c>
      <c r="W1581" t="str">
        <f>"SUITE 16"</f>
        <v>SUITE 16</v>
      </c>
      <c r="X1581" t="s">
        <v>1507</v>
      </c>
      <c r="Y1581" t="s">
        <v>135</v>
      </c>
      <c r="Z1581" s="3">
        <v>20171</v>
      </c>
      <c r="AA1581" t="s">
        <v>101</v>
      </c>
      <c r="AC1581" s="4" t="str">
        <f>"+17034818274"</f>
        <v>+17034818274</v>
      </c>
      <c r="AE1581" t="str">
        <f t="shared" si="122"/>
        <v>541511</v>
      </c>
      <c r="AF1581" t="s">
        <v>3406</v>
      </c>
      <c r="AG1581" t="s">
        <v>3407</v>
      </c>
      <c r="AH1581" t="s">
        <v>108</v>
      </c>
      <c r="AI1581" t="s">
        <v>425</v>
      </c>
      <c r="AJ1581" t="s">
        <v>3405</v>
      </c>
      <c r="AK1581" t="str">
        <f>"SUITE 16"</f>
        <v>SUITE 16</v>
      </c>
      <c r="AL1581" t="s">
        <v>1507</v>
      </c>
      <c r="AM1581" t="s">
        <v>135</v>
      </c>
      <c r="AN1581" s="3">
        <v>20171</v>
      </c>
      <c r="AO1581" t="s">
        <v>101</v>
      </c>
      <c r="AQ1581" t="str">
        <f>"+17034818274"</f>
        <v>+17034818274</v>
      </c>
      <c r="AS1581" t="s">
        <v>3408</v>
      </c>
      <c r="AT1581" t="s">
        <v>102</v>
      </c>
      <c r="AU1581" t="str">
        <f>""</f>
        <v/>
      </c>
      <c r="AV1581" t="str">
        <f>""</f>
        <v/>
      </c>
      <c r="AW1581" t="str">
        <f>""</f>
        <v/>
      </c>
      <c r="AX1581" t="str">
        <f>""</f>
        <v/>
      </c>
      <c r="AY1581" t="str">
        <f>""</f>
        <v/>
      </c>
      <c r="AZ1581" t="str">
        <f>""</f>
        <v/>
      </c>
      <c r="BA1581" t="str">
        <f>""</f>
        <v/>
      </c>
      <c r="BC1581" t="str">
        <f>""</f>
        <v/>
      </c>
      <c r="BD1581" t="str">
        <f>""</f>
        <v/>
      </c>
      <c r="BE1581" t="str">
        <f>""</f>
        <v/>
      </c>
      <c r="BF1581" t="str">
        <f>""</f>
        <v/>
      </c>
      <c r="BG1581" t="str">
        <f>""</f>
        <v/>
      </c>
      <c r="BH1581" t="str">
        <f>""</f>
        <v/>
      </c>
      <c r="BI1581" t="str">
        <f>""</f>
        <v/>
      </c>
      <c r="BJ1581" t="str">
        <f>""</f>
        <v/>
      </c>
      <c r="BK1581">
        <v>1</v>
      </c>
      <c r="BL1581" t="s">
        <v>107</v>
      </c>
      <c r="BM1581" t="str">
        <f>"KROGER Co"</f>
        <v>KROGER Co</v>
      </c>
      <c r="BN1581" t="s">
        <v>5527</v>
      </c>
      <c r="BP1581" t="s">
        <v>2052</v>
      </c>
      <c r="BQ1581" t="s">
        <v>1624</v>
      </c>
      <c r="BR1581" t="s">
        <v>225</v>
      </c>
      <c r="BS1581" s="5">
        <v>45242</v>
      </c>
      <c r="BT1581" s="2">
        <v>87194</v>
      </c>
      <c r="BU1581" s="2">
        <v>87200</v>
      </c>
      <c r="BV1581" t="s">
        <v>105</v>
      </c>
      <c r="BW1581" s="2">
        <v>87194</v>
      </c>
      <c r="BX1581" t="s">
        <v>105</v>
      </c>
      <c r="BZ1581" t="s">
        <v>167</v>
      </c>
      <c r="CA1581" t="str">
        <f t="shared" si="121"/>
        <v>7/1/2020 - 6/30/2021</v>
      </c>
      <c r="CF1581">
        <v>1</v>
      </c>
      <c r="CG1581" t="s">
        <v>98</v>
      </c>
      <c r="CH1581" t="s">
        <v>98</v>
      </c>
      <c r="CI1581" t="s">
        <v>206</v>
      </c>
      <c r="CJ1581" t="s">
        <v>98</v>
      </c>
      <c r="CK1581" t="s">
        <v>12324</v>
      </c>
      <c r="CL1581" t="s">
        <v>108</v>
      </c>
      <c r="CM1581" t="s">
        <v>109</v>
      </c>
      <c r="CN1581" t="str">
        <f>""</f>
        <v/>
      </c>
      <c r="CO1581" t="str">
        <f>""</f>
        <v/>
      </c>
      <c r="CP1581" t="str">
        <f>""</f>
        <v/>
      </c>
      <c r="CQ1581" t="str">
        <f>""</f>
        <v/>
      </c>
    </row>
    <row r="1582" spans="1:96" x14ac:dyDescent="0.2">
      <c r="A1582" t="s">
        <v>10290</v>
      </c>
      <c r="B1582" t="s">
        <v>96</v>
      </c>
      <c r="C1582" s="1">
        <v>44099</v>
      </c>
      <c r="D1582" s="1">
        <v>44106</v>
      </c>
      <c r="F1582" t="s">
        <v>97</v>
      </c>
      <c r="G1582" t="str">
        <f>"DevOps Engineer"</f>
        <v>DevOps Engineer</v>
      </c>
      <c r="H1582" t="s">
        <v>12169</v>
      </c>
      <c r="I1582" t="s">
        <v>124</v>
      </c>
      <c r="J1582" t="s">
        <v>98</v>
      </c>
      <c r="K1582" s="1">
        <v>44109</v>
      </c>
      <c r="L1582" s="1">
        <v>45203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8545</v>
      </c>
      <c r="U1582" t="str">
        <f>""</f>
        <v/>
      </c>
      <c r="V1582" t="s">
        <v>8546</v>
      </c>
      <c r="W1582" t="str">
        <f>"Suite 510"</f>
        <v>Suite 510</v>
      </c>
      <c r="X1582" t="s">
        <v>755</v>
      </c>
      <c r="Y1582" t="s">
        <v>135</v>
      </c>
      <c r="Z1582" s="3">
        <v>20170</v>
      </c>
      <c r="AA1582" t="s">
        <v>101</v>
      </c>
      <c r="AC1582" s="4" t="str">
        <f>"+17039567500"</f>
        <v>+17039567500</v>
      </c>
      <c r="AE1582" t="str">
        <f t="shared" si="122"/>
        <v>541511</v>
      </c>
      <c r="AF1582" t="s">
        <v>914</v>
      </c>
      <c r="AG1582" t="s">
        <v>8547</v>
      </c>
      <c r="AI1582" t="s">
        <v>8548</v>
      </c>
      <c r="AJ1582" t="s">
        <v>8546</v>
      </c>
      <c r="AK1582" t="str">
        <f>"Suite 510"</f>
        <v>Suite 510</v>
      </c>
      <c r="AL1582" t="s">
        <v>755</v>
      </c>
      <c r="AM1582" t="s">
        <v>135</v>
      </c>
      <c r="AN1582" s="3">
        <v>20170</v>
      </c>
      <c r="AO1582" t="s">
        <v>101</v>
      </c>
      <c r="AQ1582" t="str">
        <f>"+17039567500"</f>
        <v>+17039567500</v>
      </c>
      <c r="AS1582" t="s">
        <v>8549</v>
      </c>
      <c r="AT1582" t="s">
        <v>107</v>
      </c>
      <c r="AU1582" t="str">
        <f>"Shah"</f>
        <v>Shah</v>
      </c>
      <c r="AV1582" t="str">
        <f>"Devang"</f>
        <v>Devang</v>
      </c>
      <c r="AW1582" t="str">
        <f>"M."</f>
        <v>M.</v>
      </c>
      <c r="AX1582" t="str">
        <f>"9201 Corporate Blvd."</f>
        <v>9201 Corporate Blvd.</v>
      </c>
      <c r="AY1582" t="str">
        <f>"Suite 330"</f>
        <v>Suite 330</v>
      </c>
      <c r="AZ1582" t="str">
        <f>"Rockville"</f>
        <v>Rockville</v>
      </c>
      <c r="BA1582" t="str">
        <f>"MD"</f>
        <v>MD</v>
      </c>
      <c r="BB1582" s="3">
        <v>20850</v>
      </c>
      <c r="BC1582" t="str">
        <f>"UNITED STATES OF AMERICA"</f>
        <v>UNITED STATES OF AMERICA</v>
      </c>
      <c r="BD1582" t="str">
        <f>""</f>
        <v/>
      </c>
      <c r="BE1582" t="str">
        <f>"+13013150001"</f>
        <v>+13013150001</v>
      </c>
      <c r="BF1582" t="str">
        <f>""</f>
        <v/>
      </c>
      <c r="BG1582" t="str">
        <f>"Shah@shahandkishore.com"</f>
        <v>Shah@shahandkishore.com</v>
      </c>
      <c r="BH1582" t="str">
        <f>"Shah and Kishore"</f>
        <v>Shah and Kishore</v>
      </c>
      <c r="BI1582" t="str">
        <f>"MD"</f>
        <v>MD</v>
      </c>
      <c r="BJ1582" t="str">
        <f>"Court of Appeals"</f>
        <v>Court of Appeals</v>
      </c>
      <c r="BK1582">
        <v>1</v>
      </c>
      <c r="BL1582" t="s">
        <v>102</v>
      </c>
      <c r="BM1582" t="str">
        <f>""</f>
        <v/>
      </c>
      <c r="BN1582" t="s">
        <v>10291</v>
      </c>
      <c r="BP1582" t="s">
        <v>10292</v>
      </c>
      <c r="BQ1582" t="s">
        <v>682</v>
      </c>
      <c r="BR1582" t="s">
        <v>100</v>
      </c>
      <c r="BS1582" s="5">
        <v>8052</v>
      </c>
      <c r="BT1582" s="2">
        <v>135000</v>
      </c>
      <c r="BV1582" t="s">
        <v>105</v>
      </c>
      <c r="BW1582" s="2">
        <v>105851</v>
      </c>
      <c r="BX1582" t="s">
        <v>105</v>
      </c>
      <c r="BZ1582" t="s">
        <v>123</v>
      </c>
      <c r="CA1582" t="str">
        <f t="shared" si="121"/>
        <v>7/1/2020 - 6/30/2021</v>
      </c>
      <c r="CF1582">
        <v>2</v>
      </c>
      <c r="CG1582" t="s">
        <v>98</v>
      </c>
      <c r="CH1582" t="s">
        <v>98</v>
      </c>
      <c r="CI1582" t="s">
        <v>206</v>
      </c>
      <c r="CJ1582" t="s">
        <v>98</v>
      </c>
      <c r="CK1582" t="s">
        <v>12324</v>
      </c>
      <c r="CL1582" t="s">
        <v>108</v>
      </c>
      <c r="CM1582" t="s">
        <v>109</v>
      </c>
      <c r="CN1582" t="str">
        <f>"Shah"</f>
        <v>Shah</v>
      </c>
      <c r="CO1582" t="str">
        <f>"Devang"</f>
        <v>Devang</v>
      </c>
      <c r="CP1582" t="str">
        <f>"M."</f>
        <v>M.</v>
      </c>
      <c r="CQ1582" t="str">
        <f>"Shah and Kishore"</f>
        <v>Shah and Kishore</v>
      </c>
      <c r="CR1582" t="s">
        <v>828</v>
      </c>
    </row>
    <row r="1583" spans="1:96" x14ac:dyDescent="0.2">
      <c r="A1583" t="s">
        <v>10380</v>
      </c>
      <c r="B1583" t="s">
        <v>96</v>
      </c>
      <c r="C1583" s="1">
        <v>44099</v>
      </c>
      <c r="D1583" s="1">
        <v>44106</v>
      </c>
      <c r="F1583" t="s">
        <v>97</v>
      </c>
      <c r="G1583" t="str">
        <f>"Software Engineer"</f>
        <v>Software Engineer</v>
      </c>
      <c r="H1583" t="s">
        <v>12169</v>
      </c>
      <c r="I1583" t="s">
        <v>124</v>
      </c>
      <c r="J1583" t="s">
        <v>98</v>
      </c>
      <c r="K1583" s="1">
        <v>44166</v>
      </c>
      <c r="L1583" s="1">
        <v>45261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9580</v>
      </c>
      <c r="U1583" t="str">
        <f>""</f>
        <v/>
      </c>
      <c r="V1583" t="s">
        <v>9581</v>
      </c>
      <c r="W1583" t="str">
        <f>""</f>
        <v/>
      </c>
      <c r="X1583" t="s">
        <v>325</v>
      </c>
      <c r="Y1583" t="s">
        <v>265</v>
      </c>
      <c r="Z1583" s="3">
        <v>48076</v>
      </c>
      <c r="AA1583" t="s">
        <v>101</v>
      </c>
      <c r="AC1583" s="4" t="str">
        <f>"+13133366135"</f>
        <v>+13133366135</v>
      </c>
      <c r="AE1583" t="str">
        <f>"54133"</f>
        <v>54133</v>
      </c>
      <c r="AF1583" t="s">
        <v>1864</v>
      </c>
      <c r="AG1583" t="s">
        <v>1278</v>
      </c>
      <c r="AI1583" t="s">
        <v>508</v>
      </c>
      <c r="AJ1583" t="s">
        <v>9581</v>
      </c>
      <c r="AK1583" t="str">
        <f>""</f>
        <v/>
      </c>
      <c r="AL1583" t="s">
        <v>325</v>
      </c>
      <c r="AM1583" t="s">
        <v>265</v>
      </c>
      <c r="AN1583" s="3">
        <v>48076</v>
      </c>
      <c r="AO1583" t="s">
        <v>101</v>
      </c>
      <c r="AQ1583" t="str">
        <f>"+13133366135"</f>
        <v>+13133366135</v>
      </c>
      <c r="AS1583" t="s">
        <v>9582</v>
      </c>
      <c r="AT1583" t="s">
        <v>107</v>
      </c>
      <c r="AU1583" t="str">
        <f>"Bowman"</f>
        <v>Bowman</v>
      </c>
      <c r="AV1583" t="str">
        <f>"Luke"</f>
        <v>Luke</v>
      </c>
      <c r="AW1583" t="str">
        <f>"Scott"</f>
        <v>Scott</v>
      </c>
      <c r="AX1583" t="str">
        <f>"120 Flint Road"</f>
        <v>120 Flint Road</v>
      </c>
      <c r="AY1583" t="str">
        <f>""</f>
        <v/>
      </c>
      <c r="AZ1583" t="str">
        <f>"Brighton"</f>
        <v>Brighton</v>
      </c>
      <c r="BA1583" t="str">
        <f>"MI"</f>
        <v>MI</v>
      </c>
      <c r="BB1583" s="3">
        <v>48116</v>
      </c>
      <c r="BC1583" t="str">
        <f>"UNITED STATES OF AMERICA"</f>
        <v>UNITED STATES OF AMERICA</v>
      </c>
      <c r="BD1583" t="str">
        <f>""</f>
        <v/>
      </c>
      <c r="BE1583" t="str">
        <f>"+18105225405"</f>
        <v>+18105225405</v>
      </c>
      <c r="BF1583" t="str">
        <f>""</f>
        <v/>
      </c>
      <c r="BG1583" t="str">
        <f>"luke@lukebowmanlaw.com"</f>
        <v>luke@lukebowmanlaw.com</v>
      </c>
      <c r="BH1583" t="str">
        <f>"The Law Office of Luke Bowman"</f>
        <v>The Law Office of Luke Bowman</v>
      </c>
      <c r="BI1583" t="str">
        <f>"CA"</f>
        <v>CA</v>
      </c>
      <c r="BJ1583" t="str">
        <f>"Supreme Court"</f>
        <v>Supreme Court</v>
      </c>
      <c r="BK1583">
        <v>1</v>
      </c>
      <c r="BL1583" t="s">
        <v>102</v>
      </c>
      <c r="BM1583" t="str">
        <f>""</f>
        <v/>
      </c>
      <c r="BN1583" t="s">
        <v>9581</v>
      </c>
      <c r="BP1583" t="s">
        <v>325</v>
      </c>
      <c r="BQ1583" t="s">
        <v>719</v>
      </c>
      <c r="BR1583" t="s">
        <v>265</v>
      </c>
      <c r="BS1583" s="5">
        <v>48076</v>
      </c>
      <c r="BT1583" s="2">
        <v>38.1</v>
      </c>
      <c r="BU1583" s="2">
        <v>40</v>
      </c>
      <c r="BV1583" t="s">
        <v>210</v>
      </c>
      <c r="BW1583" s="2">
        <v>38.1</v>
      </c>
      <c r="BX1583" t="s">
        <v>210</v>
      </c>
      <c r="BZ1583" t="s">
        <v>167</v>
      </c>
      <c r="CA1583" t="str">
        <f t="shared" si="121"/>
        <v>7/1/2020 - 6/30/2021</v>
      </c>
      <c r="CF1583">
        <v>1</v>
      </c>
      <c r="CG1583" t="s">
        <v>98</v>
      </c>
      <c r="CH1583" t="s">
        <v>98</v>
      </c>
      <c r="CI1583" t="s">
        <v>206</v>
      </c>
      <c r="CJ1583" t="s">
        <v>98</v>
      </c>
      <c r="CK1583" t="s">
        <v>12324</v>
      </c>
      <c r="CL1583" t="s">
        <v>108</v>
      </c>
      <c r="CM1583" t="s">
        <v>109</v>
      </c>
      <c r="CN1583" t="str">
        <f>""</f>
        <v/>
      </c>
      <c r="CO1583" t="str">
        <f>""</f>
        <v/>
      </c>
      <c r="CP1583" t="str">
        <f>""</f>
        <v/>
      </c>
      <c r="CQ1583" t="str">
        <f>""</f>
        <v/>
      </c>
    </row>
    <row r="1584" spans="1:96" x14ac:dyDescent="0.2">
      <c r="A1584" t="s">
        <v>10539</v>
      </c>
      <c r="B1584" t="s">
        <v>96</v>
      </c>
      <c r="C1584" s="1">
        <v>44099</v>
      </c>
      <c r="D1584" s="1">
        <v>44106</v>
      </c>
      <c r="F1584" t="s">
        <v>97</v>
      </c>
      <c r="G1584" t="str">
        <f>"Senior DevSecOps Engineer"</f>
        <v>Senior DevSecOps Engineer</v>
      </c>
      <c r="H1584" t="s">
        <v>12168</v>
      </c>
      <c r="I1584" t="s">
        <v>160</v>
      </c>
      <c r="J1584" t="s">
        <v>98</v>
      </c>
      <c r="K1584" s="1">
        <v>44099</v>
      </c>
      <c r="L1584" s="1">
        <v>45193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 t="s">
        <v>310</v>
      </c>
      <c r="U1584" t="str">
        <f>""</f>
        <v/>
      </c>
      <c r="V1584" t="s">
        <v>311</v>
      </c>
      <c r="W1584" t="str">
        <f>"SUITE 300"</f>
        <v>SUITE 300</v>
      </c>
      <c r="X1584" t="s">
        <v>312</v>
      </c>
      <c r="Y1584" t="s">
        <v>265</v>
      </c>
      <c r="Z1584" s="3">
        <v>48083</v>
      </c>
      <c r="AA1584" t="s">
        <v>101</v>
      </c>
      <c r="AC1584" s="4" t="str">
        <f>"+12486193580"</f>
        <v>+12486193580</v>
      </c>
      <c r="AE1584" t="str">
        <f>"541511"</f>
        <v>541511</v>
      </c>
      <c r="AF1584" t="s">
        <v>313</v>
      </c>
      <c r="AG1584" t="s">
        <v>314</v>
      </c>
      <c r="AI1584" t="s">
        <v>315</v>
      </c>
      <c r="AJ1584" t="s">
        <v>311</v>
      </c>
      <c r="AK1584" t="str">
        <f>"SUITE 300"</f>
        <v>SUITE 300</v>
      </c>
      <c r="AL1584" t="s">
        <v>312</v>
      </c>
      <c r="AM1584" t="s">
        <v>265</v>
      </c>
      <c r="AN1584" s="3">
        <v>48083</v>
      </c>
      <c r="AO1584" t="s">
        <v>101</v>
      </c>
      <c r="AQ1584" t="str">
        <f>"+12486193580"</f>
        <v>+12486193580</v>
      </c>
      <c r="AS1584" t="s">
        <v>316</v>
      </c>
      <c r="AT1584" t="s">
        <v>102</v>
      </c>
      <c r="AU1584" t="str">
        <f>""</f>
        <v/>
      </c>
      <c r="AV1584" t="str">
        <f>""</f>
        <v/>
      </c>
      <c r="AW1584" t="str">
        <f>""</f>
        <v/>
      </c>
      <c r="AX1584" t="str">
        <f>""</f>
        <v/>
      </c>
      <c r="AY1584" t="str">
        <f>""</f>
        <v/>
      </c>
      <c r="AZ1584" t="str">
        <f>""</f>
        <v/>
      </c>
      <c r="BA1584" t="str">
        <f>""</f>
        <v/>
      </c>
      <c r="BC1584" t="str">
        <f>""</f>
        <v/>
      </c>
      <c r="BD1584" t="str">
        <f>""</f>
        <v/>
      </c>
      <c r="BE1584" t="str">
        <f>""</f>
        <v/>
      </c>
      <c r="BF1584" t="str">
        <f>""</f>
        <v/>
      </c>
      <c r="BG1584" t="str">
        <f>""</f>
        <v/>
      </c>
      <c r="BH1584" t="str">
        <f>""</f>
        <v/>
      </c>
      <c r="BI1584" t="str">
        <f>""</f>
        <v/>
      </c>
      <c r="BJ1584" t="str">
        <f>""</f>
        <v/>
      </c>
      <c r="BK1584">
        <v>1</v>
      </c>
      <c r="BL1584" t="s">
        <v>107</v>
      </c>
      <c r="BM1584" t="str">
        <f>"FedEx Corporate Services, Inc. "</f>
        <v xml:space="preserve">FedEx Corporate Services, Inc. </v>
      </c>
      <c r="BN1584" t="s">
        <v>7978</v>
      </c>
      <c r="BO1584" t="s">
        <v>108</v>
      </c>
      <c r="BP1584" t="s">
        <v>4255</v>
      </c>
      <c r="BQ1584" t="s">
        <v>861</v>
      </c>
      <c r="BR1584" t="s">
        <v>127</v>
      </c>
      <c r="BS1584" s="5">
        <v>15108</v>
      </c>
      <c r="BT1584" s="2">
        <v>76274</v>
      </c>
      <c r="BV1584" t="s">
        <v>105</v>
      </c>
      <c r="BW1584" s="2">
        <v>61485</v>
      </c>
      <c r="BX1584" t="s">
        <v>105</v>
      </c>
      <c r="BZ1584" t="s">
        <v>167</v>
      </c>
      <c r="CA1584" t="str">
        <f t="shared" si="121"/>
        <v>7/1/2020 - 6/30/2021</v>
      </c>
      <c r="CF1584">
        <v>2</v>
      </c>
      <c r="CG1584" t="s">
        <v>98</v>
      </c>
      <c r="CH1584" t="s">
        <v>98</v>
      </c>
      <c r="CI1584" t="s">
        <v>206</v>
      </c>
      <c r="CJ1584" t="s">
        <v>98</v>
      </c>
      <c r="CK1584" t="s">
        <v>12324</v>
      </c>
      <c r="CL1584" t="s">
        <v>108</v>
      </c>
      <c r="CM1584" t="s">
        <v>109</v>
      </c>
      <c r="CN1584" t="str">
        <f>"Fernandes"</f>
        <v>Fernandes</v>
      </c>
      <c r="CO1584" t="str">
        <f>"Samson"</f>
        <v>Samson</v>
      </c>
      <c r="CP1584" t="str">
        <f>"D"</f>
        <v>D</v>
      </c>
      <c r="CQ1584" t="str">
        <f>"Atos Syntel Inc"</f>
        <v>Atos Syntel Inc</v>
      </c>
      <c r="CR1584" t="s">
        <v>318</v>
      </c>
    </row>
    <row r="1585" spans="1:96" x14ac:dyDescent="0.2">
      <c r="A1585" t="s">
        <v>10551</v>
      </c>
      <c r="B1585" t="s">
        <v>96</v>
      </c>
      <c r="C1585" s="1">
        <v>44099</v>
      </c>
      <c r="D1585" s="1">
        <v>44106</v>
      </c>
      <c r="F1585" t="s">
        <v>97</v>
      </c>
      <c r="G1585" t="str">
        <f>".Net Developer"</f>
        <v>.Net Developer</v>
      </c>
      <c r="H1585" t="s">
        <v>12169</v>
      </c>
      <c r="I1585" t="s">
        <v>124</v>
      </c>
      <c r="J1585" t="s">
        <v>98</v>
      </c>
      <c r="K1585" s="1">
        <v>44099</v>
      </c>
      <c r="L1585" s="1">
        <v>45193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 t="s">
        <v>4939</v>
      </c>
      <c r="U1585" t="str">
        <f>""</f>
        <v/>
      </c>
      <c r="V1585" t="s">
        <v>4940</v>
      </c>
      <c r="W1585" t="str">
        <f>""</f>
        <v/>
      </c>
      <c r="X1585" t="s">
        <v>4941</v>
      </c>
      <c r="Y1585" t="s">
        <v>135</v>
      </c>
      <c r="Z1585" s="3">
        <v>20176</v>
      </c>
      <c r="AA1585" t="s">
        <v>101</v>
      </c>
      <c r="AC1585" s="4" t="str">
        <f>"+15712740719"</f>
        <v>+15712740719</v>
      </c>
      <c r="AE1585" t="str">
        <f>"541511"</f>
        <v>541511</v>
      </c>
      <c r="AF1585" t="s">
        <v>4942</v>
      </c>
      <c r="AG1585" t="s">
        <v>4943</v>
      </c>
      <c r="AI1585" t="s">
        <v>298</v>
      </c>
      <c r="AJ1585" t="s">
        <v>4940</v>
      </c>
      <c r="AK1585" t="str">
        <f>""</f>
        <v/>
      </c>
      <c r="AL1585" t="s">
        <v>4941</v>
      </c>
      <c r="AM1585" t="s">
        <v>135</v>
      </c>
      <c r="AN1585" s="3">
        <v>20176</v>
      </c>
      <c r="AO1585" t="s">
        <v>101</v>
      </c>
      <c r="AQ1585" t="str">
        <f>"+15712740719"</f>
        <v>+15712740719</v>
      </c>
      <c r="AS1585" t="s">
        <v>4944</v>
      </c>
      <c r="AT1585" t="s">
        <v>107</v>
      </c>
      <c r="AU1585" t="str">
        <f>"Mohan"</f>
        <v>Mohan</v>
      </c>
      <c r="AV1585" t="str">
        <f>"Thejaswini"</f>
        <v>Thejaswini</v>
      </c>
      <c r="AW1585" t="str">
        <f>""</f>
        <v/>
      </c>
      <c r="AX1585" t="str">
        <f>"802 E Woodfield Road"</f>
        <v>802 E Woodfield Road</v>
      </c>
      <c r="AY1585" t="str">
        <f>"Suite G400"</f>
        <v>Suite G400</v>
      </c>
      <c r="AZ1585" t="str">
        <f>"Schaumburg"</f>
        <v>Schaumburg</v>
      </c>
      <c r="BA1585" t="str">
        <f>"IL"</f>
        <v>IL</v>
      </c>
      <c r="BB1585" s="3">
        <v>60173</v>
      </c>
      <c r="BC1585" t="str">
        <f>"UNITED STATES OF AMERICA"</f>
        <v>UNITED STATES OF AMERICA</v>
      </c>
      <c r="BD1585" t="str">
        <f>""</f>
        <v/>
      </c>
      <c r="BE1585" t="str">
        <f>"+18479951515"</f>
        <v>+18479951515</v>
      </c>
      <c r="BF1585" t="str">
        <f>"236"</f>
        <v>236</v>
      </c>
      <c r="BG1585" t="str">
        <f>"icert@bizlegalservices.com"</f>
        <v>icert@bizlegalservices.com</v>
      </c>
      <c r="BH1585" t="str">
        <f>"International Legal and Business Services Group LLP"</f>
        <v>International Legal and Business Services Group LLP</v>
      </c>
      <c r="BI1585" t="str">
        <f>"NY"</f>
        <v>NY</v>
      </c>
      <c r="BJ1585" t="str">
        <f>"New York Supreme Court"</f>
        <v>New York Supreme Court</v>
      </c>
      <c r="BK1585">
        <v>1</v>
      </c>
      <c r="BL1585" t="s">
        <v>107</v>
      </c>
      <c r="BM1585" t="str">
        <f>"LPL Financial"</f>
        <v>LPL Financial</v>
      </c>
      <c r="BN1585" t="s">
        <v>7097</v>
      </c>
      <c r="BP1585" t="s">
        <v>2684</v>
      </c>
      <c r="BQ1585" t="s">
        <v>2685</v>
      </c>
      <c r="BR1585" t="s">
        <v>594</v>
      </c>
      <c r="BS1585" s="5">
        <v>29715</v>
      </c>
      <c r="BT1585" s="2">
        <v>87589</v>
      </c>
      <c r="BU1585" s="2">
        <v>87590</v>
      </c>
      <c r="BV1585" t="s">
        <v>105</v>
      </c>
      <c r="BW1585" s="2">
        <v>85488</v>
      </c>
      <c r="BX1585" t="s">
        <v>105</v>
      </c>
      <c r="BZ1585" t="s">
        <v>167</v>
      </c>
      <c r="CA1585" t="str">
        <f t="shared" si="121"/>
        <v>7/1/2020 - 6/30/2021</v>
      </c>
      <c r="CF1585">
        <v>2</v>
      </c>
      <c r="CG1585" t="s">
        <v>98</v>
      </c>
      <c r="CH1585" t="s">
        <v>98</v>
      </c>
      <c r="CI1585" t="s">
        <v>206</v>
      </c>
      <c r="CJ1585" t="s">
        <v>98</v>
      </c>
      <c r="CK1585" t="s">
        <v>12324</v>
      </c>
      <c r="CL1585" t="s">
        <v>108</v>
      </c>
      <c r="CM1585" t="s">
        <v>109</v>
      </c>
      <c r="CN1585" t="str">
        <f>""</f>
        <v/>
      </c>
      <c r="CO1585" t="str">
        <f>""</f>
        <v/>
      </c>
      <c r="CP1585" t="str">
        <f>""</f>
        <v/>
      </c>
      <c r="CQ1585" t="str">
        <f>""</f>
        <v/>
      </c>
    </row>
    <row r="1586" spans="1:96" x14ac:dyDescent="0.2">
      <c r="A1586" t="s">
        <v>10552</v>
      </c>
      <c r="B1586" t="s">
        <v>96</v>
      </c>
      <c r="C1586" s="1">
        <v>44099</v>
      </c>
      <c r="D1586" s="1">
        <v>44106</v>
      </c>
      <c r="F1586" t="s">
        <v>97</v>
      </c>
      <c r="G1586" t="str">
        <f>"J2EE Development Senior"</f>
        <v>J2EE Development Senior</v>
      </c>
      <c r="H1586" t="s">
        <v>12169</v>
      </c>
      <c r="I1586" t="s">
        <v>124</v>
      </c>
      <c r="J1586" t="s">
        <v>98</v>
      </c>
      <c r="K1586" s="1">
        <v>44248</v>
      </c>
      <c r="L1586" s="1">
        <v>45342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 t="s">
        <v>8188</v>
      </c>
      <c r="U1586" t="str">
        <f>""</f>
        <v/>
      </c>
      <c r="V1586" t="s">
        <v>8189</v>
      </c>
      <c r="W1586" t="str">
        <f>"Suite 265"</f>
        <v>Suite 265</v>
      </c>
      <c r="X1586" t="s">
        <v>982</v>
      </c>
      <c r="Y1586" t="s">
        <v>265</v>
      </c>
      <c r="Z1586" s="3">
        <v>48152</v>
      </c>
      <c r="AA1586" t="s">
        <v>101</v>
      </c>
      <c r="AC1586" s="4" t="str">
        <f>"+17347449373"</f>
        <v>+17347449373</v>
      </c>
      <c r="AE1586" t="str">
        <f>"541511"</f>
        <v>541511</v>
      </c>
      <c r="AF1586" t="s">
        <v>8190</v>
      </c>
      <c r="AG1586" t="s">
        <v>8191</v>
      </c>
      <c r="AI1586" t="s">
        <v>3667</v>
      </c>
      <c r="AJ1586" t="s">
        <v>8192</v>
      </c>
      <c r="AK1586" t="str">
        <f>"Suite 265"</f>
        <v>Suite 265</v>
      </c>
      <c r="AL1586" t="s">
        <v>982</v>
      </c>
      <c r="AM1586" t="s">
        <v>265</v>
      </c>
      <c r="AN1586" s="3">
        <v>48152</v>
      </c>
      <c r="AO1586" t="s">
        <v>101</v>
      </c>
      <c r="AQ1586" t="str">
        <f>"+17347449373"</f>
        <v>+17347449373</v>
      </c>
      <c r="AS1586" t="s">
        <v>8193</v>
      </c>
      <c r="AT1586" t="s">
        <v>107</v>
      </c>
      <c r="AU1586" t="str">
        <f>"Lamboley"</f>
        <v>Lamboley</v>
      </c>
      <c r="AV1586" t="str">
        <f>"Harold"</f>
        <v>Harold</v>
      </c>
      <c r="AW1586" t="str">
        <f>"Joseph"</f>
        <v>Joseph</v>
      </c>
      <c r="AX1586" t="str">
        <f>"One Evergreen Avenue"</f>
        <v>One Evergreen Avenue</v>
      </c>
      <c r="AY1586" t="str">
        <f>"Suite 20"</f>
        <v>Suite 20</v>
      </c>
      <c r="AZ1586" t="str">
        <f>"Hamden"</f>
        <v>Hamden</v>
      </c>
      <c r="BA1586" t="str">
        <f>"CT"</f>
        <v>CT</v>
      </c>
      <c r="BB1586" s="3">
        <v>6518</v>
      </c>
      <c r="BC1586" t="str">
        <f>"UNITED STATES OF AMERICA"</f>
        <v>UNITED STATES OF AMERICA</v>
      </c>
      <c r="BD1586" t="str">
        <f>""</f>
        <v/>
      </c>
      <c r="BE1586" t="str">
        <f>"+12032878042"</f>
        <v>+12032878042</v>
      </c>
      <c r="BF1586" t="str">
        <f>"13"</f>
        <v>13</v>
      </c>
      <c r="BG1586" t="str">
        <f>"Harold@lamboleylawfirm.com"</f>
        <v>Harold@lamboleylawfirm.com</v>
      </c>
      <c r="BH1586" t="str">
        <f>"Lamboley Law FIrm LLC"</f>
        <v>Lamboley Law FIrm LLC</v>
      </c>
      <c r="BI1586" t="str">
        <f>"CT"</f>
        <v>CT</v>
      </c>
      <c r="BJ1586" t="str">
        <f>"Superior Court"</f>
        <v>Superior Court</v>
      </c>
      <c r="BK1586">
        <v>1</v>
      </c>
      <c r="BL1586" t="s">
        <v>107</v>
      </c>
      <c r="BM1586" t="str">
        <f>"Ford Motor Company"</f>
        <v>Ford Motor Company</v>
      </c>
      <c r="BN1586" t="s">
        <v>8285</v>
      </c>
      <c r="BP1586" t="s">
        <v>1240</v>
      </c>
      <c r="BQ1586" t="s">
        <v>533</v>
      </c>
      <c r="BR1586" t="s">
        <v>265</v>
      </c>
      <c r="BS1586" s="5">
        <v>48126</v>
      </c>
      <c r="BT1586" s="2">
        <v>47</v>
      </c>
      <c r="BV1586" t="s">
        <v>210</v>
      </c>
      <c r="BW1586" s="2">
        <v>45.75</v>
      </c>
      <c r="BX1586" t="s">
        <v>210</v>
      </c>
      <c r="BZ1586" t="s">
        <v>123</v>
      </c>
      <c r="CA1586" t="str">
        <f t="shared" ref="CA1586:CA1620" si="123">"7/1/2020 - 6/30/2021"</f>
        <v>7/1/2020 - 6/30/2021</v>
      </c>
      <c r="CF1586">
        <v>1</v>
      </c>
      <c r="CG1586" t="s">
        <v>98</v>
      </c>
      <c r="CH1586" t="s">
        <v>98</v>
      </c>
      <c r="CI1586" t="s">
        <v>206</v>
      </c>
      <c r="CJ1586" t="s">
        <v>98</v>
      </c>
      <c r="CK1586" t="s">
        <v>12324</v>
      </c>
      <c r="CL1586" t="s">
        <v>108</v>
      </c>
      <c r="CM1586" t="s">
        <v>109</v>
      </c>
      <c r="CN1586" t="str">
        <f t="shared" ref="CN1586:CP1587" si="124">"N/A"</f>
        <v>N/A</v>
      </c>
      <c r="CO1586" t="str">
        <f t="shared" si="124"/>
        <v>N/A</v>
      </c>
      <c r="CP1586" t="str">
        <f t="shared" si="124"/>
        <v>N/A</v>
      </c>
      <c r="CQ1586" t="str">
        <f>"LAMBOLEY LAW FIRM, LLC"</f>
        <v>LAMBOLEY LAW FIRM, LLC</v>
      </c>
      <c r="CR1586" t="s">
        <v>2883</v>
      </c>
    </row>
    <row r="1587" spans="1:96" x14ac:dyDescent="0.2">
      <c r="A1587" t="s">
        <v>10582</v>
      </c>
      <c r="B1587" t="s">
        <v>96</v>
      </c>
      <c r="C1587" s="1">
        <v>44099</v>
      </c>
      <c r="D1587" s="1">
        <v>44106</v>
      </c>
      <c r="F1587" t="s">
        <v>97</v>
      </c>
      <c r="G1587" t="str">
        <f>"Senior Test Engineer"</f>
        <v>Senior Test Engineer</v>
      </c>
      <c r="H1587" t="s">
        <v>12168</v>
      </c>
      <c r="I1587" t="s">
        <v>319</v>
      </c>
      <c r="J1587" t="s">
        <v>98</v>
      </c>
      <c r="K1587" s="1">
        <v>44105</v>
      </c>
      <c r="L1587" s="1">
        <v>45199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 t="s">
        <v>1300</v>
      </c>
      <c r="U1587" t="str">
        <f>""</f>
        <v/>
      </c>
      <c r="V1587" t="s">
        <v>1301</v>
      </c>
      <c r="W1587" t="str">
        <f>"4th Floor"</f>
        <v>4th Floor</v>
      </c>
      <c r="X1587" t="s">
        <v>585</v>
      </c>
      <c r="Y1587" t="s">
        <v>141</v>
      </c>
      <c r="Z1587" s="3">
        <v>95110</v>
      </c>
      <c r="AA1587" t="s">
        <v>101</v>
      </c>
      <c r="AC1587" s="4" t="str">
        <f>"+14082738900"</f>
        <v>+14082738900</v>
      </c>
      <c r="AE1587" t="str">
        <f>"541512"</f>
        <v>541512</v>
      </c>
      <c r="AF1587" t="s">
        <v>1302</v>
      </c>
      <c r="AG1587" t="s">
        <v>1303</v>
      </c>
      <c r="AH1587" t="s">
        <v>666</v>
      </c>
      <c r="AI1587" t="s">
        <v>1304</v>
      </c>
      <c r="AJ1587" t="s">
        <v>1301</v>
      </c>
      <c r="AK1587" t="str">
        <f>"4th Floor"</f>
        <v>4th Floor</v>
      </c>
      <c r="AL1587" t="s">
        <v>585</v>
      </c>
      <c r="AM1587" t="s">
        <v>141</v>
      </c>
      <c r="AN1587" s="3">
        <v>95110</v>
      </c>
      <c r="AO1587" t="s">
        <v>101</v>
      </c>
      <c r="AQ1587" t="str">
        <f>"+14082738900"</f>
        <v>+14082738900</v>
      </c>
      <c r="AS1587" t="s">
        <v>1305</v>
      </c>
      <c r="AT1587" t="s">
        <v>102</v>
      </c>
      <c r="AU1587" t="str">
        <f>""</f>
        <v/>
      </c>
      <c r="AV1587" t="str">
        <f>""</f>
        <v/>
      </c>
      <c r="AW1587" t="str">
        <f>""</f>
        <v/>
      </c>
      <c r="AX1587" t="str">
        <f>""</f>
        <v/>
      </c>
      <c r="AY1587" t="str">
        <f>""</f>
        <v/>
      </c>
      <c r="AZ1587" t="str">
        <f>""</f>
        <v/>
      </c>
      <c r="BA1587" t="str">
        <f>""</f>
        <v/>
      </c>
      <c r="BC1587" t="str">
        <f>""</f>
        <v/>
      </c>
      <c r="BD1587" t="str">
        <f>""</f>
        <v/>
      </c>
      <c r="BE1587" t="str">
        <f>""</f>
        <v/>
      </c>
      <c r="BF1587" t="str">
        <f>""</f>
        <v/>
      </c>
      <c r="BG1587" t="str">
        <f>""</f>
        <v/>
      </c>
      <c r="BH1587" t="str">
        <f>""</f>
        <v/>
      </c>
      <c r="BI1587" t="str">
        <f>""</f>
        <v/>
      </c>
      <c r="BJ1587" t="str">
        <f>""</f>
        <v/>
      </c>
      <c r="BK1587">
        <v>1</v>
      </c>
      <c r="BL1587" t="s">
        <v>107</v>
      </c>
      <c r="BM1587" t="str">
        <f>"AT&amp;T Services Inc."</f>
        <v>AT&amp;T Services Inc.</v>
      </c>
      <c r="BN1587" t="s">
        <v>10583</v>
      </c>
      <c r="BP1587" t="s">
        <v>761</v>
      </c>
      <c r="BQ1587" t="s">
        <v>484</v>
      </c>
      <c r="BR1587" t="s">
        <v>114</v>
      </c>
      <c r="BS1587" s="5">
        <v>75082</v>
      </c>
      <c r="BT1587" s="2">
        <v>93538</v>
      </c>
      <c r="BU1587" s="2">
        <v>110000</v>
      </c>
      <c r="BV1587" t="s">
        <v>105</v>
      </c>
      <c r="BW1587" s="2">
        <v>93538</v>
      </c>
      <c r="BX1587" t="s">
        <v>105</v>
      </c>
      <c r="BZ1587" t="s">
        <v>123</v>
      </c>
      <c r="CA1587" t="str">
        <f t="shared" si="123"/>
        <v>7/1/2020 - 6/30/2021</v>
      </c>
      <c r="CF1587">
        <v>2</v>
      </c>
      <c r="CG1587" t="s">
        <v>98</v>
      </c>
      <c r="CH1587" t="s">
        <v>98</v>
      </c>
      <c r="CI1587" t="s">
        <v>206</v>
      </c>
      <c r="CJ1587" t="s">
        <v>98</v>
      </c>
      <c r="CK1587" t="s">
        <v>12324</v>
      </c>
      <c r="CL1587" t="s">
        <v>108</v>
      </c>
      <c r="CM1587" t="s">
        <v>109</v>
      </c>
      <c r="CN1587" t="str">
        <f t="shared" si="124"/>
        <v>N/A</v>
      </c>
      <c r="CO1587" t="str">
        <f t="shared" si="124"/>
        <v>N/A</v>
      </c>
      <c r="CP1587" t="str">
        <f t="shared" si="124"/>
        <v>N/A</v>
      </c>
      <c r="CQ1587" t="str">
        <f>"Not Applicable"</f>
        <v>Not Applicable</v>
      </c>
      <c r="CR1587" t="s">
        <v>108</v>
      </c>
    </row>
    <row r="1588" spans="1:96" x14ac:dyDescent="0.2">
      <c r="A1588" t="s">
        <v>10625</v>
      </c>
      <c r="B1588" t="s">
        <v>96</v>
      </c>
      <c r="C1588" s="1">
        <v>44099</v>
      </c>
      <c r="D1588" s="1">
        <v>44106</v>
      </c>
      <c r="F1588" t="s">
        <v>97</v>
      </c>
      <c r="G1588" t="str">
        <f>"Senior Software Engineer "</f>
        <v xml:space="preserve">Senior Software Engineer </v>
      </c>
      <c r="H1588" t="s">
        <v>12169</v>
      </c>
      <c r="I1588" t="s">
        <v>124</v>
      </c>
      <c r="J1588" t="s">
        <v>98</v>
      </c>
      <c r="K1588" s="1">
        <v>44105</v>
      </c>
      <c r="L1588" s="1">
        <v>45199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8296</v>
      </c>
      <c r="U1588" t="str">
        <f>""</f>
        <v/>
      </c>
      <c r="V1588" t="s">
        <v>10626</v>
      </c>
      <c r="W1588" t="str">
        <f>"Suite 220"</f>
        <v>Suite 220</v>
      </c>
      <c r="X1588" t="s">
        <v>182</v>
      </c>
      <c r="Y1588" t="s">
        <v>176</v>
      </c>
      <c r="Z1588" s="3">
        <v>98008</v>
      </c>
      <c r="AA1588" t="s">
        <v>101</v>
      </c>
      <c r="AC1588" s="4" t="str">
        <f>"+14253650857"</f>
        <v>+14253650857</v>
      </c>
      <c r="AE1588" t="str">
        <f>"541519"</f>
        <v>541519</v>
      </c>
      <c r="AF1588" t="s">
        <v>10627</v>
      </c>
      <c r="AG1588" t="s">
        <v>10628</v>
      </c>
      <c r="AI1588" t="s">
        <v>8300</v>
      </c>
      <c r="AJ1588" t="s">
        <v>8297</v>
      </c>
      <c r="AK1588" t="str">
        <f>"Suite 220 "</f>
        <v xml:space="preserve">Suite 220 </v>
      </c>
      <c r="AL1588" t="s">
        <v>4334</v>
      </c>
      <c r="AM1588" t="s">
        <v>176</v>
      </c>
      <c r="AN1588" s="3">
        <v>98008</v>
      </c>
      <c r="AO1588" t="s">
        <v>101</v>
      </c>
      <c r="AQ1588" t="str">
        <f>"+14253650857"</f>
        <v>+14253650857</v>
      </c>
      <c r="AS1588" t="s">
        <v>8301</v>
      </c>
      <c r="AT1588" t="s">
        <v>107</v>
      </c>
      <c r="AU1588" t="str">
        <f>"Macaskill "</f>
        <v xml:space="preserve">Macaskill </v>
      </c>
      <c r="AV1588" t="str">
        <f>"Dane"</f>
        <v>Dane</v>
      </c>
      <c r="AW1588" t="str">
        <f>""</f>
        <v/>
      </c>
      <c r="AX1588" t="str">
        <f>"195 Plymouth St,"</f>
        <v>195 Plymouth St,</v>
      </c>
      <c r="AY1588" t="str">
        <f>"Suite 3/12"</f>
        <v>Suite 3/12</v>
      </c>
      <c r="AZ1588" t="str">
        <f>"Brooklyn"</f>
        <v>Brooklyn</v>
      </c>
      <c r="BA1588" t="str">
        <f>"NY"</f>
        <v>NY</v>
      </c>
      <c r="BB1588" s="3">
        <v>11201</v>
      </c>
      <c r="BC1588" t="str">
        <f>"UNITED STATES OF AMERICA"</f>
        <v>UNITED STATES OF AMERICA</v>
      </c>
      <c r="BD1588" t="str">
        <f>""</f>
        <v/>
      </c>
      <c r="BE1588" t="str">
        <f>"+19179603802"</f>
        <v>+19179603802</v>
      </c>
      <c r="BF1588" t="str">
        <f>""</f>
        <v/>
      </c>
      <c r="BG1588" t="str">
        <f>"dane@corstange.com"</f>
        <v>dane@corstange.com</v>
      </c>
      <c r="BH1588" t="str">
        <f>"Corstange Law Group "</f>
        <v xml:space="preserve">Corstange Law Group </v>
      </c>
      <c r="BI1588" t="str">
        <f>"OH"</f>
        <v>OH</v>
      </c>
      <c r="BJ1588" t="str">
        <f>"Supreme Court of Ohio "</f>
        <v xml:space="preserve">Supreme Court of Ohio </v>
      </c>
      <c r="BK1588">
        <v>1</v>
      </c>
      <c r="BL1588" t="s">
        <v>107</v>
      </c>
      <c r="BM1588" t="str">
        <f>"Walmart "</f>
        <v xml:space="preserve">Walmart </v>
      </c>
      <c r="BN1588" t="s">
        <v>10629</v>
      </c>
      <c r="BP1588" t="s">
        <v>1152</v>
      </c>
      <c r="BQ1588" t="s">
        <v>640</v>
      </c>
      <c r="BR1588" t="s">
        <v>641</v>
      </c>
      <c r="BS1588" s="5">
        <v>72712</v>
      </c>
      <c r="BT1588" s="2">
        <v>101000</v>
      </c>
      <c r="BV1588" t="s">
        <v>105</v>
      </c>
      <c r="BW1588" s="2">
        <v>90438</v>
      </c>
      <c r="BX1588" t="s">
        <v>105</v>
      </c>
      <c r="BZ1588" t="s">
        <v>123</v>
      </c>
      <c r="CA1588" t="str">
        <f t="shared" si="123"/>
        <v>7/1/2020 - 6/30/2021</v>
      </c>
      <c r="CF1588">
        <v>1</v>
      </c>
      <c r="CG1588" t="s">
        <v>98</v>
      </c>
      <c r="CH1588" t="s">
        <v>98</v>
      </c>
      <c r="CI1588" t="s">
        <v>206</v>
      </c>
      <c r="CJ1588" t="s">
        <v>98</v>
      </c>
      <c r="CK1588" t="s">
        <v>12324</v>
      </c>
      <c r="CL1588" t="s">
        <v>108</v>
      </c>
      <c r="CM1588" t="s">
        <v>109</v>
      </c>
      <c r="CN1588" t="str">
        <f>""</f>
        <v/>
      </c>
      <c r="CO1588" t="str">
        <f>""</f>
        <v/>
      </c>
      <c r="CP1588" t="str">
        <f>""</f>
        <v/>
      </c>
      <c r="CQ1588" t="str">
        <f>""</f>
        <v/>
      </c>
    </row>
    <row r="1589" spans="1:96" x14ac:dyDescent="0.2">
      <c r="A1589" t="s">
        <v>10652</v>
      </c>
      <c r="B1589" t="s">
        <v>96</v>
      </c>
      <c r="C1589" s="1">
        <v>44099</v>
      </c>
      <c r="D1589" s="1">
        <v>44106</v>
      </c>
      <c r="F1589" t="s">
        <v>97</v>
      </c>
      <c r="G1589" t="str">
        <f>"PYTHON DEVELOPER "</f>
        <v xml:space="preserve">PYTHON DEVELOPER </v>
      </c>
      <c r="H1589" t="s">
        <v>12169</v>
      </c>
      <c r="I1589" t="s">
        <v>124</v>
      </c>
      <c r="J1589" t="s">
        <v>98</v>
      </c>
      <c r="K1589" s="1">
        <v>44105</v>
      </c>
      <c r="L1589" s="1">
        <v>45199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 t="s">
        <v>9993</v>
      </c>
      <c r="U1589" t="str">
        <f>""</f>
        <v/>
      </c>
      <c r="V1589" t="s">
        <v>4789</v>
      </c>
      <c r="W1589" t="str">
        <f>"SUITE 401"</f>
        <v>SUITE 401</v>
      </c>
      <c r="X1589" t="s">
        <v>211</v>
      </c>
      <c r="Y1589" t="s">
        <v>100</v>
      </c>
      <c r="Z1589" s="3">
        <v>8817</v>
      </c>
      <c r="AA1589" t="s">
        <v>101</v>
      </c>
      <c r="AC1589" s="4" t="str">
        <f>"+16099040040"</f>
        <v>+16099040040</v>
      </c>
      <c r="AE1589" t="str">
        <f>"541511"</f>
        <v>541511</v>
      </c>
      <c r="AF1589" t="s">
        <v>2881</v>
      </c>
      <c r="AG1589" t="s">
        <v>5359</v>
      </c>
      <c r="AI1589" t="s">
        <v>2208</v>
      </c>
      <c r="AJ1589" t="s">
        <v>4789</v>
      </c>
      <c r="AK1589" t="str">
        <f>"SUITE 401"</f>
        <v>SUITE 401</v>
      </c>
      <c r="AL1589" t="s">
        <v>211</v>
      </c>
      <c r="AM1589" t="s">
        <v>100</v>
      </c>
      <c r="AN1589" s="3">
        <v>8817</v>
      </c>
      <c r="AO1589" t="s">
        <v>101</v>
      </c>
      <c r="AQ1589" t="str">
        <f>"+16099040040"</f>
        <v>+16099040040</v>
      </c>
      <c r="AS1589" t="s">
        <v>9994</v>
      </c>
      <c r="AT1589" t="s">
        <v>107</v>
      </c>
      <c r="AU1589" t="str">
        <f>"ALLEN"</f>
        <v>ALLEN</v>
      </c>
      <c r="AV1589" t="str">
        <f>"THOMAS "</f>
        <v xml:space="preserve">THOMAS </v>
      </c>
      <c r="AW1589" t="str">
        <f>"V."</f>
        <v>V.</v>
      </c>
      <c r="AX1589" t="str">
        <f>"50 CRAGWOOD ROAD"</f>
        <v>50 CRAGWOOD ROAD</v>
      </c>
      <c r="AY1589" t="str">
        <f>"SUITE 100"</f>
        <v>SUITE 100</v>
      </c>
      <c r="AZ1589" t="str">
        <f>"SOUTH PLAINFIELD"</f>
        <v>SOUTH PLAINFIELD</v>
      </c>
      <c r="BA1589" t="str">
        <f>"NJ"</f>
        <v>NJ</v>
      </c>
      <c r="BB1589" s="3">
        <v>7080</v>
      </c>
      <c r="BC1589" t="str">
        <f>"UNITED STATES OF AMERICA"</f>
        <v>UNITED STATES OF AMERICA</v>
      </c>
      <c r="BD1589" t="str">
        <f>""</f>
        <v/>
      </c>
      <c r="BE1589" t="str">
        <f>"+17328327978"</f>
        <v>+17328327978</v>
      </c>
      <c r="BF1589" t="str">
        <f>""</f>
        <v/>
      </c>
      <c r="BG1589" t="str">
        <f>"ICERT@THOMASVALLEN.COM"</f>
        <v>ICERT@THOMASVALLEN.COM</v>
      </c>
      <c r="BH1589" t="str">
        <f>"LAW OFFICE OF THOMAS V. ALLEN, PLLC"</f>
        <v>LAW OFFICE OF THOMAS V. ALLEN, PLLC</v>
      </c>
      <c r="BI1589" t="str">
        <f>"NY"</f>
        <v>NY</v>
      </c>
      <c r="BJ1589" t="str">
        <f>"APPELLATE COURT"</f>
        <v>APPELLATE COURT</v>
      </c>
      <c r="BK1589">
        <v>1</v>
      </c>
      <c r="BL1589" t="s">
        <v>107</v>
      </c>
      <c r="BM1589" t="str">
        <f>"SWIFT TECHNOLOGY"</f>
        <v>SWIFT TECHNOLOGY</v>
      </c>
      <c r="BN1589" t="s">
        <v>6232</v>
      </c>
      <c r="BP1589" t="s">
        <v>6233</v>
      </c>
      <c r="BQ1589" t="s">
        <v>5230</v>
      </c>
      <c r="BR1589" t="s">
        <v>135</v>
      </c>
      <c r="BS1589" s="5">
        <v>20110</v>
      </c>
      <c r="BT1589" s="2">
        <v>97406</v>
      </c>
      <c r="BV1589" t="s">
        <v>105</v>
      </c>
      <c r="BW1589" s="2">
        <v>97406</v>
      </c>
      <c r="BX1589" t="s">
        <v>105</v>
      </c>
      <c r="BZ1589" t="s">
        <v>167</v>
      </c>
      <c r="CA1589" t="str">
        <f t="shared" si="123"/>
        <v>7/1/2020 - 6/30/2021</v>
      </c>
      <c r="CF1589">
        <v>2</v>
      </c>
      <c r="CG1589" t="s">
        <v>98</v>
      </c>
      <c r="CH1589" t="s">
        <v>98</v>
      </c>
      <c r="CI1589" t="s">
        <v>206</v>
      </c>
      <c r="CJ1589" t="s">
        <v>98</v>
      </c>
      <c r="CK1589" t="s">
        <v>12324</v>
      </c>
      <c r="CL1589" t="s">
        <v>108</v>
      </c>
      <c r="CM1589" t="s">
        <v>109</v>
      </c>
      <c r="CN1589" t="str">
        <f>""</f>
        <v/>
      </c>
      <c r="CO1589" t="str">
        <f>""</f>
        <v/>
      </c>
      <c r="CP1589" t="str">
        <f>""</f>
        <v/>
      </c>
      <c r="CQ1589" t="str">
        <f>""</f>
        <v/>
      </c>
    </row>
    <row r="1590" spans="1:96" x14ac:dyDescent="0.2">
      <c r="A1590" t="s">
        <v>10694</v>
      </c>
      <c r="B1590" t="s">
        <v>96</v>
      </c>
      <c r="C1590" s="1">
        <v>44099</v>
      </c>
      <c r="D1590" s="1">
        <v>44106</v>
      </c>
      <c r="F1590" t="s">
        <v>97</v>
      </c>
      <c r="G1590" t="str">
        <f>"SOFTWARE DEVELOPER"</f>
        <v>SOFTWARE DEVELOPER</v>
      </c>
      <c r="H1590" t="s">
        <v>12169</v>
      </c>
      <c r="I1590" t="s">
        <v>124</v>
      </c>
      <c r="J1590" t="s">
        <v>98</v>
      </c>
      <c r="K1590" s="1">
        <v>44116</v>
      </c>
      <c r="L1590" s="1">
        <v>45210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6205</v>
      </c>
      <c r="U1590" t="str">
        <f>""</f>
        <v/>
      </c>
      <c r="V1590" t="s">
        <v>6206</v>
      </c>
      <c r="W1590" t="str">
        <f>"SUITE 1200"</f>
        <v>SUITE 1200</v>
      </c>
      <c r="X1590" t="s">
        <v>5576</v>
      </c>
      <c r="Y1590" t="s">
        <v>345</v>
      </c>
      <c r="Z1590" s="3">
        <v>60008</v>
      </c>
      <c r="AA1590" t="s">
        <v>101</v>
      </c>
      <c r="AC1590" s="4" t="str">
        <f>"+18479563381"</f>
        <v>+18479563381</v>
      </c>
      <c r="AE1590" t="str">
        <f>"541511"</f>
        <v>541511</v>
      </c>
      <c r="AF1590" t="s">
        <v>6207</v>
      </c>
      <c r="AG1590" t="s">
        <v>6208</v>
      </c>
      <c r="AI1590" t="s">
        <v>425</v>
      </c>
      <c r="AJ1590" t="s">
        <v>6206</v>
      </c>
      <c r="AK1590" t="str">
        <f>"SUITE 1200"</f>
        <v>SUITE 1200</v>
      </c>
      <c r="AL1590" t="s">
        <v>5576</v>
      </c>
      <c r="AM1590" t="s">
        <v>345</v>
      </c>
      <c r="AN1590" s="3">
        <v>60008</v>
      </c>
      <c r="AO1590" t="s">
        <v>101</v>
      </c>
      <c r="AQ1590" t="str">
        <f>"+18479563381"</f>
        <v>+18479563381</v>
      </c>
      <c r="AS1590" t="s">
        <v>6209</v>
      </c>
      <c r="AT1590" t="s">
        <v>102</v>
      </c>
      <c r="AU1590" t="str">
        <f>""</f>
        <v/>
      </c>
      <c r="AV1590" t="str">
        <f>""</f>
        <v/>
      </c>
      <c r="AW1590" t="str">
        <f>""</f>
        <v/>
      </c>
      <c r="AX1590" t="str">
        <f>""</f>
        <v/>
      </c>
      <c r="AY1590" t="str">
        <f>""</f>
        <v/>
      </c>
      <c r="AZ1590" t="str">
        <f>""</f>
        <v/>
      </c>
      <c r="BA1590" t="str">
        <f>""</f>
        <v/>
      </c>
      <c r="BC1590" t="str">
        <f>""</f>
        <v/>
      </c>
      <c r="BD1590" t="str">
        <f>""</f>
        <v/>
      </c>
      <c r="BE1590" t="str">
        <f>""</f>
        <v/>
      </c>
      <c r="BF1590" t="str">
        <f>""</f>
        <v/>
      </c>
      <c r="BG1590" t="str">
        <f>""</f>
        <v/>
      </c>
      <c r="BH1590" t="str">
        <f>""</f>
        <v/>
      </c>
      <c r="BI1590" t="str">
        <f>""</f>
        <v/>
      </c>
      <c r="BJ1590" t="str">
        <f>""</f>
        <v/>
      </c>
      <c r="BK1590">
        <v>1</v>
      </c>
      <c r="BL1590" t="s">
        <v>102</v>
      </c>
      <c r="BM1590" t="str">
        <f>""</f>
        <v/>
      </c>
      <c r="BN1590" t="s">
        <v>7796</v>
      </c>
      <c r="BP1590" t="s">
        <v>2767</v>
      </c>
      <c r="BQ1590" t="s">
        <v>104</v>
      </c>
      <c r="BR1590" t="s">
        <v>100</v>
      </c>
      <c r="BS1590" s="5">
        <v>8831</v>
      </c>
      <c r="BT1590" s="2">
        <v>101000</v>
      </c>
      <c r="BU1590" s="2">
        <v>115000</v>
      </c>
      <c r="BV1590" t="s">
        <v>105</v>
      </c>
      <c r="BW1590" s="2">
        <v>100526</v>
      </c>
      <c r="BX1590" t="s">
        <v>105</v>
      </c>
      <c r="BZ1590" t="s">
        <v>167</v>
      </c>
      <c r="CA1590" t="str">
        <f t="shared" si="123"/>
        <v>7/1/2020 - 6/30/2021</v>
      </c>
      <c r="CF1590">
        <v>2</v>
      </c>
      <c r="CG1590" t="s">
        <v>98</v>
      </c>
      <c r="CH1590" t="s">
        <v>98</v>
      </c>
      <c r="CI1590" t="s">
        <v>206</v>
      </c>
      <c r="CJ1590" t="s">
        <v>98</v>
      </c>
      <c r="CK1590" t="s">
        <v>12324</v>
      </c>
      <c r="CL1590" t="s">
        <v>108</v>
      </c>
      <c r="CM1590" t="s">
        <v>109</v>
      </c>
      <c r="CN1590" t="str">
        <f>"CHALLURI"</f>
        <v>CHALLURI</v>
      </c>
      <c r="CO1590" t="str">
        <f>"PRATHIBHA"</f>
        <v>PRATHIBHA</v>
      </c>
      <c r="CP1590" t="str">
        <f>""</f>
        <v/>
      </c>
      <c r="CQ1590" t="str">
        <f>"SIRITEK INC"</f>
        <v>SIRITEK INC</v>
      </c>
      <c r="CR1590" t="s">
        <v>6209</v>
      </c>
    </row>
    <row r="1591" spans="1:96" x14ac:dyDescent="0.2">
      <c r="A1591" t="s">
        <v>10761</v>
      </c>
      <c r="B1591" t="s">
        <v>96</v>
      </c>
      <c r="C1591" s="1">
        <v>44099</v>
      </c>
      <c r="D1591" s="1">
        <v>44106</v>
      </c>
      <c r="F1591" t="s">
        <v>97</v>
      </c>
      <c r="G1591" t="str">
        <f>"Software Engineer"</f>
        <v>Software Engineer</v>
      </c>
      <c r="H1591" t="s">
        <v>12169</v>
      </c>
      <c r="I1591" t="s">
        <v>124</v>
      </c>
      <c r="J1591" t="s">
        <v>98</v>
      </c>
      <c r="K1591" s="1">
        <v>44169</v>
      </c>
      <c r="L1591" s="1">
        <v>45263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 t="s">
        <v>5978</v>
      </c>
      <c r="U1591" t="str">
        <f>""</f>
        <v/>
      </c>
      <c r="V1591" t="s">
        <v>5979</v>
      </c>
      <c r="W1591" t="str">
        <f>"Suite 108"</f>
        <v>Suite 108</v>
      </c>
      <c r="X1591" t="s">
        <v>1066</v>
      </c>
      <c r="Y1591" t="s">
        <v>122</v>
      </c>
      <c r="Z1591" s="3">
        <v>27615</v>
      </c>
      <c r="AA1591" t="s">
        <v>101</v>
      </c>
      <c r="AC1591" s="4" t="str">
        <f>"+19193355511"</f>
        <v>+19193355511</v>
      </c>
      <c r="AE1591" t="str">
        <f>"541512"</f>
        <v>541512</v>
      </c>
      <c r="AF1591" t="s">
        <v>5980</v>
      </c>
      <c r="AG1591" t="s">
        <v>5981</v>
      </c>
      <c r="AI1591" t="s">
        <v>5982</v>
      </c>
      <c r="AJ1591" t="s">
        <v>5979</v>
      </c>
      <c r="AK1591" t="str">
        <f>"Suite 108"</f>
        <v>Suite 108</v>
      </c>
      <c r="AL1591" t="s">
        <v>1066</v>
      </c>
      <c r="AM1591" t="s">
        <v>122</v>
      </c>
      <c r="AN1591" s="3">
        <v>27615</v>
      </c>
      <c r="AO1591" t="s">
        <v>101</v>
      </c>
      <c r="AQ1591" t="str">
        <f>"+19193355511"</f>
        <v>+19193355511</v>
      </c>
      <c r="AS1591" t="s">
        <v>5983</v>
      </c>
      <c r="AT1591" t="s">
        <v>107</v>
      </c>
      <c r="AU1591" t="str">
        <f>"CHOWDHURY"</f>
        <v>CHOWDHURY</v>
      </c>
      <c r="AV1591" t="str">
        <f>"ANINDITA"</f>
        <v>ANINDITA</v>
      </c>
      <c r="AW1591" t="str">
        <f>"A."</f>
        <v>A.</v>
      </c>
      <c r="AX1591" t="str">
        <f>"6720-B Rockledge Drive"</f>
        <v>6720-B Rockledge Drive</v>
      </c>
      <c r="AY1591" t="str">
        <f>"SUITE 430"</f>
        <v>SUITE 430</v>
      </c>
      <c r="AZ1591" t="str">
        <f>"Bethesda"</f>
        <v>Bethesda</v>
      </c>
      <c r="BA1591" t="str">
        <f>"MD"</f>
        <v>MD</v>
      </c>
      <c r="BB1591" s="3">
        <v>20817</v>
      </c>
      <c r="BC1591" t="str">
        <f>"UNITED STATES OF AMERICA"</f>
        <v>UNITED STATES OF AMERICA</v>
      </c>
      <c r="BD1591" t="str">
        <f>""</f>
        <v/>
      </c>
      <c r="BE1591" t="str">
        <f>"+12026184540"</f>
        <v>+12026184540</v>
      </c>
      <c r="BF1591" t="str">
        <f>""</f>
        <v/>
      </c>
      <c r="BG1591" t="str">
        <f>"ANINDITA@USILAW.COM"</f>
        <v>ANINDITA@USILAW.COM</v>
      </c>
      <c r="BH1591" t="str">
        <f>"USILAW, INC"</f>
        <v>USILAW, INC</v>
      </c>
      <c r="BI1591" t="str">
        <f>"DC"</f>
        <v>DC</v>
      </c>
      <c r="BJ1591" t="str">
        <f>"COURT OF APPEALS"</f>
        <v>COURT OF APPEALS</v>
      </c>
      <c r="BK1591">
        <v>1</v>
      </c>
      <c r="BL1591" t="s">
        <v>102</v>
      </c>
      <c r="BM1591" t="str">
        <f>""</f>
        <v/>
      </c>
      <c r="BN1591" t="s">
        <v>10701</v>
      </c>
      <c r="BO1591" t="s">
        <v>3816</v>
      </c>
      <c r="BP1591" t="s">
        <v>1066</v>
      </c>
      <c r="BQ1591" t="s">
        <v>1067</v>
      </c>
      <c r="BR1591" t="s">
        <v>122</v>
      </c>
      <c r="BS1591" s="5">
        <v>27615</v>
      </c>
      <c r="BT1591" s="2">
        <v>109000</v>
      </c>
      <c r="BV1591" t="s">
        <v>105</v>
      </c>
      <c r="BW1591" s="2">
        <v>108659</v>
      </c>
      <c r="BX1591" t="s">
        <v>105</v>
      </c>
      <c r="BZ1591" t="s">
        <v>123</v>
      </c>
      <c r="CA1591" t="str">
        <f t="shared" si="123"/>
        <v>7/1/2020 - 6/30/2021</v>
      </c>
      <c r="CF1591">
        <v>2</v>
      </c>
      <c r="CG1591" t="s">
        <v>98</v>
      </c>
      <c r="CH1591" t="s">
        <v>98</v>
      </c>
      <c r="CI1591" t="s">
        <v>206</v>
      </c>
      <c r="CJ1591" t="s">
        <v>98</v>
      </c>
      <c r="CK1591" t="s">
        <v>12324</v>
      </c>
      <c r="CL1591" t="s">
        <v>108</v>
      </c>
      <c r="CM1591" t="s">
        <v>109</v>
      </c>
      <c r="CN1591" t="str">
        <f>""</f>
        <v/>
      </c>
      <c r="CO1591" t="str">
        <f>""</f>
        <v/>
      </c>
      <c r="CP1591" t="str">
        <f>""</f>
        <v/>
      </c>
      <c r="CQ1591" t="str">
        <f>""</f>
        <v/>
      </c>
    </row>
    <row r="1592" spans="1:96" x14ac:dyDescent="0.2">
      <c r="A1592" t="s">
        <v>10781</v>
      </c>
      <c r="B1592" t="s">
        <v>96</v>
      </c>
      <c r="C1592" s="1">
        <v>44099</v>
      </c>
      <c r="D1592" s="1">
        <v>44106</v>
      </c>
      <c r="F1592" t="s">
        <v>97</v>
      </c>
      <c r="G1592" t="str">
        <f>"Associate Director JC40"</f>
        <v>Associate Director JC40</v>
      </c>
      <c r="H1592" t="s">
        <v>12181</v>
      </c>
      <c r="I1592" t="s">
        <v>110</v>
      </c>
      <c r="J1592" t="s">
        <v>98</v>
      </c>
      <c r="K1592" s="1">
        <v>44227</v>
      </c>
      <c r="L1592" s="1">
        <v>45321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 t="s">
        <v>111</v>
      </c>
      <c r="U1592" t="str">
        <f>"CTSUS"</f>
        <v>CTSUS</v>
      </c>
      <c r="V1592" t="s">
        <v>112</v>
      </c>
      <c r="W1592" t="str">
        <f>""</f>
        <v/>
      </c>
      <c r="X1592" t="s">
        <v>113</v>
      </c>
      <c r="Y1592" t="s">
        <v>114</v>
      </c>
      <c r="Z1592" s="3">
        <v>77845</v>
      </c>
      <c r="AA1592" t="s">
        <v>101</v>
      </c>
      <c r="AB1592" t="s">
        <v>114</v>
      </c>
      <c r="AC1592" s="4" t="str">
        <f>"+19793296682"</f>
        <v>+19793296682</v>
      </c>
      <c r="AE1592" t="str">
        <f>"541512"</f>
        <v>541512</v>
      </c>
      <c r="AF1592" t="s">
        <v>115</v>
      </c>
      <c r="AG1592" t="s">
        <v>116</v>
      </c>
      <c r="AH1592" t="s">
        <v>108</v>
      </c>
      <c r="AI1592" t="s">
        <v>117</v>
      </c>
      <c r="AJ1592" t="s">
        <v>118</v>
      </c>
      <c r="AK1592" t="str">
        <f>""</f>
        <v/>
      </c>
      <c r="AL1592" t="s">
        <v>119</v>
      </c>
      <c r="AM1592" t="s">
        <v>114</v>
      </c>
      <c r="AN1592" s="3">
        <v>77845</v>
      </c>
      <c r="AO1592" t="s">
        <v>101</v>
      </c>
      <c r="AQ1592" t="str">
        <f>"+19793296682"</f>
        <v>+19793296682</v>
      </c>
      <c r="AS1592" t="s">
        <v>120</v>
      </c>
      <c r="AT1592" t="s">
        <v>102</v>
      </c>
      <c r="AU1592" t="str">
        <f>""</f>
        <v/>
      </c>
      <c r="AV1592" t="str">
        <f>""</f>
        <v/>
      </c>
      <c r="AW1592" t="str">
        <f>""</f>
        <v/>
      </c>
      <c r="AX1592" t="str">
        <f>""</f>
        <v/>
      </c>
      <c r="AY1592" t="str">
        <f>""</f>
        <v/>
      </c>
      <c r="AZ1592" t="str">
        <f>""</f>
        <v/>
      </c>
      <c r="BA1592" t="str">
        <f>""</f>
        <v/>
      </c>
      <c r="BC1592" t="str">
        <f>""</f>
        <v/>
      </c>
      <c r="BD1592" t="str">
        <f>""</f>
        <v/>
      </c>
      <c r="BE1592" t="str">
        <f>""</f>
        <v/>
      </c>
      <c r="BF1592" t="str">
        <f>""</f>
        <v/>
      </c>
      <c r="BG1592" t="str">
        <f>""</f>
        <v/>
      </c>
      <c r="BH1592" t="str">
        <f>""</f>
        <v/>
      </c>
      <c r="BI1592" t="str">
        <f>""</f>
        <v/>
      </c>
      <c r="BJ1592" t="str">
        <f>""</f>
        <v/>
      </c>
      <c r="BK1592">
        <v>1</v>
      </c>
      <c r="BL1592" t="s">
        <v>107</v>
      </c>
      <c r="BM1592" t="str">
        <f>"Kaiser Permanante"</f>
        <v>Kaiser Permanante</v>
      </c>
      <c r="BN1592" t="s">
        <v>3420</v>
      </c>
      <c r="BP1592" t="s">
        <v>631</v>
      </c>
      <c r="BQ1592" t="s">
        <v>419</v>
      </c>
      <c r="BR1592" t="s">
        <v>141</v>
      </c>
      <c r="BS1592" s="5">
        <v>94588</v>
      </c>
      <c r="BT1592" s="2">
        <v>141274</v>
      </c>
      <c r="BV1592" t="s">
        <v>105</v>
      </c>
      <c r="BW1592" s="2">
        <v>141274</v>
      </c>
      <c r="BX1592" t="s">
        <v>105</v>
      </c>
      <c r="BZ1592" t="s">
        <v>159</v>
      </c>
      <c r="CA1592" t="str">
        <f t="shared" si="123"/>
        <v>7/1/2020 - 6/30/2021</v>
      </c>
      <c r="CF1592">
        <v>1</v>
      </c>
      <c r="CG1592" t="s">
        <v>98</v>
      </c>
      <c r="CH1592" t="s">
        <v>98</v>
      </c>
      <c r="CI1592" t="s">
        <v>206</v>
      </c>
      <c r="CJ1592" t="s">
        <v>98</v>
      </c>
      <c r="CK1592" t="s">
        <v>12324</v>
      </c>
      <c r="CL1592" t="s">
        <v>108</v>
      </c>
      <c r="CM1592" t="s">
        <v>109</v>
      </c>
      <c r="CN1592" t="str">
        <f>""</f>
        <v/>
      </c>
      <c r="CO1592" t="str">
        <f>""</f>
        <v/>
      </c>
      <c r="CP1592" t="str">
        <f>""</f>
        <v/>
      </c>
      <c r="CQ1592" t="str">
        <f>""</f>
        <v/>
      </c>
    </row>
    <row r="1593" spans="1:96" x14ac:dyDescent="0.2">
      <c r="A1593" t="s">
        <v>10876</v>
      </c>
      <c r="B1593" t="s">
        <v>96</v>
      </c>
      <c r="C1593" s="1">
        <v>44099</v>
      </c>
      <c r="D1593" s="1">
        <v>44106</v>
      </c>
      <c r="F1593" t="s">
        <v>97</v>
      </c>
      <c r="G1593" t="str">
        <f>"SOFTWARE DEVELOPER"</f>
        <v>SOFTWARE DEVELOPER</v>
      </c>
      <c r="H1593" t="s">
        <v>12169</v>
      </c>
      <c r="I1593" t="s">
        <v>124</v>
      </c>
      <c r="J1593" t="s">
        <v>98</v>
      </c>
      <c r="K1593" s="1">
        <v>44106</v>
      </c>
      <c r="L1593" s="1">
        <v>45200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 t="s">
        <v>7285</v>
      </c>
      <c r="U1593" t="str">
        <f>""</f>
        <v/>
      </c>
      <c r="V1593" t="s">
        <v>7286</v>
      </c>
      <c r="W1593" t="str">
        <f>""</f>
        <v/>
      </c>
      <c r="X1593" t="s">
        <v>521</v>
      </c>
      <c r="Y1593" t="s">
        <v>225</v>
      </c>
      <c r="Z1593" s="3">
        <v>43215</v>
      </c>
      <c r="AA1593" t="s">
        <v>101</v>
      </c>
      <c r="AC1593" s="4" t="str">
        <f>"+16142212277"</f>
        <v>+16142212277</v>
      </c>
      <c r="AE1593" t="str">
        <f>"5416"</f>
        <v>5416</v>
      </c>
      <c r="AF1593" t="s">
        <v>7287</v>
      </c>
      <c r="AG1593" t="s">
        <v>4215</v>
      </c>
      <c r="AI1593" t="s">
        <v>425</v>
      </c>
      <c r="AJ1593" t="s">
        <v>7286</v>
      </c>
      <c r="AK1593" t="str">
        <f>""</f>
        <v/>
      </c>
      <c r="AL1593" t="s">
        <v>521</v>
      </c>
      <c r="AM1593" t="s">
        <v>225</v>
      </c>
      <c r="AN1593" s="3">
        <v>43215</v>
      </c>
      <c r="AO1593" t="s">
        <v>101</v>
      </c>
      <c r="AQ1593" t="str">
        <f>"+16142212277"</f>
        <v>+16142212277</v>
      </c>
      <c r="AS1593" t="s">
        <v>7288</v>
      </c>
      <c r="AT1593" t="s">
        <v>107</v>
      </c>
      <c r="AU1593" t="str">
        <f>"MADAN"</f>
        <v>MADAN</v>
      </c>
      <c r="AV1593" t="str">
        <f>"NEAL"</f>
        <v>NEAL</v>
      </c>
      <c r="AW1593" t="str">
        <f>""</f>
        <v/>
      </c>
      <c r="AX1593" t="str">
        <f>"358 5TH AVENUE, SUITE 704"</f>
        <v>358 5TH AVENUE, SUITE 704</v>
      </c>
      <c r="AY1593" t="str">
        <f>""</f>
        <v/>
      </c>
      <c r="AZ1593" t="str">
        <f>"NEW YORK"</f>
        <v>NEW YORK</v>
      </c>
      <c r="BA1593" t="str">
        <f>"NY"</f>
        <v>NY</v>
      </c>
      <c r="BB1593" s="3">
        <v>10001</v>
      </c>
      <c r="BC1593" t="str">
        <f>"UNITED STATES OF AMERICA"</f>
        <v>UNITED STATES OF AMERICA</v>
      </c>
      <c r="BD1593" t="str">
        <f>""</f>
        <v/>
      </c>
      <c r="BE1593" t="str">
        <f>"+12122398008"</f>
        <v>+12122398008</v>
      </c>
      <c r="BF1593" t="str">
        <f>"201"</f>
        <v>201</v>
      </c>
      <c r="BG1593" t="str">
        <f>"LCA@ILAWUS.COM"</f>
        <v>LCA@ILAWUS.COM</v>
      </c>
      <c r="BH1593" t="str">
        <f>"MADAN &amp; SAIGAL, LLC"</f>
        <v>MADAN &amp; SAIGAL, LLC</v>
      </c>
      <c r="BI1593" t="str">
        <f>"MD"</f>
        <v>MD</v>
      </c>
      <c r="BJ1593" t="str">
        <f>"COURT OF APPEALS"</f>
        <v>COURT OF APPEALS</v>
      </c>
      <c r="BK1593">
        <v>1</v>
      </c>
      <c r="BL1593" t="s">
        <v>107</v>
      </c>
      <c r="BM1593" t="str">
        <f>"STATE OF MICHIGAN LARA"</f>
        <v>STATE OF MICHIGAN LARA</v>
      </c>
      <c r="BN1593" t="s">
        <v>10877</v>
      </c>
      <c r="BP1593" t="s">
        <v>5254</v>
      </c>
      <c r="BQ1593" t="s">
        <v>4399</v>
      </c>
      <c r="BR1593" t="s">
        <v>265</v>
      </c>
      <c r="BS1593" s="5">
        <v>48933</v>
      </c>
      <c r="BT1593" s="2">
        <v>84000</v>
      </c>
      <c r="BU1593" s="2">
        <v>104000</v>
      </c>
      <c r="BV1593" t="s">
        <v>105</v>
      </c>
      <c r="BW1593" s="2">
        <v>66456</v>
      </c>
      <c r="BX1593" t="s">
        <v>105</v>
      </c>
      <c r="BZ1593" t="s">
        <v>167</v>
      </c>
      <c r="CA1593" t="str">
        <f t="shared" si="123"/>
        <v>7/1/2020 - 6/30/2021</v>
      </c>
      <c r="CF1593">
        <v>3</v>
      </c>
      <c r="CG1593" t="s">
        <v>98</v>
      </c>
      <c r="CH1593" t="s">
        <v>98</v>
      </c>
      <c r="CI1593" t="s">
        <v>206</v>
      </c>
      <c r="CJ1593" t="s">
        <v>98</v>
      </c>
      <c r="CK1593" t="s">
        <v>12324</v>
      </c>
      <c r="CL1593" t="s">
        <v>108</v>
      </c>
      <c r="CM1593" t="s">
        <v>109</v>
      </c>
      <c r="CN1593" t="str">
        <f>""</f>
        <v/>
      </c>
      <c r="CO1593" t="str">
        <f>""</f>
        <v/>
      </c>
      <c r="CP1593" t="str">
        <f>""</f>
        <v/>
      </c>
      <c r="CQ1593" t="str">
        <f>""</f>
        <v/>
      </c>
    </row>
    <row r="1594" spans="1:96" x14ac:dyDescent="0.2">
      <c r="A1594" t="s">
        <v>10878</v>
      </c>
      <c r="B1594" t="s">
        <v>96</v>
      </c>
      <c r="C1594" s="1">
        <v>44099</v>
      </c>
      <c r="D1594" s="1">
        <v>44106</v>
      </c>
      <c r="F1594" t="s">
        <v>97</v>
      </c>
      <c r="G1594" t="str">
        <f>"Sr. Data Governance Solutions Architect"</f>
        <v>Sr. Data Governance Solutions Architect</v>
      </c>
      <c r="H1594" t="s">
        <v>12225</v>
      </c>
      <c r="I1594" t="s">
        <v>628</v>
      </c>
      <c r="J1594" t="s">
        <v>98</v>
      </c>
      <c r="K1594" s="1">
        <v>44099</v>
      </c>
      <c r="L1594" s="1">
        <v>44837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 t="s">
        <v>8934</v>
      </c>
      <c r="U1594" t="str">
        <f>""</f>
        <v/>
      </c>
      <c r="V1594" t="s">
        <v>8935</v>
      </c>
      <c r="W1594" t="str">
        <f>""</f>
        <v/>
      </c>
      <c r="X1594" t="s">
        <v>1317</v>
      </c>
      <c r="Y1594" t="s">
        <v>135</v>
      </c>
      <c r="Z1594" s="3">
        <v>20166</v>
      </c>
      <c r="AA1594" t="s">
        <v>101</v>
      </c>
      <c r="AC1594" s="4" t="str">
        <f>"+17034294640"</f>
        <v>+17034294640</v>
      </c>
      <c r="AE1594" t="str">
        <f t="shared" ref="AE1594:AE1599" si="125">"541511"</f>
        <v>541511</v>
      </c>
      <c r="AF1594" t="s">
        <v>7746</v>
      </c>
      <c r="AG1594" t="s">
        <v>8936</v>
      </c>
      <c r="AI1594" t="s">
        <v>425</v>
      </c>
      <c r="AJ1594" t="s">
        <v>8935</v>
      </c>
      <c r="AK1594" t="str">
        <f>""</f>
        <v/>
      </c>
      <c r="AL1594" t="s">
        <v>1317</v>
      </c>
      <c r="AM1594" t="s">
        <v>135</v>
      </c>
      <c r="AN1594" s="3">
        <v>20166</v>
      </c>
      <c r="AO1594" t="s">
        <v>101</v>
      </c>
      <c r="AQ1594" t="str">
        <f>"+17034294640"</f>
        <v>+17034294640</v>
      </c>
      <c r="AS1594" t="s">
        <v>8937</v>
      </c>
      <c r="AT1594" t="s">
        <v>107</v>
      </c>
      <c r="AU1594" t="str">
        <f>"Chacko"</f>
        <v>Chacko</v>
      </c>
      <c r="AV1594" t="str">
        <f>"Mathew"</f>
        <v>Mathew</v>
      </c>
      <c r="AW1594" t="str">
        <f>"Maryvilla"</f>
        <v>Maryvilla</v>
      </c>
      <c r="AX1594" t="str">
        <f>"5025 Backlick Rd"</f>
        <v>5025 Backlick Rd</v>
      </c>
      <c r="AY1594" t="str">
        <f>"Suite C"</f>
        <v>Suite C</v>
      </c>
      <c r="AZ1594" t="str">
        <f>"Annandale"</f>
        <v>Annandale</v>
      </c>
      <c r="BA1594" t="str">
        <f>"VA"</f>
        <v>VA</v>
      </c>
      <c r="BB1594" s="3">
        <v>22003</v>
      </c>
      <c r="BC1594" t="str">
        <f>"UNITED STATES OF AMERICA"</f>
        <v>UNITED STATES OF AMERICA</v>
      </c>
      <c r="BD1594" t="str">
        <f>""</f>
        <v/>
      </c>
      <c r="BE1594" t="str">
        <f>"+17033490881"</f>
        <v>+17033490881</v>
      </c>
      <c r="BF1594" t="str">
        <f>""</f>
        <v/>
      </c>
      <c r="BG1594" t="str">
        <f>"help@chackolawfirm.com"</f>
        <v>help@chackolawfirm.com</v>
      </c>
      <c r="BH1594" t="str">
        <f>"LAW OFFICES OF MATHEW M CHACKO PC"</f>
        <v>LAW OFFICES OF MATHEW M CHACKO PC</v>
      </c>
      <c r="BI1594" t="str">
        <f>"NY"</f>
        <v>NY</v>
      </c>
      <c r="BJ1594" t="str">
        <f>"New York"</f>
        <v>New York</v>
      </c>
      <c r="BK1594">
        <v>1</v>
      </c>
      <c r="BL1594" t="s">
        <v>107</v>
      </c>
      <c r="BM1594" t="str">
        <f>"Remote work from Home"</f>
        <v>Remote work from Home</v>
      </c>
      <c r="BN1594" t="s">
        <v>10879</v>
      </c>
      <c r="BP1594" t="s">
        <v>4605</v>
      </c>
      <c r="BQ1594" t="s">
        <v>4606</v>
      </c>
      <c r="BR1594" t="s">
        <v>171</v>
      </c>
      <c r="BS1594" s="5">
        <v>2148</v>
      </c>
      <c r="BT1594" s="2">
        <v>150000</v>
      </c>
      <c r="BV1594" t="s">
        <v>105</v>
      </c>
      <c r="BW1594" s="2">
        <v>123947</v>
      </c>
      <c r="BX1594" t="s">
        <v>105</v>
      </c>
      <c r="BZ1594" t="s">
        <v>159</v>
      </c>
      <c r="CA1594" t="str">
        <f t="shared" si="123"/>
        <v>7/1/2020 - 6/30/2021</v>
      </c>
      <c r="CF1594">
        <v>2</v>
      </c>
      <c r="CG1594" t="s">
        <v>98</v>
      </c>
      <c r="CH1594" t="s">
        <v>98</v>
      </c>
      <c r="CI1594" t="s">
        <v>206</v>
      </c>
      <c r="CJ1594" t="s">
        <v>98</v>
      </c>
      <c r="CK1594" t="s">
        <v>12324</v>
      </c>
      <c r="CL1594" t="s">
        <v>108</v>
      </c>
      <c r="CM1594" t="s">
        <v>109</v>
      </c>
      <c r="CN1594" t="str">
        <f>""</f>
        <v/>
      </c>
      <c r="CO1594" t="str">
        <f>""</f>
        <v/>
      </c>
      <c r="CP1594" t="str">
        <f>""</f>
        <v/>
      </c>
      <c r="CQ1594" t="str">
        <f>""</f>
        <v/>
      </c>
    </row>
    <row r="1595" spans="1:96" x14ac:dyDescent="0.2">
      <c r="A1595" t="s">
        <v>10934</v>
      </c>
      <c r="B1595" t="s">
        <v>96</v>
      </c>
      <c r="C1595" s="1">
        <v>44099</v>
      </c>
      <c r="D1595" s="1">
        <v>44106</v>
      </c>
      <c r="F1595" t="s">
        <v>97</v>
      </c>
      <c r="G1595" t="str">
        <f>"Software Engineer"</f>
        <v>Software Engineer</v>
      </c>
      <c r="H1595" t="s">
        <v>12168</v>
      </c>
      <c r="I1595" t="s">
        <v>160</v>
      </c>
      <c r="J1595" t="s">
        <v>98</v>
      </c>
      <c r="K1595" s="1">
        <v>44099</v>
      </c>
      <c r="L1595" s="1">
        <v>45193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310</v>
      </c>
      <c r="U1595" t="str">
        <f>""</f>
        <v/>
      </c>
      <c r="V1595" t="s">
        <v>311</v>
      </c>
      <c r="W1595" t="str">
        <f>"SUITE 300"</f>
        <v>SUITE 300</v>
      </c>
      <c r="X1595" t="s">
        <v>312</v>
      </c>
      <c r="Y1595" t="s">
        <v>265</v>
      </c>
      <c r="Z1595" s="3">
        <v>48083</v>
      </c>
      <c r="AA1595" t="s">
        <v>101</v>
      </c>
      <c r="AC1595" s="4" t="str">
        <f>"+12486193580"</f>
        <v>+12486193580</v>
      </c>
      <c r="AE1595" t="str">
        <f t="shared" si="125"/>
        <v>541511</v>
      </c>
      <c r="AF1595" t="s">
        <v>313</v>
      </c>
      <c r="AG1595" t="s">
        <v>314</v>
      </c>
      <c r="AI1595" t="s">
        <v>315</v>
      </c>
      <c r="AJ1595" t="s">
        <v>311</v>
      </c>
      <c r="AK1595" t="str">
        <f>"SUITE 300"</f>
        <v>SUITE 300</v>
      </c>
      <c r="AL1595" t="s">
        <v>312</v>
      </c>
      <c r="AM1595" t="s">
        <v>265</v>
      </c>
      <c r="AN1595" s="3">
        <v>48083</v>
      </c>
      <c r="AO1595" t="s">
        <v>101</v>
      </c>
      <c r="AQ1595" t="str">
        <f>"+12486193580"</f>
        <v>+12486193580</v>
      </c>
      <c r="AS1595" t="s">
        <v>316</v>
      </c>
      <c r="AT1595" t="s">
        <v>102</v>
      </c>
      <c r="AU1595" t="str">
        <f>""</f>
        <v/>
      </c>
      <c r="AV1595" t="str">
        <f>""</f>
        <v/>
      </c>
      <c r="AW1595" t="str">
        <f>""</f>
        <v/>
      </c>
      <c r="AX1595" t="str">
        <f>""</f>
        <v/>
      </c>
      <c r="AY1595" t="str">
        <f>""</f>
        <v/>
      </c>
      <c r="AZ1595" t="str">
        <f>""</f>
        <v/>
      </c>
      <c r="BA1595" t="str">
        <f>""</f>
        <v/>
      </c>
      <c r="BC1595" t="str">
        <f>""</f>
        <v/>
      </c>
      <c r="BD1595" t="str">
        <f>""</f>
        <v/>
      </c>
      <c r="BE1595" t="str">
        <f>""</f>
        <v/>
      </c>
      <c r="BF1595" t="str">
        <f>""</f>
        <v/>
      </c>
      <c r="BG1595" t="str">
        <f>""</f>
        <v/>
      </c>
      <c r="BH1595" t="str">
        <f>""</f>
        <v/>
      </c>
      <c r="BI1595" t="str">
        <f>""</f>
        <v/>
      </c>
      <c r="BJ1595" t="str">
        <f>""</f>
        <v/>
      </c>
      <c r="BK1595">
        <v>1</v>
      </c>
      <c r="BL1595" t="s">
        <v>107</v>
      </c>
      <c r="BM1595" t="str">
        <f>"Mercedes-Benz USA, LLC."</f>
        <v>Mercedes-Benz USA, LLC.</v>
      </c>
      <c r="BN1595" t="s">
        <v>10935</v>
      </c>
      <c r="BO1595" t="s">
        <v>108</v>
      </c>
      <c r="BP1595" t="s">
        <v>3333</v>
      </c>
      <c r="BQ1595" t="s">
        <v>214</v>
      </c>
      <c r="BR1595" t="s">
        <v>215</v>
      </c>
      <c r="BS1595" s="5">
        <v>30328</v>
      </c>
      <c r="BT1595" s="2">
        <v>74500</v>
      </c>
      <c r="BV1595" t="s">
        <v>105</v>
      </c>
      <c r="BW1595" s="2">
        <v>74006</v>
      </c>
      <c r="BX1595" t="s">
        <v>105</v>
      </c>
      <c r="BZ1595" t="s">
        <v>167</v>
      </c>
      <c r="CA1595" t="str">
        <f t="shared" si="123"/>
        <v>7/1/2020 - 6/30/2021</v>
      </c>
      <c r="CF1595">
        <v>2</v>
      </c>
      <c r="CG1595" t="s">
        <v>98</v>
      </c>
      <c r="CH1595" t="s">
        <v>98</v>
      </c>
      <c r="CI1595" t="s">
        <v>206</v>
      </c>
      <c r="CJ1595" t="s">
        <v>98</v>
      </c>
      <c r="CK1595" t="s">
        <v>12324</v>
      </c>
      <c r="CL1595" t="s">
        <v>108</v>
      </c>
      <c r="CM1595" t="s">
        <v>109</v>
      </c>
      <c r="CN1595" t="str">
        <f>"Fernandes"</f>
        <v>Fernandes</v>
      </c>
      <c r="CO1595" t="str">
        <f>"Samson"</f>
        <v>Samson</v>
      </c>
      <c r="CP1595" t="str">
        <f>"D"</f>
        <v>D</v>
      </c>
      <c r="CQ1595" t="str">
        <f>"Atos Syntel Inc"</f>
        <v>Atos Syntel Inc</v>
      </c>
      <c r="CR1595" t="s">
        <v>318</v>
      </c>
    </row>
    <row r="1596" spans="1:96" x14ac:dyDescent="0.2">
      <c r="A1596" t="s">
        <v>11177</v>
      </c>
      <c r="B1596" t="s">
        <v>96</v>
      </c>
      <c r="C1596" s="1">
        <v>44099</v>
      </c>
      <c r="D1596" s="1">
        <v>44106</v>
      </c>
      <c r="F1596" t="s">
        <v>97</v>
      </c>
      <c r="G1596" t="str">
        <f>"APPLICATIONS DEVELOPMENT ANALYST"</f>
        <v>APPLICATIONS DEVELOPMENT ANALYST</v>
      </c>
      <c r="H1596" t="s">
        <v>12181</v>
      </c>
      <c r="I1596" t="s">
        <v>110</v>
      </c>
      <c r="J1596" t="s">
        <v>98</v>
      </c>
      <c r="K1596" s="1">
        <v>44255</v>
      </c>
      <c r="L1596" s="1">
        <v>45349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 t="s">
        <v>7487</v>
      </c>
      <c r="U1596" t="str">
        <f>"NOT APPLICABLE"</f>
        <v>NOT APPLICABLE</v>
      </c>
      <c r="V1596" t="s">
        <v>7488</v>
      </c>
      <c r="W1596" t="str">
        <f>""</f>
        <v/>
      </c>
      <c r="X1596" t="s">
        <v>5191</v>
      </c>
      <c r="Y1596" t="s">
        <v>577</v>
      </c>
      <c r="Z1596" s="3">
        <v>32309</v>
      </c>
      <c r="AA1596" t="s">
        <v>101</v>
      </c>
      <c r="AC1596" s="4" t="str">
        <f>"+18508941952"</f>
        <v>+18508941952</v>
      </c>
      <c r="AE1596" t="str">
        <f t="shared" si="125"/>
        <v>541511</v>
      </c>
      <c r="AF1596" t="s">
        <v>7489</v>
      </c>
      <c r="AG1596" t="s">
        <v>4139</v>
      </c>
      <c r="AI1596" t="s">
        <v>425</v>
      </c>
      <c r="AJ1596" t="s">
        <v>7488</v>
      </c>
      <c r="AK1596" t="str">
        <f>""</f>
        <v/>
      </c>
      <c r="AL1596" t="s">
        <v>5191</v>
      </c>
      <c r="AM1596" t="s">
        <v>577</v>
      </c>
      <c r="AN1596" s="3">
        <v>32309</v>
      </c>
      <c r="AO1596" t="s">
        <v>101</v>
      </c>
      <c r="AQ1596" t="str">
        <f>"+18508941952"</f>
        <v>+18508941952</v>
      </c>
      <c r="AS1596" t="s">
        <v>7490</v>
      </c>
      <c r="AT1596" t="s">
        <v>107</v>
      </c>
      <c r="AU1596" t="str">
        <f>"GOKARE"</f>
        <v>GOKARE</v>
      </c>
      <c r="AV1596" t="str">
        <f>"MANJUNATH"</f>
        <v>MANJUNATH</v>
      </c>
      <c r="AW1596" t="str">
        <f>"A"</f>
        <v>A</v>
      </c>
      <c r="AX1596" t="str">
        <f>"11545 PARK WOODS CIRCLE"</f>
        <v>11545 PARK WOODS CIRCLE</v>
      </c>
      <c r="AY1596" t="str">
        <f>"SUITE D"</f>
        <v>SUITE D</v>
      </c>
      <c r="AZ1596" t="str">
        <f>"ALPHARETTA"</f>
        <v>ALPHARETTA</v>
      </c>
      <c r="BA1596" t="str">
        <f>"GA"</f>
        <v>GA</v>
      </c>
      <c r="BB1596" s="3">
        <v>30005</v>
      </c>
      <c r="BC1596" t="str">
        <f>"UNITED STATES OF AMERICA"</f>
        <v>UNITED STATES OF AMERICA</v>
      </c>
      <c r="BD1596" t="str">
        <f>""</f>
        <v/>
      </c>
      <c r="BE1596" t="str">
        <f>"+16788679390"</f>
        <v>+16788679390</v>
      </c>
      <c r="BF1596" t="str">
        <f>"104"</f>
        <v>104</v>
      </c>
      <c r="BG1596" t="str">
        <f>"LCA@GOKARLAW.COM"</f>
        <v>LCA@GOKARLAW.COM</v>
      </c>
      <c r="BH1596" t="str">
        <f>"MANJUNATH GOKARE PC D/B/A GOKARE LAW FIRM"</f>
        <v>MANJUNATH GOKARE PC D/B/A GOKARE LAW FIRM</v>
      </c>
      <c r="BI1596" t="str">
        <f>"GA"</f>
        <v>GA</v>
      </c>
      <c r="BJ1596" t="str">
        <f>"SUPREME COURT"</f>
        <v>SUPREME COURT</v>
      </c>
      <c r="BK1596">
        <v>1</v>
      </c>
      <c r="BL1596" t="s">
        <v>102</v>
      </c>
      <c r="BM1596" t="str">
        <f>""</f>
        <v/>
      </c>
      <c r="BN1596" t="s">
        <v>7487</v>
      </c>
      <c r="BO1596" t="s">
        <v>7492</v>
      </c>
      <c r="BP1596" t="s">
        <v>5191</v>
      </c>
      <c r="BQ1596" t="s">
        <v>1659</v>
      </c>
      <c r="BR1596" t="s">
        <v>577</v>
      </c>
      <c r="BS1596" s="5">
        <v>32309</v>
      </c>
      <c r="BT1596" s="2">
        <v>69035</v>
      </c>
      <c r="BU1596" s="2">
        <v>140000</v>
      </c>
      <c r="BV1596" t="s">
        <v>105</v>
      </c>
      <c r="BW1596" s="2">
        <v>69035</v>
      </c>
      <c r="BX1596" t="s">
        <v>105</v>
      </c>
      <c r="BZ1596" t="s">
        <v>159</v>
      </c>
      <c r="CA1596" t="str">
        <f t="shared" si="123"/>
        <v>7/1/2020 - 6/30/2021</v>
      </c>
      <c r="CF1596">
        <v>2</v>
      </c>
      <c r="CG1596" t="s">
        <v>98</v>
      </c>
      <c r="CH1596" t="s">
        <v>98</v>
      </c>
      <c r="CI1596" t="s">
        <v>206</v>
      </c>
      <c r="CJ1596" t="s">
        <v>98</v>
      </c>
      <c r="CK1596" t="s">
        <v>12324</v>
      </c>
      <c r="CL1596" t="s">
        <v>108</v>
      </c>
      <c r="CM1596" t="s">
        <v>109</v>
      </c>
      <c r="CN1596" t="str">
        <f>"NOT APPLICABLE"</f>
        <v>NOT APPLICABLE</v>
      </c>
      <c r="CO1596" t="str">
        <f>"NOT APPLICABLE"</f>
        <v>NOT APPLICABLE</v>
      </c>
      <c r="CP1596" t="str">
        <f>""</f>
        <v/>
      </c>
      <c r="CQ1596" t="str">
        <f>"NOT APPLICABLE"</f>
        <v>NOT APPLICABLE</v>
      </c>
      <c r="CR1596" t="s">
        <v>10819</v>
      </c>
    </row>
    <row r="1597" spans="1:96" x14ac:dyDescent="0.2">
      <c r="A1597" t="s">
        <v>11208</v>
      </c>
      <c r="B1597" t="s">
        <v>96</v>
      </c>
      <c r="C1597" s="1">
        <v>44099</v>
      </c>
      <c r="D1597" s="1">
        <v>44106</v>
      </c>
      <c r="F1597" t="s">
        <v>97</v>
      </c>
      <c r="G1597" t="str">
        <f>"Software Engineer"</f>
        <v>Software Engineer</v>
      </c>
      <c r="H1597" t="s">
        <v>12169</v>
      </c>
      <c r="I1597" t="s">
        <v>124</v>
      </c>
      <c r="J1597" t="s">
        <v>98</v>
      </c>
      <c r="K1597" s="1">
        <v>44105</v>
      </c>
      <c r="L1597" s="1">
        <v>45199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2539</v>
      </c>
      <c r="U1597" t="str">
        <f>""</f>
        <v/>
      </c>
      <c r="V1597" t="s">
        <v>6201</v>
      </c>
      <c r="W1597" t="str">
        <f>"Suite 505N"</f>
        <v>Suite 505N</v>
      </c>
      <c r="X1597" t="s">
        <v>1328</v>
      </c>
      <c r="Y1597" t="s">
        <v>934</v>
      </c>
      <c r="Z1597" s="3">
        <v>68102</v>
      </c>
      <c r="AA1597" t="s">
        <v>101</v>
      </c>
      <c r="AC1597" s="4" t="str">
        <f>"+14023335870"</f>
        <v>+14023335870</v>
      </c>
      <c r="AE1597" t="str">
        <f t="shared" si="125"/>
        <v>541511</v>
      </c>
      <c r="AF1597" t="s">
        <v>4705</v>
      </c>
      <c r="AG1597" t="s">
        <v>6202</v>
      </c>
      <c r="AH1597" t="s">
        <v>680</v>
      </c>
      <c r="AI1597" t="s">
        <v>4914</v>
      </c>
      <c r="AJ1597" t="s">
        <v>6203</v>
      </c>
      <c r="AK1597" t="str">
        <f>"Suite 270"</f>
        <v>Suite 270</v>
      </c>
      <c r="AL1597" t="s">
        <v>1632</v>
      </c>
      <c r="AM1597" t="s">
        <v>814</v>
      </c>
      <c r="AN1597" s="3">
        <v>97008</v>
      </c>
      <c r="AO1597" t="s">
        <v>101</v>
      </c>
      <c r="AQ1597" t="str">
        <f>"+19713170778"</f>
        <v>+19713170778</v>
      </c>
      <c r="AS1597" t="s">
        <v>2546</v>
      </c>
      <c r="AT1597" t="s">
        <v>102</v>
      </c>
      <c r="AU1597" t="str">
        <f>""</f>
        <v/>
      </c>
      <c r="AV1597" t="str">
        <f>""</f>
        <v/>
      </c>
      <c r="AW1597" t="str">
        <f>""</f>
        <v/>
      </c>
      <c r="AX1597" t="str">
        <f>""</f>
        <v/>
      </c>
      <c r="AY1597" t="str">
        <f>""</f>
        <v/>
      </c>
      <c r="AZ1597" t="str">
        <f>""</f>
        <v/>
      </c>
      <c r="BA1597" t="str">
        <f>""</f>
        <v/>
      </c>
      <c r="BC1597" t="str">
        <f>""</f>
        <v/>
      </c>
      <c r="BD1597" t="str">
        <f>""</f>
        <v/>
      </c>
      <c r="BE1597" t="str">
        <f>""</f>
        <v/>
      </c>
      <c r="BF1597" t="str">
        <f>""</f>
        <v/>
      </c>
      <c r="BG1597" t="str">
        <f>""</f>
        <v/>
      </c>
      <c r="BH1597" t="str">
        <f>""</f>
        <v/>
      </c>
      <c r="BI1597" t="str">
        <f>""</f>
        <v/>
      </c>
      <c r="BJ1597" t="str">
        <f>""</f>
        <v/>
      </c>
      <c r="BK1597">
        <v>1</v>
      </c>
      <c r="BL1597" t="s">
        <v>102</v>
      </c>
      <c r="BM1597" t="str">
        <f>""</f>
        <v/>
      </c>
      <c r="BN1597" t="s">
        <v>6201</v>
      </c>
      <c r="BO1597" t="s">
        <v>11209</v>
      </c>
      <c r="BP1597" t="s">
        <v>1328</v>
      </c>
      <c r="BQ1597" t="s">
        <v>933</v>
      </c>
      <c r="BR1597" t="s">
        <v>934</v>
      </c>
      <c r="BS1597" s="5">
        <v>68102</v>
      </c>
      <c r="BT1597" s="2">
        <v>79019</v>
      </c>
      <c r="BU1597" s="2">
        <v>85000</v>
      </c>
      <c r="BV1597" t="s">
        <v>105</v>
      </c>
      <c r="BW1597" s="2">
        <v>79019</v>
      </c>
      <c r="BX1597" t="s">
        <v>105</v>
      </c>
      <c r="BZ1597" t="s">
        <v>167</v>
      </c>
      <c r="CA1597" t="str">
        <f t="shared" si="123"/>
        <v>7/1/2020 - 6/30/2021</v>
      </c>
      <c r="CF1597">
        <v>1</v>
      </c>
      <c r="CG1597" t="s">
        <v>98</v>
      </c>
      <c r="CH1597" t="s">
        <v>98</v>
      </c>
      <c r="CI1597" t="s">
        <v>206</v>
      </c>
      <c r="CJ1597" t="s">
        <v>98</v>
      </c>
      <c r="CK1597" t="s">
        <v>12324</v>
      </c>
      <c r="CL1597" t="s">
        <v>108</v>
      </c>
      <c r="CM1597" t="s">
        <v>109</v>
      </c>
      <c r="CN1597" t="str">
        <f>"Yanez"</f>
        <v>Yanez</v>
      </c>
      <c r="CO1597" t="str">
        <f>"Stacy"</f>
        <v>Stacy</v>
      </c>
      <c r="CP1597" t="str">
        <f>"N/A"</f>
        <v>N/A</v>
      </c>
      <c r="CQ1597" t="str">
        <f>"ProKarma, Inc."</f>
        <v>ProKarma, Inc.</v>
      </c>
      <c r="CR1597" t="s">
        <v>6204</v>
      </c>
    </row>
    <row r="1598" spans="1:96" x14ac:dyDescent="0.2">
      <c r="A1598" t="s">
        <v>11229</v>
      </c>
      <c r="B1598" t="s">
        <v>96</v>
      </c>
      <c r="C1598" s="1">
        <v>44099</v>
      </c>
      <c r="D1598" s="1">
        <v>44106</v>
      </c>
      <c r="F1598" t="s">
        <v>97</v>
      </c>
      <c r="G1598" t="str">
        <f>"SOFTWARE ENGINEER"</f>
        <v>SOFTWARE ENGINEER</v>
      </c>
      <c r="H1598" t="s">
        <v>12169</v>
      </c>
      <c r="I1598" t="s">
        <v>124</v>
      </c>
      <c r="J1598" t="s">
        <v>98</v>
      </c>
      <c r="K1598" s="1">
        <v>44099</v>
      </c>
      <c r="L1598" s="1">
        <v>45193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11230</v>
      </c>
      <c r="U1598" t="str">
        <f>""</f>
        <v/>
      </c>
      <c r="V1598" t="s">
        <v>7149</v>
      </c>
      <c r="W1598" t="str">
        <f>"Suite 118"</f>
        <v>Suite 118</v>
      </c>
      <c r="X1598" t="s">
        <v>297</v>
      </c>
      <c r="Y1598" t="s">
        <v>114</v>
      </c>
      <c r="Z1598" s="3">
        <v>75023</v>
      </c>
      <c r="AA1598" t="s">
        <v>101</v>
      </c>
      <c r="AC1598" s="4" t="str">
        <f>"+14697337736"</f>
        <v>+14697337736</v>
      </c>
      <c r="AE1598" t="str">
        <f t="shared" si="125"/>
        <v>541511</v>
      </c>
      <c r="AF1598" t="s">
        <v>7148</v>
      </c>
      <c r="AG1598" t="s">
        <v>3391</v>
      </c>
      <c r="AI1598" t="s">
        <v>508</v>
      </c>
      <c r="AJ1598" t="s">
        <v>7149</v>
      </c>
      <c r="AK1598" t="str">
        <f>"Suite 118"</f>
        <v>Suite 118</v>
      </c>
      <c r="AL1598" t="s">
        <v>297</v>
      </c>
      <c r="AM1598" t="s">
        <v>114</v>
      </c>
      <c r="AN1598" s="3">
        <v>75023</v>
      </c>
      <c r="AO1598" t="s">
        <v>101</v>
      </c>
      <c r="AQ1598" t="str">
        <f>"+14697337736"</f>
        <v>+14697337736</v>
      </c>
      <c r="AS1598" t="s">
        <v>7150</v>
      </c>
      <c r="AT1598" t="s">
        <v>107</v>
      </c>
      <c r="AU1598" t="str">
        <f>"Ilindra"</f>
        <v>Ilindra</v>
      </c>
      <c r="AV1598" t="str">
        <f>"Bhanu"</f>
        <v>Bhanu</v>
      </c>
      <c r="AW1598" t="str">
        <f>"B"</f>
        <v>B</v>
      </c>
      <c r="AX1598" t="str">
        <f>"P.O. Box 1114"</f>
        <v>P.O. Box 1114</v>
      </c>
      <c r="AY1598" t="str">
        <f>""</f>
        <v/>
      </c>
      <c r="AZ1598" t="str">
        <f>"Herndon"</f>
        <v>Herndon</v>
      </c>
      <c r="BA1598" t="str">
        <f>"VA"</f>
        <v>VA</v>
      </c>
      <c r="BB1598" s="3">
        <v>20170</v>
      </c>
      <c r="BC1598" t="str">
        <f>"UNITED STATES OF AMERICA"</f>
        <v>UNITED STATES OF AMERICA</v>
      </c>
      <c r="BD1598" t="str">
        <f>""</f>
        <v/>
      </c>
      <c r="BE1598" t="str">
        <f>"+17034967722"</f>
        <v>+17034967722</v>
      </c>
      <c r="BF1598" t="str">
        <f>""</f>
        <v/>
      </c>
      <c r="BG1598" t="str">
        <f>"bhanu@bbilawgroup.com"</f>
        <v>bhanu@bbilawgroup.com</v>
      </c>
      <c r="BH1598" t="str">
        <f>"BBI Law Group, P.C."</f>
        <v>BBI Law Group, P.C.</v>
      </c>
      <c r="BI1598" t="str">
        <f>"NY"</f>
        <v>NY</v>
      </c>
      <c r="BJ1598" t="str">
        <f>"THIRD APPELLATE COURT"</f>
        <v>THIRD APPELLATE COURT</v>
      </c>
      <c r="BK1598">
        <v>1</v>
      </c>
      <c r="BL1598" t="s">
        <v>107</v>
      </c>
      <c r="BM1598" t="str">
        <f>"Walmart Labs"</f>
        <v>Walmart Labs</v>
      </c>
      <c r="BN1598" t="s">
        <v>11231</v>
      </c>
      <c r="BP1598" t="s">
        <v>229</v>
      </c>
      <c r="BQ1598" t="s">
        <v>230</v>
      </c>
      <c r="BR1598" t="s">
        <v>141</v>
      </c>
      <c r="BS1598" s="5">
        <v>94086</v>
      </c>
      <c r="BT1598" s="2">
        <v>58</v>
      </c>
      <c r="BV1598" t="s">
        <v>210</v>
      </c>
      <c r="BW1598" s="2">
        <v>57.97</v>
      </c>
      <c r="BX1598" t="s">
        <v>210</v>
      </c>
      <c r="BZ1598" t="s">
        <v>167</v>
      </c>
      <c r="CA1598" t="str">
        <f t="shared" si="123"/>
        <v>7/1/2020 - 6/30/2021</v>
      </c>
      <c r="CF1598">
        <v>1</v>
      </c>
      <c r="CG1598" t="s">
        <v>98</v>
      </c>
      <c r="CH1598" t="s">
        <v>98</v>
      </c>
      <c r="CI1598" t="s">
        <v>206</v>
      </c>
      <c r="CJ1598" t="s">
        <v>98</v>
      </c>
      <c r="CK1598" t="s">
        <v>12324</v>
      </c>
      <c r="CL1598" t="s">
        <v>108</v>
      </c>
      <c r="CM1598" t="s">
        <v>109</v>
      </c>
      <c r="CN1598" t="str">
        <f>"Ilindra"</f>
        <v>Ilindra</v>
      </c>
      <c r="CO1598" t="str">
        <f>"Bhanu"</f>
        <v>Bhanu</v>
      </c>
      <c r="CP1598" t="str">
        <f>"B"</f>
        <v>B</v>
      </c>
      <c r="CQ1598" t="str">
        <f>"BBI Law Group P.C."</f>
        <v>BBI Law Group P.C.</v>
      </c>
      <c r="CR1598" t="s">
        <v>3331</v>
      </c>
    </row>
    <row r="1599" spans="1:96" x14ac:dyDescent="0.2">
      <c r="A1599" t="s">
        <v>11241</v>
      </c>
      <c r="B1599" t="s">
        <v>96</v>
      </c>
      <c r="C1599" s="1">
        <v>44099</v>
      </c>
      <c r="D1599" s="1">
        <v>44106</v>
      </c>
      <c r="F1599" t="s">
        <v>97</v>
      </c>
      <c r="G1599" t="str">
        <f>"Salesforce Developer"</f>
        <v>Salesforce Developer</v>
      </c>
      <c r="H1599" t="s">
        <v>12169</v>
      </c>
      <c r="I1599" t="s">
        <v>124</v>
      </c>
      <c r="J1599" t="s">
        <v>98</v>
      </c>
      <c r="K1599" s="1">
        <v>44197</v>
      </c>
      <c r="L1599" s="1">
        <v>45291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5233</v>
      </c>
      <c r="U1599" t="str">
        <f>""</f>
        <v/>
      </c>
      <c r="V1599" t="s">
        <v>5234</v>
      </c>
      <c r="W1599" t="str">
        <f>"Ste 205"</f>
        <v>Ste 205</v>
      </c>
      <c r="X1599" t="s">
        <v>1498</v>
      </c>
      <c r="Y1599" t="s">
        <v>265</v>
      </c>
      <c r="Z1599" s="3">
        <v>48335</v>
      </c>
      <c r="AA1599" t="s">
        <v>101</v>
      </c>
      <c r="AC1599" s="4" t="str">
        <f>"+12489579613"</f>
        <v>+12489579613</v>
      </c>
      <c r="AE1599" t="str">
        <f t="shared" si="125"/>
        <v>541511</v>
      </c>
      <c r="AF1599" t="s">
        <v>5235</v>
      </c>
      <c r="AG1599" t="s">
        <v>5236</v>
      </c>
      <c r="AI1599" t="s">
        <v>508</v>
      </c>
      <c r="AJ1599" t="s">
        <v>5234</v>
      </c>
      <c r="AK1599" t="str">
        <f>"Ste 205"</f>
        <v>Ste 205</v>
      </c>
      <c r="AL1599" t="s">
        <v>1498</v>
      </c>
      <c r="AM1599" t="s">
        <v>265</v>
      </c>
      <c r="AN1599" s="3">
        <v>48335</v>
      </c>
      <c r="AO1599" t="s">
        <v>101</v>
      </c>
      <c r="AQ1599" t="str">
        <f>"+12489579613"</f>
        <v>+12489579613</v>
      </c>
      <c r="AS1599" t="s">
        <v>7549</v>
      </c>
      <c r="AT1599" t="s">
        <v>107</v>
      </c>
      <c r="AU1599" t="str">
        <f>"Ilindra"</f>
        <v>Ilindra</v>
      </c>
      <c r="AV1599" t="str">
        <f>"Bhanu"</f>
        <v>Bhanu</v>
      </c>
      <c r="AW1599" t="str">
        <f>"B"</f>
        <v>B</v>
      </c>
      <c r="AX1599" t="str">
        <f>"P.O BOX 1114"</f>
        <v>P.O BOX 1114</v>
      </c>
      <c r="AY1599" t="str">
        <f>""</f>
        <v/>
      </c>
      <c r="AZ1599" t="str">
        <f>"HERNDON"</f>
        <v>HERNDON</v>
      </c>
      <c r="BA1599" t="str">
        <f>"VA"</f>
        <v>VA</v>
      </c>
      <c r="BB1599" s="3">
        <v>20170</v>
      </c>
      <c r="BC1599" t="str">
        <f>"UNITED STATES OF AMERICA"</f>
        <v>UNITED STATES OF AMERICA</v>
      </c>
      <c r="BD1599" t="str">
        <f>""</f>
        <v/>
      </c>
      <c r="BE1599" t="str">
        <f>"+17034967722"</f>
        <v>+17034967722</v>
      </c>
      <c r="BF1599" t="str">
        <f>""</f>
        <v/>
      </c>
      <c r="BG1599" t="str">
        <f>"bhanu@bbilawgroup.com"</f>
        <v>bhanu@bbilawgroup.com</v>
      </c>
      <c r="BH1599" t="str">
        <f>"BBI LAW GROUP P.C."</f>
        <v>BBI LAW GROUP P.C.</v>
      </c>
      <c r="BI1599" t="str">
        <f>"NY"</f>
        <v>NY</v>
      </c>
      <c r="BJ1599" t="str">
        <f>"THIRD APPELLATE COURT"</f>
        <v>THIRD APPELLATE COURT</v>
      </c>
      <c r="BK1599">
        <v>1</v>
      </c>
      <c r="BL1599" t="s">
        <v>107</v>
      </c>
      <c r="BM1599" t="str">
        <f>"Boston Scientific"</f>
        <v>Boston Scientific</v>
      </c>
      <c r="BN1599" t="s">
        <v>7347</v>
      </c>
      <c r="BP1599" t="s">
        <v>5866</v>
      </c>
      <c r="BQ1599" t="s">
        <v>185</v>
      </c>
      <c r="BR1599" t="s">
        <v>186</v>
      </c>
      <c r="BS1599" s="5">
        <v>55311</v>
      </c>
      <c r="BT1599" s="2">
        <v>89000</v>
      </c>
      <c r="BV1599" t="s">
        <v>105</v>
      </c>
      <c r="BW1599" s="2">
        <v>88712</v>
      </c>
      <c r="BX1599" t="s">
        <v>105</v>
      </c>
      <c r="BZ1599" t="s">
        <v>167</v>
      </c>
      <c r="CA1599" t="str">
        <f t="shared" si="123"/>
        <v>7/1/2020 - 6/30/2021</v>
      </c>
      <c r="CF1599">
        <v>2</v>
      </c>
      <c r="CG1599" t="s">
        <v>98</v>
      </c>
      <c r="CH1599" t="s">
        <v>98</v>
      </c>
      <c r="CI1599" t="s">
        <v>206</v>
      </c>
      <c r="CJ1599" t="s">
        <v>98</v>
      </c>
      <c r="CK1599" t="s">
        <v>12324</v>
      </c>
      <c r="CL1599" t="s">
        <v>108</v>
      </c>
      <c r="CM1599" t="s">
        <v>109</v>
      </c>
      <c r="CN1599" t="str">
        <f>"Ilindra"</f>
        <v>Ilindra</v>
      </c>
      <c r="CO1599" t="str">
        <f>"Bhanu"</f>
        <v>Bhanu</v>
      </c>
      <c r="CP1599" t="str">
        <f>"B"</f>
        <v>B</v>
      </c>
      <c r="CQ1599" t="str">
        <f>"BBI LAW GROUP P.C."</f>
        <v>BBI LAW GROUP P.C.</v>
      </c>
      <c r="CR1599" t="s">
        <v>1320</v>
      </c>
    </row>
    <row r="1600" spans="1:96" x14ac:dyDescent="0.2">
      <c r="A1600" t="s">
        <v>11337</v>
      </c>
      <c r="B1600" t="s">
        <v>96</v>
      </c>
      <c r="C1600" s="1">
        <v>44099</v>
      </c>
      <c r="D1600" s="1">
        <v>44106</v>
      </c>
      <c r="F1600" t="s">
        <v>97</v>
      </c>
      <c r="G1600" t="str">
        <f>"Senior Systems Analyst JC60"</f>
        <v>Senior Systems Analyst JC60</v>
      </c>
      <c r="H1600" t="s">
        <v>12181</v>
      </c>
      <c r="I1600" t="s">
        <v>110</v>
      </c>
      <c r="J1600" t="s">
        <v>98</v>
      </c>
      <c r="K1600" s="1">
        <v>44107</v>
      </c>
      <c r="L1600" s="1">
        <v>45201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 t="s">
        <v>111</v>
      </c>
      <c r="U1600" t="str">
        <f>"CTSUS"</f>
        <v>CTSUS</v>
      </c>
      <c r="V1600" t="s">
        <v>112</v>
      </c>
      <c r="W1600" t="str">
        <f>""</f>
        <v/>
      </c>
      <c r="X1600" t="s">
        <v>113</v>
      </c>
      <c r="Y1600" t="s">
        <v>114</v>
      </c>
      <c r="Z1600" s="3">
        <v>77845</v>
      </c>
      <c r="AA1600" t="s">
        <v>101</v>
      </c>
      <c r="AB1600" t="s">
        <v>114</v>
      </c>
      <c r="AC1600" s="4" t="str">
        <f>"+19793296682"</f>
        <v>+19793296682</v>
      </c>
      <c r="AE1600" t="str">
        <f>"541512"</f>
        <v>541512</v>
      </c>
      <c r="AF1600" t="s">
        <v>115</v>
      </c>
      <c r="AG1600" t="s">
        <v>116</v>
      </c>
      <c r="AH1600" t="s">
        <v>108</v>
      </c>
      <c r="AI1600" t="s">
        <v>117</v>
      </c>
      <c r="AJ1600" t="s">
        <v>118</v>
      </c>
      <c r="AK1600" t="str">
        <f>""</f>
        <v/>
      </c>
      <c r="AL1600" t="s">
        <v>119</v>
      </c>
      <c r="AM1600" t="s">
        <v>114</v>
      </c>
      <c r="AN1600" s="3">
        <v>77845</v>
      </c>
      <c r="AO1600" t="s">
        <v>101</v>
      </c>
      <c r="AQ1600" t="str">
        <f>"+19793296682"</f>
        <v>+19793296682</v>
      </c>
      <c r="AS1600" t="s">
        <v>120</v>
      </c>
      <c r="AT1600" t="s">
        <v>102</v>
      </c>
      <c r="AU1600" t="str">
        <f>""</f>
        <v/>
      </c>
      <c r="AV1600" t="str">
        <f>""</f>
        <v/>
      </c>
      <c r="AW1600" t="str">
        <f>""</f>
        <v/>
      </c>
      <c r="AX1600" t="str">
        <f>""</f>
        <v/>
      </c>
      <c r="AY1600" t="str">
        <f>""</f>
        <v/>
      </c>
      <c r="AZ1600" t="str">
        <f>""</f>
        <v/>
      </c>
      <c r="BA1600" t="str">
        <f>""</f>
        <v/>
      </c>
      <c r="BC1600" t="str">
        <f>""</f>
        <v/>
      </c>
      <c r="BD1600" t="str">
        <f>""</f>
        <v/>
      </c>
      <c r="BE1600" t="str">
        <f>""</f>
        <v/>
      </c>
      <c r="BF1600" t="str">
        <f>""</f>
        <v/>
      </c>
      <c r="BG1600" t="str">
        <f>""</f>
        <v/>
      </c>
      <c r="BH1600" t="str">
        <f>""</f>
        <v/>
      </c>
      <c r="BI1600" t="str">
        <f>""</f>
        <v/>
      </c>
      <c r="BJ1600" t="str">
        <f>""</f>
        <v/>
      </c>
      <c r="BK1600">
        <v>1</v>
      </c>
      <c r="BL1600" t="s">
        <v>107</v>
      </c>
      <c r="BM1600" t="str">
        <f>"Apple Computer Inc."</f>
        <v>Apple Computer Inc.</v>
      </c>
      <c r="BN1600" t="s">
        <v>9828</v>
      </c>
      <c r="BP1600" t="s">
        <v>229</v>
      </c>
      <c r="BQ1600" t="s">
        <v>230</v>
      </c>
      <c r="BR1600" t="s">
        <v>141</v>
      </c>
      <c r="BS1600" s="5">
        <v>94085</v>
      </c>
      <c r="BT1600" s="2">
        <v>101587</v>
      </c>
      <c r="BV1600" t="s">
        <v>105</v>
      </c>
      <c r="BW1600" s="2">
        <v>101587</v>
      </c>
      <c r="BX1600" t="s">
        <v>105</v>
      </c>
      <c r="BZ1600" t="s">
        <v>167</v>
      </c>
      <c r="CA1600" t="str">
        <f t="shared" si="123"/>
        <v>7/1/2020 - 6/30/2021</v>
      </c>
      <c r="CF1600">
        <v>1</v>
      </c>
      <c r="CG1600" t="s">
        <v>98</v>
      </c>
      <c r="CH1600" t="s">
        <v>98</v>
      </c>
      <c r="CI1600" t="s">
        <v>206</v>
      </c>
      <c r="CJ1600" t="s">
        <v>98</v>
      </c>
      <c r="CK1600" t="s">
        <v>12324</v>
      </c>
      <c r="CL1600" t="s">
        <v>108</v>
      </c>
      <c r="CM1600" t="s">
        <v>109</v>
      </c>
      <c r="CN1600" t="str">
        <f>""</f>
        <v/>
      </c>
      <c r="CO1600" t="str">
        <f>""</f>
        <v/>
      </c>
      <c r="CP1600" t="str">
        <f>""</f>
        <v/>
      </c>
      <c r="CQ1600" t="str">
        <f>""</f>
        <v/>
      </c>
    </row>
    <row r="1601" spans="1:96" x14ac:dyDescent="0.2">
      <c r="A1601" t="s">
        <v>11418</v>
      </c>
      <c r="B1601" t="s">
        <v>96</v>
      </c>
      <c r="C1601" s="1">
        <v>44099</v>
      </c>
      <c r="D1601" s="1">
        <v>44106</v>
      </c>
      <c r="F1601" t="s">
        <v>97</v>
      </c>
      <c r="G1601" t="str">
        <f>"System Analyst JC65"</f>
        <v>System Analyst JC65</v>
      </c>
      <c r="H1601" t="s">
        <v>12181</v>
      </c>
      <c r="I1601" t="s">
        <v>110</v>
      </c>
      <c r="J1601" t="s">
        <v>98</v>
      </c>
      <c r="K1601" s="1">
        <v>44107</v>
      </c>
      <c r="L1601" s="1">
        <v>45201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 t="s">
        <v>111</v>
      </c>
      <c r="U1601" t="str">
        <f>"CTSUS"</f>
        <v>CTSUS</v>
      </c>
      <c r="V1601" t="s">
        <v>112</v>
      </c>
      <c r="W1601" t="str">
        <f>""</f>
        <v/>
      </c>
      <c r="X1601" t="s">
        <v>113</v>
      </c>
      <c r="Y1601" t="s">
        <v>114</v>
      </c>
      <c r="Z1601" s="3">
        <v>77845</v>
      </c>
      <c r="AA1601" t="s">
        <v>101</v>
      </c>
      <c r="AB1601" t="s">
        <v>114</v>
      </c>
      <c r="AC1601" s="4" t="str">
        <f>"+19793296682"</f>
        <v>+19793296682</v>
      </c>
      <c r="AE1601" t="str">
        <f>"541512"</f>
        <v>541512</v>
      </c>
      <c r="AF1601" t="s">
        <v>115</v>
      </c>
      <c r="AG1601" t="s">
        <v>116</v>
      </c>
      <c r="AH1601" t="s">
        <v>108</v>
      </c>
      <c r="AI1601" t="s">
        <v>117</v>
      </c>
      <c r="AJ1601" t="s">
        <v>118</v>
      </c>
      <c r="AK1601" t="str">
        <f>""</f>
        <v/>
      </c>
      <c r="AL1601" t="s">
        <v>119</v>
      </c>
      <c r="AM1601" t="s">
        <v>114</v>
      </c>
      <c r="AN1601" s="3">
        <v>77845</v>
      </c>
      <c r="AO1601" t="s">
        <v>101</v>
      </c>
      <c r="AQ1601" t="str">
        <f>"+19793296682"</f>
        <v>+19793296682</v>
      </c>
      <c r="AS1601" t="s">
        <v>120</v>
      </c>
      <c r="AT1601" t="s">
        <v>102</v>
      </c>
      <c r="AU1601" t="str">
        <f>""</f>
        <v/>
      </c>
      <c r="AV1601" t="str">
        <f>""</f>
        <v/>
      </c>
      <c r="AW1601" t="str">
        <f>""</f>
        <v/>
      </c>
      <c r="AX1601" t="str">
        <f>""</f>
        <v/>
      </c>
      <c r="AY1601" t="str">
        <f>""</f>
        <v/>
      </c>
      <c r="AZ1601" t="str">
        <f>""</f>
        <v/>
      </c>
      <c r="BA1601" t="str">
        <f>""</f>
        <v/>
      </c>
      <c r="BC1601" t="str">
        <f>""</f>
        <v/>
      </c>
      <c r="BD1601" t="str">
        <f>""</f>
        <v/>
      </c>
      <c r="BE1601" t="str">
        <f>""</f>
        <v/>
      </c>
      <c r="BF1601" t="str">
        <f>""</f>
        <v/>
      </c>
      <c r="BG1601" t="str">
        <f>""</f>
        <v/>
      </c>
      <c r="BH1601" t="str">
        <f>""</f>
        <v/>
      </c>
      <c r="BI1601" t="str">
        <f>""</f>
        <v/>
      </c>
      <c r="BJ1601" t="str">
        <f>""</f>
        <v/>
      </c>
      <c r="BK1601">
        <v>1</v>
      </c>
      <c r="BL1601" t="s">
        <v>102</v>
      </c>
      <c r="BM1601" t="str">
        <f>""</f>
        <v/>
      </c>
      <c r="BN1601" t="s">
        <v>11419</v>
      </c>
      <c r="BP1601" t="s">
        <v>308</v>
      </c>
      <c r="BQ1601" t="s">
        <v>1777</v>
      </c>
      <c r="BR1601" t="s">
        <v>1776</v>
      </c>
      <c r="BS1601" s="5">
        <v>19702</v>
      </c>
      <c r="BT1601" s="2">
        <v>88421</v>
      </c>
      <c r="BV1601" t="s">
        <v>105</v>
      </c>
      <c r="BW1601" s="2">
        <v>88421</v>
      </c>
      <c r="BX1601" t="s">
        <v>105</v>
      </c>
      <c r="BZ1601" t="s">
        <v>167</v>
      </c>
      <c r="CA1601" t="str">
        <f t="shared" si="123"/>
        <v>7/1/2020 - 6/30/2021</v>
      </c>
      <c r="CF1601">
        <v>1</v>
      </c>
      <c r="CG1601" t="s">
        <v>98</v>
      </c>
      <c r="CH1601" t="s">
        <v>98</v>
      </c>
      <c r="CI1601" t="s">
        <v>206</v>
      </c>
      <c r="CJ1601" t="s">
        <v>98</v>
      </c>
      <c r="CK1601" t="s">
        <v>12324</v>
      </c>
      <c r="CL1601" t="s">
        <v>108</v>
      </c>
      <c r="CM1601" t="s">
        <v>109</v>
      </c>
      <c r="CN1601" t="str">
        <f>""</f>
        <v/>
      </c>
      <c r="CO1601" t="str">
        <f>""</f>
        <v/>
      </c>
      <c r="CP1601" t="str">
        <f>""</f>
        <v/>
      </c>
      <c r="CQ1601" t="str">
        <f>""</f>
        <v/>
      </c>
    </row>
    <row r="1602" spans="1:96" x14ac:dyDescent="0.2">
      <c r="A1602" t="s">
        <v>11472</v>
      </c>
      <c r="B1602" t="s">
        <v>96</v>
      </c>
      <c r="C1602" s="1">
        <v>44099</v>
      </c>
      <c r="D1602" s="1">
        <v>44106</v>
      </c>
      <c r="F1602" t="s">
        <v>97</v>
      </c>
      <c r="G1602" t="str">
        <f>"SOFTWARE TEST ENGINEER"</f>
        <v>SOFTWARE TEST ENGINEER</v>
      </c>
      <c r="H1602" t="s">
        <v>12168</v>
      </c>
      <c r="I1602" t="s">
        <v>319</v>
      </c>
      <c r="J1602" t="s">
        <v>98</v>
      </c>
      <c r="K1602" s="1">
        <v>44197</v>
      </c>
      <c r="L1602" s="1">
        <v>45291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 t="s">
        <v>3910</v>
      </c>
      <c r="U1602" t="str">
        <f>""</f>
        <v/>
      </c>
      <c r="V1602" t="s">
        <v>3911</v>
      </c>
      <c r="W1602" t="str">
        <f>"SUITE 207A"</f>
        <v>SUITE 207A</v>
      </c>
      <c r="X1602" t="s">
        <v>904</v>
      </c>
      <c r="Y1602" t="s">
        <v>100</v>
      </c>
      <c r="Z1602" s="3">
        <v>8816</v>
      </c>
      <c r="AA1602" t="s">
        <v>101</v>
      </c>
      <c r="AC1602" s="4" t="str">
        <f>"+17328317770"</f>
        <v>+17328317770</v>
      </c>
      <c r="AE1602" t="str">
        <f>"541511"</f>
        <v>541511</v>
      </c>
      <c r="AF1602" t="s">
        <v>1180</v>
      </c>
      <c r="AG1602" t="s">
        <v>3912</v>
      </c>
      <c r="AI1602" t="s">
        <v>978</v>
      </c>
      <c r="AJ1602" t="s">
        <v>3911</v>
      </c>
      <c r="AK1602" t="str">
        <f>"SUITE 207A"</f>
        <v>SUITE 207A</v>
      </c>
      <c r="AL1602" t="s">
        <v>904</v>
      </c>
      <c r="AM1602" t="s">
        <v>100</v>
      </c>
      <c r="AN1602" s="3">
        <v>8816</v>
      </c>
      <c r="AO1602" t="s">
        <v>101</v>
      </c>
      <c r="AQ1602" t="str">
        <f>"+17328317770"</f>
        <v>+17328317770</v>
      </c>
      <c r="AS1602" t="s">
        <v>3913</v>
      </c>
      <c r="AT1602" t="s">
        <v>107</v>
      </c>
      <c r="AU1602" t="str">
        <f>"ALLEN"</f>
        <v>ALLEN</v>
      </c>
      <c r="AV1602" t="str">
        <f>"THOMAS"</f>
        <v>THOMAS</v>
      </c>
      <c r="AW1602" t="str">
        <f>"V."</f>
        <v>V.</v>
      </c>
      <c r="AX1602" t="str">
        <f>"50 CRAGWOOD ROAD"</f>
        <v>50 CRAGWOOD ROAD</v>
      </c>
      <c r="AY1602" t="str">
        <f>"SUITE 100"</f>
        <v>SUITE 100</v>
      </c>
      <c r="AZ1602" t="str">
        <f>"SOUTH PLAINFIELD"</f>
        <v>SOUTH PLAINFIELD</v>
      </c>
      <c r="BA1602" t="str">
        <f>"NJ"</f>
        <v>NJ</v>
      </c>
      <c r="BB1602" s="3">
        <v>7080</v>
      </c>
      <c r="BC1602" t="str">
        <f>"UNITED STATES OF AMERICA"</f>
        <v>UNITED STATES OF AMERICA</v>
      </c>
      <c r="BD1602" t="str">
        <f>""</f>
        <v/>
      </c>
      <c r="BE1602" t="str">
        <f>"+17328327978"</f>
        <v>+17328327978</v>
      </c>
      <c r="BF1602" t="str">
        <f>""</f>
        <v/>
      </c>
      <c r="BG1602" t="str">
        <f>"ICERT@THOMASVALLEN.COM"</f>
        <v>ICERT@THOMASVALLEN.COM</v>
      </c>
      <c r="BH1602" t="str">
        <f>"LAW OFFICE OF THOMAS V. ALLEN PLLC"</f>
        <v>LAW OFFICE OF THOMAS V. ALLEN PLLC</v>
      </c>
      <c r="BI1602" t="str">
        <f>"NY"</f>
        <v>NY</v>
      </c>
      <c r="BJ1602" t="str">
        <f>"APPELLATE COURT"</f>
        <v>APPELLATE COURT</v>
      </c>
      <c r="BK1602">
        <v>1</v>
      </c>
      <c r="BL1602" t="s">
        <v>107</v>
      </c>
      <c r="BM1602" t="str">
        <f>"CHARTER COMMUNICATIONS"</f>
        <v>CHARTER COMMUNICATIONS</v>
      </c>
      <c r="BN1602" t="s">
        <v>5860</v>
      </c>
      <c r="BP1602" t="s">
        <v>5392</v>
      </c>
      <c r="BQ1602" t="s">
        <v>1964</v>
      </c>
      <c r="BR1602" t="s">
        <v>374</v>
      </c>
      <c r="BS1602" s="5">
        <v>63043</v>
      </c>
      <c r="BT1602" s="2">
        <v>71000</v>
      </c>
      <c r="BV1602" t="s">
        <v>105</v>
      </c>
      <c r="BW1602" s="2">
        <v>66602</v>
      </c>
      <c r="BX1602" t="s">
        <v>105</v>
      </c>
      <c r="BZ1602" t="s">
        <v>167</v>
      </c>
      <c r="CA1602" t="str">
        <f t="shared" si="123"/>
        <v>7/1/2020 - 6/30/2021</v>
      </c>
      <c r="CF1602">
        <v>2</v>
      </c>
      <c r="CG1602" t="s">
        <v>98</v>
      </c>
      <c r="CH1602" t="s">
        <v>98</v>
      </c>
      <c r="CI1602" t="s">
        <v>206</v>
      </c>
      <c r="CJ1602" t="s">
        <v>98</v>
      </c>
      <c r="CK1602" t="s">
        <v>12324</v>
      </c>
      <c r="CL1602" t="s">
        <v>108</v>
      </c>
      <c r="CM1602" t="s">
        <v>109</v>
      </c>
      <c r="CN1602" t="str">
        <f>""</f>
        <v/>
      </c>
      <c r="CO1602" t="str">
        <f>""</f>
        <v/>
      </c>
      <c r="CP1602" t="str">
        <f>""</f>
        <v/>
      </c>
      <c r="CQ1602" t="str">
        <f>""</f>
        <v/>
      </c>
    </row>
    <row r="1603" spans="1:96" x14ac:dyDescent="0.2">
      <c r="A1603" t="s">
        <v>11515</v>
      </c>
      <c r="B1603" t="s">
        <v>96</v>
      </c>
      <c r="C1603" s="1">
        <v>44099</v>
      </c>
      <c r="D1603" s="1">
        <v>44106</v>
      </c>
      <c r="F1603" t="s">
        <v>97</v>
      </c>
      <c r="G1603" t="str">
        <f>"SENIOR ENGINEER"</f>
        <v>SENIOR ENGINEER</v>
      </c>
      <c r="H1603" t="s">
        <v>12258</v>
      </c>
      <c r="I1603" t="s">
        <v>863</v>
      </c>
      <c r="J1603" t="s">
        <v>98</v>
      </c>
      <c r="K1603" s="1">
        <v>44105</v>
      </c>
      <c r="L1603" s="1">
        <v>45199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9504</v>
      </c>
      <c r="U1603" t="str">
        <f>""</f>
        <v/>
      </c>
      <c r="V1603" t="s">
        <v>7381</v>
      </c>
      <c r="W1603" t="str">
        <f>"SUITE#575"</f>
        <v>SUITE#575</v>
      </c>
      <c r="X1603" t="s">
        <v>651</v>
      </c>
      <c r="Y1603" t="s">
        <v>141</v>
      </c>
      <c r="Z1603" s="3">
        <v>95110</v>
      </c>
      <c r="AA1603" t="s">
        <v>101</v>
      </c>
      <c r="AC1603" s="4" t="str">
        <f>"+14083962732"</f>
        <v>+14083962732</v>
      </c>
      <c r="AE1603" t="str">
        <f>"541330"</f>
        <v>541330</v>
      </c>
      <c r="AF1603" t="s">
        <v>9505</v>
      </c>
      <c r="AG1603" t="s">
        <v>9506</v>
      </c>
      <c r="AI1603" t="s">
        <v>9507</v>
      </c>
      <c r="AJ1603" t="s">
        <v>7381</v>
      </c>
      <c r="AK1603" t="str">
        <f>"SUITE#575"</f>
        <v>SUITE#575</v>
      </c>
      <c r="AL1603" t="s">
        <v>5711</v>
      </c>
      <c r="AM1603" t="s">
        <v>141</v>
      </c>
      <c r="AN1603" s="3">
        <v>95110</v>
      </c>
      <c r="AO1603" t="s">
        <v>101</v>
      </c>
      <c r="AQ1603" t="str">
        <f>"+14083962732"</f>
        <v>+14083962732</v>
      </c>
      <c r="AS1603" t="s">
        <v>9508</v>
      </c>
      <c r="AT1603" t="s">
        <v>107</v>
      </c>
      <c r="AU1603" t="str">
        <f>"MADDIPOTI"</f>
        <v>MADDIPOTI</v>
      </c>
      <c r="AV1603" t="str">
        <f>"KAMALA"</f>
        <v>KAMALA</v>
      </c>
      <c r="AW1603" t="str">
        <f>""</f>
        <v/>
      </c>
      <c r="AX1603" t="str">
        <f>"2670 S. WHITE RD"</f>
        <v>2670 S. WHITE RD</v>
      </c>
      <c r="AY1603" t="str">
        <f>"STE. 105"</f>
        <v>STE. 105</v>
      </c>
      <c r="AZ1603" t="str">
        <f>"SAN JOSE "</f>
        <v xml:space="preserve">SAN JOSE </v>
      </c>
      <c r="BA1603" t="str">
        <f>"CA"</f>
        <v>CA</v>
      </c>
      <c r="BB1603" s="3">
        <v>95148</v>
      </c>
      <c r="BC1603" t="str">
        <f>"UNITED STATES OF AMERICA"</f>
        <v>UNITED STATES OF AMERICA</v>
      </c>
      <c r="BD1603" t="str">
        <f>""</f>
        <v/>
      </c>
      <c r="BE1603" t="str">
        <f>"+14087525436"</f>
        <v>+14087525436</v>
      </c>
      <c r="BF1603" t="str">
        <f>""</f>
        <v/>
      </c>
      <c r="BG1603" t="str">
        <f>"KAMALA@KAMALALAW.COM"</f>
        <v>KAMALA@KAMALALAW.COM</v>
      </c>
      <c r="BH1603" t="str">
        <f>"KAMALA LAW CORPORATION "</f>
        <v xml:space="preserve">KAMALA LAW CORPORATION </v>
      </c>
      <c r="BI1603" t="str">
        <f>"CA"</f>
        <v>CA</v>
      </c>
      <c r="BJ1603" t="str">
        <f>"SUPREME COURT OF CALIFORNIA"</f>
        <v>SUPREME COURT OF CALIFORNIA</v>
      </c>
      <c r="BK1603">
        <v>1</v>
      </c>
      <c r="BL1603" t="s">
        <v>107</v>
      </c>
      <c r="BM1603" t="str">
        <f>"INTEL CORPORATION "</f>
        <v xml:space="preserve">INTEL CORPORATION </v>
      </c>
      <c r="BN1603" t="s">
        <v>10541</v>
      </c>
      <c r="BP1603" t="s">
        <v>1214</v>
      </c>
      <c r="BQ1603" t="s">
        <v>1214</v>
      </c>
      <c r="BR1603" t="s">
        <v>171</v>
      </c>
      <c r="BS1603" s="5">
        <v>1749</v>
      </c>
      <c r="BT1603" s="2">
        <v>118373</v>
      </c>
      <c r="BV1603" t="s">
        <v>105</v>
      </c>
      <c r="BW1603" s="2">
        <v>118373</v>
      </c>
      <c r="BX1603" t="s">
        <v>105</v>
      </c>
      <c r="BZ1603" t="s">
        <v>167</v>
      </c>
      <c r="CA1603" t="str">
        <f t="shared" si="123"/>
        <v>7/1/2020 - 6/30/2021</v>
      </c>
      <c r="CF1603">
        <v>1</v>
      </c>
      <c r="CG1603" t="s">
        <v>98</v>
      </c>
      <c r="CH1603" t="s">
        <v>98</v>
      </c>
      <c r="CI1603" t="s">
        <v>206</v>
      </c>
      <c r="CJ1603" t="s">
        <v>98</v>
      </c>
      <c r="CK1603" t="s">
        <v>12324</v>
      </c>
      <c r="CL1603" t="s">
        <v>108</v>
      </c>
      <c r="CM1603" t="s">
        <v>109</v>
      </c>
      <c r="CN1603" t="str">
        <f>""</f>
        <v/>
      </c>
      <c r="CO1603" t="str">
        <f>""</f>
        <v/>
      </c>
      <c r="CP1603" t="str">
        <f>""</f>
        <v/>
      </c>
      <c r="CQ1603" t="str">
        <f>""</f>
        <v/>
      </c>
    </row>
    <row r="1604" spans="1:96" x14ac:dyDescent="0.2">
      <c r="A1604" t="s">
        <v>11528</v>
      </c>
      <c r="B1604" t="s">
        <v>96</v>
      </c>
      <c r="C1604" s="1">
        <v>44099</v>
      </c>
      <c r="D1604" s="1">
        <v>44106</v>
      </c>
      <c r="F1604" t="s">
        <v>97</v>
      </c>
      <c r="G1604" t="str">
        <f>"Senior Systems Analyst JC60"</f>
        <v>Senior Systems Analyst JC60</v>
      </c>
      <c r="H1604" t="s">
        <v>12181</v>
      </c>
      <c r="I1604" t="s">
        <v>110</v>
      </c>
      <c r="J1604" t="s">
        <v>98</v>
      </c>
      <c r="K1604" s="1">
        <v>44107</v>
      </c>
      <c r="L1604" s="1">
        <v>45201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 t="s">
        <v>111</v>
      </c>
      <c r="U1604" t="str">
        <f>"CTSUS"</f>
        <v>CTSUS</v>
      </c>
      <c r="V1604" t="s">
        <v>112</v>
      </c>
      <c r="W1604" t="str">
        <f>""</f>
        <v/>
      </c>
      <c r="X1604" t="s">
        <v>113</v>
      </c>
      <c r="Y1604" t="s">
        <v>114</v>
      </c>
      <c r="Z1604" s="3">
        <v>77845</v>
      </c>
      <c r="AA1604" t="s">
        <v>101</v>
      </c>
      <c r="AB1604" t="s">
        <v>114</v>
      </c>
      <c r="AC1604" s="4" t="str">
        <f>"+19793296682"</f>
        <v>+19793296682</v>
      </c>
      <c r="AE1604" t="str">
        <f>"541512"</f>
        <v>541512</v>
      </c>
      <c r="AF1604" t="s">
        <v>115</v>
      </c>
      <c r="AG1604" t="s">
        <v>116</v>
      </c>
      <c r="AH1604" t="s">
        <v>108</v>
      </c>
      <c r="AI1604" t="s">
        <v>117</v>
      </c>
      <c r="AJ1604" t="s">
        <v>118</v>
      </c>
      <c r="AK1604" t="str">
        <f>""</f>
        <v/>
      </c>
      <c r="AL1604" t="s">
        <v>119</v>
      </c>
      <c r="AM1604" t="s">
        <v>114</v>
      </c>
      <c r="AN1604" s="3">
        <v>77845</v>
      </c>
      <c r="AO1604" t="s">
        <v>101</v>
      </c>
      <c r="AQ1604" t="str">
        <f>"+19793296682"</f>
        <v>+19793296682</v>
      </c>
      <c r="AS1604" t="s">
        <v>120</v>
      </c>
      <c r="AT1604" t="s">
        <v>102</v>
      </c>
      <c r="AU1604" t="str">
        <f>""</f>
        <v/>
      </c>
      <c r="AV1604" t="str">
        <f>""</f>
        <v/>
      </c>
      <c r="AW1604" t="str">
        <f>""</f>
        <v/>
      </c>
      <c r="AX1604" t="str">
        <f>""</f>
        <v/>
      </c>
      <c r="AY1604" t="str">
        <f>""</f>
        <v/>
      </c>
      <c r="AZ1604" t="str">
        <f>""</f>
        <v/>
      </c>
      <c r="BA1604" t="str">
        <f>""</f>
        <v/>
      </c>
      <c r="BC1604" t="str">
        <f>""</f>
        <v/>
      </c>
      <c r="BD1604" t="str">
        <f>""</f>
        <v/>
      </c>
      <c r="BE1604" t="str">
        <f>""</f>
        <v/>
      </c>
      <c r="BF1604" t="str">
        <f>""</f>
        <v/>
      </c>
      <c r="BG1604" t="str">
        <f>""</f>
        <v/>
      </c>
      <c r="BH1604" t="str">
        <f>""</f>
        <v/>
      </c>
      <c r="BI1604" t="str">
        <f>""</f>
        <v/>
      </c>
      <c r="BJ1604" t="str">
        <f>""</f>
        <v/>
      </c>
      <c r="BK1604">
        <v>1</v>
      </c>
      <c r="BL1604" t="s">
        <v>102</v>
      </c>
      <c r="BM1604" t="str">
        <f>""</f>
        <v/>
      </c>
      <c r="BN1604" t="s">
        <v>11529</v>
      </c>
      <c r="BP1604" t="s">
        <v>247</v>
      </c>
      <c r="BQ1604" t="s">
        <v>230</v>
      </c>
      <c r="BR1604" t="s">
        <v>141</v>
      </c>
      <c r="BS1604" s="5">
        <v>95051</v>
      </c>
      <c r="BT1604" s="2">
        <v>101587</v>
      </c>
      <c r="BV1604" t="s">
        <v>105</v>
      </c>
      <c r="BW1604" s="2">
        <v>101587</v>
      </c>
      <c r="BX1604" t="s">
        <v>105</v>
      </c>
      <c r="BZ1604" t="s">
        <v>167</v>
      </c>
      <c r="CA1604" t="str">
        <f t="shared" si="123"/>
        <v>7/1/2020 - 6/30/2021</v>
      </c>
      <c r="CF1604">
        <v>1</v>
      </c>
      <c r="CG1604" t="s">
        <v>98</v>
      </c>
      <c r="CH1604" t="s">
        <v>98</v>
      </c>
      <c r="CI1604" t="s">
        <v>206</v>
      </c>
      <c r="CJ1604" t="s">
        <v>98</v>
      </c>
      <c r="CK1604" t="s">
        <v>12324</v>
      </c>
      <c r="CL1604" t="s">
        <v>108</v>
      </c>
      <c r="CM1604" t="s">
        <v>109</v>
      </c>
      <c r="CN1604" t="str">
        <f>""</f>
        <v/>
      </c>
      <c r="CO1604" t="str">
        <f>""</f>
        <v/>
      </c>
      <c r="CP1604" t="str">
        <f>""</f>
        <v/>
      </c>
      <c r="CQ1604" t="str">
        <f>""</f>
        <v/>
      </c>
    </row>
    <row r="1605" spans="1:96" x14ac:dyDescent="0.2">
      <c r="A1605" t="s">
        <v>11545</v>
      </c>
      <c r="B1605" t="s">
        <v>96</v>
      </c>
      <c r="C1605" s="1">
        <v>44099</v>
      </c>
      <c r="D1605" s="1">
        <v>44106</v>
      </c>
      <c r="F1605" t="s">
        <v>97</v>
      </c>
      <c r="G1605" t="str">
        <f>"Database Application Developer"</f>
        <v>Database Application Developer</v>
      </c>
      <c r="H1605" t="s">
        <v>12169</v>
      </c>
      <c r="I1605" t="s">
        <v>124</v>
      </c>
      <c r="J1605" t="s">
        <v>98</v>
      </c>
      <c r="K1605" s="1">
        <v>44222</v>
      </c>
      <c r="L1605" s="1">
        <v>45317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 t="s">
        <v>7501</v>
      </c>
      <c r="U1605" t="str">
        <f>""</f>
        <v/>
      </c>
      <c r="V1605" t="s">
        <v>7502</v>
      </c>
      <c r="W1605" t="str">
        <f>"SUITE #1504"</f>
        <v>SUITE #1504</v>
      </c>
      <c r="X1605" t="s">
        <v>1878</v>
      </c>
      <c r="Y1605" t="s">
        <v>114</v>
      </c>
      <c r="Z1605" s="3">
        <v>77494</v>
      </c>
      <c r="AA1605" t="s">
        <v>101</v>
      </c>
      <c r="AB1605" t="s">
        <v>114</v>
      </c>
      <c r="AC1605" s="4" t="str">
        <f>"+17134932131"</f>
        <v>+17134932131</v>
      </c>
      <c r="AE1605" t="str">
        <f>"541511"</f>
        <v>541511</v>
      </c>
      <c r="AF1605" t="s">
        <v>7503</v>
      </c>
      <c r="AG1605" t="s">
        <v>7504</v>
      </c>
      <c r="AH1605" t="s">
        <v>108</v>
      </c>
      <c r="AI1605" t="s">
        <v>228</v>
      </c>
      <c r="AJ1605" t="s">
        <v>7502</v>
      </c>
      <c r="AK1605" t="str">
        <f>"SUITE #1504"</f>
        <v>SUITE #1504</v>
      </c>
      <c r="AL1605" t="s">
        <v>1878</v>
      </c>
      <c r="AM1605" t="s">
        <v>114</v>
      </c>
      <c r="AN1605" s="3">
        <v>77494</v>
      </c>
      <c r="AO1605" t="s">
        <v>101</v>
      </c>
      <c r="AQ1605" t="str">
        <f>"+18327839887"</f>
        <v>+18327839887</v>
      </c>
      <c r="AS1605" t="s">
        <v>7505</v>
      </c>
      <c r="AT1605" t="s">
        <v>107</v>
      </c>
      <c r="AU1605" t="str">
        <f>"BOUDIA"</f>
        <v>BOUDIA</v>
      </c>
      <c r="AV1605" t="str">
        <f>"JOHN"</f>
        <v>JOHN</v>
      </c>
      <c r="AW1605" t="str">
        <f>"J."</f>
        <v>J.</v>
      </c>
      <c r="AX1605" t="str">
        <f>"15875 MIDDLEBELT ROAD"</f>
        <v>15875 MIDDLEBELT ROAD</v>
      </c>
      <c r="AY1605" t="str">
        <f>"SUITE 200"</f>
        <v>SUITE 200</v>
      </c>
      <c r="AZ1605" t="str">
        <f>"LIVONIA"</f>
        <v>LIVONIA</v>
      </c>
      <c r="BA1605" t="str">
        <f>"MI"</f>
        <v>MI</v>
      </c>
      <c r="BB1605" s="3">
        <v>48154</v>
      </c>
      <c r="BC1605" t="str">
        <f t="shared" ref="BC1605:BC1613" si="126">"UNITED STATES OF AMERICA"</f>
        <v>UNITED STATES OF AMERICA</v>
      </c>
      <c r="BD1605" t="str">
        <f>""</f>
        <v/>
      </c>
      <c r="BE1605" t="str">
        <f>"+12483548440"</f>
        <v>+12483548440</v>
      </c>
      <c r="BF1605" t="str">
        <f>"206"</f>
        <v>206</v>
      </c>
      <c r="BG1605" t="str">
        <f>"LCA@BOUDIA.COM"</f>
        <v>LCA@BOUDIA.COM</v>
      </c>
      <c r="BH1605" t="str">
        <f>"JOHN J. BOUDIA &amp; ASSOCIATES PLC"</f>
        <v>JOHN J. BOUDIA &amp; ASSOCIATES PLC</v>
      </c>
      <c r="BI1605" t="str">
        <f>"MI"</f>
        <v>MI</v>
      </c>
      <c r="BJ1605" t="str">
        <f>"MICHIGAN SUPREME COURT"</f>
        <v>MICHIGAN SUPREME COURT</v>
      </c>
      <c r="BK1605">
        <v>1</v>
      </c>
      <c r="BL1605" t="s">
        <v>107</v>
      </c>
      <c r="BM1605" t="str">
        <f>"MDTHINK(DHS Maryland)"</f>
        <v>MDTHINK(DHS Maryland)</v>
      </c>
      <c r="BN1605" t="s">
        <v>4186</v>
      </c>
      <c r="BP1605" t="s">
        <v>4187</v>
      </c>
      <c r="BQ1605" t="s">
        <v>2093</v>
      </c>
      <c r="BR1605" t="s">
        <v>195</v>
      </c>
      <c r="BS1605" s="5">
        <v>21090</v>
      </c>
      <c r="BT1605" s="2">
        <v>94037</v>
      </c>
      <c r="BV1605" t="s">
        <v>105</v>
      </c>
      <c r="BW1605" s="2">
        <v>94037</v>
      </c>
      <c r="BX1605" t="s">
        <v>105</v>
      </c>
      <c r="BZ1605" t="s">
        <v>167</v>
      </c>
      <c r="CA1605" t="str">
        <f t="shared" si="123"/>
        <v>7/1/2020 - 6/30/2021</v>
      </c>
      <c r="CF1605">
        <v>1</v>
      </c>
      <c r="CG1605" t="s">
        <v>98</v>
      </c>
      <c r="CH1605" t="s">
        <v>98</v>
      </c>
      <c r="CI1605" t="s">
        <v>206</v>
      </c>
      <c r="CJ1605" t="s">
        <v>98</v>
      </c>
      <c r="CK1605" t="s">
        <v>12324</v>
      </c>
      <c r="CL1605" t="s">
        <v>108</v>
      </c>
      <c r="CM1605" t="s">
        <v>109</v>
      </c>
      <c r="CN1605" t="str">
        <f>""</f>
        <v/>
      </c>
      <c r="CO1605" t="str">
        <f>""</f>
        <v/>
      </c>
      <c r="CP1605" t="str">
        <f>""</f>
        <v/>
      </c>
      <c r="CQ1605" t="str">
        <f>""</f>
        <v/>
      </c>
    </row>
    <row r="1606" spans="1:96" x14ac:dyDescent="0.2">
      <c r="A1606" t="s">
        <v>11587</v>
      </c>
      <c r="B1606" t="s">
        <v>96</v>
      </c>
      <c r="C1606" s="1">
        <v>44099</v>
      </c>
      <c r="D1606" s="1">
        <v>44106</v>
      </c>
      <c r="F1606" t="s">
        <v>97</v>
      </c>
      <c r="G1606" t="str">
        <f>"Control Systems Engineer (Autonomous Driving)"</f>
        <v>Control Systems Engineer (Autonomous Driving)</v>
      </c>
      <c r="H1606" t="s">
        <v>12186</v>
      </c>
      <c r="I1606" t="s">
        <v>232</v>
      </c>
      <c r="J1606" t="s">
        <v>98</v>
      </c>
      <c r="K1606" s="1">
        <v>44281</v>
      </c>
      <c r="L1606" s="1">
        <v>45376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 t="s">
        <v>11008</v>
      </c>
      <c r="U1606" t="str">
        <f>"RIDECELL, INC."</f>
        <v>RIDECELL, INC.</v>
      </c>
      <c r="V1606" t="s">
        <v>7357</v>
      </c>
      <c r="W1606" t="str">
        <f>""</f>
        <v/>
      </c>
      <c r="X1606" t="s">
        <v>147</v>
      </c>
      <c r="Y1606" t="s">
        <v>141</v>
      </c>
      <c r="Z1606" s="3">
        <v>94107</v>
      </c>
      <c r="AA1606" t="s">
        <v>101</v>
      </c>
      <c r="AC1606" s="4" t="str">
        <f>"+14157429970"</f>
        <v>+14157429970</v>
      </c>
      <c r="AE1606" t="str">
        <f>"511210"</f>
        <v>511210</v>
      </c>
      <c r="AF1606" t="s">
        <v>7356</v>
      </c>
      <c r="AG1606" t="s">
        <v>1208</v>
      </c>
      <c r="AI1606" t="s">
        <v>3867</v>
      </c>
      <c r="AJ1606" t="s">
        <v>7357</v>
      </c>
      <c r="AK1606" t="str">
        <f>""</f>
        <v/>
      </c>
      <c r="AL1606" t="s">
        <v>147</v>
      </c>
      <c r="AM1606" t="s">
        <v>141</v>
      </c>
      <c r="AN1606" s="3">
        <v>94107</v>
      </c>
      <c r="AO1606" t="s">
        <v>101</v>
      </c>
      <c r="AQ1606" t="str">
        <f>"+14157429970"</f>
        <v>+14157429970</v>
      </c>
      <c r="AS1606" t="s">
        <v>7358</v>
      </c>
      <c r="AT1606" t="s">
        <v>107</v>
      </c>
      <c r="AU1606" t="str">
        <f>"Nagahori"</f>
        <v>Nagahori</v>
      </c>
      <c r="AV1606" t="str">
        <f>"Randi"</f>
        <v>Randi</v>
      </c>
      <c r="AW1606" t="str">
        <f>""</f>
        <v/>
      </c>
      <c r="AX1606" t="str">
        <f>"235 Montgomery Street"</f>
        <v>235 Montgomery Street</v>
      </c>
      <c r="AY1606" t="str">
        <f>""</f>
        <v/>
      </c>
      <c r="AZ1606" t="str">
        <f>"San Francisco"</f>
        <v>San Francisco</v>
      </c>
      <c r="BA1606" t="str">
        <f>"CA"</f>
        <v>CA</v>
      </c>
      <c r="BB1606" s="3">
        <v>94104</v>
      </c>
      <c r="BC1606" t="str">
        <f t="shared" si="126"/>
        <v>UNITED STATES OF AMERICA</v>
      </c>
      <c r="BD1606" t="str">
        <f>""</f>
        <v/>
      </c>
      <c r="BE1606" t="str">
        <f>"+14158053900"</f>
        <v>+14158053900</v>
      </c>
      <c r="BF1606" t="str">
        <f>""</f>
        <v/>
      </c>
      <c r="BG1606" t="str">
        <f>"LCA@golawcorp.com"</f>
        <v>LCA@golawcorp.com</v>
      </c>
      <c r="BH1606" t="str">
        <f>"Goeschl Law Corporation"</f>
        <v>Goeschl Law Corporation</v>
      </c>
      <c r="BI1606" t="str">
        <f>"CA"</f>
        <v>CA</v>
      </c>
      <c r="BJ1606" t="str">
        <f>"SUPREME COURT"</f>
        <v>SUPREME COURT</v>
      </c>
      <c r="BK1606">
        <v>1</v>
      </c>
      <c r="BL1606" t="s">
        <v>102</v>
      </c>
      <c r="BM1606" t="str">
        <f>""</f>
        <v/>
      </c>
      <c r="BN1606" t="s">
        <v>7355</v>
      </c>
      <c r="BP1606" t="s">
        <v>147</v>
      </c>
      <c r="BQ1606" t="s">
        <v>147</v>
      </c>
      <c r="BR1606" t="s">
        <v>141</v>
      </c>
      <c r="BS1606" s="5">
        <v>94107</v>
      </c>
      <c r="BT1606" s="2">
        <v>150000</v>
      </c>
      <c r="BV1606" t="s">
        <v>105</v>
      </c>
      <c r="BW1606" s="2">
        <v>128586</v>
      </c>
      <c r="BX1606" t="s">
        <v>105</v>
      </c>
      <c r="BZ1606" t="s">
        <v>159</v>
      </c>
      <c r="CA1606" t="str">
        <f t="shared" si="123"/>
        <v>7/1/2020 - 6/30/2021</v>
      </c>
      <c r="CF1606">
        <v>1</v>
      </c>
      <c r="CG1606" t="s">
        <v>98</v>
      </c>
      <c r="CH1606" t="s">
        <v>98</v>
      </c>
      <c r="CI1606" t="s">
        <v>206</v>
      </c>
      <c r="CJ1606" t="s">
        <v>98</v>
      </c>
      <c r="CK1606" t="s">
        <v>12324</v>
      </c>
      <c r="CL1606" t="s">
        <v>108</v>
      </c>
      <c r="CM1606" t="s">
        <v>109</v>
      </c>
      <c r="CN1606" t="str">
        <f>""</f>
        <v/>
      </c>
      <c r="CO1606" t="str">
        <f>""</f>
        <v/>
      </c>
      <c r="CP1606" t="str">
        <f>""</f>
        <v/>
      </c>
      <c r="CQ1606" t="str">
        <f>""</f>
        <v/>
      </c>
    </row>
    <row r="1607" spans="1:96" x14ac:dyDescent="0.2">
      <c r="A1607" t="s">
        <v>11706</v>
      </c>
      <c r="B1607" t="s">
        <v>96</v>
      </c>
      <c r="C1607" s="1">
        <v>44099</v>
      </c>
      <c r="D1607" s="1">
        <v>44106</v>
      </c>
      <c r="F1607" t="s">
        <v>97</v>
      </c>
      <c r="G1607" t="str">
        <f>"Development Operations Engineer"</f>
        <v>Development Operations Engineer</v>
      </c>
      <c r="H1607" t="s">
        <v>12169</v>
      </c>
      <c r="I1607" t="s">
        <v>124</v>
      </c>
      <c r="J1607" t="s">
        <v>98</v>
      </c>
      <c r="K1607" s="1">
        <v>44105</v>
      </c>
      <c r="L1607" s="1">
        <v>45200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 t="s">
        <v>8534</v>
      </c>
      <c r="U1607" t="str">
        <f>""</f>
        <v/>
      </c>
      <c r="V1607" t="s">
        <v>8535</v>
      </c>
      <c r="W1607" t="str">
        <f>"Suite 800"</f>
        <v>Suite 800</v>
      </c>
      <c r="X1607" t="s">
        <v>140</v>
      </c>
      <c r="Y1607" t="s">
        <v>141</v>
      </c>
      <c r="Z1607" s="3">
        <v>94102</v>
      </c>
      <c r="AA1607" t="s">
        <v>101</v>
      </c>
      <c r="AC1607" s="4" t="str">
        <f>"+16507662087"</f>
        <v>+16507662087</v>
      </c>
      <c r="AE1607" t="str">
        <f>"541511"</f>
        <v>541511</v>
      </c>
      <c r="AF1607" t="s">
        <v>8536</v>
      </c>
      <c r="AG1607" t="s">
        <v>1746</v>
      </c>
      <c r="AI1607" t="s">
        <v>763</v>
      </c>
      <c r="AJ1607" t="s">
        <v>8535</v>
      </c>
      <c r="AK1607" t="str">
        <f>"Suite 800"</f>
        <v>Suite 800</v>
      </c>
      <c r="AL1607" t="s">
        <v>140</v>
      </c>
      <c r="AM1607" t="s">
        <v>141</v>
      </c>
      <c r="AN1607" s="3">
        <v>94102</v>
      </c>
      <c r="AO1607" t="s">
        <v>101</v>
      </c>
      <c r="AQ1607" t="str">
        <f>"+16507662087"</f>
        <v>+16507662087</v>
      </c>
      <c r="AS1607" t="s">
        <v>8537</v>
      </c>
      <c r="AT1607" t="s">
        <v>107</v>
      </c>
      <c r="AU1607" t="str">
        <f>"Green"</f>
        <v>Green</v>
      </c>
      <c r="AV1607" t="str">
        <f>"Erin"</f>
        <v>Erin</v>
      </c>
      <c r="AW1607" t="str">
        <f>"Evans"</f>
        <v>Evans</v>
      </c>
      <c r="AX1607" t="str">
        <f>"5999 Custer Road"</f>
        <v>5999 Custer Road</v>
      </c>
      <c r="AY1607" t="str">
        <f>"Suite 110-510"</f>
        <v>Suite 110-510</v>
      </c>
      <c r="AZ1607" t="str">
        <f>"Frisco"</f>
        <v>Frisco</v>
      </c>
      <c r="BA1607" t="str">
        <f>"TX"</f>
        <v>TX</v>
      </c>
      <c r="BB1607" s="3">
        <v>75035</v>
      </c>
      <c r="BC1607" t="str">
        <f t="shared" si="126"/>
        <v>UNITED STATES OF AMERICA</v>
      </c>
      <c r="BD1607" t="str">
        <f>""</f>
        <v/>
      </c>
      <c r="BE1607" t="str">
        <f>"+14694591771"</f>
        <v>+14694591771</v>
      </c>
      <c r="BF1607" t="str">
        <f>""</f>
        <v/>
      </c>
      <c r="BG1607" t="str">
        <f>"erin@eeglawgroup.com"</f>
        <v>erin@eeglawgroup.com</v>
      </c>
      <c r="BH1607" t="str">
        <f>"EEG Immigration Law Group"</f>
        <v>EEG Immigration Law Group</v>
      </c>
      <c r="BI1607" t="str">
        <f>"TX"</f>
        <v>TX</v>
      </c>
      <c r="BJ1607" t="str">
        <f>"Supreme Court of Texas"</f>
        <v>Supreme Court of Texas</v>
      </c>
      <c r="BK1607">
        <v>1</v>
      </c>
      <c r="BL1607" t="s">
        <v>102</v>
      </c>
      <c r="BM1607" t="str">
        <f>""</f>
        <v/>
      </c>
      <c r="BN1607" t="s">
        <v>11707</v>
      </c>
      <c r="BO1607" t="s">
        <v>11708</v>
      </c>
      <c r="BP1607" t="s">
        <v>911</v>
      </c>
      <c r="BQ1607" t="s">
        <v>912</v>
      </c>
      <c r="BR1607" t="s">
        <v>166</v>
      </c>
      <c r="BS1607" s="5">
        <v>80223</v>
      </c>
      <c r="BT1607" s="2">
        <v>110677</v>
      </c>
      <c r="BU1607" s="2">
        <v>150000</v>
      </c>
      <c r="BV1607" t="s">
        <v>105</v>
      </c>
      <c r="BW1607" s="2">
        <v>110677</v>
      </c>
      <c r="BX1607" t="s">
        <v>105</v>
      </c>
      <c r="BZ1607" t="s">
        <v>123</v>
      </c>
      <c r="CA1607" t="str">
        <f t="shared" si="123"/>
        <v>7/1/2020 - 6/30/2021</v>
      </c>
      <c r="CF1607">
        <v>1</v>
      </c>
      <c r="CG1607" t="s">
        <v>98</v>
      </c>
      <c r="CH1607" t="s">
        <v>98</v>
      </c>
      <c r="CI1607" t="s">
        <v>206</v>
      </c>
      <c r="CJ1607" t="s">
        <v>98</v>
      </c>
      <c r="CK1607" t="s">
        <v>12324</v>
      </c>
      <c r="CL1607" t="s">
        <v>108</v>
      </c>
      <c r="CM1607" t="s">
        <v>109</v>
      </c>
      <c r="CN1607" t="str">
        <f>"N/A"</f>
        <v>N/A</v>
      </c>
      <c r="CO1607" t="str">
        <f>"N/A"</f>
        <v>N/A</v>
      </c>
      <c r="CP1607" t="str">
        <f>"N/A"</f>
        <v>N/A</v>
      </c>
      <c r="CQ1607" t="str">
        <f>"Not applicable"</f>
        <v>Not applicable</v>
      </c>
      <c r="CR1607" t="s">
        <v>108</v>
      </c>
    </row>
    <row r="1608" spans="1:96" x14ac:dyDescent="0.2">
      <c r="A1608" t="s">
        <v>11726</v>
      </c>
      <c r="B1608" t="s">
        <v>96</v>
      </c>
      <c r="C1608" s="1">
        <v>44099</v>
      </c>
      <c r="D1608" s="1">
        <v>44106</v>
      </c>
      <c r="F1608" t="s">
        <v>97</v>
      </c>
      <c r="G1608" t="str">
        <f>"Senior Software Engineer"</f>
        <v>Senior Software Engineer</v>
      </c>
      <c r="H1608" t="s">
        <v>12169</v>
      </c>
      <c r="I1608" t="s">
        <v>124</v>
      </c>
      <c r="J1608" t="s">
        <v>98</v>
      </c>
      <c r="K1608" s="1">
        <v>44197</v>
      </c>
      <c r="L1608" s="1">
        <v>45291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 t="s">
        <v>8646</v>
      </c>
      <c r="U1608" t="str">
        <f>""</f>
        <v/>
      </c>
      <c r="V1608" t="s">
        <v>8647</v>
      </c>
      <c r="W1608" t="str">
        <f>"Suite 225"</f>
        <v>Suite 225</v>
      </c>
      <c r="X1608" t="s">
        <v>5854</v>
      </c>
      <c r="Y1608" t="s">
        <v>190</v>
      </c>
      <c r="Z1608" s="3">
        <v>11747</v>
      </c>
      <c r="AA1608" t="s">
        <v>101</v>
      </c>
      <c r="AC1608" s="4" t="str">
        <f>"+15164761115"</f>
        <v>+15164761115</v>
      </c>
      <c r="AE1608" t="str">
        <f>"541511"</f>
        <v>541511</v>
      </c>
      <c r="AF1608" t="s">
        <v>7593</v>
      </c>
      <c r="AG1608" t="s">
        <v>8648</v>
      </c>
      <c r="AI1608" t="s">
        <v>876</v>
      </c>
      <c r="AJ1608" t="s">
        <v>8647</v>
      </c>
      <c r="AK1608" t="str">
        <f>" Suite 225"</f>
        <v xml:space="preserve"> Suite 225</v>
      </c>
      <c r="AL1608" t="s">
        <v>5854</v>
      </c>
      <c r="AM1608" t="s">
        <v>190</v>
      </c>
      <c r="AN1608" s="3">
        <v>11747</v>
      </c>
      <c r="AO1608" t="s">
        <v>101</v>
      </c>
      <c r="AQ1608" t="str">
        <f>"+15164761115"</f>
        <v>+15164761115</v>
      </c>
      <c r="AS1608" t="s">
        <v>8649</v>
      </c>
      <c r="AT1608" t="s">
        <v>107</v>
      </c>
      <c r="AU1608" t="str">
        <f>"LEULESEGED"</f>
        <v>LEULESEGED</v>
      </c>
      <c r="AV1608" t="str">
        <f>"AIEMERO"</f>
        <v>AIEMERO</v>
      </c>
      <c r="AW1608" t="str">
        <f>"SEFIW"</f>
        <v>SEFIW</v>
      </c>
      <c r="AX1608" t="str">
        <f>"802 E WOODFIELD ROAD "</f>
        <v xml:space="preserve">802 E WOODFIELD ROAD </v>
      </c>
      <c r="AY1608" t="str">
        <f>"SUITE G 400"</f>
        <v>SUITE G 400</v>
      </c>
      <c r="AZ1608" t="str">
        <f>"SCHAUMBURG "</f>
        <v xml:space="preserve">SCHAUMBURG </v>
      </c>
      <c r="BA1608" t="str">
        <f>"IL"</f>
        <v>IL</v>
      </c>
      <c r="BB1608" s="3">
        <v>60173</v>
      </c>
      <c r="BC1608" t="str">
        <f t="shared" si="126"/>
        <v>UNITED STATES OF AMERICA</v>
      </c>
      <c r="BD1608" t="str">
        <f>""</f>
        <v/>
      </c>
      <c r="BE1608" t="str">
        <f>"+18479951515"</f>
        <v>+18479951515</v>
      </c>
      <c r="BF1608" t="str">
        <f>"230"</f>
        <v>230</v>
      </c>
      <c r="BG1608" t="str">
        <f>"ICERT@BIZLEGALSERVICES.COM"</f>
        <v>ICERT@BIZLEGALSERVICES.COM</v>
      </c>
      <c r="BH1608" t="str">
        <f>"INTERNATIONAL LEGAL AND BUSINESS SERVICES GROUP LLP"</f>
        <v>INTERNATIONAL LEGAL AND BUSINESS SERVICES GROUP LLP</v>
      </c>
      <c r="BI1608" t="str">
        <f>"CA"</f>
        <v>CA</v>
      </c>
      <c r="BJ1608" t="str">
        <f>"CALIFORNIA SUPREME COURT"</f>
        <v>CALIFORNIA SUPREME COURT</v>
      </c>
      <c r="BK1608">
        <v>1</v>
      </c>
      <c r="BL1608" t="s">
        <v>107</v>
      </c>
      <c r="BM1608" t="str">
        <f>"United Nations"</f>
        <v>United Nations</v>
      </c>
      <c r="BN1608" t="s">
        <v>8650</v>
      </c>
      <c r="BP1608" t="s">
        <v>277</v>
      </c>
      <c r="BQ1608" t="s">
        <v>189</v>
      </c>
      <c r="BR1608" t="s">
        <v>190</v>
      </c>
      <c r="BS1608" s="5">
        <v>10017</v>
      </c>
      <c r="BT1608" s="2">
        <v>135000</v>
      </c>
      <c r="BU1608" s="2">
        <v>135001</v>
      </c>
      <c r="BV1608" t="s">
        <v>105</v>
      </c>
      <c r="BW1608" s="2">
        <v>122221</v>
      </c>
      <c r="BX1608" t="s">
        <v>105</v>
      </c>
      <c r="BZ1608" t="s">
        <v>123</v>
      </c>
      <c r="CA1608" t="str">
        <f t="shared" si="123"/>
        <v>7/1/2020 - 6/30/2021</v>
      </c>
      <c r="CF1608">
        <v>1</v>
      </c>
      <c r="CG1608" t="s">
        <v>98</v>
      </c>
      <c r="CH1608" t="s">
        <v>98</v>
      </c>
      <c r="CI1608" t="s">
        <v>206</v>
      </c>
      <c r="CJ1608" t="s">
        <v>98</v>
      </c>
      <c r="CK1608" t="s">
        <v>12324</v>
      </c>
      <c r="CL1608" t="s">
        <v>108</v>
      </c>
      <c r="CM1608" t="s">
        <v>109</v>
      </c>
      <c r="CN1608" t="str">
        <f>""</f>
        <v/>
      </c>
      <c r="CO1608" t="str">
        <f>""</f>
        <v/>
      </c>
      <c r="CP1608" t="str">
        <f>""</f>
        <v/>
      </c>
      <c r="CQ1608" t="str">
        <f>""</f>
        <v/>
      </c>
    </row>
    <row r="1609" spans="1:96" x14ac:dyDescent="0.2">
      <c r="A1609" t="s">
        <v>11823</v>
      </c>
      <c r="B1609" t="s">
        <v>96</v>
      </c>
      <c r="C1609" s="1">
        <v>44099</v>
      </c>
      <c r="D1609" s="1">
        <v>44106</v>
      </c>
      <c r="F1609" t="s">
        <v>97</v>
      </c>
      <c r="G1609" t="str">
        <f>".Net developer"</f>
        <v>.Net developer</v>
      </c>
      <c r="H1609" t="s">
        <v>12169</v>
      </c>
      <c r="I1609" t="s">
        <v>124</v>
      </c>
      <c r="J1609" t="s">
        <v>98</v>
      </c>
      <c r="K1609" s="1">
        <v>44099</v>
      </c>
      <c r="L1609" s="1">
        <v>45193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 t="s">
        <v>5649</v>
      </c>
      <c r="U1609" t="str">
        <f>""</f>
        <v/>
      </c>
      <c r="V1609" t="s">
        <v>6253</v>
      </c>
      <c r="W1609" t="str">
        <f>"Suite # 8"</f>
        <v>Suite # 8</v>
      </c>
      <c r="X1609" t="s">
        <v>5650</v>
      </c>
      <c r="Y1609" t="s">
        <v>171</v>
      </c>
      <c r="Z1609" s="3">
        <v>1721</v>
      </c>
      <c r="AA1609" t="s">
        <v>101</v>
      </c>
      <c r="AC1609" s="4" t="str">
        <f>"+15088811893"</f>
        <v>+15088811893</v>
      </c>
      <c r="AE1609" t="str">
        <f>"541511"</f>
        <v>541511</v>
      </c>
      <c r="AF1609" t="s">
        <v>243</v>
      </c>
      <c r="AG1609" t="s">
        <v>5651</v>
      </c>
      <c r="AI1609" t="s">
        <v>298</v>
      </c>
      <c r="AJ1609" t="s">
        <v>6253</v>
      </c>
      <c r="AK1609" t="str">
        <f>"Suite # 8"</f>
        <v>Suite # 8</v>
      </c>
      <c r="AL1609" t="s">
        <v>5650</v>
      </c>
      <c r="AM1609" t="s">
        <v>171</v>
      </c>
      <c r="AN1609" s="3">
        <v>1721</v>
      </c>
      <c r="AO1609" t="s">
        <v>101</v>
      </c>
      <c r="AQ1609" t="str">
        <f>"+15088811893"</f>
        <v>+15088811893</v>
      </c>
      <c r="AS1609" t="s">
        <v>5652</v>
      </c>
      <c r="AT1609" t="s">
        <v>107</v>
      </c>
      <c r="AU1609" t="str">
        <f>"Esily"</f>
        <v>Esily</v>
      </c>
      <c r="AV1609" t="str">
        <f>"Hady"</f>
        <v>Hady</v>
      </c>
      <c r="AW1609" t="str">
        <f>""</f>
        <v/>
      </c>
      <c r="AX1609" t="str">
        <f>"802 E Woodfield Road"</f>
        <v>802 E Woodfield Road</v>
      </c>
      <c r="AY1609" t="str">
        <f>"Suite G 400"</f>
        <v>Suite G 400</v>
      </c>
      <c r="AZ1609" t="str">
        <f>"Schaumburg"</f>
        <v>Schaumburg</v>
      </c>
      <c r="BA1609" t="str">
        <f>"IL"</f>
        <v>IL</v>
      </c>
      <c r="BB1609" s="3">
        <v>60173</v>
      </c>
      <c r="BC1609" t="str">
        <f t="shared" si="126"/>
        <v>UNITED STATES OF AMERICA</v>
      </c>
      <c r="BD1609" t="str">
        <f>""</f>
        <v/>
      </c>
      <c r="BE1609" t="str">
        <f>"+18479951515"</f>
        <v>+18479951515</v>
      </c>
      <c r="BF1609" t="str">
        <f>"240"</f>
        <v>240</v>
      </c>
      <c r="BG1609" t="str">
        <f>"icert@bizlegalservices.com"</f>
        <v>icert@bizlegalservices.com</v>
      </c>
      <c r="BH1609" t="str">
        <f>"International  Legal and Business Services Group LLP"</f>
        <v>International  Legal and Business Services Group LLP</v>
      </c>
      <c r="BI1609" t="str">
        <f>"IL"</f>
        <v>IL</v>
      </c>
      <c r="BJ1609" t="str">
        <f>"Illinois Supreme Court"</f>
        <v>Illinois Supreme Court</v>
      </c>
      <c r="BK1609">
        <v>1</v>
      </c>
      <c r="BL1609" t="s">
        <v>107</v>
      </c>
      <c r="BM1609" t="str">
        <f>"Santander Bank"</f>
        <v>Santander Bank</v>
      </c>
      <c r="BN1609" t="s">
        <v>9683</v>
      </c>
      <c r="BO1609" t="s">
        <v>163</v>
      </c>
      <c r="BP1609" t="s">
        <v>595</v>
      </c>
      <c r="BQ1609" t="s">
        <v>484</v>
      </c>
      <c r="BR1609" t="s">
        <v>114</v>
      </c>
      <c r="BS1609" s="5">
        <v>75201</v>
      </c>
      <c r="BT1609" s="2">
        <v>93558</v>
      </c>
      <c r="BU1609" s="2">
        <v>93559</v>
      </c>
      <c r="BV1609" t="s">
        <v>105</v>
      </c>
      <c r="BW1609" s="2">
        <v>93558</v>
      </c>
      <c r="BX1609" t="s">
        <v>105</v>
      </c>
      <c r="BZ1609" t="s">
        <v>167</v>
      </c>
      <c r="CA1609" t="str">
        <f t="shared" si="123"/>
        <v>7/1/2020 - 6/30/2021</v>
      </c>
      <c r="CF1609">
        <v>2</v>
      </c>
      <c r="CG1609" t="s">
        <v>98</v>
      </c>
      <c r="CH1609" t="s">
        <v>98</v>
      </c>
      <c r="CI1609" t="s">
        <v>206</v>
      </c>
      <c r="CJ1609" t="s">
        <v>98</v>
      </c>
      <c r="CK1609" t="s">
        <v>12324</v>
      </c>
      <c r="CL1609" t="s">
        <v>108</v>
      </c>
      <c r="CM1609" t="s">
        <v>109</v>
      </c>
      <c r="CN1609" t="str">
        <f>""</f>
        <v/>
      </c>
      <c r="CO1609" t="str">
        <f>""</f>
        <v/>
      </c>
      <c r="CP1609" t="str">
        <f>""</f>
        <v/>
      </c>
      <c r="CQ1609" t="str">
        <f>""</f>
        <v/>
      </c>
    </row>
    <row r="1610" spans="1:96" x14ac:dyDescent="0.2">
      <c r="A1610" t="s">
        <v>11861</v>
      </c>
      <c r="B1610" t="s">
        <v>96</v>
      </c>
      <c r="C1610" s="1">
        <v>44099</v>
      </c>
      <c r="D1610" s="1">
        <v>44106</v>
      </c>
      <c r="F1610" t="s">
        <v>97</v>
      </c>
      <c r="G1610" t="str">
        <f>"Software Developer"</f>
        <v>Software Developer</v>
      </c>
      <c r="H1610" t="s">
        <v>12169</v>
      </c>
      <c r="I1610" t="s">
        <v>124</v>
      </c>
      <c r="J1610" t="s">
        <v>98</v>
      </c>
      <c r="K1610" s="1">
        <v>44099</v>
      </c>
      <c r="L1610" s="1">
        <v>45193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 t="s">
        <v>8339</v>
      </c>
      <c r="U1610" t="str">
        <f>"N / A"</f>
        <v>N / A</v>
      </c>
      <c r="V1610" t="s">
        <v>8340</v>
      </c>
      <c r="W1610" t="str">
        <f>"Suite 100B"</f>
        <v>Suite 100B</v>
      </c>
      <c r="X1610" t="s">
        <v>561</v>
      </c>
      <c r="Y1610" t="s">
        <v>100</v>
      </c>
      <c r="Z1610" s="3">
        <v>8817</v>
      </c>
      <c r="AA1610" t="s">
        <v>101</v>
      </c>
      <c r="AC1610" s="4" t="str">
        <f>"+19085488884"</f>
        <v>+19085488884</v>
      </c>
      <c r="AE1610" t="str">
        <f>"541512"</f>
        <v>541512</v>
      </c>
      <c r="AF1610" t="s">
        <v>1729</v>
      </c>
      <c r="AG1610" t="s">
        <v>4783</v>
      </c>
      <c r="AH1610" t="s">
        <v>7205</v>
      </c>
      <c r="AI1610" t="s">
        <v>1096</v>
      </c>
      <c r="AJ1610" t="s">
        <v>8340</v>
      </c>
      <c r="AK1610" t="str">
        <f>"Suite 100B"</f>
        <v>Suite 100B</v>
      </c>
      <c r="AL1610" t="s">
        <v>561</v>
      </c>
      <c r="AM1610" t="s">
        <v>100</v>
      </c>
      <c r="AN1610" s="3">
        <v>8817</v>
      </c>
      <c r="AO1610" t="s">
        <v>101</v>
      </c>
      <c r="AQ1610" t="str">
        <f>"+19085488884"</f>
        <v>+19085488884</v>
      </c>
      <c r="AS1610" t="s">
        <v>8341</v>
      </c>
      <c r="AT1610" t="s">
        <v>107</v>
      </c>
      <c r="AU1610" t="str">
        <f>"SHARMA"</f>
        <v>SHARMA</v>
      </c>
      <c r="AV1610" t="str">
        <f>"CHANDLER"</f>
        <v>CHANDLER</v>
      </c>
      <c r="AW1610" t="str">
        <f>"B"</f>
        <v>B</v>
      </c>
      <c r="AX1610" t="str">
        <f>"15 Corporate Place South"</f>
        <v>15 Corporate Place South</v>
      </c>
      <c r="AY1610" t="str">
        <f>"Suite 150"</f>
        <v>Suite 150</v>
      </c>
      <c r="AZ1610" t="str">
        <f>"Piscataway"</f>
        <v>Piscataway</v>
      </c>
      <c r="BA1610" t="str">
        <f>"NJ"</f>
        <v>NJ</v>
      </c>
      <c r="BB1610" s="3">
        <v>8854</v>
      </c>
      <c r="BC1610" t="str">
        <f t="shared" si="126"/>
        <v>UNITED STATES OF AMERICA</v>
      </c>
      <c r="BD1610" t="str">
        <f>""</f>
        <v/>
      </c>
      <c r="BE1610" t="str">
        <f>"+12126299400"</f>
        <v>+12126299400</v>
      </c>
      <c r="BF1610" t="str">
        <f>""</f>
        <v/>
      </c>
      <c r="BG1610" t="str">
        <f>"LCAS@SYSSLAW.COM"</f>
        <v>LCAS@SYSSLAW.COM</v>
      </c>
      <c r="BH1610" t="str">
        <f>"SHARMA YASKHI &amp; ASSOCIATES, LLP"</f>
        <v>SHARMA YASKHI &amp; ASSOCIATES, LLP</v>
      </c>
      <c r="BI1610" t="str">
        <f>"GA"</f>
        <v>GA</v>
      </c>
      <c r="BJ1610" t="str">
        <f>"COURT OF APPEALS"</f>
        <v>COURT OF APPEALS</v>
      </c>
      <c r="BK1610">
        <v>1</v>
      </c>
      <c r="BL1610" t="s">
        <v>107</v>
      </c>
      <c r="BM1610" t="str">
        <f>"American Express"</f>
        <v>American Express</v>
      </c>
      <c r="BN1610" t="s">
        <v>3717</v>
      </c>
      <c r="BO1610" t="s">
        <v>108</v>
      </c>
      <c r="BP1610" t="s">
        <v>299</v>
      </c>
      <c r="BQ1610" t="s">
        <v>257</v>
      </c>
      <c r="BR1610" t="s">
        <v>258</v>
      </c>
      <c r="BS1610" s="5">
        <v>85050</v>
      </c>
      <c r="BT1610" s="2">
        <v>96242</v>
      </c>
      <c r="BV1610" t="s">
        <v>105</v>
      </c>
      <c r="BW1610" s="2">
        <v>83637</v>
      </c>
      <c r="BX1610" t="s">
        <v>105</v>
      </c>
      <c r="BZ1610" t="s">
        <v>167</v>
      </c>
      <c r="CA1610" t="str">
        <f t="shared" si="123"/>
        <v>7/1/2020 - 6/30/2021</v>
      </c>
      <c r="CF1610">
        <v>2</v>
      </c>
      <c r="CG1610" t="s">
        <v>98</v>
      </c>
      <c r="CH1610" t="s">
        <v>98</v>
      </c>
      <c r="CI1610" t="s">
        <v>206</v>
      </c>
      <c r="CJ1610" t="s">
        <v>98</v>
      </c>
      <c r="CK1610" t="s">
        <v>12324</v>
      </c>
      <c r="CL1610" t="s">
        <v>108</v>
      </c>
      <c r="CM1610" t="s">
        <v>109</v>
      </c>
      <c r="CN1610" t="str">
        <f>"TABETI"</f>
        <v>TABETI</v>
      </c>
      <c r="CO1610" t="str">
        <f>"SHRAVAN"</f>
        <v>SHRAVAN</v>
      </c>
      <c r="CP1610" t="str">
        <f>"K"</f>
        <v>K</v>
      </c>
      <c r="CQ1610" t="str">
        <f>"SHARMA YASKHI &amp; ASSOCIATES, LLP"</f>
        <v>SHARMA YASKHI &amp; ASSOCIATES, LLP</v>
      </c>
      <c r="CR1610" t="s">
        <v>544</v>
      </c>
    </row>
    <row r="1611" spans="1:96" x14ac:dyDescent="0.2">
      <c r="A1611" t="s">
        <v>11866</v>
      </c>
      <c r="B1611" t="s">
        <v>96</v>
      </c>
      <c r="C1611" s="1">
        <v>44099</v>
      </c>
      <c r="D1611" s="1">
        <v>44106</v>
      </c>
      <c r="F1611" t="s">
        <v>97</v>
      </c>
      <c r="G1611" t="str">
        <f>"Validation Engineer"</f>
        <v>Validation Engineer</v>
      </c>
      <c r="H1611" t="s">
        <v>12217</v>
      </c>
      <c r="I1611" t="s">
        <v>778</v>
      </c>
      <c r="J1611" t="s">
        <v>98</v>
      </c>
      <c r="K1611" s="1">
        <v>44105</v>
      </c>
      <c r="L1611" s="1">
        <v>45199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8896</v>
      </c>
      <c r="U1611" t="str">
        <f>""</f>
        <v/>
      </c>
      <c r="V1611" t="s">
        <v>8897</v>
      </c>
      <c r="W1611" t="str">
        <f>"SUITE 4310"</f>
        <v>SUITE 4310</v>
      </c>
      <c r="X1611" t="s">
        <v>480</v>
      </c>
      <c r="Y1611" t="s">
        <v>215</v>
      </c>
      <c r="Z1611" s="3">
        <v>30339</v>
      </c>
      <c r="AA1611" t="s">
        <v>101</v>
      </c>
      <c r="AC1611" s="4" t="str">
        <f>"+16785841312"</f>
        <v>+16785841312</v>
      </c>
      <c r="AD1611">
        <v>225</v>
      </c>
      <c r="AE1611" t="str">
        <f>"541511"</f>
        <v>541511</v>
      </c>
      <c r="AF1611" t="s">
        <v>4313</v>
      </c>
      <c r="AG1611" t="s">
        <v>7401</v>
      </c>
      <c r="AH1611" t="s">
        <v>3653</v>
      </c>
      <c r="AI1611" t="s">
        <v>1342</v>
      </c>
      <c r="AJ1611" t="s">
        <v>11867</v>
      </c>
      <c r="AK1611" t="str">
        <f>"Suite 4310"</f>
        <v>Suite 4310</v>
      </c>
      <c r="AL1611" t="s">
        <v>213</v>
      </c>
      <c r="AM1611" t="s">
        <v>215</v>
      </c>
      <c r="AN1611" s="3">
        <v>30339</v>
      </c>
      <c r="AO1611" t="s">
        <v>101</v>
      </c>
      <c r="AQ1611" t="str">
        <f>"+16785841312"</f>
        <v>+16785841312</v>
      </c>
      <c r="AR1611">
        <v>225</v>
      </c>
      <c r="AS1611" t="s">
        <v>11868</v>
      </c>
      <c r="AT1611" t="s">
        <v>107</v>
      </c>
      <c r="AU1611" t="str">
        <f>"SHARMA "</f>
        <v xml:space="preserve">SHARMA </v>
      </c>
      <c r="AV1611" t="str">
        <f>"Asheesh"</f>
        <v>Asheesh</v>
      </c>
      <c r="AW1611" t="str">
        <f>"Kumar"</f>
        <v>Kumar</v>
      </c>
      <c r="AX1611" t="str">
        <f>"2255 Cumberland Pkwy SE, Bldg 1200"</f>
        <v>2255 Cumberland Pkwy SE, Bldg 1200</v>
      </c>
      <c r="AY1611" t="str">
        <f>"Suite B"</f>
        <v>Suite B</v>
      </c>
      <c r="AZ1611" t="str">
        <f>"Atlanta "</f>
        <v xml:space="preserve">Atlanta </v>
      </c>
      <c r="BA1611" t="str">
        <f>"GA"</f>
        <v>GA</v>
      </c>
      <c r="BB1611" s="3">
        <v>30339</v>
      </c>
      <c r="BC1611" t="str">
        <f t="shared" si="126"/>
        <v>UNITED STATES OF AMERICA</v>
      </c>
      <c r="BD1611" t="str">
        <f>""</f>
        <v/>
      </c>
      <c r="BE1611" t="str">
        <f>"+14043482829"</f>
        <v>+14043482829</v>
      </c>
      <c r="BF1611" t="str">
        <f>"4"</f>
        <v>4</v>
      </c>
      <c r="BG1611" t="str">
        <f>"asheesh@elawimmigration.com"</f>
        <v>asheesh@elawimmigration.com</v>
      </c>
      <c r="BH1611" t="str">
        <f>"Sharma Law Offices, LLC "</f>
        <v xml:space="preserve">Sharma Law Offices, LLC </v>
      </c>
      <c r="BI1611" t="str">
        <f>"TN"</f>
        <v>TN</v>
      </c>
      <c r="BJ1611" t="str">
        <f>"Supreme Court "</f>
        <v xml:space="preserve">Supreme Court </v>
      </c>
      <c r="BK1611">
        <v>1</v>
      </c>
      <c r="BL1611" t="s">
        <v>107</v>
      </c>
      <c r="BM1611" t="str">
        <f>"Alnylam Pharmaceuticals"</f>
        <v>Alnylam Pharmaceuticals</v>
      </c>
      <c r="BN1611" t="s">
        <v>11869</v>
      </c>
      <c r="BP1611" t="s">
        <v>436</v>
      </c>
      <c r="BQ1611" t="s">
        <v>1250</v>
      </c>
      <c r="BR1611" t="s">
        <v>171</v>
      </c>
      <c r="BS1611" s="5">
        <v>2142</v>
      </c>
      <c r="BT1611" s="2">
        <v>96075</v>
      </c>
      <c r="BV1611" t="s">
        <v>105</v>
      </c>
      <c r="BW1611" s="2">
        <v>96075</v>
      </c>
      <c r="BX1611" t="s">
        <v>105</v>
      </c>
      <c r="BZ1611" t="s">
        <v>167</v>
      </c>
      <c r="CA1611" t="str">
        <f t="shared" si="123"/>
        <v>7/1/2020 - 6/30/2021</v>
      </c>
      <c r="CF1611">
        <v>1</v>
      </c>
      <c r="CG1611" t="s">
        <v>98</v>
      </c>
      <c r="CH1611" t="s">
        <v>98</v>
      </c>
      <c r="CI1611" t="s">
        <v>206</v>
      </c>
      <c r="CJ1611" t="s">
        <v>98</v>
      </c>
      <c r="CK1611" t="s">
        <v>12324</v>
      </c>
      <c r="CL1611" t="s">
        <v>108</v>
      </c>
      <c r="CM1611" t="s">
        <v>109</v>
      </c>
      <c r="CN1611" t="str">
        <f>"Sharma "</f>
        <v xml:space="preserve">Sharma </v>
      </c>
      <c r="CO1611" t="str">
        <f>"Ciara"</f>
        <v>Ciara</v>
      </c>
      <c r="CP1611" t="str">
        <f>"M"</f>
        <v>M</v>
      </c>
      <c r="CQ1611" t="str">
        <f>"Sharma Law Offices, LLC "</f>
        <v xml:space="preserve">Sharma Law Offices, LLC </v>
      </c>
      <c r="CR1611" t="s">
        <v>4149</v>
      </c>
    </row>
    <row r="1612" spans="1:96" x14ac:dyDescent="0.2">
      <c r="A1612" t="s">
        <v>11874</v>
      </c>
      <c r="B1612" t="s">
        <v>96</v>
      </c>
      <c r="C1612" s="1">
        <v>44099</v>
      </c>
      <c r="D1612" s="1">
        <v>44106</v>
      </c>
      <c r="F1612" t="s">
        <v>97</v>
      </c>
      <c r="G1612" t="str">
        <f>"Sr. Oracle Software Engineer"</f>
        <v>Sr. Oracle Software Engineer</v>
      </c>
      <c r="H1612" t="s">
        <v>12169</v>
      </c>
      <c r="I1612" t="s">
        <v>124</v>
      </c>
      <c r="J1612" t="s">
        <v>98</v>
      </c>
      <c r="K1612" s="1">
        <v>44099</v>
      </c>
      <c r="L1612" s="1">
        <v>45193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 t="s">
        <v>2918</v>
      </c>
      <c r="U1612" t="str">
        <f>""</f>
        <v/>
      </c>
      <c r="V1612" t="s">
        <v>6471</v>
      </c>
      <c r="W1612" t="str">
        <f>"Suite 2D"</f>
        <v>Suite 2D</v>
      </c>
      <c r="X1612" t="s">
        <v>2002</v>
      </c>
      <c r="Y1612" t="s">
        <v>280</v>
      </c>
      <c r="Z1612" s="3">
        <v>6042</v>
      </c>
      <c r="AA1612" t="s">
        <v>101</v>
      </c>
      <c r="AB1612" t="s">
        <v>280</v>
      </c>
      <c r="AC1612" s="4" t="str">
        <f>"+18607916356"</f>
        <v>+18607916356</v>
      </c>
      <c r="AE1612" t="str">
        <f>"541511"</f>
        <v>541511</v>
      </c>
      <c r="AF1612" t="s">
        <v>2920</v>
      </c>
      <c r="AG1612" t="s">
        <v>2921</v>
      </c>
      <c r="AI1612" t="s">
        <v>298</v>
      </c>
      <c r="AJ1612" t="s">
        <v>2919</v>
      </c>
      <c r="AK1612" t="str">
        <f>"SUITE 2D"</f>
        <v>SUITE 2D</v>
      </c>
      <c r="AL1612" t="s">
        <v>2002</v>
      </c>
      <c r="AM1612" t="s">
        <v>280</v>
      </c>
      <c r="AN1612" s="3">
        <v>6042</v>
      </c>
      <c r="AO1612" t="s">
        <v>101</v>
      </c>
      <c r="AQ1612" t="str">
        <f>"+18607916356"</f>
        <v>+18607916356</v>
      </c>
      <c r="AS1612" t="s">
        <v>6472</v>
      </c>
      <c r="AT1612" t="s">
        <v>107</v>
      </c>
      <c r="AU1612" t="str">
        <f>"Lamboley"</f>
        <v>Lamboley</v>
      </c>
      <c r="AV1612" t="str">
        <f>"Harold"</f>
        <v>Harold</v>
      </c>
      <c r="AW1612" t="str">
        <f>"Joseph"</f>
        <v>Joseph</v>
      </c>
      <c r="AX1612" t="str">
        <f>"One Evergreen Avenue"</f>
        <v>One Evergreen Avenue</v>
      </c>
      <c r="AY1612" t="str">
        <f>"Suite 20"</f>
        <v>Suite 20</v>
      </c>
      <c r="AZ1612" t="str">
        <f>"Hamden"</f>
        <v>Hamden</v>
      </c>
      <c r="BA1612" t="str">
        <f>"CT"</f>
        <v>CT</v>
      </c>
      <c r="BB1612" s="3">
        <v>6518</v>
      </c>
      <c r="BC1612" t="str">
        <f t="shared" si="126"/>
        <v>UNITED STATES OF AMERICA</v>
      </c>
      <c r="BD1612" t="str">
        <f>""</f>
        <v/>
      </c>
      <c r="BE1612" t="str">
        <f>"+12032878042"</f>
        <v>+12032878042</v>
      </c>
      <c r="BF1612" t="str">
        <f>"13"</f>
        <v>13</v>
      </c>
      <c r="BG1612" t="str">
        <f>"Harold@lamboleylawfirm.com"</f>
        <v>Harold@lamboleylawfirm.com</v>
      </c>
      <c r="BH1612" t="str">
        <f>"Lamboley Law FIrm LLC"</f>
        <v>Lamboley Law FIrm LLC</v>
      </c>
      <c r="BI1612" t="str">
        <f>"CT"</f>
        <v>CT</v>
      </c>
      <c r="BJ1612" t="str">
        <f>"Superior Court"</f>
        <v>Superior Court</v>
      </c>
      <c r="BK1612">
        <v>1</v>
      </c>
      <c r="BL1612" t="s">
        <v>107</v>
      </c>
      <c r="BM1612" t="str">
        <f>"Accenture Federal Services"</f>
        <v>Accenture Federal Services</v>
      </c>
      <c r="BN1612" t="s">
        <v>11875</v>
      </c>
      <c r="BO1612" t="s">
        <v>1336</v>
      </c>
      <c r="BP1612" t="s">
        <v>7456</v>
      </c>
      <c r="BQ1612" t="s">
        <v>369</v>
      </c>
      <c r="BR1612" t="s">
        <v>166</v>
      </c>
      <c r="BS1612" s="5">
        <v>80228</v>
      </c>
      <c r="BT1612" s="2">
        <v>110700</v>
      </c>
      <c r="BV1612" t="s">
        <v>105</v>
      </c>
      <c r="BW1612" s="2">
        <v>110677</v>
      </c>
      <c r="BX1612" t="s">
        <v>105</v>
      </c>
      <c r="BZ1612" t="s">
        <v>123</v>
      </c>
      <c r="CA1612" t="str">
        <f t="shared" si="123"/>
        <v>7/1/2020 - 6/30/2021</v>
      </c>
      <c r="CF1612">
        <v>2</v>
      </c>
      <c r="CG1612" t="s">
        <v>98</v>
      </c>
      <c r="CH1612" t="s">
        <v>98</v>
      </c>
      <c r="CI1612" t="s">
        <v>206</v>
      </c>
      <c r="CJ1612" t="s">
        <v>98</v>
      </c>
      <c r="CK1612" t="s">
        <v>12324</v>
      </c>
      <c r="CL1612" t="s">
        <v>108</v>
      </c>
      <c r="CM1612" t="s">
        <v>109</v>
      </c>
      <c r="CN1612" t="str">
        <f>"N/A"</f>
        <v>N/A</v>
      </c>
      <c r="CO1612" t="str">
        <f>"N/A"</f>
        <v>N/A</v>
      </c>
      <c r="CP1612" t="str">
        <f>"N/A"</f>
        <v>N/A</v>
      </c>
      <c r="CQ1612" t="str">
        <f>"LAMBOLEY LAW FIRM, LLC"</f>
        <v>LAMBOLEY LAW FIRM, LLC</v>
      </c>
      <c r="CR1612" t="s">
        <v>2883</v>
      </c>
    </row>
    <row r="1613" spans="1:96" x14ac:dyDescent="0.2">
      <c r="A1613" t="s">
        <v>11955</v>
      </c>
      <c r="B1613" t="s">
        <v>96</v>
      </c>
      <c r="C1613" s="1">
        <v>44099</v>
      </c>
      <c r="D1613" s="1">
        <v>44106</v>
      </c>
      <c r="F1613" t="s">
        <v>97</v>
      </c>
      <c r="G1613" t="str">
        <f>"Sr. Database Administrator"</f>
        <v>Sr. Database Administrator</v>
      </c>
      <c r="H1613" t="s">
        <v>12225</v>
      </c>
      <c r="I1613" t="s">
        <v>628</v>
      </c>
      <c r="J1613" t="s">
        <v>98</v>
      </c>
      <c r="K1613" s="1">
        <v>44109</v>
      </c>
      <c r="L1613" s="1">
        <v>45035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 t="s">
        <v>8023</v>
      </c>
      <c r="U1613" t="str">
        <f>"MyVest Corporation"</f>
        <v>MyVest Corporation</v>
      </c>
      <c r="V1613" t="s">
        <v>6558</v>
      </c>
      <c r="W1613" t="str">
        <f>"17th Floor"</f>
        <v>17th Floor</v>
      </c>
      <c r="X1613" t="s">
        <v>140</v>
      </c>
      <c r="Y1613" t="s">
        <v>141</v>
      </c>
      <c r="Z1613" s="3">
        <v>94111</v>
      </c>
      <c r="AA1613" t="s">
        <v>101</v>
      </c>
      <c r="AC1613" s="4" t="str">
        <f>"+14156720991"</f>
        <v>+14156720991</v>
      </c>
      <c r="AE1613" t="str">
        <f>"523930"</f>
        <v>523930</v>
      </c>
      <c r="AF1613" t="s">
        <v>8024</v>
      </c>
      <c r="AG1613" t="s">
        <v>8025</v>
      </c>
      <c r="AI1613" t="s">
        <v>2972</v>
      </c>
      <c r="AJ1613" t="s">
        <v>6558</v>
      </c>
      <c r="AK1613" t="str">
        <f>"17th Floor"</f>
        <v>17th Floor</v>
      </c>
      <c r="AL1613" t="s">
        <v>140</v>
      </c>
      <c r="AM1613" t="s">
        <v>141</v>
      </c>
      <c r="AN1613" s="3">
        <v>94111</v>
      </c>
      <c r="AO1613" t="s">
        <v>101</v>
      </c>
      <c r="AQ1613" t="str">
        <f>"+14156720991"</f>
        <v>+14156720991</v>
      </c>
      <c r="AS1613" t="s">
        <v>8026</v>
      </c>
      <c r="AT1613" t="s">
        <v>107</v>
      </c>
      <c r="AU1613" t="str">
        <f>"Leibl"</f>
        <v>Leibl</v>
      </c>
      <c r="AV1613" t="str">
        <f>"Geoffrey"</f>
        <v>Geoffrey</v>
      </c>
      <c r="AW1613" t="str">
        <f>"D."</f>
        <v>D.</v>
      </c>
      <c r="AX1613" t="str">
        <f>"12250 El Camino Real"</f>
        <v>12250 El Camino Real</v>
      </c>
      <c r="AY1613" t="str">
        <f>"Suite 350"</f>
        <v>Suite 350</v>
      </c>
      <c r="AZ1613" t="str">
        <f>"San Diego"</f>
        <v>San Diego</v>
      </c>
      <c r="BA1613" t="str">
        <f>"CA"</f>
        <v>CA</v>
      </c>
      <c r="BB1613" s="3">
        <v>92130</v>
      </c>
      <c r="BC1613" t="str">
        <f t="shared" si="126"/>
        <v>UNITED STATES OF AMERICA</v>
      </c>
      <c r="BD1613" t="str">
        <f>""</f>
        <v/>
      </c>
      <c r="BE1613" t="str">
        <f>"+18584815211"</f>
        <v>+18584815211</v>
      </c>
      <c r="BF1613" t="str">
        <f>""</f>
        <v/>
      </c>
      <c r="BG1613" t="str">
        <f>"lorraine@usimmigrationlaw.net"</f>
        <v>lorraine@usimmigrationlaw.net</v>
      </c>
      <c r="BH1613" t="str">
        <f>"Leibl &amp; Kirkwood PC"</f>
        <v>Leibl &amp; Kirkwood PC</v>
      </c>
      <c r="BI1613" t="str">
        <f>"CA"</f>
        <v>CA</v>
      </c>
      <c r="BJ1613" t="str">
        <f>"Supreme Court"</f>
        <v>Supreme Court</v>
      </c>
      <c r="BK1613">
        <v>1</v>
      </c>
      <c r="BL1613" t="s">
        <v>102</v>
      </c>
      <c r="BM1613" t="str">
        <f>""</f>
        <v/>
      </c>
      <c r="BN1613" t="s">
        <v>11956</v>
      </c>
      <c r="BP1613" t="s">
        <v>5079</v>
      </c>
      <c r="BQ1613" t="s">
        <v>5080</v>
      </c>
      <c r="BR1613" t="s">
        <v>141</v>
      </c>
      <c r="BS1613" s="5">
        <v>95391</v>
      </c>
      <c r="BT1613" s="2">
        <v>160000</v>
      </c>
      <c r="BV1613" t="s">
        <v>105</v>
      </c>
      <c r="BW1613" s="2">
        <v>118851</v>
      </c>
      <c r="BX1613" t="s">
        <v>105</v>
      </c>
      <c r="BZ1613" t="s">
        <v>159</v>
      </c>
      <c r="CA1613" t="str">
        <f t="shared" si="123"/>
        <v>7/1/2020 - 6/30/2021</v>
      </c>
      <c r="CF1613">
        <v>1</v>
      </c>
      <c r="CG1613" t="s">
        <v>98</v>
      </c>
      <c r="CH1613" t="s">
        <v>98</v>
      </c>
      <c r="CI1613" t="s">
        <v>206</v>
      </c>
      <c r="CJ1613" t="s">
        <v>98</v>
      </c>
      <c r="CK1613" t="s">
        <v>12324</v>
      </c>
      <c r="CL1613" t="s">
        <v>108</v>
      </c>
      <c r="CM1613" t="s">
        <v>109</v>
      </c>
      <c r="CN1613" t="str">
        <f>"Chiwai"</f>
        <v>Chiwai</v>
      </c>
      <c r="CO1613" t="str">
        <f>"Lorraine"</f>
        <v>Lorraine</v>
      </c>
      <c r="CP1613" t="str">
        <f>""</f>
        <v/>
      </c>
      <c r="CQ1613" t="str">
        <f>"Leibl and Kirkwood PC"</f>
        <v>Leibl and Kirkwood PC</v>
      </c>
      <c r="CR1613" t="s">
        <v>6514</v>
      </c>
    </row>
    <row r="1614" spans="1:96" x14ac:dyDescent="0.2">
      <c r="A1614" t="s">
        <v>11982</v>
      </c>
      <c r="B1614" t="s">
        <v>96</v>
      </c>
      <c r="C1614" s="1">
        <v>44099</v>
      </c>
      <c r="D1614" s="1">
        <v>44106</v>
      </c>
      <c r="F1614" t="s">
        <v>97</v>
      </c>
      <c r="G1614" t="str">
        <f>"C/Unix Developer"</f>
        <v>C/Unix Developer</v>
      </c>
      <c r="H1614" t="s">
        <v>12169</v>
      </c>
      <c r="I1614" t="s">
        <v>124</v>
      </c>
      <c r="J1614" t="s">
        <v>98</v>
      </c>
      <c r="K1614" s="1">
        <v>44136</v>
      </c>
      <c r="L1614" s="1">
        <v>45230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 t="s">
        <v>11920</v>
      </c>
      <c r="U1614" t="str">
        <f>""</f>
        <v/>
      </c>
      <c r="V1614" t="s">
        <v>11921</v>
      </c>
      <c r="W1614" t="str">
        <f>"Suite 200"</f>
        <v>Suite 200</v>
      </c>
      <c r="X1614" t="s">
        <v>3310</v>
      </c>
      <c r="Y1614" t="s">
        <v>127</v>
      </c>
      <c r="Z1614" s="3">
        <v>19341</v>
      </c>
      <c r="AA1614" t="s">
        <v>101</v>
      </c>
      <c r="AC1614" s="4" t="str">
        <f>"+16104506595"</f>
        <v>+16104506595</v>
      </c>
      <c r="AE1614" t="str">
        <f>"541511"</f>
        <v>541511</v>
      </c>
      <c r="AF1614" t="s">
        <v>11922</v>
      </c>
      <c r="AG1614" t="s">
        <v>2037</v>
      </c>
      <c r="AI1614" t="s">
        <v>298</v>
      </c>
      <c r="AJ1614" t="s">
        <v>11923</v>
      </c>
      <c r="AK1614" t="str">
        <f>"Suite 200"</f>
        <v>Suite 200</v>
      </c>
      <c r="AL1614" t="s">
        <v>3310</v>
      </c>
      <c r="AM1614" t="s">
        <v>127</v>
      </c>
      <c r="AN1614" s="3">
        <v>19341</v>
      </c>
      <c r="AO1614" t="s">
        <v>101</v>
      </c>
      <c r="AQ1614" t="str">
        <f>"+16104506595"</f>
        <v>+16104506595</v>
      </c>
      <c r="AS1614" t="s">
        <v>11924</v>
      </c>
      <c r="AT1614" t="s">
        <v>102</v>
      </c>
      <c r="AU1614" t="str">
        <f>""</f>
        <v/>
      </c>
      <c r="AV1614" t="str">
        <f>""</f>
        <v/>
      </c>
      <c r="AW1614" t="str">
        <f>""</f>
        <v/>
      </c>
      <c r="AX1614" t="str">
        <f>""</f>
        <v/>
      </c>
      <c r="AY1614" t="str">
        <f>""</f>
        <v/>
      </c>
      <c r="AZ1614" t="str">
        <f>""</f>
        <v/>
      </c>
      <c r="BA1614" t="str">
        <f>""</f>
        <v/>
      </c>
      <c r="BC1614" t="str">
        <f>""</f>
        <v/>
      </c>
      <c r="BD1614" t="str">
        <f>""</f>
        <v/>
      </c>
      <c r="BE1614" t="str">
        <f>""</f>
        <v/>
      </c>
      <c r="BF1614" t="str">
        <f>""</f>
        <v/>
      </c>
      <c r="BG1614" t="str">
        <f>""</f>
        <v/>
      </c>
      <c r="BH1614" t="str">
        <f>""</f>
        <v/>
      </c>
      <c r="BI1614" t="str">
        <f>""</f>
        <v/>
      </c>
      <c r="BJ1614" t="str">
        <f>""</f>
        <v/>
      </c>
      <c r="BK1614">
        <v>1</v>
      </c>
      <c r="BL1614" t="s">
        <v>107</v>
      </c>
      <c r="BM1614" t="str">
        <f>"Verizon Data Services"</f>
        <v>Verizon Data Services</v>
      </c>
      <c r="BN1614" t="s">
        <v>5944</v>
      </c>
      <c r="BP1614" t="s">
        <v>1759</v>
      </c>
      <c r="BQ1614" t="s">
        <v>1034</v>
      </c>
      <c r="BR1614" t="s">
        <v>577</v>
      </c>
      <c r="BS1614" s="5">
        <v>33637</v>
      </c>
      <c r="BT1614" s="2">
        <v>82000</v>
      </c>
      <c r="BV1614" t="s">
        <v>105</v>
      </c>
      <c r="BW1614" s="2">
        <v>81806</v>
      </c>
      <c r="BX1614" t="s">
        <v>105</v>
      </c>
      <c r="BZ1614" t="s">
        <v>167</v>
      </c>
      <c r="CA1614" t="str">
        <f t="shared" si="123"/>
        <v>7/1/2020 - 6/30/2021</v>
      </c>
      <c r="CF1614">
        <v>2</v>
      </c>
      <c r="CG1614" t="s">
        <v>98</v>
      </c>
      <c r="CH1614" t="s">
        <v>98</v>
      </c>
      <c r="CI1614" t="s">
        <v>206</v>
      </c>
      <c r="CJ1614" t="s">
        <v>98</v>
      </c>
      <c r="CK1614" t="s">
        <v>12324</v>
      </c>
      <c r="CL1614" t="s">
        <v>108</v>
      </c>
      <c r="CM1614" t="s">
        <v>109</v>
      </c>
      <c r="CN1614" t="str">
        <f>""</f>
        <v/>
      </c>
      <c r="CO1614" t="str">
        <f>""</f>
        <v/>
      </c>
      <c r="CP1614" t="str">
        <f>""</f>
        <v/>
      </c>
      <c r="CQ1614" t="str">
        <f>""</f>
        <v/>
      </c>
    </row>
    <row r="1615" spans="1:96" x14ac:dyDescent="0.2">
      <c r="A1615" t="s">
        <v>12035</v>
      </c>
      <c r="B1615" t="s">
        <v>96</v>
      </c>
      <c r="C1615" s="1">
        <v>44099</v>
      </c>
      <c r="D1615" s="1">
        <v>44106</v>
      </c>
      <c r="F1615" t="s">
        <v>97</v>
      </c>
      <c r="G1615" t="str">
        <f>"DATABASE ADMINISTRATOR"</f>
        <v>DATABASE ADMINISTRATOR</v>
      </c>
      <c r="H1615" t="s">
        <v>12225</v>
      </c>
      <c r="I1615" t="s">
        <v>628</v>
      </c>
      <c r="J1615" t="s">
        <v>98</v>
      </c>
      <c r="K1615" s="1">
        <v>44099</v>
      </c>
      <c r="L1615" s="1">
        <v>45191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 t="s">
        <v>9955</v>
      </c>
      <c r="U1615" t="str">
        <f>""</f>
        <v/>
      </c>
      <c r="V1615" t="s">
        <v>6025</v>
      </c>
      <c r="W1615" t="str">
        <f>"STE#110"</f>
        <v>STE#110</v>
      </c>
      <c r="X1615" t="s">
        <v>6026</v>
      </c>
      <c r="Y1615" t="s">
        <v>265</v>
      </c>
      <c r="Z1615" s="3">
        <v>48187</v>
      </c>
      <c r="AA1615" t="s">
        <v>101</v>
      </c>
      <c r="AC1615" s="4" t="str">
        <f>"+17344045625"</f>
        <v>+17344045625</v>
      </c>
      <c r="AD1615">
        <v>105</v>
      </c>
      <c r="AE1615" t="str">
        <f>"541511"</f>
        <v>541511</v>
      </c>
      <c r="AF1615" t="s">
        <v>1472</v>
      </c>
      <c r="AG1615" t="s">
        <v>9956</v>
      </c>
      <c r="AI1615" t="s">
        <v>228</v>
      </c>
      <c r="AJ1615" t="s">
        <v>6025</v>
      </c>
      <c r="AK1615" t="str">
        <f>"STE# 110"</f>
        <v>STE# 110</v>
      </c>
      <c r="AL1615" t="s">
        <v>6026</v>
      </c>
      <c r="AM1615" t="s">
        <v>265</v>
      </c>
      <c r="AN1615" s="3">
        <v>48187</v>
      </c>
      <c r="AO1615" t="s">
        <v>101</v>
      </c>
      <c r="AQ1615" t="str">
        <f>"+17344045625"</f>
        <v>+17344045625</v>
      </c>
      <c r="AR1615">
        <v>103</v>
      </c>
      <c r="AS1615" t="s">
        <v>9957</v>
      </c>
      <c r="AT1615" t="s">
        <v>102</v>
      </c>
      <c r="AU1615" t="str">
        <f>""</f>
        <v/>
      </c>
      <c r="AV1615" t="str">
        <f>""</f>
        <v/>
      </c>
      <c r="AW1615" t="str">
        <f>""</f>
        <v/>
      </c>
      <c r="AX1615" t="str">
        <f>""</f>
        <v/>
      </c>
      <c r="AY1615" t="str">
        <f>""</f>
        <v/>
      </c>
      <c r="AZ1615" t="str">
        <f>""</f>
        <v/>
      </c>
      <c r="BA1615" t="str">
        <f>""</f>
        <v/>
      </c>
      <c r="BC1615" t="str">
        <f>""</f>
        <v/>
      </c>
      <c r="BD1615" t="str">
        <f>""</f>
        <v/>
      </c>
      <c r="BE1615" t="str">
        <f>""</f>
        <v/>
      </c>
      <c r="BF1615" t="str">
        <f>""</f>
        <v/>
      </c>
      <c r="BG1615" t="str">
        <f>""</f>
        <v/>
      </c>
      <c r="BH1615" t="str">
        <f>""</f>
        <v/>
      </c>
      <c r="BI1615" t="str">
        <f>""</f>
        <v/>
      </c>
      <c r="BJ1615" t="str">
        <f>""</f>
        <v/>
      </c>
      <c r="BK1615">
        <v>1</v>
      </c>
      <c r="BL1615" t="s">
        <v>107</v>
      </c>
      <c r="BM1615" t="str">
        <f>"DEPARTMENT OF MOTOR VEHICLES"</f>
        <v>DEPARTMENT OF MOTOR VEHICLES</v>
      </c>
      <c r="BN1615" t="s">
        <v>9958</v>
      </c>
      <c r="BO1615" t="s">
        <v>12036</v>
      </c>
      <c r="BP1615" t="s">
        <v>720</v>
      </c>
      <c r="BQ1615" t="s">
        <v>721</v>
      </c>
      <c r="BR1615" t="s">
        <v>114</v>
      </c>
      <c r="BS1615" s="5">
        <v>78731</v>
      </c>
      <c r="BT1615" s="2">
        <v>91200</v>
      </c>
      <c r="BV1615" t="s">
        <v>105</v>
      </c>
      <c r="BW1615" s="2">
        <v>91146</v>
      </c>
      <c r="BX1615" t="s">
        <v>105</v>
      </c>
      <c r="BZ1615" t="s">
        <v>167</v>
      </c>
      <c r="CA1615" t="str">
        <f t="shared" si="123"/>
        <v>7/1/2020 - 6/30/2021</v>
      </c>
      <c r="CF1615">
        <v>1</v>
      </c>
      <c r="CG1615" t="s">
        <v>98</v>
      </c>
      <c r="CH1615" t="s">
        <v>98</v>
      </c>
      <c r="CI1615" t="s">
        <v>206</v>
      </c>
      <c r="CJ1615" t="s">
        <v>98</v>
      </c>
      <c r="CK1615" t="s">
        <v>12324</v>
      </c>
      <c r="CL1615" t="s">
        <v>108</v>
      </c>
      <c r="CM1615" t="s">
        <v>109</v>
      </c>
      <c r="CN1615" t="str">
        <f>""</f>
        <v/>
      </c>
      <c r="CO1615" t="str">
        <f>""</f>
        <v/>
      </c>
      <c r="CP1615" t="str">
        <f>""</f>
        <v/>
      </c>
      <c r="CQ1615" t="str">
        <f>""</f>
        <v/>
      </c>
    </row>
    <row r="1616" spans="1:96" x14ac:dyDescent="0.2">
      <c r="A1616" t="s">
        <v>12075</v>
      </c>
      <c r="B1616" t="s">
        <v>96</v>
      </c>
      <c r="C1616" s="1">
        <v>44099</v>
      </c>
      <c r="D1616" s="1">
        <v>44106</v>
      </c>
      <c r="F1616" t="s">
        <v>97</v>
      </c>
      <c r="G1616" t="str">
        <f>"BI Developer"</f>
        <v>BI Developer</v>
      </c>
      <c r="H1616" t="s">
        <v>12169</v>
      </c>
      <c r="I1616" t="s">
        <v>124</v>
      </c>
      <c r="J1616" t="s">
        <v>98</v>
      </c>
      <c r="K1616" s="1">
        <v>44196</v>
      </c>
      <c r="L1616" s="1">
        <v>45290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 t="s">
        <v>6170</v>
      </c>
      <c r="U1616" t="str">
        <f>"CCS GLOBAL TECH "</f>
        <v xml:space="preserve">CCS GLOBAL TECH </v>
      </c>
      <c r="V1616" t="s">
        <v>6171</v>
      </c>
      <c r="W1616" t="str">
        <f>"SUITE 220"</f>
        <v>SUITE 220</v>
      </c>
      <c r="X1616" t="s">
        <v>6172</v>
      </c>
      <c r="Y1616" t="s">
        <v>141</v>
      </c>
      <c r="Z1616" s="3">
        <v>92064</v>
      </c>
      <c r="AA1616" t="s">
        <v>101</v>
      </c>
      <c r="AC1616" s="4" t="str">
        <f>"+18582084131"</f>
        <v>+18582084131</v>
      </c>
      <c r="AE1616" t="str">
        <f>"541511"</f>
        <v>541511</v>
      </c>
      <c r="AF1616" t="s">
        <v>6173</v>
      </c>
      <c r="AG1616" t="s">
        <v>6174</v>
      </c>
      <c r="AI1616" t="s">
        <v>6175</v>
      </c>
      <c r="AJ1616" t="s">
        <v>6171</v>
      </c>
      <c r="AK1616" t="str">
        <f>"SUITE 220"</f>
        <v>SUITE 220</v>
      </c>
      <c r="AL1616" t="s">
        <v>6172</v>
      </c>
      <c r="AM1616" t="s">
        <v>141</v>
      </c>
      <c r="AN1616" s="3">
        <v>92064</v>
      </c>
      <c r="AO1616" t="s">
        <v>101</v>
      </c>
      <c r="AQ1616" t="str">
        <f>"+18582084131"</f>
        <v>+18582084131</v>
      </c>
      <c r="AS1616" t="s">
        <v>6176</v>
      </c>
      <c r="AT1616" t="s">
        <v>102</v>
      </c>
      <c r="AU1616" t="str">
        <f>""</f>
        <v/>
      </c>
      <c r="AV1616" t="str">
        <f>""</f>
        <v/>
      </c>
      <c r="AW1616" t="str">
        <f>""</f>
        <v/>
      </c>
      <c r="AX1616" t="str">
        <f>""</f>
        <v/>
      </c>
      <c r="AY1616" t="str">
        <f>""</f>
        <v/>
      </c>
      <c r="AZ1616" t="str">
        <f>""</f>
        <v/>
      </c>
      <c r="BA1616" t="str">
        <f>""</f>
        <v/>
      </c>
      <c r="BC1616" t="str">
        <f>""</f>
        <v/>
      </c>
      <c r="BD1616" t="str">
        <f>""</f>
        <v/>
      </c>
      <c r="BE1616" t="str">
        <f>""</f>
        <v/>
      </c>
      <c r="BF1616" t="str">
        <f>""</f>
        <v/>
      </c>
      <c r="BG1616" t="str">
        <f>""</f>
        <v/>
      </c>
      <c r="BH1616" t="str">
        <f>""</f>
        <v/>
      </c>
      <c r="BI1616" t="str">
        <f>""</f>
        <v/>
      </c>
      <c r="BJ1616" t="str">
        <f>""</f>
        <v/>
      </c>
      <c r="BK1616">
        <v>1</v>
      </c>
      <c r="BL1616" t="s">
        <v>107</v>
      </c>
      <c r="BM1616" t="str">
        <f>"Double Line, Inc."</f>
        <v>Double Line, Inc.</v>
      </c>
      <c r="BN1616" t="s">
        <v>12076</v>
      </c>
      <c r="BO1616" t="s">
        <v>4059</v>
      </c>
      <c r="BP1616" t="s">
        <v>765</v>
      </c>
      <c r="BQ1616" t="s">
        <v>721</v>
      </c>
      <c r="BR1616" t="s">
        <v>114</v>
      </c>
      <c r="BS1616" s="5">
        <v>78758</v>
      </c>
      <c r="BT1616" s="2">
        <v>42.11</v>
      </c>
      <c r="BV1616" t="s">
        <v>210</v>
      </c>
      <c r="BW1616" s="2">
        <v>42.11</v>
      </c>
      <c r="BX1616" t="s">
        <v>210</v>
      </c>
      <c r="BZ1616" t="s">
        <v>167</v>
      </c>
      <c r="CA1616" t="str">
        <f t="shared" si="123"/>
        <v>7/1/2020 - 6/30/2021</v>
      </c>
      <c r="CF1616">
        <v>2</v>
      </c>
      <c r="CG1616" t="s">
        <v>98</v>
      </c>
      <c r="CH1616" t="s">
        <v>98</v>
      </c>
      <c r="CI1616" t="s">
        <v>206</v>
      </c>
      <c r="CJ1616" t="s">
        <v>98</v>
      </c>
      <c r="CK1616" t="s">
        <v>12324</v>
      </c>
      <c r="CL1616" t="s">
        <v>108</v>
      </c>
      <c r="CM1616" t="s">
        <v>109</v>
      </c>
      <c r="CN1616" t="str">
        <f>""</f>
        <v/>
      </c>
      <c r="CO1616" t="str">
        <f>""</f>
        <v/>
      </c>
      <c r="CP1616" t="str">
        <f>""</f>
        <v/>
      </c>
      <c r="CQ1616" t="str">
        <f>""</f>
        <v/>
      </c>
    </row>
    <row r="1617" spans="1:96" x14ac:dyDescent="0.2">
      <c r="A1617" t="s">
        <v>12142</v>
      </c>
      <c r="B1617" t="s">
        <v>96</v>
      </c>
      <c r="C1617" s="1">
        <v>44099</v>
      </c>
      <c r="D1617" s="1">
        <v>44106</v>
      </c>
      <c r="F1617" t="s">
        <v>97</v>
      </c>
      <c r="G1617" t="str">
        <f>"Software Engineer"</f>
        <v>Software Engineer</v>
      </c>
      <c r="H1617" t="s">
        <v>12169</v>
      </c>
      <c r="I1617" t="s">
        <v>124</v>
      </c>
      <c r="J1617" t="s">
        <v>98</v>
      </c>
      <c r="K1617" s="1">
        <v>44107</v>
      </c>
      <c r="L1617" s="1">
        <v>45201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 t="s">
        <v>12143</v>
      </c>
      <c r="U1617" t="str">
        <f>""</f>
        <v/>
      </c>
      <c r="V1617" t="s">
        <v>12144</v>
      </c>
      <c r="W1617" t="str">
        <f>"N/A"</f>
        <v>N/A</v>
      </c>
      <c r="X1617" t="s">
        <v>1766</v>
      </c>
      <c r="Y1617" t="s">
        <v>215</v>
      </c>
      <c r="Z1617" s="3">
        <v>30005</v>
      </c>
      <c r="AA1617" t="s">
        <v>101</v>
      </c>
      <c r="AB1617" t="s">
        <v>108</v>
      </c>
      <c r="AC1617" s="4" t="str">
        <f>"+19193414635"</f>
        <v>+19193414635</v>
      </c>
      <c r="AE1617" t="str">
        <f>"541511"</f>
        <v>541511</v>
      </c>
      <c r="AF1617" t="s">
        <v>12145</v>
      </c>
      <c r="AG1617" t="s">
        <v>12146</v>
      </c>
      <c r="AI1617" t="s">
        <v>1586</v>
      </c>
      <c r="AJ1617" t="s">
        <v>12144</v>
      </c>
      <c r="AK1617" t="str">
        <f>""</f>
        <v/>
      </c>
      <c r="AL1617" t="s">
        <v>12147</v>
      </c>
      <c r="AM1617" t="s">
        <v>215</v>
      </c>
      <c r="AN1617" s="3">
        <v>30005</v>
      </c>
      <c r="AO1617" t="s">
        <v>101</v>
      </c>
      <c r="AQ1617" t="str">
        <f>"+19193414635"</f>
        <v>+19193414635</v>
      </c>
      <c r="AS1617" t="s">
        <v>4106</v>
      </c>
      <c r="AT1617" t="s">
        <v>107</v>
      </c>
      <c r="AU1617" t="str">
        <f>"RIVERA"</f>
        <v>RIVERA</v>
      </c>
      <c r="AV1617" t="str">
        <f>"JUSTIN"</f>
        <v>JUSTIN</v>
      </c>
      <c r="AW1617" t="str">
        <f>"ALBERTO"</f>
        <v>ALBERTO</v>
      </c>
      <c r="AX1617" t="str">
        <f>"P.O BOX 421409"</f>
        <v>P.O BOX 421409</v>
      </c>
      <c r="AY1617" t="str">
        <f>""</f>
        <v/>
      </c>
      <c r="AZ1617" t="str">
        <f>"HOUSTON"</f>
        <v>HOUSTON</v>
      </c>
      <c r="BA1617" t="str">
        <f>"TX"</f>
        <v>TX</v>
      </c>
      <c r="BB1617" s="3" t="s">
        <v>12315</v>
      </c>
      <c r="BC1617" t="str">
        <f>"UNITED STATES OF AMERICA"</f>
        <v>UNITED STATES OF AMERICA</v>
      </c>
      <c r="BD1617" t="str">
        <f>"N/A"</f>
        <v>N/A</v>
      </c>
      <c r="BE1617" t="str">
        <f>"+17134291816"</f>
        <v>+17134291816</v>
      </c>
      <c r="BF1617" t="str">
        <f>""</f>
        <v/>
      </c>
      <c r="BG1617" t="str">
        <f>"JUSTIN@RNLAWGROUP.COM"</f>
        <v>JUSTIN@RNLAWGROUP.COM</v>
      </c>
      <c r="BH1617" t="str">
        <f>"REDDY &amp; NEUMANN, P.C."</f>
        <v>REDDY &amp; NEUMANN, P.C.</v>
      </c>
      <c r="BI1617" t="str">
        <f>"TX"</f>
        <v>TX</v>
      </c>
      <c r="BJ1617" t="str">
        <f>"SUPREME COURT"</f>
        <v>SUPREME COURT</v>
      </c>
      <c r="BK1617">
        <v>1</v>
      </c>
      <c r="BL1617" t="s">
        <v>107</v>
      </c>
      <c r="BM1617" t="str">
        <f>"Walmart"</f>
        <v>Walmart</v>
      </c>
      <c r="BN1617" t="s">
        <v>12148</v>
      </c>
      <c r="BP1617" t="s">
        <v>1152</v>
      </c>
      <c r="BQ1617" t="s">
        <v>640</v>
      </c>
      <c r="BR1617" t="s">
        <v>641</v>
      </c>
      <c r="BS1617" s="5">
        <v>72712</v>
      </c>
      <c r="BT1617" s="2">
        <v>81000</v>
      </c>
      <c r="BV1617" t="s">
        <v>105</v>
      </c>
      <c r="BW1617" s="2">
        <v>76440</v>
      </c>
      <c r="BX1617" t="s">
        <v>105</v>
      </c>
      <c r="BZ1617" t="s">
        <v>167</v>
      </c>
      <c r="CA1617" t="str">
        <f t="shared" si="123"/>
        <v>7/1/2020 - 6/30/2021</v>
      </c>
      <c r="CF1617">
        <v>2</v>
      </c>
      <c r="CG1617" t="s">
        <v>98</v>
      </c>
      <c r="CH1617" t="s">
        <v>98</v>
      </c>
      <c r="CI1617" t="s">
        <v>206</v>
      </c>
      <c r="CJ1617" t="s">
        <v>98</v>
      </c>
      <c r="CK1617" t="s">
        <v>12324</v>
      </c>
      <c r="CL1617" t="s">
        <v>108</v>
      </c>
      <c r="CM1617" t="s">
        <v>109</v>
      </c>
      <c r="CN1617" t="str">
        <f>""</f>
        <v/>
      </c>
      <c r="CO1617" t="str">
        <f>""</f>
        <v/>
      </c>
      <c r="CP1617" t="str">
        <f>""</f>
        <v/>
      </c>
      <c r="CQ1617" t="str">
        <f>""</f>
        <v/>
      </c>
    </row>
    <row r="1618" spans="1:96" x14ac:dyDescent="0.2">
      <c r="A1618" t="s">
        <v>9117</v>
      </c>
      <c r="B1618" t="s">
        <v>96</v>
      </c>
      <c r="C1618" s="1">
        <v>44099</v>
      </c>
      <c r="D1618" s="1">
        <v>44106</v>
      </c>
      <c r="F1618" t="s">
        <v>97</v>
      </c>
      <c r="G1618" t="str">
        <f>"DevOps Engineer"</f>
        <v>DevOps Engineer</v>
      </c>
      <c r="H1618" t="s">
        <v>12169</v>
      </c>
      <c r="I1618" t="s">
        <v>124</v>
      </c>
      <c r="J1618" t="s">
        <v>206</v>
      </c>
      <c r="K1618" s="1">
        <v>44105</v>
      </c>
      <c r="L1618" s="1">
        <v>45199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 t="s">
        <v>7676</v>
      </c>
      <c r="U1618" t="str">
        <f>""</f>
        <v/>
      </c>
      <c r="V1618" t="s">
        <v>7677</v>
      </c>
      <c r="W1618" t="str">
        <f>"2ND FLOOR"</f>
        <v>2ND FLOOR</v>
      </c>
      <c r="X1618" t="s">
        <v>1873</v>
      </c>
      <c r="Y1618" t="s">
        <v>100</v>
      </c>
      <c r="Z1618" s="3">
        <v>8902</v>
      </c>
      <c r="AA1618" t="s">
        <v>101</v>
      </c>
      <c r="AC1618" s="4" t="str">
        <f>"+17325436403"</f>
        <v>+17325436403</v>
      </c>
      <c r="AE1618" t="str">
        <f>"541511"</f>
        <v>541511</v>
      </c>
      <c r="AF1618" t="s">
        <v>7678</v>
      </c>
      <c r="AG1618" t="s">
        <v>7679</v>
      </c>
      <c r="AI1618" t="s">
        <v>425</v>
      </c>
      <c r="AJ1618" t="s">
        <v>7677</v>
      </c>
      <c r="AK1618" t="str">
        <f>"2ND FLOOR"</f>
        <v>2ND FLOOR</v>
      </c>
      <c r="AL1618" t="s">
        <v>1873</v>
      </c>
      <c r="AM1618" t="s">
        <v>100</v>
      </c>
      <c r="AN1618" s="3">
        <v>8902</v>
      </c>
      <c r="AO1618" t="s">
        <v>101</v>
      </c>
      <c r="AQ1618" t="str">
        <f>"+17325436403"</f>
        <v>+17325436403</v>
      </c>
      <c r="AS1618" t="s">
        <v>7680</v>
      </c>
      <c r="AT1618" t="s">
        <v>107</v>
      </c>
      <c r="AU1618" t="str">
        <f>"ILINDRA"</f>
        <v>ILINDRA</v>
      </c>
      <c r="AV1618" t="str">
        <f>"BHANU"</f>
        <v>BHANU</v>
      </c>
      <c r="AW1618" t="str">
        <f>"B"</f>
        <v>B</v>
      </c>
      <c r="AX1618" t="str">
        <f>"P.O. BOX 1114"</f>
        <v>P.O. BOX 1114</v>
      </c>
      <c r="AY1618" t="str">
        <f>""</f>
        <v/>
      </c>
      <c r="AZ1618" t="str">
        <f>"HERNDON"</f>
        <v>HERNDON</v>
      </c>
      <c r="BA1618" t="str">
        <f>"VA"</f>
        <v>VA</v>
      </c>
      <c r="BB1618" s="3">
        <v>20170</v>
      </c>
      <c r="BC1618" t="str">
        <f>"UNITED STATES OF AMERICA"</f>
        <v>UNITED STATES OF AMERICA</v>
      </c>
      <c r="BD1618" t="str">
        <f>""</f>
        <v/>
      </c>
      <c r="BE1618" t="str">
        <f>"+17034967722"</f>
        <v>+17034967722</v>
      </c>
      <c r="BF1618" t="str">
        <f>""</f>
        <v/>
      </c>
      <c r="BG1618" t="str">
        <f>"BHANU@BBILAWGROUP.COM"</f>
        <v>BHANU@BBILAWGROUP.COM</v>
      </c>
      <c r="BH1618" t="str">
        <f>"BBI LAW GROUP, P.C."</f>
        <v>BBI LAW GROUP, P.C.</v>
      </c>
      <c r="BI1618" t="str">
        <f>"NY"</f>
        <v>NY</v>
      </c>
      <c r="BJ1618" t="str">
        <f>"THIRD APPELLATE COURT"</f>
        <v>THIRD APPELLATE COURT</v>
      </c>
      <c r="BK1618">
        <v>1</v>
      </c>
      <c r="BL1618" t="s">
        <v>107</v>
      </c>
      <c r="BM1618" t="str">
        <f>"Toyota  "</f>
        <v xml:space="preserve">Toyota  </v>
      </c>
      <c r="BN1618" t="s">
        <v>757</v>
      </c>
      <c r="BP1618" t="s">
        <v>297</v>
      </c>
      <c r="BQ1618" t="s">
        <v>556</v>
      </c>
      <c r="BR1618" t="s">
        <v>114</v>
      </c>
      <c r="BS1618" s="5">
        <v>75024</v>
      </c>
      <c r="BT1618" s="2">
        <v>54.5</v>
      </c>
      <c r="BV1618" t="s">
        <v>210</v>
      </c>
      <c r="BW1618" s="2">
        <v>44.98</v>
      </c>
      <c r="BX1618" t="s">
        <v>210</v>
      </c>
      <c r="BZ1618" t="s">
        <v>167</v>
      </c>
      <c r="CA1618" t="str">
        <f t="shared" si="123"/>
        <v>7/1/2020 - 6/30/2021</v>
      </c>
      <c r="CF1618">
        <v>2</v>
      </c>
      <c r="CG1618" t="s">
        <v>98</v>
      </c>
      <c r="CH1618" t="s">
        <v>98</v>
      </c>
      <c r="CI1618" t="s">
        <v>206</v>
      </c>
      <c r="CJ1618" t="s">
        <v>98</v>
      </c>
      <c r="CK1618" t="s">
        <v>12325</v>
      </c>
      <c r="CL1618" t="s">
        <v>107</v>
      </c>
      <c r="CM1618" t="s">
        <v>109</v>
      </c>
      <c r="CN1618" t="str">
        <f>"Ilindra"</f>
        <v>Ilindra</v>
      </c>
      <c r="CO1618" t="str">
        <f>"Bhanu"</f>
        <v>Bhanu</v>
      </c>
      <c r="CP1618" t="str">
        <f>"B"</f>
        <v>B</v>
      </c>
      <c r="CQ1618" t="str">
        <f>"BBI LAW Group, P.C."</f>
        <v>BBI LAW Group, P.C.</v>
      </c>
      <c r="CR1618" t="s">
        <v>1320</v>
      </c>
    </row>
    <row r="1619" spans="1:96" x14ac:dyDescent="0.2">
      <c r="A1619" t="s">
        <v>10785</v>
      </c>
      <c r="B1619" t="s">
        <v>96</v>
      </c>
      <c r="C1619" s="1">
        <v>44099</v>
      </c>
      <c r="D1619" s="1">
        <v>44106</v>
      </c>
      <c r="F1619" t="s">
        <v>97</v>
      </c>
      <c r="G1619" t="str">
        <f>"Technical Recruiter"</f>
        <v>Technical Recruiter</v>
      </c>
      <c r="H1619" t="s">
        <v>12241</v>
      </c>
      <c r="I1619" t="s">
        <v>3257</v>
      </c>
      <c r="J1619" t="s">
        <v>98</v>
      </c>
      <c r="K1619" s="1">
        <v>44105</v>
      </c>
      <c r="L1619" s="1">
        <v>45199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4986</v>
      </c>
      <c r="U1619" t="str">
        <f>""</f>
        <v/>
      </c>
      <c r="V1619" t="s">
        <v>4987</v>
      </c>
      <c r="W1619" t="str">
        <f>"STE 101"</f>
        <v>STE 101</v>
      </c>
      <c r="X1619" t="s">
        <v>3202</v>
      </c>
      <c r="Y1619" t="s">
        <v>100</v>
      </c>
      <c r="Z1619" s="3">
        <v>8807</v>
      </c>
      <c r="AA1619" t="s">
        <v>101</v>
      </c>
      <c r="AC1619" s="4" t="str">
        <f>"+19084298008"</f>
        <v>+19084298008</v>
      </c>
      <c r="AD1619">
        <v>5065</v>
      </c>
      <c r="AE1619" t="str">
        <f>"541519"</f>
        <v>541519</v>
      </c>
      <c r="AF1619" t="s">
        <v>4988</v>
      </c>
      <c r="AG1619" t="s">
        <v>4989</v>
      </c>
      <c r="AI1619" t="s">
        <v>497</v>
      </c>
      <c r="AJ1619" t="s">
        <v>4987</v>
      </c>
      <c r="AK1619" t="str">
        <f>"STE 101"</f>
        <v>STE 101</v>
      </c>
      <c r="AL1619" t="s">
        <v>3202</v>
      </c>
      <c r="AM1619" t="s">
        <v>100</v>
      </c>
      <c r="AN1619" s="3">
        <v>8807</v>
      </c>
      <c r="AO1619" t="s">
        <v>101</v>
      </c>
      <c r="AQ1619" t="str">
        <f>"+19084298008"</f>
        <v>+19084298008</v>
      </c>
      <c r="AR1619">
        <v>5060</v>
      </c>
      <c r="AS1619" t="s">
        <v>4990</v>
      </c>
      <c r="AT1619" t="s">
        <v>102</v>
      </c>
      <c r="AU1619" t="str">
        <f>""</f>
        <v/>
      </c>
      <c r="AV1619" t="str">
        <f>""</f>
        <v/>
      </c>
      <c r="AW1619" t="str">
        <f>""</f>
        <v/>
      </c>
      <c r="AX1619" t="str">
        <f>""</f>
        <v/>
      </c>
      <c r="AY1619" t="str">
        <f>""</f>
        <v/>
      </c>
      <c r="AZ1619" t="str">
        <f>""</f>
        <v/>
      </c>
      <c r="BA1619" t="str">
        <f>""</f>
        <v/>
      </c>
      <c r="BC1619" t="str">
        <f>""</f>
        <v/>
      </c>
      <c r="BD1619" t="str">
        <f>""</f>
        <v/>
      </c>
      <c r="BE1619" t="str">
        <f>""</f>
        <v/>
      </c>
      <c r="BF1619" t="str">
        <f>""</f>
        <v/>
      </c>
      <c r="BG1619" t="str">
        <f>""</f>
        <v/>
      </c>
      <c r="BH1619" t="str">
        <f>""</f>
        <v/>
      </c>
      <c r="BI1619" t="str">
        <f>""</f>
        <v/>
      </c>
      <c r="BJ1619" t="str">
        <f>""</f>
        <v/>
      </c>
      <c r="BK1619">
        <v>1</v>
      </c>
      <c r="BL1619" t="s">
        <v>102</v>
      </c>
      <c r="BM1619" t="str">
        <f>""</f>
        <v/>
      </c>
      <c r="BN1619" t="s">
        <v>10786</v>
      </c>
      <c r="BO1619" t="s">
        <v>3865</v>
      </c>
      <c r="BP1619" t="s">
        <v>1999</v>
      </c>
      <c r="BQ1619" t="s">
        <v>535</v>
      </c>
      <c r="BR1619" t="s">
        <v>100</v>
      </c>
      <c r="BS1619" s="5">
        <v>8807</v>
      </c>
      <c r="BT1619" s="2">
        <v>47500</v>
      </c>
      <c r="BV1619" t="s">
        <v>105</v>
      </c>
      <c r="BW1619" s="2">
        <v>47237</v>
      </c>
      <c r="BX1619" t="s">
        <v>105</v>
      </c>
      <c r="BZ1619" t="s">
        <v>191</v>
      </c>
      <c r="CA1619" t="str">
        <f t="shared" si="123"/>
        <v>7/1/2020 - 6/30/2021</v>
      </c>
      <c r="CF1619">
        <v>2</v>
      </c>
      <c r="CG1619" t="s">
        <v>98</v>
      </c>
      <c r="CH1619" t="s">
        <v>98</v>
      </c>
      <c r="CI1619" t="s">
        <v>206</v>
      </c>
      <c r="CJ1619" t="s">
        <v>98</v>
      </c>
      <c r="CK1619" t="s">
        <v>12325</v>
      </c>
      <c r="CL1619" t="s">
        <v>107</v>
      </c>
      <c r="CM1619" t="s">
        <v>109</v>
      </c>
      <c r="CN1619" t="str">
        <f>"Prasad"</f>
        <v>Prasad</v>
      </c>
      <c r="CO1619" t="str">
        <f>"Sudhir"</f>
        <v>Sudhir</v>
      </c>
      <c r="CP1619" t="str">
        <f>"N/A"</f>
        <v>N/A</v>
      </c>
      <c r="CQ1619" t="str">
        <f>"cyberThink, Inc."</f>
        <v>cyberThink, Inc.</v>
      </c>
      <c r="CR1619" t="s">
        <v>4991</v>
      </c>
    </row>
    <row r="1620" spans="1:96" x14ac:dyDescent="0.2">
      <c r="A1620" t="s">
        <v>11581</v>
      </c>
      <c r="B1620" t="s">
        <v>96</v>
      </c>
      <c r="C1620" s="1">
        <v>44099</v>
      </c>
      <c r="D1620" s="1">
        <v>44106</v>
      </c>
      <c r="F1620" t="s">
        <v>97</v>
      </c>
      <c r="G1620" t="str">
        <f>"Data Engineer"</f>
        <v>Data Engineer</v>
      </c>
      <c r="H1620" t="s">
        <v>12220</v>
      </c>
      <c r="I1620" t="s">
        <v>963</v>
      </c>
      <c r="J1620" t="s">
        <v>98</v>
      </c>
      <c r="K1620" s="1">
        <v>44102</v>
      </c>
      <c r="L1620" s="1">
        <v>45196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 t="s">
        <v>8345</v>
      </c>
      <c r="U1620" t="str">
        <f>""</f>
        <v/>
      </c>
      <c r="V1620" t="s">
        <v>8346</v>
      </c>
      <c r="W1620" t="str">
        <f>"Building 200"</f>
        <v>Building 200</v>
      </c>
      <c r="X1620" t="s">
        <v>2790</v>
      </c>
      <c r="Y1620" t="s">
        <v>114</v>
      </c>
      <c r="Z1620" s="3">
        <v>75022</v>
      </c>
      <c r="AA1620" t="s">
        <v>101</v>
      </c>
      <c r="AC1620" s="4" t="str">
        <f>"+12142240866"</f>
        <v>+12142240866</v>
      </c>
      <c r="AE1620" t="str">
        <f>"541512"</f>
        <v>541512</v>
      </c>
      <c r="AF1620" t="s">
        <v>4474</v>
      </c>
      <c r="AG1620" t="s">
        <v>1341</v>
      </c>
      <c r="AI1620" t="s">
        <v>9027</v>
      </c>
      <c r="AJ1620" t="s">
        <v>8346</v>
      </c>
      <c r="AK1620" t="str">
        <f>"Building 200"</f>
        <v>Building 200</v>
      </c>
      <c r="AL1620" t="s">
        <v>2790</v>
      </c>
      <c r="AM1620" t="s">
        <v>114</v>
      </c>
      <c r="AN1620" s="3">
        <v>75022</v>
      </c>
      <c r="AO1620" t="s">
        <v>101</v>
      </c>
      <c r="AQ1620" t="str">
        <f>"+12142240866"</f>
        <v>+12142240866</v>
      </c>
      <c r="AR1620">
        <v>103</v>
      </c>
      <c r="AS1620" t="s">
        <v>8347</v>
      </c>
      <c r="AT1620" t="s">
        <v>102</v>
      </c>
      <c r="AU1620" t="str">
        <f>""</f>
        <v/>
      </c>
      <c r="AV1620" t="str">
        <f>""</f>
        <v/>
      </c>
      <c r="AW1620" t="str">
        <f>""</f>
        <v/>
      </c>
      <c r="AX1620" t="str">
        <f>""</f>
        <v/>
      </c>
      <c r="AY1620" t="str">
        <f>""</f>
        <v/>
      </c>
      <c r="AZ1620" t="str">
        <f>""</f>
        <v/>
      </c>
      <c r="BA1620" t="str">
        <f>""</f>
        <v/>
      </c>
      <c r="BC1620" t="str">
        <f>""</f>
        <v/>
      </c>
      <c r="BD1620" t="str">
        <f>""</f>
        <v/>
      </c>
      <c r="BE1620" t="str">
        <f>""</f>
        <v/>
      </c>
      <c r="BF1620" t="str">
        <f>""</f>
        <v/>
      </c>
      <c r="BG1620" t="str">
        <f>""</f>
        <v/>
      </c>
      <c r="BH1620" t="str">
        <f>""</f>
        <v/>
      </c>
      <c r="BI1620" t="str">
        <f>""</f>
        <v/>
      </c>
      <c r="BJ1620" t="str">
        <f>""</f>
        <v/>
      </c>
      <c r="BK1620">
        <v>1</v>
      </c>
      <c r="BL1620" t="s">
        <v>102</v>
      </c>
      <c r="BM1620" t="str">
        <f>""</f>
        <v/>
      </c>
      <c r="BN1620" t="s">
        <v>8346</v>
      </c>
      <c r="BO1620" t="s">
        <v>4129</v>
      </c>
      <c r="BP1620" t="s">
        <v>2790</v>
      </c>
      <c r="BQ1620" t="s">
        <v>1888</v>
      </c>
      <c r="BR1620" t="s">
        <v>114</v>
      </c>
      <c r="BS1620" s="5">
        <v>75022</v>
      </c>
      <c r="BT1620" s="2">
        <v>44</v>
      </c>
      <c r="BV1620" t="s">
        <v>210</v>
      </c>
      <c r="BW1620" s="2">
        <v>37.9</v>
      </c>
      <c r="BX1620" t="s">
        <v>210</v>
      </c>
      <c r="BZ1620" t="s">
        <v>123</v>
      </c>
      <c r="CA1620" t="str">
        <f t="shared" si="123"/>
        <v>7/1/2020 - 6/30/2021</v>
      </c>
      <c r="CF1620">
        <v>2</v>
      </c>
      <c r="CG1620" t="s">
        <v>98</v>
      </c>
      <c r="CH1620" t="s">
        <v>98</v>
      </c>
      <c r="CI1620" t="s">
        <v>206</v>
      </c>
      <c r="CJ1620" t="s">
        <v>98</v>
      </c>
      <c r="CK1620" t="s">
        <v>12325</v>
      </c>
      <c r="CL1620" t="s">
        <v>107</v>
      </c>
      <c r="CM1620" t="s">
        <v>109</v>
      </c>
      <c r="CN1620" t="str">
        <f>""</f>
        <v/>
      </c>
      <c r="CO1620" t="str">
        <f>""</f>
        <v/>
      </c>
      <c r="CP1620" t="str">
        <f>""</f>
        <v/>
      </c>
      <c r="CQ1620" t="str">
        <f>""</f>
        <v/>
      </c>
    </row>
    <row r="1621" spans="1:96" x14ac:dyDescent="0.2">
      <c r="A1621" t="s">
        <v>485</v>
      </c>
      <c r="B1621" t="s">
        <v>96</v>
      </c>
      <c r="C1621" s="1">
        <v>44099</v>
      </c>
      <c r="D1621" s="1">
        <v>44106</v>
      </c>
      <c r="F1621" t="s">
        <v>97</v>
      </c>
      <c r="G1621" t="str">
        <f>"Senior Technician"</f>
        <v>Senior Technician</v>
      </c>
      <c r="H1621" t="s">
        <v>12223</v>
      </c>
      <c r="I1621" t="s">
        <v>486</v>
      </c>
      <c r="J1621" t="s">
        <v>98</v>
      </c>
      <c r="K1621" s="1">
        <v>44245</v>
      </c>
      <c r="L1621" s="1">
        <v>45339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487</v>
      </c>
      <c r="U1621" t="str">
        <f>""</f>
        <v/>
      </c>
      <c r="V1621" t="s">
        <v>488</v>
      </c>
      <c r="W1621" t="str">
        <f>"Box 57B"</f>
        <v>Box 57B</v>
      </c>
      <c r="X1621" t="s">
        <v>277</v>
      </c>
      <c r="Y1621" t="s">
        <v>190</v>
      </c>
      <c r="Z1621" s="3">
        <v>10032</v>
      </c>
      <c r="AA1621" t="s">
        <v>101</v>
      </c>
      <c r="AC1621" s="4" t="str">
        <f>"+12123058267"</f>
        <v>+12123058267</v>
      </c>
      <c r="AE1621" t="str">
        <f>"611310"</f>
        <v>611310</v>
      </c>
      <c r="AF1621" t="s">
        <v>489</v>
      </c>
      <c r="AG1621" t="s">
        <v>490</v>
      </c>
      <c r="AH1621" t="s">
        <v>491</v>
      </c>
      <c r="AI1621" t="s">
        <v>117</v>
      </c>
      <c r="AJ1621" t="s">
        <v>488</v>
      </c>
      <c r="AK1621" t="str">
        <f>"Box 57B"</f>
        <v>Box 57B</v>
      </c>
      <c r="AL1621" t="s">
        <v>277</v>
      </c>
      <c r="AM1621" t="s">
        <v>190</v>
      </c>
      <c r="AN1621" s="3">
        <v>10032</v>
      </c>
      <c r="AO1621" t="s">
        <v>101</v>
      </c>
      <c r="AQ1621" t="str">
        <f>"+12123058267"</f>
        <v>+12123058267</v>
      </c>
      <c r="AS1621" t="s">
        <v>492</v>
      </c>
      <c r="AT1621" t="s">
        <v>102</v>
      </c>
      <c r="AU1621" t="str">
        <f>""</f>
        <v/>
      </c>
      <c r="AV1621" t="str">
        <f>""</f>
        <v/>
      </c>
      <c r="AW1621" t="str">
        <f>""</f>
        <v/>
      </c>
      <c r="AX1621" t="str">
        <f>""</f>
        <v/>
      </c>
      <c r="AY1621" t="str">
        <f>""</f>
        <v/>
      </c>
      <c r="AZ1621" t="str">
        <f>""</f>
        <v/>
      </c>
      <c r="BA1621" t="str">
        <f>""</f>
        <v/>
      </c>
      <c r="BC1621" t="str">
        <f>""</f>
        <v/>
      </c>
      <c r="BD1621" t="str">
        <f>""</f>
        <v/>
      </c>
      <c r="BE1621" t="str">
        <f>""</f>
        <v/>
      </c>
      <c r="BF1621" t="str">
        <f>""</f>
        <v/>
      </c>
      <c r="BG1621" t="str">
        <f>""</f>
        <v/>
      </c>
      <c r="BH1621" t="str">
        <f>""</f>
        <v/>
      </c>
      <c r="BI1621" t="str">
        <f>""</f>
        <v/>
      </c>
      <c r="BJ1621" t="str">
        <f>""</f>
        <v/>
      </c>
      <c r="BK1621">
        <v>1</v>
      </c>
      <c r="BL1621" t="s">
        <v>102</v>
      </c>
      <c r="BM1621" t="str">
        <f>""</f>
        <v/>
      </c>
      <c r="BN1621" t="s">
        <v>488</v>
      </c>
      <c r="BP1621" t="s">
        <v>277</v>
      </c>
      <c r="BQ1621" t="s">
        <v>189</v>
      </c>
      <c r="BR1621" t="s">
        <v>190</v>
      </c>
      <c r="BS1621" s="5">
        <v>10032</v>
      </c>
      <c r="BT1621" s="2">
        <v>51958</v>
      </c>
      <c r="BV1621" t="s">
        <v>105</v>
      </c>
      <c r="BW1621" s="2">
        <v>51958</v>
      </c>
      <c r="BX1621" t="s">
        <v>105</v>
      </c>
      <c r="CA1621" t="str">
        <f>""</f>
        <v/>
      </c>
      <c r="CB1621" t="s">
        <v>106</v>
      </c>
      <c r="CC1621">
        <v>2020</v>
      </c>
      <c r="CF1621">
        <v>1</v>
      </c>
      <c r="CG1621" t="s">
        <v>98</v>
      </c>
      <c r="CH1621" t="s">
        <v>206</v>
      </c>
      <c r="CI1621" t="s">
        <v>206</v>
      </c>
      <c r="CL1621" t="s">
        <v>108</v>
      </c>
      <c r="CM1621" t="s">
        <v>109</v>
      </c>
      <c r="CN1621" t="str">
        <f>""</f>
        <v/>
      </c>
      <c r="CO1621" t="str">
        <f>""</f>
        <v/>
      </c>
      <c r="CP1621" t="str">
        <f>""</f>
        <v/>
      </c>
      <c r="CQ1621" t="str">
        <f>""</f>
        <v/>
      </c>
    </row>
    <row r="1622" spans="1:96" x14ac:dyDescent="0.2">
      <c r="A1622" t="s">
        <v>922</v>
      </c>
      <c r="B1622" t="s">
        <v>96</v>
      </c>
      <c r="C1622" s="1">
        <v>44099</v>
      </c>
      <c r="D1622" s="1">
        <v>44106</v>
      </c>
      <c r="F1622" t="s">
        <v>97</v>
      </c>
      <c r="G1622" t="str">
        <f>"Professional Programmer Analyst "</f>
        <v xml:space="preserve">Professional Programmer Analyst </v>
      </c>
      <c r="H1622" t="s">
        <v>12169</v>
      </c>
      <c r="I1622" t="s">
        <v>124</v>
      </c>
      <c r="J1622" t="s">
        <v>98</v>
      </c>
      <c r="K1622" s="1">
        <v>44109</v>
      </c>
      <c r="L1622" s="1">
        <v>45203</v>
      </c>
      <c r="M1622">
        <v>24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 t="s">
        <v>923</v>
      </c>
      <c r="U1622" t="str">
        <f>""</f>
        <v/>
      </c>
      <c r="V1622" t="s">
        <v>924</v>
      </c>
      <c r="W1622" t="str">
        <f>"Floor 9"</f>
        <v>Floor 9</v>
      </c>
      <c r="X1622" t="s">
        <v>925</v>
      </c>
      <c r="Y1622" t="s">
        <v>135</v>
      </c>
      <c r="Z1622" s="3">
        <v>22102</v>
      </c>
      <c r="AA1622" t="s">
        <v>101</v>
      </c>
      <c r="AC1622" s="4" t="str">
        <f>"+14698083070"</f>
        <v>+14698083070</v>
      </c>
      <c r="AE1622" t="str">
        <f>"541519"</f>
        <v>541519</v>
      </c>
      <c r="AF1622" t="s">
        <v>926</v>
      </c>
      <c r="AG1622" t="s">
        <v>927</v>
      </c>
      <c r="AI1622" t="s">
        <v>928</v>
      </c>
      <c r="AJ1622" t="s">
        <v>929</v>
      </c>
      <c r="AK1622" t="str">
        <f>"3rd floor"</f>
        <v>3rd floor</v>
      </c>
      <c r="AL1622" t="s">
        <v>761</v>
      </c>
      <c r="AM1622" t="s">
        <v>114</v>
      </c>
      <c r="AN1622" s="3">
        <v>75080</v>
      </c>
      <c r="AO1622" t="s">
        <v>101</v>
      </c>
      <c r="AQ1622" t="str">
        <f>"+14698083070"</f>
        <v>+14698083070</v>
      </c>
      <c r="AS1622" t="s">
        <v>930</v>
      </c>
      <c r="AT1622" t="s">
        <v>107</v>
      </c>
      <c r="AU1622" t="str">
        <f>"Anstey "</f>
        <v xml:space="preserve">Anstey </v>
      </c>
      <c r="AV1622" t="str">
        <f>"Sarah"</f>
        <v>Sarah</v>
      </c>
      <c r="AW1622" t="str">
        <f>""</f>
        <v/>
      </c>
      <c r="AX1622" t="str">
        <f>"2121 Tasman Drive"</f>
        <v>2121 Tasman Drive</v>
      </c>
      <c r="AY1622" t="str">
        <f>""</f>
        <v/>
      </c>
      <c r="AZ1622" t="str">
        <f>"Santa Clara"</f>
        <v>Santa Clara</v>
      </c>
      <c r="BA1622" t="str">
        <f>"CA"</f>
        <v>CA</v>
      </c>
      <c r="BB1622" s="3">
        <v>95054</v>
      </c>
      <c r="BC1622" t="str">
        <f>"UNITED STATES OF AMERICA"</f>
        <v>UNITED STATES OF AMERICA</v>
      </c>
      <c r="BD1622" t="str">
        <f>""</f>
        <v/>
      </c>
      <c r="BE1622" t="str">
        <f>"+14089190600"</f>
        <v>+14089190600</v>
      </c>
      <c r="BF1622" t="str">
        <f>""</f>
        <v/>
      </c>
      <c r="BG1622" t="str">
        <f>"DXCTechnology@fragomen.com"</f>
        <v>DXCTechnology@fragomen.com</v>
      </c>
      <c r="BH1622" t="str">
        <f>"Fragomen, Del Rey, Bernsen &amp; Loewy, LLP"</f>
        <v>Fragomen, Del Rey, Bernsen &amp; Loewy, LLP</v>
      </c>
      <c r="BI1622" t="str">
        <f>"NY"</f>
        <v>NY</v>
      </c>
      <c r="BJ1622" t="str">
        <f>"Appellate Division, First Department"</f>
        <v>Appellate Division, First Department</v>
      </c>
      <c r="BK1622">
        <v>24</v>
      </c>
      <c r="BL1622" t="s">
        <v>107</v>
      </c>
      <c r="BM1622" t="str">
        <f>"Pacific Life Insurance "</f>
        <v xml:space="preserve">Pacific Life Insurance </v>
      </c>
      <c r="BN1622" t="s">
        <v>931</v>
      </c>
      <c r="BP1622" t="s">
        <v>932</v>
      </c>
      <c r="BQ1622" t="s">
        <v>933</v>
      </c>
      <c r="BR1622" t="s">
        <v>934</v>
      </c>
      <c r="BS1622" s="5">
        <v>68106</v>
      </c>
      <c r="BT1622" s="2">
        <v>79019</v>
      </c>
      <c r="BV1622" t="s">
        <v>105</v>
      </c>
      <c r="BW1622" s="2">
        <v>79019</v>
      </c>
      <c r="BX1622" t="s">
        <v>105</v>
      </c>
      <c r="BZ1622" t="s">
        <v>167</v>
      </c>
      <c r="CA1622" t="str">
        <f t="shared" ref="CA1622:CA1629" si="127">"7/1/2020 - 6/30/2021"</f>
        <v>7/1/2020 - 6/30/2021</v>
      </c>
      <c r="CF1622">
        <v>1</v>
      </c>
      <c r="CG1622" t="s">
        <v>98</v>
      </c>
      <c r="CH1622" t="s">
        <v>206</v>
      </c>
      <c r="CI1622" t="s">
        <v>206</v>
      </c>
      <c r="CL1622" t="s">
        <v>108</v>
      </c>
      <c r="CM1622" t="s">
        <v>109</v>
      </c>
      <c r="CN1622" t="str">
        <f>"Halimi"</f>
        <v>Halimi</v>
      </c>
      <c r="CO1622" t="str">
        <f>"Madeha"</f>
        <v>Madeha</v>
      </c>
      <c r="CP1622" t="str">
        <f>""</f>
        <v/>
      </c>
      <c r="CQ1622" t="str">
        <f>"Fragomen, Del Rey, Bernsen &amp; Loewy, LLP"</f>
        <v>Fragomen, Del Rey, Bernsen &amp; Loewy, LLP</v>
      </c>
      <c r="CR1622" t="s">
        <v>935</v>
      </c>
    </row>
    <row r="1623" spans="1:96" x14ac:dyDescent="0.2">
      <c r="A1623" t="s">
        <v>961</v>
      </c>
      <c r="B1623" t="s">
        <v>96</v>
      </c>
      <c r="C1623" s="1">
        <v>44099</v>
      </c>
      <c r="D1623" s="1">
        <v>44106</v>
      </c>
      <c r="F1623" t="s">
        <v>97</v>
      </c>
      <c r="G1623" t="str">
        <f>"Electrical Engineer"</f>
        <v>Electrical Engineer</v>
      </c>
      <c r="H1623" t="s">
        <v>12258</v>
      </c>
      <c r="I1623" t="s">
        <v>863</v>
      </c>
      <c r="J1623" t="s">
        <v>98</v>
      </c>
      <c r="K1623" s="1">
        <v>44281</v>
      </c>
      <c r="L1623" s="1">
        <v>45376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 t="s">
        <v>173</v>
      </c>
      <c r="U1623" t="str">
        <f>""</f>
        <v/>
      </c>
      <c r="V1623" t="s">
        <v>174</v>
      </c>
      <c r="W1623" t="str">
        <f>"N/A"</f>
        <v>N/A</v>
      </c>
      <c r="X1623" t="s">
        <v>175</v>
      </c>
      <c r="Y1623" t="s">
        <v>176</v>
      </c>
      <c r="Z1623" s="3">
        <v>98052</v>
      </c>
      <c r="AA1623" t="s">
        <v>101</v>
      </c>
      <c r="AC1623" s="4" t="str">
        <f>"+14258828080"</f>
        <v>+14258828080</v>
      </c>
      <c r="AE1623" t="str">
        <f>"51121"</f>
        <v>51121</v>
      </c>
      <c r="AF1623" t="s">
        <v>177</v>
      </c>
      <c r="AG1623" t="s">
        <v>178</v>
      </c>
      <c r="AI1623" t="s">
        <v>179</v>
      </c>
      <c r="AJ1623" t="s">
        <v>174</v>
      </c>
      <c r="AK1623" t="str">
        <f>""</f>
        <v/>
      </c>
      <c r="AL1623" t="s">
        <v>175</v>
      </c>
      <c r="AM1623" t="s">
        <v>176</v>
      </c>
      <c r="AN1623" s="3">
        <v>98052</v>
      </c>
      <c r="AO1623" t="s">
        <v>101</v>
      </c>
      <c r="AQ1623" t="str">
        <f>"+14258828080"</f>
        <v>+14258828080</v>
      </c>
      <c r="AS1623" t="s">
        <v>180</v>
      </c>
      <c r="AT1623" t="s">
        <v>102</v>
      </c>
      <c r="AU1623" t="str">
        <f>""</f>
        <v/>
      </c>
      <c r="AV1623" t="str">
        <f>""</f>
        <v/>
      </c>
      <c r="AW1623" t="str">
        <f>""</f>
        <v/>
      </c>
      <c r="AX1623" t="str">
        <f>""</f>
        <v/>
      </c>
      <c r="AY1623" t="str">
        <f>""</f>
        <v/>
      </c>
      <c r="AZ1623" t="str">
        <f>""</f>
        <v/>
      </c>
      <c r="BA1623" t="str">
        <f>""</f>
        <v/>
      </c>
      <c r="BC1623" t="str">
        <f>""</f>
        <v/>
      </c>
      <c r="BD1623" t="str">
        <f>""</f>
        <v/>
      </c>
      <c r="BE1623" t="str">
        <f>""</f>
        <v/>
      </c>
      <c r="BF1623" t="str">
        <f>""</f>
        <v/>
      </c>
      <c r="BG1623" t="str">
        <f>""</f>
        <v/>
      </c>
      <c r="BH1623" t="str">
        <f>""</f>
        <v/>
      </c>
      <c r="BI1623" t="str">
        <f>""</f>
        <v/>
      </c>
      <c r="BJ1623" t="str">
        <f>""</f>
        <v/>
      </c>
      <c r="BK1623">
        <v>1</v>
      </c>
      <c r="BL1623" t="s">
        <v>102</v>
      </c>
      <c r="BM1623" t="str">
        <f>""</f>
        <v/>
      </c>
      <c r="BN1623" t="s">
        <v>962</v>
      </c>
      <c r="BP1623" t="s">
        <v>175</v>
      </c>
      <c r="BQ1623" t="s">
        <v>183</v>
      </c>
      <c r="BR1623" t="s">
        <v>176</v>
      </c>
      <c r="BS1623" s="5">
        <v>98052</v>
      </c>
      <c r="BT1623" s="2">
        <v>144155</v>
      </c>
      <c r="BV1623" t="s">
        <v>105</v>
      </c>
      <c r="BW1623" s="2">
        <v>125611</v>
      </c>
      <c r="BX1623" t="s">
        <v>105</v>
      </c>
      <c r="BZ1623" t="s">
        <v>167</v>
      </c>
      <c r="CA1623" t="str">
        <f t="shared" si="127"/>
        <v>7/1/2020 - 6/30/2021</v>
      </c>
      <c r="CF1623">
        <v>1</v>
      </c>
      <c r="CG1623" t="s">
        <v>98</v>
      </c>
      <c r="CH1623" t="s">
        <v>206</v>
      </c>
      <c r="CI1623" t="s">
        <v>206</v>
      </c>
      <c r="CL1623" t="s">
        <v>108</v>
      </c>
      <c r="CM1623" t="s">
        <v>109</v>
      </c>
      <c r="CN1623" t="str">
        <f>"Kodishala"</f>
        <v>Kodishala</v>
      </c>
      <c r="CO1623" t="str">
        <f>"Suresh"</f>
        <v>Suresh</v>
      </c>
      <c r="CP1623" t="str">
        <f>"N/A"</f>
        <v>N/A</v>
      </c>
      <c r="CQ1623" t="str">
        <f>"INTEGREON MANAGED SOLUTIONS (INDIA) PVT LTD"</f>
        <v>INTEGREON MANAGED SOLUTIONS (INDIA) PVT LTD</v>
      </c>
      <c r="CR1623" t="s">
        <v>231</v>
      </c>
    </row>
    <row r="1624" spans="1:96" x14ac:dyDescent="0.2">
      <c r="A1624" t="s">
        <v>1355</v>
      </c>
      <c r="B1624" t="s">
        <v>96</v>
      </c>
      <c r="C1624" s="1">
        <v>44099</v>
      </c>
      <c r="D1624" s="1">
        <v>44106</v>
      </c>
      <c r="F1624" t="s">
        <v>97</v>
      </c>
      <c r="G1624" t="str">
        <f>"SOFTWARE DEVELOPMENT ENGINEER I"</f>
        <v>SOFTWARE DEVELOPMENT ENGINEER I</v>
      </c>
      <c r="H1624" t="s">
        <v>12169</v>
      </c>
      <c r="I1624" t="s">
        <v>124</v>
      </c>
      <c r="J1624" t="s">
        <v>98</v>
      </c>
      <c r="K1624" s="1">
        <v>44281</v>
      </c>
      <c r="L1624" s="1">
        <v>45376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 t="s">
        <v>440</v>
      </c>
      <c r="U1624" t="str">
        <f>""</f>
        <v/>
      </c>
      <c r="V1624" t="s">
        <v>809</v>
      </c>
      <c r="W1624" t="str">
        <f>"SUITE 500"</f>
        <v>SUITE 500</v>
      </c>
      <c r="X1624" t="s">
        <v>433</v>
      </c>
      <c r="Y1624" t="s">
        <v>176</v>
      </c>
      <c r="Z1624" s="3">
        <v>98121</v>
      </c>
      <c r="AA1624" t="s">
        <v>101</v>
      </c>
      <c r="AC1624" s="4" t="str">
        <f>"+12062661000"</f>
        <v>+12062661000</v>
      </c>
      <c r="AE1624" t="str">
        <f>"454110"</f>
        <v>454110</v>
      </c>
      <c r="AF1624" t="s">
        <v>442</v>
      </c>
      <c r="AG1624" t="s">
        <v>443</v>
      </c>
      <c r="AH1624" t="s">
        <v>108</v>
      </c>
      <c r="AI1624" t="s">
        <v>434</v>
      </c>
      <c r="AJ1624" t="s">
        <v>809</v>
      </c>
      <c r="AK1624" t="str">
        <f>"SUITE 500"</f>
        <v>SUITE 500</v>
      </c>
      <c r="AL1624" t="s">
        <v>433</v>
      </c>
      <c r="AM1624" t="s">
        <v>176</v>
      </c>
      <c r="AN1624" s="3">
        <v>98121</v>
      </c>
      <c r="AO1624" t="s">
        <v>101</v>
      </c>
      <c r="AQ1624" t="str">
        <f>"+12062661000"</f>
        <v>+12062661000</v>
      </c>
      <c r="AS1624" t="s">
        <v>263</v>
      </c>
      <c r="AT1624" t="s">
        <v>107</v>
      </c>
      <c r="AU1624" t="str">
        <f>"MARANCI"</f>
        <v>MARANCI</v>
      </c>
      <c r="AV1624" t="str">
        <f>"DANIEL"</f>
        <v>DANIEL</v>
      </c>
      <c r="AW1624" t="str">
        <f>"N/A"</f>
        <v>N/A</v>
      </c>
      <c r="AX1624" t="str">
        <f>"100 HIGH STREET"</f>
        <v>100 HIGH STREET</v>
      </c>
      <c r="AY1624" t="str">
        <f>"3RD FLOOR C#5269708"</f>
        <v>3RD FLOOR C#5269708</v>
      </c>
      <c r="AZ1624" t="str">
        <f>"BOSTON"</f>
        <v>BOSTON</v>
      </c>
      <c r="BA1624" t="str">
        <f>"MA"</f>
        <v>MA</v>
      </c>
      <c r="BB1624" s="3">
        <v>2110</v>
      </c>
      <c r="BC1624" t="str">
        <f t="shared" ref="BC1624:BC1630" si="128">"UNITED STATES OF AMERICA"</f>
        <v>UNITED STATES OF AMERICA</v>
      </c>
      <c r="BD1624" t="str">
        <f>""</f>
        <v/>
      </c>
      <c r="BE1624" t="str">
        <f>"+16175740400"</f>
        <v>+16175740400</v>
      </c>
      <c r="BF1624" t="str">
        <f>""</f>
        <v/>
      </c>
      <c r="BG1624" t="str">
        <f>"AMAZONINDIA@FRAGOMEN.COM"</f>
        <v>AMAZONINDIA@FRAGOMEN.COM</v>
      </c>
      <c r="BH1624" t="str">
        <f>"FRAGOMEN, DEL REY, BERNSEN &amp; LOEWY, LLP"</f>
        <v>FRAGOMEN, DEL REY, BERNSEN &amp; LOEWY, LLP</v>
      </c>
      <c r="BI1624" t="str">
        <f>"MA"</f>
        <v>MA</v>
      </c>
      <c r="BJ1624" t="str">
        <f>"SUPREME JUDICIAL COURT"</f>
        <v>SUPREME JUDICIAL COURT</v>
      </c>
      <c r="BK1624">
        <v>1</v>
      </c>
      <c r="BL1624" t="s">
        <v>102</v>
      </c>
      <c r="BM1624" t="str">
        <f>""</f>
        <v/>
      </c>
      <c r="BN1624" t="s">
        <v>1356</v>
      </c>
      <c r="BP1624" t="s">
        <v>189</v>
      </c>
      <c r="BQ1624" t="s">
        <v>189</v>
      </c>
      <c r="BR1624" t="s">
        <v>190</v>
      </c>
      <c r="BS1624" s="5">
        <v>10001</v>
      </c>
      <c r="BT1624" s="2">
        <v>129600</v>
      </c>
      <c r="BV1624" t="s">
        <v>105</v>
      </c>
      <c r="BW1624" s="2">
        <v>78811</v>
      </c>
      <c r="BX1624" t="s">
        <v>105</v>
      </c>
      <c r="BZ1624" t="s">
        <v>191</v>
      </c>
      <c r="CA1624" t="str">
        <f t="shared" si="127"/>
        <v>7/1/2020 - 6/30/2021</v>
      </c>
      <c r="CF1624">
        <v>1</v>
      </c>
      <c r="CG1624" t="s">
        <v>98</v>
      </c>
      <c r="CH1624" t="s">
        <v>206</v>
      </c>
      <c r="CI1624" t="s">
        <v>206</v>
      </c>
      <c r="CL1624" t="s">
        <v>108</v>
      </c>
      <c r="CM1624" t="s">
        <v>109</v>
      </c>
      <c r="CN1624" t="str">
        <f>"SUNNY"</f>
        <v>SUNNY</v>
      </c>
      <c r="CO1624" t="str">
        <f>"JASMIN"</f>
        <v>JASMIN</v>
      </c>
      <c r="CP1624" t="str">
        <f>"N/A"</f>
        <v>N/A</v>
      </c>
      <c r="CQ1624" t="str">
        <f>"FRAGOMEN, DEL REY, BERNSEN &amp; LOEWY, LLP"</f>
        <v>FRAGOMEN, DEL REY, BERNSEN &amp; LOEWY, LLP</v>
      </c>
      <c r="CR1624" t="s">
        <v>650</v>
      </c>
    </row>
    <row r="1625" spans="1:96" x14ac:dyDescent="0.2">
      <c r="A1625" t="s">
        <v>1669</v>
      </c>
      <c r="B1625" t="s">
        <v>96</v>
      </c>
      <c r="C1625" s="1">
        <v>44099</v>
      </c>
      <c r="D1625" s="1">
        <v>44106</v>
      </c>
      <c r="F1625" t="s">
        <v>97</v>
      </c>
      <c r="G1625" t="str">
        <f>"Data Science Manager"</f>
        <v>Data Science Manager</v>
      </c>
      <c r="H1625" t="s">
        <v>12240</v>
      </c>
      <c r="I1625" t="s">
        <v>966</v>
      </c>
      <c r="J1625" t="s">
        <v>98</v>
      </c>
      <c r="K1625" s="1">
        <v>44106</v>
      </c>
      <c r="L1625" s="1">
        <v>45200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 t="s">
        <v>838</v>
      </c>
      <c r="U1625" t="str">
        <f>""</f>
        <v/>
      </c>
      <c r="V1625" t="s">
        <v>938</v>
      </c>
      <c r="W1625" t="str">
        <f>"N/A"</f>
        <v>N/A</v>
      </c>
      <c r="X1625" t="s">
        <v>833</v>
      </c>
      <c r="Y1625" t="s">
        <v>345</v>
      </c>
      <c r="Z1625" s="3">
        <v>60601</v>
      </c>
      <c r="AA1625" t="s">
        <v>101</v>
      </c>
      <c r="AC1625" s="4" t="str">
        <f>"+13126930161"</f>
        <v>+13126930161</v>
      </c>
      <c r="AE1625" t="str">
        <f>"5416"</f>
        <v>5416</v>
      </c>
      <c r="AF1625" t="s">
        <v>1670</v>
      </c>
      <c r="AG1625" t="s">
        <v>1671</v>
      </c>
      <c r="AH1625" t="s">
        <v>108</v>
      </c>
      <c r="AI1625" t="s">
        <v>1672</v>
      </c>
      <c r="AJ1625" t="s">
        <v>938</v>
      </c>
      <c r="AK1625" t="str">
        <f>"N/A"</f>
        <v>N/A</v>
      </c>
      <c r="AL1625" t="s">
        <v>833</v>
      </c>
      <c r="AM1625" t="s">
        <v>345</v>
      </c>
      <c r="AN1625" s="3">
        <v>60601</v>
      </c>
      <c r="AO1625" t="s">
        <v>101</v>
      </c>
      <c r="AQ1625" t="str">
        <f>"+13126930161"</f>
        <v>+13126930161</v>
      </c>
      <c r="AS1625" t="s">
        <v>1673</v>
      </c>
      <c r="AT1625" t="s">
        <v>107</v>
      </c>
      <c r="AU1625" t="str">
        <f>"Gupta"</f>
        <v>Gupta</v>
      </c>
      <c r="AV1625" t="str">
        <f>"Oishika"</f>
        <v>Oishika</v>
      </c>
      <c r="AW1625" t="str">
        <f>""</f>
        <v/>
      </c>
      <c r="AX1625" t="str">
        <f>"333 West Wacker Drive"</f>
        <v>333 West Wacker Drive</v>
      </c>
      <c r="AY1625" t="str">
        <f>"15th Floor"</f>
        <v>15th Floor</v>
      </c>
      <c r="AZ1625" t="str">
        <f>"Chicago"</f>
        <v>Chicago</v>
      </c>
      <c r="BA1625" t="str">
        <f>"IL"</f>
        <v>IL</v>
      </c>
      <c r="BB1625" s="3">
        <v>60606</v>
      </c>
      <c r="BC1625" t="str">
        <f t="shared" si="128"/>
        <v>UNITED STATES OF AMERICA</v>
      </c>
      <c r="BD1625" t="str">
        <f>""</f>
        <v/>
      </c>
      <c r="BE1625" t="str">
        <f>"+16174190438"</f>
        <v>+16174190438</v>
      </c>
      <c r="BF1625" t="str">
        <f>""</f>
        <v/>
      </c>
      <c r="BG1625" t="str">
        <f>"accenturedh@fragomen.com"</f>
        <v>accenturedh@fragomen.com</v>
      </c>
      <c r="BH1625" t="str">
        <f>"Fragomen, Del Rey, Bernsen &amp; Loewy, LLP"</f>
        <v>Fragomen, Del Rey, Bernsen &amp; Loewy, LLP</v>
      </c>
      <c r="BI1625" t="str">
        <f>"NY"</f>
        <v>NY</v>
      </c>
      <c r="BJ1625" t="str">
        <f>"Supreme Court of New York"</f>
        <v>Supreme Court of New York</v>
      </c>
      <c r="BK1625">
        <v>1</v>
      </c>
      <c r="BL1625" t="s">
        <v>102</v>
      </c>
      <c r="BM1625" t="str">
        <f>""</f>
        <v/>
      </c>
      <c r="BN1625" t="s">
        <v>1674</v>
      </c>
      <c r="BO1625" t="s">
        <v>1675</v>
      </c>
      <c r="BP1625" t="s">
        <v>140</v>
      </c>
      <c r="BQ1625" t="s">
        <v>147</v>
      </c>
      <c r="BR1625" t="s">
        <v>141</v>
      </c>
      <c r="BS1625" s="5">
        <v>94105</v>
      </c>
      <c r="BT1625" s="2">
        <v>125600</v>
      </c>
      <c r="BU1625" s="2">
        <v>146800</v>
      </c>
      <c r="BV1625" t="s">
        <v>105</v>
      </c>
      <c r="BW1625" s="2">
        <v>97365</v>
      </c>
      <c r="BX1625" t="s">
        <v>105</v>
      </c>
      <c r="BZ1625" t="s">
        <v>159</v>
      </c>
      <c r="CA1625" t="str">
        <f t="shared" si="127"/>
        <v>7/1/2020 - 6/30/2021</v>
      </c>
      <c r="CF1625">
        <v>2</v>
      </c>
      <c r="CG1625" t="s">
        <v>98</v>
      </c>
      <c r="CH1625" t="s">
        <v>206</v>
      </c>
      <c r="CI1625" t="s">
        <v>206</v>
      </c>
      <c r="CL1625" t="s">
        <v>108</v>
      </c>
      <c r="CM1625" t="s">
        <v>109</v>
      </c>
      <c r="CN1625" t="str">
        <f>""</f>
        <v/>
      </c>
      <c r="CO1625" t="str">
        <f>""</f>
        <v/>
      </c>
      <c r="CP1625" t="str">
        <f>""</f>
        <v/>
      </c>
      <c r="CQ1625" t="str">
        <f>""</f>
        <v/>
      </c>
    </row>
    <row r="1626" spans="1:96" x14ac:dyDescent="0.2">
      <c r="A1626" t="s">
        <v>1747</v>
      </c>
      <c r="B1626" t="s">
        <v>96</v>
      </c>
      <c r="C1626" s="1">
        <v>44099</v>
      </c>
      <c r="D1626" s="1">
        <v>44106</v>
      </c>
      <c r="F1626" t="s">
        <v>97</v>
      </c>
      <c r="G1626" t="str">
        <f>"Associate, Software Engineer"</f>
        <v>Associate, Software Engineer</v>
      </c>
      <c r="H1626" t="s">
        <v>12169</v>
      </c>
      <c r="I1626" t="s">
        <v>124</v>
      </c>
      <c r="J1626" t="s">
        <v>98</v>
      </c>
      <c r="K1626" s="1">
        <v>44105</v>
      </c>
      <c r="L1626" s="1">
        <v>45200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1748</v>
      </c>
      <c r="U1626" t="str">
        <f>""</f>
        <v/>
      </c>
      <c r="V1626" t="s">
        <v>1749</v>
      </c>
      <c r="W1626" t="str">
        <f>"25th Floor"</f>
        <v>25th Floor</v>
      </c>
      <c r="X1626" t="s">
        <v>277</v>
      </c>
      <c r="Y1626" t="s">
        <v>190</v>
      </c>
      <c r="Z1626" s="3">
        <v>10019</v>
      </c>
      <c r="AA1626" t="s">
        <v>101</v>
      </c>
      <c r="AC1626" s="4" t="str">
        <f>"+12126210433"</f>
        <v>+12126210433</v>
      </c>
      <c r="AE1626" t="str">
        <f>"523920"</f>
        <v>523920</v>
      </c>
      <c r="AF1626" t="s">
        <v>1750</v>
      </c>
      <c r="AG1626" t="s">
        <v>1751</v>
      </c>
      <c r="AI1626" t="s">
        <v>1752</v>
      </c>
      <c r="AJ1626" t="s">
        <v>1753</v>
      </c>
      <c r="AK1626" t="str">
        <f>"25th Floor"</f>
        <v>25th Floor</v>
      </c>
      <c r="AL1626" t="s">
        <v>277</v>
      </c>
      <c r="AM1626" t="s">
        <v>190</v>
      </c>
      <c r="AN1626" s="3">
        <v>10019</v>
      </c>
      <c r="AO1626" t="s">
        <v>101</v>
      </c>
      <c r="AQ1626" t="str">
        <f>"+12126210433"</f>
        <v>+12126210433</v>
      </c>
      <c r="AS1626" t="s">
        <v>1754</v>
      </c>
      <c r="AT1626" t="s">
        <v>107</v>
      </c>
      <c r="AU1626" t="str">
        <f>"Serwer"</f>
        <v>Serwer</v>
      </c>
      <c r="AV1626" t="str">
        <f>"David"</f>
        <v>David</v>
      </c>
      <c r="AW1626" t="str">
        <f>""</f>
        <v/>
      </c>
      <c r="AX1626" t="str">
        <f>"300 East Randolph Street"</f>
        <v>300 East Randolph Street</v>
      </c>
      <c r="AY1626" t="str">
        <f>""</f>
        <v/>
      </c>
      <c r="AZ1626" t="str">
        <f>"Chicago"</f>
        <v>Chicago</v>
      </c>
      <c r="BA1626" t="str">
        <f>"IL"</f>
        <v>IL</v>
      </c>
      <c r="BB1626" s="3">
        <v>60601</v>
      </c>
      <c r="BC1626" t="str">
        <f t="shared" si="128"/>
        <v>UNITED STATES OF AMERICA</v>
      </c>
      <c r="BD1626" t="str">
        <f>""</f>
        <v/>
      </c>
      <c r="BE1626" t="str">
        <f>"+13128617990"</f>
        <v>+13128617990</v>
      </c>
      <c r="BF1626" t="str">
        <f>""</f>
        <v/>
      </c>
      <c r="BG1626" t="str">
        <f>"David.Serwer@bakermckenzie.com"</f>
        <v>David.Serwer@bakermckenzie.com</v>
      </c>
      <c r="BH1626" t="str">
        <f>"Baker &amp; McKenzie LLP "</f>
        <v xml:space="preserve">Baker &amp; McKenzie LLP </v>
      </c>
      <c r="BI1626" t="str">
        <f>"IL"</f>
        <v>IL</v>
      </c>
      <c r="BJ1626" t="str">
        <f>"Supreme Court of Illinois "</f>
        <v xml:space="preserve">Supreme Court of Illinois </v>
      </c>
      <c r="BK1626">
        <v>1</v>
      </c>
      <c r="BL1626" t="s">
        <v>102</v>
      </c>
      <c r="BM1626" t="str">
        <f>""</f>
        <v/>
      </c>
      <c r="BN1626" t="s">
        <v>1753</v>
      </c>
      <c r="BO1626" t="s">
        <v>1755</v>
      </c>
      <c r="BP1626" t="s">
        <v>277</v>
      </c>
      <c r="BQ1626" t="s">
        <v>189</v>
      </c>
      <c r="BR1626" t="s">
        <v>190</v>
      </c>
      <c r="BS1626" s="5">
        <v>10019</v>
      </c>
      <c r="BT1626" s="2">
        <v>150000</v>
      </c>
      <c r="BV1626" t="s">
        <v>105</v>
      </c>
      <c r="BW1626" s="2">
        <v>143936</v>
      </c>
      <c r="BX1626" t="s">
        <v>105</v>
      </c>
      <c r="BZ1626" t="s">
        <v>159</v>
      </c>
      <c r="CA1626" t="str">
        <f t="shared" si="127"/>
        <v>7/1/2020 - 6/30/2021</v>
      </c>
      <c r="CF1626">
        <v>2</v>
      </c>
      <c r="CG1626" t="s">
        <v>98</v>
      </c>
      <c r="CH1626" t="s">
        <v>206</v>
      </c>
      <c r="CI1626" t="s">
        <v>206</v>
      </c>
      <c r="CL1626" t="s">
        <v>108</v>
      </c>
      <c r="CM1626" t="s">
        <v>109</v>
      </c>
      <c r="CN1626" t="str">
        <f>"Li"</f>
        <v>Li</v>
      </c>
      <c r="CO1626" t="str">
        <f>"Youyang"</f>
        <v>Youyang</v>
      </c>
      <c r="CP1626" t="str">
        <f>""</f>
        <v/>
      </c>
      <c r="CQ1626" t="str">
        <f>"Baker &amp; McKenzie LLP"</f>
        <v>Baker &amp; McKenzie LLP</v>
      </c>
      <c r="CR1626" t="s">
        <v>1756</v>
      </c>
    </row>
    <row r="1627" spans="1:96" x14ac:dyDescent="0.2">
      <c r="A1627" t="s">
        <v>2126</v>
      </c>
      <c r="B1627" t="s">
        <v>96</v>
      </c>
      <c r="C1627" s="1">
        <v>44099</v>
      </c>
      <c r="D1627" s="1">
        <v>44106</v>
      </c>
      <c r="F1627" t="s">
        <v>97</v>
      </c>
      <c r="G1627" t="str">
        <f>"Program Manager 1615.44468"</f>
        <v>Program Manager 1615.44468</v>
      </c>
      <c r="H1627" t="s">
        <v>12224</v>
      </c>
      <c r="I1627" t="s">
        <v>198</v>
      </c>
      <c r="J1627" t="s">
        <v>98</v>
      </c>
      <c r="K1627" s="1">
        <v>44104</v>
      </c>
      <c r="L1627" s="1">
        <v>45198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 t="s">
        <v>289</v>
      </c>
      <c r="U1627" t="str">
        <f>""</f>
        <v/>
      </c>
      <c r="V1627" t="s">
        <v>1562</v>
      </c>
      <c r="W1627" t="str">
        <f>""</f>
        <v/>
      </c>
      <c r="X1627" t="s">
        <v>150</v>
      </c>
      <c r="Y1627" t="s">
        <v>141</v>
      </c>
      <c r="Z1627" s="3">
        <v>94043</v>
      </c>
      <c r="AA1627" t="s">
        <v>101</v>
      </c>
      <c r="AC1627" s="4" t="str">
        <f>"+16502534513"</f>
        <v>+16502534513</v>
      </c>
      <c r="AE1627" t="str">
        <f>"541512"</f>
        <v>541512</v>
      </c>
      <c r="AF1627" t="s">
        <v>427</v>
      </c>
      <c r="AG1627" t="s">
        <v>1880</v>
      </c>
      <c r="AI1627" t="s">
        <v>893</v>
      </c>
      <c r="AJ1627" t="s">
        <v>1562</v>
      </c>
      <c r="AK1627" t="str">
        <f>""</f>
        <v/>
      </c>
      <c r="AL1627" t="s">
        <v>150</v>
      </c>
      <c r="AM1627" t="s">
        <v>141</v>
      </c>
      <c r="AN1627" s="3">
        <v>94043</v>
      </c>
      <c r="AO1627" t="s">
        <v>101</v>
      </c>
      <c r="AQ1627" t="str">
        <f>"+16502534513"</f>
        <v>+16502534513</v>
      </c>
      <c r="AS1627" t="s">
        <v>429</v>
      </c>
      <c r="AT1627" t="s">
        <v>107</v>
      </c>
      <c r="AU1627" t="str">
        <f>"Hul"</f>
        <v>Hul</v>
      </c>
      <c r="AV1627" t="str">
        <f>"Dennis"</f>
        <v>Dennis</v>
      </c>
      <c r="AW1627" t="str">
        <f>""</f>
        <v/>
      </c>
      <c r="AX1627" t="str">
        <f>"2400 N. GLENVILLE DRIVE"</f>
        <v>2400 N. GLENVILLE DRIVE</v>
      </c>
      <c r="AY1627" t="str">
        <f>"BUILDING A, SUITE 100"</f>
        <v>BUILDING A, SUITE 100</v>
      </c>
      <c r="AZ1627" t="str">
        <f>"RICHARDSON"</f>
        <v>RICHARDSON</v>
      </c>
      <c r="BA1627" t="str">
        <f>"TX"</f>
        <v>TX</v>
      </c>
      <c r="BB1627" s="3">
        <v>75082</v>
      </c>
      <c r="BC1627" t="str">
        <f t="shared" si="128"/>
        <v>UNITED STATES OF AMERICA</v>
      </c>
      <c r="BD1627" t="str">
        <f>""</f>
        <v/>
      </c>
      <c r="BE1627" t="str">
        <f>"+19727296272"</f>
        <v>+19727296272</v>
      </c>
      <c r="BF1627" t="str">
        <f>""</f>
        <v/>
      </c>
      <c r="BG1627" t="str">
        <f>"GOOGLEDOL@BALGLOBAL.COM"</f>
        <v>GOOGLEDOL@BALGLOBAL.COM</v>
      </c>
      <c r="BH1627" t="str">
        <f>"BERRY APPLEMAN &amp; LEIDEN LLP"</f>
        <v>BERRY APPLEMAN &amp; LEIDEN LLP</v>
      </c>
      <c r="BI1627" t="str">
        <f>"RI"</f>
        <v>RI</v>
      </c>
      <c r="BJ1627" t="str">
        <f>"SUPREME COURT OF RHODE ISLAND"</f>
        <v>SUPREME COURT OF RHODE ISLAND</v>
      </c>
      <c r="BK1627">
        <v>1</v>
      </c>
      <c r="BL1627" t="s">
        <v>102</v>
      </c>
      <c r="BM1627" t="str">
        <f>""</f>
        <v/>
      </c>
      <c r="BN1627" t="s">
        <v>797</v>
      </c>
      <c r="BP1627" t="s">
        <v>140</v>
      </c>
      <c r="BQ1627" t="s">
        <v>147</v>
      </c>
      <c r="BR1627" t="s">
        <v>141</v>
      </c>
      <c r="BS1627" s="5">
        <v>94105</v>
      </c>
      <c r="BT1627" s="2">
        <v>171000</v>
      </c>
      <c r="BV1627" t="s">
        <v>105</v>
      </c>
      <c r="BW1627" s="2">
        <v>113922</v>
      </c>
      <c r="BX1627" t="s">
        <v>105</v>
      </c>
      <c r="BZ1627" t="s">
        <v>123</v>
      </c>
      <c r="CA1627" t="str">
        <f t="shared" si="127"/>
        <v>7/1/2020 - 6/30/2021</v>
      </c>
      <c r="CF1627">
        <v>2</v>
      </c>
      <c r="CG1627" t="s">
        <v>98</v>
      </c>
      <c r="CH1627" t="s">
        <v>206</v>
      </c>
      <c r="CI1627" t="s">
        <v>206</v>
      </c>
      <c r="CL1627" t="s">
        <v>108</v>
      </c>
      <c r="CM1627" t="s">
        <v>109</v>
      </c>
      <c r="CN1627" t="str">
        <f>"Tomlinson"</f>
        <v>Tomlinson</v>
      </c>
      <c r="CO1627" t="str">
        <f>"Megen"</f>
        <v>Megen</v>
      </c>
      <c r="CP1627" t="str">
        <f>"A."</f>
        <v>A.</v>
      </c>
      <c r="CQ1627" t="str">
        <f>"Berry Appleman &amp; Leiden LLP"</f>
        <v>Berry Appleman &amp; Leiden LLP</v>
      </c>
      <c r="CR1627" t="s">
        <v>2127</v>
      </c>
    </row>
    <row r="1628" spans="1:96" x14ac:dyDescent="0.2">
      <c r="A1628" t="s">
        <v>2241</v>
      </c>
      <c r="B1628" t="s">
        <v>96</v>
      </c>
      <c r="C1628" s="1">
        <v>44099</v>
      </c>
      <c r="D1628" s="1">
        <v>44106</v>
      </c>
      <c r="F1628" t="s">
        <v>97</v>
      </c>
      <c r="G1628" t="str">
        <f>"Vice President, Software Engineering"</f>
        <v>Vice President, Software Engineering</v>
      </c>
      <c r="H1628" t="s">
        <v>12176</v>
      </c>
      <c r="I1628" t="s">
        <v>246</v>
      </c>
      <c r="J1628" t="s">
        <v>98</v>
      </c>
      <c r="K1628" s="1">
        <v>44194</v>
      </c>
      <c r="L1628" s="1">
        <v>45288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 t="s">
        <v>2242</v>
      </c>
      <c r="U1628" t="str">
        <f>""</f>
        <v/>
      </c>
      <c r="V1628" t="s">
        <v>2243</v>
      </c>
      <c r="W1628" t="str">
        <f>""</f>
        <v/>
      </c>
      <c r="X1628" t="s">
        <v>833</v>
      </c>
      <c r="Y1628" t="s">
        <v>345</v>
      </c>
      <c r="Z1628" s="3">
        <v>60603</v>
      </c>
      <c r="AA1628" t="s">
        <v>101</v>
      </c>
      <c r="AC1628" s="4" t="str">
        <f>"+13127322655"</f>
        <v>+13127322655</v>
      </c>
      <c r="AE1628" t="str">
        <f>"551112"</f>
        <v>551112</v>
      </c>
      <c r="AF1628" t="s">
        <v>2244</v>
      </c>
      <c r="AG1628" t="s">
        <v>2245</v>
      </c>
      <c r="AI1628" t="s">
        <v>2246</v>
      </c>
      <c r="AJ1628" t="s">
        <v>2247</v>
      </c>
      <c r="AK1628" t="str">
        <f>""</f>
        <v/>
      </c>
      <c r="AL1628" t="s">
        <v>843</v>
      </c>
      <c r="AM1628" t="s">
        <v>345</v>
      </c>
      <c r="AN1628" s="3">
        <v>60603</v>
      </c>
      <c r="AO1628" t="s">
        <v>101</v>
      </c>
      <c r="AQ1628" t="str">
        <f>"+14153158244"</f>
        <v>+14153158244</v>
      </c>
      <c r="AS1628" t="s">
        <v>2248</v>
      </c>
      <c r="AT1628" t="s">
        <v>107</v>
      </c>
      <c r="AU1628" t="str">
        <f>"NIEVES"</f>
        <v>NIEVES</v>
      </c>
      <c r="AV1628" t="str">
        <f>"JENNY "</f>
        <v xml:space="preserve">JENNY </v>
      </c>
      <c r="AW1628" t="str">
        <f>""</f>
        <v/>
      </c>
      <c r="AX1628" t="str">
        <f>"1400 BROADWAY	"</f>
        <v xml:space="preserve">1400 BROADWAY	</v>
      </c>
      <c r="AY1628" t="str">
        <f>"FRAGOMEN, DEL REY, BERNSEN &amp; LOEWY LLP"</f>
        <v>FRAGOMEN, DEL REY, BERNSEN &amp; LOEWY LLP</v>
      </c>
      <c r="AZ1628" t="str">
        <f>"NEW YORK"</f>
        <v>NEW YORK</v>
      </c>
      <c r="BA1628" t="str">
        <f>"NY"</f>
        <v>NY</v>
      </c>
      <c r="BB1628" s="3">
        <v>10018</v>
      </c>
      <c r="BC1628" t="str">
        <f t="shared" si="128"/>
        <v>UNITED STATES OF AMERICA</v>
      </c>
      <c r="BD1628" t="str">
        <f>""</f>
        <v/>
      </c>
      <c r="BE1628" t="str">
        <f>"+12126888555"</f>
        <v>+12126888555</v>
      </c>
      <c r="BF1628" t="str">
        <f>""</f>
        <v/>
      </c>
      <c r="BG1628" t="str">
        <f>"JNIEVES@FRAGOMEN.COM"</f>
        <v>JNIEVES@FRAGOMEN.COM</v>
      </c>
      <c r="BH1628" t="str">
        <f>"FRAGOMEN, DEL REY, BERNSEN &amp; LOEWY LLP"</f>
        <v>FRAGOMEN, DEL REY, BERNSEN &amp; LOEWY LLP</v>
      </c>
      <c r="BI1628" t="str">
        <f>"NY"</f>
        <v>NY</v>
      </c>
      <c r="BJ1628" t="str">
        <f>"NYS APPELLATE DIVISION, SECOND DEPARTMENT"</f>
        <v>NYS APPELLATE DIVISION, SECOND DEPARTMENT</v>
      </c>
      <c r="BK1628">
        <v>1</v>
      </c>
      <c r="BL1628" t="s">
        <v>102</v>
      </c>
      <c r="BM1628" t="str">
        <f>""</f>
        <v/>
      </c>
      <c r="BN1628" t="s">
        <v>2249</v>
      </c>
      <c r="BO1628" t="s">
        <v>2242</v>
      </c>
      <c r="BP1628" t="s">
        <v>1213</v>
      </c>
      <c r="BQ1628" t="s">
        <v>1214</v>
      </c>
      <c r="BR1628" t="s">
        <v>100</v>
      </c>
      <c r="BS1628" s="5">
        <v>7310</v>
      </c>
      <c r="BT1628" s="2">
        <v>142000</v>
      </c>
      <c r="BV1628" t="s">
        <v>105</v>
      </c>
      <c r="BW1628" s="2">
        <v>122221</v>
      </c>
      <c r="BX1628" t="s">
        <v>105</v>
      </c>
      <c r="BZ1628" t="s">
        <v>123</v>
      </c>
      <c r="CA1628" t="str">
        <f t="shared" si="127"/>
        <v>7/1/2020 - 6/30/2021</v>
      </c>
      <c r="CF1628">
        <v>2</v>
      </c>
      <c r="CG1628" t="s">
        <v>98</v>
      </c>
      <c r="CH1628" t="s">
        <v>206</v>
      </c>
      <c r="CI1628" t="s">
        <v>206</v>
      </c>
      <c r="CL1628" t="s">
        <v>108</v>
      </c>
      <c r="CM1628" t="s">
        <v>109</v>
      </c>
      <c r="CN1628" t="str">
        <f>"YOON"</f>
        <v>YOON</v>
      </c>
      <c r="CO1628" t="str">
        <f>"ELLIE"</f>
        <v>ELLIE</v>
      </c>
      <c r="CP1628" t="str">
        <f>""</f>
        <v/>
      </c>
      <c r="CQ1628" t="str">
        <f>"FRAGOMEN, DEL REY, BERNSEN &amp; LOEWY, LLP"</f>
        <v>FRAGOMEN, DEL REY, BERNSEN &amp; LOEWY, LLP</v>
      </c>
      <c r="CR1628" t="s">
        <v>2250</v>
      </c>
    </row>
    <row r="1629" spans="1:96" x14ac:dyDescent="0.2">
      <c r="A1629" t="s">
        <v>2467</v>
      </c>
      <c r="B1629" t="s">
        <v>96</v>
      </c>
      <c r="C1629" s="1">
        <v>44099</v>
      </c>
      <c r="D1629" s="1">
        <v>44106</v>
      </c>
      <c r="F1629" t="s">
        <v>97</v>
      </c>
      <c r="G1629" t="str">
        <f>"CONTROLS ENGINEER"</f>
        <v>CONTROLS ENGINEER</v>
      </c>
      <c r="H1629" t="s">
        <v>12179</v>
      </c>
      <c r="I1629" t="s">
        <v>1357</v>
      </c>
      <c r="J1629" t="s">
        <v>98</v>
      </c>
      <c r="K1629" s="1">
        <v>44221</v>
      </c>
      <c r="L1629" s="1">
        <v>45316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 t="s">
        <v>2468</v>
      </c>
      <c r="U1629" t="str">
        <f>""</f>
        <v/>
      </c>
      <c r="V1629" t="s">
        <v>2469</v>
      </c>
      <c r="W1629" t="str">
        <f>""</f>
        <v/>
      </c>
      <c r="X1629" t="s">
        <v>1498</v>
      </c>
      <c r="Y1629" t="s">
        <v>265</v>
      </c>
      <c r="Z1629" s="3">
        <v>48335</v>
      </c>
      <c r="AA1629" t="s">
        <v>101</v>
      </c>
      <c r="AC1629" s="4" t="str">
        <f>"+12484268300"</f>
        <v>+12484268300</v>
      </c>
      <c r="AD1629">
        <v>1501</v>
      </c>
      <c r="AE1629" t="str">
        <f>"3332"</f>
        <v>3332</v>
      </c>
      <c r="AF1629" t="s">
        <v>2470</v>
      </c>
      <c r="AG1629" t="s">
        <v>1705</v>
      </c>
      <c r="AI1629" t="s">
        <v>508</v>
      </c>
      <c r="AJ1629" t="s">
        <v>2469</v>
      </c>
      <c r="AK1629" t="str">
        <f>""</f>
        <v/>
      </c>
      <c r="AL1629" t="s">
        <v>1498</v>
      </c>
      <c r="AM1629" t="s">
        <v>265</v>
      </c>
      <c r="AN1629" s="3">
        <v>48335</v>
      </c>
      <c r="AO1629" t="s">
        <v>101</v>
      </c>
      <c r="AQ1629" t="str">
        <f>"+12484268300"</f>
        <v>+12484268300</v>
      </c>
      <c r="AR1629">
        <v>1501</v>
      </c>
      <c r="AS1629" t="s">
        <v>2471</v>
      </c>
      <c r="AT1629" t="s">
        <v>107</v>
      </c>
      <c r="AU1629" t="str">
        <f>"Bowman"</f>
        <v>Bowman</v>
      </c>
      <c r="AV1629" t="str">
        <f>"Luke"</f>
        <v>Luke</v>
      </c>
      <c r="AW1629" t="str">
        <f>"Scott"</f>
        <v>Scott</v>
      </c>
      <c r="AX1629" t="str">
        <f>"120 Flint Road"</f>
        <v>120 Flint Road</v>
      </c>
      <c r="AY1629" t="str">
        <f>""</f>
        <v/>
      </c>
      <c r="AZ1629" t="str">
        <f>"Brighton"</f>
        <v>Brighton</v>
      </c>
      <c r="BA1629" t="str">
        <f>"MI"</f>
        <v>MI</v>
      </c>
      <c r="BB1629" s="3">
        <v>48116</v>
      </c>
      <c r="BC1629" t="str">
        <f t="shared" si="128"/>
        <v>UNITED STATES OF AMERICA</v>
      </c>
      <c r="BD1629" t="str">
        <f>""</f>
        <v/>
      </c>
      <c r="BE1629" t="str">
        <f>"+18105225405"</f>
        <v>+18105225405</v>
      </c>
      <c r="BF1629" t="str">
        <f>""</f>
        <v/>
      </c>
      <c r="BG1629" t="str">
        <f>"luke@lukebowmanlaw.com"</f>
        <v>luke@lukebowmanlaw.com</v>
      </c>
      <c r="BH1629" t="str">
        <f>"The Law Office of Luke Bowman"</f>
        <v>The Law Office of Luke Bowman</v>
      </c>
      <c r="BI1629" t="str">
        <f>"CA"</f>
        <v>CA</v>
      </c>
      <c r="BJ1629" t="str">
        <f>"Supreme Court"</f>
        <v>Supreme Court</v>
      </c>
      <c r="BK1629">
        <v>1</v>
      </c>
      <c r="BL1629" t="s">
        <v>102</v>
      </c>
      <c r="BM1629" t="str">
        <f>""</f>
        <v/>
      </c>
      <c r="BN1629" t="s">
        <v>2469</v>
      </c>
      <c r="BP1629" t="s">
        <v>1498</v>
      </c>
      <c r="BQ1629" t="s">
        <v>719</v>
      </c>
      <c r="BR1629" t="s">
        <v>265</v>
      </c>
      <c r="BS1629" s="5">
        <v>48335</v>
      </c>
      <c r="BT1629" s="2">
        <v>81827</v>
      </c>
      <c r="BU1629" s="2">
        <v>95000</v>
      </c>
      <c r="BV1629" t="s">
        <v>105</v>
      </c>
      <c r="BW1629" s="2">
        <v>81827</v>
      </c>
      <c r="BX1629" t="s">
        <v>105</v>
      </c>
      <c r="BZ1629" t="s">
        <v>167</v>
      </c>
      <c r="CA1629" t="str">
        <f t="shared" si="127"/>
        <v>7/1/2020 - 6/30/2021</v>
      </c>
      <c r="CF1629">
        <v>1</v>
      </c>
      <c r="CG1629" t="s">
        <v>98</v>
      </c>
      <c r="CH1629" t="s">
        <v>206</v>
      </c>
      <c r="CI1629" t="s">
        <v>206</v>
      </c>
      <c r="CL1629" t="s">
        <v>108</v>
      </c>
      <c r="CM1629" t="s">
        <v>109</v>
      </c>
      <c r="CN1629" t="str">
        <f>""</f>
        <v/>
      </c>
      <c r="CO1629" t="str">
        <f>""</f>
        <v/>
      </c>
      <c r="CP1629" t="str">
        <f>""</f>
        <v/>
      </c>
      <c r="CQ1629" t="str">
        <f>""</f>
        <v/>
      </c>
    </row>
    <row r="1630" spans="1:96" x14ac:dyDescent="0.2">
      <c r="A1630" t="s">
        <v>2527</v>
      </c>
      <c r="B1630" t="s">
        <v>96</v>
      </c>
      <c r="C1630" s="1">
        <v>44099</v>
      </c>
      <c r="D1630" s="1">
        <v>44106</v>
      </c>
      <c r="F1630" t="s">
        <v>97</v>
      </c>
      <c r="G1630" t="str">
        <f>"Geotechnical Engineer "</f>
        <v xml:space="preserve">Geotechnical Engineer </v>
      </c>
      <c r="H1630" t="s">
        <v>12205</v>
      </c>
      <c r="I1630" t="s">
        <v>665</v>
      </c>
      <c r="J1630" t="s">
        <v>98</v>
      </c>
      <c r="K1630" s="1">
        <v>44105</v>
      </c>
      <c r="L1630" s="1">
        <v>45199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2528</v>
      </c>
      <c r="U1630" t="str">
        <f>""</f>
        <v/>
      </c>
      <c r="V1630" t="s">
        <v>2529</v>
      </c>
      <c r="W1630" t="str">
        <f>"4th Floor "</f>
        <v xml:space="preserve">4th Floor </v>
      </c>
      <c r="X1630" t="s">
        <v>1045</v>
      </c>
      <c r="Y1630" t="s">
        <v>100</v>
      </c>
      <c r="Z1630" s="3">
        <v>7054</v>
      </c>
      <c r="AA1630" t="s">
        <v>101</v>
      </c>
      <c r="AC1630" s="4" t="str">
        <f>"+19735604900"</f>
        <v>+19735604900</v>
      </c>
      <c r="AE1630" t="str">
        <f>"541330"</f>
        <v>541330</v>
      </c>
      <c r="AF1630" t="s">
        <v>2530</v>
      </c>
      <c r="AG1630" t="s">
        <v>2531</v>
      </c>
      <c r="AI1630" t="s">
        <v>2532</v>
      </c>
      <c r="AJ1630" t="s">
        <v>2529</v>
      </c>
      <c r="AK1630" t="str">
        <f>"4th Floor "</f>
        <v xml:space="preserve">4th Floor </v>
      </c>
      <c r="AL1630" t="s">
        <v>1045</v>
      </c>
      <c r="AM1630" t="s">
        <v>100</v>
      </c>
      <c r="AN1630" s="3">
        <v>7054</v>
      </c>
      <c r="AO1630" t="s">
        <v>101</v>
      </c>
      <c r="AQ1630" t="str">
        <f>"+19735604956"</f>
        <v>+19735604956</v>
      </c>
      <c r="AS1630" t="s">
        <v>2533</v>
      </c>
      <c r="AT1630" t="s">
        <v>107</v>
      </c>
      <c r="AU1630" t="str">
        <f>"Simon"</f>
        <v>Simon</v>
      </c>
      <c r="AV1630" t="str">
        <f>"Nicole "</f>
        <v xml:space="preserve">Nicole </v>
      </c>
      <c r="AW1630" t="str">
        <f>"Ann"</f>
        <v>Ann</v>
      </c>
      <c r="AX1630" t="str">
        <f>"190 N Independence Mall West"</f>
        <v>190 N Independence Mall West</v>
      </c>
      <c r="AY1630" t="str">
        <f>"Suite 602"</f>
        <v>Suite 602</v>
      </c>
      <c r="AZ1630" t="str">
        <f>"Philadelphia"</f>
        <v>Philadelphia</v>
      </c>
      <c r="BA1630" t="str">
        <f>"PA"</f>
        <v>PA</v>
      </c>
      <c r="BB1630" s="3">
        <v>19106</v>
      </c>
      <c r="BC1630" t="str">
        <f t="shared" si="128"/>
        <v>UNITED STATES OF AMERICA</v>
      </c>
      <c r="BD1630" t="str">
        <f>""</f>
        <v/>
      </c>
      <c r="BE1630" t="str">
        <f>"+12159250705"</f>
        <v>+12159250705</v>
      </c>
      <c r="BF1630" t="str">
        <f>""</f>
        <v/>
      </c>
      <c r="BG1630" t="str">
        <f>"nsimon@lhscimmigration.com"</f>
        <v>nsimon@lhscimmigration.com</v>
      </c>
      <c r="BH1630" t="str">
        <f>"Landau, Hess, Simon, Choi &amp; Doebley "</f>
        <v xml:space="preserve">Landau, Hess, Simon, Choi &amp; Doebley </v>
      </c>
      <c r="BI1630" t="str">
        <f>"CA"</f>
        <v>CA</v>
      </c>
      <c r="BJ1630" t="str">
        <f>"Supreme Court of California"</f>
        <v>Supreme Court of California</v>
      </c>
      <c r="BK1630">
        <v>1</v>
      </c>
      <c r="BL1630" t="s">
        <v>102</v>
      </c>
      <c r="BM1630" t="str">
        <f>""</f>
        <v/>
      </c>
      <c r="BN1630" t="s">
        <v>2534</v>
      </c>
      <c r="BO1630" t="s">
        <v>2535</v>
      </c>
      <c r="BP1630" t="s">
        <v>140</v>
      </c>
      <c r="BQ1630" t="s">
        <v>147</v>
      </c>
      <c r="BR1630" t="s">
        <v>141</v>
      </c>
      <c r="BS1630" s="5">
        <v>94105</v>
      </c>
      <c r="BT1630" s="2">
        <v>72500</v>
      </c>
      <c r="BV1630" t="s">
        <v>105</v>
      </c>
      <c r="BW1630" s="2">
        <v>70352</v>
      </c>
      <c r="BX1630" t="s">
        <v>105</v>
      </c>
      <c r="CA1630" t="str">
        <f>""</f>
        <v/>
      </c>
      <c r="CB1630" t="s">
        <v>244</v>
      </c>
      <c r="CC1630">
        <v>2020</v>
      </c>
      <c r="CD1630" t="s">
        <v>2536</v>
      </c>
      <c r="CE1630" t="s">
        <v>2537</v>
      </c>
      <c r="CF1630">
        <v>1</v>
      </c>
      <c r="CG1630" t="s">
        <v>98</v>
      </c>
      <c r="CH1630" t="s">
        <v>206</v>
      </c>
      <c r="CI1630" t="s">
        <v>206</v>
      </c>
      <c r="CL1630" t="s">
        <v>108</v>
      </c>
      <c r="CM1630" t="s">
        <v>109</v>
      </c>
      <c r="CN1630" t="str">
        <f>""</f>
        <v/>
      </c>
      <c r="CO1630" t="str">
        <f>""</f>
        <v/>
      </c>
      <c r="CP1630" t="str">
        <f>""</f>
        <v/>
      </c>
      <c r="CQ1630" t="str">
        <f>""</f>
        <v/>
      </c>
    </row>
    <row r="1631" spans="1:96" x14ac:dyDescent="0.2">
      <c r="A1631" t="s">
        <v>2554</v>
      </c>
      <c r="B1631" t="s">
        <v>96</v>
      </c>
      <c r="C1631" s="1">
        <v>44099</v>
      </c>
      <c r="D1631" s="1">
        <v>44106</v>
      </c>
      <c r="F1631" t="s">
        <v>97</v>
      </c>
      <c r="G1631" t="str">
        <f>"Software Engineer"</f>
        <v>Software Engineer</v>
      </c>
      <c r="H1631" t="s">
        <v>12169</v>
      </c>
      <c r="I1631" t="s">
        <v>124</v>
      </c>
      <c r="J1631" t="s">
        <v>98</v>
      </c>
      <c r="K1631" s="1">
        <v>44279</v>
      </c>
      <c r="L1631" s="1">
        <v>45374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 t="s">
        <v>173</v>
      </c>
      <c r="U1631" t="str">
        <f>""</f>
        <v/>
      </c>
      <c r="V1631" t="s">
        <v>174</v>
      </c>
      <c r="W1631" t="str">
        <f>"N/A"</f>
        <v>N/A</v>
      </c>
      <c r="X1631" t="s">
        <v>175</v>
      </c>
      <c r="Y1631" t="s">
        <v>176</v>
      </c>
      <c r="Z1631" s="3">
        <v>98052</v>
      </c>
      <c r="AA1631" t="s">
        <v>101</v>
      </c>
      <c r="AC1631" s="4" t="str">
        <f>"+14258828080"</f>
        <v>+14258828080</v>
      </c>
      <c r="AE1631" t="str">
        <f>"51121"</f>
        <v>51121</v>
      </c>
      <c r="AF1631" t="s">
        <v>177</v>
      </c>
      <c r="AG1631" t="s">
        <v>178</v>
      </c>
      <c r="AI1631" t="s">
        <v>179</v>
      </c>
      <c r="AJ1631" t="s">
        <v>174</v>
      </c>
      <c r="AK1631" t="str">
        <f>""</f>
        <v/>
      </c>
      <c r="AL1631" t="s">
        <v>175</v>
      </c>
      <c r="AM1631" t="s">
        <v>176</v>
      </c>
      <c r="AN1631" s="3">
        <v>98052</v>
      </c>
      <c r="AO1631" t="s">
        <v>101</v>
      </c>
      <c r="AQ1631" t="str">
        <f>"+14258828080"</f>
        <v>+14258828080</v>
      </c>
      <c r="AS1631" t="s">
        <v>180</v>
      </c>
      <c r="AT1631" t="s">
        <v>102</v>
      </c>
      <c r="AU1631" t="str">
        <f>""</f>
        <v/>
      </c>
      <c r="AV1631" t="str">
        <f>""</f>
        <v/>
      </c>
      <c r="AW1631" t="str">
        <f>""</f>
        <v/>
      </c>
      <c r="AX1631" t="str">
        <f>""</f>
        <v/>
      </c>
      <c r="AY1631" t="str">
        <f>""</f>
        <v/>
      </c>
      <c r="AZ1631" t="str">
        <f>""</f>
        <v/>
      </c>
      <c r="BA1631" t="str">
        <f>""</f>
        <v/>
      </c>
      <c r="BC1631" t="str">
        <f>""</f>
        <v/>
      </c>
      <c r="BD1631" t="str">
        <f>""</f>
        <v/>
      </c>
      <c r="BE1631" t="str">
        <f>""</f>
        <v/>
      </c>
      <c r="BF1631" t="str">
        <f>""</f>
        <v/>
      </c>
      <c r="BG1631" t="str">
        <f>""</f>
        <v/>
      </c>
      <c r="BH1631" t="str">
        <f>""</f>
        <v/>
      </c>
      <c r="BI1631" t="str">
        <f>""</f>
        <v/>
      </c>
      <c r="BJ1631" t="str">
        <f>""</f>
        <v/>
      </c>
      <c r="BK1631">
        <v>1</v>
      </c>
      <c r="BL1631" t="s">
        <v>102</v>
      </c>
      <c r="BM1631" t="str">
        <f>""</f>
        <v/>
      </c>
      <c r="BN1631" t="s">
        <v>962</v>
      </c>
      <c r="BP1631" t="s">
        <v>175</v>
      </c>
      <c r="BQ1631" t="s">
        <v>183</v>
      </c>
      <c r="BR1631" t="s">
        <v>176</v>
      </c>
      <c r="BS1631" s="5">
        <v>98052</v>
      </c>
      <c r="BT1631" s="2">
        <v>175536</v>
      </c>
      <c r="BV1631" t="s">
        <v>105</v>
      </c>
      <c r="BW1631" s="2">
        <v>134098</v>
      </c>
      <c r="BX1631" t="s">
        <v>105</v>
      </c>
      <c r="BZ1631" t="s">
        <v>123</v>
      </c>
      <c r="CA1631" t="str">
        <f t="shared" ref="CA1631:CA1643" si="129">"7/1/2020 - 6/30/2021"</f>
        <v>7/1/2020 - 6/30/2021</v>
      </c>
      <c r="CF1631">
        <v>1</v>
      </c>
      <c r="CG1631" t="s">
        <v>98</v>
      </c>
      <c r="CH1631" t="s">
        <v>206</v>
      </c>
      <c r="CI1631" t="s">
        <v>206</v>
      </c>
      <c r="CL1631" t="s">
        <v>108</v>
      </c>
      <c r="CM1631" t="s">
        <v>109</v>
      </c>
      <c r="CN1631" t="str">
        <f>"Kodishala"</f>
        <v>Kodishala</v>
      </c>
      <c r="CO1631" t="str">
        <f>"Suresh"</f>
        <v>Suresh</v>
      </c>
      <c r="CP1631" t="str">
        <f>"N/A"</f>
        <v>N/A</v>
      </c>
      <c r="CQ1631" t="str">
        <f>"INTEGREON MANAGED SOLUTIONS (INDIA) PVT LTD"</f>
        <v>INTEGREON MANAGED SOLUTIONS (INDIA) PVT LTD</v>
      </c>
      <c r="CR1631" t="s">
        <v>231</v>
      </c>
    </row>
    <row r="1632" spans="1:96" x14ac:dyDescent="0.2">
      <c r="A1632" t="s">
        <v>2640</v>
      </c>
      <c r="B1632" t="s">
        <v>96</v>
      </c>
      <c r="C1632" s="1">
        <v>44099</v>
      </c>
      <c r="D1632" s="1">
        <v>44106</v>
      </c>
      <c r="F1632" t="s">
        <v>97</v>
      </c>
      <c r="G1632" t="str">
        <f>"Software Engineer"</f>
        <v>Software Engineer</v>
      </c>
      <c r="H1632" t="s">
        <v>12169</v>
      </c>
      <c r="I1632" t="s">
        <v>124</v>
      </c>
      <c r="J1632" t="s">
        <v>98</v>
      </c>
      <c r="K1632" s="1">
        <v>44279</v>
      </c>
      <c r="L1632" s="1">
        <v>45374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 t="s">
        <v>173</v>
      </c>
      <c r="U1632" t="str">
        <f>""</f>
        <v/>
      </c>
      <c r="V1632" t="s">
        <v>174</v>
      </c>
      <c r="W1632" t="str">
        <f>"N/A"</f>
        <v>N/A</v>
      </c>
      <c r="X1632" t="s">
        <v>175</v>
      </c>
      <c r="Y1632" t="s">
        <v>176</v>
      </c>
      <c r="Z1632" s="3">
        <v>98052</v>
      </c>
      <c r="AA1632" t="s">
        <v>101</v>
      </c>
      <c r="AC1632" s="4" t="str">
        <f>"+14258828080"</f>
        <v>+14258828080</v>
      </c>
      <c r="AE1632" t="str">
        <f>"51121"</f>
        <v>51121</v>
      </c>
      <c r="AF1632" t="s">
        <v>177</v>
      </c>
      <c r="AG1632" t="s">
        <v>178</v>
      </c>
      <c r="AI1632" t="s">
        <v>179</v>
      </c>
      <c r="AJ1632" t="s">
        <v>174</v>
      </c>
      <c r="AK1632" t="str">
        <f>""</f>
        <v/>
      </c>
      <c r="AL1632" t="s">
        <v>175</v>
      </c>
      <c r="AM1632" t="s">
        <v>176</v>
      </c>
      <c r="AN1632" s="3">
        <v>98052</v>
      </c>
      <c r="AO1632" t="s">
        <v>101</v>
      </c>
      <c r="AQ1632" t="str">
        <f>"+14258828080"</f>
        <v>+14258828080</v>
      </c>
      <c r="AS1632" t="s">
        <v>180</v>
      </c>
      <c r="AT1632" t="s">
        <v>102</v>
      </c>
      <c r="AU1632" t="str">
        <f>""</f>
        <v/>
      </c>
      <c r="AV1632" t="str">
        <f>""</f>
        <v/>
      </c>
      <c r="AW1632" t="str">
        <f>""</f>
        <v/>
      </c>
      <c r="AX1632" t="str">
        <f>""</f>
        <v/>
      </c>
      <c r="AY1632" t="str">
        <f>""</f>
        <v/>
      </c>
      <c r="AZ1632" t="str">
        <f>""</f>
        <v/>
      </c>
      <c r="BA1632" t="str">
        <f>""</f>
        <v/>
      </c>
      <c r="BC1632" t="str">
        <f>""</f>
        <v/>
      </c>
      <c r="BD1632" t="str">
        <f>""</f>
        <v/>
      </c>
      <c r="BE1632" t="str">
        <f>""</f>
        <v/>
      </c>
      <c r="BF1632" t="str">
        <f>""</f>
        <v/>
      </c>
      <c r="BG1632" t="str">
        <f>""</f>
        <v/>
      </c>
      <c r="BH1632" t="str">
        <f>""</f>
        <v/>
      </c>
      <c r="BI1632" t="str">
        <f>""</f>
        <v/>
      </c>
      <c r="BJ1632" t="str">
        <f>""</f>
        <v/>
      </c>
      <c r="BK1632">
        <v>1</v>
      </c>
      <c r="BL1632" t="s">
        <v>102</v>
      </c>
      <c r="BM1632" t="str">
        <f>""</f>
        <v/>
      </c>
      <c r="BN1632" t="s">
        <v>962</v>
      </c>
      <c r="BP1632" t="s">
        <v>175</v>
      </c>
      <c r="BQ1632" t="s">
        <v>183</v>
      </c>
      <c r="BR1632" t="s">
        <v>176</v>
      </c>
      <c r="BS1632" s="5">
        <v>98052</v>
      </c>
      <c r="BT1632" s="2">
        <v>162977</v>
      </c>
      <c r="BV1632" t="s">
        <v>105</v>
      </c>
      <c r="BW1632" s="2">
        <v>134098</v>
      </c>
      <c r="BX1632" t="s">
        <v>105</v>
      </c>
      <c r="BZ1632" t="s">
        <v>123</v>
      </c>
      <c r="CA1632" t="str">
        <f t="shared" si="129"/>
        <v>7/1/2020 - 6/30/2021</v>
      </c>
      <c r="CF1632">
        <v>1</v>
      </c>
      <c r="CG1632" t="s">
        <v>98</v>
      </c>
      <c r="CH1632" t="s">
        <v>206</v>
      </c>
      <c r="CI1632" t="s">
        <v>206</v>
      </c>
      <c r="CL1632" t="s">
        <v>108</v>
      </c>
      <c r="CM1632" t="s">
        <v>109</v>
      </c>
      <c r="CN1632" t="str">
        <f>"Kodishala"</f>
        <v>Kodishala</v>
      </c>
      <c r="CO1632" t="str">
        <f>"Suresh"</f>
        <v>Suresh</v>
      </c>
      <c r="CP1632" t="str">
        <f>"N/A"</f>
        <v>N/A</v>
      </c>
      <c r="CQ1632" t="str">
        <f>"INTEGREON MANAGED SOLUTIONS (INDIA) PVT LTD"</f>
        <v>INTEGREON MANAGED SOLUTIONS (INDIA) PVT LTD</v>
      </c>
      <c r="CR1632" t="s">
        <v>231</v>
      </c>
    </row>
    <row r="1633" spans="1:96" x14ac:dyDescent="0.2">
      <c r="A1633" t="s">
        <v>2991</v>
      </c>
      <c r="B1633" t="s">
        <v>96</v>
      </c>
      <c r="C1633" s="1">
        <v>44099</v>
      </c>
      <c r="D1633" s="1">
        <v>44106</v>
      </c>
      <c r="F1633" t="s">
        <v>97</v>
      </c>
      <c r="G1633" t="str">
        <f>"SOFTWARE DEVELOPER"</f>
        <v>SOFTWARE DEVELOPER</v>
      </c>
      <c r="H1633" t="s">
        <v>12176</v>
      </c>
      <c r="I1633" t="s">
        <v>246</v>
      </c>
      <c r="J1633" t="s">
        <v>98</v>
      </c>
      <c r="K1633" s="1">
        <v>44105</v>
      </c>
      <c r="L1633" s="1">
        <v>45199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2992</v>
      </c>
      <c r="U1633" t="str">
        <f>""</f>
        <v/>
      </c>
      <c r="V1633" t="s">
        <v>2993</v>
      </c>
      <c r="W1633" t="str">
        <f>""</f>
        <v/>
      </c>
      <c r="X1633" t="s">
        <v>2994</v>
      </c>
      <c r="Y1633" t="s">
        <v>141</v>
      </c>
      <c r="Z1633" s="3">
        <v>94544</v>
      </c>
      <c r="AA1633" t="s">
        <v>101</v>
      </c>
      <c r="AC1633" s="4" t="str">
        <f>"+12146063934"</f>
        <v>+12146063934</v>
      </c>
      <c r="AE1633" t="str">
        <f>"541511"</f>
        <v>541511</v>
      </c>
      <c r="AF1633" t="s">
        <v>2995</v>
      </c>
      <c r="AG1633" t="s">
        <v>2996</v>
      </c>
      <c r="AI1633" t="s">
        <v>1586</v>
      </c>
      <c r="AJ1633" t="s">
        <v>2993</v>
      </c>
      <c r="AK1633" t="str">
        <f>""</f>
        <v/>
      </c>
      <c r="AL1633" t="s">
        <v>2994</v>
      </c>
      <c r="AM1633" t="s">
        <v>141</v>
      </c>
      <c r="AN1633" s="3">
        <v>94544</v>
      </c>
      <c r="AO1633" t="s">
        <v>101</v>
      </c>
      <c r="AQ1633" t="str">
        <f>"+12146063934"</f>
        <v>+12146063934</v>
      </c>
      <c r="AS1633" t="s">
        <v>2997</v>
      </c>
      <c r="AT1633" t="s">
        <v>107</v>
      </c>
      <c r="AU1633" t="str">
        <f>"Akula"</f>
        <v>Akula</v>
      </c>
      <c r="AV1633" t="str">
        <f>"Kavitha"</f>
        <v>Kavitha</v>
      </c>
      <c r="AW1633" t="str">
        <f>""</f>
        <v/>
      </c>
      <c r="AX1633" t="str">
        <f>"17400 DALLAS PKWY"</f>
        <v>17400 DALLAS PKWY</v>
      </c>
      <c r="AY1633" t="str">
        <f>"SUITE 216"</f>
        <v>SUITE 216</v>
      </c>
      <c r="AZ1633" t="str">
        <f>"DALLAS"</f>
        <v>DALLAS</v>
      </c>
      <c r="BA1633" t="str">
        <f>"TX"</f>
        <v>TX</v>
      </c>
      <c r="BB1633" s="3">
        <v>75287</v>
      </c>
      <c r="BC1633" t="str">
        <f>"UNITED STATES OF AMERICA"</f>
        <v>UNITED STATES OF AMERICA</v>
      </c>
      <c r="BD1633" t="str">
        <f>""</f>
        <v/>
      </c>
      <c r="BE1633" t="str">
        <f>"+19722414698"</f>
        <v>+19722414698</v>
      </c>
      <c r="BF1633" t="str">
        <f>""</f>
        <v/>
      </c>
      <c r="BG1633" t="str">
        <f>"erika.sanchez@akulalaw.com"</f>
        <v>erika.sanchez@akulalaw.com</v>
      </c>
      <c r="BH1633" t="str">
        <f>"Akula &amp; Associates, P.C."</f>
        <v>Akula &amp; Associates, P.C.</v>
      </c>
      <c r="BI1633" t="str">
        <f>"TX"</f>
        <v>TX</v>
      </c>
      <c r="BJ1633" t="str">
        <f>"SUPREME COURT"</f>
        <v>SUPREME COURT</v>
      </c>
      <c r="BK1633">
        <v>1</v>
      </c>
      <c r="BL1633" t="s">
        <v>107</v>
      </c>
      <c r="BM1633" t="str">
        <f>"KELLOGG COMPANY"</f>
        <v>KELLOGG COMPANY</v>
      </c>
      <c r="BN1633" t="s">
        <v>2998</v>
      </c>
      <c r="BP1633" t="s">
        <v>2999</v>
      </c>
      <c r="BQ1633" t="s">
        <v>1382</v>
      </c>
      <c r="BR1633" t="s">
        <v>345</v>
      </c>
      <c r="BS1633" s="5">
        <v>60523</v>
      </c>
      <c r="BT1633" s="2">
        <v>87838</v>
      </c>
      <c r="BU1633" s="2">
        <v>100000</v>
      </c>
      <c r="BV1633" t="s">
        <v>105</v>
      </c>
      <c r="BW1633" s="2">
        <v>87838</v>
      </c>
      <c r="BX1633" t="s">
        <v>105</v>
      </c>
      <c r="BZ1633" t="s">
        <v>167</v>
      </c>
      <c r="CA1633" t="str">
        <f t="shared" si="129"/>
        <v>7/1/2020 - 6/30/2021</v>
      </c>
      <c r="CF1633">
        <v>1</v>
      </c>
      <c r="CG1633" t="s">
        <v>98</v>
      </c>
      <c r="CH1633" t="s">
        <v>206</v>
      </c>
      <c r="CI1633" t="s">
        <v>206</v>
      </c>
      <c r="CL1633" t="s">
        <v>108</v>
      </c>
      <c r="CM1633" t="s">
        <v>109</v>
      </c>
      <c r="CN1633" t="str">
        <f>""</f>
        <v/>
      </c>
      <c r="CO1633" t="str">
        <f>""</f>
        <v/>
      </c>
      <c r="CP1633" t="str">
        <f>""</f>
        <v/>
      </c>
      <c r="CQ1633" t="str">
        <f>""</f>
        <v/>
      </c>
    </row>
    <row r="1634" spans="1:96" x14ac:dyDescent="0.2">
      <c r="A1634" t="s">
        <v>3141</v>
      </c>
      <c r="B1634" t="s">
        <v>96</v>
      </c>
      <c r="C1634" s="1">
        <v>44099</v>
      </c>
      <c r="D1634" s="1">
        <v>44106</v>
      </c>
      <c r="F1634" t="s">
        <v>97</v>
      </c>
      <c r="G1634" t="str">
        <f>"SENIOR .NET DEVELOPER"</f>
        <v>SENIOR .NET DEVELOPER</v>
      </c>
      <c r="H1634" t="s">
        <v>12169</v>
      </c>
      <c r="I1634" t="s">
        <v>124</v>
      </c>
      <c r="J1634" t="s">
        <v>98</v>
      </c>
      <c r="K1634" s="1">
        <v>44109</v>
      </c>
      <c r="L1634" s="1">
        <v>44321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 t="s">
        <v>3142</v>
      </c>
      <c r="U1634" t="str">
        <f>""</f>
        <v/>
      </c>
      <c r="V1634" t="s">
        <v>1794</v>
      </c>
      <c r="W1634" t="str">
        <f>"STE: 131"</f>
        <v>STE: 131</v>
      </c>
      <c r="X1634" t="s">
        <v>1766</v>
      </c>
      <c r="Y1634" t="s">
        <v>215</v>
      </c>
      <c r="Z1634" s="3">
        <v>30005</v>
      </c>
      <c r="AA1634" t="s">
        <v>101</v>
      </c>
      <c r="AC1634" s="4" t="str">
        <f>"+17707524203"</f>
        <v>+17707524203</v>
      </c>
      <c r="AE1634" t="str">
        <f>"541511"</f>
        <v>541511</v>
      </c>
      <c r="AF1634" t="s">
        <v>3143</v>
      </c>
      <c r="AG1634" t="s">
        <v>3144</v>
      </c>
      <c r="AH1634" t="s">
        <v>108</v>
      </c>
      <c r="AI1634" t="s">
        <v>228</v>
      </c>
      <c r="AJ1634" t="s">
        <v>1794</v>
      </c>
      <c r="AK1634" t="str">
        <f>"STE: 131"</f>
        <v>STE: 131</v>
      </c>
      <c r="AL1634" t="s">
        <v>1766</v>
      </c>
      <c r="AM1634" t="s">
        <v>215</v>
      </c>
      <c r="AN1634" s="3">
        <v>30005</v>
      </c>
      <c r="AO1634" t="s">
        <v>101</v>
      </c>
      <c r="AQ1634" t="str">
        <f>"+17707524203"</f>
        <v>+17707524203</v>
      </c>
      <c r="AS1634" t="s">
        <v>3145</v>
      </c>
      <c r="AT1634" t="s">
        <v>107</v>
      </c>
      <c r="AU1634" t="str">
        <f>"ISHAR"</f>
        <v>ISHAR</v>
      </c>
      <c r="AV1634" t="str">
        <f>"IQBAL"</f>
        <v>IQBAL</v>
      </c>
      <c r="AW1634" t="str">
        <f>"S"</f>
        <v>S</v>
      </c>
      <c r="AX1634" t="str">
        <f>"3000 MARCUS AVE"</f>
        <v>3000 MARCUS AVE</v>
      </c>
      <c r="AY1634" t="str">
        <f>"STE: 1W2"</f>
        <v>STE: 1W2</v>
      </c>
      <c r="AZ1634" t="str">
        <f>"LAKE SUCCESS"</f>
        <v>LAKE SUCCESS</v>
      </c>
      <c r="BA1634" t="str">
        <f>"NY"</f>
        <v>NY</v>
      </c>
      <c r="BB1634" s="3">
        <v>11042</v>
      </c>
      <c r="BC1634" t="str">
        <f>"UNITED STATES OF AMERICA"</f>
        <v>UNITED STATES OF AMERICA</v>
      </c>
      <c r="BD1634" t="str">
        <f>""</f>
        <v/>
      </c>
      <c r="BE1634" t="str">
        <f>"+12129975500"</f>
        <v>+12129975500</v>
      </c>
      <c r="BF1634" t="str">
        <f>""</f>
        <v/>
      </c>
      <c r="BG1634" t="str">
        <f>"RUMI@ISHARLAW.COM"</f>
        <v>RUMI@ISHARLAW.COM</v>
      </c>
      <c r="BH1634" t="str">
        <f>"ISHAR LAW FIRM, PC"</f>
        <v>ISHAR LAW FIRM, PC</v>
      </c>
      <c r="BI1634" t="str">
        <f>"NY"</f>
        <v>NY</v>
      </c>
      <c r="BJ1634" t="str">
        <f>"NEW YORK STATE COURT OF APPEAL"</f>
        <v>NEW YORK STATE COURT OF APPEAL</v>
      </c>
      <c r="BK1634">
        <v>1</v>
      </c>
      <c r="BL1634" t="s">
        <v>107</v>
      </c>
      <c r="BM1634" t="str">
        <f>"Insurance Auto Auctions"</f>
        <v>Insurance Auto Auctions</v>
      </c>
      <c r="BN1634" t="s">
        <v>3146</v>
      </c>
      <c r="BP1634" t="s">
        <v>3147</v>
      </c>
      <c r="BQ1634" t="s">
        <v>788</v>
      </c>
      <c r="BR1634" t="s">
        <v>345</v>
      </c>
      <c r="BS1634" s="5">
        <v>60154</v>
      </c>
      <c r="BT1634" s="2">
        <v>120000</v>
      </c>
      <c r="BV1634" t="s">
        <v>105</v>
      </c>
      <c r="BW1634" s="2">
        <v>104624</v>
      </c>
      <c r="BX1634" t="s">
        <v>105</v>
      </c>
      <c r="BZ1634" t="s">
        <v>123</v>
      </c>
      <c r="CA1634" t="str">
        <f t="shared" si="129"/>
        <v>7/1/2020 - 6/30/2021</v>
      </c>
      <c r="CF1634">
        <v>1</v>
      </c>
      <c r="CG1634" t="s">
        <v>98</v>
      </c>
      <c r="CH1634" t="s">
        <v>206</v>
      </c>
      <c r="CI1634" t="s">
        <v>206</v>
      </c>
      <c r="CL1634" t="s">
        <v>108</v>
      </c>
      <c r="CM1634" t="s">
        <v>109</v>
      </c>
      <c r="CN1634" t="str">
        <f>"ISHAR"</f>
        <v>ISHAR</v>
      </c>
      <c r="CO1634" t="str">
        <f>"IQBAL"</f>
        <v>IQBAL</v>
      </c>
      <c r="CP1634" t="str">
        <f>"S"</f>
        <v>S</v>
      </c>
      <c r="CQ1634" t="str">
        <f>"ISHAR LAW FIRM, PC"</f>
        <v>ISHAR LAW FIRM, PC</v>
      </c>
      <c r="CR1634" t="s">
        <v>2602</v>
      </c>
    </row>
    <row r="1635" spans="1:96" x14ac:dyDescent="0.2">
      <c r="A1635" t="s">
        <v>3641</v>
      </c>
      <c r="B1635" t="s">
        <v>96</v>
      </c>
      <c r="C1635" s="1">
        <v>44099</v>
      </c>
      <c r="D1635" s="1">
        <v>44106</v>
      </c>
      <c r="F1635" t="s">
        <v>97</v>
      </c>
      <c r="G1635" t="str">
        <f>"Director, Scientific Affairs"</f>
        <v>Director, Scientific Affairs</v>
      </c>
      <c r="H1635" t="s">
        <v>12269</v>
      </c>
      <c r="I1635" t="s">
        <v>3642</v>
      </c>
      <c r="J1635" t="s">
        <v>98</v>
      </c>
      <c r="K1635" s="1">
        <v>44116</v>
      </c>
      <c r="L1635" s="1">
        <v>45210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 t="s">
        <v>3643</v>
      </c>
      <c r="U1635" t="str">
        <f>""</f>
        <v/>
      </c>
      <c r="V1635" t="s">
        <v>3644</v>
      </c>
      <c r="W1635" t="str">
        <f>"Suite 500"</f>
        <v>Suite 500</v>
      </c>
      <c r="X1635" t="s">
        <v>1921</v>
      </c>
      <c r="Y1635" t="s">
        <v>577</v>
      </c>
      <c r="Z1635" s="3">
        <v>33309</v>
      </c>
      <c r="AA1635" t="s">
        <v>101</v>
      </c>
      <c r="AC1635" s="4" t="str">
        <f>"+16467289887"</f>
        <v>+16467289887</v>
      </c>
      <c r="AE1635" t="str">
        <f>"541512"</f>
        <v>541512</v>
      </c>
      <c r="AF1635" t="s">
        <v>3645</v>
      </c>
      <c r="AG1635" t="s">
        <v>610</v>
      </c>
      <c r="AI1635" t="s">
        <v>201</v>
      </c>
      <c r="AJ1635" t="s">
        <v>3644</v>
      </c>
      <c r="AK1635" t="str">
        <f>"Suite 500"</f>
        <v>Suite 500</v>
      </c>
      <c r="AL1635" t="s">
        <v>1921</v>
      </c>
      <c r="AM1635" t="s">
        <v>577</v>
      </c>
      <c r="AN1635" s="3">
        <v>33309</v>
      </c>
      <c r="AO1635" t="s">
        <v>101</v>
      </c>
      <c r="AQ1635" t="str">
        <f>"+16467289887"</f>
        <v>+16467289887</v>
      </c>
      <c r="AS1635" t="s">
        <v>3646</v>
      </c>
      <c r="AT1635" t="s">
        <v>107</v>
      </c>
      <c r="AU1635" t="str">
        <f>"Bhora"</f>
        <v>Bhora</v>
      </c>
      <c r="AV1635" t="str">
        <f>"Naveen"</f>
        <v>Naveen</v>
      </c>
      <c r="AW1635" t="str">
        <f>"Rahman"</f>
        <v>Rahman</v>
      </c>
      <c r="AX1635" t="str">
        <f>"641 Lexington Avenue"</f>
        <v>641 Lexington Avenue</v>
      </c>
      <c r="AY1635" t="str">
        <f>"15th Floor"</f>
        <v>15th Floor</v>
      </c>
      <c r="AZ1635" t="str">
        <f>"New York"</f>
        <v>New York</v>
      </c>
      <c r="BA1635" t="str">
        <f>"NY"</f>
        <v>NY</v>
      </c>
      <c r="BB1635" s="3">
        <v>10022</v>
      </c>
      <c r="BC1635" t="str">
        <f>"UNITED STATES OF AMERICA"</f>
        <v>UNITED STATES OF AMERICA</v>
      </c>
      <c r="BD1635" t="str">
        <f>""</f>
        <v/>
      </c>
      <c r="BE1635" t="str">
        <f>"+12128995040"</f>
        <v>+12128995040</v>
      </c>
      <c r="BF1635" t="str">
        <f>""</f>
        <v/>
      </c>
      <c r="BG1635" t="str">
        <f>"nrahman@wolfsdorf.com"</f>
        <v>nrahman@wolfsdorf.com</v>
      </c>
      <c r="BH1635" t="str">
        <f>"Wolfsdorf Rosenthal LLP"</f>
        <v>Wolfsdorf Rosenthal LLP</v>
      </c>
      <c r="BI1635" t="str">
        <f>"CA"</f>
        <v>CA</v>
      </c>
      <c r="BJ1635" t="str">
        <f>"Supreme Court"</f>
        <v>Supreme Court</v>
      </c>
      <c r="BK1635">
        <v>1</v>
      </c>
      <c r="BL1635" t="s">
        <v>102</v>
      </c>
      <c r="BM1635" t="str">
        <f>""</f>
        <v/>
      </c>
      <c r="BN1635" t="s">
        <v>3644</v>
      </c>
      <c r="BO1635" t="s">
        <v>1336</v>
      </c>
      <c r="BP1635" t="s">
        <v>1921</v>
      </c>
      <c r="BQ1635" t="s">
        <v>576</v>
      </c>
      <c r="BR1635" t="s">
        <v>577</v>
      </c>
      <c r="BS1635" s="5">
        <v>33309</v>
      </c>
      <c r="BT1635" s="2">
        <v>85000</v>
      </c>
      <c r="BV1635" t="s">
        <v>105</v>
      </c>
      <c r="BW1635" s="2">
        <v>74547</v>
      </c>
      <c r="BX1635" t="s">
        <v>105</v>
      </c>
      <c r="BZ1635" t="s">
        <v>159</v>
      </c>
      <c r="CA1635" t="str">
        <f t="shared" si="129"/>
        <v>7/1/2020 - 6/30/2021</v>
      </c>
      <c r="CF1635">
        <v>2</v>
      </c>
      <c r="CG1635" t="s">
        <v>98</v>
      </c>
      <c r="CH1635" t="s">
        <v>206</v>
      </c>
      <c r="CI1635" t="s">
        <v>206</v>
      </c>
      <c r="CL1635" t="s">
        <v>108</v>
      </c>
      <c r="CM1635" t="s">
        <v>109</v>
      </c>
      <c r="CN1635" t="str">
        <f>"Gonzales"</f>
        <v>Gonzales</v>
      </c>
      <c r="CO1635" t="str">
        <f>"Jesse"</f>
        <v>Jesse</v>
      </c>
      <c r="CP1635" t="str">
        <f>""</f>
        <v/>
      </c>
      <c r="CQ1635" t="str">
        <f>"Wolfsdorf Rosenthal LLP"</f>
        <v>Wolfsdorf Rosenthal LLP</v>
      </c>
      <c r="CR1635" t="s">
        <v>3647</v>
      </c>
    </row>
    <row r="1636" spans="1:96" x14ac:dyDescent="0.2">
      <c r="A1636" t="s">
        <v>3800</v>
      </c>
      <c r="B1636" t="s">
        <v>96</v>
      </c>
      <c r="C1636" s="1">
        <v>44099</v>
      </c>
      <c r="D1636" s="1">
        <v>44106</v>
      </c>
      <c r="F1636" t="s">
        <v>97</v>
      </c>
      <c r="G1636" t="str">
        <f>"Sr. Technical Product Manager R&amp;D - Oncology LIMS "</f>
        <v xml:space="preserve">Sr. Technical Product Manager R&amp;D - Oncology LIMS </v>
      </c>
      <c r="H1636" t="s">
        <v>12169</v>
      </c>
      <c r="I1636" t="s">
        <v>124</v>
      </c>
      <c r="J1636" t="s">
        <v>98</v>
      </c>
      <c r="K1636" s="1">
        <v>44116</v>
      </c>
      <c r="L1636" s="1">
        <v>45210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1846</v>
      </c>
      <c r="U1636" t="str">
        <f>""</f>
        <v/>
      </c>
      <c r="V1636" t="s">
        <v>1847</v>
      </c>
      <c r="W1636" t="str">
        <f>"Suite 410"</f>
        <v>Suite 410</v>
      </c>
      <c r="X1636" t="s">
        <v>1848</v>
      </c>
      <c r="Y1636" t="s">
        <v>141</v>
      </c>
      <c r="Z1636" s="3">
        <v>94070</v>
      </c>
      <c r="AA1636" t="s">
        <v>101</v>
      </c>
      <c r="AC1636" s="4" t="str">
        <f>"+16502499090"</f>
        <v>+16502499090</v>
      </c>
      <c r="AE1636" t="str">
        <f>"54171"</f>
        <v>54171</v>
      </c>
      <c r="AF1636" t="s">
        <v>1849</v>
      </c>
      <c r="AG1636" t="s">
        <v>1850</v>
      </c>
      <c r="AI1636" t="s">
        <v>1851</v>
      </c>
      <c r="AJ1636" t="s">
        <v>1852</v>
      </c>
      <c r="AK1636" t="str">
        <f>""</f>
        <v/>
      </c>
      <c r="AL1636" t="s">
        <v>1848</v>
      </c>
      <c r="AM1636" t="s">
        <v>141</v>
      </c>
      <c r="AN1636" s="3">
        <v>94070</v>
      </c>
      <c r="AO1636" t="s">
        <v>101</v>
      </c>
      <c r="AQ1636" t="str">
        <f>"+16502499090"</f>
        <v>+16502499090</v>
      </c>
      <c r="AR1636">
        <v>1861</v>
      </c>
      <c r="AS1636" t="s">
        <v>1853</v>
      </c>
      <c r="AT1636" t="s">
        <v>107</v>
      </c>
      <c r="AU1636" t="str">
        <f>"Loomba"</f>
        <v>Loomba</v>
      </c>
      <c r="AV1636" t="str">
        <f>"Erica"</f>
        <v>Erica</v>
      </c>
      <c r="AW1636" t="str">
        <f>""</f>
        <v/>
      </c>
      <c r="AX1636" t="str">
        <f>"Eleven Times Square"</f>
        <v>Eleven Times Square</v>
      </c>
      <c r="AY1636" t="str">
        <f>""</f>
        <v/>
      </c>
      <c r="AZ1636" t="str">
        <f>"New York"</f>
        <v>New York</v>
      </c>
      <c r="BA1636" t="str">
        <f>"NY"</f>
        <v>NY</v>
      </c>
      <c r="BB1636" s="3">
        <v>10036</v>
      </c>
      <c r="BC1636" t="str">
        <f>"UNITED STATES OF AMERICA"</f>
        <v>UNITED STATES OF AMERICA</v>
      </c>
      <c r="BD1636" t="str">
        <f>""</f>
        <v/>
      </c>
      <c r="BE1636" t="str">
        <f>"+19732743295"</f>
        <v>+19732743295</v>
      </c>
      <c r="BF1636" t="str">
        <f>""</f>
        <v/>
      </c>
      <c r="BG1636" t="str">
        <f>"eloomba@proskauer.com"</f>
        <v>eloomba@proskauer.com</v>
      </c>
      <c r="BH1636" t="str">
        <f>"Proskauer Rose LLP"</f>
        <v>Proskauer Rose LLP</v>
      </c>
      <c r="BI1636" t="str">
        <f>"NY"</f>
        <v>NY</v>
      </c>
      <c r="BJ1636" t="str">
        <f>"New York Court of Appeals"</f>
        <v>New York Court of Appeals</v>
      </c>
      <c r="BK1636">
        <v>1</v>
      </c>
      <c r="BL1636" t="s">
        <v>102</v>
      </c>
      <c r="BM1636" t="str">
        <f>""</f>
        <v/>
      </c>
      <c r="BN1636" t="s">
        <v>1854</v>
      </c>
      <c r="BP1636" t="s">
        <v>765</v>
      </c>
      <c r="BQ1636" t="s">
        <v>721</v>
      </c>
      <c r="BR1636" t="s">
        <v>114</v>
      </c>
      <c r="BS1636" s="5">
        <v>78753</v>
      </c>
      <c r="BT1636" s="2">
        <v>135000</v>
      </c>
      <c r="BV1636" t="s">
        <v>105</v>
      </c>
      <c r="BW1636" s="2">
        <v>124550</v>
      </c>
      <c r="BX1636" t="s">
        <v>105</v>
      </c>
      <c r="BZ1636" t="s">
        <v>159</v>
      </c>
      <c r="CA1636" t="str">
        <f t="shared" si="129"/>
        <v>7/1/2020 - 6/30/2021</v>
      </c>
      <c r="CF1636">
        <v>2</v>
      </c>
      <c r="CG1636" t="s">
        <v>98</v>
      </c>
      <c r="CH1636" t="s">
        <v>206</v>
      </c>
      <c r="CI1636" t="s">
        <v>206</v>
      </c>
      <c r="CL1636" t="s">
        <v>108</v>
      </c>
      <c r="CM1636" t="s">
        <v>109</v>
      </c>
      <c r="CN1636" t="str">
        <f>"Loomba"</f>
        <v>Loomba</v>
      </c>
      <c r="CO1636" t="str">
        <f>"Erica"</f>
        <v>Erica</v>
      </c>
      <c r="CP1636" t="str">
        <f>""</f>
        <v/>
      </c>
      <c r="CQ1636" t="str">
        <f>"Proskauer Rose LLP"</f>
        <v>Proskauer Rose LLP</v>
      </c>
      <c r="CR1636" t="s">
        <v>1855</v>
      </c>
    </row>
    <row r="1637" spans="1:96" x14ac:dyDescent="0.2">
      <c r="A1637" t="s">
        <v>3845</v>
      </c>
      <c r="B1637" t="s">
        <v>96</v>
      </c>
      <c r="C1637" s="1">
        <v>44099</v>
      </c>
      <c r="D1637" s="1">
        <v>44106</v>
      </c>
      <c r="F1637" t="s">
        <v>97</v>
      </c>
      <c r="G1637" t="str">
        <f>"Small Animal Surgery Locum"</f>
        <v>Small Animal Surgery Locum</v>
      </c>
      <c r="H1637" t="s">
        <v>12211</v>
      </c>
      <c r="I1637" t="s">
        <v>3846</v>
      </c>
      <c r="J1637" t="s">
        <v>98</v>
      </c>
      <c r="K1637" s="1">
        <v>44123</v>
      </c>
      <c r="L1637" s="1">
        <v>44153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 t="s">
        <v>605</v>
      </c>
      <c r="U1637" t="str">
        <f>"Iowa State University"</f>
        <v>Iowa State University</v>
      </c>
      <c r="V1637" t="s">
        <v>606</v>
      </c>
      <c r="W1637" t="str">
        <f>"3242 Memorial Union"</f>
        <v>3242 Memorial Union</v>
      </c>
      <c r="X1637" t="s">
        <v>607</v>
      </c>
      <c r="Y1637" t="s">
        <v>608</v>
      </c>
      <c r="Z1637" s="3">
        <v>50014</v>
      </c>
      <c r="AA1637" t="s">
        <v>101</v>
      </c>
      <c r="AC1637" s="4" t="str">
        <f>"+15152940373"</f>
        <v>+15152940373</v>
      </c>
      <c r="AE1637" t="str">
        <f>"611310"</f>
        <v>611310</v>
      </c>
      <c r="AF1637" t="s">
        <v>609</v>
      </c>
      <c r="AG1637" t="s">
        <v>610</v>
      </c>
      <c r="AH1637" t="s">
        <v>611</v>
      </c>
      <c r="AI1637" t="s">
        <v>612</v>
      </c>
      <c r="AJ1637" t="s">
        <v>606</v>
      </c>
      <c r="AK1637" t="str">
        <f>"3242 Memorial Union"</f>
        <v>3242 Memorial Union</v>
      </c>
      <c r="AL1637" t="s">
        <v>607</v>
      </c>
      <c r="AM1637" t="s">
        <v>608</v>
      </c>
      <c r="AN1637" s="3">
        <v>50014</v>
      </c>
      <c r="AO1637" t="s">
        <v>101</v>
      </c>
      <c r="AQ1637" t="str">
        <f>"+15152940373"</f>
        <v>+15152940373</v>
      </c>
      <c r="AS1637" t="s">
        <v>613</v>
      </c>
      <c r="AT1637" t="s">
        <v>102</v>
      </c>
      <c r="AU1637" t="str">
        <f>""</f>
        <v/>
      </c>
      <c r="AV1637" t="str">
        <f>""</f>
        <v/>
      </c>
      <c r="AW1637" t="str">
        <f>""</f>
        <v/>
      </c>
      <c r="AX1637" t="str">
        <f>""</f>
        <v/>
      </c>
      <c r="AY1637" t="str">
        <f>""</f>
        <v/>
      </c>
      <c r="AZ1637" t="str">
        <f>""</f>
        <v/>
      </c>
      <c r="BA1637" t="str">
        <f>""</f>
        <v/>
      </c>
      <c r="BC1637" t="str">
        <f>""</f>
        <v/>
      </c>
      <c r="BD1637" t="str">
        <f>""</f>
        <v/>
      </c>
      <c r="BE1637" t="str">
        <f>""</f>
        <v/>
      </c>
      <c r="BF1637" t="str">
        <f>""</f>
        <v/>
      </c>
      <c r="BG1637" t="str">
        <f>""</f>
        <v/>
      </c>
      <c r="BH1637" t="str">
        <f>""</f>
        <v/>
      </c>
      <c r="BI1637" t="str">
        <f>""</f>
        <v/>
      </c>
      <c r="BJ1637" t="str">
        <f>""</f>
        <v/>
      </c>
      <c r="BK1637">
        <v>1</v>
      </c>
      <c r="BL1637" t="s">
        <v>102</v>
      </c>
      <c r="BM1637" t="str">
        <f>""</f>
        <v/>
      </c>
      <c r="BN1637" t="s">
        <v>3847</v>
      </c>
      <c r="BO1637" t="s">
        <v>3848</v>
      </c>
      <c r="BP1637" t="s">
        <v>607</v>
      </c>
      <c r="BQ1637" t="s">
        <v>614</v>
      </c>
      <c r="BR1637" t="s">
        <v>608</v>
      </c>
      <c r="BS1637" s="5">
        <v>50011</v>
      </c>
      <c r="BT1637" s="2">
        <v>101.56</v>
      </c>
      <c r="BV1637" t="s">
        <v>210</v>
      </c>
      <c r="BW1637" s="2">
        <v>29.44</v>
      </c>
      <c r="BX1637" t="s">
        <v>210</v>
      </c>
      <c r="BZ1637" t="s">
        <v>167</v>
      </c>
      <c r="CA1637" t="str">
        <f t="shared" si="129"/>
        <v>7/1/2020 - 6/30/2021</v>
      </c>
      <c r="CF1637">
        <v>1</v>
      </c>
      <c r="CG1637" t="s">
        <v>98</v>
      </c>
      <c r="CH1637" t="s">
        <v>206</v>
      </c>
      <c r="CI1637" t="s">
        <v>206</v>
      </c>
      <c r="CL1637" t="s">
        <v>108</v>
      </c>
      <c r="CM1637" t="s">
        <v>109</v>
      </c>
      <c r="CN1637" t="str">
        <f>""</f>
        <v/>
      </c>
      <c r="CO1637" t="str">
        <f>""</f>
        <v/>
      </c>
      <c r="CP1637" t="str">
        <f>""</f>
        <v/>
      </c>
      <c r="CQ1637" t="str">
        <f>""</f>
        <v/>
      </c>
    </row>
    <row r="1638" spans="1:96" x14ac:dyDescent="0.2">
      <c r="A1638" t="s">
        <v>3871</v>
      </c>
      <c r="B1638" t="s">
        <v>96</v>
      </c>
      <c r="C1638" s="1">
        <v>44099</v>
      </c>
      <c r="D1638" s="1">
        <v>44106</v>
      </c>
      <c r="F1638" t="s">
        <v>97</v>
      </c>
      <c r="G1638" t="str">
        <f>"AFTERMARKET SUPPLY CHAIN OPTIMIZATION ENGINEER"</f>
        <v>AFTERMARKET SUPPLY CHAIN OPTIMIZATION ENGINEER</v>
      </c>
      <c r="H1638" t="s">
        <v>12168</v>
      </c>
      <c r="I1638" t="s">
        <v>249</v>
      </c>
      <c r="J1638" t="s">
        <v>98</v>
      </c>
      <c r="K1638" s="1">
        <v>44120</v>
      </c>
      <c r="L1638" s="1">
        <v>45214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 t="s">
        <v>3872</v>
      </c>
      <c r="U1638" t="str">
        <f>""</f>
        <v/>
      </c>
      <c r="V1638" t="s">
        <v>3873</v>
      </c>
      <c r="W1638" t="str">
        <f>""</f>
        <v/>
      </c>
      <c r="X1638" t="s">
        <v>2768</v>
      </c>
      <c r="Y1638" t="s">
        <v>814</v>
      </c>
      <c r="Z1638" s="3">
        <v>97217</v>
      </c>
      <c r="AA1638" t="s">
        <v>101</v>
      </c>
      <c r="AC1638" s="4" t="str">
        <f>"+15037455143"</f>
        <v>+15037455143</v>
      </c>
      <c r="AE1638" t="str">
        <f>"336120"</f>
        <v>336120</v>
      </c>
      <c r="AF1638" t="s">
        <v>3874</v>
      </c>
      <c r="AG1638" t="s">
        <v>2449</v>
      </c>
      <c r="AI1638" t="s">
        <v>3875</v>
      </c>
      <c r="AJ1638" t="s">
        <v>3876</v>
      </c>
      <c r="AK1638" t="str">
        <f>""</f>
        <v/>
      </c>
      <c r="AL1638" t="s">
        <v>3877</v>
      </c>
      <c r="AM1638" t="s">
        <v>814</v>
      </c>
      <c r="AN1638" s="3">
        <v>97217</v>
      </c>
      <c r="AO1638" t="s">
        <v>101</v>
      </c>
      <c r="AQ1638" t="str">
        <f>"+15037455143"</f>
        <v>+15037455143</v>
      </c>
      <c r="AS1638" t="s">
        <v>3878</v>
      </c>
      <c r="AT1638" t="s">
        <v>107</v>
      </c>
      <c r="AU1638" t="str">
        <f>"HARRIS"</f>
        <v>HARRIS</v>
      </c>
      <c r="AV1638" t="str">
        <f>"MICHAEL"</f>
        <v>MICHAEL</v>
      </c>
      <c r="AW1638" t="str">
        <f>""</f>
        <v/>
      </c>
      <c r="AX1638" t="str">
        <f>"755 W. BIG BEAVER RD. "</f>
        <v xml:space="preserve">755 W. BIG BEAVER RD. </v>
      </c>
      <c r="AY1638" t="str">
        <f>"SUITE 750"</f>
        <v>SUITE 750</v>
      </c>
      <c r="AZ1638" t="str">
        <f>"TROY"</f>
        <v>TROY</v>
      </c>
      <c r="BA1638" t="str">
        <f>"MI"</f>
        <v>MI</v>
      </c>
      <c r="BB1638" s="3">
        <v>48084</v>
      </c>
      <c r="BC1638" t="str">
        <f>"UNITED STATES OF AMERICA"</f>
        <v>UNITED STATES OF AMERICA</v>
      </c>
      <c r="BD1638" t="str">
        <f>""</f>
        <v/>
      </c>
      <c r="BE1638" t="str">
        <f>"+12486495404"</f>
        <v>+12486495404</v>
      </c>
      <c r="BF1638" t="str">
        <f>""</f>
        <v/>
      </c>
      <c r="BG1638" t="str">
        <f>"OOFFREDI@FRAGOMEN.COM"</f>
        <v>OOFFREDI@FRAGOMEN.COM</v>
      </c>
      <c r="BH1638" t="str">
        <f>"FRAGOMEN, DEL REY, BERNSEN &amp; LOEWY, LLP"</f>
        <v>FRAGOMEN, DEL REY, BERNSEN &amp; LOEWY, LLP</v>
      </c>
      <c r="BI1638" t="str">
        <f>"WA"</f>
        <v>WA</v>
      </c>
      <c r="BJ1638" t="str">
        <f>"SUPREME COURT OF WASHINGTON "</f>
        <v xml:space="preserve">SUPREME COURT OF WASHINGTON </v>
      </c>
      <c r="BK1638">
        <v>1</v>
      </c>
      <c r="BL1638" t="s">
        <v>102</v>
      </c>
      <c r="BM1638" t="str">
        <f>""</f>
        <v/>
      </c>
      <c r="BN1638" t="s">
        <v>3876</v>
      </c>
      <c r="BP1638" t="s">
        <v>2768</v>
      </c>
      <c r="BQ1638" t="s">
        <v>2769</v>
      </c>
      <c r="BR1638" t="s">
        <v>814</v>
      </c>
      <c r="BS1638" s="5">
        <v>97217</v>
      </c>
      <c r="BT1638" s="2">
        <v>78355.039999999994</v>
      </c>
      <c r="BV1638" t="s">
        <v>105</v>
      </c>
      <c r="BW1638" s="2">
        <v>68578</v>
      </c>
      <c r="BX1638" t="s">
        <v>105</v>
      </c>
      <c r="BZ1638" t="s">
        <v>167</v>
      </c>
      <c r="CA1638" t="str">
        <f t="shared" si="129"/>
        <v>7/1/2020 - 6/30/2021</v>
      </c>
      <c r="CF1638">
        <v>1</v>
      </c>
      <c r="CG1638" t="s">
        <v>98</v>
      </c>
      <c r="CH1638" t="s">
        <v>206</v>
      </c>
      <c r="CI1638" t="s">
        <v>206</v>
      </c>
      <c r="CL1638" t="s">
        <v>108</v>
      </c>
      <c r="CM1638" t="s">
        <v>109</v>
      </c>
      <c r="CN1638" t="str">
        <f>""</f>
        <v/>
      </c>
      <c r="CO1638" t="str">
        <f>""</f>
        <v/>
      </c>
      <c r="CP1638" t="str">
        <f>""</f>
        <v/>
      </c>
      <c r="CQ1638" t="str">
        <f>""</f>
        <v/>
      </c>
    </row>
    <row r="1639" spans="1:96" x14ac:dyDescent="0.2">
      <c r="A1639" t="s">
        <v>3890</v>
      </c>
      <c r="B1639" t="s">
        <v>96</v>
      </c>
      <c r="C1639" s="1">
        <v>44099</v>
      </c>
      <c r="D1639" s="1">
        <v>44106</v>
      </c>
      <c r="F1639" t="s">
        <v>97</v>
      </c>
      <c r="G1639" t="str">
        <f>"Computer Software Engineer"</f>
        <v>Computer Software Engineer</v>
      </c>
      <c r="H1639" t="s">
        <v>12169</v>
      </c>
      <c r="I1639" t="s">
        <v>124</v>
      </c>
      <c r="J1639" t="s">
        <v>98</v>
      </c>
      <c r="K1639" s="1">
        <v>44119</v>
      </c>
      <c r="L1639" s="1">
        <v>45214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3891</v>
      </c>
      <c r="U1639" t="str">
        <f>"IT FIRST SOURCE"</f>
        <v>IT FIRST SOURCE</v>
      </c>
      <c r="V1639" t="s">
        <v>3892</v>
      </c>
      <c r="W1639" t="str">
        <f>""</f>
        <v/>
      </c>
      <c r="X1639" t="s">
        <v>3893</v>
      </c>
      <c r="Y1639" t="s">
        <v>100</v>
      </c>
      <c r="Z1639" s="3">
        <v>7728</v>
      </c>
      <c r="AA1639" t="s">
        <v>101</v>
      </c>
      <c r="AC1639" s="4" t="str">
        <f>"+17326324661"</f>
        <v>+17326324661</v>
      </c>
      <c r="AE1639" t="str">
        <f>"541511"</f>
        <v>541511</v>
      </c>
      <c r="AF1639" t="s">
        <v>3894</v>
      </c>
      <c r="AG1639" t="s">
        <v>3895</v>
      </c>
      <c r="AI1639" t="s">
        <v>646</v>
      </c>
      <c r="AJ1639" t="s">
        <v>3892</v>
      </c>
      <c r="AK1639" t="str">
        <f>""</f>
        <v/>
      </c>
      <c r="AL1639" t="s">
        <v>3893</v>
      </c>
      <c r="AM1639" t="s">
        <v>100</v>
      </c>
      <c r="AN1639" s="3">
        <v>7728</v>
      </c>
      <c r="AO1639" t="s">
        <v>101</v>
      </c>
      <c r="AQ1639" t="str">
        <f>"+17326324661"</f>
        <v>+17326324661</v>
      </c>
      <c r="AS1639" t="s">
        <v>3896</v>
      </c>
      <c r="AT1639" t="s">
        <v>107</v>
      </c>
      <c r="AU1639" t="str">
        <f>"Gupta"</f>
        <v>Gupta</v>
      </c>
      <c r="AV1639" t="str">
        <f>"S.K."</f>
        <v>S.K.</v>
      </c>
      <c r="AW1639" t="str">
        <f>""</f>
        <v/>
      </c>
      <c r="AX1639" t="str">
        <f>"12 BRIDGE STREET"</f>
        <v>12 BRIDGE STREET</v>
      </c>
      <c r="AY1639" t="str">
        <f>"SUITE C-12"</f>
        <v>SUITE C-12</v>
      </c>
      <c r="AZ1639" t="str">
        <f>"METUCHEN"</f>
        <v>METUCHEN</v>
      </c>
      <c r="BA1639" t="str">
        <f>"NJ"</f>
        <v>NJ</v>
      </c>
      <c r="BB1639" s="3">
        <v>8840</v>
      </c>
      <c r="BC1639" t="str">
        <f>"UNITED STATES OF AMERICA"</f>
        <v>UNITED STATES OF AMERICA</v>
      </c>
      <c r="BD1639" t="str">
        <f>""</f>
        <v/>
      </c>
      <c r="BE1639" t="str">
        <f>"+17327261137"</f>
        <v>+17327261137</v>
      </c>
      <c r="BF1639" t="str">
        <f>""</f>
        <v/>
      </c>
      <c r="BG1639" t="str">
        <f>"SKGUPTA@SKGUPTA.COM"</f>
        <v>SKGUPTA@SKGUPTA.COM</v>
      </c>
      <c r="BH1639" t="str">
        <f>"LAW OFFICE OF S.K. GUPTA, P.C."</f>
        <v>LAW OFFICE OF S.K. GUPTA, P.C.</v>
      </c>
      <c r="BI1639" t="str">
        <f>"NJ"</f>
        <v>NJ</v>
      </c>
      <c r="BJ1639" t="str">
        <f>"SUPREME COURT"</f>
        <v>SUPREME COURT</v>
      </c>
      <c r="BK1639">
        <v>1</v>
      </c>
      <c r="BL1639" t="s">
        <v>107</v>
      </c>
      <c r="BM1639" t="str">
        <f>"CVS Health"</f>
        <v>CVS Health</v>
      </c>
      <c r="BN1639" t="s">
        <v>3897</v>
      </c>
      <c r="BP1639" t="s">
        <v>2205</v>
      </c>
      <c r="BQ1639" t="s">
        <v>2206</v>
      </c>
      <c r="BR1639" t="s">
        <v>857</v>
      </c>
      <c r="BS1639" s="5">
        <v>2895</v>
      </c>
      <c r="BT1639" s="2">
        <v>90500</v>
      </c>
      <c r="BV1639" t="s">
        <v>105</v>
      </c>
      <c r="BW1639" s="2">
        <v>90418</v>
      </c>
      <c r="BX1639" t="s">
        <v>105</v>
      </c>
      <c r="BZ1639" t="s">
        <v>167</v>
      </c>
      <c r="CA1639" t="str">
        <f t="shared" si="129"/>
        <v>7/1/2020 - 6/30/2021</v>
      </c>
      <c r="CF1639">
        <v>2</v>
      </c>
      <c r="CG1639" t="s">
        <v>98</v>
      </c>
      <c r="CH1639" t="s">
        <v>206</v>
      </c>
      <c r="CI1639" t="s">
        <v>206</v>
      </c>
      <c r="CL1639" t="s">
        <v>108</v>
      </c>
      <c r="CM1639" t="s">
        <v>109</v>
      </c>
      <c r="CN1639" t="str">
        <f>""</f>
        <v/>
      </c>
      <c r="CO1639" t="str">
        <f>""</f>
        <v/>
      </c>
      <c r="CP1639" t="str">
        <f>""</f>
        <v/>
      </c>
      <c r="CQ1639" t="str">
        <f>""</f>
        <v/>
      </c>
    </row>
    <row r="1640" spans="1:96" x14ac:dyDescent="0.2">
      <c r="A1640" t="s">
        <v>3905</v>
      </c>
      <c r="B1640" t="s">
        <v>96</v>
      </c>
      <c r="C1640" s="1">
        <v>44099</v>
      </c>
      <c r="D1640" s="1">
        <v>44106</v>
      </c>
      <c r="F1640" t="s">
        <v>97</v>
      </c>
      <c r="G1640" t="str">
        <f>"IT Project Manager"</f>
        <v>IT Project Manager</v>
      </c>
      <c r="H1640" t="s">
        <v>12168</v>
      </c>
      <c r="I1640" t="s">
        <v>367</v>
      </c>
      <c r="J1640" t="s">
        <v>98</v>
      </c>
      <c r="K1640" s="1">
        <v>44100</v>
      </c>
      <c r="L1640" s="1">
        <v>45194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 t="s">
        <v>815</v>
      </c>
      <c r="U1640" t="str">
        <f>""</f>
        <v/>
      </c>
      <c r="V1640" t="s">
        <v>816</v>
      </c>
      <c r="W1640" t="str">
        <f>"SUITE - 109"</f>
        <v>SUITE - 109</v>
      </c>
      <c r="X1640" t="s">
        <v>817</v>
      </c>
      <c r="Y1640" t="s">
        <v>577</v>
      </c>
      <c r="Z1640" s="3">
        <v>33324</v>
      </c>
      <c r="AA1640" t="s">
        <v>101</v>
      </c>
      <c r="AC1640" s="4" t="str">
        <f>"+17863589303"</f>
        <v>+17863589303</v>
      </c>
      <c r="AE1640" t="str">
        <f>"541512"</f>
        <v>541512</v>
      </c>
      <c r="AF1640" t="s">
        <v>680</v>
      </c>
      <c r="AG1640" t="s">
        <v>3906</v>
      </c>
      <c r="AI1640" t="s">
        <v>818</v>
      </c>
      <c r="AJ1640" t="s">
        <v>816</v>
      </c>
      <c r="AK1640" t="str">
        <f>"SUITE - 109"</f>
        <v>SUITE - 109</v>
      </c>
      <c r="AL1640" t="s">
        <v>817</v>
      </c>
      <c r="AM1640" t="s">
        <v>577</v>
      </c>
      <c r="AN1640" s="3">
        <v>33324</v>
      </c>
      <c r="AO1640" t="s">
        <v>101</v>
      </c>
      <c r="AQ1640" t="str">
        <f>"+17863589305"</f>
        <v>+17863589305</v>
      </c>
      <c r="AS1640" t="s">
        <v>819</v>
      </c>
      <c r="AT1640" t="s">
        <v>102</v>
      </c>
      <c r="AU1640" t="str">
        <f>""</f>
        <v/>
      </c>
      <c r="AV1640" t="str">
        <f>""</f>
        <v/>
      </c>
      <c r="AW1640" t="str">
        <f>""</f>
        <v/>
      </c>
      <c r="AX1640" t="str">
        <f>""</f>
        <v/>
      </c>
      <c r="AY1640" t="str">
        <f>""</f>
        <v/>
      </c>
      <c r="AZ1640" t="str">
        <f>""</f>
        <v/>
      </c>
      <c r="BA1640" t="str">
        <f>""</f>
        <v/>
      </c>
      <c r="BC1640" t="str">
        <f>""</f>
        <v/>
      </c>
      <c r="BD1640" t="str">
        <f>""</f>
        <v/>
      </c>
      <c r="BE1640" t="str">
        <f>""</f>
        <v/>
      </c>
      <c r="BF1640" t="str">
        <f>""</f>
        <v/>
      </c>
      <c r="BG1640" t="str">
        <f>""</f>
        <v/>
      </c>
      <c r="BH1640" t="str">
        <f>""</f>
        <v/>
      </c>
      <c r="BI1640" t="str">
        <f>""</f>
        <v/>
      </c>
      <c r="BJ1640" t="str">
        <f>""</f>
        <v/>
      </c>
      <c r="BK1640">
        <v>1</v>
      </c>
      <c r="BL1640" t="s">
        <v>102</v>
      </c>
      <c r="BM1640" t="str">
        <f>""</f>
        <v/>
      </c>
      <c r="BN1640" t="s">
        <v>3907</v>
      </c>
      <c r="BO1640" t="s">
        <v>3908</v>
      </c>
      <c r="BP1640" t="s">
        <v>1611</v>
      </c>
      <c r="BQ1640" t="s">
        <v>1612</v>
      </c>
      <c r="BR1640" t="s">
        <v>176</v>
      </c>
      <c r="BS1640" s="5">
        <v>98012</v>
      </c>
      <c r="BT1640" s="2">
        <v>78000</v>
      </c>
      <c r="BV1640" t="s">
        <v>105</v>
      </c>
      <c r="BW1640" s="2">
        <v>77875</v>
      </c>
      <c r="BX1640" t="s">
        <v>105</v>
      </c>
      <c r="BZ1640" t="s">
        <v>167</v>
      </c>
      <c r="CA1640" t="str">
        <f t="shared" si="129"/>
        <v>7/1/2020 - 6/30/2021</v>
      </c>
      <c r="CF1640">
        <v>2</v>
      </c>
      <c r="CG1640" t="s">
        <v>98</v>
      </c>
      <c r="CH1640" t="s">
        <v>206</v>
      </c>
      <c r="CI1640" t="s">
        <v>206</v>
      </c>
      <c r="CL1640" t="s">
        <v>108</v>
      </c>
      <c r="CM1640" t="s">
        <v>109</v>
      </c>
      <c r="CN1640" t="str">
        <f>"Singh"</f>
        <v>Singh</v>
      </c>
      <c r="CO1640" t="str">
        <f>"Raj"</f>
        <v>Raj</v>
      </c>
      <c r="CP1640" t="str">
        <f>""</f>
        <v/>
      </c>
      <c r="CQ1640" t="str">
        <f>"Ebyte Technologies Inc."</f>
        <v>Ebyte Technologies Inc.</v>
      </c>
      <c r="CR1640" t="s">
        <v>821</v>
      </c>
    </row>
    <row r="1641" spans="1:96" x14ac:dyDescent="0.2">
      <c r="A1641" t="s">
        <v>4087</v>
      </c>
      <c r="B1641" t="s">
        <v>96</v>
      </c>
      <c r="C1641" s="1">
        <v>44099</v>
      </c>
      <c r="D1641" s="1">
        <v>44106</v>
      </c>
      <c r="F1641" t="s">
        <v>97</v>
      </c>
      <c r="G1641" t="str">
        <f>"Process Engineer III"</f>
        <v>Process Engineer III</v>
      </c>
      <c r="H1641" t="s">
        <v>12196</v>
      </c>
      <c r="I1641" t="s">
        <v>322</v>
      </c>
      <c r="J1641" t="s">
        <v>98</v>
      </c>
      <c r="K1641" s="1">
        <v>44123</v>
      </c>
      <c r="L1641" s="1">
        <v>45217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 t="s">
        <v>323</v>
      </c>
      <c r="U1641" t="str">
        <f>""</f>
        <v/>
      </c>
      <c r="V1641" t="s">
        <v>324</v>
      </c>
      <c r="W1641" t="str">
        <f>"Suite 300"</f>
        <v>Suite 300</v>
      </c>
      <c r="X1641" t="s">
        <v>325</v>
      </c>
      <c r="Y1641" t="s">
        <v>265</v>
      </c>
      <c r="Z1641" s="3">
        <v>48076</v>
      </c>
      <c r="AA1641" t="s">
        <v>101</v>
      </c>
      <c r="AC1641" s="4" t="str">
        <f>"+12483044033"</f>
        <v>+12483044033</v>
      </c>
      <c r="AE1641" t="str">
        <f>"33631"</f>
        <v>33631</v>
      </c>
      <c r="AF1641" t="s">
        <v>326</v>
      </c>
      <c r="AG1641" t="s">
        <v>196</v>
      </c>
      <c r="AI1641" t="s">
        <v>327</v>
      </c>
      <c r="AJ1641" t="s">
        <v>324</v>
      </c>
      <c r="AK1641" t="str">
        <f>"Suite 300"</f>
        <v>Suite 300</v>
      </c>
      <c r="AL1641" t="s">
        <v>325</v>
      </c>
      <c r="AM1641" t="s">
        <v>265</v>
      </c>
      <c r="AN1641" s="3">
        <v>48076</v>
      </c>
      <c r="AO1641" t="s">
        <v>101</v>
      </c>
      <c r="AQ1641" t="str">
        <f>"+12483044033"</f>
        <v>+12483044033</v>
      </c>
      <c r="AS1641" t="s">
        <v>328</v>
      </c>
      <c r="AT1641" t="s">
        <v>107</v>
      </c>
      <c r="AU1641" t="str">
        <f>"Mosko"</f>
        <v>Mosko</v>
      </c>
      <c r="AV1641" t="str">
        <f>"Anthony"</f>
        <v>Anthony</v>
      </c>
      <c r="AW1641" t="str">
        <f>"David"</f>
        <v>David</v>
      </c>
      <c r="AX1641" t="str">
        <f>"755 West Big Beaver Road"</f>
        <v>755 West Big Beaver Road</v>
      </c>
      <c r="AY1641" t="str">
        <f>"Suite 1100"</f>
        <v>Suite 1100</v>
      </c>
      <c r="AZ1641" t="str">
        <f>"Troy"</f>
        <v>Troy</v>
      </c>
      <c r="BA1641" t="str">
        <f>"MI"</f>
        <v>MI</v>
      </c>
      <c r="BB1641" s="3">
        <v>48084</v>
      </c>
      <c r="BC1641" t="str">
        <f t="shared" ref="BC1641:BC1650" si="130">"UNITED STATES OF AMERICA"</f>
        <v>UNITED STATES OF AMERICA</v>
      </c>
      <c r="BD1641" t="str">
        <f>""</f>
        <v/>
      </c>
      <c r="BE1641" t="str">
        <f>"+12485199900"</f>
        <v>+12485199900</v>
      </c>
      <c r="BF1641" t="str">
        <f>""</f>
        <v/>
      </c>
      <c r="BG1641" t="str">
        <f>"Anthony.Mosko@ellisporter.com"</f>
        <v>Anthony.Mosko@ellisporter.com</v>
      </c>
      <c r="BH1641" t="str">
        <f>"Ellis Porter PLC"</f>
        <v>Ellis Porter PLC</v>
      </c>
      <c r="BI1641" t="str">
        <f>"MI"</f>
        <v>MI</v>
      </c>
      <c r="BJ1641" t="str">
        <f>"Supreme Court"</f>
        <v>Supreme Court</v>
      </c>
      <c r="BK1641">
        <v>1</v>
      </c>
      <c r="BL1641" t="s">
        <v>102</v>
      </c>
      <c r="BM1641" t="str">
        <f>""</f>
        <v/>
      </c>
      <c r="BN1641" t="s">
        <v>4088</v>
      </c>
      <c r="BP1641" t="s">
        <v>4089</v>
      </c>
      <c r="BQ1641" t="s">
        <v>4090</v>
      </c>
      <c r="BR1641" t="s">
        <v>708</v>
      </c>
      <c r="BS1641" s="5">
        <v>35150</v>
      </c>
      <c r="BT1641" s="2">
        <v>90000</v>
      </c>
      <c r="BV1641" t="s">
        <v>105</v>
      </c>
      <c r="BW1641" s="2">
        <v>77147</v>
      </c>
      <c r="BX1641" t="s">
        <v>105</v>
      </c>
      <c r="BZ1641" t="s">
        <v>159</v>
      </c>
      <c r="CA1641" t="str">
        <f t="shared" si="129"/>
        <v>7/1/2020 - 6/30/2021</v>
      </c>
      <c r="CF1641">
        <v>1</v>
      </c>
      <c r="CG1641" t="s">
        <v>98</v>
      </c>
      <c r="CH1641" t="s">
        <v>206</v>
      </c>
      <c r="CI1641" t="s">
        <v>206</v>
      </c>
      <c r="CL1641" t="s">
        <v>108</v>
      </c>
      <c r="CM1641" t="s">
        <v>109</v>
      </c>
      <c r="CN1641" t="str">
        <f>""</f>
        <v/>
      </c>
      <c r="CO1641" t="str">
        <f>""</f>
        <v/>
      </c>
      <c r="CP1641" t="str">
        <f>""</f>
        <v/>
      </c>
      <c r="CQ1641" t="str">
        <f>""</f>
        <v/>
      </c>
    </row>
    <row r="1642" spans="1:96" x14ac:dyDescent="0.2">
      <c r="A1642" t="s">
        <v>4132</v>
      </c>
      <c r="B1642" t="s">
        <v>96</v>
      </c>
      <c r="C1642" s="1">
        <v>44099</v>
      </c>
      <c r="D1642" s="1">
        <v>44106</v>
      </c>
      <c r="F1642" t="s">
        <v>97</v>
      </c>
      <c r="G1642" t="str">
        <f>"Pathways Operations Manager"</f>
        <v>Pathways Operations Manager</v>
      </c>
      <c r="H1642" t="s">
        <v>12280</v>
      </c>
      <c r="I1642" t="s">
        <v>4133</v>
      </c>
      <c r="J1642" t="s">
        <v>98</v>
      </c>
      <c r="K1642" s="1">
        <v>44105</v>
      </c>
      <c r="L1642" s="1">
        <v>45199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431</v>
      </c>
      <c r="U1642" t="str">
        <f>""</f>
        <v/>
      </c>
      <c r="V1642" t="s">
        <v>432</v>
      </c>
      <c r="W1642" t="str">
        <f>""</f>
        <v/>
      </c>
      <c r="X1642" t="s">
        <v>433</v>
      </c>
      <c r="Y1642" t="s">
        <v>176</v>
      </c>
      <c r="Z1642" s="3">
        <v>98121</v>
      </c>
      <c r="AA1642" t="s">
        <v>101</v>
      </c>
      <c r="AC1642" s="4" t="str">
        <f>"+12062661000"</f>
        <v>+12062661000</v>
      </c>
      <c r="AE1642" t="str">
        <f>"45411"</f>
        <v>45411</v>
      </c>
      <c r="AF1642" t="s">
        <v>4134</v>
      </c>
      <c r="AG1642" t="s">
        <v>4135</v>
      </c>
      <c r="AI1642" t="s">
        <v>262</v>
      </c>
      <c r="AJ1642" t="s">
        <v>432</v>
      </c>
      <c r="AK1642" t="str">
        <f>""</f>
        <v/>
      </c>
      <c r="AL1642" t="s">
        <v>261</v>
      </c>
      <c r="AM1642" t="s">
        <v>176</v>
      </c>
      <c r="AN1642" s="3">
        <v>98121</v>
      </c>
      <c r="AO1642" t="s">
        <v>101</v>
      </c>
      <c r="AQ1642" t="str">
        <f>"+12062661000"</f>
        <v>+12062661000</v>
      </c>
      <c r="AS1642" t="s">
        <v>263</v>
      </c>
      <c r="AT1642" t="s">
        <v>107</v>
      </c>
      <c r="AU1642" t="str">
        <f>"Davis"</f>
        <v>Davis</v>
      </c>
      <c r="AV1642" t="str">
        <f>"Lauren"</f>
        <v>Lauren</v>
      </c>
      <c r="AW1642" t="str">
        <f>"Allyson"</f>
        <v>Allyson</v>
      </c>
      <c r="AX1642" t="str">
        <f>"2400 North Glenville Drive"</f>
        <v>2400 North Glenville Drive</v>
      </c>
      <c r="AY1642" t="str">
        <f>"Bldg. A, Suite 100"</f>
        <v>Bldg. A, Suite 100</v>
      </c>
      <c r="AZ1642" t="str">
        <f>"Richardson"</f>
        <v>Richardson</v>
      </c>
      <c r="BA1642" t="str">
        <f>"TX"</f>
        <v>TX</v>
      </c>
      <c r="BB1642" s="3">
        <v>75082</v>
      </c>
      <c r="BC1642" t="str">
        <f t="shared" si="130"/>
        <v>UNITED STATES OF AMERICA</v>
      </c>
      <c r="BD1642" t="str">
        <f>""</f>
        <v/>
      </c>
      <c r="BE1642" t="str">
        <f>"+19728617085"</f>
        <v>+19728617085</v>
      </c>
      <c r="BF1642" t="str">
        <f>""</f>
        <v/>
      </c>
      <c r="BG1642" t="str">
        <f>"spoveda@balglobal.com"</f>
        <v>spoveda@balglobal.com</v>
      </c>
      <c r="BH1642" t="str">
        <f>"Berry Appleman and Leiden LLP"</f>
        <v>Berry Appleman and Leiden LLP</v>
      </c>
      <c r="BI1642" t="str">
        <f>"TX"</f>
        <v>TX</v>
      </c>
      <c r="BJ1642" t="str">
        <f>"Supreme Court of Texas"</f>
        <v>Supreme Court of Texas</v>
      </c>
      <c r="BK1642">
        <v>1</v>
      </c>
      <c r="BL1642" t="s">
        <v>102</v>
      </c>
      <c r="BM1642" t="str">
        <f>""</f>
        <v/>
      </c>
      <c r="BN1642" t="s">
        <v>4136</v>
      </c>
      <c r="BP1642" t="s">
        <v>182</v>
      </c>
      <c r="BQ1642" t="s">
        <v>183</v>
      </c>
      <c r="BR1642" t="s">
        <v>176</v>
      </c>
      <c r="BS1642" s="5">
        <v>98004</v>
      </c>
      <c r="BT1642" s="2">
        <v>130000</v>
      </c>
      <c r="BV1642" t="s">
        <v>105</v>
      </c>
      <c r="BW1642" s="2">
        <v>123926</v>
      </c>
      <c r="BX1642" t="s">
        <v>105</v>
      </c>
      <c r="BZ1642" t="s">
        <v>123</v>
      </c>
      <c r="CA1642" t="str">
        <f t="shared" si="129"/>
        <v>7/1/2020 - 6/30/2021</v>
      </c>
      <c r="CF1642">
        <v>1</v>
      </c>
      <c r="CG1642" t="s">
        <v>98</v>
      </c>
      <c r="CH1642" t="s">
        <v>206</v>
      </c>
      <c r="CI1642" t="s">
        <v>206</v>
      </c>
      <c r="CL1642" t="s">
        <v>108</v>
      </c>
      <c r="CM1642" t="s">
        <v>109</v>
      </c>
      <c r="CN1642" t="str">
        <f>"n/a"</f>
        <v>n/a</v>
      </c>
      <c r="CO1642" t="str">
        <f>"n/a"</f>
        <v>n/a</v>
      </c>
      <c r="CP1642" t="str">
        <f>"n/a"</f>
        <v>n/a</v>
      </c>
      <c r="CQ1642" t="str">
        <f>"..n/a"</f>
        <v>..n/a</v>
      </c>
      <c r="CR1642" t="s">
        <v>382</v>
      </c>
    </row>
    <row r="1643" spans="1:96" x14ac:dyDescent="0.2">
      <c r="A1643" t="s">
        <v>4262</v>
      </c>
      <c r="B1643" t="s">
        <v>96</v>
      </c>
      <c r="C1643" s="1">
        <v>44099</v>
      </c>
      <c r="D1643" s="1">
        <v>44106</v>
      </c>
      <c r="F1643" t="s">
        <v>97</v>
      </c>
      <c r="G1643" t="str">
        <f>"Consultant, Business Intelligence"</f>
        <v>Consultant, Business Intelligence</v>
      </c>
      <c r="H1643" t="s">
        <v>12182</v>
      </c>
      <c r="I1643" t="s">
        <v>168</v>
      </c>
      <c r="J1643" t="s">
        <v>98</v>
      </c>
      <c r="K1643" s="1">
        <v>44105</v>
      </c>
      <c r="L1643" s="1">
        <v>45199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4263</v>
      </c>
      <c r="U1643" t="str">
        <f>""</f>
        <v/>
      </c>
      <c r="V1643" t="s">
        <v>4264</v>
      </c>
      <c r="W1643" t="str">
        <f>""</f>
        <v/>
      </c>
      <c r="X1643" t="s">
        <v>4109</v>
      </c>
      <c r="Y1643" t="s">
        <v>114</v>
      </c>
      <c r="Z1643" s="3">
        <v>78682</v>
      </c>
      <c r="AA1643" t="s">
        <v>101</v>
      </c>
      <c r="AC1643" s="4" t="str">
        <f>"+15124979215"</f>
        <v>+15124979215</v>
      </c>
      <c r="AE1643" t="str">
        <f>"42343"</f>
        <v>42343</v>
      </c>
      <c r="AF1643" t="s">
        <v>4265</v>
      </c>
      <c r="AG1643" t="s">
        <v>4266</v>
      </c>
      <c r="AI1643" t="s">
        <v>4267</v>
      </c>
      <c r="AJ1643" t="s">
        <v>4264</v>
      </c>
      <c r="AK1643" t="str">
        <f>""</f>
        <v/>
      </c>
      <c r="AL1643" t="s">
        <v>4109</v>
      </c>
      <c r="AM1643" t="s">
        <v>114</v>
      </c>
      <c r="AN1643" s="3">
        <v>78682</v>
      </c>
      <c r="AO1643" t="s">
        <v>101</v>
      </c>
      <c r="AQ1643" t="str">
        <f>"+15124979215"</f>
        <v>+15124979215</v>
      </c>
      <c r="AS1643" t="s">
        <v>108</v>
      </c>
      <c r="AT1643" t="s">
        <v>107</v>
      </c>
      <c r="AU1643" t="str">
        <f>"HOLLAND"</f>
        <v>HOLLAND</v>
      </c>
      <c r="AV1643" t="str">
        <f>"STEPHANIE"</f>
        <v>STEPHANIE</v>
      </c>
      <c r="AW1643" t="str">
        <f>""</f>
        <v/>
      </c>
      <c r="AX1643" t="str">
        <f>"191 PEACHTREE STREET NE"</f>
        <v>191 PEACHTREE STREET NE</v>
      </c>
      <c r="AY1643" t="str">
        <f>"SUITE 4800"</f>
        <v>SUITE 4800</v>
      </c>
      <c r="AZ1643" t="str">
        <f>"ATLANTA"</f>
        <v>ATLANTA</v>
      </c>
      <c r="BA1643" t="str">
        <f>"GA"</f>
        <v>GA</v>
      </c>
      <c r="BB1643" s="3">
        <v>30303</v>
      </c>
      <c r="BC1643" t="str">
        <f t="shared" si="130"/>
        <v>UNITED STATES OF AMERICA</v>
      </c>
      <c r="BD1643" t="str">
        <f>""</f>
        <v/>
      </c>
      <c r="BE1643" t="str">
        <f>"+14048811300"</f>
        <v>+14048811300</v>
      </c>
      <c r="BF1643" t="str">
        <f>""</f>
        <v/>
      </c>
      <c r="BG1643" t="str">
        <f>"ANABEL2.RODRIGUEZ@OGLETREEDEAKINS.COM"</f>
        <v>ANABEL2.RODRIGUEZ@OGLETREEDEAKINS.COM</v>
      </c>
      <c r="BH1643" t="str">
        <f>"OGLETREE DEAKINS"</f>
        <v>OGLETREE DEAKINS</v>
      </c>
      <c r="BI1643" t="str">
        <f>"GA"</f>
        <v>GA</v>
      </c>
      <c r="BJ1643" t="str">
        <f>"GEORGIA SUPREME COURT"</f>
        <v>GEORGIA SUPREME COURT</v>
      </c>
      <c r="BK1643">
        <v>1</v>
      </c>
      <c r="BL1643" t="s">
        <v>102</v>
      </c>
      <c r="BM1643" t="str">
        <f>""</f>
        <v/>
      </c>
      <c r="BN1643" t="s">
        <v>4268</v>
      </c>
      <c r="BO1643" t="s">
        <v>4269</v>
      </c>
      <c r="BP1643" t="s">
        <v>720</v>
      </c>
      <c r="BQ1643" t="s">
        <v>721</v>
      </c>
      <c r="BR1643" t="s">
        <v>114</v>
      </c>
      <c r="BS1643" s="5">
        <v>78751</v>
      </c>
      <c r="BT1643" s="2">
        <v>126000</v>
      </c>
      <c r="BV1643" t="s">
        <v>105</v>
      </c>
      <c r="BW1643" s="2">
        <v>95992</v>
      </c>
      <c r="BX1643" t="s">
        <v>105</v>
      </c>
      <c r="BZ1643" t="s">
        <v>159</v>
      </c>
      <c r="CA1643" t="str">
        <f t="shared" si="129"/>
        <v>7/1/2020 - 6/30/2021</v>
      </c>
      <c r="CF1643">
        <v>3</v>
      </c>
      <c r="CG1643" t="s">
        <v>98</v>
      </c>
      <c r="CH1643" t="s">
        <v>206</v>
      </c>
      <c r="CI1643" t="s">
        <v>206</v>
      </c>
      <c r="CL1643" t="s">
        <v>108</v>
      </c>
      <c r="CM1643" t="s">
        <v>109</v>
      </c>
      <c r="CN1643" t="str">
        <f>"HOLLAND"</f>
        <v>HOLLAND</v>
      </c>
      <c r="CO1643" t="str">
        <f>"STEPHANIE"</f>
        <v>STEPHANIE</v>
      </c>
      <c r="CP1643" t="str">
        <f>""</f>
        <v/>
      </c>
      <c r="CQ1643" t="str">
        <f>"OGLETREE DEAKINS"</f>
        <v>OGLETREE DEAKINS</v>
      </c>
      <c r="CR1643" t="s">
        <v>4270</v>
      </c>
    </row>
    <row r="1644" spans="1:96" x14ac:dyDescent="0.2">
      <c r="A1644" t="s">
        <v>4495</v>
      </c>
      <c r="B1644" t="s">
        <v>96</v>
      </c>
      <c r="C1644" s="1">
        <v>44099</v>
      </c>
      <c r="D1644" s="1">
        <v>44106</v>
      </c>
      <c r="F1644" t="s">
        <v>97</v>
      </c>
      <c r="G1644" t="str">
        <f>"Engineer, Advanced Software "</f>
        <v xml:space="preserve">Engineer, Advanced Software </v>
      </c>
      <c r="H1644" t="s">
        <v>12169</v>
      </c>
      <c r="I1644" t="s">
        <v>124</v>
      </c>
      <c r="J1644" t="s">
        <v>98</v>
      </c>
      <c r="K1644" s="1">
        <v>44123</v>
      </c>
      <c r="L1644" s="1">
        <v>45217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4068</v>
      </c>
      <c r="U1644" t="str">
        <f>""</f>
        <v/>
      </c>
      <c r="V1644" t="s">
        <v>4069</v>
      </c>
      <c r="W1644" t="str">
        <f>""</f>
        <v/>
      </c>
      <c r="X1644" t="s">
        <v>2078</v>
      </c>
      <c r="Y1644" t="s">
        <v>141</v>
      </c>
      <c r="Z1644" s="3">
        <v>92618</v>
      </c>
      <c r="AA1644" t="s">
        <v>101</v>
      </c>
      <c r="AC1644" s="4" t="str">
        <f>"+19492977000"</f>
        <v>+19492977000</v>
      </c>
      <c r="AE1644" t="str">
        <f>"334510"</f>
        <v>334510</v>
      </c>
      <c r="AF1644" t="s">
        <v>1928</v>
      </c>
      <c r="AG1644" t="s">
        <v>4070</v>
      </c>
      <c r="AI1644" t="s">
        <v>2175</v>
      </c>
      <c r="AJ1644" t="s">
        <v>4069</v>
      </c>
      <c r="AK1644" t="str">
        <f>""</f>
        <v/>
      </c>
      <c r="AL1644" t="s">
        <v>2078</v>
      </c>
      <c r="AM1644" t="s">
        <v>141</v>
      </c>
      <c r="AN1644" s="3">
        <v>92618</v>
      </c>
      <c r="AO1644" t="s">
        <v>101</v>
      </c>
      <c r="AQ1644" t="str">
        <f>"+19492977419"</f>
        <v>+19492977419</v>
      </c>
      <c r="AS1644" t="s">
        <v>4071</v>
      </c>
      <c r="AT1644" t="s">
        <v>107</v>
      </c>
      <c r="AU1644" t="str">
        <f>"Miller"</f>
        <v>Miller</v>
      </c>
      <c r="AV1644" t="str">
        <f>"Blake"</f>
        <v>Blake</v>
      </c>
      <c r="AW1644" t="str">
        <f>"Garrick"</f>
        <v>Garrick</v>
      </c>
      <c r="AX1644" t="str">
        <f>"18401 Von Karman Avenue"</f>
        <v>18401 Von Karman Avenue</v>
      </c>
      <c r="AY1644" t="str">
        <f>"Suite 255"</f>
        <v>Suite 255</v>
      </c>
      <c r="AZ1644" t="str">
        <f>"Irvine"</f>
        <v>Irvine</v>
      </c>
      <c r="BA1644" t="str">
        <f>"CA"</f>
        <v>CA</v>
      </c>
      <c r="BB1644" s="3">
        <v>92612</v>
      </c>
      <c r="BC1644" t="str">
        <f t="shared" si="130"/>
        <v>UNITED STATES OF AMERICA</v>
      </c>
      <c r="BD1644" t="str">
        <f>"N/A"</f>
        <v>N/A</v>
      </c>
      <c r="BE1644" t="str">
        <f>"+19492610209"</f>
        <v>+19492610209</v>
      </c>
      <c r="BF1644" t="str">
        <f>""</f>
        <v/>
      </c>
      <c r="BG1644" t="str">
        <f>"BMiller@fragomen.com"</f>
        <v>BMiller@fragomen.com</v>
      </c>
      <c r="BH1644" t="str">
        <f>"Fragomen, Del Rey, Bernsen &amp; Loewy, LLP"</f>
        <v>Fragomen, Del Rey, Bernsen &amp; Loewy, LLP</v>
      </c>
      <c r="BI1644" t="str">
        <f>"CA"</f>
        <v>CA</v>
      </c>
      <c r="BJ1644" t="str">
        <f>"Supreme"</f>
        <v>Supreme</v>
      </c>
      <c r="BK1644">
        <v>1</v>
      </c>
      <c r="BL1644" t="s">
        <v>102</v>
      </c>
      <c r="BM1644" t="str">
        <f>""</f>
        <v/>
      </c>
      <c r="BN1644" t="s">
        <v>4069</v>
      </c>
      <c r="BP1644" t="s">
        <v>2078</v>
      </c>
      <c r="BQ1644" t="s">
        <v>377</v>
      </c>
      <c r="BR1644" t="s">
        <v>141</v>
      </c>
      <c r="BS1644" s="5">
        <v>92618</v>
      </c>
      <c r="BT1644" s="2">
        <v>120000</v>
      </c>
      <c r="BU1644" s="2">
        <v>140000</v>
      </c>
      <c r="BV1644" t="s">
        <v>105</v>
      </c>
      <c r="BW1644" s="2">
        <v>108855</v>
      </c>
      <c r="BX1644" t="s">
        <v>105</v>
      </c>
      <c r="CA1644" t="str">
        <f>""</f>
        <v/>
      </c>
      <c r="CB1644" t="s">
        <v>244</v>
      </c>
      <c r="CC1644">
        <v>2019</v>
      </c>
      <c r="CD1644" t="s">
        <v>4496</v>
      </c>
      <c r="CE1644" t="s">
        <v>4497</v>
      </c>
      <c r="CF1644">
        <v>2</v>
      </c>
      <c r="CG1644" t="s">
        <v>98</v>
      </c>
      <c r="CH1644" t="s">
        <v>206</v>
      </c>
      <c r="CI1644" t="s">
        <v>206</v>
      </c>
      <c r="CL1644" t="s">
        <v>108</v>
      </c>
      <c r="CM1644" t="s">
        <v>109</v>
      </c>
      <c r="CN1644" t="str">
        <f>"Hong"</f>
        <v>Hong</v>
      </c>
      <c r="CO1644" t="str">
        <f>"Huijeong"</f>
        <v>Huijeong</v>
      </c>
      <c r="CP1644" t="str">
        <f>""</f>
        <v/>
      </c>
      <c r="CQ1644" t="str">
        <f>"Fragomen, Del Rey, Bernsen &amp; Loewy, LLP"</f>
        <v>Fragomen, Del Rey, Bernsen &amp; Loewy, LLP</v>
      </c>
      <c r="CR1644" t="s">
        <v>2221</v>
      </c>
    </row>
    <row r="1645" spans="1:96" x14ac:dyDescent="0.2">
      <c r="A1645" t="s">
        <v>4503</v>
      </c>
      <c r="B1645" t="s">
        <v>96</v>
      </c>
      <c r="C1645" s="1">
        <v>44099</v>
      </c>
      <c r="D1645" s="1">
        <v>44106</v>
      </c>
      <c r="F1645" t="s">
        <v>97</v>
      </c>
      <c r="G1645" t="str">
        <f>"Associate, Software Engineer"</f>
        <v>Associate, Software Engineer</v>
      </c>
      <c r="H1645" t="s">
        <v>12169</v>
      </c>
      <c r="I1645" t="s">
        <v>124</v>
      </c>
      <c r="J1645" t="s">
        <v>98</v>
      </c>
      <c r="K1645" s="1">
        <v>44218</v>
      </c>
      <c r="L1645" s="1">
        <v>45312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 t="s">
        <v>2242</v>
      </c>
      <c r="U1645" t="str">
        <f>""</f>
        <v/>
      </c>
      <c r="V1645" t="s">
        <v>2243</v>
      </c>
      <c r="W1645" t="str">
        <f>""</f>
        <v/>
      </c>
      <c r="X1645" t="s">
        <v>833</v>
      </c>
      <c r="Y1645" t="s">
        <v>345</v>
      </c>
      <c r="Z1645" s="3">
        <v>60603</v>
      </c>
      <c r="AA1645" t="s">
        <v>101</v>
      </c>
      <c r="AC1645" s="4" t="str">
        <f>"+13127322655"</f>
        <v>+13127322655</v>
      </c>
      <c r="AE1645" t="str">
        <f>"551112"</f>
        <v>551112</v>
      </c>
      <c r="AF1645" t="s">
        <v>2654</v>
      </c>
      <c r="AG1645" t="s">
        <v>3456</v>
      </c>
      <c r="AI1645" t="s">
        <v>2246</v>
      </c>
      <c r="AJ1645" t="s">
        <v>2247</v>
      </c>
      <c r="AK1645" t="str">
        <f>""</f>
        <v/>
      </c>
      <c r="AL1645" t="s">
        <v>843</v>
      </c>
      <c r="AM1645" t="s">
        <v>345</v>
      </c>
      <c r="AN1645" s="3">
        <v>60603</v>
      </c>
      <c r="AO1645" t="s">
        <v>101</v>
      </c>
      <c r="AQ1645" t="str">
        <f>"+13127321994"</f>
        <v>+13127321994</v>
      </c>
      <c r="AS1645" t="s">
        <v>4504</v>
      </c>
      <c r="AT1645" t="s">
        <v>107</v>
      </c>
      <c r="AU1645" t="str">
        <f>"NIEVES"</f>
        <v>NIEVES</v>
      </c>
      <c r="AV1645" t="str">
        <f>"JENNY "</f>
        <v xml:space="preserve">JENNY </v>
      </c>
      <c r="AW1645" t="str">
        <f>""</f>
        <v/>
      </c>
      <c r="AX1645" t="str">
        <f>"1400 BROADWAY	"</f>
        <v xml:space="preserve">1400 BROADWAY	</v>
      </c>
      <c r="AY1645" t="str">
        <f>"FRAGOMEN, DEL REY, BERNSEN &amp; LOEWY LLP"</f>
        <v>FRAGOMEN, DEL REY, BERNSEN &amp; LOEWY LLP</v>
      </c>
      <c r="AZ1645" t="str">
        <f>"NEW YORK"</f>
        <v>NEW YORK</v>
      </c>
      <c r="BA1645" t="str">
        <f>"NY"</f>
        <v>NY</v>
      </c>
      <c r="BB1645" s="3">
        <v>10018</v>
      </c>
      <c r="BC1645" t="str">
        <f t="shared" si="130"/>
        <v>UNITED STATES OF AMERICA</v>
      </c>
      <c r="BD1645" t="str">
        <f>""</f>
        <v/>
      </c>
      <c r="BE1645" t="str">
        <f>"+12126888555"</f>
        <v>+12126888555</v>
      </c>
      <c r="BF1645" t="str">
        <f>""</f>
        <v/>
      </c>
      <c r="BG1645" t="str">
        <f>"JNIEVES@FRAGOMEN.COM"</f>
        <v>JNIEVES@FRAGOMEN.COM</v>
      </c>
      <c r="BH1645" t="str">
        <f>"FRAGOMEN, DEL REY, BERNSEN &amp; LOEWY LLP"</f>
        <v>FRAGOMEN, DEL REY, BERNSEN &amp; LOEWY LLP</v>
      </c>
      <c r="BI1645" t="str">
        <f>"NY"</f>
        <v>NY</v>
      </c>
      <c r="BJ1645" t="str">
        <f>"NYS APPELLATE DIVISION, SECOND DEPARTMENT"</f>
        <v>NYS APPELLATE DIVISION, SECOND DEPARTMENT</v>
      </c>
      <c r="BK1645">
        <v>1</v>
      </c>
      <c r="BL1645" t="s">
        <v>102</v>
      </c>
      <c r="BM1645" t="str">
        <f>""</f>
        <v/>
      </c>
      <c r="BN1645" t="s">
        <v>4185</v>
      </c>
      <c r="BO1645" t="s">
        <v>2242</v>
      </c>
      <c r="BP1645" t="s">
        <v>297</v>
      </c>
      <c r="BQ1645" t="s">
        <v>556</v>
      </c>
      <c r="BR1645" t="s">
        <v>114</v>
      </c>
      <c r="BS1645" s="5">
        <v>75024</v>
      </c>
      <c r="BT1645" s="2">
        <v>108000</v>
      </c>
      <c r="BV1645" t="s">
        <v>105</v>
      </c>
      <c r="BW1645" s="2">
        <v>93558</v>
      </c>
      <c r="BX1645" t="s">
        <v>105</v>
      </c>
      <c r="BZ1645" t="s">
        <v>167</v>
      </c>
      <c r="CA1645" t="str">
        <f t="shared" ref="CA1645:CA1662" si="131">"7/1/2020 - 6/30/2021"</f>
        <v>7/1/2020 - 6/30/2021</v>
      </c>
      <c r="CF1645">
        <v>2</v>
      </c>
      <c r="CG1645" t="s">
        <v>98</v>
      </c>
      <c r="CH1645" t="s">
        <v>206</v>
      </c>
      <c r="CI1645" t="s">
        <v>206</v>
      </c>
      <c r="CL1645" t="s">
        <v>108</v>
      </c>
      <c r="CM1645" t="s">
        <v>109</v>
      </c>
      <c r="CN1645" t="str">
        <f>"YOON"</f>
        <v>YOON</v>
      </c>
      <c r="CO1645" t="str">
        <f>"ELLIE"</f>
        <v>ELLIE</v>
      </c>
      <c r="CP1645" t="str">
        <f>""</f>
        <v/>
      </c>
      <c r="CQ1645" t="str">
        <f>"FRAGOMEN, DEL REY, BERNSEN &amp; LOEWY, LLP"</f>
        <v>FRAGOMEN, DEL REY, BERNSEN &amp; LOEWY, LLP</v>
      </c>
      <c r="CR1645" t="s">
        <v>2250</v>
      </c>
    </row>
    <row r="1646" spans="1:96" x14ac:dyDescent="0.2">
      <c r="A1646" t="s">
        <v>4526</v>
      </c>
      <c r="B1646" t="s">
        <v>96</v>
      </c>
      <c r="C1646" s="1">
        <v>44099</v>
      </c>
      <c r="D1646" s="1">
        <v>44106</v>
      </c>
      <c r="F1646" t="s">
        <v>97</v>
      </c>
      <c r="G1646" t="str">
        <f>"Technical Architect"</f>
        <v>Technical Architect</v>
      </c>
      <c r="H1646" t="s">
        <v>12169</v>
      </c>
      <c r="I1646" t="s">
        <v>124</v>
      </c>
      <c r="J1646" t="s">
        <v>98</v>
      </c>
      <c r="K1646" s="1">
        <v>44102</v>
      </c>
      <c r="L1646" s="1">
        <v>45196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 t="s">
        <v>4527</v>
      </c>
      <c r="U1646" t="str">
        <f>""</f>
        <v/>
      </c>
      <c r="V1646" t="s">
        <v>4528</v>
      </c>
      <c r="W1646" t="str">
        <f>""</f>
        <v/>
      </c>
      <c r="X1646" t="s">
        <v>436</v>
      </c>
      <c r="Y1646" t="s">
        <v>171</v>
      </c>
      <c r="Z1646" s="3">
        <v>2140</v>
      </c>
      <c r="AA1646" t="s">
        <v>101</v>
      </c>
      <c r="AC1646" s="4" t="str">
        <f>"+16176135730"</f>
        <v>+16176135730</v>
      </c>
      <c r="AE1646" t="str">
        <f>"54171"</f>
        <v>54171</v>
      </c>
      <c r="AF1646" t="s">
        <v>2278</v>
      </c>
      <c r="AG1646" t="s">
        <v>2306</v>
      </c>
      <c r="AI1646" t="s">
        <v>4529</v>
      </c>
      <c r="AJ1646" t="s">
        <v>4528</v>
      </c>
      <c r="AK1646" t="str">
        <f>""</f>
        <v/>
      </c>
      <c r="AL1646" t="s">
        <v>436</v>
      </c>
      <c r="AM1646" t="s">
        <v>171</v>
      </c>
      <c r="AN1646" s="3">
        <v>2140</v>
      </c>
      <c r="AO1646" t="s">
        <v>101</v>
      </c>
      <c r="AQ1646" t="str">
        <f>"+16176135843"</f>
        <v>+16176135843</v>
      </c>
      <c r="AS1646" t="s">
        <v>4530</v>
      </c>
      <c r="AT1646" t="s">
        <v>107</v>
      </c>
      <c r="AU1646" t="str">
        <f>"MARR"</f>
        <v>MARR</v>
      </c>
      <c r="AV1646" t="str">
        <f>"BREANNA"</f>
        <v>BREANNA</v>
      </c>
      <c r="AW1646" t="str">
        <f>""</f>
        <v/>
      </c>
      <c r="AX1646" t="str">
        <f>"265 FRANKLIN STREET"</f>
        <v>265 FRANKLIN STREET</v>
      </c>
      <c r="AY1646" t="str">
        <f>"SUITE 502"</f>
        <v>SUITE 502</v>
      </c>
      <c r="AZ1646" t="str">
        <f>"BOSTON"</f>
        <v>BOSTON</v>
      </c>
      <c r="BA1646" t="str">
        <f>"MA"</f>
        <v>MA</v>
      </c>
      <c r="BB1646" s="3">
        <v>2110</v>
      </c>
      <c r="BC1646" t="str">
        <f t="shared" si="130"/>
        <v>UNITED STATES OF AMERICA</v>
      </c>
      <c r="BD1646" t="str">
        <f>""</f>
        <v/>
      </c>
      <c r="BE1646" t="str">
        <f>"+18573095100"</f>
        <v>+18573095100</v>
      </c>
      <c r="BF1646" t="str">
        <f>""</f>
        <v/>
      </c>
      <c r="BG1646" t="str">
        <f>"sbazile@BALGLOBAL.COM"</f>
        <v>sbazile@BALGLOBAL.COM</v>
      </c>
      <c r="BH1646" t="str">
        <f>"BERRY APPLEMAN &amp; LEIDEN LLP"</f>
        <v>BERRY APPLEMAN &amp; LEIDEN LLP</v>
      </c>
      <c r="BI1646" t="str">
        <f>"MA"</f>
        <v>MA</v>
      </c>
      <c r="BJ1646" t="str">
        <f>"SUPREME JUDICIAL COURT"</f>
        <v>SUPREME JUDICIAL COURT</v>
      </c>
      <c r="BK1646">
        <v>1</v>
      </c>
      <c r="BL1646" t="s">
        <v>102</v>
      </c>
      <c r="BM1646" t="str">
        <f>""</f>
        <v/>
      </c>
      <c r="BN1646" t="s">
        <v>4528</v>
      </c>
      <c r="BP1646" t="s">
        <v>436</v>
      </c>
      <c r="BQ1646" t="s">
        <v>1250</v>
      </c>
      <c r="BR1646" t="s">
        <v>171</v>
      </c>
      <c r="BS1646" s="5">
        <v>2140</v>
      </c>
      <c r="BT1646" s="2">
        <v>136000.01999999999</v>
      </c>
      <c r="BV1646" t="s">
        <v>105</v>
      </c>
      <c r="BW1646" s="2">
        <v>135658</v>
      </c>
      <c r="BX1646" t="s">
        <v>105</v>
      </c>
      <c r="BZ1646" t="s">
        <v>159</v>
      </c>
      <c r="CA1646" t="str">
        <f t="shared" si="131"/>
        <v>7/1/2020 - 6/30/2021</v>
      </c>
      <c r="CF1646">
        <v>2</v>
      </c>
      <c r="CG1646" t="s">
        <v>98</v>
      </c>
      <c r="CH1646" t="s">
        <v>206</v>
      </c>
      <c r="CI1646" t="s">
        <v>206</v>
      </c>
      <c r="CL1646" t="s">
        <v>108</v>
      </c>
      <c r="CM1646" t="s">
        <v>109</v>
      </c>
      <c r="CN1646" t="str">
        <f>"Bazile"</f>
        <v>Bazile</v>
      </c>
      <c r="CO1646" t="str">
        <f>"Shannon"</f>
        <v>Shannon</v>
      </c>
      <c r="CP1646" t="str">
        <f>""</f>
        <v/>
      </c>
      <c r="CQ1646" t="str">
        <f>"Berry Appleman &amp; Leiden LLP"</f>
        <v>Berry Appleman &amp; Leiden LLP</v>
      </c>
      <c r="CR1646" t="s">
        <v>4531</v>
      </c>
    </row>
    <row r="1647" spans="1:96" x14ac:dyDescent="0.2">
      <c r="A1647" t="s">
        <v>4597</v>
      </c>
      <c r="B1647" t="s">
        <v>96</v>
      </c>
      <c r="C1647" s="1">
        <v>44099</v>
      </c>
      <c r="D1647" s="1">
        <v>44106</v>
      </c>
      <c r="F1647" t="s">
        <v>97</v>
      </c>
      <c r="G1647" t="str">
        <f>"Software Engineer"</f>
        <v>Software Engineer</v>
      </c>
      <c r="H1647" t="s">
        <v>12176</v>
      </c>
      <c r="I1647" t="s">
        <v>246</v>
      </c>
      <c r="J1647" t="s">
        <v>206</v>
      </c>
      <c r="K1647" s="1">
        <v>44099</v>
      </c>
      <c r="L1647" s="1">
        <v>45191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 t="s">
        <v>4598</v>
      </c>
      <c r="U1647" t="str">
        <f>""</f>
        <v/>
      </c>
      <c r="V1647" t="s">
        <v>4599</v>
      </c>
      <c r="W1647" t="str">
        <f>""</f>
        <v/>
      </c>
      <c r="X1647" t="s">
        <v>1497</v>
      </c>
      <c r="Y1647" t="s">
        <v>265</v>
      </c>
      <c r="Z1647" s="3">
        <v>48331</v>
      </c>
      <c r="AA1647" t="s">
        <v>101</v>
      </c>
      <c r="AC1647" s="4" t="str">
        <f>"+12488762012"</f>
        <v>+12488762012</v>
      </c>
      <c r="AE1647" t="str">
        <f>"3363"</f>
        <v>3363</v>
      </c>
      <c r="AF1647" t="s">
        <v>4600</v>
      </c>
      <c r="AG1647" t="s">
        <v>4601</v>
      </c>
      <c r="AI1647" t="s">
        <v>4602</v>
      </c>
      <c r="AJ1647" t="s">
        <v>4599</v>
      </c>
      <c r="AK1647" t="str">
        <f>""</f>
        <v/>
      </c>
      <c r="AL1647" t="s">
        <v>1497</v>
      </c>
      <c r="AM1647" t="s">
        <v>265</v>
      </c>
      <c r="AN1647" s="3">
        <v>48331</v>
      </c>
      <c r="AO1647" t="s">
        <v>101</v>
      </c>
      <c r="AQ1647" t="str">
        <f>"+12488761351"</f>
        <v>+12488761351</v>
      </c>
      <c r="AS1647" t="s">
        <v>4603</v>
      </c>
      <c r="AT1647" t="s">
        <v>107</v>
      </c>
      <c r="AU1647" t="str">
        <f>"JACOBSON"</f>
        <v>JACOBSON</v>
      </c>
      <c r="AV1647" t="str">
        <f>"P. MICHELLE"</f>
        <v>P. MICHELLE</v>
      </c>
      <c r="AW1647" t="str">
        <f>""</f>
        <v/>
      </c>
      <c r="AX1647" t="str">
        <f>"333 WEST WACKER DRIVE"</f>
        <v>333 WEST WACKER DRIVE</v>
      </c>
      <c r="AY1647" t="str">
        <f>"FLOOR 15"</f>
        <v>FLOOR 15</v>
      </c>
      <c r="AZ1647" t="str">
        <f>"CHICAGO"</f>
        <v>CHICAGO</v>
      </c>
      <c r="BA1647" t="str">
        <f>"IL"</f>
        <v>IL</v>
      </c>
      <c r="BB1647" s="3">
        <v>60606</v>
      </c>
      <c r="BC1647" t="str">
        <f t="shared" si="130"/>
        <v>UNITED STATES OF AMERICA</v>
      </c>
      <c r="BD1647" t="str">
        <f>""</f>
        <v/>
      </c>
      <c r="BE1647" t="str">
        <f>"+13122636101"</f>
        <v>+13122636101</v>
      </c>
      <c r="BF1647" t="str">
        <f>""</f>
        <v/>
      </c>
      <c r="BG1647" t="str">
        <f>"FRAGOMEN.BOSCHACCOUNT@FRAGOMEN.COM"</f>
        <v>FRAGOMEN.BOSCHACCOUNT@FRAGOMEN.COM</v>
      </c>
      <c r="BH1647" t="str">
        <f>"FRAGOMEN, DEL REY, BERSEN &amp; LOEWY, LLP"</f>
        <v>FRAGOMEN, DEL REY, BERSEN &amp; LOEWY, LLP</v>
      </c>
      <c r="BI1647" t="str">
        <f>"IL"</f>
        <v>IL</v>
      </c>
      <c r="BJ1647" t="str">
        <f>"ILLINOIS SUPREME COURT"</f>
        <v>ILLINOIS SUPREME COURT</v>
      </c>
      <c r="BK1647">
        <v>1</v>
      </c>
      <c r="BL1647" t="s">
        <v>102</v>
      </c>
      <c r="BM1647" t="str">
        <f>""</f>
        <v/>
      </c>
      <c r="BN1647" t="s">
        <v>4604</v>
      </c>
      <c r="BP1647" t="s">
        <v>806</v>
      </c>
      <c r="BQ1647" t="s">
        <v>719</v>
      </c>
      <c r="BR1647" t="s">
        <v>265</v>
      </c>
      <c r="BS1647" s="5">
        <v>48377</v>
      </c>
      <c r="BT1647" s="2">
        <v>45.75</v>
      </c>
      <c r="BV1647" t="s">
        <v>210</v>
      </c>
      <c r="BW1647" s="2">
        <v>45.75</v>
      </c>
      <c r="BX1647" t="s">
        <v>210</v>
      </c>
      <c r="BZ1647" t="s">
        <v>123</v>
      </c>
      <c r="CA1647" t="str">
        <f t="shared" si="131"/>
        <v>7/1/2020 - 6/30/2021</v>
      </c>
      <c r="CF1647">
        <v>2</v>
      </c>
      <c r="CG1647" t="s">
        <v>98</v>
      </c>
      <c r="CH1647" t="s">
        <v>206</v>
      </c>
      <c r="CI1647" t="s">
        <v>206</v>
      </c>
      <c r="CL1647" t="s">
        <v>108</v>
      </c>
      <c r="CM1647" t="s">
        <v>109</v>
      </c>
      <c r="CN1647" t="str">
        <f>""</f>
        <v/>
      </c>
      <c r="CO1647" t="str">
        <f>""</f>
        <v/>
      </c>
      <c r="CP1647" t="str">
        <f>""</f>
        <v/>
      </c>
      <c r="CQ1647" t="str">
        <f>""</f>
        <v/>
      </c>
    </row>
    <row r="1648" spans="1:96" x14ac:dyDescent="0.2">
      <c r="A1648" t="s">
        <v>4654</v>
      </c>
      <c r="B1648" t="s">
        <v>96</v>
      </c>
      <c r="C1648" s="1">
        <v>44099</v>
      </c>
      <c r="D1648" s="1">
        <v>44106</v>
      </c>
      <c r="F1648" t="s">
        <v>97</v>
      </c>
      <c r="G1648" t="str">
        <f>"SENIOR DATA ENGINEER"</f>
        <v>SENIOR DATA ENGINEER</v>
      </c>
      <c r="H1648" t="s">
        <v>12169</v>
      </c>
      <c r="I1648" t="s">
        <v>124</v>
      </c>
      <c r="J1648" t="s">
        <v>98</v>
      </c>
      <c r="K1648" s="1">
        <v>44116</v>
      </c>
      <c r="L1648" s="1">
        <v>45210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 t="s">
        <v>4655</v>
      </c>
      <c r="U1648" t="str">
        <f>""</f>
        <v/>
      </c>
      <c r="V1648" t="s">
        <v>4656</v>
      </c>
      <c r="W1648" t="str">
        <f>""</f>
        <v/>
      </c>
      <c r="X1648" t="s">
        <v>3985</v>
      </c>
      <c r="Y1648" t="s">
        <v>114</v>
      </c>
      <c r="Z1648" s="3">
        <v>78204</v>
      </c>
      <c r="AA1648" t="s">
        <v>101</v>
      </c>
      <c r="AC1648" s="4" t="str">
        <f>"+12109388232"</f>
        <v>+12109388232</v>
      </c>
      <c r="AE1648" t="str">
        <f>"4451"</f>
        <v>4451</v>
      </c>
      <c r="AF1648" t="s">
        <v>4657</v>
      </c>
      <c r="AG1648" t="s">
        <v>4658</v>
      </c>
      <c r="AI1648" t="s">
        <v>4659</v>
      </c>
      <c r="AJ1648" t="s">
        <v>4656</v>
      </c>
      <c r="AK1648" t="str">
        <f>""</f>
        <v/>
      </c>
      <c r="AL1648" t="s">
        <v>3985</v>
      </c>
      <c r="AM1648" t="s">
        <v>114</v>
      </c>
      <c r="AN1648" s="3">
        <v>78204</v>
      </c>
      <c r="AO1648" t="s">
        <v>101</v>
      </c>
      <c r="AQ1648" t="str">
        <f>"+12109388232"</f>
        <v>+12109388232</v>
      </c>
      <c r="AS1648" t="s">
        <v>4660</v>
      </c>
      <c r="AT1648" t="s">
        <v>107</v>
      </c>
      <c r="AU1648" t="str">
        <f>"REYES GONZALEZ"</f>
        <v>REYES GONZALEZ</v>
      </c>
      <c r="AV1648" t="str">
        <f>"ADRIANA"</f>
        <v>ADRIANA</v>
      </c>
      <c r="AW1648" t="str">
        <f>""</f>
        <v/>
      </c>
      <c r="AX1648" t="str">
        <f>"2801 VIA FORTUNA"</f>
        <v>2801 VIA FORTUNA</v>
      </c>
      <c r="AY1648" t="str">
        <f>"SUITE 350"</f>
        <v>SUITE 350</v>
      </c>
      <c r="AZ1648" t="str">
        <f>"AUSTIN"</f>
        <v>AUSTIN</v>
      </c>
      <c r="BA1648" t="str">
        <f>"TX"</f>
        <v>TX</v>
      </c>
      <c r="BB1648" s="3">
        <v>78746</v>
      </c>
      <c r="BC1648" t="str">
        <f t="shared" si="130"/>
        <v>UNITED STATES OF AMERICA</v>
      </c>
      <c r="BD1648" t="str">
        <f>""</f>
        <v/>
      </c>
      <c r="BE1648" t="str">
        <f>"+15124826830"</f>
        <v>+15124826830</v>
      </c>
      <c r="BF1648" t="str">
        <f>""</f>
        <v/>
      </c>
      <c r="BG1648" t="str">
        <f>"SUSAN.KING@KLGATES.COM"</f>
        <v>SUSAN.KING@KLGATES.COM</v>
      </c>
      <c r="BH1648" t="str">
        <f>"K&amp;L GATES LLP"</f>
        <v>K&amp;L GATES LLP</v>
      </c>
      <c r="BI1648" t="str">
        <f>"TX"</f>
        <v>TX</v>
      </c>
      <c r="BJ1648" t="str">
        <f>"SUPREME COURT OF TEXAS"</f>
        <v>SUPREME COURT OF TEXAS</v>
      </c>
      <c r="BK1648">
        <v>1</v>
      </c>
      <c r="BL1648" t="s">
        <v>102</v>
      </c>
      <c r="BM1648" t="str">
        <f>""</f>
        <v/>
      </c>
      <c r="BN1648" t="s">
        <v>4656</v>
      </c>
      <c r="BP1648" t="s">
        <v>3985</v>
      </c>
      <c r="BQ1648" t="s">
        <v>1513</v>
      </c>
      <c r="BR1648" t="s">
        <v>114</v>
      </c>
      <c r="BS1648" s="5">
        <v>78204</v>
      </c>
      <c r="BT1648" s="2">
        <v>126110</v>
      </c>
      <c r="BU1648" s="2">
        <v>130000</v>
      </c>
      <c r="BV1648" t="s">
        <v>105</v>
      </c>
      <c r="BW1648" s="2">
        <v>126110</v>
      </c>
      <c r="BX1648" t="s">
        <v>105</v>
      </c>
      <c r="BZ1648" t="s">
        <v>159</v>
      </c>
      <c r="CA1648" t="str">
        <f t="shared" si="131"/>
        <v>7/1/2020 - 6/30/2021</v>
      </c>
      <c r="CF1648">
        <v>1</v>
      </c>
      <c r="CG1648" t="s">
        <v>98</v>
      </c>
      <c r="CH1648" t="s">
        <v>206</v>
      </c>
      <c r="CI1648" t="s">
        <v>206</v>
      </c>
      <c r="CL1648" t="s">
        <v>108</v>
      </c>
      <c r="CM1648" t="s">
        <v>109</v>
      </c>
      <c r="CN1648" t="str">
        <f>"SPENCER"</f>
        <v>SPENCER</v>
      </c>
      <c r="CO1648" t="str">
        <f>"KAYLA"</f>
        <v>KAYLA</v>
      </c>
      <c r="CP1648" t="str">
        <f>""</f>
        <v/>
      </c>
      <c r="CQ1648" t="str">
        <f>"K&amp;L GATES LLP"</f>
        <v>K&amp;L GATES LLP</v>
      </c>
      <c r="CR1648" t="s">
        <v>4661</v>
      </c>
    </row>
    <row r="1649" spans="1:96" x14ac:dyDescent="0.2">
      <c r="A1649" t="s">
        <v>4713</v>
      </c>
      <c r="B1649" t="s">
        <v>96</v>
      </c>
      <c r="C1649" s="1">
        <v>44099</v>
      </c>
      <c r="D1649" s="1">
        <v>44106</v>
      </c>
      <c r="F1649" t="s">
        <v>97</v>
      </c>
      <c r="G1649" t="str">
        <f>"Manager of Software Engineering"</f>
        <v>Manager of Software Engineering</v>
      </c>
      <c r="H1649" t="s">
        <v>12178</v>
      </c>
      <c r="I1649" t="s">
        <v>582</v>
      </c>
      <c r="J1649" t="s">
        <v>98</v>
      </c>
      <c r="K1649" s="1">
        <v>44105</v>
      </c>
      <c r="L1649" s="1">
        <v>45199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4714</v>
      </c>
      <c r="U1649" t="str">
        <f>""</f>
        <v/>
      </c>
      <c r="V1649" t="s">
        <v>4715</v>
      </c>
      <c r="W1649" t="str">
        <f>""</f>
        <v/>
      </c>
      <c r="X1649" t="s">
        <v>1068</v>
      </c>
      <c r="Y1649" t="s">
        <v>857</v>
      </c>
      <c r="Z1649" s="3">
        <v>2919</v>
      </c>
      <c r="AA1649" t="s">
        <v>101</v>
      </c>
      <c r="AC1649" s="4" t="str">
        <f>"+14012602339"</f>
        <v>+14012602339</v>
      </c>
      <c r="AE1649" t="str">
        <f>"551111"</f>
        <v>551111</v>
      </c>
      <c r="AF1649" t="s">
        <v>4716</v>
      </c>
      <c r="AG1649" t="s">
        <v>3507</v>
      </c>
      <c r="AH1649" t="s">
        <v>1435</v>
      </c>
      <c r="AI1649" t="s">
        <v>4717</v>
      </c>
      <c r="AJ1649" t="s">
        <v>4715</v>
      </c>
      <c r="AK1649" t="str">
        <f>""</f>
        <v/>
      </c>
      <c r="AL1649" t="s">
        <v>1068</v>
      </c>
      <c r="AM1649" t="s">
        <v>857</v>
      </c>
      <c r="AN1649" s="3">
        <v>2919</v>
      </c>
      <c r="AO1649" t="s">
        <v>101</v>
      </c>
      <c r="AQ1649" t="str">
        <f>"+14012602339"</f>
        <v>+14012602339</v>
      </c>
      <c r="AS1649" t="s">
        <v>4718</v>
      </c>
      <c r="AT1649" t="s">
        <v>107</v>
      </c>
      <c r="AU1649" t="str">
        <f>"O'Connor"</f>
        <v>O'Connor</v>
      </c>
      <c r="AV1649" t="str">
        <f>"Megan"</f>
        <v>Megan</v>
      </c>
      <c r="AW1649" t="str">
        <f>"N/A"</f>
        <v>N/A</v>
      </c>
      <c r="AX1649" t="str">
        <f>"665 Fifth Avenue"</f>
        <v>665 Fifth Avenue</v>
      </c>
      <c r="AY1649" t="str">
        <f>""</f>
        <v/>
      </c>
      <c r="AZ1649" t="str">
        <f>"New York"</f>
        <v>New York</v>
      </c>
      <c r="BA1649" t="str">
        <f>"NY"</f>
        <v>NY</v>
      </c>
      <c r="BB1649" s="3">
        <v>10022</v>
      </c>
      <c r="BC1649" t="str">
        <f t="shared" si="130"/>
        <v>UNITED STATES OF AMERICA</v>
      </c>
      <c r="BD1649" t="str">
        <f>""</f>
        <v/>
      </c>
      <c r="BE1649" t="str">
        <f>"+12126885151"</f>
        <v>+12126885151</v>
      </c>
      <c r="BF1649" t="str">
        <f>""</f>
        <v/>
      </c>
      <c r="BG1649" t="str">
        <f>"adelgado@gibney.com"</f>
        <v>adelgado@gibney.com</v>
      </c>
      <c r="BH1649" t="str">
        <f>"Gibney, Anthony &amp; Flaherty LLP"</f>
        <v>Gibney, Anthony &amp; Flaherty LLP</v>
      </c>
      <c r="BI1649" t="str">
        <f>"NY"</f>
        <v>NY</v>
      </c>
      <c r="BJ1649" t="str">
        <f>"Court of Appeals"</f>
        <v>Court of Appeals</v>
      </c>
      <c r="BK1649">
        <v>1</v>
      </c>
      <c r="BL1649" t="s">
        <v>102</v>
      </c>
      <c r="BM1649" t="str">
        <f>""</f>
        <v/>
      </c>
      <c r="BN1649" t="s">
        <v>4715</v>
      </c>
      <c r="BP1649" t="s">
        <v>1068</v>
      </c>
      <c r="BQ1649" t="s">
        <v>1070</v>
      </c>
      <c r="BR1649" t="s">
        <v>857</v>
      </c>
      <c r="BS1649" s="5">
        <v>2919</v>
      </c>
      <c r="BT1649" s="2">
        <v>149947</v>
      </c>
      <c r="BU1649" s="2">
        <v>208080</v>
      </c>
      <c r="BV1649" t="s">
        <v>105</v>
      </c>
      <c r="BW1649" s="2">
        <v>149947</v>
      </c>
      <c r="BX1649" t="s">
        <v>105</v>
      </c>
      <c r="BZ1649" t="s">
        <v>123</v>
      </c>
      <c r="CA1649" t="str">
        <f t="shared" si="131"/>
        <v>7/1/2020 - 6/30/2021</v>
      </c>
      <c r="CF1649">
        <v>2</v>
      </c>
      <c r="CG1649" t="s">
        <v>98</v>
      </c>
      <c r="CH1649" t="s">
        <v>206</v>
      </c>
      <c r="CI1649" t="s">
        <v>206</v>
      </c>
      <c r="CL1649" t="s">
        <v>108</v>
      </c>
      <c r="CM1649" t="s">
        <v>109</v>
      </c>
      <c r="CN1649" t="str">
        <f>"Delgado (766)"</f>
        <v>Delgado (766)</v>
      </c>
      <c r="CO1649" t="str">
        <f>"Alexa"</f>
        <v>Alexa</v>
      </c>
      <c r="CP1649" t="str">
        <f>"G"</f>
        <v>G</v>
      </c>
      <c r="CQ1649" t="str">
        <f>"Gibney, Anthony, &amp; Flaherty LLP"</f>
        <v>Gibney, Anthony, &amp; Flaherty LLP</v>
      </c>
      <c r="CR1649" t="s">
        <v>4719</v>
      </c>
    </row>
    <row r="1650" spans="1:96" x14ac:dyDescent="0.2">
      <c r="A1650" t="s">
        <v>4737</v>
      </c>
      <c r="B1650" t="s">
        <v>96</v>
      </c>
      <c r="C1650" s="1">
        <v>44099</v>
      </c>
      <c r="D1650" s="1">
        <v>44106</v>
      </c>
      <c r="F1650" t="s">
        <v>97</v>
      </c>
      <c r="G1650" t="str">
        <f>"Product Development Engineer I"</f>
        <v>Product Development Engineer I</v>
      </c>
      <c r="H1650" t="s">
        <v>12196</v>
      </c>
      <c r="I1650" t="s">
        <v>322</v>
      </c>
      <c r="J1650" t="s">
        <v>98</v>
      </c>
      <c r="K1650" s="1">
        <v>44112</v>
      </c>
      <c r="L1650" s="1">
        <v>45206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 t="s">
        <v>4738</v>
      </c>
      <c r="U1650" t="str">
        <f>""</f>
        <v/>
      </c>
      <c r="V1650" t="s">
        <v>4739</v>
      </c>
      <c r="W1650" t="str">
        <f>"Suite 300"</f>
        <v>Suite 300</v>
      </c>
      <c r="X1650" t="s">
        <v>213</v>
      </c>
      <c r="Y1650" t="s">
        <v>215</v>
      </c>
      <c r="Z1650" s="3">
        <v>30327</v>
      </c>
      <c r="AA1650" t="s">
        <v>101</v>
      </c>
      <c r="AC1650" s="4" t="str">
        <f>"+17706576673"</f>
        <v>+17706576673</v>
      </c>
      <c r="AE1650" t="str">
        <f>"335929"</f>
        <v>335929</v>
      </c>
      <c r="AF1650" t="s">
        <v>4740</v>
      </c>
      <c r="AG1650" t="s">
        <v>3958</v>
      </c>
      <c r="AH1650" t="s">
        <v>771</v>
      </c>
      <c r="AI1650" t="s">
        <v>710</v>
      </c>
      <c r="AJ1650" t="s">
        <v>4739</v>
      </c>
      <c r="AK1650" t="str">
        <f>"Suite 300"</f>
        <v>Suite 300</v>
      </c>
      <c r="AL1650" t="s">
        <v>213</v>
      </c>
      <c r="AM1650" t="s">
        <v>215</v>
      </c>
      <c r="AN1650" s="3">
        <v>30327</v>
      </c>
      <c r="AO1650" t="s">
        <v>101</v>
      </c>
      <c r="AQ1650" t="str">
        <f>"+17706576673"</f>
        <v>+17706576673</v>
      </c>
      <c r="AS1650" t="s">
        <v>4741</v>
      </c>
      <c r="AT1650" t="s">
        <v>107</v>
      </c>
      <c r="AU1650" t="str">
        <f>"Heyer"</f>
        <v>Heyer</v>
      </c>
      <c r="AV1650" t="str">
        <f>"Cole"</f>
        <v>Cole</v>
      </c>
      <c r="AW1650" t="str">
        <f>"F."</f>
        <v>F.</v>
      </c>
      <c r="AX1650" t="str">
        <f>"3333 Piedmont Rd. NE"</f>
        <v>3333 Piedmont Rd. NE</v>
      </c>
      <c r="AY1650" t="str">
        <f>"Suite 2500"</f>
        <v>Suite 2500</v>
      </c>
      <c r="AZ1650" t="str">
        <f>"Atlanta"</f>
        <v>Atlanta</v>
      </c>
      <c r="BA1650" t="str">
        <f>"GA"</f>
        <v>GA</v>
      </c>
      <c r="BB1650" s="3">
        <v>30305</v>
      </c>
      <c r="BC1650" t="str">
        <f t="shared" si="130"/>
        <v>UNITED STATES OF AMERICA</v>
      </c>
      <c r="BD1650" t="str">
        <f>""</f>
        <v/>
      </c>
      <c r="BE1650" t="str">
        <f>"+16785532358"</f>
        <v>+16785532358</v>
      </c>
      <c r="BF1650" t="str">
        <f>""</f>
        <v/>
      </c>
      <c r="BG1650" t="str">
        <f>"bilakovicd@gtlaw.com"</f>
        <v>bilakovicd@gtlaw.com</v>
      </c>
      <c r="BH1650" t="str">
        <f>"GREENBERG TRAURIG - ATLANTA"</f>
        <v>GREENBERG TRAURIG - ATLANTA</v>
      </c>
      <c r="BI1650" t="str">
        <f>"GA"</f>
        <v>GA</v>
      </c>
      <c r="BJ1650" t="str">
        <f>"Superior"</f>
        <v>Superior</v>
      </c>
      <c r="BK1650">
        <v>1</v>
      </c>
      <c r="BL1650" t="s">
        <v>102</v>
      </c>
      <c r="BM1650" t="str">
        <f>""</f>
        <v/>
      </c>
      <c r="BN1650" t="s">
        <v>4742</v>
      </c>
      <c r="BP1650" t="s">
        <v>4743</v>
      </c>
      <c r="BQ1650" t="s">
        <v>546</v>
      </c>
      <c r="BR1650" t="s">
        <v>114</v>
      </c>
      <c r="BS1650" s="5">
        <v>76801</v>
      </c>
      <c r="BT1650" s="2">
        <v>60278</v>
      </c>
      <c r="BV1650" t="s">
        <v>105</v>
      </c>
      <c r="BW1650" s="2">
        <v>60278</v>
      </c>
      <c r="BX1650" t="s">
        <v>105</v>
      </c>
      <c r="BZ1650" t="s">
        <v>191</v>
      </c>
      <c r="CA1650" t="str">
        <f t="shared" si="131"/>
        <v>7/1/2020 - 6/30/2021</v>
      </c>
      <c r="CF1650">
        <v>1</v>
      </c>
      <c r="CG1650" t="s">
        <v>98</v>
      </c>
      <c r="CH1650" t="s">
        <v>206</v>
      </c>
      <c r="CI1650" t="s">
        <v>206</v>
      </c>
      <c r="CL1650" t="s">
        <v>108</v>
      </c>
      <c r="CM1650" t="s">
        <v>109</v>
      </c>
      <c r="CN1650" t="str">
        <f>"Bilakovic"</f>
        <v>Bilakovic</v>
      </c>
      <c r="CO1650" t="str">
        <f>"Dario"</f>
        <v>Dario</v>
      </c>
      <c r="CP1650" t="str">
        <f>""</f>
        <v/>
      </c>
      <c r="CQ1650" t="str">
        <f>"GREENBERG TRAURIG - ATLANTA"</f>
        <v>GREENBERG TRAURIG - ATLANTA</v>
      </c>
      <c r="CR1650" t="s">
        <v>4744</v>
      </c>
    </row>
    <row r="1651" spans="1:96" x14ac:dyDescent="0.2">
      <c r="A1651" t="s">
        <v>5007</v>
      </c>
      <c r="B1651" t="s">
        <v>96</v>
      </c>
      <c r="C1651" s="1">
        <v>44099</v>
      </c>
      <c r="D1651" s="1">
        <v>44106</v>
      </c>
      <c r="F1651" t="s">
        <v>97</v>
      </c>
      <c r="G1651" t="str">
        <f>"Computer Programmer / Configurer 2"</f>
        <v>Computer Programmer / Configurer 2</v>
      </c>
      <c r="H1651" t="s">
        <v>12239</v>
      </c>
      <c r="I1651" t="s">
        <v>378</v>
      </c>
      <c r="J1651" t="s">
        <v>98</v>
      </c>
      <c r="K1651" s="1">
        <v>44105</v>
      </c>
      <c r="L1651" s="1">
        <v>45199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 t="s">
        <v>838</v>
      </c>
      <c r="U1651" t="str">
        <f>""</f>
        <v/>
      </c>
      <c r="V1651" t="s">
        <v>839</v>
      </c>
      <c r="W1651" t="str">
        <f>""</f>
        <v/>
      </c>
      <c r="X1651" t="s">
        <v>833</v>
      </c>
      <c r="Y1651" t="s">
        <v>345</v>
      </c>
      <c r="Z1651" s="3">
        <v>60601</v>
      </c>
      <c r="AA1651" t="s">
        <v>101</v>
      </c>
      <c r="AC1651" s="4" t="str">
        <f>"+13126930161"</f>
        <v>+13126930161</v>
      </c>
      <c r="AE1651" t="str">
        <f>"5416"</f>
        <v>5416</v>
      </c>
      <c r="AF1651" t="s">
        <v>840</v>
      </c>
      <c r="AG1651" t="s">
        <v>841</v>
      </c>
      <c r="AI1651" t="s">
        <v>417</v>
      </c>
      <c r="AJ1651" t="s">
        <v>842</v>
      </c>
      <c r="AK1651" t="str">
        <f>""</f>
        <v/>
      </c>
      <c r="AL1651" t="s">
        <v>843</v>
      </c>
      <c r="AM1651" t="s">
        <v>345</v>
      </c>
      <c r="AN1651" s="3">
        <v>60601</v>
      </c>
      <c r="AO1651" t="s">
        <v>101</v>
      </c>
      <c r="AQ1651" t="str">
        <f>"+13126932825"</f>
        <v>+13126932825</v>
      </c>
      <c r="AS1651" t="s">
        <v>844</v>
      </c>
      <c r="AT1651" t="s">
        <v>102</v>
      </c>
      <c r="AU1651" t="str">
        <f>""</f>
        <v/>
      </c>
      <c r="AV1651" t="str">
        <f>""</f>
        <v/>
      </c>
      <c r="AW1651" t="str">
        <f>""</f>
        <v/>
      </c>
      <c r="AX1651" t="str">
        <f>""</f>
        <v/>
      </c>
      <c r="AY1651" t="str">
        <f>""</f>
        <v/>
      </c>
      <c r="AZ1651" t="str">
        <f>""</f>
        <v/>
      </c>
      <c r="BA1651" t="str">
        <f>""</f>
        <v/>
      </c>
      <c r="BC1651" t="str">
        <f>""</f>
        <v/>
      </c>
      <c r="BD1651" t="str">
        <f>""</f>
        <v/>
      </c>
      <c r="BE1651" t="str">
        <f>""</f>
        <v/>
      </c>
      <c r="BF1651" t="str">
        <f>""</f>
        <v/>
      </c>
      <c r="BG1651" t="str">
        <f>""</f>
        <v/>
      </c>
      <c r="BH1651" t="str">
        <f>""</f>
        <v/>
      </c>
      <c r="BI1651" t="str">
        <f>""</f>
        <v/>
      </c>
      <c r="BJ1651" t="str">
        <f>""</f>
        <v/>
      </c>
      <c r="BK1651">
        <v>1</v>
      </c>
      <c r="BL1651" t="s">
        <v>107</v>
      </c>
      <c r="BM1651" t="str">
        <f>"UnitedHealth Group "</f>
        <v xml:space="preserve">UnitedHealth Group </v>
      </c>
      <c r="BN1651" t="s">
        <v>5008</v>
      </c>
      <c r="BP1651" t="s">
        <v>4945</v>
      </c>
      <c r="BQ1651" t="s">
        <v>529</v>
      </c>
      <c r="BR1651" t="s">
        <v>127</v>
      </c>
      <c r="BS1651" s="5">
        <v>19044</v>
      </c>
      <c r="BT1651" s="2">
        <v>77917</v>
      </c>
      <c r="BU1651" s="2">
        <v>119900</v>
      </c>
      <c r="BV1651" t="s">
        <v>105</v>
      </c>
      <c r="BW1651" s="2">
        <v>77917</v>
      </c>
      <c r="BX1651" t="s">
        <v>105</v>
      </c>
      <c r="BZ1651" t="s">
        <v>167</v>
      </c>
      <c r="CA1651" t="str">
        <f t="shared" si="131"/>
        <v>7/1/2020 - 6/30/2021</v>
      </c>
      <c r="CF1651">
        <v>2</v>
      </c>
      <c r="CG1651" t="s">
        <v>98</v>
      </c>
      <c r="CH1651" t="s">
        <v>206</v>
      </c>
      <c r="CI1651" t="s">
        <v>206</v>
      </c>
      <c r="CL1651" t="s">
        <v>108</v>
      </c>
      <c r="CM1651" t="s">
        <v>109</v>
      </c>
      <c r="CN1651" t="str">
        <f>""</f>
        <v/>
      </c>
      <c r="CO1651" t="str">
        <f>""</f>
        <v/>
      </c>
      <c r="CP1651" t="str">
        <f>""</f>
        <v/>
      </c>
      <c r="CQ1651" t="str">
        <f>""</f>
        <v/>
      </c>
    </row>
    <row r="1652" spans="1:96" x14ac:dyDescent="0.2">
      <c r="A1652" t="s">
        <v>5020</v>
      </c>
      <c r="B1652" t="s">
        <v>96</v>
      </c>
      <c r="C1652" s="1">
        <v>44099</v>
      </c>
      <c r="D1652" s="1">
        <v>44106</v>
      </c>
      <c r="F1652" t="s">
        <v>97</v>
      </c>
      <c r="G1652" t="str">
        <f>"Director of Marketing and Business Development"</f>
        <v>Director of Marketing and Business Development</v>
      </c>
      <c r="H1652" t="s">
        <v>12189</v>
      </c>
      <c r="I1652" t="s">
        <v>730</v>
      </c>
      <c r="J1652" t="s">
        <v>98</v>
      </c>
      <c r="K1652" s="1">
        <v>44105</v>
      </c>
      <c r="L1652" s="1">
        <v>45199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5021</v>
      </c>
      <c r="U1652" t="str">
        <f>""</f>
        <v/>
      </c>
      <c r="V1652" t="s">
        <v>5022</v>
      </c>
      <c r="W1652" t="str">
        <f>"Suite A"</f>
        <v>Suite A</v>
      </c>
      <c r="X1652" t="s">
        <v>175</v>
      </c>
      <c r="Y1652" t="s">
        <v>176</v>
      </c>
      <c r="Z1652" s="3">
        <v>98052</v>
      </c>
      <c r="AA1652" t="s">
        <v>101</v>
      </c>
      <c r="AC1652" s="4" t="str">
        <f>"+12069817662"</f>
        <v>+12069817662</v>
      </c>
      <c r="AE1652" t="str">
        <f>"336412"</f>
        <v>336412</v>
      </c>
      <c r="AF1652" t="s">
        <v>5023</v>
      </c>
      <c r="AG1652" t="s">
        <v>5024</v>
      </c>
      <c r="AI1652" t="s">
        <v>5025</v>
      </c>
      <c r="AJ1652" t="s">
        <v>5022</v>
      </c>
      <c r="AK1652" t="str">
        <f>"Suite A"</f>
        <v>Suite A</v>
      </c>
      <c r="AL1652" t="s">
        <v>175</v>
      </c>
      <c r="AM1652" t="s">
        <v>176</v>
      </c>
      <c r="AN1652" s="3">
        <v>98052</v>
      </c>
      <c r="AO1652" t="s">
        <v>101</v>
      </c>
      <c r="AQ1652" t="str">
        <f>"+12069817662"</f>
        <v>+12069817662</v>
      </c>
      <c r="AS1652" t="s">
        <v>5026</v>
      </c>
      <c r="AT1652" t="s">
        <v>107</v>
      </c>
      <c r="AU1652" t="str">
        <f>"LOOMIS"</f>
        <v>LOOMIS</v>
      </c>
      <c r="AV1652" t="str">
        <f>"ABBY"</f>
        <v>ABBY</v>
      </c>
      <c r="AW1652" t="str">
        <f>"MORGAN"</f>
        <v>MORGAN</v>
      </c>
      <c r="AX1652" t="str">
        <f>"1001 4TH AVE, STE 4400"</f>
        <v>1001 4TH AVE, STE 4400</v>
      </c>
      <c r="AY1652" t="str">
        <f>""</f>
        <v/>
      </c>
      <c r="AZ1652" t="str">
        <f>"SEATTLE"</f>
        <v>SEATTLE</v>
      </c>
      <c r="BA1652" t="str">
        <f>"WA"</f>
        <v>WA</v>
      </c>
      <c r="BB1652" s="3">
        <v>98154</v>
      </c>
      <c r="BC1652" t="str">
        <f t="shared" ref="BC1652:BC1660" si="132">"UNITED STATES OF AMERICA"</f>
        <v>UNITED STATES OF AMERICA</v>
      </c>
      <c r="BD1652" t="str">
        <f>""</f>
        <v/>
      </c>
      <c r="BE1652" t="str">
        <f>"+12063891795"</f>
        <v>+12063891795</v>
      </c>
      <c r="BF1652" t="str">
        <f>""</f>
        <v/>
      </c>
      <c r="BG1652" t="str">
        <f>"ALOOMIS@PNWIMMIGRATION.COM"</f>
        <v>ALOOMIS@PNWIMMIGRATION.COM</v>
      </c>
      <c r="BH1652" t="str">
        <f>"CHRISTOFFERSEN LAW P.S."</f>
        <v>CHRISTOFFERSEN LAW P.S.</v>
      </c>
      <c r="BI1652" t="str">
        <f>"WA"</f>
        <v>WA</v>
      </c>
      <c r="BJ1652" t="str">
        <f>"WASHINGTON STATE SUPREME COURT"</f>
        <v>WASHINGTON STATE SUPREME COURT</v>
      </c>
      <c r="BK1652">
        <v>1</v>
      </c>
      <c r="BL1652" t="s">
        <v>102</v>
      </c>
      <c r="BM1652" t="str">
        <f>""</f>
        <v/>
      </c>
      <c r="BN1652" t="s">
        <v>5022</v>
      </c>
      <c r="BO1652" t="s">
        <v>4650</v>
      </c>
      <c r="BP1652" t="s">
        <v>175</v>
      </c>
      <c r="BQ1652" t="s">
        <v>183</v>
      </c>
      <c r="BR1652" t="s">
        <v>176</v>
      </c>
      <c r="BS1652" s="5">
        <v>98052</v>
      </c>
      <c r="BT1652" s="2">
        <v>150000</v>
      </c>
      <c r="BU1652" s="2">
        <v>170000</v>
      </c>
      <c r="BV1652" t="s">
        <v>105</v>
      </c>
      <c r="BW1652" s="2">
        <v>133619</v>
      </c>
      <c r="BX1652" t="s">
        <v>105</v>
      </c>
      <c r="BZ1652" t="s">
        <v>167</v>
      </c>
      <c r="CA1652" t="str">
        <f t="shared" si="131"/>
        <v>7/1/2020 - 6/30/2021</v>
      </c>
      <c r="CF1652">
        <v>2</v>
      </c>
      <c r="CG1652" t="s">
        <v>98</v>
      </c>
      <c r="CH1652" t="s">
        <v>206</v>
      </c>
      <c r="CI1652" t="s">
        <v>206</v>
      </c>
      <c r="CL1652" t="s">
        <v>108</v>
      </c>
      <c r="CM1652" t="s">
        <v>109</v>
      </c>
      <c r="CN1652" t="str">
        <f>""</f>
        <v/>
      </c>
      <c r="CO1652" t="str">
        <f>""</f>
        <v/>
      </c>
      <c r="CP1652" t="str">
        <f>""</f>
        <v/>
      </c>
      <c r="CQ1652" t="str">
        <f>""</f>
        <v/>
      </c>
    </row>
    <row r="1653" spans="1:96" x14ac:dyDescent="0.2">
      <c r="A1653" t="s">
        <v>5081</v>
      </c>
      <c r="B1653" t="s">
        <v>96</v>
      </c>
      <c r="C1653" s="1">
        <v>44099</v>
      </c>
      <c r="D1653" s="1">
        <v>44106</v>
      </c>
      <c r="F1653" t="s">
        <v>97</v>
      </c>
      <c r="G1653" t="str">
        <f>" Software Engineer "</f>
        <v xml:space="preserve"> Software Engineer </v>
      </c>
      <c r="H1653" t="s">
        <v>12169</v>
      </c>
      <c r="I1653" t="s">
        <v>124</v>
      </c>
      <c r="J1653" t="s">
        <v>98</v>
      </c>
      <c r="K1653" s="1">
        <v>44130</v>
      </c>
      <c r="L1653" s="1">
        <v>45224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 t="s">
        <v>2799</v>
      </c>
      <c r="U1653" t="str">
        <f>""</f>
        <v/>
      </c>
      <c r="V1653" t="s">
        <v>3866</v>
      </c>
      <c r="W1653" t="str">
        <f>""</f>
        <v/>
      </c>
      <c r="X1653" t="s">
        <v>295</v>
      </c>
      <c r="Y1653" t="s">
        <v>190</v>
      </c>
      <c r="Z1653" s="3">
        <v>10020</v>
      </c>
      <c r="AA1653" t="s">
        <v>101</v>
      </c>
      <c r="AC1653" s="4" t="str">
        <f>"+12127824000"</f>
        <v>+12127824000</v>
      </c>
      <c r="AE1653" t="str">
        <f>"522110"</f>
        <v>522110</v>
      </c>
      <c r="AF1653" t="s">
        <v>4961</v>
      </c>
      <c r="AG1653" t="s">
        <v>1908</v>
      </c>
      <c r="AI1653" t="s">
        <v>4962</v>
      </c>
      <c r="AJ1653" t="s">
        <v>4960</v>
      </c>
      <c r="AK1653" t="str">
        <f>""</f>
        <v/>
      </c>
      <c r="AL1653" t="s">
        <v>277</v>
      </c>
      <c r="AM1653" t="s">
        <v>190</v>
      </c>
      <c r="AN1653" s="3">
        <v>10020</v>
      </c>
      <c r="AO1653" t="s">
        <v>101</v>
      </c>
      <c r="AQ1653" t="str">
        <f>"+12127825920"</f>
        <v>+12127825920</v>
      </c>
      <c r="AS1653" t="s">
        <v>2801</v>
      </c>
      <c r="AT1653" t="s">
        <v>107</v>
      </c>
      <c r="AU1653" t="str">
        <f>"Lee"</f>
        <v>Lee</v>
      </c>
      <c r="AV1653" t="str">
        <f>"Tammy "</f>
        <v xml:space="preserve">Tammy </v>
      </c>
      <c r="AW1653" t="str">
        <f>"Mea Hwa"</f>
        <v>Mea Hwa</v>
      </c>
      <c r="AX1653" t="str">
        <f>"145 W 57th Street "</f>
        <v xml:space="preserve">145 W 57th Street </v>
      </c>
      <c r="AY1653" t="str">
        <f>"8th Floor"</f>
        <v>8th Floor</v>
      </c>
      <c r="AZ1653" t="str">
        <f>"New York "</f>
        <v xml:space="preserve">New York </v>
      </c>
      <c r="BA1653" t="str">
        <f>"NY"</f>
        <v>NY</v>
      </c>
      <c r="BB1653" s="3">
        <v>10019</v>
      </c>
      <c r="BC1653" t="str">
        <f t="shared" si="132"/>
        <v>UNITED STATES OF AMERICA</v>
      </c>
      <c r="BD1653" t="str">
        <f>""</f>
        <v/>
      </c>
      <c r="BE1653" t="str">
        <f>"+12129570500"</f>
        <v>+12129570500</v>
      </c>
      <c r="BF1653" t="str">
        <f>""</f>
        <v/>
      </c>
      <c r="BG1653" t="str">
        <f>"tammylee@lorsg.com"</f>
        <v>tammylee@lorsg.com</v>
      </c>
      <c r="BH1653" t="str">
        <f>"Goldstein and Lee, P.C."</f>
        <v>Goldstein and Lee, P.C.</v>
      </c>
      <c r="BI1653" t="str">
        <f>"NY"</f>
        <v>NY</v>
      </c>
      <c r="BJ1653" t="str">
        <f>"Appellate Division, 1st Department "</f>
        <v xml:space="preserve">Appellate Division, 1st Department </v>
      </c>
      <c r="BK1653">
        <v>1</v>
      </c>
      <c r="BL1653" t="s">
        <v>102</v>
      </c>
      <c r="BM1653" t="str">
        <f>""</f>
        <v/>
      </c>
      <c r="BN1653" t="s">
        <v>5082</v>
      </c>
      <c r="BP1653" t="s">
        <v>1927</v>
      </c>
      <c r="BQ1653" t="s">
        <v>257</v>
      </c>
      <c r="BR1653" t="s">
        <v>258</v>
      </c>
      <c r="BS1653" s="5">
        <v>85281</v>
      </c>
      <c r="BT1653" s="2">
        <v>120000</v>
      </c>
      <c r="BV1653" t="s">
        <v>105</v>
      </c>
      <c r="BW1653" s="2">
        <v>101109</v>
      </c>
      <c r="BX1653" t="s">
        <v>105</v>
      </c>
      <c r="BZ1653" t="s">
        <v>123</v>
      </c>
      <c r="CA1653" t="str">
        <f t="shared" si="131"/>
        <v>7/1/2020 - 6/30/2021</v>
      </c>
      <c r="CF1653">
        <v>1</v>
      </c>
      <c r="CG1653" t="s">
        <v>98</v>
      </c>
      <c r="CH1653" t="s">
        <v>206</v>
      </c>
      <c r="CI1653" t="s">
        <v>206</v>
      </c>
      <c r="CL1653" t="s">
        <v>108</v>
      </c>
      <c r="CM1653" t="s">
        <v>109</v>
      </c>
      <c r="CN1653" t="str">
        <f>""</f>
        <v/>
      </c>
      <c r="CO1653" t="str">
        <f>""</f>
        <v/>
      </c>
      <c r="CP1653" t="str">
        <f>""</f>
        <v/>
      </c>
      <c r="CQ1653" t="str">
        <f>""</f>
        <v/>
      </c>
    </row>
    <row r="1654" spans="1:96" x14ac:dyDescent="0.2">
      <c r="A1654" t="s">
        <v>5097</v>
      </c>
      <c r="B1654" t="s">
        <v>96</v>
      </c>
      <c r="C1654" s="1">
        <v>44099</v>
      </c>
      <c r="D1654" s="1">
        <v>44106</v>
      </c>
      <c r="F1654" t="s">
        <v>97</v>
      </c>
      <c r="G1654" t="str">
        <f>"Manager-Purchasing,IT &amp; Telecom"</f>
        <v>Manager-Purchasing,IT &amp; Telecom</v>
      </c>
      <c r="H1654" t="s">
        <v>12288</v>
      </c>
      <c r="I1654" t="s">
        <v>4652</v>
      </c>
      <c r="J1654" t="s">
        <v>98</v>
      </c>
      <c r="K1654" s="1">
        <v>44228</v>
      </c>
      <c r="L1654" s="1">
        <v>45322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 t="s">
        <v>5098</v>
      </c>
      <c r="U1654" t="str">
        <f>""</f>
        <v/>
      </c>
      <c r="V1654" t="s">
        <v>5099</v>
      </c>
      <c r="W1654" t="str">
        <f>"MS004"</f>
        <v>MS004</v>
      </c>
      <c r="X1654" t="s">
        <v>5100</v>
      </c>
      <c r="Y1654" t="s">
        <v>330</v>
      </c>
      <c r="Z1654" s="3">
        <v>53044</v>
      </c>
      <c r="AA1654" t="s">
        <v>101</v>
      </c>
      <c r="AB1654" t="s">
        <v>108</v>
      </c>
      <c r="AC1654" s="4" t="str">
        <f>"+19204574441"</f>
        <v>+19204574441</v>
      </c>
      <c r="AE1654" t="str">
        <f>"32711"</f>
        <v>32711</v>
      </c>
      <c r="AF1654" t="s">
        <v>5101</v>
      </c>
      <c r="AG1654" t="s">
        <v>5102</v>
      </c>
      <c r="AI1654" t="s">
        <v>5103</v>
      </c>
      <c r="AJ1654" t="s">
        <v>5099</v>
      </c>
      <c r="AK1654" t="str">
        <f>"MS004"</f>
        <v>MS004</v>
      </c>
      <c r="AL1654" t="s">
        <v>5100</v>
      </c>
      <c r="AM1654" t="s">
        <v>330</v>
      </c>
      <c r="AN1654" s="3">
        <v>53044</v>
      </c>
      <c r="AO1654" t="s">
        <v>101</v>
      </c>
      <c r="AQ1654" t="str">
        <f>"+19204574442"</f>
        <v>+19204574442</v>
      </c>
      <c r="AS1654" t="s">
        <v>5104</v>
      </c>
      <c r="AT1654" t="s">
        <v>107</v>
      </c>
      <c r="AU1654" t="str">
        <f>"KNOWLAND"</f>
        <v>KNOWLAND</v>
      </c>
      <c r="AV1654" t="str">
        <f>"ASHLEY"</f>
        <v>ASHLEY</v>
      </c>
      <c r="AW1654" t="str">
        <f>"N/A"</f>
        <v>N/A</v>
      </c>
      <c r="AX1654" t="str">
        <f>"333 WEST WACKER DRIVE"</f>
        <v>333 WEST WACKER DRIVE</v>
      </c>
      <c r="AY1654" t="str">
        <f>"15TH FLOOR"</f>
        <v>15TH FLOOR</v>
      </c>
      <c r="AZ1654" t="str">
        <f>"CHICAGO"</f>
        <v>CHICAGO</v>
      </c>
      <c r="BA1654" t="str">
        <f>"IL"</f>
        <v>IL</v>
      </c>
      <c r="BB1654" s="3">
        <v>60606</v>
      </c>
      <c r="BC1654" t="str">
        <f t="shared" si="132"/>
        <v>UNITED STATES OF AMERICA</v>
      </c>
      <c r="BD1654" t="str">
        <f>""</f>
        <v/>
      </c>
      <c r="BE1654" t="str">
        <f>"+13122636101"</f>
        <v>+13122636101</v>
      </c>
      <c r="BF1654" t="str">
        <f>""</f>
        <v/>
      </c>
      <c r="BG1654" t="str">
        <f>"Fnolasco@fragomen.com"</f>
        <v>Fnolasco@fragomen.com</v>
      </c>
      <c r="BH1654" t="str">
        <f>"Fragomen, Del Rey, Bernsen &amp; Loewy, LLP"</f>
        <v>Fragomen, Del Rey, Bernsen &amp; Loewy, LLP</v>
      </c>
      <c r="BI1654" t="str">
        <f>"IL"</f>
        <v>IL</v>
      </c>
      <c r="BJ1654" t="str">
        <f>"ILLINOIS SUPREME COURT"</f>
        <v>ILLINOIS SUPREME COURT</v>
      </c>
      <c r="BK1654">
        <v>1</v>
      </c>
      <c r="BL1654" t="s">
        <v>102</v>
      </c>
      <c r="BM1654" t="str">
        <f>""</f>
        <v/>
      </c>
      <c r="BN1654" t="s">
        <v>5105</v>
      </c>
      <c r="BP1654" t="s">
        <v>5106</v>
      </c>
      <c r="BQ1654" t="s">
        <v>329</v>
      </c>
      <c r="BR1654" t="s">
        <v>330</v>
      </c>
      <c r="BS1654" s="5">
        <v>53044</v>
      </c>
      <c r="BT1654" s="2">
        <v>122700</v>
      </c>
      <c r="BU1654" s="2">
        <v>130000</v>
      </c>
      <c r="BV1654" t="s">
        <v>105</v>
      </c>
      <c r="BW1654" s="2">
        <v>122075</v>
      </c>
      <c r="BX1654" t="s">
        <v>105</v>
      </c>
      <c r="BZ1654" t="s">
        <v>159</v>
      </c>
      <c r="CA1654" t="str">
        <f t="shared" si="131"/>
        <v>7/1/2020 - 6/30/2021</v>
      </c>
      <c r="CF1654">
        <v>2</v>
      </c>
      <c r="CG1654" t="s">
        <v>98</v>
      </c>
      <c r="CH1654" t="s">
        <v>206</v>
      </c>
      <c r="CI1654" t="s">
        <v>206</v>
      </c>
      <c r="CL1654" t="s">
        <v>108</v>
      </c>
      <c r="CM1654" t="s">
        <v>109</v>
      </c>
      <c r="CN1654" t="str">
        <f>""</f>
        <v/>
      </c>
      <c r="CO1654" t="str">
        <f>""</f>
        <v/>
      </c>
      <c r="CP1654" t="str">
        <f>""</f>
        <v/>
      </c>
      <c r="CQ1654" t="str">
        <f>""</f>
        <v/>
      </c>
    </row>
    <row r="1655" spans="1:96" x14ac:dyDescent="0.2">
      <c r="A1655" t="s">
        <v>5159</v>
      </c>
      <c r="B1655" t="s">
        <v>96</v>
      </c>
      <c r="C1655" s="1">
        <v>44099</v>
      </c>
      <c r="D1655" s="1">
        <v>44106</v>
      </c>
      <c r="F1655" t="s">
        <v>97</v>
      </c>
      <c r="G1655" t="str">
        <f>"Developer Analyst III"</f>
        <v>Developer Analyst III</v>
      </c>
      <c r="H1655" t="s">
        <v>12169</v>
      </c>
      <c r="I1655" t="s">
        <v>124</v>
      </c>
      <c r="J1655" t="s">
        <v>98</v>
      </c>
      <c r="K1655" s="1">
        <v>44196</v>
      </c>
      <c r="L1655" s="1">
        <v>45290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 t="s">
        <v>3203</v>
      </c>
      <c r="U1655" t="str">
        <f>""</f>
        <v/>
      </c>
      <c r="V1655" t="s">
        <v>3204</v>
      </c>
      <c r="W1655" t="str">
        <f>""</f>
        <v/>
      </c>
      <c r="X1655" t="s">
        <v>3205</v>
      </c>
      <c r="Y1655" t="s">
        <v>345</v>
      </c>
      <c r="Z1655" s="3">
        <v>60093</v>
      </c>
      <c r="AA1655" t="s">
        <v>101</v>
      </c>
      <c r="AC1655" s="4" t="str">
        <f>"+12249317656"</f>
        <v>+12249317656</v>
      </c>
      <c r="AE1655" t="str">
        <f>"339112"</f>
        <v>339112</v>
      </c>
      <c r="AF1655" t="s">
        <v>3206</v>
      </c>
      <c r="AG1655" t="s">
        <v>3207</v>
      </c>
      <c r="AH1655" t="s">
        <v>1126</v>
      </c>
      <c r="AI1655" t="s">
        <v>254</v>
      </c>
      <c r="AJ1655" t="s">
        <v>3204</v>
      </c>
      <c r="AK1655" t="str">
        <f>""</f>
        <v/>
      </c>
      <c r="AL1655" t="s">
        <v>3205</v>
      </c>
      <c r="AM1655" t="s">
        <v>345</v>
      </c>
      <c r="AN1655" s="3">
        <v>60093</v>
      </c>
      <c r="AO1655" t="s">
        <v>101</v>
      </c>
      <c r="AQ1655" t="str">
        <f>"+12249317656"</f>
        <v>+12249317656</v>
      </c>
      <c r="AS1655" t="s">
        <v>3208</v>
      </c>
      <c r="AT1655" t="s">
        <v>107</v>
      </c>
      <c r="AU1655" t="str">
        <f>"Gotcher"</f>
        <v>Gotcher</v>
      </c>
      <c r="AV1655" t="str">
        <f>"James"</f>
        <v>James</v>
      </c>
      <c r="AW1655" t="str">
        <f>"K."</f>
        <v>K.</v>
      </c>
      <c r="AX1655" t="str">
        <f>"30300 Agoura Road"</f>
        <v>30300 Agoura Road</v>
      </c>
      <c r="AY1655" t="str">
        <f>"Ste. B100"</f>
        <v>Ste. B100</v>
      </c>
      <c r="AZ1655" t="str">
        <f>"Agoura Hills"</f>
        <v>Agoura Hills</v>
      </c>
      <c r="BA1655" t="str">
        <f>"CA"</f>
        <v>CA</v>
      </c>
      <c r="BB1655" s="3">
        <v>91301</v>
      </c>
      <c r="BC1655" t="str">
        <f t="shared" si="132"/>
        <v>UNITED STATES OF AMERICA</v>
      </c>
      <c r="BD1655" t="str">
        <f>""</f>
        <v/>
      </c>
      <c r="BE1655" t="str">
        <f>"+18189146482"</f>
        <v>+18189146482</v>
      </c>
      <c r="BF1655" t="str">
        <f>""</f>
        <v/>
      </c>
      <c r="BG1655" t="str">
        <f>"Admin@gotcherlaw.com"</f>
        <v>Admin@gotcherlaw.com</v>
      </c>
      <c r="BH1655" t="str">
        <f>"Global Immigration Partners, Inc"</f>
        <v>Global Immigration Partners, Inc</v>
      </c>
      <c r="BI1655" t="str">
        <f>"CA"</f>
        <v>CA</v>
      </c>
      <c r="BJ1655" t="str">
        <f>"Supreme Court"</f>
        <v>Supreme Court</v>
      </c>
      <c r="BK1655">
        <v>1</v>
      </c>
      <c r="BL1655" t="s">
        <v>102</v>
      </c>
      <c r="BM1655" t="str">
        <f>""</f>
        <v/>
      </c>
      <c r="BN1655" t="s">
        <v>3209</v>
      </c>
      <c r="BP1655" t="s">
        <v>3210</v>
      </c>
      <c r="BQ1655" t="s">
        <v>691</v>
      </c>
      <c r="BR1655" t="s">
        <v>345</v>
      </c>
      <c r="BS1655" s="5">
        <v>60060</v>
      </c>
      <c r="BT1655" s="2">
        <v>115000</v>
      </c>
      <c r="BV1655" t="s">
        <v>105</v>
      </c>
      <c r="BW1655" s="2">
        <v>104624</v>
      </c>
      <c r="BX1655" t="s">
        <v>105</v>
      </c>
      <c r="BZ1655" t="s">
        <v>123</v>
      </c>
      <c r="CA1655" t="str">
        <f t="shared" si="131"/>
        <v>7/1/2020 - 6/30/2021</v>
      </c>
      <c r="CF1655">
        <v>1</v>
      </c>
      <c r="CG1655" t="s">
        <v>98</v>
      </c>
      <c r="CH1655" t="s">
        <v>206</v>
      </c>
      <c r="CI1655" t="s">
        <v>206</v>
      </c>
      <c r="CL1655" t="s">
        <v>108</v>
      </c>
      <c r="CM1655" t="s">
        <v>109</v>
      </c>
      <c r="CN1655" t="str">
        <f>"Gotcher"</f>
        <v>Gotcher</v>
      </c>
      <c r="CO1655" t="str">
        <f>"James"</f>
        <v>James</v>
      </c>
      <c r="CP1655" t="str">
        <f>"K."</f>
        <v>K.</v>
      </c>
      <c r="CQ1655" t="str">
        <f>"Global Immigration Partners, Inc"</f>
        <v>Global Immigration Partners, Inc</v>
      </c>
      <c r="CR1655" t="s">
        <v>1275</v>
      </c>
    </row>
    <row r="1656" spans="1:96" x14ac:dyDescent="0.2">
      <c r="A1656" t="s">
        <v>5202</v>
      </c>
      <c r="B1656" t="s">
        <v>96</v>
      </c>
      <c r="C1656" s="1">
        <v>44099</v>
      </c>
      <c r="D1656" s="1">
        <v>44106</v>
      </c>
      <c r="F1656" t="s">
        <v>97</v>
      </c>
      <c r="G1656" t="str">
        <f>"Project Delivery Manager"</f>
        <v>Project Delivery Manager</v>
      </c>
      <c r="H1656" t="s">
        <v>12178</v>
      </c>
      <c r="I1656" t="s">
        <v>582</v>
      </c>
      <c r="J1656" t="s">
        <v>98</v>
      </c>
      <c r="K1656" s="1">
        <v>44105</v>
      </c>
      <c r="L1656" s="1">
        <v>45199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3278</v>
      </c>
      <c r="U1656" t="str">
        <f>""</f>
        <v/>
      </c>
      <c r="V1656" t="s">
        <v>738</v>
      </c>
      <c r="W1656" t="str">
        <f>"N/A"</f>
        <v>N/A</v>
      </c>
      <c r="X1656" t="s">
        <v>510</v>
      </c>
      <c r="Y1656" t="s">
        <v>127</v>
      </c>
      <c r="Z1656" s="3">
        <v>19103</v>
      </c>
      <c r="AA1656" t="s">
        <v>101</v>
      </c>
      <c r="AC1656" s="4" t="str">
        <f>"+16179608170"</f>
        <v>+16179608170</v>
      </c>
      <c r="AE1656" t="str">
        <f>"54161"</f>
        <v>54161</v>
      </c>
      <c r="AF1656" t="s">
        <v>739</v>
      </c>
      <c r="AG1656" t="s">
        <v>740</v>
      </c>
      <c r="AH1656" t="s">
        <v>108</v>
      </c>
      <c r="AI1656" t="s">
        <v>392</v>
      </c>
      <c r="AJ1656" t="s">
        <v>738</v>
      </c>
      <c r="AK1656" t="str">
        <f>""</f>
        <v/>
      </c>
      <c r="AL1656" t="s">
        <v>510</v>
      </c>
      <c r="AM1656" t="s">
        <v>127</v>
      </c>
      <c r="AN1656" s="3">
        <v>19103</v>
      </c>
      <c r="AO1656" t="s">
        <v>101</v>
      </c>
      <c r="AQ1656" t="str">
        <f>"+16179608170"</f>
        <v>+16179608170</v>
      </c>
      <c r="AS1656" t="s">
        <v>4416</v>
      </c>
      <c r="AT1656" t="s">
        <v>107</v>
      </c>
      <c r="AU1656" t="str">
        <f>"Teng"</f>
        <v>Teng</v>
      </c>
      <c r="AV1656" t="str">
        <f>"ChiaJui"</f>
        <v>ChiaJui</v>
      </c>
      <c r="AW1656" t="str">
        <f>"Rei"</f>
        <v>Rei</v>
      </c>
      <c r="AX1656" t="str">
        <f>"2400 N. GLENVILLE DRIVE"</f>
        <v>2400 N. GLENVILLE DRIVE</v>
      </c>
      <c r="AY1656" t="str">
        <f>"BUILDING A, SUITE 100"</f>
        <v>BUILDING A, SUITE 100</v>
      </c>
      <c r="AZ1656" t="str">
        <f>"RICHARDSON"</f>
        <v>RICHARDSON</v>
      </c>
      <c r="BA1656" t="str">
        <f>"TX"</f>
        <v>TX</v>
      </c>
      <c r="BB1656" s="3">
        <v>75082</v>
      </c>
      <c r="BC1656" t="str">
        <f t="shared" si="132"/>
        <v>UNITED STATES OF AMERICA</v>
      </c>
      <c r="BD1656" t="str">
        <f>""</f>
        <v/>
      </c>
      <c r="BE1656" t="str">
        <f>"+19727296293"</f>
        <v>+19727296293</v>
      </c>
      <c r="BF1656" t="str">
        <f>""</f>
        <v/>
      </c>
      <c r="BG1656" t="str">
        <f>"RTENG@BALGLOBAL.COM"</f>
        <v>RTENG@BALGLOBAL.COM</v>
      </c>
      <c r="BH1656" t="str">
        <f>"BERRY APPLEMAN &amp; LEIDEN LLP"</f>
        <v>BERRY APPLEMAN &amp; LEIDEN LLP</v>
      </c>
      <c r="BI1656" t="str">
        <f>"CA"</f>
        <v>CA</v>
      </c>
      <c r="BJ1656" t="str">
        <f>"CALIFORNIA SUPREME COURT"</f>
        <v>CALIFORNIA SUPREME COURT</v>
      </c>
      <c r="BK1656">
        <v>1</v>
      </c>
      <c r="BL1656" t="s">
        <v>102</v>
      </c>
      <c r="BM1656" t="str">
        <f>""</f>
        <v/>
      </c>
      <c r="BN1656" t="s">
        <v>5203</v>
      </c>
      <c r="BO1656" t="s">
        <v>664</v>
      </c>
      <c r="BP1656" t="s">
        <v>585</v>
      </c>
      <c r="BQ1656" t="s">
        <v>230</v>
      </c>
      <c r="BR1656" t="s">
        <v>141</v>
      </c>
      <c r="BS1656" s="5">
        <v>95113</v>
      </c>
      <c r="BT1656" s="2">
        <v>150000</v>
      </c>
      <c r="BV1656" t="s">
        <v>105</v>
      </c>
      <c r="BW1656" s="2">
        <v>141045</v>
      </c>
      <c r="BX1656" t="s">
        <v>105</v>
      </c>
      <c r="BZ1656" t="s">
        <v>191</v>
      </c>
      <c r="CA1656" t="str">
        <f t="shared" si="131"/>
        <v>7/1/2020 - 6/30/2021</v>
      </c>
      <c r="CF1656">
        <v>2</v>
      </c>
      <c r="CG1656" t="s">
        <v>98</v>
      </c>
      <c r="CH1656" t="s">
        <v>206</v>
      </c>
      <c r="CI1656" t="s">
        <v>206</v>
      </c>
      <c r="CL1656" t="s">
        <v>108</v>
      </c>
      <c r="CM1656" t="s">
        <v>109</v>
      </c>
      <c r="CN1656" t="str">
        <f>"Albaz"</f>
        <v>Albaz</v>
      </c>
      <c r="CO1656" t="str">
        <f>"Ala"</f>
        <v>Ala</v>
      </c>
      <c r="CP1656" t="str">
        <f>""</f>
        <v/>
      </c>
      <c r="CQ1656" t="str">
        <f>"Berry Appleman &amp; Leiden LLP"</f>
        <v>Berry Appleman &amp; Leiden LLP</v>
      </c>
      <c r="CR1656" t="s">
        <v>4417</v>
      </c>
    </row>
    <row r="1657" spans="1:96" x14ac:dyDescent="0.2">
      <c r="A1657" t="s">
        <v>5214</v>
      </c>
      <c r="B1657" t="s">
        <v>96</v>
      </c>
      <c r="C1657" s="1">
        <v>44099</v>
      </c>
      <c r="D1657" s="1">
        <v>44106</v>
      </c>
      <c r="F1657" t="s">
        <v>97</v>
      </c>
      <c r="G1657" t="str">
        <f>"Business Development Specialist, Plant Protein"</f>
        <v>Business Development Specialist, Plant Protein</v>
      </c>
      <c r="H1657" t="s">
        <v>12264</v>
      </c>
      <c r="I1657" t="s">
        <v>1519</v>
      </c>
      <c r="J1657" t="s">
        <v>98</v>
      </c>
      <c r="K1657" s="1">
        <v>44102</v>
      </c>
      <c r="L1657" s="1">
        <v>44658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 t="s">
        <v>5215</v>
      </c>
      <c r="U1657" t="str">
        <f>""</f>
        <v/>
      </c>
      <c r="V1657" t="s">
        <v>5216</v>
      </c>
      <c r="W1657" t="str">
        <f>""</f>
        <v/>
      </c>
      <c r="X1657" t="s">
        <v>1429</v>
      </c>
      <c r="Y1657" t="s">
        <v>330</v>
      </c>
      <c r="Z1657" s="3">
        <v>53511</v>
      </c>
      <c r="AA1657" t="s">
        <v>101</v>
      </c>
      <c r="AC1657" s="4" t="str">
        <f>"+16083631200"</f>
        <v>+16083631200</v>
      </c>
      <c r="AE1657" t="str">
        <f>"311999"</f>
        <v>311999</v>
      </c>
      <c r="AF1657" t="s">
        <v>858</v>
      </c>
      <c r="AG1657" t="s">
        <v>2092</v>
      </c>
      <c r="AH1657" t="s">
        <v>666</v>
      </c>
      <c r="AI1657" t="s">
        <v>2981</v>
      </c>
      <c r="AJ1657" t="s">
        <v>5216</v>
      </c>
      <c r="AK1657" t="str">
        <f>""</f>
        <v/>
      </c>
      <c r="AL1657" t="s">
        <v>1429</v>
      </c>
      <c r="AM1657" t="s">
        <v>330</v>
      </c>
      <c r="AN1657" s="3">
        <v>53511</v>
      </c>
      <c r="AO1657" t="s">
        <v>101</v>
      </c>
      <c r="AQ1657" t="str">
        <f>"+16083631200"</f>
        <v>+16083631200</v>
      </c>
      <c r="AS1657" t="s">
        <v>5217</v>
      </c>
      <c r="AT1657" t="s">
        <v>107</v>
      </c>
      <c r="AU1657" t="str">
        <f>"Momblanco"</f>
        <v>Momblanco</v>
      </c>
      <c r="AV1657" t="str">
        <f>"Eileen"</f>
        <v>Eileen</v>
      </c>
      <c r="AW1657" t="str">
        <f>"M"</f>
        <v>M</v>
      </c>
      <c r="AX1657" t="str">
        <f>"515 N. State St."</f>
        <v>515 N. State St.</v>
      </c>
      <c r="AY1657" t="str">
        <f>"Suite 2800"</f>
        <v>Suite 2800</v>
      </c>
      <c r="AZ1657" t="str">
        <f>"Chicago"</f>
        <v>Chicago</v>
      </c>
      <c r="BA1657" t="str">
        <f>"IL"</f>
        <v>IL</v>
      </c>
      <c r="BB1657" s="3">
        <v>60654</v>
      </c>
      <c r="BC1657" t="str">
        <f t="shared" si="132"/>
        <v>UNITED STATES OF AMERICA</v>
      </c>
      <c r="BD1657" t="str">
        <f>""</f>
        <v/>
      </c>
      <c r="BE1657" t="str">
        <f>"+13124679800"</f>
        <v>+13124679800</v>
      </c>
      <c r="BF1657" t="str">
        <f>""</f>
        <v/>
      </c>
      <c r="BG1657" t="str">
        <f>"immigrationteam@lanermuchin.com"</f>
        <v>immigrationteam@lanermuchin.com</v>
      </c>
      <c r="BH1657" t="str">
        <f>"Laner Muchin, Ltd. "</f>
        <v xml:space="preserve">Laner Muchin, Ltd. </v>
      </c>
      <c r="BI1657" t="str">
        <f>"IL"</f>
        <v>IL</v>
      </c>
      <c r="BJ1657" t="str">
        <f>"Supreme Court of Illinois "</f>
        <v xml:space="preserve">Supreme Court of Illinois </v>
      </c>
      <c r="BK1657">
        <v>1</v>
      </c>
      <c r="BL1657" t="s">
        <v>102</v>
      </c>
      <c r="BM1657" t="str">
        <f>""</f>
        <v/>
      </c>
      <c r="BN1657" t="s">
        <v>5216</v>
      </c>
      <c r="BP1657" t="s">
        <v>1429</v>
      </c>
      <c r="BQ1657" t="s">
        <v>5218</v>
      </c>
      <c r="BR1657" t="s">
        <v>330</v>
      </c>
      <c r="BS1657" s="5">
        <v>53511</v>
      </c>
      <c r="BT1657" s="2">
        <v>77000</v>
      </c>
      <c r="BV1657" t="s">
        <v>105</v>
      </c>
      <c r="BW1657" s="2">
        <v>69326</v>
      </c>
      <c r="BX1657" t="s">
        <v>105</v>
      </c>
      <c r="BZ1657" t="s">
        <v>123</v>
      </c>
      <c r="CA1657" t="str">
        <f t="shared" si="131"/>
        <v>7/1/2020 - 6/30/2021</v>
      </c>
      <c r="CF1657">
        <v>2</v>
      </c>
      <c r="CG1657" t="s">
        <v>98</v>
      </c>
      <c r="CH1657" t="s">
        <v>206</v>
      </c>
      <c r="CI1657" t="s">
        <v>206</v>
      </c>
      <c r="CL1657" t="s">
        <v>108</v>
      </c>
      <c r="CM1657" t="s">
        <v>109</v>
      </c>
      <c r="CN1657" t="str">
        <f>"Momblanco"</f>
        <v>Momblanco</v>
      </c>
      <c r="CO1657" t="str">
        <f>"Eileen"</f>
        <v>Eileen</v>
      </c>
      <c r="CP1657" t="str">
        <f>"M"</f>
        <v>M</v>
      </c>
      <c r="CQ1657" t="str">
        <f>"Laner Muchin, Ltd."</f>
        <v>Laner Muchin, Ltd.</v>
      </c>
      <c r="CR1657" t="s">
        <v>5219</v>
      </c>
    </row>
    <row r="1658" spans="1:96" x14ac:dyDescent="0.2">
      <c r="A1658" t="s">
        <v>5293</v>
      </c>
      <c r="B1658" t="s">
        <v>96</v>
      </c>
      <c r="C1658" s="1">
        <v>44099</v>
      </c>
      <c r="D1658" s="1">
        <v>44106</v>
      </c>
      <c r="F1658" t="s">
        <v>97</v>
      </c>
      <c r="G1658" t="str">
        <f>"SENIOR SOFTWARE ENGINEER"</f>
        <v>SENIOR SOFTWARE ENGINEER</v>
      </c>
      <c r="H1658" t="s">
        <v>12169</v>
      </c>
      <c r="I1658" t="s">
        <v>124</v>
      </c>
      <c r="J1658" t="s">
        <v>98</v>
      </c>
      <c r="K1658" s="1">
        <v>44103</v>
      </c>
      <c r="L1658" s="1">
        <v>45197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 t="s">
        <v>1215</v>
      </c>
      <c r="U1658" t="str">
        <f>""</f>
        <v/>
      </c>
      <c r="V1658" t="s">
        <v>1216</v>
      </c>
      <c r="W1658" t="str">
        <f>"4TH FLOOR"</f>
        <v>4TH FLOOR</v>
      </c>
      <c r="X1658" t="s">
        <v>147</v>
      </c>
      <c r="Y1658" t="s">
        <v>141</v>
      </c>
      <c r="Z1658" s="3">
        <v>94103</v>
      </c>
      <c r="AA1658" t="s">
        <v>101</v>
      </c>
      <c r="AC1658" s="4" t="str">
        <f>"+14152312438"</f>
        <v>+14152312438</v>
      </c>
      <c r="AE1658" t="str">
        <f>"541511"</f>
        <v>541511</v>
      </c>
      <c r="AF1658" t="s">
        <v>1217</v>
      </c>
      <c r="AG1658" t="s">
        <v>1218</v>
      </c>
      <c r="AI1658" t="s">
        <v>1219</v>
      </c>
      <c r="AJ1658" t="s">
        <v>1216</v>
      </c>
      <c r="AK1658" t="str">
        <f>"4TH FLOOR   "</f>
        <v xml:space="preserve">4TH FLOOR   </v>
      </c>
      <c r="AL1658" t="s">
        <v>147</v>
      </c>
      <c r="AM1658" t="s">
        <v>141</v>
      </c>
      <c r="AN1658" s="3">
        <v>94103</v>
      </c>
      <c r="AO1658" t="s">
        <v>101</v>
      </c>
      <c r="AQ1658" t="str">
        <f>"+14152312438"</f>
        <v>+14152312438</v>
      </c>
      <c r="AS1658" t="s">
        <v>1220</v>
      </c>
      <c r="AT1658" t="s">
        <v>107</v>
      </c>
      <c r="AU1658" t="str">
        <f>"KHOL"</f>
        <v>KHOL</v>
      </c>
      <c r="AV1658" t="str">
        <f>"KATHY"</f>
        <v>KATHY</v>
      </c>
      <c r="AW1658" t="str">
        <f>"ANN"</f>
        <v>ANN</v>
      </c>
      <c r="AX1658" t="str">
        <f>"555 MONTGOMERY STREET"</f>
        <v>555 MONTGOMERY STREET</v>
      </c>
      <c r="AY1658" t="str">
        <f>"4TH FLOOR    #5315974"</f>
        <v>4TH FLOOR    #5315974</v>
      </c>
      <c r="AZ1658" t="str">
        <f>"SAN FRANCISCO"</f>
        <v>SAN FRANCISCO</v>
      </c>
      <c r="BA1658" t="str">
        <f>"CA"</f>
        <v>CA</v>
      </c>
      <c r="BB1658" s="3">
        <v>94111</v>
      </c>
      <c r="BC1658" t="str">
        <f t="shared" si="132"/>
        <v>UNITED STATES OF AMERICA</v>
      </c>
      <c r="BD1658" t="str">
        <f>""</f>
        <v/>
      </c>
      <c r="BE1658" t="str">
        <f>"+14159861446"</f>
        <v>+14159861446</v>
      </c>
      <c r="BF1658" t="str">
        <f>""</f>
        <v/>
      </c>
      <c r="BG1658" t="str">
        <f>"UBERNIV@FRAGOMEN.COM"</f>
        <v>UBERNIV@FRAGOMEN.COM</v>
      </c>
      <c r="BH1658" t="str">
        <f>"FRAGOMEN, DEL REY, BERNSEN &amp; LOEWY, LLP"</f>
        <v>FRAGOMEN, DEL REY, BERNSEN &amp; LOEWY, LLP</v>
      </c>
      <c r="BI1658" t="str">
        <f>"CA"</f>
        <v>CA</v>
      </c>
      <c r="BJ1658" t="str">
        <f>"SUPREME COURT"</f>
        <v>SUPREME COURT</v>
      </c>
      <c r="BK1658">
        <v>1</v>
      </c>
      <c r="BL1658" t="s">
        <v>102</v>
      </c>
      <c r="BM1658" t="str">
        <f>""</f>
        <v/>
      </c>
      <c r="BN1658" t="s">
        <v>2970</v>
      </c>
      <c r="BO1658" t="s">
        <v>3017</v>
      </c>
      <c r="BP1658" t="s">
        <v>433</v>
      </c>
      <c r="BQ1658" t="s">
        <v>183</v>
      </c>
      <c r="BR1658" t="s">
        <v>176</v>
      </c>
      <c r="BS1658" s="5">
        <v>98101</v>
      </c>
      <c r="BT1658" s="2">
        <v>167400</v>
      </c>
      <c r="BU1658" s="2">
        <v>199100</v>
      </c>
      <c r="BV1658" t="s">
        <v>105</v>
      </c>
      <c r="BW1658" s="2">
        <v>155106</v>
      </c>
      <c r="BX1658" t="s">
        <v>105</v>
      </c>
      <c r="BZ1658" t="s">
        <v>159</v>
      </c>
      <c r="CA1658" t="str">
        <f t="shared" si="131"/>
        <v>7/1/2020 - 6/30/2021</v>
      </c>
      <c r="CF1658">
        <v>1</v>
      </c>
      <c r="CG1658" t="s">
        <v>98</v>
      </c>
      <c r="CH1658" t="s">
        <v>206</v>
      </c>
      <c r="CI1658" t="s">
        <v>206</v>
      </c>
      <c r="CL1658" t="s">
        <v>108</v>
      </c>
      <c r="CM1658" t="s">
        <v>109</v>
      </c>
      <c r="CN1658" t="str">
        <f>"KHOL"</f>
        <v>KHOL</v>
      </c>
      <c r="CO1658" t="str">
        <f>"KATHY"</f>
        <v>KATHY</v>
      </c>
      <c r="CP1658" t="str">
        <f>"A"</f>
        <v>A</v>
      </c>
      <c r="CQ1658" t="str">
        <f>"FRAGOMEN, DEL REY, BERNSEN &amp; LOEWY, LLP"</f>
        <v>FRAGOMEN, DEL REY, BERNSEN &amp; LOEWY, LLP</v>
      </c>
      <c r="CR1658" t="s">
        <v>1221</v>
      </c>
    </row>
    <row r="1659" spans="1:96" x14ac:dyDescent="0.2">
      <c r="A1659" t="s">
        <v>5325</v>
      </c>
      <c r="B1659" t="s">
        <v>96</v>
      </c>
      <c r="C1659" s="1">
        <v>44099</v>
      </c>
      <c r="D1659" s="1">
        <v>44106</v>
      </c>
      <c r="F1659" t="s">
        <v>97</v>
      </c>
      <c r="G1659" t="str">
        <f>"Engineer, Software /Info Platform"</f>
        <v>Engineer, Software /Info Platform</v>
      </c>
      <c r="H1659" t="s">
        <v>12176</v>
      </c>
      <c r="I1659" t="s">
        <v>246</v>
      </c>
      <c r="J1659" t="s">
        <v>98</v>
      </c>
      <c r="K1659" s="1">
        <v>44130</v>
      </c>
      <c r="L1659" s="1">
        <v>45224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5326</v>
      </c>
      <c r="U1659" t="str">
        <f>""</f>
        <v/>
      </c>
      <c r="V1659" t="s">
        <v>5327</v>
      </c>
      <c r="W1659" t="str">
        <f>""</f>
        <v/>
      </c>
      <c r="X1659" t="s">
        <v>223</v>
      </c>
      <c r="Y1659" t="s">
        <v>225</v>
      </c>
      <c r="Z1659" s="3">
        <v>43017</v>
      </c>
      <c r="AA1659" t="s">
        <v>101</v>
      </c>
      <c r="AC1659" s="4" t="str">
        <f>"+16146983225"</f>
        <v>+16146983225</v>
      </c>
      <c r="AD1659">
        <v>0</v>
      </c>
      <c r="AE1659" t="str">
        <f>"423450"</f>
        <v>423450</v>
      </c>
      <c r="AF1659" t="s">
        <v>5328</v>
      </c>
      <c r="AG1659" t="s">
        <v>338</v>
      </c>
      <c r="AI1659" t="s">
        <v>5329</v>
      </c>
      <c r="AJ1659" t="s">
        <v>5330</v>
      </c>
      <c r="AK1659" t="str">
        <f>""</f>
        <v/>
      </c>
      <c r="AL1659" t="s">
        <v>2577</v>
      </c>
      <c r="AM1659" t="s">
        <v>225</v>
      </c>
      <c r="AN1659" s="3">
        <v>43017</v>
      </c>
      <c r="AO1659" t="s">
        <v>101</v>
      </c>
      <c r="AQ1659" t="str">
        <f>"+16146983225"</f>
        <v>+16146983225</v>
      </c>
      <c r="AS1659" t="s">
        <v>5331</v>
      </c>
      <c r="AT1659" t="s">
        <v>107</v>
      </c>
      <c r="AU1659" t="str">
        <f>"Evans"</f>
        <v>Evans</v>
      </c>
      <c r="AV1659" t="str">
        <f>"Elizabeth"</f>
        <v>Elizabeth</v>
      </c>
      <c r="AW1659" t="str">
        <f>""</f>
        <v/>
      </c>
      <c r="AX1659" t="str">
        <f>"10050 Regency Circle"</f>
        <v>10050 Regency Circle</v>
      </c>
      <c r="AY1659" t="str">
        <f>"Suite 400"</f>
        <v>Suite 400</v>
      </c>
      <c r="AZ1659" t="str">
        <f>"Omaha"</f>
        <v>Omaha</v>
      </c>
      <c r="BA1659" t="str">
        <f>"NE"</f>
        <v>NE</v>
      </c>
      <c r="BB1659" s="3">
        <v>68114</v>
      </c>
      <c r="BC1659" t="str">
        <f t="shared" si="132"/>
        <v>UNITED STATES OF AMERICA</v>
      </c>
      <c r="BD1659" t="str">
        <f>""</f>
        <v/>
      </c>
      <c r="BE1659" t="str">
        <f>"+14023911991"</f>
        <v>+14023911991</v>
      </c>
      <c r="BF1659" t="str">
        <f>""</f>
        <v/>
      </c>
      <c r="BG1659" t="str">
        <f>"elizabeth.evans@jacksonlewis.com"</f>
        <v>elizabeth.evans@jacksonlewis.com</v>
      </c>
      <c r="BH1659" t="str">
        <f>"Jackson Lewis PC"</f>
        <v>Jackson Lewis PC</v>
      </c>
      <c r="BI1659" t="str">
        <f>"IL"</f>
        <v>IL</v>
      </c>
      <c r="BJ1659" t="str">
        <f>"Supreme Court of Illinois"</f>
        <v>Supreme Court of Illinois</v>
      </c>
      <c r="BK1659">
        <v>1</v>
      </c>
      <c r="BL1659" t="s">
        <v>102</v>
      </c>
      <c r="BM1659" t="str">
        <f>""</f>
        <v/>
      </c>
      <c r="BN1659" t="s">
        <v>5332</v>
      </c>
      <c r="BP1659" t="s">
        <v>223</v>
      </c>
      <c r="BQ1659" t="s">
        <v>224</v>
      </c>
      <c r="BR1659" t="s">
        <v>225</v>
      </c>
      <c r="BS1659" s="5">
        <v>43017</v>
      </c>
      <c r="BT1659" s="2">
        <v>83075</v>
      </c>
      <c r="BU1659" s="2">
        <v>131400</v>
      </c>
      <c r="BV1659" t="s">
        <v>105</v>
      </c>
      <c r="BW1659" s="2">
        <v>83075</v>
      </c>
      <c r="BX1659" t="s">
        <v>105</v>
      </c>
      <c r="BZ1659" t="s">
        <v>167</v>
      </c>
      <c r="CA1659" t="str">
        <f t="shared" si="131"/>
        <v>7/1/2020 - 6/30/2021</v>
      </c>
      <c r="CF1659">
        <v>1</v>
      </c>
      <c r="CG1659" t="s">
        <v>98</v>
      </c>
      <c r="CH1659" t="s">
        <v>206</v>
      </c>
      <c r="CI1659" t="s">
        <v>206</v>
      </c>
      <c r="CL1659" t="s">
        <v>108</v>
      </c>
      <c r="CM1659" t="s">
        <v>109</v>
      </c>
      <c r="CN1659" t="str">
        <f>"Hoffman"</f>
        <v>Hoffman</v>
      </c>
      <c r="CO1659" t="str">
        <f>"Ann"</f>
        <v>Ann</v>
      </c>
      <c r="CP1659" t="str">
        <f>""</f>
        <v/>
      </c>
      <c r="CQ1659" t="str">
        <f>"Jackson Lewis PC"</f>
        <v>Jackson Lewis PC</v>
      </c>
      <c r="CR1659" t="s">
        <v>4782</v>
      </c>
    </row>
    <row r="1660" spans="1:96" x14ac:dyDescent="0.2">
      <c r="A1660" t="s">
        <v>5367</v>
      </c>
      <c r="B1660" t="s">
        <v>96</v>
      </c>
      <c r="C1660" s="1">
        <v>44099</v>
      </c>
      <c r="D1660" s="1">
        <v>44106</v>
      </c>
      <c r="F1660" t="s">
        <v>97</v>
      </c>
      <c r="G1660" t="str">
        <f>"Business Systems Analyst "</f>
        <v xml:space="preserve">Business Systems Analyst </v>
      </c>
      <c r="H1660" t="s">
        <v>12181</v>
      </c>
      <c r="I1660" t="s">
        <v>110</v>
      </c>
      <c r="J1660" t="s">
        <v>98</v>
      </c>
      <c r="K1660" s="1">
        <v>44105</v>
      </c>
      <c r="L1660" s="1">
        <v>45199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1522</v>
      </c>
      <c r="U1660" t="str">
        <f>""</f>
        <v/>
      </c>
      <c r="V1660" t="s">
        <v>5368</v>
      </c>
      <c r="W1660" t="str">
        <f>""</f>
        <v/>
      </c>
      <c r="X1660" t="s">
        <v>538</v>
      </c>
      <c r="Y1660" t="s">
        <v>135</v>
      </c>
      <c r="Z1660" s="3">
        <v>22030</v>
      </c>
      <c r="AA1660" t="s">
        <v>101</v>
      </c>
      <c r="AC1660" s="4" t="str">
        <f>"+17032678000"</f>
        <v>+17032678000</v>
      </c>
      <c r="AE1660" t="str">
        <f>"541512"</f>
        <v>541512</v>
      </c>
      <c r="AF1660" t="s">
        <v>1282</v>
      </c>
      <c r="AG1660" t="s">
        <v>1283</v>
      </c>
      <c r="AI1660" t="s">
        <v>1284</v>
      </c>
      <c r="AJ1660" t="s">
        <v>1281</v>
      </c>
      <c r="AK1660" t="str">
        <f>""</f>
        <v/>
      </c>
      <c r="AL1660" t="s">
        <v>538</v>
      </c>
      <c r="AM1660" t="s">
        <v>135</v>
      </c>
      <c r="AN1660" s="3">
        <v>22030</v>
      </c>
      <c r="AO1660" t="s">
        <v>101</v>
      </c>
      <c r="AQ1660" t="str">
        <f>"+17324282390"</f>
        <v>+17324282390</v>
      </c>
      <c r="AS1660" t="s">
        <v>1285</v>
      </c>
      <c r="AT1660" t="s">
        <v>107</v>
      </c>
      <c r="AU1660" t="str">
        <f>"Smith"</f>
        <v>Smith</v>
      </c>
      <c r="AV1660" t="str">
        <f>"Michael "</f>
        <v xml:space="preserve">Michael </v>
      </c>
      <c r="AW1660" t="str">
        <f>"Francis"</f>
        <v>Francis</v>
      </c>
      <c r="AX1660" t="str">
        <f>"1101 15TH STREET, NW"</f>
        <v>1101 15TH STREET, NW</v>
      </c>
      <c r="AY1660" t="str">
        <f>"Suite 700"</f>
        <v>Suite 700</v>
      </c>
      <c r="AZ1660" t="str">
        <f>"Washington"</f>
        <v>Washington</v>
      </c>
      <c r="BA1660" t="str">
        <f>"DC"</f>
        <v>DC</v>
      </c>
      <c r="BB1660" s="3">
        <v>20005</v>
      </c>
      <c r="BC1660" t="str">
        <f t="shared" si="132"/>
        <v>UNITED STATES OF AMERICA</v>
      </c>
      <c r="BD1660" t="str">
        <f>""</f>
        <v/>
      </c>
      <c r="BE1660" t="str">
        <f>"+12022235515"</f>
        <v>+12022235515</v>
      </c>
      <c r="BF1660" t="str">
        <f>""</f>
        <v/>
      </c>
      <c r="BG1660" t="str">
        <f>"LCATeamPham@Fragomen.com"</f>
        <v>LCATeamPham@Fragomen.com</v>
      </c>
      <c r="BH1660" t="str">
        <f>"Fragomen, Del Rey, Bernsen &amp; Loewy, LLP"</f>
        <v>Fragomen, Del Rey, Bernsen &amp; Loewy, LLP</v>
      </c>
      <c r="BI1660" t="str">
        <f>"DC"</f>
        <v>DC</v>
      </c>
      <c r="BJ1660" t="str">
        <f>"DISTRICT OF COLUMBIA COURT OF APPEALS"</f>
        <v>DISTRICT OF COLUMBIA COURT OF APPEALS</v>
      </c>
      <c r="BK1660">
        <v>1</v>
      </c>
      <c r="BL1660" t="s">
        <v>102</v>
      </c>
      <c r="BM1660" t="str">
        <f>""</f>
        <v/>
      </c>
      <c r="BN1660" t="s">
        <v>5369</v>
      </c>
      <c r="BP1660" t="s">
        <v>1368</v>
      </c>
      <c r="BQ1660" t="s">
        <v>1664</v>
      </c>
      <c r="BR1660" t="s">
        <v>545</v>
      </c>
      <c r="BS1660" s="5">
        <v>37209</v>
      </c>
      <c r="BT1660" s="2">
        <v>92000</v>
      </c>
      <c r="BV1660" t="s">
        <v>105</v>
      </c>
      <c r="BW1660" s="2">
        <v>69534</v>
      </c>
      <c r="BX1660" t="s">
        <v>105</v>
      </c>
      <c r="BZ1660" t="s">
        <v>167</v>
      </c>
      <c r="CA1660" t="str">
        <f t="shared" si="131"/>
        <v>7/1/2020 - 6/30/2021</v>
      </c>
      <c r="CF1660">
        <v>2</v>
      </c>
      <c r="CG1660" t="s">
        <v>98</v>
      </c>
      <c r="CH1660" t="s">
        <v>206</v>
      </c>
      <c r="CI1660" t="s">
        <v>206</v>
      </c>
      <c r="CL1660" t="s">
        <v>108</v>
      </c>
      <c r="CM1660" t="s">
        <v>109</v>
      </c>
      <c r="CN1660" t="str">
        <f>""</f>
        <v/>
      </c>
      <c r="CO1660" t="str">
        <f>""</f>
        <v/>
      </c>
      <c r="CP1660" t="str">
        <f>""</f>
        <v/>
      </c>
      <c r="CQ1660" t="str">
        <f>""</f>
        <v/>
      </c>
    </row>
    <row r="1661" spans="1:96" x14ac:dyDescent="0.2">
      <c r="A1661" t="s">
        <v>5378</v>
      </c>
      <c r="B1661" t="s">
        <v>96</v>
      </c>
      <c r="C1661" s="1">
        <v>44099</v>
      </c>
      <c r="D1661" s="1">
        <v>44106</v>
      </c>
      <c r="F1661" t="s">
        <v>97</v>
      </c>
      <c r="G1661" t="str">
        <f>"POSTDOCTORAL RESEARCH ASSOCIATE"</f>
        <v>POSTDOCTORAL RESEARCH ASSOCIATE</v>
      </c>
      <c r="H1661" t="s">
        <v>12172</v>
      </c>
      <c r="I1661" t="s">
        <v>1184</v>
      </c>
      <c r="J1661" t="s">
        <v>98</v>
      </c>
      <c r="K1661" s="1">
        <v>44136</v>
      </c>
      <c r="L1661" s="1">
        <v>45230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5379</v>
      </c>
      <c r="U1661" t="str">
        <f>"OUHSC"</f>
        <v>OUHSC</v>
      </c>
      <c r="V1661" t="s">
        <v>5380</v>
      </c>
      <c r="W1661" t="str">
        <f>"Suite 270"</f>
        <v>Suite 270</v>
      </c>
      <c r="X1661" t="s">
        <v>1870</v>
      </c>
      <c r="Y1661" t="s">
        <v>371</v>
      </c>
      <c r="Z1661" s="3">
        <v>73104</v>
      </c>
      <c r="AA1661" t="s">
        <v>101</v>
      </c>
      <c r="AC1661" s="4" t="str">
        <f>"+14052712190"</f>
        <v>+14052712190</v>
      </c>
      <c r="AE1661" t="str">
        <f>"611310"</f>
        <v>611310</v>
      </c>
      <c r="AF1661" t="s">
        <v>5381</v>
      </c>
      <c r="AG1661" t="s">
        <v>2876</v>
      </c>
      <c r="AH1661" t="s">
        <v>4414</v>
      </c>
      <c r="AI1661" t="s">
        <v>5382</v>
      </c>
      <c r="AJ1661" t="s">
        <v>5380</v>
      </c>
      <c r="AK1661" t="str">
        <f>"Suite 270"</f>
        <v>Suite 270</v>
      </c>
      <c r="AL1661" t="s">
        <v>1870</v>
      </c>
      <c r="AM1661" t="s">
        <v>371</v>
      </c>
      <c r="AN1661" s="3">
        <v>73104</v>
      </c>
      <c r="AO1661" t="s">
        <v>101</v>
      </c>
      <c r="AQ1661" t="str">
        <f>"+14052712190"</f>
        <v>+14052712190</v>
      </c>
      <c r="AS1661" t="s">
        <v>5383</v>
      </c>
      <c r="AT1661" t="s">
        <v>102</v>
      </c>
      <c r="AU1661" t="str">
        <f>""</f>
        <v/>
      </c>
      <c r="AV1661" t="str">
        <f>""</f>
        <v/>
      </c>
      <c r="AW1661" t="str">
        <f>""</f>
        <v/>
      </c>
      <c r="AX1661" t="str">
        <f>""</f>
        <v/>
      </c>
      <c r="AY1661" t="str">
        <f>""</f>
        <v/>
      </c>
      <c r="AZ1661" t="str">
        <f>""</f>
        <v/>
      </c>
      <c r="BA1661" t="str">
        <f>""</f>
        <v/>
      </c>
      <c r="BC1661" t="str">
        <f>""</f>
        <v/>
      </c>
      <c r="BD1661" t="str">
        <f>""</f>
        <v/>
      </c>
      <c r="BE1661" t="str">
        <f>""</f>
        <v/>
      </c>
      <c r="BF1661" t="str">
        <f>""</f>
        <v/>
      </c>
      <c r="BG1661" t="str">
        <f>""</f>
        <v/>
      </c>
      <c r="BH1661" t="str">
        <f>""</f>
        <v/>
      </c>
      <c r="BI1661" t="str">
        <f>""</f>
        <v/>
      </c>
      <c r="BJ1661" t="str">
        <f>""</f>
        <v/>
      </c>
      <c r="BK1661">
        <v>1</v>
      </c>
      <c r="BL1661" t="s">
        <v>102</v>
      </c>
      <c r="BM1661" t="str">
        <f>""</f>
        <v/>
      </c>
      <c r="BN1661" t="s">
        <v>5384</v>
      </c>
      <c r="BP1661" t="s">
        <v>1870</v>
      </c>
      <c r="BQ1661" t="s">
        <v>1525</v>
      </c>
      <c r="BR1661" t="s">
        <v>371</v>
      </c>
      <c r="BS1661" s="5">
        <v>73117</v>
      </c>
      <c r="BT1661" s="2">
        <v>52704</v>
      </c>
      <c r="BV1661" t="s">
        <v>105</v>
      </c>
      <c r="BW1661" s="2">
        <v>42890</v>
      </c>
      <c r="BX1661" t="s">
        <v>105</v>
      </c>
      <c r="BZ1661" t="s">
        <v>191</v>
      </c>
      <c r="CA1661" t="str">
        <f t="shared" si="131"/>
        <v>7/1/2020 - 6/30/2021</v>
      </c>
      <c r="CF1661">
        <v>1</v>
      </c>
      <c r="CG1661" t="s">
        <v>98</v>
      </c>
      <c r="CH1661" t="s">
        <v>206</v>
      </c>
      <c r="CI1661" t="s">
        <v>206</v>
      </c>
      <c r="CL1661" t="s">
        <v>108</v>
      </c>
      <c r="CM1661" t="s">
        <v>109</v>
      </c>
      <c r="CN1661" t="str">
        <f>""</f>
        <v/>
      </c>
      <c r="CO1661" t="str">
        <f>""</f>
        <v/>
      </c>
      <c r="CP1661" t="str">
        <f>""</f>
        <v/>
      </c>
      <c r="CQ1661" t="str">
        <f>""</f>
        <v/>
      </c>
    </row>
    <row r="1662" spans="1:96" x14ac:dyDescent="0.2">
      <c r="A1662" t="s">
        <v>5462</v>
      </c>
      <c r="B1662" t="s">
        <v>96</v>
      </c>
      <c r="C1662" s="1">
        <v>44099</v>
      </c>
      <c r="D1662" s="1">
        <v>44106</v>
      </c>
      <c r="F1662" t="s">
        <v>97</v>
      </c>
      <c r="G1662" t="str">
        <f>"Data Governance Analyst - KBGFJG104413-1"</f>
        <v>Data Governance Analyst - KBGFJG104413-1</v>
      </c>
      <c r="H1662" t="s">
        <v>12224</v>
      </c>
      <c r="I1662" t="s">
        <v>198</v>
      </c>
      <c r="J1662" t="s">
        <v>98</v>
      </c>
      <c r="K1662" s="1">
        <v>44105</v>
      </c>
      <c r="L1662" s="1">
        <v>45199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5463</v>
      </c>
      <c r="U1662" t="str">
        <f>""</f>
        <v/>
      </c>
      <c r="V1662" t="s">
        <v>5464</v>
      </c>
      <c r="W1662" t="str">
        <f>"Floor 14"</f>
        <v>Floor 14</v>
      </c>
      <c r="X1662" t="s">
        <v>213</v>
      </c>
      <c r="Y1662" t="s">
        <v>215</v>
      </c>
      <c r="Z1662" s="3">
        <v>30303</v>
      </c>
      <c r="AA1662" t="s">
        <v>101</v>
      </c>
      <c r="AC1662" s="4" t="str">
        <f>"+14046524475"</f>
        <v>+14046524475</v>
      </c>
      <c r="AE1662" t="str">
        <f>"541410"</f>
        <v>541410</v>
      </c>
      <c r="AF1662" t="s">
        <v>5239</v>
      </c>
      <c r="AG1662" t="s">
        <v>1417</v>
      </c>
      <c r="AH1662" t="s">
        <v>491</v>
      </c>
      <c r="AI1662" t="s">
        <v>5240</v>
      </c>
      <c r="AJ1662" t="s">
        <v>5241</v>
      </c>
      <c r="AK1662" t="str">
        <f>""</f>
        <v/>
      </c>
      <c r="AL1662" t="s">
        <v>5242</v>
      </c>
      <c r="AM1662" t="s">
        <v>193</v>
      </c>
      <c r="AN1662" s="3">
        <v>67220</v>
      </c>
      <c r="AO1662" t="s">
        <v>101</v>
      </c>
      <c r="AQ1662" t="str">
        <f>"+13168287380"</f>
        <v>+13168287380</v>
      </c>
      <c r="AS1662" t="s">
        <v>5243</v>
      </c>
      <c r="AT1662" t="s">
        <v>102</v>
      </c>
      <c r="AU1662" t="str">
        <f>""</f>
        <v/>
      </c>
      <c r="AV1662" t="str">
        <f>""</f>
        <v/>
      </c>
      <c r="AW1662" t="str">
        <f>""</f>
        <v/>
      </c>
      <c r="AX1662" t="str">
        <f>""</f>
        <v/>
      </c>
      <c r="AY1662" t="str">
        <f>""</f>
        <v/>
      </c>
      <c r="AZ1662" t="str">
        <f>""</f>
        <v/>
      </c>
      <c r="BA1662" t="str">
        <f>""</f>
        <v/>
      </c>
      <c r="BC1662" t="str">
        <f>""</f>
        <v/>
      </c>
      <c r="BD1662" t="str">
        <f>""</f>
        <v/>
      </c>
      <c r="BE1662" t="str">
        <f>""</f>
        <v/>
      </c>
      <c r="BF1662" t="str">
        <f>""</f>
        <v/>
      </c>
      <c r="BG1662" t="str">
        <f>""</f>
        <v/>
      </c>
      <c r="BH1662" t="str">
        <f>""</f>
        <v/>
      </c>
      <c r="BI1662" t="str">
        <f>""</f>
        <v/>
      </c>
      <c r="BJ1662" t="str">
        <f>""</f>
        <v/>
      </c>
      <c r="BK1662">
        <v>1</v>
      </c>
      <c r="BL1662" t="s">
        <v>102</v>
      </c>
      <c r="BM1662" t="str">
        <f>""</f>
        <v/>
      </c>
      <c r="BN1662" t="s">
        <v>5465</v>
      </c>
      <c r="BP1662" t="s">
        <v>213</v>
      </c>
      <c r="BQ1662" t="s">
        <v>214</v>
      </c>
      <c r="BR1662" t="s">
        <v>215</v>
      </c>
      <c r="BS1662" s="5">
        <v>30303</v>
      </c>
      <c r="BT1662" s="2">
        <v>73674</v>
      </c>
      <c r="BU1662" s="2">
        <v>85000</v>
      </c>
      <c r="BV1662" t="s">
        <v>105</v>
      </c>
      <c r="BW1662" s="2">
        <v>73674</v>
      </c>
      <c r="BX1662" t="s">
        <v>105</v>
      </c>
      <c r="BZ1662" t="s">
        <v>167</v>
      </c>
      <c r="CA1662" t="str">
        <f t="shared" si="131"/>
        <v>7/1/2020 - 6/30/2021</v>
      </c>
      <c r="CF1662">
        <v>2</v>
      </c>
      <c r="CG1662" t="s">
        <v>98</v>
      </c>
      <c r="CH1662" t="s">
        <v>206</v>
      </c>
      <c r="CI1662" t="s">
        <v>206</v>
      </c>
      <c r="CL1662" t="s">
        <v>108</v>
      </c>
      <c r="CM1662" t="s">
        <v>109</v>
      </c>
      <c r="CN1662" t="str">
        <f>"Lau"</f>
        <v>Lau</v>
      </c>
      <c r="CO1662" t="str">
        <f>"Jessica "</f>
        <v xml:space="preserve">Jessica </v>
      </c>
      <c r="CP1662" t="str">
        <f>""</f>
        <v/>
      </c>
      <c r="CQ1662" t="str">
        <f>"EY Law LLP"</f>
        <v>EY Law LLP</v>
      </c>
      <c r="CR1662" t="s">
        <v>5466</v>
      </c>
    </row>
    <row r="1663" spans="1:96" x14ac:dyDescent="0.2">
      <c r="A1663" t="s">
        <v>5502</v>
      </c>
      <c r="B1663" t="s">
        <v>96</v>
      </c>
      <c r="C1663" s="1">
        <v>44099</v>
      </c>
      <c r="D1663" s="1">
        <v>44106</v>
      </c>
      <c r="F1663" t="s">
        <v>97</v>
      </c>
      <c r="G1663" t="str">
        <f>"Electrical Engineer"</f>
        <v>Electrical Engineer</v>
      </c>
      <c r="H1663" t="s">
        <v>12179</v>
      </c>
      <c r="I1663" t="s">
        <v>1357</v>
      </c>
      <c r="J1663" t="s">
        <v>98</v>
      </c>
      <c r="K1663" s="1">
        <v>44267</v>
      </c>
      <c r="L1663" s="1">
        <v>45362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 t="s">
        <v>5133</v>
      </c>
      <c r="U1663" t="str">
        <f>""</f>
        <v/>
      </c>
      <c r="V1663" t="s">
        <v>1122</v>
      </c>
      <c r="W1663" t="str">
        <f>""</f>
        <v/>
      </c>
      <c r="X1663" t="s">
        <v>1123</v>
      </c>
      <c r="Y1663" t="s">
        <v>190</v>
      </c>
      <c r="Z1663" s="3">
        <v>14831</v>
      </c>
      <c r="AA1663" t="s">
        <v>101</v>
      </c>
      <c r="AC1663" s="4" t="str">
        <f>"+16079747540"</f>
        <v>+16079747540</v>
      </c>
      <c r="AE1663" t="str">
        <f>"54171"</f>
        <v>54171</v>
      </c>
      <c r="AF1663" t="s">
        <v>1124</v>
      </c>
      <c r="AG1663" t="s">
        <v>1125</v>
      </c>
      <c r="AH1663" t="s">
        <v>1126</v>
      </c>
      <c r="AI1663" t="s">
        <v>221</v>
      </c>
      <c r="AJ1663" t="s">
        <v>1122</v>
      </c>
      <c r="AK1663" t="str">
        <f>""</f>
        <v/>
      </c>
      <c r="AL1663" t="s">
        <v>1123</v>
      </c>
      <c r="AM1663" t="s">
        <v>190</v>
      </c>
      <c r="AN1663" s="3">
        <v>14831</v>
      </c>
      <c r="AO1663" t="s">
        <v>101</v>
      </c>
      <c r="AQ1663" t="str">
        <f>"+16079747540"</f>
        <v>+16079747540</v>
      </c>
      <c r="AS1663" t="s">
        <v>2043</v>
      </c>
      <c r="AT1663" t="s">
        <v>107</v>
      </c>
      <c r="AU1663" t="str">
        <f>"Wilks"</f>
        <v>Wilks</v>
      </c>
      <c r="AV1663" t="str">
        <f>"David"</f>
        <v>David</v>
      </c>
      <c r="AW1663" t="str">
        <f>"J."</f>
        <v>J.</v>
      </c>
      <c r="AX1663" t="str">
        <f>"140 Pearl Street"</f>
        <v>140 Pearl Street</v>
      </c>
      <c r="AY1663" t="str">
        <f>"Suite 100"</f>
        <v>Suite 100</v>
      </c>
      <c r="AZ1663" t="str">
        <f>"Buffalo"</f>
        <v>Buffalo</v>
      </c>
      <c r="BA1663" t="str">
        <f>"NY"</f>
        <v>NY</v>
      </c>
      <c r="BB1663" s="3">
        <v>14202</v>
      </c>
      <c r="BC1663" t="str">
        <f>"UNITED STATES OF AMERICA"</f>
        <v>UNITED STATES OF AMERICA</v>
      </c>
      <c r="BD1663" t="str">
        <f>""</f>
        <v/>
      </c>
      <c r="BE1663" t="str">
        <f>"+15856133942"</f>
        <v>+15856133942</v>
      </c>
      <c r="BF1663" t="str">
        <f>""</f>
        <v/>
      </c>
      <c r="BG1663" t="str">
        <f>"dwilks@hodgsonruss.com"</f>
        <v>dwilks@hodgsonruss.com</v>
      </c>
      <c r="BH1663" t="str">
        <f>"Hodgson Russ LLP"</f>
        <v>Hodgson Russ LLP</v>
      </c>
      <c r="BI1663" t="str">
        <f>"NY"</f>
        <v>NY</v>
      </c>
      <c r="BJ1663" t="str">
        <f>"Court of Appeals"</f>
        <v>Court of Appeals</v>
      </c>
      <c r="BK1663">
        <v>1</v>
      </c>
      <c r="BL1663" t="s">
        <v>102</v>
      </c>
      <c r="BM1663" t="str">
        <f>""</f>
        <v/>
      </c>
      <c r="BN1663" t="s">
        <v>5503</v>
      </c>
      <c r="BP1663" t="s">
        <v>229</v>
      </c>
      <c r="BQ1663" t="s">
        <v>230</v>
      </c>
      <c r="BR1663" t="s">
        <v>141</v>
      </c>
      <c r="BS1663" s="5">
        <v>94085</v>
      </c>
      <c r="BT1663" s="2">
        <v>129647</v>
      </c>
      <c r="BV1663" t="s">
        <v>105</v>
      </c>
      <c r="BW1663" s="2">
        <v>129647</v>
      </c>
      <c r="BX1663" t="s">
        <v>105</v>
      </c>
      <c r="CA1663" t="str">
        <f>""</f>
        <v/>
      </c>
      <c r="CB1663" t="s">
        <v>244</v>
      </c>
      <c r="CC1663">
        <v>2020</v>
      </c>
      <c r="CD1663" t="s">
        <v>2688</v>
      </c>
      <c r="CE1663" t="s">
        <v>355</v>
      </c>
      <c r="CF1663">
        <v>1</v>
      </c>
      <c r="CG1663" t="s">
        <v>98</v>
      </c>
      <c r="CH1663" t="s">
        <v>206</v>
      </c>
      <c r="CI1663" t="s">
        <v>206</v>
      </c>
      <c r="CL1663" t="s">
        <v>108</v>
      </c>
      <c r="CM1663" t="s">
        <v>109</v>
      </c>
      <c r="CN1663" t="str">
        <f>"Wrisley"</f>
        <v>Wrisley</v>
      </c>
      <c r="CO1663" t="str">
        <f>"Tammy"</f>
        <v>Tammy</v>
      </c>
      <c r="CP1663" t="str">
        <f>"A."</f>
        <v>A.</v>
      </c>
      <c r="CQ1663" t="str">
        <f>"Hodgson Russ LLP"</f>
        <v>Hodgson Russ LLP</v>
      </c>
      <c r="CR1663" t="s">
        <v>1128</v>
      </c>
    </row>
    <row r="1664" spans="1:96" x14ac:dyDescent="0.2">
      <c r="A1664" t="s">
        <v>5544</v>
      </c>
      <c r="B1664" t="s">
        <v>96</v>
      </c>
      <c r="C1664" s="1">
        <v>44099</v>
      </c>
      <c r="D1664" s="1">
        <v>44106</v>
      </c>
      <c r="F1664" t="s">
        <v>97</v>
      </c>
      <c r="G1664" t="str">
        <f>"Associate, Senior Quality Analyst "</f>
        <v xml:space="preserve">Associate, Senior Quality Analyst </v>
      </c>
      <c r="H1664" t="s">
        <v>12168</v>
      </c>
      <c r="I1664" t="s">
        <v>319</v>
      </c>
      <c r="J1664" t="s">
        <v>98</v>
      </c>
      <c r="K1664" s="1">
        <v>44228</v>
      </c>
      <c r="L1664" s="1">
        <v>45322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 t="s">
        <v>5545</v>
      </c>
      <c r="U1664" t="str">
        <f>""</f>
        <v/>
      </c>
      <c r="V1664" t="s">
        <v>5546</v>
      </c>
      <c r="W1664" t="str">
        <f>""</f>
        <v/>
      </c>
      <c r="X1664" t="s">
        <v>277</v>
      </c>
      <c r="Y1664" t="s">
        <v>190</v>
      </c>
      <c r="Z1664" s="3">
        <v>10019</v>
      </c>
      <c r="AA1664" t="s">
        <v>101</v>
      </c>
      <c r="AC1664" s="4" t="str">
        <f>"+12126679793"</f>
        <v>+12126679793</v>
      </c>
      <c r="AE1664" t="str">
        <f>"54151"</f>
        <v>54151</v>
      </c>
      <c r="AF1664" t="s">
        <v>5547</v>
      </c>
      <c r="AG1664" t="s">
        <v>1767</v>
      </c>
      <c r="AI1664" t="s">
        <v>5548</v>
      </c>
      <c r="AJ1664" t="s">
        <v>5546</v>
      </c>
      <c r="AK1664" t="str">
        <f>""</f>
        <v/>
      </c>
      <c r="AL1664" t="s">
        <v>277</v>
      </c>
      <c r="AM1664" t="s">
        <v>190</v>
      </c>
      <c r="AN1664" s="3">
        <v>10019</v>
      </c>
      <c r="AO1664" t="s">
        <v>101</v>
      </c>
      <c r="AQ1664" t="str">
        <f>"+12126679793"</f>
        <v>+12126679793</v>
      </c>
      <c r="AS1664" t="s">
        <v>5549</v>
      </c>
      <c r="AT1664" t="s">
        <v>107</v>
      </c>
      <c r="AU1664" t="str">
        <f>"Dunn"</f>
        <v>Dunn</v>
      </c>
      <c r="AV1664" t="str">
        <f>"Matthew"</f>
        <v>Matthew</v>
      </c>
      <c r="AW1664" t="str">
        <f>"S."</f>
        <v>S.</v>
      </c>
      <c r="AX1664" t="str">
        <f>"1177 Avenue of the Americas"</f>
        <v>1177 Avenue of the Americas</v>
      </c>
      <c r="AY1664" t="str">
        <f>""</f>
        <v/>
      </c>
      <c r="AZ1664" t="str">
        <f>"New York"</f>
        <v>New York</v>
      </c>
      <c r="BA1664" t="str">
        <f>"NY"</f>
        <v>NY</v>
      </c>
      <c r="BB1664" s="3">
        <v>10036</v>
      </c>
      <c r="BC1664" t="str">
        <f>"UNITED STATES OF AMERICA"</f>
        <v>UNITED STATES OF AMERICA</v>
      </c>
      <c r="BD1664" t="str">
        <f>""</f>
        <v/>
      </c>
      <c r="BE1664" t="str">
        <f>"+12127159408"</f>
        <v>+12127159408</v>
      </c>
      <c r="BF1664" t="str">
        <f>""</f>
        <v/>
      </c>
      <c r="BG1664" t="str">
        <f>"bmichaels@kramerlevin.com"</f>
        <v>bmichaels@kramerlevin.com</v>
      </c>
      <c r="BH1664" t="str">
        <f>"Kramer Levin Naftalis &amp; Frankel LLP"</f>
        <v>Kramer Levin Naftalis &amp; Frankel LLP</v>
      </c>
      <c r="BI1664" t="str">
        <f>"NY"</f>
        <v>NY</v>
      </c>
      <c r="BJ1664" t="str">
        <f>"Court of Appeals"</f>
        <v>Court of Appeals</v>
      </c>
      <c r="BK1664">
        <v>1</v>
      </c>
      <c r="BL1664" t="s">
        <v>102</v>
      </c>
      <c r="BM1664" t="str">
        <f>""</f>
        <v/>
      </c>
      <c r="BN1664" t="s">
        <v>5546</v>
      </c>
      <c r="BP1664" t="s">
        <v>277</v>
      </c>
      <c r="BQ1664" t="s">
        <v>189</v>
      </c>
      <c r="BR1664" t="s">
        <v>190</v>
      </c>
      <c r="BS1664" s="5">
        <v>10019</v>
      </c>
      <c r="BT1664" s="2">
        <v>95000</v>
      </c>
      <c r="BU1664" s="2">
        <v>115000</v>
      </c>
      <c r="BV1664" t="s">
        <v>105</v>
      </c>
      <c r="BW1664" s="2">
        <v>91374</v>
      </c>
      <c r="BX1664" t="s">
        <v>105</v>
      </c>
      <c r="BZ1664" t="s">
        <v>123</v>
      </c>
      <c r="CA1664" t="str">
        <f>"7/1/2020 - 6/30/2021"</f>
        <v>7/1/2020 - 6/30/2021</v>
      </c>
      <c r="CF1664">
        <v>2</v>
      </c>
      <c r="CG1664" t="s">
        <v>98</v>
      </c>
      <c r="CH1664" t="s">
        <v>206</v>
      </c>
      <c r="CI1664" t="s">
        <v>206</v>
      </c>
      <c r="CL1664" t="s">
        <v>108</v>
      </c>
      <c r="CM1664" t="s">
        <v>109</v>
      </c>
      <c r="CN1664" t="str">
        <f>"Michaels"</f>
        <v>Michaels</v>
      </c>
      <c r="CO1664" t="str">
        <f>"Beth"</f>
        <v>Beth</v>
      </c>
      <c r="CP1664" t="str">
        <f>""</f>
        <v/>
      </c>
      <c r="CQ1664" t="str">
        <f>"Kramer Levin Naftalis &amp; Frankel LLP"</f>
        <v>Kramer Levin Naftalis &amp; Frankel LLP</v>
      </c>
      <c r="CR1664" t="s">
        <v>5550</v>
      </c>
    </row>
    <row r="1665" spans="1:96" x14ac:dyDescent="0.2">
      <c r="A1665" t="s">
        <v>5580</v>
      </c>
      <c r="B1665" t="s">
        <v>96</v>
      </c>
      <c r="C1665" s="1">
        <v>44099</v>
      </c>
      <c r="D1665" s="1">
        <v>44106</v>
      </c>
      <c r="F1665" t="s">
        <v>97</v>
      </c>
      <c r="G1665" t="str">
        <f>"Senior Architect"</f>
        <v>Senior Architect</v>
      </c>
      <c r="H1665" t="s">
        <v>12169</v>
      </c>
      <c r="I1665" t="s">
        <v>124</v>
      </c>
      <c r="J1665" t="s">
        <v>98</v>
      </c>
      <c r="K1665" s="1">
        <v>44103</v>
      </c>
      <c r="L1665" s="1">
        <v>45197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 t="s">
        <v>1432</v>
      </c>
      <c r="U1665" t="str">
        <f>""</f>
        <v/>
      </c>
      <c r="V1665" t="s">
        <v>1433</v>
      </c>
      <c r="W1665" t="str">
        <f>""</f>
        <v/>
      </c>
      <c r="X1665" t="s">
        <v>833</v>
      </c>
      <c r="Y1665" t="s">
        <v>345</v>
      </c>
      <c r="Z1665" s="3">
        <v>60661</v>
      </c>
      <c r="AA1665" t="s">
        <v>101</v>
      </c>
      <c r="AC1665" s="4" t="str">
        <f>"+16023275581"</f>
        <v>+16023275581</v>
      </c>
      <c r="AE1665" t="str">
        <f>"3342"</f>
        <v>3342</v>
      </c>
      <c r="AF1665" t="s">
        <v>1434</v>
      </c>
      <c r="AG1665" t="s">
        <v>909</v>
      </c>
      <c r="AH1665" t="s">
        <v>1435</v>
      </c>
      <c r="AI1665" t="s">
        <v>1436</v>
      </c>
      <c r="AJ1665" t="s">
        <v>1433</v>
      </c>
      <c r="AK1665" t="str">
        <f>""</f>
        <v/>
      </c>
      <c r="AL1665" t="s">
        <v>833</v>
      </c>
      <c r="AM1665" t="s">
        <v>345</v>
      </c>
      <c r="AN1665" s="3">
        <v>60661</v>
      </c>
      <c r="AO1665" t="s">
        <v>101</v>
      </c>
      <c r="AQ1665" t="str">
        <f>"+16023275581"</f>
        <v>+16023275581</v>
      </c>
      <c r="AS1665" t="s">
        <v>1437</v>
      </c>
      <c r="AT1665" t="s">
        <v>107</v>
      </c>
      <c r="AU1665" t="str">
        <f>"MARONEY "</f>
        <v xml:space="preserve">MARONEY </v>
      </c>
      <c r="AV1665" t="str">
        <f>"JACQUELYN "</f>
        <v xml:space="preserve">JACQUELYN </v>
      </c>
      <c r="AW1665" t="str">
        <f>"P."</f>
        <v>P.</v>
      </c>
      <c r="AX1665" t="str">
        <f>"301 Congress Avenue"</f>
        <v>301 Congress Avenue</v>
      </c>
      <c r="AY1665" t="str">
        <f>"Suite 1150"</f>
        <v>Suite 1150</v>
      </c>
      <c r="AZ1665" t="str">
        <f>"Austin"</f>
        <v>Austin</v>
      </c>
      <c r="BA1665" t="str">
        <f>"TX"</f>
        <v>TX</v>
      </c>
      <c r="BB1665" s="3">
        <v>78701</v>
      </c>
      <c r="BC1665" t="str">
        <f>"UNITED STATES OF AMERICA"</f>
        <v>UNITED STATES OF AMERICA</v>
      </c>
      <c r="BD1665" t="str">
        <f>""</f>
        <v/>
      </c>
      <c r="BE1665" t="str">
        <f>"+15123444736"</f>
        <v>+15123444736</v>
      </c>
      <c r="BF1665" t="str">
        <f>""</f>
        <v/>
      </c>
      <c r="BG1665" t="str">
        <f>"natalie.ingram@ogletreedeakins.com"</f>
        <v>natalie.ingram@ogletreedeakins.com</v>
      </c>
      <c r="BH1665" t="str">
        <f>"Ogletree, Deakins, Nash, Smoak &amp; Stewart, P.C."</f>
        <v>Ogletree, Deakins, Nash, Smoak &amp; Stewart, P.C.</v>
      </c>
      <c r="BI1665" t="str">
        <f>"TX"</f>
        <v>TX</v>
      </c>
      <c r="BJ1665" t="str">
        <f>"Supreme Court of Texas"</f>
        <v>Supreme Court of Texas</v>
      </c>
      <c r="BK1665">
        <v>1</v>
      </c>
      <c r="BL1665" t="s">
        <v>102</v>
      </c>
      <c r="BM1665" t="str">
        <f>""</f>
        <v/>
      </c>
      <c r="BN1665" t="s">
        <v>5581</v>
      </c>
      <c r="BP1665" t="s">
        <v>2495</v>
      </c>
      <c r="BQ1665" t="s">
        <v>556</v>
      </c>
      <c r="BR1665" t="s">
        <v>114</v>
      </c>
      <c r="BS1665" s="5">
        <v>75002</v>
      </c>
      <c r="BT1665" s="2">
        <v>110344</v>
      </c>
      <c r="BU1665" s="2">
        <v>196200</v>
      </c>
      <c r="BV1665" t="s">
        <v>105</v>
      </c>
      <c r="BW1665" s="2">
        <v>110344</v>
      </c>
      <c r="BX1665" t="s">
        <v>105</v>
      </c>
      <c r="BZ1665" t="s">
        <v>123</v>
      </c>
      <c r="CA1665" t="str">
        <f>"7/1/2020 - 6/30/2021"</f>
        <v>7/1/2020 - 6/30/2021</v>
      </c>
      <c r="CF1665">
        <v>2</v>
      </c>
      <c r="CG1665" t="s">
        <v>98</v>
      </c>
      <c r="CH1665" t="s">
        <v>206</v>
      </c>
      <c r="CI1665" t="s">
        <v>206</v>
      </c>
      <c r="CL1665" t="s">
        <v>108</v>
      </c>
      <c r="CM1665" t="s">
        <v>109</v>
      </c>
      <c r="CN1665" t="str">
        <f>""</f>
        <v/>
      </c>
      <c r="CO1665" t="str">
        <f>""</f>
        <v/>
      </c>
      <c r="CP1665" t="str">
        <f>""</f>
        <v/>
      </c>
      <c r="CQ1665" t="str">
        <f>""</f>
        <v/>
      </c>
    </row>
    <row r="1666" spans="1:96" x14ac:dyDescent="0.2">
      <c r="A1666" t="s">
        <v>5604</v>
      </c>
      <c r="B1666" t="s">
        <v>96</v>
      </c>
      <c r="C1666" s="1">
        <v>44099</v>
      </c>
      <c r="D1666" s="1">
        <v>44106</v>
      </c>
      <c r="F1666" t="s">
        <v>97</v>
      </c>
      <c r="G1666" t="str">
        <f>"Computational Research Scientist"</f>
        <v>Computational Research Scientist</v>
      </c>
      <c r="H1666" t="s">
        <v>12191</v>
      </c>
      <c r="I1666" t="s">
        <v>649</v>
      </c>
      <c r="J1666" t="s">
        <v>98</v>
      </c>
      <c r="K1666" s="1">
        <v>44136</v>
      </c>
      <c r="L1666" s="1">
        <v>45230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 t="s">
        <v>2129</v>
      </c>
      <c r="U1666" t="str">
        <f>""</f>
        <v/>
      </c>
      <c r="V1666" t="s">
        <v>2130</v>
      </c>
      <c r="W1666" t="str">
        <f>"MS 65A-109"</f>
        <v>MS 65A-109</v>
      </c>
      <c r="X1666" t="s">
        <v>1996</v>
      </c>
      <c r="Y1666" t="s">
        <v>141</v>
      </c>
      <c r="Z1666" s="3">
        <v>94720</v>
      </c>
      <c r="AA1666" t="s">
        <v>101</v>
      </c>
      <c r="AB1666" t="s">
        <v>141</v>
      </c>
      <c r="AC1666" s="4" t="str">
        <f>"+15104865062"</f>
        <v>+15104865062</v>
      </c>
      <c r="AE1666" t="str">
        <f>"54171"</f>
        <v>54171</v>
      </c>
      <c r="AF1666" t="s">
        <v>332</v>
      </c>
      <c r="AG1666" t="s">
        <v>1767</v>
      </c>
      <c r="AI1666" t="s">
        <v>5605</v>
      </c>
      <c r="AJ1666" t="s">
        <v>5606</v>
      </c>
      <c r="AK1666" t="str">
        <f>"65A, 109"</f>
        <v>65A, 109</v>
      </c>
      <c r="AL1666" t="s">
        <v>1996</v>
      </c>
      <c r="AM1666" t="s">
        <v>141</v>
      </c>
      <c r="AN1666" s="3">
        <v>94720</v>
      </c>
      <c r="AO1666" t="s">
        <v>101</v>
      </c>
      <c r="AQ1666" t="str">
        <f>"+15104865062"</f>
        <v>+15104865062</v>
      </c>
      <c r="AS1666" t="s">
        <v>5607</v>
      </c>
      <c r="AT1666" t="s">
        <v>102</v>
      </c>
      <c r="AU1666" t="str">
        <f>""</f>
        <v/>
      </c>
      <c r="AV1666" t="str">
        <f>""</f>
        <v/>
      </c>
      <c r="AW1666" t="str">
        <f>""</f>
        <v/>
      </c>
      <c r="AX1666" t="str">
        <f>""</f>
        <v/>
      </c>
      <c r="AY1666" t="str">
        <f>""</f>
        <v/>
      </c>
      <c r="AZ1666" t="str">
        <f>""</f>
        <v/>
      </c>
      <c r="BA1666" t="str">
        <f>""</f>
        <v/>
      </c>
      <c r="BC1666" t="str">
        <f>""</f>
        <v/>
      </c>
      <c r="BD1666" t="str">
        <f>""</f>
        <v/>
      </c>
      <c r="BE1666" t="str">
        <f>""</f>
        <v/>
      </c>
      <c r="BF1666" t="str">
        <f>""</f>
        <v/>
      </c>
      <c r="BG1666" t="str">
        <f>""</f>
        <v/>
      </c>
      <c r="BH1666" t="str">
        <f>""</f>
        <v/>
      </c>
      <c r="BI1666" t="str">
        <f>""</f>
        <v/>
      </c>
      <c r="BJ1666" t="str">
        <f>""</f>
        <v/>
      </c>
      <c r="BK1666">
        <v>1</v>
      </c>
      <c r="BL1666" t="s">
        <v>102</v>
      </c>
      <c r="BM1666" t="str">
        <f>""</f>
        <v/>
      </c>
      <c r="BN1666" t="s">
        <v>2130</v>
      </c>
      <c r="BP1666" t="s">
        <v>1996</v>
      </c>
      <c r="BQ1666" t="s">
        <v>419</v>
      </c>
      <c r="BR1666" t="s">
        <v>141</v>
      </c>
      <c r="BS1666" s="5">
        <v>94720</v>
      </c>
      <c r="BT1666" s="2">
        <v>138648</v>
      </c>
      <c r="BV1666" t="s">
        <v>105</v>
      </c>
      <c r="BW1666" s="2">
        <v>129064</v>
      </c>
      <c r="BX1666" t="s">
        <v>105</v>
      </c>
      <c r="BZ1666" t="s">
        <v>159</v>
      </c>
      <c r="CA1666" t="str">
        <f>"7/1/2020 - 6/30/2021"</f>
        <v>7/1/2020 - 6/30/2021</v>
      </c>
      <c r="CF1666">
        <v>2</v>
      </c>
      <c r="CG1666" t="s">
        <v>98</v>
      </c>
      <c r="CH1666" t="s">
        <v>206</v>
      </c>
      <c r="CI1666" t="s">
        <v>206</v>
      </c>
      <c r="CL1666" t="s">
        <v>108</v>
      </c>
      <c r="CM1666" t="s">
        <v>109</v>
      </c>
      <c r="CN1666" t="str">
        <f>""</f>
        <v/>
      </c>
      <c r="CO1666" t="str">
        <f>""</f>
        <v/>
      </c>
      <c r="CP1666" t="str">
        <f>""</f>
        <v/>
      </c>
      <c r="CQ1666" t="str">
        <f>""</f>
        <v/>
      </c>
    </row>
    <row r="1667" spans="1:96" x14ac:dyDescent="0.2">
      <c r="A1667" t="s">
        <v>5721</v>
      </c>
      <c r="B1667" t="s">
        <v>96</v>
      </c>
      <c r="C1667" s="1">
        <v>44099</v>
      </c>
      <c r="D1667" s="1">
        <v>44106</v>
      </c>
      <c r="F1667" t="s">
        <v>97</v>
      </c>
      <c r="G1667" t="str">
        <f>"Senior Data Engineer"</f>
        <v>Senior Data Engineer</v>
      </c>
      <c r="H1667" t="s">
        <v>12168</v>
      </c>
      <c r="I1667" t="s">
        <v>1844</v>
      </c>
      <c r="J1667" t="s">
        <v>98</v>
      </c>
      <c r="K1667" s="1">
        <v>44268</v>
      </c>
      <c r="L1667" s="1">
        <v>45363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 t="s">
        <v>148</v>
      </c>
      <c r="U1667" t="str">
        <f>""</f>
        <v/>
      </c>
      <c r="V1667" t="s">
        <v>149</v>
      </c>
      <c r="W1667" t="str">
        <f>"N/A"</f>
        <v>N/A</v>
      </c>
      <c r="X1667" t="s">
        <v>150</v>
      </c>
      <c r="Y1667" t="s">
        <v>141</v>
      </c>
      <c r="Z1667" s="3">
        <v>94043</v>
      </c>
      <c r="AA1667" t="s">
        <v>101</v>
      </c>
      <c r="AB1667" t="s">
        <v>108</v>
      </c>
      <c r="AC1667" s="4" t="str">
        <f>"+16509446000"</f>
        <v>+16509446000</v>
      </c>
      <c r="AE1667" t="str">
        <f>"541512"</f>
        <v>541512</v>
      </c>
      <c r="AF1667" t="s">
        <v>151</v>
      </c>
      <c r="AG1667" t="s">
        <v>152</v>
      </c>
      <c r="AI1667" t="s">
        <v>153</v>
      </c>
      <c r="AJ1667" t="s">
        <v>154</v>
      </c>
      <c r="AK1667" t="str">
        <f>""</f>
        <v/>
      </c>
      <c r="AL1667" t="s">
        <v>155</v>
      </c>
      <c r="AM1667" t="s">
        <v>141</v>
      </c>
      <c r="AN1667" s="3">
        <v>94043</v>
      </c>
      <c r="AO1667" t="s">
        <v>101</v>
      </c>
      <c r="AQ1667" t="str">
        <f>"+16509446000"</f>
        <v>+16509446000</v>
      </c>
      <c r="AS1667" t="s">
        <v>2000</v>
      </c>
      <c r="AT1667" t="s">
        <v>107</v>
      </c>
      <c r="AU1667" t="str">
        <f>"Miguel"</f>
        <v>Miguel</v>
      </c>
      <c r="AV1667" t="str">
        <f>"Michael Francis"</f>
        <v>Michael Francis</v>
      </c>
      <c r="AW1667" t="str">
        <f>"Liao"</f>
        <v>Liao</v>
      </c>
      <c r="AX1667" t="str">
        <f>"50 California Street"</f>
        <v>50 California Street</v>
      </c>
      <c r="AY1667" t="str">
        <f>"Floor 2"</f>
        <v>Floor 2</v>
      </c>
      <c r="AZ1667" t="str">
        <f>"San Francisco"</f>
        <v>San Francisco</v>
      </c>
      <c r="BA1667" t="str">
        <f>"CA"</f>
        <v>CA</v>
      </c>
      <c r="BB1667" s="3">
        <v>94111</v>
      </c>
      <c r="BC1667" t="str">
        <f>"UNITED STATES OF AMERICA"</f>
        <v>UNITED STATES OF AMERICA</v>
      </c>
      <c r="BD1667" t="str">
        <f>""</f>
        <v/>
      </c>
      <c r="BE1667" t="str">
        <f>"+14692909962"</f>
        <v>+14692909962</v>
      </c>
      <c r="BF1667" t="str">
        <f>""</f>
        <v/>
      </c>
      <c r="BG1667" t="str">
        <f>"mmiguel@balglobal.com"</f>
        <v>mmiguel@balglobal.com</v>
      </c>
      <c r="BH1667" t="str">
        <f>"BERRY APPLEMAN &amp; LEIDEN LLP"</f>
        <v>BERRY APPLEMAN &amp; LEIDEN LLP</v>
      </c>
      <c r="BI1667" t="str">
        <f>"CA"</f>
        <v>CA</v>
      </c>
      <c r="BJ1667" t="str">
        <f>"SUPREME"</f>
        <v>SUPREME</v>
      </c>
      <c r="BK1667">
        <v>1</v>
      </c>
      <c r="BL1667" t="s">
        <v>102</v>
      </c>
      <c r="BM1667" t="str">
        <f>""</f>
        <v/>
      </c>
      <c r="BN1667" t="s">
        <v>154</v>
      </c>
      <c r="BP1667" t="s">
        <v>155</v>
      </c>
      <c r="BQ1667" t="s">
        <v>230</v>
      </c>
      <c r="BR1667" t="s">
        <v>141</v>
      </c>
      <c r="BS1667" s="5">
        <v>94043</v>
      </c>
      <c r="BT1667" s="2">
        <v>143000</v>
      </c>
      <c r="BU1667" s="2">
        <v>176800</v>
      </c>
      <c r="BV1667" t="s">
        <v>105</v>
      </c>
      <c r="BW1667" s="2">
        <v>137363</v>
      </c>
      <c r="BX1667" t="s">
        <v>105</v>
      </c>
      <c r="BZ1667" t="s">
        <v>123</v>
      </c>
      <c r="CA1667" t="str">
        <f>"7/1/2020 - 6/30/2021"</f>
        <v>7/1/2020 - 6/30/2021</v>
      </c>
      <c r="CF1667">
        <v>1</v>
      </c>
      <c r="CG1667" t="s">
        <v>98</v>
      </c>
      <c r="CH1667" t="s">
        <v>206</v>
      </c>
      <c r="CI1667" t="s">
        <v>206</v>
      </c>
      <c r="CL1667" t="s">
        <v>108</v>
      </c>
      <c r="CM1667" t="s">
        <v>109</v>
      </c>
      <c r="CN1667" t="str">
        <f>""</f>
        <v/>
      </c>
      <c r="CO1667" t="str">
        <f>""</f>
        <v/>
      </c>
      <c r="CP1667" t="str">
        <f>""</f>
        <v/>
      </c>
      <c r="CQ1667" t="str">
        <f>""</f>
        <v/>
      </c>
    </row>
    <row r="1668" spans="1:96" x14ac:dyDescent="0.2">
      <c r="A1668" t="s">
        <v>5722</v>
      </c>
      <c r="B1668" t="s">
        <v>96</v>
      </c>
      <c r="C1668" s="1">
        <v>44099</v>
      </c>
      <c r="D1668" s="1">
        <v>44106</v>
      </c>
      <c r="F1668" t="s">
        <v>97</v>
      </c>
      <c r="G1668" t="str">
        <f>"Electrical Engineer 4"</f>
        <v>Electrical Engineer 4</v>
      </c>
      <c r="H1668" t="s">
        <v>12179</v>
      </c>
      <c r="I1668" t="s">
        <v>1357</v>
      </c>
      <c r="J1668" t="s">
        <v>98</v>
      </c>
      <c r="K1668" s="1">
        <v>44281</v>
      </c>
      <c r="L1668" s="1">
        <v>45376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 t="s">
        <v>2315</v>
      </c>
      <c r="U1668" t="str">
        <f>""</f>
        <v/>
      </c>
      <c r="V1668" t="s">
        <v>2316</v>
      </c>
      <c r="W1668" t="str">
        <f>""</f>
        <v/>
      </c>
      <c r="X1668" t="s">
        <v>1371</v>
      </c>
      <c r="Y1668" t="s">
        <v>193</v>
      </c>
      <c r="Z1668" s="3">
        <v>66211</v>
      </c>
      <c r="AA1668" t="s">
        <v>101</v>
      </c>
      <c r="AC1668" s="4" t="str">
        <f>"+19134582000"</f>
        <v>+19134582000</v>
      </c>
      <c r="AE1668" t="str">
        <f>"541330"</f>
        <v>541330</v>
      </c>
      <c r="AF1668" t="s">
        <v>2317</v>
      </c>
      <c r="AG1668" t="s">
        <v>2318</v>
      </c>
      <c r="AI1668" t="s">
        <v>2319</v>
      </c>
      <c r="AJ1668" t="s">
        <v>2316</v>
      </c>
      <c r="AK1668" t="str">
        <f>""</f>
        <v/>
      </c>
      <c r="AL1668" t="s">
        <v>1371</v>
      </c>
      <c r="AM1668" t="s">
        <v>193</v>
      </c>
      <c r="AN1668" s="3">
        <v>66211</v>
      </c>
      <c r="AO1668" t="s">
        <v>101</v>
      </c>
      <c r="AQ1668" t="str">
        <f>"+19134582000"</f>
        <v>+19134582000</v>
      </c>
      <c r="AS1668" t="s">
        <v>2320</v>
      </c>
      <c r="AT1668" t="s">
        <v>107</v>
      </c>
      <c r="AU1668" t="str">
        <f>"McCrummen"</f>
        <v>McCrummen</v>
      </c>
      <c r="AV1668" t="str">
        <f>"Roger"</f>
        <v>Roger</v>
      </c>
      <c r="AW1668" t="str">
        <f>"K."</f>
        <v>K.</v>
      </c>
      <c r="AX1668" t="str">
        <f>"P.O. Box 34664"</f>
        <v>P.O. Box 34664</v>
      </c>
      <c r="AY1668" t="str">
        <f>""</f>
        <v/>
      </c>
      <c r="AZ1668" t="str">
        <f>"N. Kansas City"</f>
        <v>N. Kansas City</v>
      </c>
      <c r="BA1668" t="str">
        <f>"MO"</f>
        <v>MO</v>
      </c>
      <c r="BB1668" s="3" t="s">
        <v>12310</v>
      </c>
      <c r="BC1668" t="str">
        <f>"UNITED STATES OF AMERICA"</f>
        <v>UNITED STATES OF AMERICA</v>
      </c>
      <c r="BD1668" t="str">
        <f>""</f>
        <v/>
      </c>
      <c r="BE1668" t="str">
        <f>"+18162215444"</f>
        <v>+18162215444</v>
      </c>
      <c r="BF1668" t="str">
        <f>""</f>
        <v/>
      </c>
      <c r="BG1668" t="str">
        <f>"drm@kcimmigrationlaw.com"</f>
        <v>drm@kcimmigrationlaw.com</v>
      </c>
      <c r="BH1668" t="str">
        <f>"McCrummen Immigration Law Group, LLC"</f>
        <v>McCrummen Immigration Law Group, LLC</v>
      </c>
      <c r="BI1668" t="str">
        <f>"MO"</f>
        <v>MO</v>
      </c>
      <c r="BJ1668" t="str">
        <f>"The Supreme Court of Missouri"</f>
        <v>The Supreme Court of Missouri</v>
      </c>
      <c r="BK1668">
        <v>1</v>
      </c>
      <c r="BL1668" t="s">
        <v>102</v>
      </c>
      <c r="BM1668" t="str">
        <f>""</f>
        <v/>
      </c>
      <c r="BN1668" t="s">
        <v>5723</v>
      </c>
      <c r="BO1668" t="s">
        <v>754</v>
      </c>
      <c r="BP1668" t="s">
        <v>2078</v>
      </c>
      <c r="BQ1668" t="s">
        <v>377</v>
      </c>
      <c r="BR1668" t="s">
        <v>141</v>
      </c>
      <c r="BS1668" s="5">
        <v>92606</v>
      </c>
      <c r="BT1668" s="2">
        <v>96396</v>
      </c>
      <c r="BU1668" s="2">
        <v>142405</v>
      </c>
      <c r="BV1668" t="s">
        <v>105</v>
      </c>
      <c r="BW1668" s="2">
        <v>96396</v>
      </c>
      <c r="BX1668" t="s">
        <v>105</v>
      </c>
      <c r="CA1668" t="str">
        <f>""</f>
        <v/>
      </c>
      <c r="CB1668" t="s">
        <v>244</v>
      </c>
      <c r="CC1668">
        <v>2020</v>
      </c>
      <c r="CD1668" t="s">
        <v>2321</v>
      </c>
      <c r="CE1668" t="s">
        <v>2322</v>
      </c>
      <c r="CF1668">
        <v>2</v>
      </c>
      <c r="CG1668" t="s">
        <v>98</v>
      </c>
      <c r="CH1668" t="s">
        <v>206</v>
      </c>
      <c r="CI1668" t="s">
        <v>206</v>
      </c>
      <c r="CL1668" t="s">
        <v>108</v>
      </c>
      <c r="CM1668" t="s">
        <v>109</v>
      </c>
      <c r="CN1668" t="str">
        <f>"N/A"</f>
        <v>N/A</v>
      </c>
      <c r="CO1668" t="str">
        <f>"N/A"</f>
        <v>N/A</v>
      </c>
      <c r="CP1668" t="str">
        <f>""</f>
        <v/>
      </c>
      <c r="CQ1668" t="str">
        <f>"Not Applicable"</f>
        <v>Not Applicable</v>
      </c>
      <c r="CR1668" t="s">
        <v>108</v>
      </c>
    </row>
    <row r="1669" spans="1:96" x14ac:dyDescent="0.2">
      <c r="A1669" t="s">
        <v>5724</v>
      </c>
      <c r="B1669" t="s">
        <v>96</v>
      </c>
      <c r="C1669" s="1">
        <v>44099</v>
      </c>
      <c r="D1669" s="1">
        <v>44106</v>
      </c>
      <c r="F1669" t="s">
        <v>97</v>
      </c>
      <c r="G1669" t="str">
        <f>"Supportability Program Manager"</f>
        <v>Supportability Program Manager</v>
      </c>
      <c r="H1669" t="s">
        <v>12214</v>
      </c>
      <c r="I1669" t="s">
        <v>276</v>
      </c>
      <c r="J1669" t="s">
        <v>98</v>
      </c>
      <c r="K1669" s="1">
        <v>44282</v>
      </c>
      <c r="L1669" s="1">
        <v>45377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 t="s">
        <v>173</v>
      </c>
      <c r="U1669" t="str">
        <f>""</f>
        <v/>
      </c>
      <c r="V1669" t="s">
        <v>174</v>
      </c>
      <c r="W1669" t="str">
        <f>"N/A"</f>
        <v>N/A</v>
      </c>
      <c r="X1669" t="s">
        <v>175</v>
      </c>
      <c r="Y1669" t="s">
        <v>176</v>
      </c>
      <c r="Z1669" s="3">
        <v>98052</v>
      </c>
      <c r="AA1669" t="s">
        <v>101</v>
      </c>
      <c r="AC1669" s="4" t="str">
        <f>"+14258828080"</f>
        <v>+14258828080</v>
      </c>
      <c r="AE1669" t="str">
        <f>"51121"</f>
        <v>51121</v>
      </c>
      <c r="AF1669" t="s">
        <v>177</v>
      </c>
      <c r="AG1669" t="s">
        <v>178</v>
      </c>
      <c r="AI1669" t="s">
        <v>179</v>
      </c>
      <c r="AJ1669" t="s">
        <v>174</v>
      </c>
      <c r="AK1669" t="str">
        <f>""</f>
        <v/>
      </c>
      <c r="AL1669" t="s">
        <v>175</v>
      </c>
      <c r="AM1669" t="s">
        <v>176</v>
      </c>
      <c r="AN1669" s="3">
        <v>98052</v>
      </c>
      <c r="AO1669" t="s">
        <v>101</v>
      </c>
      <c r="AQ1669" t="str">
        <f>"+14258828080"</f>
        <v>+14258828080</v>
      </c>
      <c r="AS1669" t="s">
        <v>180</v>
      </c>
      <c r="AT1669" t="s">
        <v>102</v>
      </c>
      <c r="AU1669" t="str">
        <f>""</f>
        <v/>
      </c>
      <c r="AV1669" t="str">
        <f>""</f>
        <v/>
      </c>
      <c r="AW1669" t="str">
        <f>""</f>
        <v/>
      </c>
      <c r="AX1669" t="str">
        <f>""</f>
        <v/>
      </c>
      <c r="AY1669" t="str">
        <f>""</f>
        <v/>
      </c>
      <c r="AZ1669" t="str">
        <f>""</f>
        <v/>
      </c>
      <c r="BA1669" t="str">
        <f>""</f>
        <v/>
      </c>
      <c r="BC1669" t="str">
        <f>""</f>
        <v/>
      </c>
      <c r="BD1669" t="str">
        <f>""</f>
        <v/>
      </c>
      <c r="BE1669" t="str">
        <f>""</f>
        <v/>
      </c>
      <c r="BF1669" t="str">
        <f>""</f>
        <v/>
      </c>
      <c r="BG1669" t="str">
        <f>""</f>
        <v/>
      </c>
      <c r="BH1669" t="str">
        <f>""</f>
        <v/>
      </c>
      <c r="BI1669" t="str">
        <f>""</f>
        <v/>
      </c>
      <c r="BJ1669" t="str">
        <f>""</f>
        <v/>
      </c>
      <c r="BK1669">
        <v>1</v>
      </c>
      <c r="BL1669" t="s">
        <v>102</v>
      </c>
      <c r="BM1669" t="str">
        <f>""</f>
        <v/>
      </c>
      <c r="BN1669" t="s">
        <v>4478</v>
      </c>
      <c r="BP1669" t="s">
        <v>604</v>
      </c>
      <c r="BQ1669" t="s">
        <v>121</v>
      </c>
      <c r="BR1669" t="s">
        <v>122</v>
      </c>
      <c r="BS1669" s="5">
        <v>28273</v>
      </c>
      <c r="BT1669" s="2">
        <v>135704</v>
      </c>
      <c r="BV1669" t="s">
        <v>105</v>
      </c>
      <c r="BW1669" s="2">
        <v>103168</v>
      </c>
      <c r="BX1669" t="s">
        <v>105</v>
      </c>
      <c r="BZ1669" t="s">
        <v>123</v>
      </c>
      <c r="CA1669" t="str">
        <f t="shared" ref="CA1669:CA1695" si="133">"7/1/2020 - 6/30/2021"</f>
        <v>7/1/2020 - 6/30/2021</v>
      </c>
      <c r="CF1669">
        <v>1</v>
      </c>
      <c r="CG1669" t="s">
        <v>98</v>
      </c>
      <c r="CH1669" t="s">
        <v>206</v>
      </c>
      <c r="CI1669" t="s">
        <v>206</v>
      </c>
      <c r="CL1669" t="s">
        <v>108</v>
      </c>
      <c r="CM1669" t="s">
        <v>109</v>
      </c>
      <c r="CN1669" t="str">
        <f>"Kodishala"</f>
        <v>Kodishala</v>
      </c>
      <c r="CO1669" t="str">
        <f>"Suresh"</f>
        <v>Suresh</v>
      </c>
      <c r="CP1669" t="str">
        <f>"N/A"</f>
        <v>N/A</v>
      </c>
      <c r="CQ1669" t="str">
        <f>"INTEGREON MANAGED SOLUTIONS (INDIA) PVT LTD"</f>
        <v>INTEGREON MANAGED SOLUTIONS (INDIA) PVT LTD</v>
      </c>
      <c r="CR1669" t="s">
        <v>231</v>
      </c>
    </row>
    <row r="1670" spans="1:96" x14ac:dyDescent="0.2">
      <c r="A1670" t="s">
        <v>5743</v>
      </c>
      <c r="B1670" t="s">
        <v>96</v>
      </c>
      <c r="C1670" s="1">
        <v>44099</v>
      </c>
      <c r="D1670" s="1">
        <v>44106</v>
      </c>
      <c r="F1670" t="s">
        <v>97</v>
      </c>
      <c r="G1670" t="str">
        <f>"Cloud Network Engineer"</f>
        <v>Cloud Network Engineer</v>
      </c>
      <c r="H1670" t="s">
        <v>12183</v>
      </c>
      <c r="I1670" t="s">
        <v>2335</v>
      </c>
      <c r="J1670" t="s">
        <v>98</v>
      </c>
      <c r="K1670" s="1">
        <v>44279</v>
      </c>
      <c r="L1670" s="1">
        <v>45374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 t="s">
        <v>173</v>
      </c>
      <c r="U1670" t="str">
        <f>""</f>
        <v/>
      </c>
      <c r="V1670" t="s">
        <v>174</v>
      </c>
      <c r="W1670" t="str">
        <f>"N/A"</f>
        <v>N/A</v>
      </c>
      <c r="X1670" t="s">
        <v>175</v>
      </c>
      <c r="Y1670" t="s">
        <v>176</v>
      </c>
      <c r="Z1670" s="3">
        <v>98052</v>
      </c>
      <c r="AA1670" t="s">
        <v>101</v>
      </c>
      <c r="AC1670" s="4" t="str">
        <f>"+14258828080"</f>
        <v>+14258828080</v>
      </c>
      <c r="AE1670" t="str">
        <f>"51121"</f>
        <v>51121</v>
      </c>
      <c r="AF1670" t="s">
        <v>177</v>
      </c>
      <c r="AG1670" t="s">
        <v>178</v>
      </c>
      <c r="AI1670" t="s">
        <v>179</v>
      </c>
      <c r="AJ1670" t="s">
        <v>174</v>
      </c>
      <c r="AK1670" t="str">
        <f>""</f>
        <v/>
      </c>
      <c r="AL1670" t="s">
        <v>175</v>
      </c>
      <c r="AM1670" t="s">
        <v>176</v>
      </c>
      <c r="AN1670" s="3">
        <v>98052</v>
      </c>
      <c r="AO1670" t="s">
        <v>101</v>
      </c>
      <c r="AQ1670" t="str">
        <f>"+14258828080"</f>
        <v>+14258828080</v>
      </c>
      <c r="AS1670" t="s">
        <v>180</v>
      </c>
      <c r="AT1670" t="s">
        <v>102</v>
      </c>
      <c r="AU1670" t="str">
        <f>""</f>
        <v/>
      </c>
      <c r="AV1670" t="str">
        <f>""</f>
        <v/>
      </c>
      <c r="AW1670" t="str">
        <f>""</f>
        <v/>
      </c>
      <c r="AX1670" t="str">
        <f>""</f>
        <v/>
      </c>
      <c r="AY1670" t="str">
        <f>""</f>
        <v/>
      </c>
      <c r="AZ1670" t="str">
        <f>""</f>
        <v/>
      </c>
      <c r="BA1670" t="str">
        <f>""</f>
        <v/>
      </c>
      <c r="BC1670" t="str">
        <f>""</f>
        <v/>
      </c>
      <c r="BD1670" t="str">
        <f>""</f>
        <v/>
      </c>
      <c r="BE1670" t="str">
        <f>""</f>
        <v/>
      </c>
      <c r="BF1670" t="str">
        <f>""</f>
        <v/>
      </c>
      <c r="BG1670" t="str">
        <f>""</f>
        <v/>
      </c>
      <c r="BH1670" t="str">
        <f>""</f>
        <v/>
      </c>
      <c r="BI1670" t="str">
        <f>""</f>
        <v/>
      </c>
      <c r="BJ1670" t="str">
        <f>""</f>
        <v/>
      </c>
      <c r="BK1670">
        <v>1</v>
      </c>
      <c r="BL1670" t="s">
        <v>102</v>
      </c>
      <c r="BM1670" t="str">
        <f>""</f>
        <v/>
      </c>
      <c r="BN1670" t="s">
        <v>962</v>
      </c>
      <c r="BP1670" t="s">
        <v>175</v>
      </c>
      <c r="BQ1670" t="s">
        <v>183</v>
      </c>
      <c r="BR1670" t="s">
        <v>176</v>
      </c>
      <c r="BS1670" s="5">
        <v>98052</v>
      </c>
      <c r="BT1670" s="2">
        <v>158034</v>
      </c>
      <c r="BV1670" t="s">
        <v>105</v>
      </c>
      <c r="BW1670" s="2">
        <v>131810</v>
      </c>
      <c r="BX1670" t="s">
        <v>105</v>
      </c>
      <c r="BZ1670" t="s">
        <v>123</v>
      </c>
      <c r="CA1670" t="str">
        <f t="shared" si="133"/>
        <v>7/1/2020 - 6/30/2021</v>
      </c>
      <c r="CF1670">
        <v>1</v>
      </c>
      <c r="CG1670" t="s">
        <v>98</v>
      </c>
      <c r="CH1670" t="s">
        <v>206</v>
      </c>
      <c r="CI1670" t="s">
        <v>206</v>
      </c>
      <c r="CL1670" t="s">
        <v>108</v>
      </c>
      <c r="CM1670" t="s">
        <v>109</v>
      </c>
      <c r="CN1670" t="str">
        <f>"Kodishala"</f>
        <v>Kodishala</v>
      </c>
      <c r="CO1670" t="str">
        <f>"Suresh"</f>
        <v>Suresh</v>
      </c>
      <c r="CP1670" t="str">
        <f>"N/A"</f>
        <v>N/A</v>
      </c>
      <c r="CQ1670" t="str">
        <f>"INTEGREON MANAGED SOLUTIONS (INDIA) PVT LTD"</f>
        <v>INTEGREON MANAGED SOLUTIONS (INDIA) PVT LTD</v>
      </c>
      <c r="CR1670" t="s">
        <v>231</v>
      </c>
    </row>
    <row r="1671" spans="1:96" x14ac:dyDescent="0.2">
      <c r="A1671" t="s">
        <v>5771</v>
      </c>
      <c r="B1671" t="s">
        <v>96</v>
      </c>
      <c r="C1671" s="1">
        <v>44099</v>
      </c>
      <c r="D1671" s="1">
        <v>44106</v>
      </c>
      <c r="F1671" t="s">
        <v>97</v>
      </c>
      <c r="G1671" t="str">
        <f>"Software Development Engineer I"</f>
        <v>Software Development Engineer I</v>
      </c>
      <c r="H1671" t="s">
        <v>12169</v>
      </c>
      <c r="I1671" t="s">
        <v>124</v>
      </c>
      <c r="J1671" t="s">
        <v>98</v>
      </c>
      <c r="K1671" s="1">
        <v>44105</v>
      </c>
      <c r="L1671" s="1">
        <v>45199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431</v>
      </c>
      <c r="U1671" t="str">
        <f>""</f>
        <v/>
      </c>
      <c r="V1671" t="s">
        <v>432</v>
      </c>
      <c r="W1671" t="str">
        <f>""</f>
        <v/>
      </c>
      <c r="X1671" t="s">
        <v>433</v>
      </c>
      <c r="Y1671" t="s">
        <v>176</v>
      </c>
      <c r="Z1671" s="3">
        <v>98121</v>
      </c>
      <c r="AA1671" t="s">
        <v>101</v>
      </c>
      <c r="AC1671" s="4" t="str">
        <f>"+12062661000"</f>
        <v>+12062661000</v>
      </c>
      <c r="AE1671" t="str">
        <f>"45411"</f>
        <v>45411</v>
      </c>
      <c r="AF1671" t="s">
        <v>4134</v>
      </c>
      <c r="AG1671" t="s">
        <v>4135</v>
      </c>
      <c r="AH1671" t="s">
        <v>108</v>
      </c>
      <c r="AI1671" t="s">
        <v>262</v>
      </c>
      <c r="AJ1671" t="s">
        <v>432</v>
      </c>
      <c r="AK1671" t="str">
        <f>""</f>
        <v/>
      </c>
      <c r="AL1671" t="s">
        <v>261</v>
      </c>
      <c r="AM1671" t="s">
        <v>176</v>
      </c>
      <c r="AN1671" s="3">
        <v>98121</v>
      </c>
      <c r="AO1671" t="s">
        <v>101</v>
      </c>
      <c r="AQ1671" t="str">
        <f>"+12062661000"</f>
        <v>+12062661000</v>
      </c>
      <c r="AS1671" t="s">
        <v>263</v>
      </c>
      <c r="AT1671" t="s">
        <v>107</v>
      </c>
      <c r="AU1671" t="str">
        <f>"Yelich"</f>
        <v>Yelich</v>
      </c>
      <c r="AV1671" t="str">
        <f>"Mark"</f>
        <v>Mark</v>
      </c>
      <c r="AW1671" t="str">
        <f>"T"</f>
        <v>T</v>
      </c>
      <c r="AX1671" t="str">
        <f>"8300 Greensboro Drive"</f>
        <v>8300 Greensboro Drive</v>
      </c>
      <c r="AY1671" t="str">
        <f>"Suite 550"</f>
        <v>Suite 550</v>
      </c>
      <c r="AZ1671" t="str">
        <f>"McLean"</f>
        <v>McLean</v>
      </c>
      <c r="BA1671" t="str">
        <f>"VA"</f>
        <v>VA</v>
      </c>
      <c r="BB1671" s="3">
        <v>22102</v>
      </c>
      <c r="BC1671" t="str">
        <f>"UNITED STATES OF AMERICA"</f>
        <v>UNITED STATES OF AMERICA</v>
      </c>
      <c r="BD1671" t="str">
        <f>""</f>
        <v/>
      </c>
      <c r="BE1671" t="str">
        <f>"+17032262805"</f>
        <v>+17032262805</v>
      </c>
      <c r="BF1671" t="str">
        <f>""</f>
        <v/>
      </c>
      <c r="BG1671" t="str">
        <f>"myelich@balglobal.com"</f>
        <v>myelich@balglobal.com</v>
      </c>
      <c r="BH1671" t="str">
        <f>"Berry Appleman and Leiden LLP"</f>
        <v>Berry Appleman and Leiden LLP</v>
      </c>
      <c r="BI1671" t="str">
        <f>"MD"</f>
        <v>MD</v>
      </c>
      <c r="BJ1671" t="str">
        <f>"Court of Appeals"</f>
        <v>Court of Appeals</v>
      </c>
      <c r="BK1671">
        <v>1</v>
      </c>
      <c r="BL1671" t="s">
        <v>102</v>
      </c>
      <c r="BM1671" t="str">
        <f>""</f>
        <v/>
      </c>
      <c r="BN1671" t="s">
        <v>5772</v>
      </c>
      <c r="BO1671" t="s">
        <v>5773</v>
      </c>
      <c r="BP1671" t="s">
        <v>2950</v>
      </c>
      <c r="BQ1671" t="s">
        <v>1624</v>
      </c>
      <c r="BR1671" t="s">
        <v>545</v>
      </c>
      <c r="BS1671" s="5">
        <v>37416</v>
      </c>
      <c r="BT1671" s="2">
        <v>65000</v>
      </c>
      <c r="BV1671" t="s">
        <v>105</v>
      </c>
      <c r="BW1671" s="2">
        <v>63003</v>
      </c>
      <c r="BX1671" t="s">
        <v>105</v>
      </c>
      <c r="BZ1671" t="s">
        <v>191</v>
      </c>
      <c r="CA1671" t="str">
        <f t="shared" si="133"/>
        <v>7/1/2020 - 6/30/2021</v>
      </c>
      <c r="CF1671">
        <v>1</v>
      </c>
      <c r="CG1671" t="s">
        <v>98</v>
      </c>
      <c r="CH1671" t="s">
        <v>206</v>
      </c>
      <c r="CI1671" t="s">
        <v>206</v>
      </c>
      <c r="CL1671" t="s">
        <v>108</v>
      </c>
      <c r="CM1671" t="s">
        <v>109</v>
      </c>
      <c r="CN1671" t="str">
        <f>""</f>
        <v/>
      </c>
      <c r="CO1671" t="str">
        <f>""</f>
        <v/>
      </c>
      <c r="CP1671" t="str">
        <f>""</f>
        <v/>
      </c>
      <c r="CQ1671" t="str">
        <f>""</f>
        <v/>
      </c>
    </row>
    <row r="1672" spans="1:96" x14ac:dyDescent="0.2">
      <c r="A1672" t="s">
        <v>5794</v>
      </c>
      <c r="B1672" t="s">
        <v>96</v>
      </c>
      <c r="C1672" s="1">
        <v>44099</v>
      </c>
      <c r="D1672" s="1">
        <v>44106</v>
      </c>
      <c r="F1672" t="s">
        <v>97</v>
      </c>
      <c r="G1672" t="str">
        <f>"Research Associate, Global Public Markets"</f>
        <v>Research Associate, Global Public Markets</v>
      </c>
      <c r="H1672" t="s">
        <v>12213</v>
      </c>
      <c r="I1672" t="s">
        <v>493</v>
      </c>
      <c r="J1672" t="s">
        <v>98</v>
      </c>
      <c r="K1672" s="1">
        <v>44105</v>
      </c>
      <c r="L1672" s="1">
        <v>45199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5795</v>
      </c>
      <c r="U1672" t="str">
        <f>""</f>
        <v/>
      </c>
      <c r="V1672" t="s">
        <v>5796</v>
      </c>
      <c r="W1672" t="str">
        <f>"Suite 1700"</f>
        <v>Suite 1700</v>
      </c>
      <c r="X1672" t="s">
        <v>833</v>
      </c>
      <c r="Y1672" t="s">
        <v>345</v>
      </c>
      <c r="Z1672" s="3">
        <v>60661</v>
      </c>
      <c r="AA1672" t="s">
        <v>101</v>
      </c>
      <c r="AC1672" s="4" t="str">
        <f>"+13128531000"</f>
        <v>+13128531000</v>
      </c>
      <c r="AE1672" t="str">
        <f>"5239"</f>
        <v>5239</v>
      </c>
      <c r="AF1672" t="s">
        <v>5797</v>
      </c>
      <c r="AG1672" t="s">
        <v>1399</v>
      </c>
      <c r="AI1672" t="s">
        <v>2813</v>
      </c>
      <c r="AJ1672" t="s">
        <v>5798</v>
      </c>
      <c r="AK1672" t="str">
        <f>"Suite 1700"</f>
        <v>Suite 1700</v>
      </c>
      <c r="AL1672" t="s">
        <v>833</v>
      </c>
      <c r="AM1672" t="s">
        <v>345</v>
      </c>
      <c r="AN1672" s="3">
        <v>60661</v>
      </c>
      <c r="AO1672" t="s">
        <v>101</v>
      </c>
      <c r="AQ1672" t="str">
        <f>"+13128531000"</f>
        <v>+13128531000</v>
      </c>
      <c r="AS1672" t="s">
        <v>5799</v>
      </c>
      <c r="AT1672" t="s">
        <v>107</v>
      </c>
      <c r="AU1672" t="str">
        <f>"Kolly"</f>
        <v>Kolly</v>
      </c>
      <c r="AV1672" t="str">
        <f>"Faye"</f>
        <v>Faye</v>
      </c>
      <c r="AW1672" t="str">
        <f>"M"</f>
        <v>M</v>
      </c>
      <c r="AX1672" t="str">
        <f>"8023 Vantage Drive"</f>
        <v>8023 Vantage Drive</v>
      </c>
      <c r="AY1672" t="str">
        <f>"Suite 800"</f>
        <v>Suite 800</v>
      </c>
      <c r="AZ1672" t="str">
        <f>"San Antonio"</f>
        <v>San Antonio</v>
      </c>
      <c r="BA1672" t="str">
        <f>"TX"</f>
        <v>TX</v>
      </c>
      <c r="BB1672" s="3">
        <v>78230</v>
      </c>
      <c r="BC1672" t="str">
        <f>"UNITED STATES OF AMERICA"</f>
        <v>UNITED STATES OF AMERICA</v>
      </c>
      <c r="BD1672" t="str">
        <f>""</f>
        <v/>
      </c>
      <c r="BE1672" t="str">
        <f>"+12105901844"</f>
        <v>+12105901844</v>
      </c>
      <c r="BF1672" t="str">
        <f>""</f>
        <v/>
      </c>
      <c r="BG1672" t="str">
        <f>"faye@dmcausa.com"</f>
        <v>faye@dmcausa.com</v>
      </c>
      <c r="BH1672" t="str">
        <f>"DMCA Partnership Group LLP"</f>
        <v>DMCA Partnership Group LLP</v>
      </c>
      <c r="BI1672" t="str">
        <f>"MO"</f>
        <v>MO</v>
      </c>
      <c r="BJ1672" t="str">
        <f>"Supreme Court of Missouri"</f>
        <v>Supreme Court of Missouri</v>
      </c>
      <c r="BK1672">
        <v>1</v>
      </c>
      <c r="BL1672" t="s">
        <v>102</v>
      </c>
      <c r="BM1672" t="str">
        <f>""</f>
        <v/>
      </c>
      <c r="BN1672" t="s">
        <v>5798</v>
      </c>
      <c r="BO1672" t="s">
        <v>711</v>
      </c>
      <c r="BP1672" t="s">
        <v>833</v>
      </c>
      <c r="BQ1672" t="s">
        <v>788</v>
      </c>
      <c r="BR1672" t="s">
        <v>345</v>
      </c>
      <c r="BS1672" s="5">
        <v>60661</v>
      </c>
      <c r="BT1672" s="2">
        <v>65000</v>
      </c>
      <c r="BV1672" t="s">
        <v>105</v>
      </c>
      <c r="BW1672" s="2">
        <v>59925</v>
      </c>
      <c r="BX1672" t="s">
        <v>105</v>
      </c>
      <c r="BZ1672" t="s">
        <v>191</v>
      </c>
      <c r="CA1672" t="str">
        <f t="shared" si="133"/>
        <v>7/1/2020 - 6/30/2021</v>
      </c>
      <c r="CF1672">
        <v>1</v>
      </c>
      <c r="CG1672" t="s">
        <v>98</v>
      </c>
      <c r="CH1672" t="s">
        <v>206</v>
      </c>
      <c r="CI1672" t="s">
        <v>206</v>
      </c>
      <c r="CL1672" t="s">
        <v>108</v>
      </c>
      <c r="CM1672" t="s">
        <v>109</v>
      </c>
      <c r="CN1672" t="str">
        <f>"Kolly"</f>
        <v>Kolly</v>
      </c>
      <c r="CO1672" t="str">
        <f>"Faye"</f>
        <v>Faye</v>
      </c>
      <c r="CP1672" t="str">
        <f>"M"</f>
        <v>M</v>
      </c>
      <c r="CQ1672" t="str">
        <f>"DMCA LLP"</f>
        <v>DMCA LLP</v>
      </c>
      <c r="CR1672" t="s">
        <v>5800</v>
      </c>
    </row>
    <row r="1673" spans="1:96" x14ac:dyDescent="0.2">
      <c r="A1673" t="s">
        <v>5820</v>
      </c>
      <c r="B1673" t="s">
        <v>96</v>
      </c>
      <c r="C1673" s="1">
        <v>44099</v>
      </c>
      <c r="D1673" s="1">
        <v>44106</v>
      </c>
      <c r="F1673" t="s">
        <v>97</v>
      </c>
      <c r="G1673" t="str">
        <f>"Physical Therapist"</f>
        <v>Physical Therapist</v>
      </c>
      <c r="H1673" t="s">
        <v>12202</v>
      </c>
      <c r="I1673" t="s">
        <v>1740</v>
      </c>
      <c r="J1673" t="s">
        <v>98</v>
      </c>
      <c r="K1673" s="1">
        <v>44183</v>
      </c>
      <c r="L1673" s="1">
        <v>45277</v>
      </c>
      <c r="M1673">
        <v>40</v>
      </c>
      <c r="N1673">
        <v>10</v>
      </c>
      <c r="O1673">
        <v>10</v>
      </c>
      <c r="P1673">
        <v>10</v>
      </c>
      <c r="Q1673">
        <v>0</v>
      </c>
      <c r="R1673">
        <v>0</v>
      </c>
      <c r="S1673">
        <v>10</v>
      </c>
      <c r="T1673" t="s">
        <v>4727</v>
      </c>
      <c r="U1673" t="str">
        <f>""</f>
        <v/>
      </c>
      <c r="V1673" t="s">
        <v>4728</v>
      </c>
      <c r="W1673" t="str">
        <f>""</f>
        <v/>
      </c>
      <c r="X1673" t="s">
        <v>1877</v>
      </c>
      <c r="Y1673" t="s">
        <v>190</v>
      </c>
      <c r="Z1673" s="3">
        <v>11218</v>
      </c>
      <c r="AA1673" t="s">
        <v>101</v>
      </c>
      <c r="AC1673" s="4" t="str">
        <f>"+17183366600"</f>
        <v>+17183366600</v>
      </c>
      <c r="AE1673" t="str">
        <f>"561320"</f>
        <v>561320</v>
      </c>
      <c r="AF1673" t="s">
        <v>4729</v>
      </c>
      <c r="AG1673" t="s">
        <v>4730</v>
      </c>
      <c r="AI1673" t="s">
        <v>4731</v>
      </c>
      <c r="AJ1673" t="s">
        <v>4732</v>
      </c>
      <c r="AK1673" t="str">
        <f>""</f>
        <v/>
      </c>
      <c r="AL1673" t="s">
        <v>1791</v>
      </c>
      <c r="AM1673" t="s">
        <v>190</v>
      </c>
      <c r="AN1673" s="3">
        <v>11218</v>
      </c>
      <c r="AO1673" t="s">
        <v>101</v>
      </c>
      <c r="AQ1673" t="str">
        <f>"+17183366600"</f>
        <v>+17183366600</v>
      </c>
      <c r="AR1673">
        <v>4453</v>
      </c>
      <c r="AS1673" t="s">
        <v>4733</v>
      </c>
      <c r="AT1673" t="s">
        <v>102</v>
      </c>
      <c r="AU1673" t="str">
        <f>""</f>
        <v/>
      </c>
      <c r="AV1673" t="str">
        <f>""</f>
        <v/>
      </c>
      <c r="AW1673" t="str">
        <f>""</f>
        <v/>
      </c>
      <c r="AX1673" t="str">
        <f>""</f>
        <v/>
      </c>
      <c r="AY1673" t="str">
        <f>""</f>
        <v/>
      </c>
      <c r="AZ1673" t="str">
        <f>""</f>
        <v/>
      </c>
      <c r="BA1673" t="str">
        <f>""</f>
        <v/>
      </c>
      <c r="BC1673" t="str">
        <f>""</f>
        <v/>
      </c>
      <c r="BD1673" t="str">
        <f>""</f>
        <v/>
      </c>
      <c r="BE1673" t="str">
        <f>""</f>
        <v/>
      </c>
      <c r="BF1673" t="str">
        <f>""</f>
        <v/>
      </c>
      <c r="BG1673" t="str">
        <f>""</f>
        <v/>
      </c>
      <c r="BH1673" t="str">
        <f>""</f>
        <v/>
      </c>
      <c r="BI1673" t="str">
        <f>""</f>
        <v/>
      </c>
      <c r="BJ1673" t="str">
        <f>""</f>
        <v/>
      </c>
      <c r="BK1673">
        <v>40</v>
      </c>
      <c r="BL1673" t="s">
        <v>107</v>
      </c>
      <c r="BM1673" t="str">
        <f>"Triboro Center for Rehabilitation and Healthcare"</f>
        <v>Triboro Center for Rehabilitation and Healthcare</v>
      </c>
      <c r="BN1673" t="s">
        <v>5821</v>
      </c>
      <c r="BP1673" t="s">
        <v>2448</v>
      </c>
      <c r="BQ1673" t="s">
        <v>2450</v>
      </c>
      <c r="BR1673" t="s">
        <v>190</v>
      </c>
      <c r="BS1673" s="5">
        <v>10456</v>
      </c>
      <c r="BT1673" s="2">
        <v>35.25</v>
      </c>
      <c r="BV1673" t="s">
        <v>210</v>
      </c>
      <c r="BW1673" s="2">
        <v>35.25</v>
      </c>
      <c r="BX1673" t="s">
        <v>210</v>
      </c>
      <c r="BZ1673" t="s">
        <v>191</v>
      </c>
      <c r="CA1673" t="str">
        <f t="shared" si="133"/>
        <v>7/1/2020 - 6/30/2021</v>
      </c>
      <c r="CF1673">
        <v>1</v>
      </c>
      <c r="CG1673" t="s">
        <v>98</v>
      </c>
      <c r="CH1673" t="s">
        <v>206</v>
      </c>
      <c r="CI1673" t="s">
        <v>206</v>
      </c>
      <c r="CL1673" t="s">
        <v>108</v>
      </c>
      <c r="CM1673" t="s">
        <v>109</v>
      </c>
      <c r="CN1673" t="str">
        <f>"SCHABES"</f>
        <v>SCHABES</v>
      </c>
      <c r="CO1673" t="str">
        <f>"STEVEN"</f>
        <v>STEVEN</v>
      </c>
      <c r="CP1673" t="str">
        <f>""</f>
        <v/>
      </c>
      <c r="CQ1673" t="str">
        <f>"Grandison Management"</f>
        <v>Grandison Management</v>
      </c>
      <c r="CR1673" t="s">
        <v>4734</v>
      </c>
    </row>
    <row r="1674" spans="1:96" x14ac:dyDescent="0.2">
      <c r="A1674" t="s">
        <v>5823</v>
      </c>
      <c r="B1674" t="s">
        <v>96</v>
      </c>
      <c r="C1674" s="1">
        <v>44099</v>
      </c>
      <c r="D1674" s="1">
        <v>44106</v>
      </c>
      <c r="F1674" t="s">
        <v>97</v>
      </c>
      <c r="G1674" t="str">
        <f>"Software Developer"</f>
        <v>Software Developer</v>
      </c>
      <c r="H1674" t="s">
        <v>12169</v>
      </c>
      <c r="I1674" t="s">
        <v>124</v>
      </c>
      <c r="J1674" t="s">
        <v>98</v>
      </c>
      <c r="K1674" s="1">
        <v>44184</v>
      </c>
      <c r="L1674" s="1">
        <v>45278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1522</v>
      </c>
      <c r="U1674" t="str">
        <f>""</f>
        <v/>
      </c>
      <c r="V1674" t="s">
        <v>1281</v>
      </c>
      <c r="W1674" t="str">
        <f>""</f>
        <v/>
      </c>
      <c r="X1674" t="s">
        <v>538</v>
      </c>
      <c r="Y1674" t="s">
        <v>135</v>
      </c>
      <c r="Z1674" s="3">
        <v>22030</v>
      </c>
      <c r="AA1674" t="s">
        <v>101</v>
      </c>
      <c r="AC1674" s="4" t="str">
        <f>"+17032678000"</f>
        <v>+17032678000</v>
      </c>
      <c r="AD1674">
        <v>0</v>
      </c>
      <c r="AE1674" t="str">
        <f>"541512"</f>
        <v>541512</v>
      </c>
      <c r="AF1674" t="s">
        <v>1282</v>
      </c>
      <c r="AG1674" t="s">
        <v>1283</v>
      </c>
      <c r="AI1674" t="s">
        <v>1284</v>
      </c>
      <c r="AJ1674" t="s">
        <v>1281</v>
      </c>
      <c r="AK1674" t="str">
        <f>""</f>
        <v/>
      </c>
      <c r="AL1674" t="s">
        <v>538</v>
      </c>
      <c r="AM1674" t="s">
        <v>135</v>
      </c>
      <c r="AN1674" s="3">
        <v>22030</v>
      </c>
      <c r="AO1674" t="s">
        <v>101</v>
      </c>
      <c r="AQ1674" t="str">
        <f>"+17324282390"</f>
        <v>+17324282390</v>
      </c>
      <c r="AS1674" t="s">
        <v>1285</v>
      </c>
      <c r="AT1674" t="s">
        <v>107</v>
      </c>
      <c r="AU1674" t="str">
        <f>"SMITH"</f>
        <v>SMITH</v>
      </c>
      <c r="AV1674" t="str">
        <f>"MICHAEL"</f>
        <v>MICHAEL</v>
      </c>
      <c r="AW1674" t="str">
        <f>"FRANCIS"</f>
        <v>FRANCIS</v>
      </c>
      <c r="AX1674" t="str">
        <f>"1101 15TH STREET, NW"</f>
        <v>1101 15TH STREET, NW</v>
      </c>
      <c r="AY1674" t="str">
        <f>"SUITE 700"</f>
        <v>SUITE 700</v>
      </c>
      <c r="AZ1674" t="str">
        <f>"WASHINGTON"</f>
        <v>WASHINGTON</v>
      </c>
      <c r="BA1674" t="str">
        <f>"DC"</f>
        <v>DC</v>
      </c>
      <c r="BB1674" s="3">
        <v>20005</v>
      </c>
      <c r="BC1674" t="str">
        <f>"UNITED STATES OF AMERICA"</f>
        <v>UNITED STATES OF AMERICA</v>
      </c>
      <c r="BD1674" t="str">
        <f>""</f>
        <v/>
      </c>
      <c r="BE1674" t="str">
        <f>"+12022235515"</f>
        <v>+12022235515</v>
      </c>
      <c r="BF1674" t="str">
        <f>""</f>
        <v/>
      </c>
      <c r="BG1674" t="str">
        <f>"LCATeamPham@Fragomen.com"</f>
        <v>LCATeamPham@Fragomen.com</v>
      </c>
      <c r="BH1674" t="str">
        <f>"Fragomen, Del Rey, Bernsen &amp; Loewy, LLP"</f>
        <v>Fragomen, Del Rey, Bernsen &amp; Loewy, LLP</v>
      </c>
      <c r="BI1674" t="str">
        <f>"DC"</f>
        <v>DC</v>
      </c>
      <c r="BJ1674" t="str">
        <f>"DISTRICT OF COLUMBIA COURT OF APPEALS"</f>
        <v>DISTRICT OF COLUMBIA COURT OF APPEALS</v>
      </c>
      <c r="BK1674">
        <v>1</v>
      </c>
      <c r="BL1674" t="s">
        <v>107</v>
      </c>
      <c r="BM1674" t="str">
        <f>"The PNC Financial Services Group, Inc. "</f>
        <v xml:space="preserve">The PNC Financial Services Group, Inc. </v>
      </c>
      <c r="BN1674" t="s">
        <v>5824</v>
      </c>
      <c r="BP1674" t="s">
        <v>2029</v>
      </c>
      <c r="BQ1674" t="s">
        <v>1087</v>
      </c>
      <c r="BR1674" t="s">
        <v>225</v>
      </c>
      <c r="BS1674" s="5">
        <v>44141</v>
      </c>
      <c r="BT1674" s="2">
        <v>93000</v>
      </c>
      <c r="BV1674" t="s">
        <v>105</v>
      </c>
      <c r="BW1674" s="2">
        <v>70678</v>
      </c>
      <c r="BX1674" t="s">
        <v>105</v>
      </c>
      <c r="BZ1674" t="s">
        <v>167</v>
      </c>
      <c r="CA1674" t="str">
        <f t="shared" si="133"/>
        <v>7/1/2020 - 6/30/2021</v>
      </c>
      <c r="CF1674">
        <v>2</v>
      </c>
      <c r="CG1674" t="s">
        <v>98</v>
      </c>
      <c r="CH1674" t="s">
        <v>206</v>
      </c>
      <c r="CI1674" t="s">
        <v>206</v>
      </c>
      <c r="CL1674" t="s">
        <v>108</v>
      </c>
      <c r="CM1674" t="s">
        <v>109</v>
      </c>
      <c r="CN1674" t="str">
        <f>"ALI"</f>
        <v>ALI</v>
      </c>
      <c r="CO1674" t="str">
        <f>"ADAM"</f>
        <v>ADAM</v>
      </c>
      <c r="CP1674" t="str">
        <f>"P"</f>
        <v>P</v>
      </c>
      <c r="CQ1674" t="str">
        <f>"Fragomen, Del Rey, Bernsen &amp; Loewy, LLP"</f>
        <v>Fragomen, Del Rey, Bernsen &amp; Loewy, LLP</v>
      </c>
      <c r="CR1674" t="s">
        <v>4452</v>
      </c>
    </row>
    <row r="1675" spans="1:96" x14ac:dyDescent="0.2">
      <c r="A1675" t="s">
        <v>5855</v>
      </c>
      <c r="B1675" t="s">
        <v>96</v>
      </c>
      <c r="C1675" s="1">
        <v>44099</v>
      </c>
      <c r="D1675" s="1">
        <v>44106</v>
      </c>
      <c r="F1675" t="s">
        <v>97</v>
      </c>
      <c r="G1675" t="str">
        <f>"ADVANCED SOFTWARE DEVELOPER"</f>
        <v>ADVANCED SOFTWARE DEVELOPER</v>
      </c>
      <c r="H1675" t="s">
        <v>12169</v>
      </c>
      <c r="I1675" t="s">
        <v>124</v>
      </c>
      <c r="J1675" t="s">
        <v>98</v>
      </c>
      <c r="K1675" s="1">
        <v>44102</v>
      </c>
      <c r="L1675" s="1">
        <v>45196</v>
      </c>
      <c r="M1675">
        <v>10</v>
      </c>
      <c r="N1675">
        <v>2</v>
      </c>
      <c r="O1675">
        <v>2</v>
      </c>
      <c r="P1675">
        <v>2</v>
      </c>
      <c r="Q1675">
        <v>0</v>
      </c>
      <c r="R1675">
        <v>2</v>
      </c>
      <c r="S1675">
        <v>2</v>
      </c>
      <c r="T1675" t="s">
        <v>2068</v>
      </c>
      <c r="U1675" t="str">
        <f>""</f>
        <v/>
      </c>
      <c r="V1675" t="s">
        <v>2069</v>
      </c>
      <c r="W1675" t="str">
        <f>""</f>
        <v/>
      </c>
      <c r="X1675" t="s">
        <v>1025</v>
      </c>
      <c r="Y1675" t="s">
        <v>577</v>
      </c>
      <c r="Z1675" s="3">
        <v>33605</v>
      </c>
      <c r="AA1675" t="s">
        <v>101</v>
      </c>
      <c r="AC1675" s="4" t="str">
        <f>"+18135525000"</f>
        <v>+18135525000</v>
      </c>
      <c r="AE1675" t="str">
        <f>"5416"</f>
        <v>5416</v>
      </c>
      <c r="AF1675" t="s">
        <v>2070</v>
      </c>
      <c r="AG1675" t="s">
        <v>2071</v>
      </c>
      <c r="AI1675" t="s">
        <v>497</v>
      </c>
      <c r="AJ1675" t="s">
        <v>2072</v>
      </c>
      <c r="AK1675" t="str">
        <f>""</f>
        <v/>
      </c>
      <c r="AL1675" t="s">
        <v>1025</v>
      </c>
      <c r="AM1675" t="s">
        <v>577</v>
      </c>
      <c r="AN1675" s="3">
        <v>33605</v>
      </c>
      <c r="AO1675" t="s">
        <v>101</v>
      </c>
      <c r="AQ1675" t="str">
        <f>"+18135525000"</f>
        <v>+18135525000</v>
      </c>
      <c r="AS1675" t="s">
        <v>2073</v>
      </c>
      <c r="AT1675" t="s">
        <v>107</v>
      </c>
      <c r="AU1675" t="str">
        <f>"WHITE "</f>
        <v xml:space="preserve">WHITE </v>
      </c>
      <c r="AV1675" t="str">
        <f>"ROBERT"</f>
        <v>ROBERT</v>
      </c>
      <c r="AW1675" t="str">
        <f>"SAMUEL"</f>
        <v>SAMUEL</v>
      </c>
      <c r="AX1675" t="str">
        <f>"200 N MARTINGALE ROAD"</f>
        <v>200 N MARTINGALE ROAD</v>
      </c>
      <c r="AY1675" t="str">
        <f>"SUITE 800"</f>
        <v>SUITE 800</v>
      </c>
      <c r="AZ1675" t="str">
        <f>"SCHAUMBURG"</f>
        <v>SCHAUMBURG</v>
      </c>
      <c r="BA1675" t="str">
        <f>"IL"</f>
        <v>IL</v>
      </c>
      <c r="BB1675" s="3">
        <v>60173</v>
      </c>
      <c r="BC1675" t="str">
        <f>"UNITED STATES OF AMERICA"</f>
        <v>UNITED STATES OF AMERICA</v>
      </c>
      <c r="BD1675" t="str">
        <f>""</f>
        <v/>
      </c>
      <c r="BE1675" t="str">
        <f>"+18477348811"</f>
        <v>+18477348811</v>
      </c>
      <c r="BF1675" t="str">
        <f>""</f>
        <v/>
      </c>
      <c r="BG1675" t="str">
        <f>"RWHITE@MASUDAFUNAI.COM"</f>
        <v>RWHITE@MASUDAFUNAI.COM</v>
      </c>
      <c r="BH1675" t="str">
        <f>"Masuda Funai Eifert &amp; Mitchell, Ltd."</f>
        <v>Masuda Funai Eifert &amp; Mitchell, Ltd.</v>
      </c>
      <c r="BI1675" t="str">
        <f>"IL"</f>
        <v>IL</v>
      </c>
      <c r="BJ1675" t="str">
        <f>"SUPREME COURT"</f>
        <v>SUPREME COURT</v>
      </c>
      <c r="BK1675">
        <v>10</v>
      </c>
      <c r="BL1675" t="s">
        <v>107</v>
      </c>
      <c r="BM1675" t="str">
        <f>"ALLY FINANCIAL, INC."</f>
        <v>ALLY FINANCIAL, INC.</v>
      </c>
      <c r="BN1675" t="s">
        <v>5856</v>
      </c>
      <c r="BP1675" t="s">
        <v>528</v>
      </c>
      <c r="BQ1675" t="s">
        <v>533</v>
      </c>
      <c r="BR1675" t="s">
        <v>265</v>
      </c>
      <c r="BS1675" s="5">
        <v>48226</v>
      </c>
      <c r="BT1675" s="2">
        <v>45.75</v>
      </c>
      <c r="BU1675" s="2">
        <v>90</v>
      </c>
      <c r="BV1675" t="s">
        <v>210</v>
      </c>
      <c r="BW1675" s="2">
        <v>45.75</v>
      </c>
      <c r="BX1675" t="s">
        <v>210</v>
      </c>
      <c r="BZ1675" t="s">
        <v>123</v>
      </c>
      <c r="CA1675" t="str">
        <f t="shared" si="133"/>
        <v>7/1/2020 - 6/30/2021</v>
      </c>
      <c r="CF1675">
        <v>2</v>
      </c>
      <c r="CG1675" t="s">
        <v>98</v>
      </c>
      <c r="CH1675" t="s">
        <v>206</v>
      </c>
      <c r="CI1675" t="s">
        <v>206</v>
      </c>
      <c r="CL1675" t="s">
        <v>108</v>
      </c>
      <c r="CM1675" t="s">
        <v>109</v>
      </c>
      <c r="CN1675" t="str">
        <f>""</f>
        <v/>
      </c>
      <c r="CO1675" t="str">
        <f>""</f>
        <v/>
      </c>
      <c r="CP1675" t="str">
        <f>""</f>
        <v/>
      </c>
      <c r="CQ1675" t="str">
        <f>""</f>
        <v/>
      </c>
    </row>
    <row r="1676" spans="1:96" x14ac:dyDescent="0.2">
      <c r="A1676" t="s">
        <v>5872</v>
      </c>
      <c r="B1676" t="s">
        <v>96</v>
      </c>
      <c r="C1676" s="1">
        <v>44099</v>
      </c>
      <c r="D1676" s="1">
        <v>44106</v>
      </c>
      <c r="F1676" t="s">
        <v>97</v>
      </c>
      <c r="G1676" t="str">
        <f>"Software Engineer "</f>
        <v xml:space="preserve">Software Engineer </v>
      </c>
      <c r="H1676" t="s">
        <v>12169</v>
      </c>
      <c r="I1676" t="s">
        <v>124</v>
      </c>
      <c r="J1676" t="s">
        <v>98</v>
      </c>
      <c r="K1676" s="1">
        <v>44105</v>
      </c>
      <c r="L1676" s="1">
        <v>45199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 t="s">
        <v>5873</v>
      </c>
      <c r="U1676" t="str">
        <f>""</f>
        <v/>
      </c>
      <c r="V1676" t="s">
        <v>5874</v>
      </c>
      <c r="W1676" t="str">
        <f>""</f>
        <v/>
      </c>
      <c r="X1676" t="s">
        <v>213</v>
      </c>
      <c r="Y1676" t="s">
        <v>215</v>
      </c>
      <c r="Z1676" s="3">
        <v>30309</v>
      </c>
      <c r="AA1676" t="s">
        <v>101</v>
      </c>
      <c r="AC1676" s="4" t="str">
        <f>"+16176490018"</f>
        <v>+16176490018</v>
      </c>
      <c r="AE1676" t="str">
        <f>"541511"</f>
        <v>541511</v>
      </c>
      <c r="AF1676" t="s">
        <v>4662</v>
      </c>
      <c r="AG1676" t="s">
        <v>5865</v>
      </c>
      <c r="AI1676" t="s">
        <v>3703</v>
      </c>
      <c r="AJ1676" t="s">
        <v>5875</v>
      </c>
      <c r="AK1676" t="str">
        <f>""</f>
        <v/>
      </c>
      <c r="AL1676" t="s">
        <v>213</v>
      </c>
      <c r="AM1676" t="s">
        <v>215</v>
      </c>
      <c r="AN1676" s="3">
        <v>30309</v>
      </c>
      <c r="AO1676" t="s">
        <v>101</v>
      </c>
      <c r="AQ1676" t="str">
        <f>"+16176490018"</f>
        <v>+16176490018</v>
      </c>
      <c r="AS1676" t="s">
        <v>5876</v>
      </c>
      <c r="AT1676" t="s">
        <v>107</v>
      </c>
      <c r="AU1676" t="str">
        <f>"Howard-Yilmaz"</f>
        <v>Howard-Yilmaz</v>
      </c>
      <c r="AV1676" t="str">
        <f>"Alison"</f>
        <v>Alison</v>
      </c>
      <c r="AW1676" t="str">
        <f>""</f>
        <v/>
      </c>
      <c r="AX1676" t="str">
        <f>"38 Third Ave"</f>
        <v>38 Third Ave</v>
      </c>
      <c r="AY1676" t="str">
        <f>"Suite 100"</f>
        <v>Suite 100</v>
      </c>
      <c r="AZ1676" t="str">
        <f>"Boston"</f>
        <v>Boston</v>
      </c>
      <c r="BA1676" t="str">
        <f>"MA"</f>
        <v>MA</v>
      </c>
      <c r="BB1676" s="3">
        <v>2129</v>
      </c>
      <c r="BC1676" t="str">
        <f>"UNITED STATES OF AMERICA"</f>
        <v>UNITED STATES OF AMERICA</v>
      </c>
      <c r="BD1676" t="str">
        <f>""</f>
        <v/>
      </c>
      <c r="BE1676" t="str">
        <f>"+16174821010"</f>
        <v>+16174821010</v>
      </c>
      <c r="BF1676" t="str">
        <f>""</f>
        <v/>
      </c>
      <c r="BG1676" t="str">
        <f>"alison@iandoli.com"</f>
        <v>alison@iandoli.com</v>
      </c>
      <c r="BH1676" t="str">
        <f>"Iandoli Desai and Cronin PC"</f>
        <v>Iandoli Desai and Cronin PC</v>
      </c>
      <c r="BI1676" t="str">
        <f>"MA"</f>
        <v>MA</v>
      </c>
      <c r="BJ1676" t="str">
        <f>"Massachusetts Supreme Judicial Court"</f>
        <v>Massachusetts Supreme Judicial Court</v>
      </c>
      <c r="BK1676">
        <v>1</v>
      </c>
      <c r="BL1676" t="s">
        <v>102</v>
      </c>
      <c r="BM1676" t="str">
        <f>""</f>
        <v/>
      </c>
      <c r="BN1676" t="s">
        <v>5877</v>
      </c>
      <c r="BP1676" t="s">
        <v>140</v>
      </c>
      <c r="BQ1676" t="s">
        <v>147</v>
      </c>
      <c r="BR1676" t="s">
        <v>141</v>
      </c>
      <c r="BS1676" s="5">
        <v>94115</v>
      </c>
      <c r="BT1676" s="2">
        <v>145000</v>
      </c>
      <c r="BV1676" t="s">
        <v>105</v>
      </c>
      <c r="BW1676" s="2">
        <v>120931</v>
      </c>
      <c r="BX1676" t="s">
        <v>105</v>
      </c>
      <c r="BZ1676" t="s">
        <v>167</v>
      </c>
      <c r="CA1676" t="str">
        <f t="shared" si="133"/>
        <v>7/1/2020 - 6/30/2021</v>
      </c>
      <c r="CF1676">
        <v>2</v>
      </c>
      <c r="CG1676" t="s">
        <v>98</v>
      </c>
      <c r="CH1676" t="s">
        <v>206</v>
      </c>
      <c r="CI1676" t="s">
        <v>206</v>
      </c>
      <c r="CL1676" t="s">
        <v>108</v>
      </c>
      <c r="CM1676" t="s">
        <v>109</v>
      </c>
      <c r="CN1676" t="str">
        <f>""</f>
        <v/>
      </c>
      <c r="CO1676" t="str">
        <f>""</f>
        <v/>
      </c>
      <c r="CP1676" t="str">
        <f>""</f>
        <v/>
      </c>
      <c r="CQ1676" t="str">
        <f>""</f>
        <v/>
      </c>
    </row>
    <row r="1677" spans="1:96" x14ac:dyDescent="0.2">
      <c r="A1677" t="s">
        <v>5923</v>
      </c>
      <c r="B1677" t="s">
        <v>96</v>
      </c>
      <c r="C1677" s="1">
        <v>44099</v>
      </c>
      <c r="D1677" s="1">
        <v>44106</v>
      </c>
      <c r="F1677" t="s">
        <v>97</v>
      </c>
      <c r="G1677" t="str">
        <f>"Software Engineer"</f>
        <v>Software Engineer</v>
      </c>
      <c r="H1677" t="s">
        <v>12169</v>
      </c>
      <c r="I1677" t="s">
        <v>124</v>
      </c>
      <c r="J1677" t="s">
        <v>98</v>
      </c>
      <c r="K1677" s="1">
        <v>44279</v>
      </c>
      <c r="L1677" s="1">
        <v>45374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 t="s">
        <v>173</v>
      </c>
      <c r="U1677" t="str">
        <f>""</f>
        <v/>
      </c>
      <c r="V1677" t="s">
        <v>174</v>
      </c>
      <c r="W1677" t="str">
        <f>"N/A"</f>
        <v>N/A</v>
      </c>
      <c r="X1677" t="s">
        <v>175</v>
      </c>
      <c r="Y1677" t="s">
        <v>176</v>
      </c>
      <c r="Z1677" s="3">
        <v>98052</v>
      </c>
      <c r="AA1677" t="s">
        <v>101</v>
      </c>
      <c r="AC1677" s="4" t="str">
        <f>"+14258828080"</f>
        <v>+14258828080</v>
      </c>
      <c r="AE1677" t="str">
        <f>"51121"</f>
        <v>51121</v>
      </c>
      <c r="AF1677" t="s">
        <v>177</v>
      </c>
      <c r="AG1677" t="s">
        <v>178</v>
      </c>
      <c r="AI1677" t="s">
        <v>179</v>
      </c>
      <c r="AJ1677" t="s">
        <v>174</v>
      </c>
      <c r="AK1677" t="str">
        <f>""</f>
        <v/>
      </c>
      <c r="AL1677" t="s">
        <v>175</v>
      </c>
      <c r="AM1677" t="s">
        <v>176</v>
      </c>
      <c r="AN1677" s="3">
        <v>98052</v>
      </c>
      <c r="AO1677" t="s">
        <v>101</v>
      </c>
      <c r="AQ1677" t="str">
        <f>"+14258828080"</f>
        <v>+14258828080</v>
      </c>
      <c r="AS1677" t="s">
        <v>180</v>
      </c>
      <c r="AT1677" t="s">
        <v>102</v>
      </c>
      <c r="AU1677" t="str">
        <f>""</f>
        <v/>
      </c>
      <c r="AV1677" t="str">
        <f>""</f>
        <v/>
      </c>
      <c r="AW1677" t="str">
        <f>""</f>
        <v/>
      </c>
      <c r="AX1677" t="str">
        <f>""</f>
        <v/>
      </c>
      <c r="AY1677" t="str">
        <f>""</f>
        <v/>
      </c>
      <c r="AZ1677" t="str">
        <f>""</f>
        <v/>
      </c>
      <c r="BA1677" t="str">
        <f>""</f>
        <v/>
      </c>
      <c r="BC1677" t="str">
        <f>""</f>
        <v/>
      </c>
      <c r="BD1677" t="str">
        <f>""</f>
        <v/>
      </c>
      <c r="BE1677" t="str">
        <f>""</f>
        <v/>
      </c>
      <c r="BF1677" t="str">
        <f>""</f>
        <v/>
      </c>
      <c r="BG1677" t="str">
        <f>""</f>
        <v/>
      </c>
      <c r="BH1677" t="str">
        <f>""</f>
        <v/>
      </c>
      <c r="BI1677" t="str">
        <f>""</f>
        <v/>
      </c>
      <c r="BJ1677" t="str">
        <f>""</f>
        <v/>
      </c>
      <c r="BK1677">
        <v>1</v>
      </c>
      <c r="BL1677" t="s">
        <v>102</v>
      </c>
      <c r="BM1677" t="str">
        <f>""</f>
        <v/>
      </c>
      <c r="BN1677" t="s">
        <v>5924</v>
      </c>
      <c r="BP1677" t="s">
        <v>197</v>
      </c>
      <c r="BQ1677" t="s">
        <v>183</v>
      </c>
      <c r="BR1677" t="s">
        <v>176</v>
      </c>
      <c r="BS1677" s="5">
        <v>98008</v>
      </c>
      <c r="BT1677" s="2">
        <v>133570</v>
      </c>
      <c r="BV1677" t="s">
        <v>105</v>
      </c>
      <c r="BW1677" s="2">
        <v>113110</v>
      </c>
      <c r="BX1677" t="s">
        <v>105</v>
      </c>
      <c r="BZ1677" t="s">
        <v>167</v>
      </c>
      <c r="CA1677" t="str">
        <f t="shared" si="133"/>
        <v>7/1/2020 - 6/30/2021</v>
      </c>
      <c r="CF1677">
        <v>1</v>
      </c>
      <c r="CG1677" t="s">
        <v>98</v>
      </c>
      <c r="CH1677" t="s">
        <v>206</v>
      </c>
      <c r="CI1677" t="s">
        <v>206</v>
      </c>
      <c r="CL1677" t="s">
        <v>108</v>
      </c>
      <c r="CM1677" t="s">
        <v>109</v>
      </c>
      <c r="CN1677" t="str">
        <f>"Kodishala"</f>
        <v>Kodishala</v>
      </c>
      <c r="CO1677" t="str">
        <f>"Suresh"</f>
        <v>Suresh</v>
      </c>
      <c r="CP1677" t="str">
        <f>"N/A"</f>
        <v>N/A</v>
      </c>
      <c r="CQ1677" t="str">
        <f>"INTEGREON MANAGED SOLUTIONS (INDIA) PVT LTD"</f>
        <v>INTEGREON MANAGED SOLUTIONS (INDIA) PVT LTD</v>
      </c>
      <c r="CR1677" t="s">
        <v>231</v>
      </c>
    </row>
    <row r="1678" spans="1:96" x14ac:dyDescent="0.2">
      <c r="A1678" t="s">
        <v>6022</v>
      </c>
      <c r="B1678" t="s">
        <v>96</v>
      </c>
      <c r="C1678" s="1">
        <v>44099</v>
      </c>
      <c r="D1678" s="1">
        <v>44106</v>
      </c>
      <c r="F1678" t="s">
        <v>97</v>
      </c>
      <c r="G1678" t="str">
        <f>"Computer Specialist / Testing and Quality Analyst 3"</f>
        <v>Computer Specialist / Testing and Quality Analyst 3</v>
      </c>
      <c r="H1678" t="s">
        <v>12168</v>
      </c>
      <c r="I1678" t="s">
        <v>319</v>
      </c>
      <c r="J1678" t="s">
        <v>98</v>
      </c>
      <c r="K1678" s="1">
        <v>44105</v>
      </c>
      <c r="L1678" s="1">
        <v>45199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838</v>
      </c>
      <c r="U1678" t="str">
        <f>""</f>
        <v/>
      </c>
      <c r="V1678" t="s">
        <v>839</v>
      </c>
      <c r="W1678" t="str">
        <f>""</f>
        <v/>
      </c>
      <c r="X1678" t="s">
        <v>833</v>
      </c>
      <c r="Y1678" t="s">
        <v>345</v>
      </c>
      <c r="Z1678" s="3">
        <v>60601</v>
      </c>
      <c r="AA1678" t="s">
        <v>101</v>
      </c>
      <c r="AC1678" s="4" t="str">
        <f>"+13126930161"</f>
        <v>+13126930161</v>
      </c>
      <c r="AE1678" t="str">
        <f>"5416"</f>
        <v>5416</v>
      </c>
      <c r="AF1678" t="s">
        <v>840</v>
      </c>
      <c r="AG1678" t="s">
        <v>841</v>
      </c>
      <c r="AI1678" t="s">
        <v>417</v>
      </c>
      <c r="AJ1678" t="s">
        <v>842</v>
      </c>
      <c r="AK1678" t="str">
        <f>""</f>
        <v/>
      </c>
      <c r="AL1678" t="s">
        <v>843</v>
      </c>
      <c r="AM1678" t="s">
        <v>345</v>
      </c>
      <c r="AN1678" s="3">
        <v>60601</v>
      </c>
      <c r="AO1678" t="s">
        <v>101</v>
      </c>
      <c r="AQ1678" t="str">
        <f>"+13126932825"</f>
        <v>+13126932825</v>
      </c>
      <c r="AS1678" t="s">
        <v>844</v>
      </c>
      <c r="AT1678" t="s">
        <v>102</v>
      </c>
      <c r="AU1678" t="str">
        <f>""</f>
        <v/>
      </c>
      <c r="AV1678" t="str">
        <f>""</f>
        <v/>
      </c>
      <c r="AW1678" t="str">
        <f>""</f>
        <v/>
      </c>
      <c r="AX1678" t="str">
        <f>""</f>
        <v/>
      </c>
      <c r="AY1678" t="str">
        <f>""</f>
        <v/>
      </c>
      <c r="AZ1678" t="str">
        <f>""</f>
        <v/>
      </c>
      <c r="BA1678" t="str">
        <f>""</f>
        <v/>
      </c>
      <c r="BC1678" t="str">
        <f>""</f>
        <v/>
      </c>
      <c r="BD1678" t="str">
        <f>""</f>
        <v/>
      </c>
      <c r="BE1678" t="str">
        <f>""</f>
        <v/>
      </c>
      <c r="BF1678" t="str">
        <f>""</f>
        <v/>
      </c>
      <c r="BG1678" t="str">
        <f>""</f>
        <v/>
      </c>
      <c r="BH1678" t="str">
        <f>""</f>
        <v/>
      </c>
      <c r="BI1678" t="str">
        <f>""</f>
        <v/>
      </c>
      <c r="BJ1678" t="str">
        <f>""</f>
        <v/>
      </c>
      <c r="BK1678">
        <v>1</v>
      </c>
      <c r="BL1678" t="s">
        <v>107</v>
      </c>
      <c r="BM1678" t="str">
        <f>"GUIDEWELL MUTUAL HOLDING CORPORATIO"</f>
        <v>GUIDEWELL MUTUAL HOLDING CORPORATIO</v>
      </c>
      <c r="BN1678" t="s">
        <v>3614</v>
      </c>
      <c r="BO1678" t="s">
        <v>1141</v>
      </c>
      <c r="BP1678" t="s">
        <v>1241</v>
      </c>
      <c r="BQ1678" t="s">
        <v>1243</v>
      </c>
      <c r="BR1678" t="s">
        <v>577</v>
      </c>
      <c r="BS1678" s="5">
        <v>32246</v>
      </c>
      <c r="BT1678" s="2">
        <v>100700</v>
      </c>
      <c r="BU1678" s="2">
        <v>179700</v>
      </c>
      <c r="BV1678" t="s">
        <v>105</v>
      </c>
      <c r="BW1678" s="2">
        <v>69950</v>
      </c>
      <c r="BX1678" t="s">
        <v>105</v>
      </c>
      <c r="BZ1678" t="s">
        <v>123</v>
      </c>
      <c r="CA1678" t="str">
        <f t="shared" si="133"/>
        <v>7/1/2020 - 6/30/2021</v>
      </c>
      <c r="CF1678">
        <v>1</v>
      </c>
      <c r="CG1678" t="s">
        <v>98</v>
      </c>
      <c r="CH1678" t="s">
        <v>206</v>
      </c>
      <c r="CI1678" t="s">
        <v>206</v>
      </c>
      <c r="CL1678" t="s">
        <v>108</v>
      </c>
      <c r="CM1678" t="s">
        <v>109</v>
      </c>
      <c r="CN1678" t="str">
        <f>""</f>
        <v/>
      </c>
      <c r="CO1678" t="str">
        <f>""</f>
        <v/>
      </c>
      <c r="CP1678" t="str">
        <f>""</f>
        <v/>
      </c>
      <c r="CQ1678" t="str">
        <f>""</f>
        <v/>
      </c>
    </row>
    <row r="1679" spans="1:96" x14ac:dyDescent="0.2">
      <c r="A1679" t="s">
        <v>6049</v>
      </c>
      <c r="B1679" t="s">
        <v>96</v>
      </c>
      <c r="C1679" s="1">
        <v>44099</v>
      </c>
      <c r="D1679" s="1">
        <v>44106</v>
      </c>
      <c r="F1679" t="s">
        <v>97</v>
      </c>
      <c r="G1679" t="str">
        <f>"QUALITY ASSURANCE ENGINEER II"</f>
        <v>QUALITY ASSURANCE ENGINEER II</v>
      </c>
      <c r="H1679" t="s">
        <v>12176</v>
      </c>
      <c r="I1679" t="s">
        <v>246</v>
      </c>
      <c r="J1679" t="s">
        <v>98</v>
      </c>
      <c r="K1679" s="1">
        <v>44279</v>
      </c>
      <c r="L1679" s="1">
        <v>45374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 t="s">
        <v>440</v>
      </c>
      <c r="U1679" t="str">
        <f>""</f>
        <v/>
      </c>
      <c r="V1679" t="s">
        <v>809</v>
      </c>
      <c r="W1679" t="str">
        <f>"SUITE 500"</f>
        <v>SUITE 500</v>
      </c>
      <c r="X1679" t="s">
        <v>433</v>
      </c>
      <c r="Y1679" t="s">
        <v>176</v>
      </c>
      <c r="Z1679" s="3">
        <v>98121</v>
      </c>
      <c r="AA1679" t="s">
        <v>101</v>
      </c>
      <c r="AC1679" s="4" t="str">
        <f>"+12062661000"</f>
        <v>+12062661000</v>
      </c>
      <c r="AE1679" t="str">
        <f>"454110"</f>
        <v>454110</v>
      </c>
      <c r="AF1679" t="s">
        <v>442</v>
      </c>
      <c r="AG1679" t="s">
        <v>443</v>
      </c>
      <c r="AH1679" t="s">
        <v>108</v>
      </c>
      <c r="AI1679" t="s">
        <v>434</v>
      </c>
      <c r="AJ1679" t="s">
        <v>809</v>
      </c>
      <c r="AK1679" t="str">
        <f>"SUITE 500"</f>
        <v>SUITE 500</v>
      </c>
      <c r="AL1679" t="s">
        <v>433</v>
      </c>
      <c r="AM1679" t="s">
        <v>176</v>
      </c>
      <c r="AN1679" s="3">
        <v>98121</v>
      </c>
      <c r="AO1679" t="s">
        <v>101</v>
      </c>
      <c r="AQ1679" t="str">
        <f>"+12062661000"</f>
        <v>+12062661000</v>
      </c>
      <c r="AS1679" t="s">
        <v>263</v>
      </c>
      <c r="AT1679" t="s">
        <v>107</v>
      </c>
      <c r="AU1679" t="str">
        <f>"MARANCI"</f>
        <v>MARANCI</v>
      </c>
      <c r="AV1679" t="str">
        <f>"DANIEL"</f>
        <v>DANIEL</v>
      </c>
      <c r="AW1679" t="str">
        <f>"N/A"</f>
        <v>N/A</v>
      </c>
      <c r="AX1679" t="str">
        <f>"100 HIGH STREET"</f>
        <v>100 HIGH STREET</v>
      </c>
      <c r="AY1679" t="str">
        <f>"3RD FLOOR C#5269833"</f>
        <v>3RD FLOOR C#5269833</v>
      </c>
      <c r="AZ1679" t="str">
        <f>"BOSTON"</f>
        <v>BOSTON</v>
      </c>
      <c r="BA1679" t="str">
        <f>"MA"</f>
        <v>MA</v>
      </c>
      <c r="BB1679" s="3">
        <v>2110</v>
      </c>
      <c r="BC1679" t="str">
        <f t="shared" ref="BC1679:BC1687" si="134">"UNITED STATES OF AMERICA"</f>
        <v>UNITED STATES OF AMERICA</v>
      </c>
      <c r="BD1679" t="str">
        <f>""</f>
        <v/>
      </c>
      <c r="BE1679" t="str">
        <f>"+16175740400"</f>
        <v>+16175740400</v>
      </c>
      <c r="BF1679" t="str">
        <f>""</f>
        <v/>
      </c>
      <c r="BG1679" t="str">
        <f>"AMAZONINDIA@FRAGOMEN.COM"</f>
        <v>AMAZONINDIA@FRAGOMEN.COM</v>
      </c>
      <c r="BH1679" t="str">
        <f>"FRAGOMEN, DEL REY, BERNSEN &amp; LOEWY, LLP"</f>
        <v>FRAGOMEN, DEL REY, BERNSEN &amp; LOEWY, LLP</v>
      </c>
      <c r="BI1679" t="str">
        <f>"MA"</f>
        <v>MA</v>
      </c>
      <c r="BJ1679" t="str">
        <f>"SUPREME JUDICIAL COURT"</f>
        <v>SUPREME JUDICIAL COURT</v>
      </c>
      <c r="BK1679">
        <v>1</v>
      </c>
      <c r="BL1679" t="s">
        <v>102</v>
      </c>
      <c r="BM1679" t="str">
        <f>""</f>
        <v/>
      </c>
      <c r="BN1679" t="s">
        <v>2559</v>
      </c>
      <c r="BP1679" t="s">
        <v>671</v>
      </c>
      <c r="BQ1679" t="s">
        <v>230</v>
      </c>
      <c r="BR1679" t="s">
        <v>141</v>
      </c>
      <c r="BS1679" s="5">
        <v>94089</v>
      </c>
      <c r="BT1679" s="2">
        <v>143300</v>
      </c>
      <c r="BV1679" t="s">
        <v>105</v>
      </c>
      <c r="BW1679" s="2">
        <v>120578</v>
      </c>
      <c r="BX1679" t="s">
        <v>105</v>
      </c>
      <c r="BZ1679" t="s">
        <v>167</v>
      </c>
      <c r="CA1679" t="str">
        <f t="shared" si="133"/>
        <v>7/1/2020 - 6/30/2021</v>
      </c>
      <c r="CF1679">
        <v>2</v>
      </c>
      <c r="CG1679" t="s">
        <v>98</v>
      </c>
      <c r="CH1679" t="s">
        <v>206</v>
      </c>
      <c r="CI1679" t="s">
        <v>206</v>
      </c>
      <c r="CL1679" t="s">
        <v>108</v>
      </c>
      <c r="CM1679" t="s">
        <v>109</v>
      </c>
      <c r="CN1679" t="str">
        <f>"SUNNY"</f>
        <v>SUNNY</v>
      </c>
      <c r="CO1679" t="str">
        <f>"JASMIN"</f>
        <v>JASMIN</v>
      </c>
      <c r="CP1679" t="str">
        <f>"N/A"</f>
        <v>N/A</v>
      </c>
      <c r="CQ1679" t="str">
        <f>"FRAGOMEN, DEL REY, BERNSEN &amp; LOEWY, LLP"</f>
        <v>FRAGOMEN, DEL REY, BERNSEN &amp; LOEWY, LLP</v>
      </c>
      <c r="CR1679" t="s">
        <v>650</v>
      </c>
    </row>
    <row r="1680" spans="1:96" x14ac:dyDescent="0.2">
      <c r="A1680" t="s">
        <v>6053</v>
      </c>
      <c r="B1680" t="s">
        <v>96</v>
      </c>
      <c r="C1680" s="1">
        <v>44099</v>
      </c>
      <c r="D1680" s="1">
        <v>44106</v>
      </c>
      <c r="F1680" t="s">
        <v>97</v>
      </c>
      <c r="G1680" t="str">
        <f>"RESEARCH SCIENTIST II"</f>
        <v>RESEARCH SCIENTIST II</v>
      </c>
      <c r="H1680" t="s">
        <v>12191</v>
      </c>
      <c r="I1680" t="s">
        <v>649</v>
      </c>
      <c r="J1680" t="s">
        <v>98</v>
      </c>
      <c r="K1680" s="1">
        <v>44099</v>
      </c>
      <c r="L1680" s="1">
        <v>45193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 t="s">
        <v>440</v>
      </c>
      <c r="U1680" t="str">
        <f>""</f>
        <v/>
      </c>
      <c r="V1680" t="s">
        <v>809</v>
      </c>
      <c r="W1680" t="str">
        <f>"SUITE 500"</f>
        <v>SUITE 500</v>
      </c>
      <c r="X1680" t="s">
        <v>433</v>
      </c>
      <c r="Y1680" t="s">
        <v>176</v>
      </c>
      <c r="Z1680" s="3">
        <v>98121</v>
      </c>
      <c r="AA1680" t="s">
        <v>101</v>
      </c>
      <c r="AC1680" s="4" t="str">
        <f>"+12062661000"</f>
        <v>+12062661000</v>
      </c>
      <c r="AE1680" t="str">
        <f>"454110"</f>
        <v>454110</v>
      </c>
      <c r="AF1680" t="s">
        <v>442</v>
      </c>
      <c r="AG1680" t="s">
        <v>443</v>
      </c>
      <c r="AH1680" t="s">
        <v>108</v>
      </c>
      <c r="AI1680" t="s">
        <v>434</v>
      </c>
      <c r="AJ1680" t="s">
        <v>809</v>
      </c>
      <c r="AK1680" t="str">
        <f>"SUITE 500"</f>
        <v>SUITE 500</v>
      </c>
      <c r="AL1680" t="s">
        <v>433</v>
      </c>
      <c r="AM1680" t="s">
        <v>176</v>
      </c>
      <c r="AN1680" s="3">
        <v>98121</v>
      </c>
      <c r="AO1680" t="s">
        <v>101</v>
      </c>
      <c r="AQ1680" t="str">
        <f>"+12062661000"</f>
        <v>+12062661000</v>
      </c>
      <c r="AS1680" t="s">
        <v>263</v>
      </c>
      <c r="AT1680" t="s">
        <v>107</v>
      </c>
      <c r="AU1680" t="str">
        <f>"MARANCI"</f>
        <v>MARANCI</v>
      </c>
      <c r="AV1680" t="str">
        <f>"DANIEL"</f>
        <v>DANIEL</v>
      </c>
      <c r="AW1680" t="str">
        <f>"N/A"</f>
        <v>N/A</v>
      </c>
      <c r="AX1680" t="str">
        <f>"100 HIGH STREET"</f>
        <v>100 HIGH STREET</v>
      </c>
      <c r="AY1680" t="str">
        <f>"3RD FLOOR C#5297447"</f>
        <v>3RD FLOOR C#5297447</v>
      </c>
      <c r="AZ1680" t="str">
        <f>"BOSTON"</f>
        <v>BOSTON</v>
      </c>
      <c r="BA1680" t="str">
        <f>"MA"</f>
        <v>MA</v>
      </c>
      <c r="BB1680" s="3">
        <v>2110</v>
      </c>
      <c r="BC1680" t="str">
        <f t="shared" si="134"/>
        <v>UNITED STATES OF AMERICA</v>
      </c>
      <c r="BD1680" t="str">
        <f>""</f>
        <v/>
      </c>
      <c r="BE1680" t="str">
        <f>"+16175740400"</f>
        <v>+16175740400</v>
      </c>
      <c r="BF1680" t="str">
        <f>""</f>
        <v/>
      </c>
      <c r="BG1680" t="str">
        <f>"AMAZONINDIA@FRAGOMEN.COM"</f>
        <v>AMAZONINDIA@FRAGOMEN.COM</v>
      </c>
      <c r="BH1680" t="str">
        <f>"FRAGOMEN, DEL REY, BERNSEN &amp; LOEWY, LLP"</f>
        <v>FRAGOMEN, DEL REY, BERNSEN &amp; LOEWY, LLP</v>
      </c>
      <c r="BI1680" t="str">
        <f>"MA"</f>
        <v>MA</v>
      </c>
      <c r="BJ1680" t="str">
        <f>"SUPREME JUDICIAL COURT"</f>
        <v>SUPREME JUDICIAL COURT</v>
      </c>
      <c r="BK1680">
        <v>1</v>
      </c>
      <c r="BL1680" t="s">
        <v>102</v>
      </c>
      <c r="BM1680" t="str">
        <f>""</f>
        <v/>
      </c>
      <c r="BN1680" t="s">
        <v>5415</v>
      </c>
      <c r="BP1680" t="s">
        <v>2383</v>
      </c>
      <c r="BQ1680" t="s">
        <v>1250</v>
      </c>
      <c r="BR1680" t="s">
        <v>171</v>
      </c>
      <c r="BS1680" s="5">
        <v>2142</v>
      </c>
      <c r="BT1680" s="2">
        <v>150000</v>
      </c>
      <c r="BV1680" t="s">
        <v>105</v>
      </c>
      <c r="BW1680" s="2">
        <v>99299</v>
      </c>
      <c r="BX1680" t="s">
        <v>105</v>
      </c>
      <c r="BZ1680" t="s">
        <v>167</v>
      </c>
      <c r="CA1680" t="str">
        <f t="shared" si="133"/>
        <v>7/1/2020 - 6/30/2021</v>
      </c>
      <c r="CF1680">
        <v>2</v>
      </c>
      <c r="CG1680" t="s">
        <v>98</v>
      </c>
      <c r="CH1680" t="s">
        <v>206</v>
      </c>
      <c r="CI1680" t="s">
        <v>206</v>
      </c>
      <c r="CL1680" t="s">
        <v>108</v>
      </c>
      <c r="CM1680" t="s">
        <v>109</v>
      </c>
      <c r="CN1680" t="str">
        <f>"SUNNY"</f>
        <v>SUNNY</v>
      </c>
      <c r="CO1680" t="str">
        <f>"JASMIN"</f>
        <v>JASMIN</v>
      </c>
      <c r="CP1680" t="str">
        <f>"N/A"</f>
        <v>N/A</v>
      </c>
      <c r="CQ1680" t="str">
        <f>"FRAGOMEN, DEL REY, BERNSEN &amp; LOEWY, LLP"</f>
        <v>FRAGOMEN, DEL REY, BERNSEN &amp; LOEWY, LLP</v>
      </c>
      <c r="CR1680" t="s">
        <v>650</v>
      </c>
    </row>
    <row r="1681" spans="1:96" x14ac:dyDescent="0.2">
      <c r="A1681" t="s">
        <v>6090</v>
      </c>
      <c r="B1681" t="s">
        <v>96</v>
      </c>
      <c r="C1681" s="1">
        <v>44099</v>
      </c>
      <c r="D1681" s="1">
        <v>44106</v>
      </c>
      <c r="F1681" t="s">
        <v>97</v>
      </c>
      <c r="G1681" t="str">
        <f>"Sr. Software Engineer"</f>
        <v>Sr. Software Engineer</v>
      </c>
      <c r="H1681" t="s">
        <v>12169</v>
      </c>
      <c r="I1681" t="s">
        <v>124</v>
      </c>
      <c r="J1681" t="s">
        <v>98</v>
      </c>
      <c r="K1681" s="1">
        <v>44105</v>
      </c>
      <c r="L1681" s="1">
        <v>45199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5064</v>
      </c>
      <c r="U1681" t="str">
        <f>""</f>
        <v/>
      </c>
      <c r="V1681" t="s">
        <v>5065</v>
      </c>
      <c r="W1681" t="str">
        <f>""</f>
        <v/>
      </c>
      <c r="X1681" t="s">
        <v>1507</v>
      </c>
      <c r="Y1681" t="s">
        <v>135</v>
      </c>
      <c r="Z1681" s="3">
        <v>20170</v>
      </c>
      <c r="AA1681" t="s">
        <v>101</v>
      </c>
      <c r="AC1681" s="4" t="str">
        <f>"+17034354248"</f>
        <v>+17034354248</v>
      </c>
      <c r="AE1681" t="str">
        <f>"541511"</f>
        <v>541511</v>
      </c>
      <c r="AF1681" t="s">
        <v>3078</v>
      </c>
      <c r="AG1681" t="s">
        <v>1641</v>
      </c>
      <c r="AI1681" t="s">
        <v>425</v>
      </c>
      <c r="AJ1681" t="s">
        <v>3077</v>
      </c>
      <c r="AK1681" t="str">
        <f>""</f>
        <v/>
      </c>
      <c r="AL1681" t="s">
        <v>1507</v>
      </c>
      <c r="AM1681" t="s">
        <v>135</v>
      </c>
      <c r="AN1681" s="3">
        <v>20170</v>
      </c>
      <c r="AO1681" t="s">
        <v>101</v>
      </c>
      <c r="AQ1681" t="str">
        <f>"+17034354248"</f>
        <v>+17034354248</v>
      </c>
      <c r="AS1681" t="s">
        <v>5066</v>
      </c>
      <c r="AT1681" t="s">
        <v>107</v>
      </c>
      <c r="AU1681" t="str">
        <f>"chacko"</f>
        <v>chacko</v>
      </c>
      <c r="AV1681" t="str">
        <f>"Mathew"</f>
        <v>Mathew</v>
      </c>
      <c r="AW1681" t="str">
        <f>"Maryvilla"</f>
        <v>Maryvilla</v>
      </c>
      <c r="AX1681" t="str">
        <f>"5025 Backlick Rd Suite C"</f>
        <v>5025 Backlick Rd Suite C</v>
      </c>
      <c r="AY1681" t="str">
        <f>""</f>
        <v/>
      </c>
      <c r="AZ1681" t="str">
        <f>"Annandale"</f>
        <v>Annandale</v>
      </c>
      <c r="BA1681" t="str">
        <f>"VA"</f>
        <v>VA</v>
      </c>
      <c r="BB1681" s="3">
        <v>22003</v>
      </c>
      <c r="BC1681" t="str">
        <f t="shared" si="134"/>
        <v>UNITED STATES OF AMERICA</v>
      </c>
      <c r="BD1681" t="str">
        <f>""</f>
        <v/>
      </c>
      <c r="BE1681" t="str">
        <f>"+17033490881"</f>
        <v>+17033490881</v>
      </c>
      <c r="BF1681" t="str">
        <f>""</f>
        <v/>
      </c>
      <c r="BG1681" t="str">
        <f>"HELP@CHACKOLAWFIRM.COM"</f>
        <v>HELP@CHACKOLAWFIRM.COM</v>
      </c>
      <c r="BH1681" t="str">
        <f>"Law Offices of Mathew M Chacko PC"</f>
        <v>Law Offices of Mathew M Chacko PC</v>
      </c>
      <c r="BI1681" t="str">
        <f>"NY"</f>
        <v>NY</v>
      </c>
      <c r="BJ1681" t="str">
        <f>"COURT OF APPEALS"</f>
        <v>COURT OF APPEALS</v>
      </c>
      <c r="BK1681">
        <v>1</v>
      </c>
      <c r="BL1681" t="s">
        <v>107</v>
      </c>
      <c r="BM1681" t="str">
        <f>"Amtrak"</f>
        <v>Amtrak</v>
      </c>
      <c r="BN1681" t="s">
        <v>6091</v>
      </c>
      <c r="BP1681" t="s">
        <v>622</v>
      </c>
      <c r="BQ1681" t="s">
        <v>623</v>
      </c>
      <c r="BR1681" t="s">
        <v>624</v>
      </c>
      <c r="BS1681" s="5">
        <v>20002</v>
      </c>
      <c r="BT1681" s="2">
        <v>145000</v>
      </c>
      <c r="BV1681" t="s">
        <v>105</v>
      </c>
      <c r="BW1681" s="2">
        <v>138819</v>
      </c>
      <c r="BX1681" t="s">
        <v>105</v>
      </c>
      <c r="BZ1681" t="s">
        <v>159</v>
      </c>
      <c r="CA1681" t="str">
        <f t="shared" si="133"/>
        <v>7/1/2020 - 6/30/2021</v>
      </c>
      <c r="CF1681">
        <v>1</v>
      </c>
      <c r="CG1681" t="s">
        <v>98</v>
      </c>
      <c r="CH1681" t="s">
        <v>206</v>
      </c>
      <c r="CI1681" t="s">
        <v>206</v>
      </c>
      <c r="CL1681" t="s">
        <v>108</v>
      </c>
      <c r="CM1681" t="s">
        <v>109</v>
      </c>
      <c r="CN1681" t="str">
        <f>""</f>
        <v/>
      </c>
      <c r="CO1681" t="str">
        <f>""</f>
        <v/>
      </c>
      <c r="CP1681" t="str">
        <f>""</f>
        <v/>
      </c>
      <c r="CQ1681" t="str">
        <f>""</f>
        <v/>
      </c>
    </row>
    <row r="1682" spans="1:96" x14ac:dyDescent="0.2">
      <c r="A1682" t="s">
        <v>6180</v>
      </c>
      <c r="B1682" t="s">
        <v>96</v>
      </c>
      <c r="C1682" s="1">
        <v>44099</v>
      </c>
      <c r="D1682" s="1">
        <v>44106</v>
      </c>
      <c r="F1682" t="s">
        <v>97</v>
      </c>
      <c r="G1682" t="str">
        <f>"Software Engineer II"</f>
        <v>Software Engineer II</v>
      </c>
      <c r="H1682" t="s">
        <v>12169</v>
      </c>
      <c r="I1682" t="s">
        <v>124</v>
      </c>
      <c r="J1682" t="s">
        <v>98</v>
      </c>
      <c r="K1682" s="1">
        <v>44106</v>
      </c>
      <c r="L1682" s="1">
        <v>45200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 t="s">
        <v>4244</v>
      </c>
      <c r="U1682" t="str">
        <f>""</f>
        <v/>
      </c>
      <c r="V1682" t="s">
        <v>4102</v>
      </c>
      <c r="W1682" t="str">
        <f>"Ste. 900"</f>
        <v>Ste. 900</v>
      </c>
      <c r="X1682" t="s">
        <v>140</v>
      </c>
      <c r="Y1682" t="s">
        <v>141</v>
      </c>
      <c r="Z1682" s="3">
        <v>94103</v>
      </c>
      <c r="AA1682" t="s">
        <v>101</v>
      </c>
      <c r="AB1682" t="s">
        <v>4245</v>
      </c>
      <c r="AC1682" s="4" t="str">
        <f>"+15108271637"</f>
        <v>+15108271637</v>
      </c>
      <c r="AE1682" t="str">
        <f>"541511"</f>
        <v>541511</v>
      </c>
      <c r="AF1682" t="s">
        <v>6181</v>
      </c>
      <c r="AG1682" t="s">
        <v>1662</v>
      </c>
      <c r="AI1682" t="s">
        <v>4246</v>
      </c>
      <c r="AJ1682" t="s">
        <v>4102</v>
      </c>
      <c r="AK1682" t="str">
        <f>"Ste. 900"</f>
        <v>Ste. 900</v>
      </c>
      <c r="AL1682" t="s">
        <v>140</v>
      </c>
      <c r="AM1682" t="s">
        <v>141</v>
      </c>
      <c r="AN1682" s="3">
        <v>94103</v>
      </c>
      <c r="AO1682" t="s">
        <v>101</v>
      </c>
      <c r="AQ1682" t="str">
        <f>"+14156347402"</f>
        <v>+14156347402</v>
      </c>
      <c r="AS1682" t="s">
        <v>4247</v>
      </c>
      <c r="AT1682" t="s">
        <v>107</v>
      </c>
      <c r="AU1682" t="str">
        <f>"Johnson"</f>
        <v>Johnson</v>
      </c>
      <c r="AV1682" t="str">
        <f>"Draysha"</f>
        <v>Draysha</v>
      </c>
      <c r="AW1682" t="str">
        <f>"M."</f>
        <v>M.</v>
      </c>
      <c r="AX1682" t="str">
        <f>"2101 Wilson Blvd."</f>
        <v>2101 Wilson Blvd.</v>
      </c>
      <c r="AY1682" t="str">
        <f>"Suite 1100"</f>
        <v>Suite 1100</v>
      </c>
      <c r="AZ1682" t="str">
        <f>"Arlington"</f>
        <v>Arlington</v>
      </c>
      <c r="BA1682" t="str">
        <f>"VA"</f>
        <v>VA</v>
      </c>
      <c r="BB1682" s="3">
        <v>22201</v>
      </c>
      <c r="BC1682" t="str">
        <f t="shared" si="134"/>
        <v>UNITED STATES OF AMERICA</v>
      </c>
      <c r="BD1682" t="str">
        <f>""</f>
        <v/>
      </c>
      <c r="BE1682" t="str">
        <f>"+17036784000"</f>
        <v>+17036784000</v>
      </c>
      <c r="BF1682" t="str">
        <f>""</f>
        <v/>
      </c>
      <c r="BG1682" t="str">
        <f>"draysha@eiglaw.com"</f>
        <v>draysha@eiglaw.com</v>
      </c>
      <c r="BH1682" t="str">
        <f>"Erickson Immigration Group"</f>
        <v>Erickson Immigration Group</v>
      </c>
      <c r="BI1682" t="str">
        <f>"MD"</f>
        <v>MD</v>
      </c>
      <c r="BJ1682" t="str">
        <f>"Court of Appeals"</f>
        <v>Court of Appeals</v>
      </c>
      <c r="BK1682">
        <v>1</v>
      </c>
      <c r="BL1682" t="s">
        <v>102</v>
      </c>
      <c r="BM1682" t="str">
        <f>""</f>
        <v/>
      </c>
      <c r="BN1682" t="s">
        <v>6182</v>
      </c>
      <c r="BO1682" t="s">
        <v>2771</v>
      </c>
      <c r="BP1682" t="s">
        <v>140</v>
      </c>
      <c r="BQ1682" t="s">
        <v>147</v>
      </c>
      <c r="BR1682" t="s">
        <v>141</v>
      </c>
      <c r="BS1682" s="5">
        <v>94103</v>
      </c>
      <c r="BT1682" s="2">
        <v>175000</v>
      </c>
      <c r="BV1682" t="s">
        <v>105</v>
      </c>
      <c r="BW1682" s="2">
        <v>169562</v>
      </c>
      <c r="BX1682" t="s">
        <v>105</v>
      </c>
      <c r="BZ1682" t="s">
        <v>159</v>
      </c>
      <c r="CA1682" t="str">
        <f t="shared" si="133"/>
        <v>7/1/2020 - 6/30/2021</v>
      </c>
      <c r="CF1682">
        <v>2</v>
      </c>
      <c r="CG1682" t="s">
        <v>98</v>
      </c>
      <c r="CH1682" t="s">
        <v>206</v>
      </c>
      <c r="CI1682" t="s">
        <v>206</v>
      </c>
      <c r="CL1682" t="s">
        <v>108</v>
      </c>
      <c r="CM1682" t="s">
        <v>109</v>
      </c>
      <c r="CN1682" t="str">
        <f>"Fenwick"</f>
        <v>Fenwick</v>
      </c>
      <c r="CO1682" t="str">
        <f>"Pashanna"</f>
        <v>Pashanna</v>
      </c>
      <c r="CP1682" t="str">
        <f>"S."</f>
        <v>S.</v>
      </c>
      <c r="CQ1682" t="str">
        <f>"Erickson Immigration Group"</f>
        <v>Erickson Immigration Group</v>
      </c>
      <c r="CR1682" t="s">
        <v>2125</v>
      </c>
    </row>
    <row r="1683" spans="1:96" x14ac:dyDescent="0.2">
      <c r="A1683" t="s">
        <v>6235</v>
      </c>
      <c r="B1683" t="s">
        <v>96</v>
      </c>
      <c r="C1683" s="1">
        <v>44099</v>
      </c>
      <c r="D1683" s="1">
        <v>44106</v>
      </c>
      <c r="F1683" t="s">
        <v>97</v>
      </c>
      <c r="G1683" t="str">
        <f>"Clinical Fellow"</f>
        <v>Clinical Fellow</v>
      </c>
      <c r="H1683" t="s">
        <v>12170</v>
      </c>
      <c r="I1683" t="s">
        <v>685</v>
      </c>
      <c r="J1683" t="s">
        <v>98</v>
      </c>
      <c r="K1683" s="1">
        <v>44136</v>
      </c>
      <c r="L1683" s="1">
        <v>44865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2855</v>
      </c>
      <c r="U1683" t="str">
        <f>""</f>
        <v/>
      </c>
      <c r="V1683" t="s">
        <v>2856</v>
      </c>
      <c r="W1683" t="str">
        <f>""</f>
        <v/>
      </c>
      <c r="X1683" t="s">
        <v>1369</v>
      </c>
      <c r="Y1683" t="s">
        <v>545</v>
      </c>
      <c r="Z1683" s="3">
        <v>37203</v>
      </c>
      <c r="AA1683" t="s">
        <v>101</v>
      </c>
      <c r="AC1683" s="4" t="str">
        <f>"+16158759124"</f>
        <v>+16158759124</v>
      </c>
      <c r="AE1683" t="str">
        <f>"622110"</f>
        <v>622110</v>
      </c>
      <c r="AF1683" t="s">
        <v>4932</v>
      </c>
      <c r="AG1683" t="s">
        <v>5945</v>
      </c>
      <c r="AI1683" t="s">
        <v>5946</v>
      </c>
      <c r="AJ1683" t="s">
        <v>2856</v>
      </c>
      <c r="AK1683" t="str">
        <f>""</f>
        <v/>
      </c>
      <c r="AL1683" t="s">
        <v>1369</v>
      </c>
      <c r="AM1683" t="s">
        <v>545</v>
      </c>
      <c r="AN1683" s="3">
        <v>37203</v>
      </c>
      <c r="AO1683" t="s">
        <v>101</v>
      </c>
      <c r="AQ1683" t="str">
        <f>"+16158759124"</f>
        <v>+16158759124</v>
      </c>
      <c r="AS1683" t="s">
        <v>2857</v>
      </c>
      <c r="AT1683" t="s">
        <v>107</v>
      </c>
      <c r="AU1683" t="str">
        <f>"Gill"</f>
        <v>Gill</v>
      </c>
      <c r="AV1683" t="str">
        <f>"Manpreet"</f>
        <v>Manpreet</v>
      </c>
      <c r="AW1683" t="str">
        <f>""</f>
        <v/>
      </c>
      <c r="AX1683" t="str">
        <f>"755 W. Big Beaver Road"</f>
        <v>755 W. Big Beaver Road</v>
      </c>
      <c r="AY1683" t="str">
        <f>"Suite 750"</f>
        <v>Suite 750</v>
      </c>
      <c r="AZ1683" t="str">
        <f>"TROY"</f>
        <v>TROY</v>
      </c>
      <c r="BA1683" t="str">
        <f>"MI"</f>
        <v>MI</v>
      </c>
      <c r="BB1683" s="3">
        <v>48084</v>
      </c>
      <c r="BC1683" t="str">
        <f t="shared" si="134"/>
        <v>UNITED STATES OF AMERICA</v>
      </c>
      <c r="BD1683" t="str">
        <f>""</f>
        <v/>
      </c>
      <c r="BE1683" t="str">
        <f>"+12486495404"</f>
        <v>+12486495404</v>
      </c>
      <c r="BF1683" t="str">
        <f>""</f>
        <v/>
      </c>
      <c r="BG1683" t="str">
        <f>"MGill@Fragomen.com"</f>
        <v>MGill@Fragomen.com</v>
      </c>
      <c r="BH1683" t="str">
        <f>"FRAGOMEN DEL REY BERNSEN &amp; LOEWY"</f>
        <v>FRAGOMEN DEL REY BERNSEN &amp; LOEWY</v>
      </c>
      <c r="BI1683" t="str">
        <f>"MI"</f>
        <v>MI</v>
      </c>
      <c r="BJ1683" t="str">
        <f>"SUPREME COURT"</f>
        <v>SUPREME COURT</v>
      </c>
      <c r="BK1683">
        <v>1</v>
      </c>
      <c r="BL1683" t="s">
        <v>102</v>
      </c>
      <c r="BM1683" t="str">
        <f>""</f>
        <v/>
      </c>
      <c r="BN1683" t="s">
        <v>6236</v>
      </c>
      <c r="BP1683" t="s">
        <v>1368</v>
      </c>
      <c r="BQ1683" t="s">
        <v>1664</v>
      </c>
      <c r="BR1683" t="s">
        <v>545</v>
      </c>
      <c r="BS1683" s="5">
        <v>37232</v>
      </c>
      <c r="BT1683" s="2">
        <v>58736</v>
      </c>
      <c r="BV1683" t="s">
        <v>105</v>
      </c>
      <c r="BW1683" s="2">
        <v>46738</v>
      </c>
      <c r="BX1683" t="s">
        <v>105</v>
      </c>
      <c r="BZ1683" t="s">
        <v>191</v>
      </c>
      <c r="CA1683" t="str">
        <f t="shared" si="133"/>
        <v>7/1/2020 - 6/30/2021</v>
      </c>
      <c r="CF1683">
        <v>4</v>
      </c>
      <c r="CG1683" t="s">
        <v>98</v>
      </c>
      <c r="CH1683" t="s">
        <v>206</v>
      </c>
      <c r="CI1683" t="s">
        <v>206</v>
      </c>
      <c r="CL1683" t="s">
        <v>108</v>
      </c>
      <c r="CM1683" t="s">
        <v>109</v>
      </c>
      <c r="CN1683" t="str">
        <f>""</f>
        <v/>
      </c>
      <c r="CO1683" t="str">
        <f>""</f>
        <v/>
      </c>
      <c r="CP1683" t="str">
        <f>""</f>
        <v/>
      </c>
      <c r="CQ1683" t="str">
        <f>""</f>
        <v/>
      </c>
    </row>
    <row r="1684" spans="1:96" x14ac:dyDescent="0.2">
      <c r="A1684" t="s">
        <v>6245</v>
      </c>
      <c r="B1684" t="s">
        <v>96</v>
      </c>
      <c r="C1684" s="1">
        <v>44099</v>
      </c>
      <c r="D1684" s="1">
        <v>44106</v>
      </c>
      <c r="F1684" t="s">
        <v>97</v>
      </c>
      <c r="G1684" t="str">
        <f>"Data Science Solutions Consultant"</f>
        <v>Data Science Solutions Consultant</v>
      </c>
      <c r="H1684" t="s">
        <v>12169</v>
      </c>
      <c r="I1684" t="s">
        <v>124</v>
      </c>
      <c r="J1684" t="s">
        <v>98</v>
      </c>
      <c r="K1684" s="1">
        <v>44144</v>
      </c>
      <c r="L1684" s="1">
        <v>45238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2015</v>
      </c>
      <c r="U1684" t="str">
        <f>""</f>
        <v/>
      </c>
      <c r="V1684" t="s">
        <v>2016</v>
      </c>
      <c r="W1684" t="str">
        <f>""</f>
        <v/>
      </c>
      <c r="X1684" t="s">
        <v>2017</v>
      </c>
      <c r="Y1684" t="s">
        <v>352</v>
      </c>
      <c r="Z1684" s="3">
        <v>46204</v>
      </c>
      <c r="AA1684" t="s">
        <v>101</v>
      </c>
      <c r="AC1684" s="4" t="str">
        <f>"+13174886000"</f>
        <v>+13174886000</v>
      </c>
      <c r="AE1684" t="str">
        <f>"524114"</f>
        <v>524114</v>
      </c>
      <c r="AF1684" t="s">
        <v>2018</v>
      </c>
      <c r="AG1684" t="s">
        <v>2019</v>
      </c>
      <c r="AH1684" t="s">
        <v>2020</v>
      </c>
      <c r="AI1684" t="s">
        <v>2021</v>
      </c>
      <c r="AJ1684" t="s">
        <v>2022</v>
      </c>
      <c r="AK1684" t="str">
        <f>""</f>
        <v/>
      </c>
      <c r="AL1684" t="s">
        <v>794</v>
      </c>
      <c r="AM1684" t="s">
        <v>352</v>
      </c>
      <c r="AN1684" s="3">
        <v>46204</v>
      </c>
      <c r="AO1684" t="s">
        <v>101</v>
      </c>
      <c r="AQ1684" t="str">
        <f>"+13174886000"</f>
        <v>+13174886000</v>
      </c>
      <c r="AS1684" t="s">
        <v>2023</v>
      </c>
      <c r="AT1684" t="s">
        <v>107</v>
      </c>
      <c r="AU1684" t="str">
        <f>"Massard"</f>
        <v>Massard</v>
      </c>
      <c r="AV1684" t="str">
        <f>"Louis"</f>
        <v>Louis</v>
      </c>
      <c r="AW1684" t="str">
        <f>"Felix"</f>
        <v>Felix</v>
      </c>
      <c r="AX1684" t="str">
        <f>"230 W. Monroe Street"</f>
        <v>230 W. Monroe Street</v>
      </c>
      <c r="AY1684" t="str">
        <f>"Suite 2800"</f>
        <v>Suite 2800</v>
      </c>
      <c r="AZ1684" t="str">
        <f>"Chicago"</f>
        <v>Chicago</v>
      </c>
      <c r="BA1684" t="str">
        <f>"IL"</f>
        <v>IL</v>
      </c>
      <c r="BB1684" s="3">
        <v>60606</v>
      </c>
      <c r="BC1684" t="str">
        <f t="shared" si="134"/>
        <v>UNITED STATES OF AMERICA</v>
      </c>
      <c r="BD1684" t="str">
        <f>""</f>
        <v/>
      </c>
      <c r="BE1684" t="str">
        <f>"+13127226300"</f>
        <v>+13127226300</v>
      </c>
      <c r="BF1684" t="str">
        <f>""</f>
        <v/>
      </c>
      <c r="BG1684" t="str">
        <f>"gov@giafirm.com"</f>
        <v>gov@giafirm.com</v>
      </c>
      <c r="BH1684" t="str">
        <f>"Global Immigration Associates, P.C."</f>
        <v>Global Immigration Associates, P.C.</v>
      </c>
      <c r="BI1684" t="str">
        <f>"NC"</f>
        <v>NC</v>
      </c>
      <c r="BJ1684" t="str">
        <f>"Supreme Court"</f>
        <v>Supreme Court</v>
      </c>
      <c r="BK1684">
        <v>1</v>
      </c>
      <c r="BL1684" t="s">
        <v>102</v>
      </c>
      <c r="BM1684" t="str">
        <f>""</f>
        <v/>
      </c>
      <c r="BN1684" t="s">
        <v>3386</v>
      </c>
      <c r="BP1684" t="s">
        <v>213</v>
      </c>
      <c r="BQ1684" t="s">
        <v>214</v>
      </c>
      <c r="BR1684" t="s">
        <v>215</v>
      </c>
      <c r="BS1684" s="5">
        <v>30308</v>
      </c>
      <c r="BT1684" s="2">
        <v>85842</v>
      </c>
      <c r="BU1684" s="2">
        <v>120000</v>
      </c>
      <c r="BV1684" t="s">
        <v>105</v>
      </c>
      <c r="BW1684" s="2">
        <v>85842</v>
      </c>
      <c r="BX1684" t="s">
        <v>105</v>
      </c>
      <c r="BZ1684" t="s">
        <v>167</v>
      </c>
      <c r="CA1684" t="str">
        <f t="shared" si="133"/>
        <v>7/1/2020 - 6/30/2021</v>
      </c>
      <c r="CF1684">
        <v>2</v>
      </c>
      <c r="CG1684" t="s">
        <v>98</v>
      </c>
      <c r="CH1684" t="s">
        <v>206</v>
      </c>
      <c r="CI1684" t="s">
        <v>206</v>
      </c>
      <c r="CL1684" t="s">
        <v>108</v>
      </c>
      <c r="CM1684" t="s">
        <v>353</v>
      </c>
      <c r="CN1684" t="str">
        <f>""</f>
        <v/>
      </c>
      <c r="CO1684" t="str">
        <f>""</f>
        <v/>
      </c>
      <c r="CP1684" t="str">
        <f>""</f>
        <v/>
      </c>
      <c r="CQ1684" t="str">
        <f>""</f>
        <v/>
      </c>
    </row>
    <row r="1685" spans="1:96" x14ac:dyDescent="0.2">
      <c r="A1685" t="s">
        <v>6255</v>
      </c>
      <c r="B1685" t="s">
        <v>96</v>
      </c>
      <c r="C1685" s="1">
        <v>44099</v>
      </c>
      <c r="D1685" s="1">
        <v>44106</v>
      </c>
      <c r="F1685" t="s">
        <v>97</v>
      </c>
      <c r="G1685" t="str">
        <f>"Senior Software Engineer/Developer"</f>
        <v>Senior Software Engineer/Developer</v>
      </c>
      <c r="H1685" t="s">
        <v>12169</v>
      </c>
      <c r="I1685" t="s">
        <v>124</v>
      </c>
      <c r="J1685" t="s">
        <v>98</v>
      </c>
      <c r="K1685" s="1">
        <v>44130</v>
      </c>
      <c r="L1685" s="1">
        <v>45224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 t="s">
        <v>3508</v>
      </c>
      <c r="U1685" t="str">
        <f>"Fidelity Investments"</f>
        <v>Fidelity Investments</v>
      </c>
      <c r="V1685" t="s">
        <v>1580</v>
      </c>
      <c r="W1685" t="str">
        <f>""</f>
        <v/>
      </c>
      <c r="X1685" t="s">
        <v>207</v>
      </c>
      <c r="Y1685" t="s">
        <v>171</v>
      </c>
      <c r="Z1685" s="3">
        <v>2210</v>
      </c>
      <c r="AA1685" t="s">
        <v>101</v>
      </c>
      <c r="AB1685" t="s">
        <v>952</v>
      </c>
      <c r="AC1685" s="4" t="str">
        <f>"+18008355099"</f>
        <v>+18008355099</v>
      </c>
      <c r="AE1685" t="str">
        <f>"52399"</f>
        <v>52399</v>
      </c>
      <c r="AF1685" t="s">
        <v>1581</v>
      </c>
      <c r="AG1685" t="s">
        <v>281</v>
      </c>
      <c r="AI1685" t="s">
        <v>1582</v>
      </c>
      <c r="AJ1685" t="s">
        <v>1359</v>
      </c>
      <c r="AK1685" t="str">
        <f>""</f>
        <v/>
      </c>
      <c r="AL1685" t="s">
        <v>1113</v>
      </c>
      <c r="AM1685" t="s">
        <v>122</v>
      </c>
      <c r="AN1685" s="3">
        <v>27709</v>
      </c>
      <c r="AO1685" t="s">
        <v>101</v>
      </c>
      <c r="AQ1685" t="str">
        <f>"+19194583184"</f>
        <v>+19194583184</v>
      </c>
      <c r="AS1685" t="s">
        <v>1584</v>
      </c>
      <c r="AT1685" t="s">
        <v>107</v>
      </c>
      <c r="AU1685" t="str">
        <f>"Swett"</f>
        <v>Swett</v>
      </c>
      <c r="AV1685" t="str">
        <f>"Deborah "</f>
        <v xml:space="preserve">Deborah </v>
      </c>
      <c r="AW1685" t="str">
        <f>"L."</f>
        <v>L.</v>
      </c>
      <c r="AX1685" t="str">
        <f>"2 Seaport Lane"</f>
        <v>2 Seaport Lane</v>
      </c>
      <c r="AY1685" t="str">
        <f>"300"</f>
        <v>300</v>
      </c>
      <c r="AZ1685" t="str">
        <f>"Boston"</f>
        <v>Boston</v>
      </c>
      <c r="BA1685" t="str">
        <f>"MA"</f>
        <v>MA</v>
      </c>
      <c r="BB1685" s="3">
        <v>2210</v>
      </c>
      <c r="BC1685" t="str">
        <f t="shared" si="134"/>
        <v>UNITED STATES OF AMERICA</v>
      </c>
      <c r="BD1685" t="str">
        <f>""</f>
        <v/>
      </c>
      <c r="BE1685" t="str">
        <f>"+16179464815"</f>
        <v>+16179464815</v>
      </c>
      <c r="BF1685" t="str">
        <f>""</f>
        <v/>
      </c>
      <c r="BG1685" t="str">
        <f>"DSwett@seyfarth.com"</f>
        <v>DSwett@seyfarth.com</v>
      </c>
      <c r="BH1685" t="str">
        <f>"Seyfarth Shaw LLP"</f>
        <v>Seyfarth Shaw LLP</v>
      </c>
      <c r="BI1685" t="str">
        <f>"CT"</f>
        <v>CT</v>
      </c>
      <c r="BJ1685" t="str">
        <f>"Supreme Judicial Court"</f>
        <v>Supreme Judicial Court</v>
      </c>
      <c r="BK1685">
        <v>1</v>
      </c>
      <c r="BL1685" t="s">
        <v>102</v>
      </c>
      <c r="BM1685" t="str">
        <f>""</f>
        <v/>
      </c>
      <c r="BN1685" t="s">
        <v>6256</v>
      </c>
      <c r="BP1685" t="s">
        <v>2151</v>
      </c>
      <c r="BQ1685" t="s">
        <v>1095</v>
      </c>
      <c r="BR1685" t="s">
        <v>169</v>
      </c>
      <c r="BS1685" s="5">
        <v>84101</v>
      </c>
      <c r="BT1685" s="2">
        <v>88504</v>
      </c>
      <c r="BU1685" s="2">
        <v>106475</v>
      </c>
      <c r="BV1685" t="s">
        <v>105</v>
      </c>
      <c r="BW1685" s="2">
        <v>88504</v>
      </c>
      <c r="BX1685" t="s">
        <v>105</v>
      </c>
      <c r="BZ1685" t="s">
        <v>167</v>
      </c>
      <c r="CA1685" t="str">
        <f t="shared" si="133"/>
        <v>7/1/2020 - 6/30/2021</v>
      </c>
      <c r="CF1685">
        <v>2</v>
      </c>
      <c r="CG1685" t="s">
        <v>98</v>
      </c>
      <c r="CH1685" t="s">
        <v>206</v>
      </c>
      <c r="CI1685" t="s">
        <v>206</v>
      </c>
      <c r="CL1685" t="s">
        <v>108</v>
      </c>
      <c r="CM1685" t="s">
        <v>109</v>
      </c>
      <c r="CN1685" t="str">
        <f>"Lewis"</f>
        <v>Lewis</v>
      </c>
      <c r="CO1685" t="str">
        <f>"Brittanie"</f>
        <v>Brittanie</v>
      </c>
      <c r="CP1685" t="str">
        <f>""</f>
        <v/>
      </c>
      <c r="CQ1685" t="str">
        <f>"Seyfarth Shaw LLP"</f>
        <v>Seyfarth Shaw LLP</v>
      </c>
      <c r="CR1685" t="s">
        <v>5951</v>
      </c>
    </row>
    <row r="1686" spans="1:96" x14ac:dyDescent="0.2">
      <c r="A1686" t="s">
        <v>6287</v>
      </c>
      <c r="B1686" t="s">
        <v>96</v>
      </c>
      <c r="C1686" s="1">
        <v>44099</v>
      </c>
      <c r="D1686" s="1">
        <v>44106</v>
      </c>
      <c r="F1686" t="s">
        <v>97</v>
      </c>
      <c r="G1686" t="str">
        <f>"Project Engineer"</f>
        <v>Project Engineer</v>
      </c>
      <c r="H1686" t="s">
        <v>12205</v>
      </c>
      <c r="I1686" t="s">
        <v>665</v>
      </c>
      <c r="J1686" t="s">
        <v>98</v>
      </c>
      <c r="K1686" s="1">
        <v>44105</v>
      </c>
      <c r="L1686" s="1">
        <v>45199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6288</v>
      </c>
      <c r="U1686" t="str">
        <f>""</f>
        <v/>
      </c>
      <c r="V1686" t="s">
        <v>6289</v>
      </c>
      <c r="W1686" t="str">
        <f>"SUITE 300"</f>
        <v>SUITE 300</v>
      </c>
      <c r="X1686" t="s">
        <v>1555</v>
      </c>
      <c r="Y1686" t="s">
        <v>100</v>
      </c>
      <c r="Z1686" s="3">
        <v>7470</v>
      </c>
      <c r="AA1686" t="s">
        <v>101</v>
      </c>
      <c r="AC1686" s="4" t="str">
        <f>"+19739040213"</f>
        <v>+19739040213</v>
      </c>
      <c r="AE1686" t="str">
        <f>"236220"</f>
        <v>236220</v>
      </c>
      <c r="AF1686" t="s">
        <v>6290</v>
      </c>
      <c r="AG1686" t="s">
        <v>200</v>
      </c>
      <c r="AI1686" t="s">
        <v>6291</v>
      </c>
      <c r="AJ1686" t="s">
        <v>6289</v>
      </c>
      <c r="AK1686" t="str">
        <f>"SUITE 300"</f>
        <v>SUITE 300</v>
      </c>
      <c r="AL1686" t="s">
        <v>1555</v>
      </c>
      <c r="AM1686" t="s">
        <v>100</v>
      </c>
      <c r="AN1686" s="3">
        <v>7470</v>
      </c>
      <c r="AO1686" t="s">
        <v>101</v>
      </c>
      <c r="AQ1686" t="str">
        <f>"+19739040213"</f>
        <v>+19739040213</v>
      </c>
      <c r="AR1686">
        <v>121</v>
      </c>
      <c r="AS1686" t="s">
        <v>6292</v>
      </c>
      <c r="AT1686" t="s">
        <v>107</v>
      </c>
      <c r="AU1686" t="str">
        <f>"WILDES"</f>
        <v>WILDES</v>
      </c>
      <c r="AV1686" t="str">
        <f>"MICHAEL"</f>
        <v>MICHAEL</v>
      </c>
      <c r="AW1686" t="str">
        <f>"JAY"</f>
        <v>JAY</v>
      </c>
      <c r="AX1686" t="str">
        <f>"515 MADISON AVENUE"</f>
        <v>515 MADISON AVENUE</v>
      </c>
      <c r="AY1686" t="str">
        <f>"6th Floor"</f>
        <v>6th Floor</v>
      </c>
      <c r="AZ1686" t="str">
        <f>"NEW YORK"</f>
        <v>NEW YORK</v>
      </c>
      <c r="BA1686" t="str">
        <f>"NY"</f>
        <v>NY</v>
      </c>
      <c r="BB1686" s="3">
        <v>10022</v>
      </c>
      <c r="BC1686" t="str">
        <f t="shared" si="134"/>
        <v>UNITED STATES OF AMERICA</v>
      </c>
      <c r="BD1686" t="str">
        <f>""</f>
        <v/>
      </c>
      <c r="BE1686" t="str">
        <f>"+12127533468"</f>
        <v>+12127533468</v>
      </c>
      <c r="BF1686" t="str">
        <f>""</f>
        <v/>
      </c>
      <c r="BG1686" t="str">
        <f>"achang@wildesweinberg.com"</f>
        <v>achang@wildesweinberg.com</v>
      </c>
      <c r="BH1686" t="str">
        <f>"WILDES &amp; WEINBERG P.C."</f>
        <v>WILDES &amp; WEINBERG P.C.</v>
      </c>
      <c r="BI1686" t="str">
        <f>"NY"</f>
        <v>NY</v>
      </c>
      <c r="BJ1686" t="str">
        <f>"COURT OF APPEALS"</f>
        <v>COURT OF APPEALS</v>
      </c>
      <c r="BK1686">
        <v>1</v>
      </c>
      <c r="BL1686" t="s">
        <v>102</v>
      </c>
      <c r="BM1686" t="str">
        <f>""</f>
        <v/>
      </c>
      <c r="BN1686" t="s">
        <v>6293</v>
      </c>
      <c r="BP1686" t="s">
        <v>3881</v>
      </c>
      <c r="BQ1686" t="s">
        <v>2066</v>
      </c>
      <c r="BR1686" t="s">
        <v>190</v>
      </c>
      <c r="BS1686" s="5">
        <v>10604</v>
      </c>
      <c r="BT1686" s="2">
        <v>66165</v>
      </c>
      <c r="BV1686" t="s">
        <v>105</v>
      </c>
      <c r="BW1686" s="2">
        <v>66165</v>
      </c>
      <c r="BX1686" t="s">
        <v>105</v>
      </c>
      <c r="BZ1686" t="s">
        <v>191</v>
      </c>
      <c r="CA1686" t="str">
        <f t="shared" si="133"/>
        <v>7/1/2020 - 6/30/2021</v>
      </c>
      <c r="CF1686">
        <v>1</v>
      </c>
      <c r="CG1686" t="s">
        <v>98</v>
      </c>
      <c r="CH1686" t="s">
        <v>206</v>
      </c>
      <c r="CI1686" t="s">
        <v>206</v>
      </c>
      <c r="CL1686" t="s">
        <v>108</v>
      </c>
      <c r="CM1686" t="s">
        <v>109</v>
      </c>
      <c r="CN1686" t="str">
        <f>"Chang"</f>
        <v>Chang</v>
      </c>
      <c r="CO1686" t="str">
        <f>"Chiwon"</f>
        <v>Chiwon</v>
      </c>
      <c r="CP1686" t="str">
        <f>""</f>
        <v/>
      </c>
      <c r="CQ1686" t="str">
        <f>"Wildes &amp; Weinberg, P.C."</f>
        <v>Wildes &amp; Weinberg, P.C.</v>
      </c>
      <c r="CR1686" t="s">
        <v>6294</v>
      </c>
    </row>
    <row r="1687" spans="1:96" x14ac:dyDescent="0.2">
      <c r="A1687" t="s">
        <v>6298</v>
      </c>
      <c r="B1687" t="s">
        <v>96</v>
      </c>
      <c r="C1687" s="1">
        <v>44099</v>
      </c>
      <c r="D1687" s="1">
        <v>44106</v>
      </c>
      <c r="F1687" t="s">
        <v>97</v>
      </c>
      <c r="G1687" t="str">
        <f>"Software Engineer 1615.57488"</f>
        <v>Software Engineer 1615.57488</v>
      </c>
      <c r="H1687" t="s">
        <v>12169</v>
      </c>
      <c r="I1687" t="s">
        <v>124</v>
      </c>
      <c r="J1687" t="s">
        <v>98</v>
      </c>
      <c r="K1687" s="1">
        <v>44106</v>
      </c>
      <c r="L1687" s="1">
        <v>45200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 t="s">
        <v>890</v>
      </c>
      <c r="U1687" t="str">
        <f>""</f>
        <v/>
      </c>
      <c r="V1687" t="s">
        <v>290</v>
      </c>
      <c r="W1687" t="str">
        <f>""</f>
        <v/>
      </c>
      <c r="X1687" t="s">
        <v>155</v>
      </c>
      <c r="Y1687" t="s">
        <v>141</v>
      </c>
      <c r="Z1687" s="3">
        <v>94043</v>
      </c>
      <c r="AA1687" t="s">
        <v>101</v>
      </c>
      <c r="AC1687" s="4" t="str">
        <f>"+16502534513"</f>
        <v>+16502534513</v>
      </c>
      <c r="AE1687" t="str">
        <f>"541512"</f>
        <v>541512</v>
      </c>
      <c r="AF1687" t="s">
        <v>891</v>
      </c>
      <c r="AG1687" t="s">
        <v>892</v>
      </c>
      <c r="AI1687" t="s">
        <v>893</v>
      </c>
      <c r="AJ1687" t="s">
        <v>290</v>
      </c>
      <c r="AK1687" t="str">
        <f>""</f>
        <v/>
      </c>
      <c r="AL1687" t="s">
        <v>155</v>
      </c>
      <c r="AM1687" t="s">
        <v>141</v>
      </c>
      <c r="AN1687" s="3">
        <v>94043</v>
      </c>
      <c r="AO1687" t="s">
        <v>101</v>
      </c>
      <c r="AQ1687" t="str">
        <f>"+16502534513"</f>
        <v>+16502534513</v>
      </c>
      <c r="AS1687" t="s">
        <v>429</v>
      </c>
      <c r="AT1687" t="s">
        <v>107</v>
      </c>
      <c r="AU1687" t="str">
        <f>"LOPEZ"</f>
        <v>LOPEZ</v>
      </c>
      <c r="AV1687" t="str">
        <f>"FRANCISCO"</f>
        <v>FRANCISCO</v>
      </c>
      <c r="AW1687" t="str">
        <f>"JAVIER"</f>
        <v>JAVIER</v>
      </c>
      <c r="AX1687" t="str">
        <f>"2400 N GLENVILLE DRIVE"</f>
        <v>2400 N GLENVILLE DRIVE</v>
      </c>
      <c r="AY1687" t="str">
        <f>"BUILDING A, SUITE 100"</f>
        <v>BUILDING A, SUITE 100</v>
      </c>
      <c r="AZ1687" t="str">
        <f>"RICHARDSON"</f>
        <v>RICHARDSON</v>
      </c>
      <c r="BA1687" t="str">
        <f>"TX"</f>
        <v>TX</v>
      </c>
      <c r="BB1687" s="3">
        <v>75082</v>
      </c>
      <c r="BC1687" t="str">
        <f t="shared" si="134"/>
        <v>UNITED STATES OF AMERICA</v>
      </c>
      <c r="BD1687" t="str">
        <f>""</f>
        <v/>
      </c>
      <c r="BE1687" t="str">
        <f>"+14695052647"</f>
        <v>+14695052647</v>
      </c>
      <c r="BF1687" t="str">
        <f>""</f>
        <v/>
      </c>
      <c r="BG1687" t="str">
        <f>"GOOGLEDOL@BALGLOBAL.COM"</f>
        <v>GOOGLEDOL@BALGLOBAL.COM</v>
      </c>
      <c r="BH1687" t="str">
        <f>"BERRY APPLEMAN &amp; LEIDEN LLP"</f>
        <v>BERRY APPLEMAN &amp; LEIDEN LLP</v>
      </c>
      <c r="BI1687" t="str">
        <f>"DC"</f>
        <v>DC</v>
      </c>
      <c r="BJ1687" t="str">
        <f>"COURT OF APPEALS"</f>
        <v>COURT OF APPEALS</v>
      </c>
      <c r="BK1687">
        <v>1</v>
      </c>
      <c r="BL1687" t="s">
        <v>102</v>
      </c>
      <c r="BM1687" t="str">
        <f>""</f>
        <v/>
      </c>
      <c r="BN1687" t="s">
        <v>290</v>
      </c>
      <c r="BP1687" t="s">
        <v>155</v>
      </c>
      <c r="BQ1687" t="s">
        <v>230</v>
      </c>
      <c r="BR1687" t="s">
        <v>141</v>
      </c>
      <c r="BS1687" s="5">
        <v>94043</v>
      </c>
      <c r="BT1687" s="2">
        <v>160000</v>
      </c>
      <c r="BV1687" t="s">
        <v>105</v>
      </c>
      <c r="BW1687" s="2">
        <v>120578</v>
      </c>
      <c r="BX1687" t="s">
        <v>105</v>
      </c>
      <c r="BZ1687" t="s">
        <v>167</v>
      </c>
      <c r="CA1687" t="str">
        <f t="shared" si="133"/>
        <v>7/1/2020 - 6/30/2021</v>
      </c>
      <c r="CF1687">
        <v>2</v>
      </c>
      <c r="CG1687" t="s">
        <v>98</v>
      </c>
      <c r="CH1687" t="s">
        <v>206</v>
      </c>
      <c r="CI1687" t="s">
        <v>206</v>
      </c>
      <c r="CL1687" t="s">
        <v>108</v>
      </c>
      <c r="CM1687" t="s">
        <v>109</v>
      </c>
      <c r="CN1687" t="str">
        <f>"Galvez"</f>
        <v>Galvez</v>
      </c>
      <c r="CO1687" t="str">
        <f>"Adrian"</f>
        <v>Adrian</v>
      </c>
      <c r="CP1687" t="str">
        <f>""</f>
        <v/>
      </c>
      <c r="CQ1687" t="str">
        <f>"Berry Appleman &amp; Leiden LLP"</f>
        <v>Berry Appleman &amp; Leiden LLP</v>
      </c>
      <c r="CR1687" t="s">
        <v>6299</v>
      </c>
    </row>
    <row r="1688" spans="1:96" x14ac:dyDescent="0.2">
      <c r="A1688" t="s">
        <v>6305</v>
      </c>
      <c r="B1688" t="s">
        <v>96</v>
      </c>
      <c r="C1688" s="1">
        <v>44099</v>
      </c>
      <c r="D1688" s="1">
        <v>44106</v>
      </c>
      <c r="F1688" t="s">
        <v>97</v>
      </c>
      <c r="G1688" t="str">
        <f>"Assistant Professor"</f>
        <v>Assistant Professor</v>
      </c>
      <c r="H1688" t="s">
        <v>12193</v>
      </c>
      <c r="I1688" t="s">
        <v>205</v>
      </c>
      <c r="J1688" t="s">
        <v>98</v>
      </c>
      <c r="K1688" s="1">
        <v>44200</v>
      </c>
      <c r="L1688" s="1">
        <v>45294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2734</v>
      </c>
      <c r="U1688" t="str">
        <f>""</f>
        <v/>
      </c>
      <c r="V1688" t="s">
        <v>2735</v>
      </c>
      <c r="W1688" t="str">
        <f>"2400 Nueces Street, Suite B"</f>
        <v>2400 Nueces Street, Suite B</v>
      </c>
      <c r="X1688" t="s">
        <v>765</v>
      </c>
      <c r="Y1688" t="s">
        <v>114</v>
      </c>
      <c r="Z1688" s="3">
        <v>78705</v>
      </c>
      <c r="AA1688" t="s">
        <v>101</v>
      </c>
      <c r="AC1688" s="4" t="str">
        <f>"+15124712477"</f>
        <v>+15124712477</v>
      </c>
      <c r="AE1688" t="str">
        <f>"611310"</f>
        <v>611310</v>
      </c>
      <c r="AF1688" t="s">
        <v>2787</v>
      </c>
      <c r="AG1688" t="s">
        <v>2788</v>
      </c>
      <c r="AI1688" t="s">
        <v>1645</v>
      </c>
      <c r="AJ1688" t="s">
        <v>6306</v>
      </c>
      <c r="AK1688" t="str">
        <f>"24000 Nueces St., Suite B"</f>
        <v>24000 Nueces St., Suite B</v>
      </c>
      <c r="AL1688" t="s">
        <v>765</v>
      </c>
      <c r="AM1688" t="s">
        <v>114</v>
      </c>
      <c r="AN1688" s="3">
        <v>78705</v>
      </c>
      <c r="AO1688" t="s">
        <v>101</v>
      </c>
      <c r="AQ1688" t="str">
        <f>"+16266287111"</f>
        <v>+16266287111</v>
      </c>
      <c r="AS1688" t="s">
        <v>2789</v>
      </c>
      <c r="AT1688" t="s">
        <v>102</v>
      </c>
      <c r="AU1688" t="str">
        <f>""</f>
        <v/>
      </c>
      <c r="AV1688" t="str">
        <f>""</f>
        <v/>
      </c>
      <c r="AW1688" t="str">
        <f>""</f>
        <v/>
      </c>
      <c r="AX1688" t="str">
        <f>""</f>
        <v/>
      </c>
      <c r="AY1688" t="str">
        <f>""</f>
        <v/>
      </c>
      <c r="AZ1688" t="str">
        <f>""</f>
        <v/>
      </c>
      <c r="BA1688" t="str">
        <f>""</f>
        <v/>
      </c>
      <c r="BC1688" t="str">
        <f>""</f>
        <v/>
      </c>
      <c r="BD1688" t="str">
        <f>""</f>
        <v/>
      </c>
      <c r="BE1688" t="str">
        <f>""</f>
        <v/>
      </c>
      <c r="BF1688" t="str">
        <f>""</f>
        <v/>
      </c>
      <c r="BG1688" t="str">
        <f>""</f>
        <v/>
      </c>
      <c r="BH1688" t="str">
        <f>""</f>
        <v/>
      </c>
      <c r="BI1688" t="str">
        <f>""</f>
        <v/>
      </c>
      <c r="BJ1688" t="str">
        <f>""</f>
        <v/>
      </c>
      <c r="BK1688">
        <v>1</v>
      </c>
      <c r="BL1688" t="s">
        <v>102</v>
      </c>
      <c r="BM1688" t="str">
        <f>""</f>
        <v/>
      </c>
      <c r="BN1688" t="s">
        <v>6307</v>
      </c>
      <c r="BO1688" t="s">
        <v>6308</v>
      </c>
      <c r="BP1688" t="s">
        <v>765</v>
      </c>
      <c r="BQ1688" t="s">
        <v>721</v>
      </c>
      <c r="BR1688" t="s">
        <v>114</v>
      </c>
      <c r="BS1688" s="5">
        <v>78712</v>
      </c>
      <c r="BT1688" s="2">
        <v>100000</v>
      </c>
      <c r="BV1688" t="s">
        <v>105</v>
      </c>
      <c r="BW1688" s="2">
        <v>80310</v>
      </c>
      <c r="BX1688" t="s">
        <v>105</v>
      </c>
      <c r="BZ1688" t="s">
        <v>191</v>
      </c>
      <c r="CA1688" t="str">
        <f t="shared" si="133"/>
        <v>7/1/2020 - 6/30/2021</v>
      </c>
      <c r="CF1688">
        <v>1</v>
      </c>
      <c r="CG1688" t="s">
        <v>98</v>
      </c>
      <c r="CH1688" t="s">
        <v>206</v>
      </c>
      <c r="CI1688" t="s">
        <v>206</v>
      </c>
      <c r="CL1688" t="s">
        <v>108</v>
      </c>
      <c r="CM1688" t="s">
        <v>109</v>
      </c>
      <c r="CN1688" t="str">
        <f>""</f>
        <v/>
      </c>
      <c r="CO1688" t="str">
        <f>""</f>
        <v/>
      </c>
      <c r="CP1688" t="str">
        <f>""</f>
        <v/>
      </c>
      <c r="CQ1688" t="str">
        <f>""</f>
        <v/>
      </c>
    </row>
    <row r="1689" spans="1:96" x14ac:dyDescent="0.2">
      <c r="A1689" t="s">
        <v>6353</v>
      </c>
      <c r="B1689" t="s">
        <v>96</v>
      </c>
      <c r="C1689" s="1">
        <v>44099</v>
      </c>
      <c r="D1689" s="1">
        <v>44106</v>
      </c>
      <c r="F1689" t="s">
        <v>97</v>
      </c>
      <c r="G1689" t="str">
        <f>"Electrical Engineer 4"</f>
        <v>Electrical Engineer 4</v>
      </c>
      <c r="H1689" t="s">
        <v>12179</v>
      </c>
      <c r="I1689" t="s">
        <v>1357</v>
      </c>
      <c r="J1689" t="s">
        <v>98</v>
      </c>
      <c r="K1689" s="1">
        <v>44099</v>
      </c>
      <c r="L1689" s="1">
        <v>45193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 t="s">
        <v>2315</v>
      </c>
      <c r="U1689" t="str">
        <f>""</f>
        <v/>
      </c>
      <c r="V1689" t="s">
        <v>2316</v>
      </c>
      <c r="W1689" t="str">
        <f>""</f>
        <v/>
      </c>
      <c r="X1689" t="s">
        <v>1371</v>
      </c>
      <c r="Y1689" t="s">
        <v>193</v>
      </c>
      <c r="Z1689" s="3">
        <v>66211</v>
      </c>
      <c r="AA1689" t="s">
        <v>101</v>
      </c>
      <c r="AC1689" s="4" t="str">
        <f>"+19134582000"</f>
        <v>+19134582000</v>
      </c>
      <c r="AE1689" t="str">
        <f>"541330"</f>
        <v>541330</v>
      </c>
      <c r="AF1689" t="s">
        <v>2317</v>
      </c>
      <c r="AG1689" t="s">
        <v>2318</v>
      </c>
      <c r="AI1689" t="s">
        <v>2319</v>
      </c>
      <c r="AJ1689" t="s">
        <v>2316</v>
      </c>
      <c r="AK1689" t="str">
        <f>""</f>
        <v/>
      </c>
      <c r="AL1689" t="s">
        <v>1371</v>
      </c>
      <c r="AM1689" t="s">
        <v>193</v>
      </c>
      <c r="AN1689" s="3">
        <v>66211</v>
      </c>
      <c r="AO1689" t="s">
        <v>101</v>
      </c>
      <c r="AQ1689" t="str">
        <f>"+19134582000"</f>
        <v>+19134582000</v>
      </c>
      <c r="AS1689" t="s">
        <v>2320</v>
      </c>
      <c r="AT1689" t="s">
        <v>107</v>
      </c>
      <c r="AU1689" t="str">
        <f>"McCrummen"</f>
        <v>McCrummen</v>
      </c>
      <c r="AV1689" t="str">
        <f>"Roger"</f>
        <v>Roger</v>
      </c>
      <c r="AW1689" t="str">
        <f>"K."</f>
        <v>K.</v>
      </c>
      <c r="AX1689" t="str">
        <f>"P.O. Box 34664"</f>
        <v>P.O. Box 34664</v>
      </c>
      <c r="AY1689" t="str">
        <f>""</f>
        <v/>
      </c>
      <c r="AZ1689" t="str">
        <f>"N. Kansas City"</f>
        <v>N. Kansas City</v>
      </c>
      <c r="BA1689" t="str">
        <f>"MO"</f>
        <v>MO</v>
      </c>
      <c r="BB1689" s="3" t="s">
        <v>12310</v>
      </c>
      <c r="BC1689" t="str">
        <f>"UNITED STATES OF AMERICA"</f>
        <v>UNITED STATES OF AMERICA</v>
      </c>
      <c r="BD1689" t="str">
        <f>""</f>
        <v/>
      </c>
      <c r="BE1689" t="str">
        <f>"+18162215444"</f>
        <v>+18162215444</v>
      </c>
      <c r="BF1689" t="str">
        <f>""</f>
        <v/>
      </c>
      <c r="BG1689" t="str">
        <f>"drm@kcimmigrationlaw.com"</f>
        <v>drm@kcimmigrationlaw.com</v>
      </c>
      <c r="BH1689" t="str">
        <f>"McCrummen Immigration Law Group, LLC"</f>
        <v>McCrummen Immigration Law Group, LLC</v>
      </c>
      <c r="BI1689" t="str">
        <f>"MO"</f>
        <v>MO</v>
      </c>
      <c r="BJ1689" t="str">
        <f>"The Supreme Court of Missouri"</f>
        <v>The Supreme Court of Missouri</v>
      </c>
      <c r="BK1689">
        <v>1</v>
      </c>
      <c r="BL1689" t="s">
        <v>102</v>
      </c>
      <c r="BM1689" t="str">
        <f>""</f>
        <v/>
      </c>
      <c r="BN1689" t="s">
        <v>6354</v>
      </c>
      <c r="BP1689" t="s">
        <v>2047</v>
      </c>
      <c r="BQ1689" t="s">
        <v>2050</v>
      </c>
      <c r="BR1689" t="s">
        <v>265</v>
      </c>
      <c r="BS1689" s="5">
        <v>48105</v>
      </c>
      <c r="BT1689" s="2">
        <v>99008</v>
      </c>
      <c r="BU1689" s="2">
        <v>130022</v>
      </c>
      <c r="BV1689" t="s">
        <v>105</v>
      </c>
      <c r="BW1689" s="2">
        <v>99008</v>
      </c>
      <c r="BX1689" t="s">
        <v>105</v>
      </c>
      <c r="BZ1689" t="s">
        <v>159</v>
      </c>
      <c r="CA1689" t="str">
        <f t="shared" si="133"/>
        <v>7/1/2020 - 6/30/2021</v>
      </c>
      <c r="CF1689">
        <v>2</v>
      </c>
      <c r="CG1689" t="s">
        <v>98</v>
      </c>
      <c r="CH1689" t="s">
        <v>206</v>
      </c>
      <c r="CI1689" t="s">
        <v>206</v>
      </c>
      <c r="CL1689" t="s">
        <v>108</v>
      </c>
      <c r="CM1689" t="s">
        <v>109</v>
      </c>
      <c r="CN1689" t="str">
        <f>"N/A"</f>
        <v>N/A</v>
      </c>
      <c r="CO1689" t="str">
        <f>"N/A"</f>
        <v>N/A</v>
      </c>
      <c r="CP1689" t="str">
        <f>""</f>
        <v/>
      </c>
      <c r="CQ1689" t="str">
        <f>"Not Applicable"</f>
        <v>Not Applicable</v>
      </c>
      <c r="CR1689" t="s">
        <v>108</v>
      </c>
    </row>
    <row r="1690" spans="1:96" x14ac:dyDescent="0.2">
      <c r="A1690" t="s">
        <v>6387</v>
      </c>
      <c r="B1690" t="s">
        <v>96</v>
      </c>
      <c r="C1690" s="1">
        <v>44099</v>
      </c>
      <c r="D1690" s="1">
        <v>44106</v>
      </c>
      <c r="F1690" t="s">
        <v>97</v>
      </c>
      <c r="G1690" t="str">
        <f>"Dentist"</f>
        <v>Dentist</v>
      </c>
      <c r="H1690" t="s">
        <v>12175</v>
      </c>
      <c r="I1690" t="s">
        <v>420</v>
      </c>
      <c r="J1690" t="s">
        <v>98</v>
      </c>
      <c r="K1690" s="1">
        <v>44105</v>
      </c>
      <c r="L1690" s="1">
        <v>45199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6388</v>
      </c>
      <c r="U1690" t="str">
        <f>"Gentle Dental"</f>
        <v>Gentle Dental</v>
      </c>
      <c r="V1690" t="s">
        <v>6389</v>
      </c>
      <c r="W1690" t="str">
        <f>"Suite 800"</f>
        <v>Suite 800</v>
      </c>
      <c r="X1690" t="s">
        <v>6390</v>
      </c>
      <c r="Y1690" t="s">
        <v>141</v>
      </c>
      <c r="Z1690" s="3">
        <v>90301</v>
      </c>
      <c r="AA1690" t="s">
        <v>101</v>
      </c>
      <c r="AC1690" s="4" t="str">
        <f>"+13605249845"</f>
        <v>+13605249845</v>
      </c>
      <c r="AE1690" t="str">
        <f>"621210"</f>
        <v>621210</v>
      </c>
      <c r="AF1690" t="s">
        <v>6391</v>
      </c>
      <c r="AG1690" t="s">
        <v>2764</v>
      </c>
      <c r="AI1690" t="s">
        <v>6392</v>
      </c>
      <c r="AJ1690" t="s">
        <v>6393</v>
      </c>
      <c r="AK1690" t="str">
        <f>"Suite 195"</f>
        <v>Suite 195</v>
      </c>
      <c r="AL1690" t="s">
        <v>4690</v>
      </c>
      <c r="AM1690" t="s">
        <v>176</v>
      </c>
      <c r="AN1690" s="3">
        <v>98683</v>
      </c>
      <c r="AO1690" t="s">
        <v>101</v>
      </c>
      <c r="AQ1690" t="str">
        <f>"+13605249845"</f>
        <v>+13605249845</v>
      </c>
      <c r="AS1690" t="s">
        <v>6394</v>
      </c>
      <c r="AT1690" t="s">
        <v>107</v>
      </c>
      <c r="AU1690" t="str">
        <f>"Clarke"</f>
        <v>Clarke</v>
      </c>
      <c r="AV1690" t="str">
        <f>"Marsha"</f>
        <v>Marsha</v>
      </c>
      <c r="AW1690" t="str">
        <f>""</f>
        <v/>
      </c>
      <c r="AX1690" t="str">
        <f>"230 W. Monroe St."</f>
        <v>230 W. Monroe St.</v>
      </c>
      <c r="AY1690" t="str">
        <f>"Suite 2800"</f>
        <v>Suite 2800</v>
      </c>
      <c r="AZ1690" t="str">
        <f>"Chicago"</f>
        <v>Chicago</v>
      </c>
      <c r="BA1690" t="str">
        <f>"IL"</f>
        <v>IL</v>
      </c>
      <c r="BB1690" s="3">
        <v>60606</v>
      </c>
      <c r="BC1690" t="str">
        <f>"UNITED STATES OF AMERICA"</f>
        <v>UNITED STATES OF AMERICA</v>
      </c>
      <c r="BD1690" t="str">
        <f>""</f>
        <v/>
      </c>
      <c r="BE1690" t="str">
        <f>"+13127226300"</f>
        <v>+13127226300</v>
      </c>
      <c r="BF1690" t="str">
        <f>""</f>
        <v/>
      </c>
      <c r="BG1690" t="str">
        <f>"gov@giafirm.com"</f>
        <v>gov@giafirm.com</v>
      </c>
      <c r="BH1690" t="str">
        <f>"Global Immigration Associates, P.C."</f>
        <v>Global Immigration Associates, P.C.</v>
      </c>
      <c r="BI1690" t="str">
        <f>"CT"</f>
        <v>CT</v>
      </c>
      <c r="BJ1690" t="str">
        <f>"Supreme Court"</f>
        <v>Supreme Court</v>
      </c>
      <c r="BK1690">
        <v>1</v>
      </c>
      <c r="BL1690" t="s">
        <v>102</v>
      </c>
      <c r="BM1690" t="str">
        <f>""</f>
        <v/>
      </c>
      <c r="BN1690" t="s">
        <v>6395</v>
      </c>
      <c r="BO1690" t="s">
        <v>4650</v>
      </c>
      <c r="BP1690" t="s">
        <v>6396</v>
      </c>
      <c r="BQ1690" t="s">
        <v>377</v>
      </c>
      <c r="BR1690" t="s">
        <v>141</v>
      </c>
      <c r="BS1690" s="5">
        <v>92653</v>
      </c>
      <c r="BT1690" s="2">
        <v>86000</v>
      </c>
      <c r="BV1690" t="s">
        <v>105</v>
      </c>
      <c r="BW1690" s="2">
        <v>83803</v>
      </c>
      <c r="BX1690" t="s">
        <v>105</v>
      </c>
      <c r="BZ1690" t="s">
        <v>191</v>
      </c>
      <c r="CA1690" t="str">
        <f t="shared" si="133"/>
        <v>7/1/2020 - 6/30/2021</v>
      </c>
      <c r="CF1690">
        <v>1</v>
      </c>
      <c r="CG1690" t="s">
        <v>98</v>
      </c>
      <c r="CH1690" t="s">
        <v>206</v>
      </c>
      <c r="CI1690" t="s">
        <v>206</v>
      </c>
      <c r="CL1690" t="s">
        <v>108</v>
      </c>
      <c r="CM1690" t="s">
        <v>109</v>
      </c>
      <c r="CN1690" t="str">
        <f>""</f>
        <v/>
      </c>
      <c r="CO1690" t="str">
        <f>""</f>
        <v/>
      </c>
      <c r="CP1690" t="str">
        <f>""</f>
        <v/>
      </c>
      <c r="CQ1690" t="str">
        <f>""</f>
        <v/>
      </c>
    </row>
    <row r="1691" spans="1:96" x14ac:dyDescent="0.2">
      <c r="A1691" t="s">
        <v>6403</v>
      </c>
      <c r="B1691" t="s">
        <v>96</v>
      </c>
      <c r="C1691" s="1">
        <v>44099</v>
      </c>
      <c r="D1691" s="1">
        <v>44106</v>
      </c>
      <c r="F1691" t="s">
        <v>97</v>
      </c>
      <c r="G1691" t="str">
        <f>"Product Software Integration Engineer"</f>
        <v>Product Software Integration Engineer</v>
      </c>
      <c r="H1691" t="s">
        <v>12176</v>
      </c>
      <c r="I1691" t="s">
        <v>246</v>
      </c>
      <c r="J1691" t="s">
        <v>98</v>
      </c>
      <c r="K1691" s="1">
        <v>44105</v>
      </c>
      <c r="L1691" s="1">
        <v>45199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6404</v>
      </c>
      <c r="U1691" t="str">
        <f>""</f>
        <v/>
      </c>
      <c r="V1691" t="s">
        <v>6405</v>
      </c>
      <c r="W1691" t="str">
        <f>"SUITE 120"</f>
        <v>SUITE 120</v>
      </c>
      <c r="X1691" t="s">
        <v>755</v>
      </c>
      <c r="Y1691" t="s">
        <v>135</v>
      </c>
      <c r="Z1691" s="3">
        <v>20171</v>
      </c>
      <c r="AA1691" t="s">
        <v>101</v>
      </c>
      <c r="AC1691" s="4" t="str">
        <f>"+17036744505"</f>
        <v>+17036744505</v>
      </c>
      <c r="AE1691" t="str">
        <f>"541511"</f>
        <v>541511</v>
      </c>
      <c r="AF1691" t="s">
        <v>243</v>
      </c>
      <c r="AG1691" t="s">
        <v>5169</v>
      </c>
      <c r="AI1691" t="s">
        <v>898</v>
      </c>
      <c r="AJ1691" t="s">
        <v>6405</v>
      </c>
      <c r="AK1691" t="str">
        <f>""</f>
        <v/>
      </c>
      <c r="AL1691" t="s">
        <v>755</v>
      </c>
      <c r="AM1691" t="s">
        <v>135</v>
      </c>
      <c r="AN1691" s="3">
        <v>20171</v>
      </c>
      <c r="AO1691" t="s">
        <v>101</v>
      </c>
      <c r="AQ1691" t="str">
        <f>"+17036744505"</f>
        <v>+17036744505</v>
      </c>
      <c r="AS1691" t="s">
        <v>3224</v>
      </c>
      <c r="AT1691" t="s">
        <v>107</v>
      </c>
      <c r="AU1691" t="str">
        <f>"O'Neil"</f>
        <v>O'Neil</v>
      </c>
      <c r="AV1691" t="str">
        <f>"Megan"</f>
        <v>Megan</v>
      </c>
      <c r="AW1691" t="str">
        <f>""</f>
        <v/>
      </c>
      <c r="AX1691" t="str">
        <f>"314 Town Center Drive"</f>
        <v>314 Town Center Drive</v>
      </c>
      <c r="AY1691" t="str">
        <f>""</f>
        <v/>
      </c>
      <c r="AZ1691" t="str">
        <f>"Troy"</f>
        <v>Troy</v>
      </c>
      <c r="BA1691" t="str">
        <f>"MI"</f>
        <v>MI</v>
      </c>
      <c r="BB1691" s="3">
        <v>48084</v>
      </c>
      <c r="BC1691" t="str">
        <f>"UNITED STATES OF AMERICA"</f>
        <v>UNITED STATES OF AMERICA</v>
      </c>
      <c r="BD1691" t="str">
        <f>""</f>
        <v/>
      </c>
      <c r="BE1691" t="str">
        <f>"+12486800600"</f>
        <v>+12486800600</v>
      </c>
      <c r="BF1691" t="str">
        <f>""</f>
        <v/>
      </c>
      <c r="BG1691" t="str">
        <f>"hvisa@piston.net"</f>
        <v>hvisa@piston.net</v>
      </c>
      <c r="BH1691" t="str">
        <f>"Piston &amp; Carpenter P.C."</f>
        <v>Piston &amp; Carpenter P.C.</v>
      </c>
      <c r="BI1691" t="str">
        <f>"MI"</f>
        <v>MI</v>
      </c>
      <c r="BJ1691" t="str">
        <f>"Supreme Court"</f>
        <v>Supreme Court</v>
      </c>
      <c r="BK1691">
        <v>1</v>
      </c>
      <c r="BL1691" t="s">
        <v>107</v>
      </c>
      <c r="BM1691" t="str">
        <f>"Qualcomm, Inc."</f>
        <v>Qualcomm, Inc.</v>
      </c>
      <c r="BN1691" t="s">
        <v>6406</v>
      </c>
      <c r="BO1691" t="s">
        <v>6407</v>
      </c>
      <c r="BP1691" t="s">
        <v>157</v>
      </c>
      <c r="BQ1691" t="s">
        <v>158</v>
      </c>
      <c r="BR1691" t="s">
        <v>141</v>
      </c>
      <c r="BS1691" s="5">
        <v>92121</v>
      </c>
      <c r="BT1691" s="2">
        <v>80200</v>
      </c>
      <c r="BV1691" t="s">
        <v>105</v>
      </c>
      <c r="BW1691" s="2">
        <v>80184</v>
      </c>
      <c r="BX1691" t="s">
        <v>105</v>
      </c>
      <c r="BZ1691" t="s">
        <v>191</v>
      </c>
      <c r="CA1691" t="str">
        <f t="shared" si="133"/>
        <v>7/1/2020 - 6/30/2021</v>
      </c>
      <c r="CF1691">
        <v>2</v>
      </c>
      <c r="CG1691" t="s">
        <v>98</v>
      </c>
      <c r="CH1691" t="s">
        <v>206</v>
      </c>
      <c r="CI1691" t="s">
        <v>206</v>
      </c>
      <c r="CL1691" t="s">
        <v>108</v>
      </c>
      <c r="CM1691" t="s">
        <v>109</v>
      </c>
      <c r="CN1691" t="str">
        <f>"Bedard"</f>
        <v>Bedard</v>
      </c>
      <c r="CO1691" t="str">
        <f>"Denise"</f>
        <v>Denise</v>
      </c>
      <c r="CP1691" t="str">
        <f>""</f>
        <v/>
      </c>
      <c r="CQ1691" t="str">
        <f>"Piston &amp; Carpenter P.C."</f>
        <v>Piston &amp; Carpenter P.C.</v>
      </c>
      <c r="CR1691" t="s">
        <v>3304</v>
      </c>
    </row>
    <row r="1692" spans="1:96" x14ac:dyDescent="0.2">
      <c r="A1692" t="s">
        <v>6420</v>
      </c>
      <c r="B1692" t="s">
        <v>96</v>
      </c>
      <c r="C1692" s="1">
        <v>44099</v>
      </c>
      <c r="D1692" s="1">
        <v>44106</v>
      </c>
      <c r="F1692" t="s">
        <v>97</v>
      </c>
      <c r="G1692" t="str">
        <f>"IT Specialist"</f>
        <v>IT Specialist</v>
      </c>
      <c r="H1692" t="s">
        <v>12239</v>
      </c>
      <c r="I1692" t="s">
        <v>378</v>
      </c>
      <c r="J1692" t="s">
        <v>98</v>
      </c>
      <c r="K1692" s="1">
        <v>44156</v>
      </c>
      <c r="L1692" s="1">
        <v>45063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 t="s">
        <v>300</v>
      </c>
      <c r="U1692" t="str">
        <f>""</f>
        <v/>
      </c>
      <c r="V1692" t="s">
        <v>301</v>
      </c>
      <c r="W1692" t="str">
        <f>"BUILDING 002 "</f>
        <v xml:space="preserve">BUILDING 002 </v>
      </c>
      <c r="X1692" t="s">
        <v>302</v>
      </c>
      <c r="Y1692" t="s">
        <v>122</v>
      </c>
      <c r="Z1692" s="3" t="s">
        <v>12292</v>
      </c>
      <c r="AA1692" t="s">
        <v>101</v>
      </c>
      <c r="AB1692" t="s">
        <v>122</v>
      </c>
      <c r="AC1692" s="4" t="str">
        <f>"+19195430507"</f>
        <v>+19195430507</v>
      </c>
      <c r="AE1692" t="str">
        <f>"54151"</f>
        <v>54151</v>
      </c>
      <c r="AF1692" t="s">
        <v>303</v>
      </c>
      <c r="AG1692" t="s">
        <v>304</v>
      </c>
      <c r="AI1692" t="s">
        <v>305</v>
      </c>
      <c r="AJ1692" t="s">
        <v>301</v>
      </c>
      <c r="AK1692" t="str">
        <f>""</f>
        <v/>
      </c>
      <c r="AL1692" t="s">
        <v>302</v>
      </c>
      <c r="AM1692" t="s">
        <v>122</v>
      </c>
      <c r="AN1692" s="3">
        <v>27709</v>
      </c>
      <c r="AO1692" t="s">
        <v>101</v>
      </c>
      <c r="AQ1692" t="str">
        <f>"+19192541817"</f>
        <v>+19192541817</v>
      </c>
      <c r="AS1692" t="s">
        <v>306</v>
      </c>
      <c r="AT1692" t="s">
        <v>102</v>
      </c>
      <c r="AU1692" t="str">
        <f>""</f>
        <v/>
      </c>
      <c r="AV1692" t="str">
        <f>""</f>
        <v/>
      </c>
      <c r="AW1692" t="str">
        <f>""</f>
        <v/>
      </c>
      <c r="AX1692" t="str">
        <f>""</f>
        <v/>
      </c>
      <c r="AY1692" t="str">
        <f>""</f>
        <v/>
      </c>
      <c r="AZ1692" t="str">
        <f>""</f>
        <v/>
      </c>
      <c r="BA1692" t="str">
        <f>""</f>
        <v/>
      </c>
      <c r="BC1692" t="str">
        <f>""</f>
        <v/>
      </c>
      <c r="BD1692" t="str">
        <f>""</f>
        <v/>
      </c>
      <c r="BE1692" t="str">
        <f>""</f>
        <v/>
      </c>
      <c r="BF1692" t="str">
        <f>""</f>
        <v/>
      </c>
      <c r="BG1692" t="str">
        <f>""</f>
        <v/>
      </c>
      <c r="BH1692" t="str">
        <f>""</f>
        <v/>
      </c>
      <c r="BI1692" t="str">
        <f>""</f>
        <v/>
      </c>
      <c r="BJ1692" t="str">
        <f>""</f>
        <v/>
      </c>
      <c r="BK1692">
        <v>1</v>
      </c>
      <c r="BL1692" t="s">
        <v>107</v>
      </c>
      <c r="BM1692" t="str">
        <f>"Johnson &amp; Johnson"</f>
        <v>Johnson &amp; Johnson</v>
      </c>
      <c r="BN1692" t="s">
        <v>6421</v>
      </c>
      <c r="BP1692" t="s">
        <v>2931</v>
      </c>
      <c r="BQ1692" t="s">
        <v>535</v>
      </c>
      <c r="BR1692" t="s">
        <v>100</v>
      </c>
      <c r="BS1692" s="5">
        <v>8869</v>
      </c>
      <c r="BT1692" s="2">
        <v>82602</v>
      </c>
      <c r="BU1692" s="2">
        <v>83802</v>
      </c>
      <c r="BV1692" t="s">
        <v>105</v>
      </c>
      <c r="BW1692" s="2">
        <v>77646</v>
      </c>
      <c r="BX1692" t="s">
        <v>105</v>
      </c>
      <c r="BZ1692" t="s">
        <v>167</v>
      </c>
      <c r="CA1692" t="str">
        <f t="shared" si="133"/>
        <v>7/1/2020 - 6/30/2021</v>
      </c>
      <c r="CF1692">
        <v>1</v>
      </c>
      <c r="CG1692" t="s">
        <v>98</v>
      </c>
      <c r="CH1692" t="s">
        <v>206</v>
      </c>
      <c r="CI1692" t="s">
        <v>206</v>
      </c>
      <c r="CL1692" t="s">
        <v>108</v>
      </c>
      <c r="CM1692" t="s">
        <v>109</v>
      </c>
      <c r="CN1692" t="str">
        <f>""</f>
        <v/>
      </c>
      <c r="CO1692" t="str">
        <f>""</f>
        <v/>
      </c>
      <c r="CP1692" t="str">
        <f>""</f>
        <v/>
      </c>
      <c r="CQ1692" t="str">
        <f>""</f>
        <v/>
      </c>
    </row>
    <row r="1693" spans="1:96" x14ac:dyDescent="0.2">
      <c r="A1693" t="s">
        <v>6422</v>
      </c>
      <c r="B1693" t="s">
        <v>96</v>
      </c>
      <c r="C1693" s="1">
        <v>44099</v>
      </c>
      <c r="D1693" s="1">
        <v>44106</v>
      </c>
      <c r="F1693" t="s">
        <v>97</v>
      </c>
      <c r="G1693" t="str">
        <f>"Senior Supply Chain Management Analyst"</f>
        <v>Senior Supply Chain Management Analyst</v>
      </c>
      <c r="H1693" t="s">
        <v>12181</v>
      </c>
      <c r="I1693" t="s">
        <v>110</v>
      </c>
      <c r="J1693" t="s">
        <v>98</v>
      </c>
      <c r="K1693" s="1">
        <v>44281</v>
      </c>
      <c r="L1693" s="1">
        <v>45376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 t="s">
        <v>6423</v>
      </c>
      <c r="U1693" t="str">
        <f>""</f>
        <v/>
      </c>
      <c r="V1693" t="s">
        <v>3788</v>
      </c>
      <c r="W1693" t="str">
        <f>""</f>
        <v/>
      </c>
      <c r="X1693" t="s">
        <v>1247</v>
      </c>
      <c r="Y1693" t="s">
        <v>141</v>
      </c>
      <c r="Z1693" s="3">
        <v>90245</v>
      </c>
      <c r="AA1693" t="s">
        <v>101</v>
      </c>
      <c r="AC1693" s="4" t="str">
        <f>"+14242188100"</f>
        <v>+14242188100</v>
      </c>
      <c r="AE1693" t="str">
        <f>"33911"</f>
        <v>33911</v>
      </c>
      <c r="AF1693" t="s">
        <v>3789</v>
      </c>
      <c r="AG1693" t="s">
        <v>3790</v>
      </c>
      <c r="AI1693" t="s">
        <v>3791</v>
      </c>
      <c r="AJ1693" t="s">
        <v>3792</v>
      </c>
      <c r="AK1693" t="str">
        <f>""</f>
        <v/>
      </c>
      <c r="AL1693" t="s">
        <v>2059</v>
      </c>
      <c r="AM1693" t="s">
        <v>171</v>
      </c>
      <c r="AN1693" s="3">
        <v>1501</v>
      </c>
      <c r="AO1693" t="s">
        <v>101</v>
      </c>
      <c r="AQ1693" t="str">
        <f>"+17743182880"</f>
        <v>+17743182880</v>
      </c>
      <c r="AS1693" t="s">
        <v>3793</v>
      </c>
      <c r="AT1693" t="s">
        <v>107</v>
      </c>
      <c r="AU1693" t="str">
        <f>"Arias"</f>
        <v>Arias</v>
      </c>
      <c r="AV1693" t="str">
        <f>"Elsie"</f>
        <v>Elsie</v>
      </c>
      <c r="AW1693" t="str">
        <f>"Hui"</f>
        <v>Hui</v>
      </c>
      <c r="AX1693" t="str">
        <f>"707 Wilshire Blvd."</f>
        <v>707 Wilshire Blvd.</v>
      </c>
      <c r="AY1693" t="str">
        <f>"Suite 3200"</f>
        <v>Suite 3200</v>
      </c>
      <c r="AZ1693" t="str">
        <f>"Los Angeles"</f>
        <v>Los Angeles</v>
      </c>
      <c r="BA1693" t="str">
        <f>"CA"</f>
        <v>CA</v>
      </c>
      <c r="BB1693" s="3">
        <v>90017</v>
      </c>
      <c r="BC1693" t="str">
        <f>"UNITED STATES OF AMERICA"</f>
        <v>UNITED STATES OF AMERICA</v>
      </c>
      <c r="BD1693" t="str">
        <f>""</f>
        <v/>
      </c>
      <c r="BE1693" t="str">
        <f>"+12136278997"</f>
        <v>+12136278997</v>
      </c>
      <c r="BF1693" t="str">
        <f>""</f>
        <v/>
      </c>
      <c r="BG1693" t="str">
        <f>"leticia@sggimmigration.com"</f>
        <v>leticia@sggimmigration.com</v>
      </c>
      <c r="BH1693" t="str">
        <f>"Stone Grzegorek &amp; Gonzalez LLP"</f>
        <v>Stone Grzegorek &amp; Gonzalez LLP</v>
      </c>
      <c r="BI1693" t="str">
        <f>"CA"</f>
        <v>CA</v>
      </c>
      <c r="BJ1693" t="str">
        <f>"CALIFORNIA"</f>
        <v>CALIFORNIA</v>
      </c>
      <c r="BK1693">
        <v>1</v>
      </c>
      <c r="BL1693" t="s">
        <v>102</v>
      </c>
      <c r="BM1693" t="str">
        <f>""</f>
        <v/>
      </c>
      <c r="BN1693" t="s">
        <v>3788</v>
      </c>
      <c r="BP1693" t="s">
        <v>1247</v>
      </c>
      <c r="BQ1693" t="s">
        <v>365</v>
      </c>
      <c r="BR1693" t="s">
        <v>141</v>
      </c>
      <c r="BS1693" s="5">
        <v>90245</v>
      </c>
      <c r="BT1693" s="2">
        <v>145000</v>
      </c>
      <c r="BU1693" s="2">
        <v>160000</v>
      </c>
      <c r="BV1693" t="s">
        <v>105</v>
      </c>
      <c r="BW1693" s="2">
        <v>123594</v>
      </c>
      <c r="BX1693" t="s">
        <v>105</v>
      </c>
      <c r="BZ1693" t="s">
        <v>159</v>
      </c>
      <c r="CA1693" t="str">
        <f t="shared" si="133"/>
        <v>7/1/2020 - 6/30/2021</v>
      </c>
      <c r="CF1693">
        <v>7</v>
      </c>
      <c r="CG1693" t="s">
        <v>98</v>
      </c>
      <c r="CH1693" t="s">
        <v>206</v>
      </c>
      <c r="CI1693" t="s">
        <v>206</v>
      </c>
      <c r="CL1693" t="s">
        <v>108</v>
      </c>
      <c r="CM1693" t="s">
        <v>353</v>
      </c>
      <c r="CN1693" t="str">
        <f>"Arias"</f>
        <v>Arias</v>
      </c>
      <c r="CO1693" t="str">
        <f>"Elsie"</f>
        <v>Elsie</v>
      </c>
      <c r="CP1693" t="str">
        <f>"H"</f>
        <v>H</v>
      </c>
      <c r="CQ1693" t="str">
        <f>"Stone Grzegorek &amp; Gonzalez LLP"</f>
        <v>Stone Grzegorek &amp; Gonzalez LLP</v>
      </c>
      <c r="CR1693" t="s">
        <v>3794</v>
      </c>
    </row>
    <row r="1694" spans="1:96" x14ac:dyDescent="0.2">
      <c r="A1694" t="s">
        <v>6444</v>
      </c>
      <c r="B1694" t="s">
        <v>96</v>
      </c>
      <c r="C1694" s="1">
        <v>44099</v>
      </c>
      <c r="D1694" s="1">
        <v>44106</v>
      </c>
      <c r="F1694" t="s">
        <v>97</v>
      </c>
      <c r="G1694" t="str">
        <f>"Project Manager"</f>
        <v>Project Manager</v>
      </c>
      <c r="H1694" t="s">
        <v>12171</v>
      </c>
      <c r="I1694" t="s">
        <v>2140</v>
      </c>
      <c r="J1694" t="s">
        <v>98</v>
      </c>
      <c r="K1694" s="1">
        <v>44107</v>
      </c>
      <c r="L1694" s="1">
        <v>45201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 t="s">
        <v>6445</v>
      </c>
      <c r="U1694" t="str">
        <f>""</f>
        <v/>
      </c>
      <c r="V1694" t="s">
        <v>6446</v>
      </c>
      <c r="W1694" t="str">
        <f>"Ste 900"</f>
        <v>Ste 900</v>
      </c>
      <c r="X1694" t="s">
        <v>1335</v>
      </c>
      <c r="Y1694" t="s">
        <v>114</v>
      </c>
      <c r="Z1694" s="3">
        <v>77380</v>
      </c>
      <c r="AA1694" t="s">
        <v>101</v>
      </c>
      <c r="AC1694" s="4" t="str">
        <f>"+17134476741"</f>
        <v>+17134476741</v>
      </c>
      <c r="AE1694" t="str">
        <f>"324110"</f>
        <v>324110</v>
      </c>
      <c r="AF1694" t="s">
        <v>1968</v>
      </c>
      <c r="AG1694" t="s">
        <v>1278</v>
      </c>
      <c r="AH1694" t="s">
        <v>6215</v>
      </c>
      <c r="AI1694" t="s">
        <v>1391</v>
      </c>
      <c r="AJ1694" t="s">
        <v>6447</v>
      </c>
      <c r="AK1694" t="str">
        <f>"Ste 900"</f>
        <v>Ste 900</v>
      </c>
      <c r="AL1694" t="s">
        <v>1335</v>
      </c>
      <c r="AM1694" t="s">
        <v>114</v>
      </c>
      <c r="AN1694" s="3">
        <v>77380</v>
      </c>
      <c r="AO1694" t="s">
        <v>101</v>
      </c>
      <c r="AQ1694" t="str">
        <f>"+17134476741"</f>
        <v>+17134476741</v>
      </c>
      <c r="AS1694" t="s">
        <v>6448</v>
      </c>
      <c r="AT1694" t="s">
        <v>107</v>
      </c>
      <c r="AU1694" t="str">
        <f>"Zhang"</f>
        <v>Zhang</v>
      </c>
      <c r="AV1694" t="str">
        <f>"Daniel"</f>
        <v>Daniel</v>
      </c>
      <c r="AW1694" t="str">
        <f>""</f>
        <v/>
      </c>
      <c r="AX1694" t="str">
        <f>"5847 San Felipe"</f>
        <v>5847 San Felipe</v>
      </c>
      <c r="AY1694" t="str">
        <f>"Suite 2950"</f>
        <v>Suite 2950</v>
      </c>
      <c r="AZ1694" t="str">
        <f>"Houston"</f>
        <v>Houston</v>
      </c>
      <c r="BA1694" t="str">
        <f>"TX"</f>
        <v>TX</v>
      </c>
      <c r="BB1694" s="3">
        <v>77057</v>
      </c>
      <c r="BC1694" t="str">
        <f>"UNITED STATES OF AMERICA"</f>
        <v>UNITED STATES OF AMERICA</v>
      </c>
      <c r="BD1694" t="str">
        <f>""</f>
        <v/>
      </c>
      <c r="BE1694" t="str">
        <f>"+17137810071"</f>
        <v>+17137810071</v>
      </c>
      <c r="BF1694" t="str">
        <f>""</f>
        <v/>
      </c>
      <c r="BG1694" t="str">
        <f>"daniel.zhang@gzimmigration.com"</f>
        <v>daniel.zhang@gzimmigration.com</v>
      </c>
      <c r="BH1694" t="str">
        <f>"Gee &amp; Zhang LLP"</f>
        <v>Gee &amp; Zhang LLP</v>
      </c>
      <c r="BI1694" t="str">
        <f>"TX"</f>
        <v>TX</v>
      </c>
      <c r="BJ1694" t="str">
        <f>"Supreme Court of Texas"</f>
        <v>Supreme Court of Texas</v>
      </c>
      <c r="BK1694">
        <v>1</v>
      </c>
      <c r="BL1694" t="s">
        <v>102</v>
      </c>
      <c r="BM1694" t="str">
        <f>""</f>
        <v/>
      </c>
      <c r="BN1694" t="s">
        <v>6447</v>
      </c>
      <c r="BO1694" t="s">
        <v>6449</v>
      </c>
      <c r="BP1694" t="s">
        <v>1335</v>
      </c>
      <c r="BQ1694" t="s">
        <v>395</v>
      </c>
      <c r="BR1694" t="s">
        <v>114</v>
      </c>
      <c r="BS1694" s="5">
        <v>77380</v>
      </c>
      <c r="BT1694" s="2">
        <v>115000</v>
      </c>
      <c r="BV1694" t="s">
        <v>105</v>
      </c>
      <c r="BW1694" s="2">
        <v>114733</v>
      </c>
      <c r="BX1694" t="s">
        <v>105</v>
      </c>
      <c r="BZ1694" t="s">
        <v>191</v>
      </c>
      <c r="CA1694" t="str">
        <f t="shared" si="133"/>
        <v>7/1/2020 - 6/30/2021</v>
      </c>
      <c r="CF1694">
        <v>1</v>
      </c>
      <c r="CG1694" t="s">
        <v>98</v>
      </c>
      <c r="CH1694" t="s">
        <v>206</v>
      </c>
      <c r="CI1694" t="s">
        <v>206</v>
      </c>
      <c r="CL1694" t="s">
        <v>108</v>
      </c>
      <c r="CM1694" t="s">
        <v>109</v>
      </c>
      <c r="CN1694" t="str">
        <f>"Xiao"</f>
        <v>Xiao</v>
      </c>
      <c r="CO1694" t="str">
        <f>"Meyer"</f>
        <v>Meyer</v>
      </c>
      <c r="CP1694" t="str">
        <f>""</f>
        <v/>
      </c>
      <c r="CQ1694" t="str">
        <f>"Gee &amp; Zhang LLP"</f>
        <v>Gee &amp; Zhang LLP</v>
      </c>
      <c r="CR1694" t="s">
        <v>6450</v>
      </c>
    </row>
    <row r="1695" spans="1:96" x14ac:dyDescent="0.2">
      <c r="A1695" t="s">
        <v>6484</v>
      </c>
      <c r="B1695" t="s">
        <v>96</v>
      </c>
      <c r="C1695" s="1">
        <v>44099</v>
      </c>
      <c r="D1695" s="1">
        <v>44106</v>
      </c>
      <c r="F1695" t="s">
        <v>97</v>
      </c>
      <c r="G1695" t="str">
        <f>"Senior Business Application Analyst"</f>
        <v>Senior Business Application Analyst</v>
      </c>
      <c r="H1695" t="s">
        <v>12169</v>
      </c>
      <c r="I1695" t="s">
        <v>124</v>
      </c>
      <c r="J1695" t="s">
        <v>98</v>
      </c>
      <c r="K1695" s="1">
        <v>44105</v>
      </c>
      <c r="L1695" s="1">
        <v>45199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3632</v>
      </c>
      <c r="U1695" t="str">
        <f>""</f>
        <v/>
      </c>
      <c r="V1695" t="s">
        <v>3633</v>
      </c>
      <c r="W1695" t="str">
        <f>"3rd Floor"</f>
        <v>3rd Floor</v>
      </c>
      <c r="X1695" t="s">
        <v>3119</v>
      </c>
      <c r="Y1695" t="s">
        <v>545</v>
      </c>
      <c r="Z1695" s="3">
        <v>38017</v>
      </c>
      <c r="AA1695" t="s">
        <v>101</v>
      </c>
      <c r="AC1695" s="4" t="str">
        <f>"+19012639009"</f>
        <v>+19012639009</v>
      </c>
      <c r="AE1695" t="str">
        <f>"492110"</f>
        <v>492110</v>
      </c>
      <c r="AF1695" t="s">
        <v>5903</v>
      </c>
      <c r="AG1695" t="s">
        <v>6485</v>
      </c>
      <c r="AI1695" t="s">
        <v>4315</v>
      </c>
      <c r="AJ1695" t="s">
        <v>4316</v>
      </c>
      <c r="AK1695" t="str">
        <f>"1st Floor Vertical"</f>
        <v>1st Floor Vertical</v>
      </c>
      <c r="AL1695" t="s">
        <v>3119</v>
      </c>
      <c r="AM1695" t="s">
        <v>545</v>
      </c>
      <c r="AN1695" s="3">
        <v>38017</v>
      </c>
      <c r="AO1695" t="s">
        <v>101</v>
      </c>
      <c r="AQ1695" t="str">
        <f>"+19012639009"</f>
        <v>+19012639009</v>
      </c>
      <c r="AS1695" t="s">
        <v>108</v>
      </c>
      <c r="AT1695" t="s">
        <v>107</v>
      </c>
      <c r="AU1695" t="str">
        <f>"Yeaw"</f>
        <v>Yeaw</v>
      </c>
      <c r="AV1695" t="str">
        <f>"Jennifer"</f>
        <v>Jennifer</v>
      </c>
      <c r="AW1695" t="str">
        <f>""</f>
        <v/>
      </c>
      <c r="AX1695" t="str">
        <f>"P.O. Box 98869"</f>
        <v>P.O. Box 98869</v>
      </c>
      <c r="AY1695" t="str">
        <f>""</f>
        <v/>
      </c>
      <c r="AZ1695" t="str">
        <f>"Raleigh"</f>
        <v>Raleigh</v>
      </c>
      <c r="BA1695" t="str">
        <f>"NC"</f>
        <v>NC</v>
      </c>
      <c r="BB1695" s="3">
        <v>27624</v>
      </c>
      <c r="BC1695" t="str">
        <f>"UNITED STATES OF AMERICA"</f>
        <v>UNITED STATES OF AMERICA</v>
      </c>
      <c r="BD1695" t="str">
        <f>""</f>
        <v/>
      </c>
      <c r="BE1695" t="str">
        <f>"+19196474817"</f>
        <v>+19196474817</v>
      </c>
      <c r="BF1695" t="str">
        <f>""</f>
        <v/>
      </c>
      <c r="BG1695" t="str">
        <f>"sdouglas@constangy.com"</f>
        <v>sdouglas@constangy.com</v>
      </c>
      <c r="BH1695" t="str">
        <f>"Constangy, Brooks, Smith &amp; Prophete, LLP"</f>
        <v>Constangy, Brooks, Smith &amp; Prophete, LLP</v>
      </c>
      <c r="BI1695" t="str">
        <f>"NC"</f>
        <v>NC</v>
      </c>
      <c r="BJ1695" t="str">
        <f>"Supreme Court"</f>
        <v>Supreme Court</v>
      </c>
      <c r="BK1695">
        <v>1</v>
      </c>
      <c r="BL1695" t="s">
        <v>102</v>
      </c>
      <c r="BM1695" t="str">
        <f>""</f>
        <v/>
      </c>
      <c r="BN1695" t="s">
        <v>4316</v>
      </c>
      <c r="BO1695" t="s">
        <v>6304</v>
      </c>
      <c r="BP1695" t="s">
        <v>3119</v>
      </c>
      <c r="BQ1695" t="s">
        <v>2573</v>
      </c>
      <c r="BR1695" t="s">
        <v>545</v>
      </c>
      <c r="BS1695" s="5">
        <v>38017</v>
      </c>
      <c r="BT1695" s="2">
        <v>69014</v>
      </c>
      <c r="BU1695" s="2">
        <v>105060</v>
      </c>
      <c r="BV1695" t="s">
        <v>105</v>
      </c>
      <c r="BW1695" s="2">
        <v>69014</v>
      </c>
      <c r="BX1695" t="s">
        <v>105</v>
      </c>
      <c r="BZ1695" t="s">
        <v>167</v>
      </c>
      <c r="CA1695" t="str">
        <f t="shared" si="133"/>
        <v>7/1/2020 - 6/30/2021</v>
      </c>
      <c r="CF1695">
        <v>1</v>
      </c>
      <c r="CG1695" t="s">
        <v>98</v>
      </c>
      <c r="CH1695" t="s">
        <v>206</v>
      </c>
      <c r="CI1695" t="s">
        <v>206</v>
      </c>
      <c r="CL1695" t="s">
        <v>108</v>
      </c>
      <c r="CM1695" t="s">
        <v>109</v>
      </c>
      <c r="CN1695" t="str">
        <f>"Yeaw"</f>
        <v>Yeaw</v>
      </c>
      <c r="CO1695" t="str">
        <f>"Jennifer"</f>
        <v>Jennifer</v>
      </c>
      <c r="CP1695" t="str">
        <f>""</f>
        <v/>
      </c>
      <c r="CQ1695" t="str">
        <f>"Constangy, Brooks, Smith &amp; Prophete, LLP"</f>
        <v>Constangy, Brooks, Smith &amp; Prophete, LLP</v>
      </c>
      <c r="CR1695" t="s">
        <v>3634</v>
      </c>
    </row>
    <row r="1696" spans="1:96" x14ac:dyDescent="0.2">
      <c r="A1696" t="s">
        <v>6492</v>
      </c>
      <c r="B1696" t="s">
        <v>96</v>
      </c>
      <c r="C1696" s="1">
        <v>44099</v>
      </c>
      <c r="D1696" s="1">
        <v>44106</v>
      </c>
      <c r="F1696" t="s">
        <v>97</v>
      </c>
      <c r="G1696" t="str">
        <f>"Professional System Analyst "</f>
        <v xml:space="preserve">Professional System Analyst </v>
      </c>
      <c r="H1696" t="s">
        <v>12168</v>
      </c>
      <c r="I1696" t="s">
        <v>160</v>
      </c>
      <c r="J1696" t="s">
        <v>98</v>
      </c>
      <c r="K1696" s="1">
        <v>44166</v>
      </c>
      <c r="L1696" s="1">
        <v>45260</v>
      </c>
      <c r="M1696">
        <v>24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 t="s">
        <v>4881</v>
      </c>
      <c r="U1696" t="str">
        <f>""</f>
        <v/>
      </c>
      <c r="V1696" t="s">
        <v>4882</v>
      </c>
      <c r="W1696" t="str">
        <f>"Floor 9"</f>
        <v>Floor 9</v>
      </c>
      <c r="X1696" t="s">
        <v>925</v>
      </c>
      <c r="Y1696" t="s">
        <v>135</v>
      </c>
      <c r="Z1696" s="3">
        <v>22102</v>
      </c>
      <c r="AA1696" t="s">
        <v>101</v>
      </c>
      <c r="AC1696" s="4" t="str">
        <f>"+14698083070"</f>
        <v>+14698083070</v>
      </c>
      <c r="AE1696" t="str">
        <f>"541511"</f>
        <v>541511</v>
      </c>
      <c r="AF1696" t="s">
        <v>926</v>
      </c>
      <c r="AG1696" t="s">
        <v>927</v>
      </c>
      <c r="AI1696" t="s">
        <v>928</v>
      </c>
      <c r="AJ1696" t="s">
        <v>929</v>
      </c>
      <c r="AK1696" t="str">
        <f>"3rd floor"</f>
        <v>3rd floor</v>
      </c>
      <c r="AL1696" t="s">
        <v>761</v>
      </c>
      <c r="AM1696" t="s">
        <v>114</v>
      </c>
      <c r="AN1696" s="3">
        <v>75080</v>
      </c>
      <c r="AO1696" t="s">
        <v>101</v>
      </c>
      <c r="AQ1696" t="str">
        <f>"+14698083070"</f>
        <v>+14698083070</v>
      </c>
      <c r="AS1696" t="s">
        <v>930</v>
      </c>
      <c r="AT1696" t="s">
        <v>107</v>
      </c>
      <c r="AU1696" t="str">
        <f>"Anstey "</f>
        <v xml:space="preserve">Anstey </v>
      </c>
      <c r="AV1696" t="str">
        <f>"Sarah"</f>
        <v>Sarah</v>
      </c>
      <c r="AW1696" t="str">
        <f>""</f>
        <v/>
      </c>
      <c r="AX1696" t="str">
        <f>"2121 Tasman Drive"</f>
        <v>2121 Tasman Drive</v>
      </c>
      <c r="AY1696" t="str">
        <f>""</f>
        <v/>
      </c>
      <c r="AZ1696" t="str">
        <f>"Santa Clara"</f>
        <v>Santa Clara</v>
      </c>
      <c r="BA1696" t="str">
        <f>"CA"</f>
        <v>CA</v>
      </c>
      <c r="BB1696" s="3">
        <v>95054</v>
      </c>
      <c r="BC1696" t="str">
        <f>"UNITED STATES OF AMERICA"</f>
        <v>UNITED STATES OF AMERICA</v>
      </c>
      <c r="BD1696" t="str">
        <f>""</f>
        <v/>
      </c>
      <c r="BE1696" t="str">
        <f>"+14089190600"</f>
        <v>+14089190600</v>
      </c>
      <c r="BF1696" t="str">
        <f>""</f>
        <v/>
      </c>
      <c r="BG1696" t="str">
        <f>"DXCTechnology@fragomen.com"</f>
        <v>DXCTechnology@fragomen.com</v>
      </c>
      <c r="BH1696" t="str">
        <f>"Fragomen, Del Rey, Bernsen &amp; Loewy, LLP"</f>
        <v>Fragomen, Del Rey, Bernsen &amp; Loewy, LLP</v>
      </c>
      <c r="BI1696" t="str">
        <f>"NY"</f>
        <v>NY</v>
      </c>
      <c r="BJ1696" t="str">
        <f>"Appellate Division, First Department"</f>
        <v>Appellate Division, First Department</v>
      </c>
      <c r="BK1696">
        <v>24</v>
      </c>
      <c r="BL1696" t="s">
        <v>107</v>
      </c>
      <c r="BM1696" t="str">
        <f>"Kaiser Permanente  "</f>
        <v xml:space="preserve">Kaiser Permanente  </v>
      </c>
      <c r="BN1696" t="s">
        <v>6493</v>
      </c>
      <c r="BP1696" t="s">
        <v>274</v>
      </c>
      <c r="BQ1696" t="s">
        <v>165</v>
      </c>
      <c r="BR1696" t="s">
        <v>166</v>
      </c>
      <c r="BS1696" s="5">
        <v>80111</v>
      </c>
      <c r="BT1696" s="2">
        <v>89502</v>
      </c>
      <c r="BV1696" t="s">
        <v>105</v>
      </c>
      <c r="BW1696" s="2">
        <v>74383</v>
      </c>
      <c r="BX1696" t="s">
        <v>105</v>
      </c>
      <c r="CA1696" t="str">
        <f>""</f>
        <v/>
      </c>
      <c r="CB1696" t="s">
        <v>244</v>
      </c>
      <c r="CC1696">
        <v>2020</v>
      </c>
      <c r="CD1696" t="s">
        <v>524</v>
      </c>
      <c r="CE1696" t="s">
        <v>996</v>
      </c>
      <c r="CF1696">
        <v>2</v>
      </c>
      <c r="CG1696" t="s">
        <v>98</v>
      </c>
      <c r="CH1696" t="s">
        <v>206</v>
      </c>
      <c r="CI1696" t="s">
        <v>206</v>
      </c>
      <c r="CL1696" t="s">
        <v>108</v>
      </c>
      <c r="CM1696" t="s">
        <v>109</v>
      </c>
      <c r="CN1696" t="str">
        <f>"Halimi"</f>
        <v>Halimi</v>
      </c>
      <c r="CO1696" t="str">
        <f>"Madeha"</f>
        <v>Madeha</v>
      </c>
      <c r="CP1696" t="str">
        <f>""</f>
        <v/>
      </c>
      <c r="CQ1696" t="str">
        <f>"Fragomen, Del Rey, Bernsen &amp; Loewy, LLP"</f>
        <v>Fragomen, Del Rey, Bernsen &amp; Loewy, LLP</v>
      </c>
      <c r="CR1696" t="s">
        <v>4814</v>
      </c>
    </row>
    <row r="1697" spans="1:96" x14ac:dyDescent="0.2">
      <c r="A1697" t="s">
        <v>6495</v>
      </c>
      <c r="B1697" t="s">
        <v>96</v>
      </c>
      <c r="C1697" s="1">
        <v>44099</v>
      </c>
      <c r="D1697" s="1">
        <v>44106</v>
      </c>
      <c r="F1697" t="s">
        <v>97</v>
      </c>
      <c r="G1697" t="str">
        <f>"SOFTWARE DEVELOPER"</f>
        <v>SOFTWARE DEVELOPER</v>
      </c>
      <c r="H1697" t="s">
        <v>12176</v>
      </c>
      <c r="I1697" t="s">
        <v>246</v>
      </c>
      <c r="J1697" t="s">
        <v>98</v>
      </c>
      <c r="K1697" s="1">
        <v>44105</v>
      </c>
      <c r="L1697" s="1">
        <v>45169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 t="s">
        <v>4980</v>
      </c>
      <c r="U1697" t="str">
        <f>""</f>
        <v/>
      </c>
      <c r="V1697" t="s">
        <v>4981</v>
      </c>
      <c r="W1697" t="str">
        <f>"SUITE # 138"</f>
        <v>SUITE # 138</v>
      </c>
      <c r="X1697" t="s">
        <v>4982</v>
      </c>
      <c r="Y1697" t="s">
        <v>100</v>
      </c>
      <c r="Z1697" s="3">
        <v>8854</v>
      </c>
      <c r="AA1697" t="s">
        <v>101</v>
      </c>
      <c r="AC1697" s="4" t="str">
        <f>"+15599176123"</f>
        <v>+15599176123</v>
      </c>
      <c r="AE1697" t="str">
        <f>"541511"</f>
        <v>541511</v>
      </c>
      <c r="AF1697" t="s">
        <v>4983</v>
      </c>
      <c r="AG1697" t="s">
        <v>4984</v>
      </c>
      <c r="AI1697" t="s">
        <v>425</v>
      </c>
      <c r="AJ1697" t="s">
        <v>4981</v>
      </c>
      <c r="AK1697" t="str">
        <f>"SUITE # 138"</f>
        <v>SUITE # 138</v>
      </c>
      <c r="AL1697" t="s">
        <v>4982</v>
      </c>
      <c r="AM1697" t="s">
        <v>100</v>
      </c>
      <c r="AN1697" s="3">
        <v>8854</v>
      </c>
      <c r="AO1697" t="s">
        <v>101</v>
      </c>
      <c r="AQ1697" t="str">
        <f>"+15599176123"</f>
        <v>+15599176123</v>
      </c>
      <c r="AS1697" t="s">
        <v>4985</v>
      </c>
      <c r="AT1697" t="s">
        <v>102</v>
      </c>
      <c r="AU1697" t="str">
        <f>""</f>
        <v/>
      </c>
      <c r="AV1697" t="str">
        <f>""</f>
        <v/>
      </c>
      <c r="AW1697" t="str">
        <f>""</f>
        <v/>
      </c>
      <c r="AX1697" t="str">
        <f>""</f>
        <v/>
      </c>
      <c r="AY1697" t="str">
        <f>""</f>
        <v/>
      </c>
      <c r="AZ1697" t="str">
        <f>""</f>
        <v/>
      </c>
      <c r="BA1697" t="str">
        <f>""</f>
        <v/>
      </c>
      <c r="BC1697" t="str">
        <f>""</f>
        <v/>
      </c>
      <c r="BD1697" t="str">
        <f>""</f>
        <v/>
      </c>
      <c r="BE1697" t="str">
        <f>""</f>
        <v/>
      </c>
      <c r="BF1697" t="str">
        <f>""</f>
        <v/>
      </c>
      <c r="BG1697" t="str">
        <f>""</f>
        <v/>
      </c>
      <c r="BH1697" t="str">
        <f>""</f>
        <v/>
      </c>
      <c r="BI1697" t="str">
        <f>""</f>
        <v/>
      </c>
      <c r="BJ1697" t="str">
        <f>""</f>
        <v/>
      </c>
      <c r="BK1697">
        <v>1</v>
      </c>
      <c r="BL1697" t="s">
        <v>107</v>
      </c>
      <c r="BM1697" t="str">
        <f>"CIGNA"</f>
        <v>CIGNA</v>
      </c>
      <c r="BN1697" t="s">
        <v>6496</v>
      </c>
      <c r="BP1697" t="s">
        <v>2912</v>
      </c>
      <c r="BQ1697" t="s">
        <v>1307</v>
      </c>
      <c r="BR1697" t="s">
        <v>100</v>
      </c>
      <c r="BS1697" s="5">
        <v>7417</v>
      </c>
      <c r="BT1697" s="2">
        <v>78811</v>
      </c>
      <c r="BV1697" t="s">
        <v>105</v>
      </c>
      <c r="BW1697" s="2">
        <v>78811</v>
      </c>
      <c r="BX1697" t="s">
        <v>105</v>
      </c>
      <c r="BZ1697" t="s">
        <v>191</v>
      </c>
      <c r="CA1697" t="str">
        <f t="shared" ref="CA1697:CA1741" si="135">"7/1/2020 - 6/30/2021"</f>
        <v>7/1/2020 - 6/30/2021</v>
      </c>
      <c r="CF1697">
        <v>2</v>
      </c>
      <c r="CG1697" t="s">
        <v>98</v>
      </c>
      <c r="CH1697" t="s">
        <v>206</v>
      </c>
      <c r="CI1697" t="s">
        <v>206</v>
      </c>
      <c r="CL1697" t="s">
        <v>108</v>
      </c>
      <c r="CM1697" t="s">
        <v>109</v>
      </c>
      <c r="CN1697" t="str">
        <f>""</f>
        <v/>
      </c>
      <c r="CO1697" t="str">
        <f>""</f>
        <v/>
      </c>
      <c r="CP1697" t="str">
        <f>""</f>
        <v/>
      </c>
      <c r="CQ1697" t="str">
        <f>""</f>
        <v/>
      </c>
    </row>
    <row r="1698" spans="1:96" x14ac:dyDescent="0.2">
      <c r="A1698" t="s">
        <v>6512</v>
      </c>
      <c r="B1698" t="s">
        <v>96</v>
      </c>
      <c r="C1698" s="1">
        <v>44099</v>
      </c>
      <c r="D1698" s="1">
        <v>44106</v>
      </c>
      <c r="F1698" t="s">
        <v>97</v>
      </c>
      <c r="G1698" t="str">
        <f>"Senior Enterprise Database Administrator"</f>
        <v>Senior Enterprise Database Administrator</v>
      </c>
      <c r="H1698" t="s">
        <v>12225</v>
      </c>
      <c r="I1698" t="s">
        <v>628</v>
      </c>
      <c r="J1698" t="s">
        <v>98</v>
      </c>
      <c r="K1698" s="1">
        <v>44118</v>
      </c>
      <c r="L1698" s="1">
        <v>45212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3476</v>
      </c>
      <c r="U1698" t="str">
        <f>""</f>
        <v/>
      </c>
      <c r="V1698" t="s">
        <v>6513</v>
      </c>
      <c r="W1698" t="str">
        <f>""</f>
        <v/>
      </c>
      <c r="X1698" t="s">
        <v>847</v>
      </c>
      <c r="Y1698" t="s">
        <v>215</v>
      </c>
      <c r="Z1698" s="3">
        <v>30005</v>
      </c>
      <c r="AA1698" t="s">
        <v>101</v>
      </c>
      <c r="AC1698" s="4" t="str">
        <f>"+19199170927"</f>
        <v>+19199170927</v>
      </c>
      <c r="AE1698" t="str">
        <f>"5419"</f>
        <v>5419</v>
      </c>
      <c r="AF1698" t="s">
        <v>4691</v>
      </c>
      <c r="AG1698" t="s">
        <v>4692</v>
      </c>
      <c r="AH1698" t="s">
        <v>350</v>
      </c>
      <c r="AI1698" t="s">
        <v>4693</v>
      </c>
      <c r="AJ1698" t="s">
        <v>6513</v>
      </c>
      <c r="AK1698" t="str">
        <f>""</f>
        <v/>
      </c>
      <c r="AL1698" t="s">
        <v>847</v>
      </c>
      <c r="AM1698" t="s">
        <v>215</v>
      </c>
      <c r="AN1698" s="3">
        <v>30005</v>
      </c>
      <c r="AO1698" t="s">
        <v>101</v>
      </c>
      <c r="AQ1698" t="str">
        <f>"+19199170927"</f>
        <v>+19199170927</v>
      </c>
      <c r="AS1698" t="s">
        <v>108</v>
      </c>
      <c r="AT1698" t="s">
        <v>107</v>
      </c>
      <c r="AU1698" t="str">
        <f>"Villalobos"</f>
        <v>Villalobos</v>
      </c>
      <c r="AV1698" t="str">
        <f>"Melina"</f>
        <v>Melina</v>
      </c>
      <c r="AW1698" t="str">
        <f>"V."</f>
        <v>V.</v>
      </c>
      <c r="AX1698" t="str">
        <f>"P.O. Box 31608"</f>
        <v>P.O. Box 31608</v>
      </c>
      <c r="AY1698" t="str">
        <f>""</f>
        <v/>
      </c>
      <c r="AZ1698" t="str">
        <f>"Raleigh"</f>
        <v>Raleigh</v>
      </c>
      <c r="BA1698" t="str">
        <f>"NC"</f>
        <v>NC</v>
      </c>
      <c r="BB1698" s="3">
        <v>27622</v>
      </c>
      <c r="BC1698" t="str">
        <f>"UNITED STATES OF AMERICA"</f>
        <v>UNITED STATES OF AMERICA</v>
      </c>
      <c r="BD1698" t="str">
        <f>""</f>
        <v/>
      </c>
      <c r="BE1698" t="str">
        <f>"+19197899700"</f>
        <v>+19197899700</v>
      </c>
      <c r="BF1698" t="str">
        <f>""</f>
        <v/>
      </c>
      <c r="BG1698" t="str">
        <f>"aleisha.lee@ogletreedeakins.com"</f>
        <v>aleisha.lee@ogletreedeakins.com</v>
      </c>
      <c r="BH1698" t="str">
        <f>"Ogletree, Deakins, Nash, Smoak &amp; Stewart, P.C."</f>
        <v>Ogletree, Deakins, Nash, Smoak &amp; Stewart, P.C.</v>
      </c>
      <c r="BI1698" t="str">
        <f>"IN"</f>
        <v>IN</v>
      </c>
      <c r="BJ1698" t="str">
        <f>"Indiana Supreme Court"</f>
        <v>Indiana Supreme Court</v>
      </c>
      <c r="BK1698">
        <v>1</v>
      </c>
      <c r="BL1698" t="s">
        <v>102</v>
      </c>
      <c r="BM1698" t="str">
        <f>""</f>
        <v/>
      </c>
      <c r="BN1698" t="s">
        <v>6398</v>
      </c>
      <c r="BP1698" t="s">
        <v>1001</v>
      </c>
      <c r="BQ1698" t="s">
        <v>792</v>
      </c>
      <c r="BR1698" t="s">
        <v>114</v>
      </c>
      <c r="BS1698" s="5">
        <v>76108</v>
      </c>
      <c r="BT1698" s="2">
        <v>120000</v>
      </c>
      <c r="BU1698" s="2">
        <v>135000</v>
      </c>
      <c r="BV1698" t="s">
        <v>105</v>
      </c>
      <c r="BW1698" s="2">
        <v>116813</v>
      </c>
      <c r="BX1698" t="s">
        <v>105</v>
      </c>
      <c r="BZ1698" t="s">
        <v>159</v>
      </c>
      <c r="CA1698" t="str">
        <f t="shared" si="135"/>
        <v>7/1/2020 - 6/30/2021</v>
      </c>
      <c r="CF1698">
        <v>2</v>
      </c>
      <c r="CG1698" t="s">
        <v>98</v>
      </c>
      <c r="CH1698" t="s">
        <v>206</v>
      </c>
      <c r="CI1698" t="s">
        <v>206</v>
      </c>
      <c r="CL1698" t="s">
        <v>108</v>
      </c>
      <c r="CM1698" t="s">
        <v>109</v>
      </c>
      <c r="CN1698" t="str">
        <f>"Villalobos"</f>
        <v>Villalobos</v>
      </c>
      <c r="CO1698" t="str">
        <f>"Melina"</f>
        <v>Melina</v>
      </c>
      <c r="CP1698" t="str">
        <f>"V."</f>
        <v>V.</v>
      </c>
      <c r="CQ1698" t="str">
        <f>"OGLETREE, DEAKINS, NASH, SMOAK &amp; STEWART, P.C."</f>
        <v>OGLETREE, DEAKINS, NASH, SMOAK &amp; STEWART, P.C.</v>
      </c>
      <c r="CR1698" t="s">
        <v>5484</v>
      </c>
    </row>
    <row r="1699" spans="1:96" x14ac:dyDescent="0.2">
      <c r="A1699" t="s">
        <v>6519</v>
      </c>
      <c r="B1699" t="s">
        <v>96</v>
      </c>
      <c r="C1699" s="1">
        <v>44099</v>
      </c>
      <c r="D1699" s="1">
        <v>44106</v>
      </c>
      <c r="F1699" t="s">
        <v>97</v>
      </c>
      <c r="G1699" t="str">
        <f>"Senior RPA Developer"</f>
        <v>Senior RPA Developer</v>
      </c>
      <c r="H1699" t="s">
        <v>12169</v>
      </c>
      <c r="I1699" t="s">
        <v>124</v>
      </c>
      <c r="J1699" t="s">
        <v>98</v>
      </c>
      <c r="K1699" s="1">
        <v>44130</v>
      </c>
      <c r="L1699" s="1">
        <v>45225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6520</v>
      </c>
      <c r="U1699" t="str">
        <f>""</f>
        <v/>
      </c>
      <c r="V1699" t="s">
        <v>2350</v>
      </c>
      <c r="W1699" t="str">
        <f>""</f>
        <v/>
      </c>
      <c r="X1699" t="s">
        <v>2351</v>
      </c>
      <c r="Y1699" t="s">
        <v>545</v>
      </c>
      <c r="Z1699" s="3">
        <v>37909</v>
      </c>
      <c r="AA1699" t="s">
        <v>101</v>
      </c>
      <c r="AC1699" s="4" t="str">
        <f>"+18654742619"</f>
        <v>+18654742619</v>
      </c>
      <c r="AE1699" t="str">
        <f>"447110"</f>
        <v>447110</v>
      </c>
      <c r="AF1699" t="s">
        <v>2352</v>
      </c>
      <c r="AG1699" t="s">
        <v>2353</v>
      </c>
      <c r="AH1699" t="s">
        <v>2354</v>
      </c>
      <c r="AI1699" t="s">
        <v>2355</v>
      </c>
      <c r="AJ1699" t="s">
        <v>2350</v>
      </c>
      <c r="AK1699" t="str">
        <f>""</f>
        <v/>
      </c>
      <c r="AL1699" t="s">
        <v>2351</v>
      </c>
      <c r="AM1699" t="s">
        <v>545</v>
      </c>
      <c r="AN1699" s="3">
        <v>37909</v>
      </c>
      <c r="AO1699" t="s">
        <v>101</v>
      </c>
      <c r="AQ1699" t="str">
        <f>"+18654742619"</f>
        <v>+18654742619</v>
      </c>
      <c r="AS1699" t="s">
        <v>2356</v>
      </c>
      <c r="AT1699" t="s">
        <v>107</v>
      </c>
      <c r="AU1699" t="str">
        <f>"CARRASCO"</f>
        <v>CARRASCO</v>
      </c>
      <c r="AV1699" t="str">
        <f>"Melissa"</f>
        <v>Melissa</v>
      </c>
      <c r="AW1699" t="str">
        <f>""</f>
        <v/>
      </c>
      <c r="AX1699" t="str">
        <f>"900 S GAY ST # 1400"</f>
        <v>900 S GAY ST # 1400</v>
      </c>
      <c r="AY1699" t="str">
        <f>""</f>
        <v/>
      </c>
      <c r="AZ1699" t="str">
        <f>"KNOXVILLE "</f>
        <v xml:space="preserve">KNOXVILLE </v>
      </c>
      <c r="BA1699" t="str">
        <f>"TN"</f>
        <v>TN</v>
      </c>
      <c r="BB1699" s="3">
        <v>37902</v>
      </c>
      <c r="BC1699" t="str">
        <f>"UNITED STATES OF AMERICA"</f>
        <v>UNITED STATES OF AMERICA</v>
      </c>
      <c r="BD1699" t="str">
        <f>""</f>
        <v/>
      </c>
      <c r="BE1699" t="str">
        <f>"+18655460500"</f>
        <v>+18655460500</v>
      </c>
      <c r="BF1699" t="str">
        <f>""</f>
        <v/>
      </c>
      <c r="BG1699" t="str">
        <f>"mcarrasco@emlaw.com"</f>
        <v>mcarrasco@emlaw.com</v>
      </c>
      <c r="BH1699" t="str">
        <f>"EGERTON, MCAFEE, ARMISTEAD &amp; DAVIS, PC "</f>
        <v xml:space="preserve">EGERTON, MCAFEE, ARMISTEAD &amp; DAVIS, PC </v>
      </c>
      <c r="BI1699" t="str">
        <f>"TN"</f>
        <v>TN</v>
      </c>
      <c r="BJ1699" t="str">
        <f>"TENNESSEE SUPREME COURT"</f>
        <v>TENNESSEE SUPREME COURT</v>
      </c>
      <c r="BK1699">
        <v>1</v>
      </c>
      <c r="BL1699" t="s">
        <v>102</v>
      </c>
      <c r="BM1699" t="str">
        <f>""</f>
        <v/>
      </c>
      <c r="BN1699" t="s">
        <v>6521</v>
      </c>
      <c r="BO1699" t="s">
        <v>6522</v>
      </c>
      <c r="BP1699" t="s">
        <v>595</v>
      </c>
      <c r="BQ1699" t="s">
        <v>556</v>
      </c>
      <c r="BR1699" t="s">
        <v>114</v>
      </c>
      <c r="BS1699" s="5">
        <v>75219</v>
      </c>
      <c r="BT1699" s="2">
        <v>106595</v>
      </c>
      <c r="BU1699" s="2">
        <v>117254</v>
      </c>
      <c r="BV1699" t="s">
        <v>105</v>
      </c>
      <c r="BW1699" s="2">
        <v>93558</v>
      </c>
      <c r="BX1699" t="s">
        <v>105</v>
      </c>
      <c r="BZ1699" t="s">
        <v>167</v>
      </c>
      <c r="CA1699" t="str">
        <f t="shared" si="135"/>
        <v>7/1/2020 - 6/30/2021</v>
      </c>
      <c r="CF1699">
        <v>1</v>
      </c>
      <c r="CG1699" t="s">
        <v>98</v>
      </c>
      <c r="CH1699" t="s">
        <v>206</v>
      </c>
      <c r="CI1699" t="s">
        <v>206</v>
      </c>
      <c r="CL1699" t="s">
        <v>108</v>
      </c>
      <c r="CM1699" t="s">
        <v>109</v>
      </c>
      <c r="CN1699" t="str">
        <f>""</f>
        <v/>
      </c>
      <c r="CO1699" t="str">
        <f>""</f>
        <v/>
      </c>
      <c r="CP1699" t="str">
        <f>""</f>
        <v/>
      </c>
      <c r="CQ1699" t="str">
        <f>""</f>
        <v/>
      </c>
    </row>
    <row r="1700" spans="1:96" x14ac:dyDescent="0.2">
      <c r="A1700" t="s">
        <v>6531</v>
      </c>
      <c r="B1700" t="s">
        <v>96</v>
      </c>
      <c r="C1700" s="1">
        <v>44099</v>
      </c>
      <c r="D1700" s="1">
        <v>44106</v>
      </c>
      <c r="F1700" t="s">
        <v>97</v>
      </c>
      <c r="G1700" t="str">
        <f>"Axway Consultant"</f>
        <v>Axway Consultant</v>
      </c>
      <c r="H1700" t="s">
        <v>12169</v>
      </c>
      <c r="I1700" t="s">
        <v>124</v>
      </c>
      <c r="J1700" t="s">
        <v>98</v>
      </c>
      <c r="K1700" s="1">
        <v>44195</v>
      </c>
      <c r="L1700" s="1">
        <v>45289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 t="s">
        <v>6532</v>
      </c>
      <c r="U1700" t="str">
        <f>""</f>
        <v/>
      </c>
      <c r="V1700" t="s">
        <v>6533</v>
      </c>
      <c r="W1700" t="str">
        <f>""</f>
        <v/>
      </c>
      <c r="X1700" t="s">
        <v>256</v>
      </c>
      <c r="Y1700" t="s">
        <v>258</v>
      </c>
      <c r="Z1700" s="3">
        <v>85226</v>
      </c>
      <c r="AA1700" t="s">
        <v>101</v>
      </c>
      <c r="AC1700" s="4" t="str">
        <f>"+14802949768"</f>
        <v>+14802949768</v>
      </c>
      <c r="AE1700" t="str">
        <f>"54169"</f>
        <v>54169</v>
      </c>
      <c r="AF1700" t="s">
        <v>6534</v>
      </c>
      <c r="AG1700" t="s">
        <v>6535</v>
      </c>
      <c r="AI1700" t="s">
        <v>508</v>
      </c>
      <c r="AJ1700" t="s">
        <v>6533</v>
      </c>
      <c r="AK1700" t="str">
        <f>""</f>
        <v/>
      </c>
      <c r="AL1700" t="s">
        <v>256</v>
      </c>
      <c r="AM1700" t="s">
        <v>258</v>
      </c>
      <c r="AN1700" s="3">
        <v>85226</v>
      </c>
      <c r="AO1700" t="s">
        <v>101</v>
      </c>
      <c r="AQ1700" t="str">
        <f>"+14802949768"</f>
        <v>+14802949768</v>
      </c>
      <c r="AS1700" t="s">
        <v>6536</v>
      </c>
      <c r="AT1700" t="s">
        <v>107</v>
      </c>
      <c r="AU1700" t="str">
        <f>"Seth"</f>
        <v>Seth</v>
      </c>
      <c r="AV1700" t="str">
        <f>"Piyush"</f>
        <v>Piyush</v>
      </c>
      <c r="AW1700" t="str">
        <f>""</f>
        <v/>
      </c>
      <c r="AX1700" t="str">
        <f>"1000 MCKNIGHT PARK DRIVE"</f>
        <v>1000 MCKNIGHT PARK DRIVE</v>
      </c>
      <c r="AY1700" t="str">
        <f>"SUITE 1006A"</f>
        <v>SUITE 1006A</v>
      </c>
      <c r="AZ1700" t="str">
        <f>"Pittsburgh"</f>
        <v>Pittsburgh</v>
      </c>
      <c r="BA1700" t="str">
        <f>"PA"</f>
        <v>PA</v>
      </c>
      <c r="BB1700" s="3">
        <v>15237</v>
      </c>
      <c r="BC1700" t="str">
        <f>"UNITED STATES OF AMERICA"</f>
        <v>UNITED STATES OF AMERICA</v>
      </c>
      <c r="BD1700" t="str">
        <f>""</f>
        <v/>
      </c>
      <c r="BE1700" t="str">
        <f>"+14122816005"</f>
        <v>+14122816005</v>
      </c>
      <c r="BF1700" t="str">
        <f>""</f>
        <v/>
      </c>
      <c r="BG1700" t="str">
        <f>"seth@sethlegal.com"</f>
        <v>seth@sethlegal.com</v>
      </c>
      <c r="BH1700" t="str">
        <f>"Seth Law Offices, P. C."</f>
        <v>Seth Law Offices, P. C.</v>
      </c>
      <c r="BI1700" t="str">
        <f>"PA"</f>
        <v>PA</v>
      </c>
      <c r="BJ1700" t="str">
        <f>"Supreme Court"</f>
        <v>Supreme Court</v>
      </c>
      <c r="BK1700">
        <v>1</v>
      </c>
      <c r="BL1700" t="s">
        <v>107</v>
      </c>
      <c r="BM1700" t="str">
        <f>"Anthem, Inc."</f>
        <v>Anthem, Inc.</v>
      </c>
      <c r="BN1700" t="s">
        <v>6537</v>
      </c>
      <c r="BP1700" t="s">
        <v>2212</v>
      </c>
      <c r="BQ1700" t="s">
        <v>2213</v>
      </c>
      <c r="BR1700" t="s">
        <v>135</v>
      </c>
      <c r="BS1700" s="5">
        <v>23502</v>
      </c>
      <c r="BT1700" s="2">
        <v>106000</v>
      </c>
      <c r="BV1700" t="s">
        <v>105</v>
      </c>
      <c r="BW1700" s="2">
        <v>94952</v>
      </c>
      <c r="BX1700" t="s">
        <v>105</v>
      </c>
      <c r="BZ1700" t="s">
        <v>123</v>
      </c>
      <c r="CA1700" t="str">
        <f t="shared" si="135"/>
        <v>7/1/2020 - 6/30/2021</v>
      </c>
      <c r="CF1700">
        <v>1</v>
      </c>
      <c r="CG1700" t="s">
        <v>98</v>
      </c>
      <c r="CH1700" t="s">
        <v>206</v>
      </c>
      <c r="CI1700" t="s">
        <v>206</v>
      </c>
      <c r="CL1700" t="s">
        <v>108</v>
      </c>
      <c r="CM1700" t="s">
        <v>109</v>
      </c>
      <c r="CN1700" t="str">
        <f>"Seth"</f>
        <v>Seth</v>
      </c>
      <c r="CO1700" t="str">
        <f>"Piyush"</f>
        <v>Piyush</v>
      </c>
      <c r="CP1700" t="str">
        <f>""</f>
        <v/>
      </c>
      <c r="CQ1700" t="str">
        <f>"Seth Law Offices, P. C. "</f>
        <v xml:space="preserve">Seth Law Offices, P. C. </v>
      </c>
      <c r="CR1700" t="s">
        <v>625</v>
      </c>
    </row>
    <row r="1701" spans="1:96" x14ac:dyDescent="0.2">
      <c r="A1701" t="s">
        <v>6543</v>
      </c>
      <c r="B1701" t="s">
        <v>96</v>
      </c>
      <c r="C1701" s="1">
        <v>44099</v>
      </c>
      <c r="D1701" s="1">
        <v>44106</v>
      </c>
      <c r="F1701" t="s">
        <v>97</v>
      </c>
      <c r="G1701" t="str">
        <f>"Associate Senior Software Engineer"</f>
        <v>Associate Senior Software Engineer</v>
      </c>
      <c r="H1701" t="s">
        <v>12169</v>
      </c>
      <c r="I1701" t="s">
        <v>124</v>
      </c>
      <c r="J1701" t="s">
        <v>98</v>
      </c>
      <c r="K1701" s="1">
        <v>44260</v>
      </c>
      <c r="L1701" s="1">
        <v>45355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 t="s">
        <v>1258</v>
      </c>
      <c r="U1701" t="str">
        <f>""</f>
        <v/>
      </c>
      <c r="V1701" t="s">
        <v>2938</v>
      </c>
      <c r="W1701" t="str">
        <f>""</f>
        <v/>
      </c>
      <c r="X1701" t="s">
        <v>2939</v>
      </c>
      <c r="Y1701" t="s">
        <v>374</v>
      </c>
      <c r="Z1701" s="3">
        <v>64117</v>
      </c>
      <c r="AA1701" t="s">
        <v>101</v>
      </c>
      <c r="AC1701" s="4" t="str">
        <f>"+18162011024"</f>
        <v>+18162011024</v>
      </c>
      <c r="AE1701" t="str">
        <f>"541512"</f>
        <v>541512</v>
      </c>
      <c r="AF1701" t="s">
        <v>1261</v>
      </c>
      <c r="AG1701" t="s">
        <v>1262</v>
      </c>
      <c r="AH1701" t="s">
        <v>627</v>
      </c>
      <c r="AI1701" t="s">
        <v>1263</v>
      </c>
      <c r="AJ1701" t="s">
        <v>1259</v>
      </c>
      <c r="AK1701" t="str">
        <f>""</f>
        <v/>
      </c>
      <c r="AL1701" t="s">
        <v>2939</v>
      </c>
      <c r="AM1701" t="s">
        <v>374</v>
      </c>
      <c r="AN1701" s="3">
        <v>64117</v>
      </c>
      <c r="AO1701" t="s">
        <v>101</v>
      </c>
      <c r="AQ1701" t="str">
        <f>"+18162015122"</f>
        <v>+18162015122</v>
      </c>
      <c r="AS1701" t="s">
        <v>1264</v>
      </c>
      <c r="AT1701" t="s">
        <v>102</v>
      </c>
      <c r="AU1701" t="str">
        <f>""</f>
        <v/>
      </c>
      <c r="AV1701" t="str">
        <f>""</f>
        <v/>
      </c>
      <c r="AW1701" t="str">
        <f>""</f>
        <v/>
      </c>
      <c r="AX1701" t="str">
        <f>""</f>
        <v/>
      </c>
      <c r="AY1701" t="str">
        <f>""</f>
        <v/>
      </c>
      <c r="AZ1701" t="str">
        <f>""</f>
        <v/>
      </c>
      <c r="BA1701" t="str">
        <f>""</f>
        <v/>
      </c>
      <c r="BC1701" t="str">
        <f>""</f>
        <v/>
      </c>
      <c r="BD1701" t="str">
        <f>""</f>
        <v/>
      </c>
      <c r="BE1701" t="str">
        <f>""</f>
        <v/>
      </c>
      <c r="BF1701" t="str">
        <f>""</f>
        <v/>
      </c>
      <c r="BG1701" t="str">
        <f>""</f>
        <v/>
      </c>
      <c r="BH1701" t="str">
        <f>""</f>
        <v/>
      </c>
      <c r="BI1701" t="str">
        <f>""</f>
        <v/>
      </c>
      <c r="BJ1701" t="str">
        <f>""</f>
        <v/>
      </c>
      <c r="BK1701">
        <v>1</v>
      </c>
      <c r="BL1701" t="s">
        <v>102</v>
      </c>
      <c r="BM1701" t="str">
        <f>""</f>
        <v/>
      </c>
      <c r="BN1701" t="s">
        <v>1265</v>
      </c>
      <c r="BP1701" t="s">
        <v>1237</v>
      </c>
      <c r="BQ1701" t="s">
        <v>1238</v>
      </c>
      <c r="BR1701" t="s">
        <v>127</v>
      </c>
      <c r="BS1701" s="5">
        <v>19355</v>
      </c>
      <c r="BT1701" s="2">
        <v>84895.48</v>
      </c>
      <c r="BV1701" t="s">
        <v>105</v>
      </c>
      <c r="BW1701" s="2">
        <v>73715</v>
      </c>
      <c r="BX1701" t="s">
        <v>105</v>
      </c>
      <c r="BZ1701" t="s">
        <v>191</v>
      </c>
      <c r="CA1701" t="str">
        <f t="shared" si="135"/>
        <v>7/1/2020 - 6/30/2021</v>
      </c>
      <c r="CF1701">
        <v>2</v>
      </c>
      <c r="CG1701" t="s">
        <v>98</v>
      </c>
      <c r="CH1701" t="s">
        <v>206</v>
      </c>
      <c r="CI1701" t="s">
        <v>206</v>
      </c>
      <c r="CL1701" t="s">
        <v>108</v>
      </c>
      <c r="CM1701" t="s">
        <v>109</v>
      </c>
      <c r="CN1701" t="str">
        <f>"SHARMA"</f>
        <v>SHARMA</v>
      </c>
      <c r="CO1701" t="str">
        <f>"NAMITA"</f>
        <v>NAMITA</v>
      </c>
      <c r="CP1701" t="str">
        <f>""</f>
        <v/>
      </c>
      <c r="CQ1701" t="str">
        <f>"CERNER CORPORATION"</f>
        <v>CERNER CORPORATION</v>
      </c>
      <c r="CR1701" t="s">
        <v>1264</v>
      </c>
    </row>
    <row r="1702" spans="1:96" x14ac:dyDescent="0.2">
      <c r="A1702" t="s">
        <v>6561</v>
      </c>
      <c r="B1702" t="s">
        <v>96</v>
      </c>
      <c r="C1702" s="1">
        <v>44099</v>
      </c>
      <c r="D1702" s="1">
        <v>44106</v>
      </c>
      <c r="F1702" t="s">
        <v>97</v>
      </c>
      <c r="G1702" t="str">
        <f>"SENIOR SOFTWARE ENGINEER"</f>
        <v>SENIOR SOFTWARE ENGINEER</v>
      </c>
      <c r="H1702" t="s">
        <v>12169</v>
      </c>
      <c r="I1702" t="s">
        <v>124</v>
      </c>
      <c r="J1702" t="s">
        <v>98</v>
      </c>
      <c r="K1702" s="1">
        <v>44130</v>
      </c>
      <c r="L1702" s="1">
        <v>45224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 t="s">
        <v>3458</v>
      </c>
      <c r="U1702" t="str">
        <f>"PREMIER, INC."</f>
        <v>PREMIER, INC.</v>
      </c>
      <c r="V1702" t="s">
        <v>3459</v>
      </c>
      <c r="W1702" t="str">
        <f>"N/A"</f>
        <v>N/A</v>
      </c>
      <c r="X1702" t="s">
        <v>998</v>
      </c>
      <c r="Y1702" t="s">
        <v>122</v>
      </c>
      <c r="Z1702" s="3">
        <v>28277</v>
      </c>
      <c r="AA1702" t="s">
        <v>101</v>
      </c>
      <c r="AC1702" s="4" t="str">
        <f>"+17048165477"</f>
        <v>+17048165477</v>
      </c>
      <c r="AE1702" t="str">
        <f>"54199"</f>
        <v>54199</v>
      </c>
      <c r="AF1702" t="s">
        <v>395</v>
      </c>
      <c r="AG1702" t="s">
        <v>1910</v>
      </c>
      <c r="AH1702" t="s">
        <v>666</v>
      </c>
      <c r="AI1702" t="s">
        <v>3460</v>
      </c>
      <c r="AJ1702" t="s">
        <v>3459</v>
      </c>
      <c r="AK1702" t="str">
        <f>"N/A"</f>
        <v>N/A</v>
      </c>
      <c r="AL1702" t="s">
        <v>998</v>
      </c>
      <c r="AM1702" t="s">
        <v>122</v>
      </c>
      <c r="AN1702" s="3">
        <v>28277</v>
      </c>
      <c r="AO1702" t="s">
        <v>101</v>
      </c>
      <c r="AQ1702" t="str">
        <f>"+17048165477"</f>
        <v>+17048165477</v>
      </c>
      <c r="AS1702" t="s">
        <v>3461</v>
      </c>
      <c r="AT1702" t="s">
        <v>107</v>
      </c>
      <c r="AU1702" t="str">
        <f>"BURTON"</f>
        <v>BURTON</v>
      </c>
      <c r="AV1702" t="str">
        <f>"Laura"</f>
        <v>Laura</v>
      </c>
      <c r="AW1702" t="str">
        <f>"Deddish"</f>
        <v>Deddish</v>
      </c>
      <c r="AX1702" t="str">
        <f>"230 N. ELM STREET"</f>
        <v>230 N. ELM STREET</v>
      </c>
      <c r="AY1702" t="str">
        <f>"SUITE 1200"</f>
        <v>SUITE 1200</v>
      </c>
      <c r="AZ1702" t="str">
        <f>"GREENSBORO"</f>
        <v>GREENSBORO</v>
      </c>
      <c r="BA1702" t="str">
        <f>"NC"</f>
        <v>NC</v>
      </c>
      <c r="BB1702" s="3">
        <v>27401</v>
      </c>
      <c r="BC1702" t="str">
        <f>"UNITED STATES OF AMERICA"</f>
        <v>UNITED STATES OF AMERICA</v>
      </c>
      <c r="BD1702" t="str">
        <f>""</f>
        <v/>
      </c>
      <c r="BE1702" t="str">
        <f>"+13363785566"</f>
        <v>+13363785566</v>
      </c>
      <c r="BF1702" t="str">
        <f>""</f>
        <v/>
      </c>
      <c r="BG1702" t="str">
        <f>"LBurton@foxrothschild.com"</f>
        <v>LBurton@foxrothschild.com</v>
      </c>
      <c r="BH1702" t="str">
        <f>"FOX ROTHSCHILD LLP"</f>
        <v>FOX ROTHSCHILD LLP</v>
      </c>
      <c r="BI1702" t="str">
        <f>"NC"</f>
        <v>NC</v>
      </c>
      <c r="BJ1702" t="str">
        <f>"4TH CIRCUIT COURT OF APPEALS"</f>
        <v>4TH CIRCUIT COURT OF APPEALS</v>
      </c>
      <c r="BK1702">
        <v>1</v>
      </c>
      <c r="BL1702" t="s">
        <v>102</v>
      </c>
      <c r="BM1702" t="str">
        <f>""</f>
        <v/>
      </c>
      <c r="BN1702" t="s">
        <v>3462</v>
      </c>
      <c r="BO1702" t="s">
        <v>108</v>
      </c>
      <c r="BP1702" t="s">
        <v>604</v>
      </c>
      <c r="BQ1702" t="s">
        <v>121</v>
      </c>
      <c r="BR1702" t="s">
        <v>122</v>
      </c>
      <c r="BS1702" s="5">
        <v>28277</v>
      </c>
      <c r="BT1702" s="2">
        <v>125000</v>
      </c>
      <c r="BV1702" t="s">
        <v>105</v>
      </c>
      <c r="BW1702" s="2">
        <v>122616</v>
      </c>
      <c r="BX1702" t="s">
        <v>105</v>
      </c>
      <c r="BZ1702" t="s">
        <v>159</v>
      </c>
      <c r="CA1702" t="str">
        <f t="shared" si="135"/>
        <v>7/1/2020 - 6/30/2021</v>
      </c>
      <c r="CF1702">
        <v>2</v>
      </c>
      <c r="CG1702" t="s">
        <v>98</v>
      </c>
      <c r="CH1702" t="s">
        <v>206</v>
      </c>
      <c r="CI1702" t="s">
        <v>206</v>
      </c>
      <c r="CL1702" t="s">
        <v>108</v>
      </c>
      <c r="CM1702" t="s">
        <v>109</v>
      </c>
      <c r="CN1702" t="str">
        <f>"BURTON"</f>
        <v>BURTON</v>
      </c>
      <c r="CO1702" t="str">
        <f>"Laura"</f>
        <v>Laura</v>
      </c>
      <c r="CP1702" t="str">
        <f>"D"</f>
        <v>D</v>
      </c>
      <c r="CQ1702" t="str">
        <f>"FOXROTHSCHILD LLP"</f>
        <v>FOXROTHSCHILD LLP</v>
      </c>
      <c r="CR1702" t="s">
        <v>3463</v>
      </c>
    </row>
    <row r="1703" spans="1:96" x14ac:dyDescent="0.2">
      <c r="A1703" t="s">
        <v>6568</v>
      </c>
      <c r="B1703" t="s">
        <v>96</v>
      </c>
      <c r="C1703" s="1">
        <v>44099</v>
      </c>
      <c r="D1703" s="1">
        <v>44106</v>
      </c>
      <c r="F1703" t="s">
        <v>97</v>
      </c>
      <c r="G1703" t="str">
        <f>"Senior Security Program Manager"</f>
        <v>Senior Security Program Manager</v>
      </c>
      <c r="H1703" t="s">
        <v>12169</v>
      </c>
      <c r="I1703" t="s">
        <v>124</v>
      </c>
      <c r="J1703" t="s">
        <v>98</v>
      </c>
      <c r="K1703" s="1">
        <v>44119</v>
      </c>
      <c r="L1703" s="1">
        <v>45213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 t="s">
        <v>173</v>
      </c>
      <c r="U1703" t="str">
        <f>""</f>
        <v/>
      </c>
      <c r="V1703" t="s">
        <v>174</v>
      </c>
      <c r="W1703" t="str">
        <f>"N/A"</f>
        <v>N/A</v>
      </c>
      <c r="X1703" t="s">
        <v>175</v>
      </c>
      <c r="Y1703" t="s">
        <v>176</v>
      </c>
      <c r="Z1703" s="3">
        <v>98052</v>
      </c>
      <c r="AA1703" t="s">
        <v>101</v>
      </c>
      <c r="AC1703" s="4" t="str">
        <f>"+14258828080"</f>
        <v>+14258828080</v>
      </c>
      <c r="AE1703" t="str">
        <f>"51121"</f>
        <v>51121</v>
      </c>
      <c r="AF1703" t="s">
        <v>177</v>
      </c>
      <c r="AG1703" t="s">
        <v>178</v>
      </c>
      <c r="AI1703" t="s">
        <v>179</v>
      </c>
      <c r="AJ1703" t="s">
        <v>174</v>
      </c>
      <c r="AK1703" t="str">
        <f>""</f>
        <v/>
      </c>
      <c r="AL1703" t="s">
        <v>175</v>
      </c>
      <c r="AM1703" t="s">
        <v>176</v>
      </c>
      <c r="AN1703" s="3">
        <v>98052</v>
      </c>
      <c r="AO1703" t="s">
        <v>101</v>
      </c>
      <c r="AQ1703" t="str">
        <f>"+14258828080"</f>
        <v>+14258828080</v>
      </c>
      <c r="AS1703" t="s">
        <v>180</v>
      </c>
      <c r="AT1703" t="s">
        <v>102</v>
      </c>
      <c r="AU1703" t="str">
        <f>""</f>
        <v/>
      </c>
      <c r="AV1703" t="str">
        <f>""</f>
        <v/>
      </c>
      <c r="AW1703" t="str">
        <f>""</f>
        <v/>
      </c>
      <c r="AX1703" t="str">
        <f>""</f>
        <v/>
      </c>
      <c r="AY1703" t="str">
        <f>""</f>
        <v/>
      </c>
      <c r="AZ1703" t="str">
        <f>""</f>
        <v/>
      </c>
      <c r="BA1703" t="str">
        <f>""</f>
        <v/>
      </c>
      <c r="BC1703" t="str">
        <f>""</f>
        <v/>
      </c>
      <c r="BD1703" t="str">
        <f>""</f>
        <v/>
      </c>
      <c r="BE1703" t="str">
        <f>""</f>
        <v/>
      </c>
      <c r="BF1703" t="str">
        <f>""</f>
        <v/>
      </c>
      <c r="BG1703" t="str">
        <f>""</f>
        <v/>
      </c>
      <c r="BH1703" t="str">
        <f>""</f>
        <v/>
      </c>
      <c r="BI1703" t="str">
        <f>""</f>
        <v/>
      </c>
      <c r="BJ1703" t="str">
        <f>""</f>
        <v/>
      </c>
      <c r="BK1703">
        <v>1</v>
      </c>
      <c r="BL1703" t="s">
        <v>102</v>
      </c>
      <c r="BM1703" t="str">
        <f>""</f>
        <v/>
      </c>
      <c r="BN1703" t="s">
        <v>962</v>
      </c>
      <c r="BP1703" t="s">
        <v>175</v>
      </c>
      <c r="BQ1703" t="s">
        <v>183</v>
      </c>
      <c r="BR1703" t="s">
        <v>176</v>
      </c>
      <c r="BS1703" s="5">
        <v>98052</v>
      </c>
      <c r="BT1703" s="2">
        <v>156221</v>
      </c>
      <c r="BV1703" t="s">
        <v>105</v>
      </c>
      <c r="BW1703" s="2">
        <v>134098</v>
      </c>
      <c r="BX1703" t="s">
        <v>105</v>
      </c>
      <c r="BZ1703" t="s">
        <v>123</v>
      </c>
      <c r="CA1703" t="str">
        <f t="shared" si="135"/>
        <v>7/1/2020 - 6/30/2021</v>
      </c>
      <c r="CF1703">
        <v>1</v>
      </c>
      <c r="CG1703" t="s">
        <v>98</v>
      </c>
      <c r="CH1703" t="s">
        <v>206</v>
      </c>
      <c r="CI1703" t="s">
        <v>206</v>
      </c>
      <c r="CL1703" t="s">
        <v>108</v>
      </c>
      <c r="CM1703" t="s">
        <v>109</v>
      </c>
      <c r="CN1703" t="str">
        <f>"Kodishala"</f>
        <v>Kodishala</v>
      </c>
      <c r="CO1703" t="str">
        <f>"Suresh"</f>
        <v>Suresh</v>
      </c>
      <c r="CP1703" t="str">
        <f>"N/A"</f>
        <v>N/A</v>
      </c>
      <c r="CQ1703" t="str">
        <f>"INTEGREON MANAGED SOLUTIONS (INDIA) PVT LTD"</f>
        <v>INTEGREON MANAGED SOLUTIONS (INDIA) PVT LTD</v>
      </c>
      <c r="CR1703" t="s">
        <v>231</v>
      </c>
    </row>
    <row r="1704" spans="1:96" x14ac:dyDescent="0.2">
      <c r="A1704" t="s">
        <v>6597</v>
      </c>
      <c r="B1704" t="s">
        <v>96</v>
      </c>
      <c r="C1704" s="1">
        <v>44099</v>
      </c>
      <c r="D1704" s="1">
        <v>44106</v>
      </c>
      <c r="F1704" t="s">
        <v>97</v>
      </c>
      <c r="G1704" t="str">
        <f>"SENIOR SOFTWARE TEST AUTOMATION ENGINEER"</f>
        <v>SENIOR SOFTWARE TEST AUTOMATION ENGINEER</v>
      </c>
      <c r="H1704" t="s">
        <v>12169</v>
      </c>
      <c r="I1704" t="s">
        <v>124</v>
      </c>
      <c r="J1704" t="s">
        <v>98</v>
      </c>
      <c r="K1704" s="1">
        <v>44137</v>
      </c>
      <c r="L1704" s="1">
        <v>45231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 t="s">
        <v>548</v>
      </c>
      <c r="U1704" t="str">
        <f>""</f>
        <v/>
      </c>
      <c r="V1704" t="s">
        <v>549</v>
      </c>
      <c r="W1704" t="str">
        <f>"Suite 202"</f>
        <v>Suite 202</v>
      </c>
      <c r="X1704" t="s">
        <v>550</v>
      </c>
      <c r="Y1704" t="s">
        <v>127</v>
      </c>
      <c r="Z1704" s="3">
        <v>18940</v>
      </c>
      <c r="AA1704" t="s">
        <v>101</v>
      </c>
      <c r="AC1704" s="4" t="str">
        <f>"+12677599000"</f>
        <v>+12677599000</v>
      </c>
      <c r="AE1704" t="str">
        <f>"541511"</f>
        <v>541511</v>
      </c>
      <c r="AF1704" t="s">
        <v>551</v>
      </c>
      <c r="AG1704" t="s">
        <v>552</v>
      </c>
      <c r="AI1704" t="s">
        <v>553</v>
      </c>
      <c r="AJ1704" t="s">
        <v>549</v>
      </c>
      <c r="AK1704" t="str">
        <f>"Suite 202"</f>
        <v>Suite 202</v>
      </c>
      <c r="AL1704" t="s">
        <v>550</v>
      </c>
      <c r="AM1704" t="s">
        <v>127</v>
      </c>
      <c r="AN1704" s="3">
        <v>18940</v>
      </c>
      <c r="AO1704" t="s">
        <v>101</v>
      </c>
      <c r="AQ1704" t="str">
        <f>"+12677599000"</f>
        <v>+12677599000</v>
      </c>
      <c r="AS1704" t="s">
        <v>554</v>
      </c>
      <c r="AT1704" t="s">
        <v>107</v>
      </c>
      <c r="AU1704" t="str">
        <f>"Pack"</f>
        <v>Pack</v>
      </c>
      <c r="AV1704" t="str">
        <f>"James"</f>
        <v>James</v>
      </c>
      <c r="AW1704" t="str">
        <f>"Young Ho"</f>
        <v>Young Ho</v>
      </c>
      <c r="AX1704" t="str">
        <f>"18401 Von Karman Avenue"</f>
        <v>18401 Von Karman Avenue</v>
      </c>
      <c r="AY1704" t="str">
        <f>"Suite 255"</f>
        <v>Suite 255</v>
      </c>
      <c r="AZ1704" t="str">
        <f>"Irvine"</f>
        <v>Irvine</v>
      </c>
      <c r="BA1704" t="str">
        <f>"CA"</f>
        <v>CA</v>
      </c>
      <c r="BB1704" s="3">
        <v>92612</v>
      </c>
      <c r="BC1704" t="str">
        <f t="shared" ref="BC1704:BC1730" si="136">"UNITED STATES OF AMERICA"</f>
        <v>UNITED STATES OF AMERICA</v>
      </c>
      <c r="BD1704" t="str">
        <f>"N/A"</f>
        <v>N/A</v>
      </c>
      <c r="BE1704" t="str">
        <f>"+19492610209"</f>
        <v>+19492610209</v>
      </c>
      <c r="BF1704" t="str">
        <f>""</f>
        <v/>
      </c>
      <c r="BG1704" t="str">
        <f>"EPAMNIV@fragomen.com"</f>
        <v>EPAMNIV@fragomen.com</v>
      </c>
      <c r="BH1704" t="str">
        <f>"Fragomen, Del Rey, Bernsen &amp; Loewy, LLP"</f>
        <v>Fragomen, Del Rey, Bernsen &amp; Loewy, LLP</v>
      </c>
      <c r="BI1704" t="str">
        <f>"CA"</f>
        <v>CA</v>
      </c>
      <c r="BJ1704" t="str">
        <f>"Supreme"</f>
        <v>Supreme</v>
      </c>
      <c r="BK1704">
        <v>1</v>
      </c>
      <c r="BL1704" t="s">
        <v>107</v>
      </c>
      <c r="BM1704" t="str">
        <f>"Google"</f>
        <v>Google</v>
      </c>
      <c r="BN1704" t="s">
        <v>6598</v>
      </c>
      <c r="BO1704" t="s">
        <v>6599</v>
      </c>
      <c r="BP1704" t="s">
        <v>765</v>
      </c>
      <c r="BQ1704" t="s">
        <v>721</v>
      </c>
      <c r="BR1704" t="s">
        <v>114</v>
      </c>
      <c r="BS1704" s="5">
        <v>78701</v>
      </c>
      <c r="BT1704" s="2">
        <v>118000</v>
      </c>
      <c r="BV1704" t="s">
        <v>105</v>
      </c>
      <c r="BW1704" s="2">
        <v>87589</v>
      </c>
      <c r="BX1704" t="s">
        <v>105</v>
      </c>
      <c r="BZ1704" t="s">
        <v>167</v>
      </c>
      <c r="CA1704" t="str">
        <f t="shared" si="135"/>
        <v>7/1/2020 - 6/30/2021</v>
      </c>
      <c r="CF1704">
        <v>2</v>
      </c>
      <c r="CG1704" t="s">
        <v>98</v>
      </c>
      <c r="CH1704" t="s">
        <v>206</v>
      </c>
      <c r="CI1704" t="s">
        <v>206</v>
      </c>
      <c r="CL1704" t="s">
        <v>108</v>
      </c>
      <c r="CM1704" t="s">
        <v>109</v>
      </c>
      <c r="CN1704" t="str">
        <f>"McCain"</f>
        <v>McCain</v>
      </c>
      <c r="CO1704" t="str">
        <f>"Gabriela"</f>
        <v>Gabriela</v>
      </c>
      <c r="CP1704" t="str">
        <f>""</f>
        <v/>
      </c>
      <c r="CQ1704" t="str">
        <f>"Fragomen, Del Rey, Bernsen &amp; Loewy LLP"</f>
        <v>Fragomen, Del Rey, Bernsen &amp; Loewy LLP</v>
      </c>
      <c r="CR1704" t="s">
        <v>557</v>
      </c>
    </row>
    <row r="1705" spans="1:96" x14ac:dyDescent="0.2">
      <c r="A1705" t="s">
        <v>6615</v>
      </c>
      <c r="B1705" t="s">
        <v>96</v>
      </c>
      <c r="C1705" s="1">
        <v>44099</v>
      </c>
      <c r="D1705" s="1">
        <v>44106</v>
      </c>
      <c r="F1705" t="s">
        <v>97</v>
      </c>
      <c r="G1705" t="str">
        <f>"Staff Engineer, Software"</f>
        <v>Staff Engineer, Software</v>
      </c>
      <c r="H1705" t="s">
        <v>12169</v>
      </c>
      <c r="I1705" t="s">
        <v>124</v>
      </c>
      <c r="J1705" t="s">
        <v>98</v>
      </c>
      <c r="K1705" s="1">
        <v>44109</v>
      </c>
      <c r="L1705" s="1">
        <v>45203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 t="s">
        <v>6616</v>
      </c>
      <c r="U1705" t="str">
        <f>""</f>
        <v/>
      </c>
      <c r="V1705" t="s">
        <v>6617</v>
      </c>
      <c r="W1705" t="str">
        <f>""</f>
        <v/>
      </c>
      <c r="X1705" t="s">
        <v>1924</v>
      </c>
      <c r="Y1705" t="s">
        <v>141</v>
      </c>
      <c r="Z1705" s="3">
        <v>90404</v>
      </c>
      <c r="AA1705" t="s">
        <v>101</v>
      </c>
      <c r="AC1705" s="4" t="str">
        <f>"+13108839000"</f>
        <v>+13108839000</v>
      </c>
      <c r="AE1705" t="str">
        <f>"812191"</f>
        <v>812191</v>
      </c>
      <c r="AF1705" t="s">
        <v>6618</v>
      </c>
      <c r="AG1705" t="s">
        <v>6619</v>
      </c>
      <c r="AI1705" t="s">
        <v>5912</v>
      </c>
      <c r="AJ1705" t="s">
        <v>6617</v>
      </c>
      <c r="AK1705" t="str">
        <f>""</f>
        <v/>
      </c>
      <c r="AL1705" t="s">
        <v>1924</v>
      </c>
      <c r="AM1705" t="s">
        <v>141</v>
      </c>
      <c r="AN1705" s="3">
        <v>90404</v>
      </c>
      <c r="AO1705" t="s">
        <v>101</v>
      </c>
      <c r="AQ1705" t="str">
        <f>"+13108839278"</f>
        <v>+13108839278</v>
      </c>
      <c r="AS1705" t="s">
        <v>6620</v>
      </c>
      <c r="AT1705" t="s">
        <v>107</v>
      </c>
      <c r="AU1705" t="str">
        <f>"COHEN"</f>
        <v>COHEN</v>
      </c>
      <c r="AV1705" t="str">
        <f>"STELLA"</f>
        <v>STELLA</v>
      </c>
      <c r="AW1705" t="str">
        <f>"Z"</f>
        <v>Z</v>
      </c>
      <c r="AX1705" t="str">
        <f>"4551 GLENCOE AVENUE"</f>
        <v>4551 GLENCOE AVENUE</v>
      </c>
      <c r="AY1705" t="str">
        <f>"SUITE 320"</f>
        <v>SUITE 320</v>
      </c>
      <c r="AZ1705" t="str">
        <f>"MARINA DEL REY"</f>
        <v>MARINA DEL REY</v>
      </c>
      <c r="BA1705" t="str">
        <f>"CA"</f>
        <v>CA</v>
      </c>
      <c r="BB1705" s="3">
        <v>90292</v>
      </c>
      <c r="BC1705" t="str">
        <f t="shared" si="136"/>
        <v>UNITED STATES OF AMERICA</v>
      </c>
      <c r="BD1705" t="str">
        <f>""</f>
        <v/>
      </c>
      <c r="BE1705" t="str">
        <f>"+13109109880"</f>
        <v>+13109109880</v>
      </c>
      <c r="BF1705" t="str">
        <f>""</f>
        <v/>
      </c>
      <c r="BG1705" t="str">
        <f>"INFO@HAIGHTLAW.COM"</f>
        <v>INFO@HAIGHTLAW.COM</v>
      </c>
      <c r="BH1705" t="str">
        <f>"HAIGHT LAW GROUP, PC"</f>
        <v>HAIGHT LAW GROUP, PC</v>
      </c>
      <c r="BI1705" t="str">
        <f>"CA"</f>
        <v>CA</v>
      </c>
      <c r="BJ1705" t="str">
        <f>"SUPREME COURT"</f>
        <v>SUPREME COURT</v>
      </c>
      <c r="BK1705">
        <v>1</v>
      </c>
      <c r="BL1705" t="s">
        <v>102</v>
      </c>
      <c r="BM1705" t="str">
        <f>""</f>
        <v/>
      </c>
      <c r="BN1705" t="s">
        <v>6621</v>
      </c>
      <c r="BP1705" t="s">
        <v>1931</v>
      </c>
      <c r="BQ1705" t="s">
        <v>365</v>
      </c>
      <c r="BR1705" t="s">
        <v>141</v>
      </c>
      <c r="BS1705" s="5">
        <v>90404</v>
      </c>
      <c r="BT1705" s="2">
        <v>155200</v>
      </c>
      <c r="BV1705" t="s">
        <v>105</v>
      </c>
      <c r="BW1705" s="2">
        <v>142667</v>
      </c>
      <c r="BX1705" t="s">
        <v>105</v>
      </c>
      <c r="BZ1705" t="s">
        <v>159</v>
      </c>
      <c r="CA1705" t="str">
        <f t="shared" si="135"/>
        <v>7/1/2020 - 6/30/2021</v>
      </c>
      <c r="CF1705">
        <v>2</v>
      </c>
      <c r="CG1705" t="s">
        <v>98</v>
      </c>
      <c r="CH1705" t="s">
        <v>206</v>
      </c>
      <c r="CI1705" t="s">
        <v>206</v>
      </c>
      <c r="CL1705" t="s">
        <v>108</v>
      </c>
      <c r="CM1705" t="s">
        <v>109</v>
      </c>
      <c r="CN1705" t="str">
        <f>"Cohen"</f>
        <v>Cohen</v>
      </c>
      <c r="CO1705" t="str">
        <f>"Stella"</f>
        <v>Stella</v>
      </c>
      <c r="CP1705" t="str">
        <f>""</f>
        <v/>
      </c>
      <c r="CQ1705" t="str">
        <f>"Haight Law Group, PC"</f>
        <v>Haight Law Group, PC</v>
      </c>
      <c r="CR1705" t="s">
        <v>6622</v>
      </c>
    </row>
    <row r="1706" spans="1:96" x14ac:dyDescent="0.2">
      <c r="A1706" t="s">
        <v>6695</v>
      </c>
      <c r="B1706" t="s">
        <v>96</v>
      </c>
      <c r="C1706" s="1">
        <v>44099</v>
      </c>
      <c r="D1706" s="1">
        <v>44106</v>
      </c>
      <c r="F1706" t="s">
        <v>97</v>
      </c>
      <c r="G1706" t="str">
        <f>"Senior Analyst"</f>
        <v>Senior Analyst</v>
      </c>
      <c r="H1706" t="s">
        <v>12180</v>
      </c>
      <c r="I1706" t="s">
        <v>390</v>
      </c>
      <c r="J1706" t="s">
        <v>98</v>
      </c>
      <c r="K1706" s="1">
        <v>44256</v>
      </c>
      <c r="L1706" s="1">
        <v>45351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 t="s">
        <v>4423</v>
      </c>
      <c r="U1706" t="str">
        <f>""</f>
        <v/>
      </c>
      <c r="V1706" t="s">
        <v>4424</v>
      </c>
      <c r="W1706" t="str">
        <f>"FOURTH FLOOR "</f>
        <v xml:space="preserve">FOURTH FLOOR </v>
      </c>
      <c r="X1706" t="s">
        <v>189</v>
      </c>
      <c r="Y1706" t="s">
        <v>190</v>
      </c>
      <c r="Z1706" s="3">
        <v>10017</v>
      </c>
      <c r="AA1706" t="s">
        <v>101</v>
      </c>
      <c r="AC1706" s="4" t="str">
        <f>"+12124151882"</f>
        <v>+12124151882</v>
      </c>
      <c r="AE1706" t="str">
        <f>"54161"</f>
        <v>54161</v>
      </c>
      <c r="AF1706" t="s">
        <v>2077</v>
      </c>
      <c r="AG1706" t="s">
        <v>1239</v>
      </c>
      <c r="AI1706" t="s">
        <v>4425</v>
      </c>
      <c r="AJ1706" t="s">
        <v>4426</v>
      </c>
      <c r="AK1706" t="str">
        <f>"FOURTH FLOOR"</f>
        <v>FOURTH FLOOR</v>
      </c>
      <c r="AL1706" t="s">
        <v>189</v>
      </c>
      <c r="AM1706" t="s">
        <v>190</v>
      </c>
      <c r="AN1706" s="3">
        <v>10017</v>
      </c>
      <c r="AO1706" t="s">
        <v>101</v>
      </c>
      <c r="AQ1706" t="str">
        <f>"+12124151882"</f>
        <v>+12124151882</v>
      </c>
      <c r="AS1706" t="s">
        <v>4427</v>
      </c>
      <c r="AT1706" t="s">
        <v>107</v>
      </c>
      <c r="AU1706" t="str">
        <f>"WEINTRAUB"</f>
        <v>WEINTRAUB</v>
      </c>
      <c r="AV1706" t="str">
        <f>"FREDDI"</f>
        <v>FREDDI</v>
      </c>
      <c r="AW1706" t="str">
        <f>"M."</f>
        <v>M.</v>
      </c>
      <c r="AX1706" t="str">
        <f>"1400 BROADWAY "</f>
        <v xml:space="preserve">1400 BROADWAY </v>
      </c>
      <c r="AY1706" t="str">
        <f>"9TH FLOOR"</f>
        <v>9TH FLOOR</v>
      </c>
      <c r="AZ1706" t="str">
        <f>"NEW YORK "</f>
        <v xml:space="preserve">NEW YORK </v>
      </c>
      <c r="BA1706" t="str">
        <f>"NY"</f>
        <v>NY</v>
      </c>
      <c r="BB1706" s="3">
        <v>10018</v>
      </c>
      <c r="BC1706" t="str">
        <f t="shared" si="136"/>
        <v>UNITED STATES OF AMERICA</v>
      </c>
      <c r="BD1706" t="str">
        <f>""</f>
        <v/>
      </c>
      <c r="BE1706" t="str">
        <f>"+12126888555"</f>
        <v>+12126888555</v>
      </c>
      <c r="BF1706" t="str">
        <f>""</f>
        <v/>
      </c>
      <c r="BG1706" t="str">
        <f>"JRANDOLPH@FRAGOMEN.COM"</f>
        <v>JRANDOLPH@FRAGOMEN.COM</v>
      </c>
      <c r="BH1706" t="str">
        <f>"FRAGOMEN, DEL REY, BERNSEN &amp; LOEWY, LLP"</f>
        <v>FRAGOMEN, DEL REY, BERNSEN &amp; LOEWY, LLP</v>
      </c>
      <c r="BI1706" t="str">
        <f>"NY"</f>
        <v>NY</v>
      </c>
      <c r="BJ1706" t="str">
        <f>"NEW YORK STATE COURT OF APPEALS"</f>
        <v>NEW YORK STATE COURT OF APPEALS</v>
      </c>
      <c r="BK1706">
        <v>1</v>
      </c>
      <c r="BL1706" t="s">
        <v>102</v>
      </c>
      <c r="BM1706" t="str">
        <f>""</f>
        <v/>
      </c>
      <c r="BN1706" t="s">
        <v>6696</v>
      </c>
      <c r="BO1706" t="s">
        <v>6697</v>
      </c>
      <c r="BP1706" t="s">
        <v>213</v>
      </c>
      <c r="BQ1706" t="s">
        <v>214</v>
      </c>
      <c r="BR1706" t="s">
        <v>215</v>
      </c>
      <c r="BS1706" s="5">
        <v>30328</v>
      </c>
      <c r="BT1706" s="2">
        <v>115000</v>
      </c>
      <c r="BV1706" t="s">
        <v>105</v>
      </c>
      <c r="BW1706" s="2">
        <v>102066</v>
      </c>
      <c r="BX1706" t="s">
        <v>105</v>
      </c>
      <c r="BZ1706" t="s">
        <v>123</v>
      </c>
      <c r="CA1706" t="str">
        <f t="shared" si="135"/>
        <v>7/1/2020 - 6/30/2021</v>
      </c>
      <c r="CF1706">
        <v>1</v>
      </c>
      <c r="CG1706" t="s">
        <v>98</v>
      </c>
      <c r="CH1706" t="s">
        <v>206</v>
      </c>
      <c r="CI1706" t="s">
        <v>206</v>
      </c>
      <c r="CL1706" t="s">
        <v>108</v>
      </c>
      <c r="CM1706" t="s">
        <v>109</v>
      </c>
      <c r="CN1706" t="str">
        <f>"Randolph"</f>
        <v>Randolph</v>
      </c>
      <c r="CO1706" t="str">
        <f>"Janay"</f>
        <v>Janay</v>
      </c>
      <c r="CP1706" t="str">
        <f>"N"</f>
        <v>N</v>
      </c>
      <c r="CQ1706" t="str">
        <f>"FRAGOMEN, DEL REY, BERNSEN &amp; LOEWY, LLP"</f>
        <v>FRAGOMEN, DEL REY, BERNSEN &amp; LOEWY, LLP</v>
      </c>
      <c r="CR1706" t="s">
        <v>4508</v>
      </c>
    </row>
    <row r="1707" spans="1:96" x14ac:dyDescent="0.2">
      <c r="A1707" t="s">
        <v>6698</v>
      </c>
      <c r="B1707" t="s">
        <v>96</v>
      </c>
      <c r="C1707" s="1">
        <v>44099</v>
      </c>
      <c r="D1707" s="1">
        <v>44106</v>
      </c>
      <c r="F1707" t="s">
        <v>97</v>
      </c>
      <c r="G1707" t="str">
        <f>"Software Engineer"</f>
        <v>Software Engineer</v>
      </c>
      <c r="H1707" t="s">
        <v>12176</v>
      </c>
      <c r="I1707" t="s">
        <v>246</v>
      </c>
      <c r="J1707" t="s">
        <v>98</v>
      </c>
      <c r="K1707" s="1">
        <v>44177</v>
      </c>
      <c r="L1707" s="1">
        <v>45271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 t="s">
        <v>6699</v>
      </c>
      <c r="U1707" t="str">
        <f>""</f>
        <v/>
      </c>
      <c r="V1707" t="s">
        <v>4500</v>
      </c>
      <c r="W1707" t="str">
        <f>""</f>
        <v/>
      </c>
      <c r="X1707" t="s">
        <v>4501</v>
      </c>
      <c r="Y1707" t="s">
        <v>577</v>
      </c>
      <c r="Z1707" s="3">
        <v>33487</v>
      </c>
      <c r="AA1707" t="s">
        <v>101</v>
      </c>
      <c r="AC1707" s="4" t="str">
        <f>"+14145242498"</f>
        <v>+14145242498</v>
      </c>
      <c r="AE1707" t="str">
        <f>"561621"</f>
        <v>561621</v>
      </c>
      <c r="AF1707" t="s">
        <v>395</v>
      </c>
      <c r="AG1707" t="s">
        <v>2056</v>
      </c>
      <c r="AH1707" t="s">
        <v>1126</v>
      </c>
      <c r="AI1707" t="s">
        <v>4499</v>
      </c>
      <c r="AJ1707" t="s">
        <v>2057</v>
      </c>
      <c r="AK1707" t="str">
        <f>"X34A"</f>
        <v>X34A</v>
      </c>
      <c r="AL1707" t="s">
        <v>1614</v>
      </c>
      <c r="AM1707" t="s">
        <v>330</v>
      </c>
      <c r="AN1707" s="3">
        <v>53209</v>
      </c>
      <c r="AO1707" t="s">
        <v>101</v>
      </c>
      <c r="AQ1707" t="str">
        <f>"+14145244455"</f>
        <v>+14145244455</v>
      </c>
      <c r="AS1707" t="s">
        <v>2058</v>
      </c>
      <c r="AT1707" t="s">
        <v>107</v>
      </c>
      <c r="AU1707" t="str">
        <f>"KNOWLAND"</f>
        <v>KNOWLAND</v>
      </c>
      <c r="AV1707" t="str">
        <f>"ASHLEY"</f>
        <v>ASHLEY</v>
      </c>
      <c r="AW1707" t="str">
        <f>"N/A"</f>
        <v>N/A</v>
      </c>
      <c r="AX1707" t="str">
        <f>"333 WEST WACKER DRIVE"</f>
        <v>333 WEST WACKER DRIVE</v>
      </c>
      <c r="AY1707" t="str">
        <f>"15TH FLOOR"</f>
        <v>15TH FLOOR</v>
      </c>
      <c r="AZ1707" t="str">
        <f>"CHICAGO"</f>
        <v>CHICAGO</v>
      </c>
      <c r="BA1707" t="str">
        <f>"IL"</f>
        <v>IL</v>
      </c>
      <c r="BB1707" s="3">
        <v>60606</v>
      </c>
      <c r="BC1707" t="str">
        <f t="shared" si="136"/>
        <v>UNITED STATES OF AMERICA</v>
      </c>
      <c r="BD1707" t="str">
        <f>""</f>
        <v/>
      </c>
      <c r="BE1707" t="str">
        <f>"+13122636101"</f>
        <v>+13122636101</v>
      </c>
      <c r="BF1707" t="str">
        <f>""</f>
        <v/>
      </c>
      <c r="BG1707" t="str">
        <f>"veronica.mucha@fragomen.com"</f>
        <v>veronica.mucha@fragomen.com</v>
      </c>
      <c r="BH1707" t="str">
        <f>"Fragomen, Del Rey, Bernsen &amp; Loewy, LLP"</f>
        <v>Fragomen, Del Rey, Bernsen &amp; Loewy, LLP</v>
      </c>
      <c r="BI1707" t="str">
        <f>"IL"</f>
        <v>IL</v>
      </c>
      <c r="BJ1707" t="str">
        <f>"ILLINOIS SUPREME COURT"</f>
        <v>ILLINOIS SUPREME COURT</v>
      </c>
      <c r="BK1707">
        <v>1</v>
      </c>
      <c r="BL1707" t="s">
        <v>102</v>
      </c>
      <c r="BM1707" t="str">
        <f>""</f>
        <v/>
      </c>
      <c r="BN1707" t="s">
        <v>6700</v>
      </c>
      <c r="BP1707" t="s">
        <v>2078</v>
      </c>
      <c r="BQ1707" t="s">
        <v>377</v>
      </c>
      <c r="BR1707" t="s">
        <v>141</v>
      </c>
      <c r="BS1707" s="5">
        <v>92618</v>
      </c>
      <c r="BT1707" s="2">
        <v>99632</v>
      </c>
      <c r="BU1707" s="2">
        <v>147900</v>
      </c>
      <c r="BV1707" t="s">
        <v>105</v>
      </c>
      <c r="BW1707" s="2">
        <v>99632</v>
      </c>
      <c r="BX1707" t="s">
        <v>105</v>
      </c>
      <c r="BZ1707" t="s">
        <v>167</v>
      </c>
      <c r="CA1707" t="str">
        <f t="shared" si="135"/>
        <v>7/1/2020 - 6/30/2021</v>
      </c>
      <c r="CF1707">
        <v>2</v>
      </c>
      <c r="CG1707" t="s">
        <v>98</v>
      </c>
      <c r="CH1707" t="s">
        <v>206</v>
      </c>
      <c r="CI1707" t="s">
        <v>206</v>
      </c>
      <c r="CL1707" t="s">
        <v>108</v>
      </c>
      <c r="CM1707" t="s">
        <v>109</v>
      </c>
      <c r="CN1707" t="str">
        <f>"Mucha"</f>
        <v>Mucha</v>
      </c>
      <c r="CO1707" t="str">
        <f>"Veronica"</f>
        <v>Veronica</v>
      </c>
      <c r="CP1707" t="str">
        <f>"N/A"</f>
        <v>N/A</v>
      </c>
      <c r="CQ1707" t="str">
        <f>"Fragomen, Del Rey, Bernsen &amp; Loewy"</f>
        <v>Fragomen, Del Rey, Bernsen &amp; Loewy</v>
      </c>
      <c r="CR1707" t="s">
        <v>4502</v>
      </c>
    </row>
    <row r="1708" spans="1:96" x14ac:dyDescent="0.2">
      <c r="A1708" t="s">
        <v>6702</v>
      </c>
      <c r="B1708" t="s">
        <v>96</v>
      </c>
      <c r="C1708" s="1">
        <v>44099</v>
      </c>
      <c r="D1708" s="1">
        <v>44106</v>
      </c>
      <c r="F1708" t="s">
        <v>97</v>
      </c>
      <c r="G1708" t="str">
        <f>"SOFTWARE DEVELOPMENT ENGINEER III"</f>
        <v>SOFTWARE DEVELOPMENT ENGINEER III</v>
      </c>
      <c r="H1708" t="s">
        <v>12169</v>
      </c>
      <c r="I1708" t="s">
        <v>124</v>
      </c>
      <c r="J1708" t="s">
        <v>98</v>
      </c>
      <c r="K1708" s="1">
        <v>44278</v>
      </c>
      <c r="L1708" s="1">
        <v>45373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 t="s">
        <v>440</v>
      </c>
      <c r="U1708" t="str">
        <f>""</f>
        <v/>
      </c>
      <c r="V1708" t="s">
        <v>809</v>
      </c>
      <c r="W1708" t="str">
        <f>"SUITE 500"</f>
        <v>SUITE 500</v>
      </c>
      <c r="X1708" t="s">
        <v>433</v>
      </c>
      <c r="Y1708" t="s">
        <v>176</v>
      </c>
      <c r="Z1708" s="3">
        <v>98121</v>
      </c>
      <c r="AA1708" t="s">
        <v>101</v>
      </c>
      <c r="AC1708" s="4" t="str">
        <f>"+12062661000"</f>
        <v>+12062661000</v>
      </c>
      <c r="AE1708" t="str">
        <f>"454110"</f>
        <v>454110</v>
      </c>
      <c r="AF1708" t="s">
        <v>442</v>
      </c>
      <c r="AG1708" t="s">
        <v>443</v>
      </c>
      <c r="AH1708" t="s">
        <v>108</v>
      </c>
      <c r="AI1708" t="s">
        <v>434</v>
      </c>
      <c r="AJ1708" t="s">
        <v>809</v>
      </c>
      <c r="AK1708" t="str">
        <f>"SUITE 500"</f>
        <v>SUITE 500</v>
      </c>
      <c r="AL1708" t="s">
        <v>433</v>
      </c>
      <c r="AM1708" t="s">
        <v>176</v>
      </c>
      <c r="AN1708" s="3">
        <v>98121</v>
      </c>
      <c r="AO1708" t="s">
        <v>101</v>
      </c>
      <c r="AQ1708" t="str">
        <f>"+12062661000"</f>
        <v>+12062661000</v>
      </c>
      <c r="AS1708" t="s">
        <v>263</v>
      </c>
      <c r="AT1708" t="s">
        <v>107</v>
      </c>
      <c r="AU1708" t="str">
        <f>"MARANCI"</f>
        <v>MARANCI</v>
      </c>
      <c r="AV1708" t="str">
        <f>"DANIEL"</f>
        <v>DANIEL</v>
      </c>
      <c r="AW1708" t="str">
        <f>"N/A"</f>
        <v>N/A</v>
      </c>
      <c r="AX1708" t="str">
        <f>"100 HIGH STREET"</f>
        <v>100 HIGH STREET</v>
      </c>
      <c r="AY1708" t="str">
        <f>"3RD FLOOR C#5253622"</f>
        <v>3RD FLOOR C#5253622</v>
      </c>
      <c r="AZ1708" t="str">
        <f>"BOSTON"</f>
        <v>BOSTON</v>
      </c>
      <c r="BA1708" t="str">
        <f>"MA"</f>
        <v>MA</v>
      </c>
      <c r="BB1708" s="3">
        <v>2110</v>
      </c>
      <c r="BC1708" t="str">
        <f t="shared" si="136"/>
        <v>UNITED STATES OF AMERICA</v>
      </c>
      <c r="BD1708" t="str">
        <f>""</f>
        <v/>
      </c>
      <c r="BE1708" t="str">
        <f>"+16175740400"</f>
        <v>+16175740400</v>
      </c>
      <c r="BF1708" t="str">
        <f>""</f>
        <v/>
      </c>
      <c r="BG1708" t="str">
        <f>"AMAZONINDIA@FRAGOMEN.COM"</f>
        <v>AMAZONINDIA@FRAGOMEN.COM</v>
      </c>
      <c r="BH1708" t="str">
        <f>"FRAGOMEN, DEL REY, BERNSEN &amp; LOEWY, LLP"</f>
        <v>FRAGOMEN, DEL REY, BERNSEN &amp; LOEWY, LLP</v>
      </c>
      <c r="BI1708" t="str">
        <f>"MA"</f>
        <v>MA</v>
      </c>
      <c r="BJ1708" t="str">
        <f>"SUPREME JUDICIAL COURT"</f>
        <v>SUPREME JUDICIAL COURT</v>
      </c>
      <c r="BK1708">
        <v>1</v>
      </c>
      <c r="BL1708" t="s">
        <v>102</v>
      </c>
      <c r="BM1708" t="str">
        <f>""</f>
        <v/>
      </c>
      <c r="BN1708" t="s">
        <v>4140</v>
      </c>
      <c r="BP1708" t="s">
        <v>433</v>
      </c>
      <c r="BQ1708" t="s">
        <v>183</v>
      </c>
      <c r="BR1708" t="s">
        <v>176</v>
      </c>
      <c r="BS1708" s="5">
        <v>98109</v>
      </c>
      <c r="BT1708" s="2">
        <v>160000</v>
      </c>
      <c r="BV1708" t="s">
        <v>105</v>
      </c>
      <c r="BW1708" s="2">
        <v>134098</v>
      </c>
      <c r="BX1708" t="s">
        <v>105</v>
      </c>
      <c r="BZ1708" t="s">
        <v>123</v>
      </c>
      <c r="CA1708" t="str">
        <f t="shared" si="135"/>
        <v>7/1/2020 - 6/30/2021</v>
      </c>
      <c r="CF1708">
        <v>2</v>
      </c>
      <c r="CG1708" t="s">
        <v>98</v>
      </c>
      <c r="CH1708" t="s">
        <v>206</v>
      </c>
      <c r="CI1708" t="s">
        <v>206</v>
      </c>
      <c r="CL1708" t="s">
        <v>108</v>
      </c>
      <c r="CM1708" t="s">
        <v>109</v>
      </c>
      <c r="CN1708" t="str">
        <f>"SUNNY"</f>
        <v>SUNNY</v>
      </c>
      <c r="CO1708" t="str">
        <f>"JASMIN"</f>
        <v>JASMIN</v>
      </c>
      <c r="CP1708" t="str">
        <f>"N/A"</f>
        <v>N/A</v>
      </c>
      <c r="CQ1708" t="str">
        <f>"FRAGOMEN, DEL REY, BERNSEN &amp; LOEWY, LLP"</f>
        <v>FRAGOMEN, DEL REY, BERNSEN &amp; LOEWY, LLP</v>
      </c>
      <c r="CR1708" t="s">
        <v>650</v>
      </c>
    </row>
    <row r="1709" spans="1:96" x14ac:dyDescent="0.2">
      <c r="A1709" t="s">
        <v>6707</v>
      </c>
      <c r="B1709" t="s">
        <v>96</v>
      </c>
      <c r="C1709" s="1">
        <v>44099</v>
      </c>
      <c r="D1709" s="1">
        <v>44106</v>
      </c>
      <c r="F1709" t="s">
        <v>97</v>
      </c>
      <c r="G1709" t="str">
        <f>"BUSINESS INTELLIGENCE ENGINEER III"</f>
        <v>BUSINESS INTELLIGENCE ENGINEER III</v>
      </c>
      <c r="H1709" t="s">
        <v>12168</v>
      </c>
      <c r="I1709" t="s">
        <v>249</v>
      </c>
      <c r="J1709" t="s">
        <v>98</v>
      </c>
      <c r="K1709" s="1">
        <v>44099</v>
      </c>
      <c r="L1709" s="1">
        <v>45193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 t="s">
        <v>440</v>
      </c>
      <c r="U1709" t="str">
        <f>""</f>
        <v/>
      </c>
      <c r="V1709" t="s">
        <v>809</v>
      </c>
      <c r="W1709" t="str">
        <f>"SUITE 500"</f>
        <v>SUITE 500</v>
      </c>
      <c r="X1709" t="s">
        <v>433</v>
      </c>
      <c r="Y1709" t="s">
        <v>176</v>
      </c>
      <c r="Z1709" s="3">
        <v>98121</v>
      </c>
      <c r="AA1709" t="s">
        <v>101</v>
      </c>
      <c r="AC1709" s="4" t="str">
        <f>"+12062661000"</f>
        <v>+12062661000</v>
      </c>
      <c r="AE1709" t="str">
        <f>"454110"</f>
        <v>454110</v>
      </c>
      <c r="AF1709" t="s">
        <v>442</v>
      </c>
      <c r="AG1709" t="s">
        <v>6708</v>
      </c>
      <c r="AH1709" t="s">
        <v>108</v>
      </c>
      <c r="AI1709" t="s">
        <v>434</v>
      </c>
      <c r="AJ1709" t="s">
        <v>809</v>
      </c>
      <c r="AK1709" t="str">
        <f>"SUITE 500"</f>
        <v>SUITE 500</v>
      </c>
      <c r="AL1709" t="s">
        <v>433</v>
      </c>
      <c r="AM1709" t="s">
        <v>176</v>
      </c>
      <c r="AN1709" s="3">
        <v>98121</v>
      </c>
      <c r="AO1709" t="s">
        <v>101</v>
      </c>
      <c r="AQ1709" t="str">
        <f>"+12062661000"</f>
        <v>+12062661000</v>
      </c>
      <c r="AS1709" t="s">
        <v>263</v>
      </c>
      <c r="AT1709" t="s">
        <v>107</v>
      </c>
      <c r="AU1709" t="str">
        <f>"MARANCI"</f>
        <v>MARANCI</v>
      </c>
      <c r="AV1709" t="str">
        <f>"DANIEL"</f>
        <v>DANIEL</v>
      </c>
      <c r="AW1709" t="str">
        <f>"N/A"</f>
        <v>N/A</v>
      </c>
      <c r="AX1709" t="str">
        <f>"100 HIGH STREET"</f>
        <v>100 HIGH STREET</v>
      </c>
      <c r="AY1709" t="str">
        <f>"3RD FLOOR C#5300070"</f>
        <v>3RD FLOOR C#5300070</v>
      </c>
      <c r="AZ1709" t="str">
        <f>"BOSTON"</f>
        <v>BOSTON</v>
      </c>
      <c r="BA1709" t="str">
        <f>"MA"</f>
        <v>MA</v>
      </c>
      <c r="BB1709" s="3">
        <v>2110</v>
      </c>
      <c r="BC1709" t="str">
        <f t="shared" si="136"/>
        <v>UNITED STATES OF AMERICA</v>
      </c>
      <c r="BD1709" t="str">
        <f>""</f>
        <v/>
      </c>
      <c r="BE1709" t="str">
        <f>"+16175740400"</f>
        <v>+16175740400</v>
      </c>
      <c r="BF1709" t="str">
        <f>""</f>
        <v/>
      </c>
      <c r="BG1709" t="str">
        <f>"AMAZONINDIA@FRAGOMEN.COM"</f>
        <v>AMAZONINDIA@FRAGOMEN.COM</v>
      </c>
      <c r="BH1709" t="str">
        <f>"FRAGOMEN, DEL REY, BERNSEN &amp; LOEWY, LLP"</f>
        <v>FRAGOMEN, DEL REY, BERNSEN &amp; LOEWY, LLP</v>
      </c>
      <c r="BI1709" t="str">
        <f>"MA"</f>
        <v>MA</v>
      </c>
      <c r="BJ1709" t="str">
        <f>"SUPREME JUDICIAL COURT"</f>
        <v>SUPREME JUDICIAL COURT</v>
      </c>
      <c r="BK1709">
        <v>1</v>
      </c>
      <c r="BL1709" t="s">
        <v>102</v>
      </c>
      <c r="BM1709" t="str">
        <f>""</f>
        <v/>
      </c>
      <c r="BN1709" t="s">
        <v>4007</v>
      </c>
      <c r="BO1709" t="s">
        <v>4008</v>
      </c>
      <c r="BP1709" t="s">
        <v>1369</v>
      </c>
      <c r="BQ1709" t="s">
        <v>1664</v>
      </c>
      <c r="BR1709" t="s">
        <v>545</v>
      </c>
      <c r="BS1709" s="5">
        <v>37219</v>
      </c>
      <c r="BT1709" s="2">
        <v>148300</v>
      </c>
      <c r="BV1709" t="s">
        <v>105</v>
      </c>
      <c r="BW1709" s="2">
        <v>70304</v>
      </c>
      <c r="BX1709" t="s">
        <v>105</v>
      </c>
      <c r="BZ1709" t="s">
        <v>123</v>
      </c>
      <c r="CA1709" t="str">
        <f t="shared" si="135"/>
        <v>7/1/2020 - 6/30/2021</v>
      </c>
      <c r="CF1709">
        <v>2</v>
      </c>
      <c r="CG1709" t="s">
        <v>98</v>
      </c>
      <c r="CH1709" t="s">
        <v>206</v>
      </c>
      <c r="CI1709" t="s">
        <v>206</v>
      </c>
      <c r="CL1709" t="s">
        <v>108</v>
      </c>
      <c r="CM1709" t="s">
        <v>109</v>
      </c>
      <c r="CN1709" t="str">
        <f>"SUNNY"</f>
        <v>SUNNY</v>
      </c>
      <c r="CO1709" t="str">
        <f>"JASMIN"</f>
        <v>JASMIN</v>
      </c>
      <c r="CP1709" t="str">
        <f>"N/A"</f>
        <v>N/A</v>
      </c>
      <c r="CQ1709" t="str">
        <f>"FRAGOMEN, DEL REY, BERNSEN &amp; LOEWY, LLP"</f>
        <v>FRAGOMEN, DEL REY, BERNSEN &amp; LOEWY, LLP</v>
      </c>
      <c r="CR1709" t="s">
        <v>650</v>
      </c>
    </row>
    <row r="1710" spans="1:96" x14ac:dyDescent="0.2">
      <c r="A1710" t="s">
        <v>6773</v>
      </c>
      <c r="B1710" t="s">
        <v>96</v>
      </c>
      <c r="C1710" s="1">
        <v>44099</v>
      </c>
      <c r="D1710" s="1">
        <v>44106</v>
      </c>
      <c r="F1710" t="s">
        <v>97</v>
      </c>
      <c r="G1710" t="str">
        <f>"Software Engineer"</f>
        <v>Software Engineer</v>
      </c>
      <c r="H1710" t="s">
        <v>12169</v>
      </c>
      <c r="I1710" t="s">
        <v>124</v>
      </c>
      <c r="J1710" t="s">
        <v>98</v>
      </c>
      <c r="K1710" s="1">
        <v>44281</v>
      </c>
      <c r="L1710" s="1">
        <v>45376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 t="s">
        <v>2834</v>
      </c>
      <c r="U1710" t="str">
        <f>""</f>
        <v/>
      </c>
      <c r="V1710" t="s">
        <v>2120</v>
      </c>
      <c r="W1710" t="str">
        <f>""</f>
        <v/>
      </c>
      <c r="X1710" t="s">
        <v>671</v>
      </c>
      <c r="Y1710" t="s">
        <v>141</v>
      </c>
      <c r="Z1710" s="3">
        <v>94085</v>
      </c>
      <c r="AA1710" t="s">
        <v>101</v>
      </c>
      <c r="AC1710" s="4" t="str">
        <f>"+16506873600"</f>
        <v>+16506873600</v>
      </c>
      <c r="AE1710" t="str">
        <f>"518210"</f>
        <v>518210</v>
      </c>
      <c r="AF1710" t="s">
        <v>2117</v>
      </c>
      <c r="AG1710" t="s">
        <v>2118</v>
      </c>
      <c r="AI1710" t="s">
        <v>2119</v>
      </c>
      <c r="AJ1710" t="s">
        <v>2120</v>
      </c>
      <c r="AK1710" t="str">
        <f>""</f>
        <v/>
      </c>
      <c r="AL1710" t="s">
        <v>671</v>
      </c>
      <c r="AM1710" t="s">
        <v>141</v>
      </c>
      <c r="AN1710" s="3">
        <v>94085</v>
      </c>
      <c r="AO1710" t="s">
        <v>101</v>
      </c>
      <c r="AQ1710" t="str">
        <f>"+16506873600"</f>
        <v>+16506873600</v>
      </c>
      <c r="AS1710" t="s">
        <v>2121</v>
      </c>
      <c r="AT1710" t="s">
        <v>107</v>
      </c>
      <c r="AU1710" t="str">
        <f>"Kivuvani"</f>
        <v>Kivuvani</v>
      </c>
      <c r="AV1710" t="str">
        <f>"Susan"</f>
        <v>Susan</v>
      </c>
      <c r="AW1710" t="str">
        <f>"Kalekye"</f>
        <v>Kalekye</v>
      </c>
      <c r="AX1710" t="str">
        <f>"2400 N Glenville Drive"</f>
        <v>2400 N Glenville Drive</v>
      </c>
      <c r="AY1710" t="str">
        <f>"Building A, Suite 100"</f>
        <v>Building A, Suite 100</v>
      </c>
      <c r="AZ1710" t="str">
        <f>"Richardson"</f>
        <v>Richardson</v>
      </c>
      <c r="BA1710" t="str">
        <f>"TX"</f>
        <v>TX</v>
      </c>
      <c r="BB1710" s="3">
        <v>75082</v>
      </c>
      <c r="BC1710" t="str">
        <f t="shared" si="136"/>
        <v>UNITED STATES OF AMERICA</v>
      </c>
      <c r="BD1710" t="str">
        <f>""</f>
        <v/>
      </c>
      <c r="BE1710" t="str">
        <f>"+14695052765"</f>
        <v>+14695052765</v>
      </c>
      <c r="BF1710" t="str">
        <f>""</f>
        <v/>
      </c>
      <c r="BG1710" t="str">
        <f>"jlowe@balglobal.com"</f>
        <v>jlowe@balglobal.com</v>
      </c>
      <c r="BH1710" t="str">
        <f>"Berry Appleman &amp; Leiden LLP"</f>
        <v>Berry Appleman &amp; Leiden LLP</v>
      </c>
      <c r="BI1710" t="str">
        <f>"MO"</f>
        <v>MO</v>
      </c>
      <c r="BJ1710" t="str">
        <f>"Supreme Court of Missouri"</f>
        <v>Supreme Court of Missouri</v>
      </c>
      <c r="BK1710">
        <v>1</v>
      </c>
      <c r="BL1710" t="s">
        <v>102</v>
      </c>
      <c r="BM1710" t="str">
        <f>""</f>
        <v/>
      </c>
      <c r="BN1710" t="s">
        <v>5758</v>
      </c>
      <c r="BP1710" t="s">
        <v>229</v>
      </c>
      <c r="BQ1710" t="s">
        <v>230</v>
      </c>
      <c r="BR1710" t="s">
        <v>141</v>
      </c>
      <c r="BS1710" s="5">
        <v>94085</v>
      </c>
      <c r="BT1710" s="2">
        <v>120578</v>
      </c>
      <c r="BU1710" s="2">
        <v>175000</v>
      </c>
      <c r="BV1710" t="s">
        <v>105</v>
      </c>
      <c r="BW1710" s="2">
        <v>120578</v>
      </c>
      <c r="BX1710" t="s">
        <v>105</v>
      </c>
      <c r="BZ1710" t="s">
        <v>167</v>
      </c>
      <c r="CA1710" t="str">
        <f t="shared" si="135"/>
        <v>7/1/2020 - 6/30/2021</v>
      </c>
      <c r="CF1710">
        <v>2</v>
      </c>
      <c r="CG1710" t="s">
        <v>98</v>
      </c>
      <c r="CH1710" t="s">
        <v>206</v>
      </c>
      <c r="CI1710" t="s">
        <v>206</v>
      </c>
      <c r="CL1710" t="s">
        <v>108</v>
      </c>
      <c r="CM1710" t="s">
        <v>109</v>
      </c>
      <c r="CN1710" t="str">
        <f>""</f>
        <v/>
      </c>
      <c r="CO1710" t="str">
        <f>""</f>
        <v/>
      </c>
      <c r="CP1710" t="str">
        <f>""</f>
        <v/>
      </c>
      <c r="CQ1710" t="str">
        <f>""</f>
        <v/>
      </c>
    </row>
    <row r="1711" spans="1:96" x14ac:dyDescent="0.2">
      <c r="A1711" t="s">
        <v>6792</v>
      </c>
      <c r="B1711" t="s">
        <v>96</v>
      </c>
      <c r="C1711" s="1">
        <v>44099</v>
      </c>
      <c r="D1711" s="1">
        <v>44106</v>
      </c>
      <c r="F1711" t="s">
        <v>97</v>
      </c>
      <c r="G1711" t="str">
        <f>"QA Automation Engineer"</f>
        <v>QA Automation Engineer</v>
      </c>
      <c r="H1711" t="s">
        <v>12169</v>
      </c>
      <c r="I1711" t="s">
        <v>124</v>
      </c>
      <c r="J1711" t="s">
        <v>98</v>
      </c>
      <c r="K1711" s="1">
        <v>44099</v>
      </c>
      <c r="L1711" s="1">
        <v>45193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3608</v>
      </c>
      <c r="U1711" t="str">
        <f>"N / A"</f>
        <v>N / A</v>
      </c>
      <c r="V1711" t="s">
        <v>3609</v>
      </c>
      <c r="W1711" t="str">
        <f>"Suite #144"</f>
        <v>Suite #144</v>
      </c>
      <c r="X1711" t="s">
        <v>394</v>
      </c>
      <c r="Y1711" t="s">
        <v>114</v>
      </c>
      <c r="Z1711" s="3">
        <v>77099</v>
      </c>
      <c r="AA1711" t="s">
        <v>101</v>
      </c>
      <c r="AC1711" s="4" t="str">
        <f>"+18329009399"</f>
        <v>+18329009399</v>
      </c>
      <c r="AE1711" t="str">
        <f>"541511"</f>
        <v>541511</v>
      </c>
      <c r="AF1711" t="s">
        <v>3610</v>
      </c>
      <c r="AG1711" t="s">
        <v>3611</v>
      </c>
      <c r="AH1711" t="s">
        <v>108</v>
      </c>
      <c r="AI1711" t="s">
        <v>508</v>
      </c>
      <c r="AJ1711" t="s">
        <v>3609</v>
      </c>
      <c r="AK1711" t="str">
        <f>"Suite #144"</f>
        <v>Suite #144</v>
      </c>
      <c r="AL1711" t="s">
        <v>394</v>
      </c>
      <c r="AM1711" t="s">
        <v>114</v>
      </c>
      <c r="AN1711" s="3">
        <v>77099</v>
      </c>
      <c r="AO1711" t="s">
        <v>101</v>
      </c>
      <c r="AQ1711" t="str">
        <f>"+18329009399"</f>
        <v>+18329009399</v>
      </c>
      <c r="AS1711" t="s">
        <v>3612</v>
      </c>
      <c r="AT1711" t="s">
        <v>107</v>
      </c>
      <c r="AU1711" t="str">
        <f>"SHARMA"</f>
        <v>SHARMA</v>
      </c>
      <c r="AV1711" t="str">
        <f>"CHANDLER"</f>
        <v>CHANDLER</v>
      </c>
      <c r="AW1711" t="str">
        <f>"B"</f>
        <v>B</v>
      </c>
      <c r="AX1711" t="str">
        <f>"15 Corporate Place South"</f>
        <v>15 Corporate Place South</v>
      </c>
      <c r="AY1711" t="str">
        <f>"Suite 150"</f>
        <v>Suite 150</v>
      </c>
      <c r="AZ1711" t="str">
        <f>"Piscataway"</f>
        <v>Piscataway</v>
      </c>
      <c r="BA1711" t="str">
        <f>"NJ"</f>
        <v>NJ</v>
      </c>
      <c r="BB1711" s="3">
        <v>8854</v>
      </c>
      <c r="BC1711" t="str">
        <f t="shared" si="136"/>
        <v>UNITED STATES OF AMERICA</v>
      </c>
      <c r="BD1711" t="str">
        <f>""</f>
        <v/>
      </c>
      <c r="BE1711" t="str">
        <f>"+12126299400"</f>
        <v>+12126299400</v>
      </c>
      <c r="BF1711" t="str">
        <f>""</f>
        <v/>
      </c>
      <c r="BG1711" t="str">
        <f>"lcas@sysslaw.com"</f>
        <v>lcas@sysslaw.com</v>
      </c>
      <c r="BH1711" t="str">
        <f>"SHARMA YASKHI &amp; ASSOCIATES, LLP"</f>
        <v>SHARMA YASKHI &amp; ASSOCIATES, LLP</v>
      </c>
      <c r="BI1711" t="str">
        <f>"GA"</f>
        <v>GA</v>
      </c>
      <c r="BJ1711" t="str">
        <f>"COURT OF APPEALS"</f>
        <v>COURT OF APPEALS</v>
      </c>
      <c r="BK1711">
        <v>1</v>
      </c>
      <c r="BL1711" t="s">
        <v>107</v>
      </c>
      <c r="BM1711" t="str">
        <f>"U.S. Legal Support"</f>
        <v>U.S. Legal Support</v>
      </c>
      <c r="BN1711" t="s">
        <v>6793</v>
      </c>
      <c r="BO1711" t="s">
        <v>108</v>
      </c>
      <c r="BP1711" t="s">
        <v>394</v>
      </c>
      <c r="BQ1711" t="s">
        <v>395</v>
      </c>
      <c r="BR1711" t="s">
        <v>114</v>
      </c>
      <c r="BS1711" s="5">
        <v>77060</v>
      </c>
      <c r="BT1711" s="2">
        <v>90022</v>
      </c>
      <c r="BV1711" t="s">
        <v>105</v>
      </c>
      <c r="BW1711" s="2">
        <v>90022</v>
      </c>
      <c r="BX1711" t="s">
        <v>105</v>
      </c>
      <c r="BZ1711" t="s">
        <v>167</v>
      </c>
      <c r="CA1711" t="str">
        <f t="shared" si="135"/>
        <v>7/1/2020 - 6/30/2021</v>
      </c>
      <c r="CF1711">
        <v>1</v>
      </c>
      <c r="CG1711" t="s">
        <v>98</v>
      </c>
      <c r="CH1711" t="s">
        <v>206</v>
      </c>
      <c r="CI1711" t="s">
        <v>206</v>
      </c>
      <c r="CL1711" t="s">
        <v>108</v>
      </c>
      <c r="CM1711" t="s">
        <v>109</v>
      </c>
      <c r="CN1711" t="str">
        <f>"KODIPAKA"</f>
        <v>KODIPAKA</v>
      </c>
      <c r="CO1711" t="str">
        <f>"Jyothi"</f>
        <v>Jyothi</v>
      </c>
      <c r="CP1711" t="str">
        <f>"N/A"</f>
        <v>N/A</v>
      </c>
      <c r="CQ1711" t="str">
        <f>"SHARMA YASKHI &amp; ASSOCIATES, LLP"</f>
        <v>SHARMA YASKHI &amp; ASSOCIATES, LLP</v>
      </c>
      <c r="CR1711" t="s">
        <v>544</v>
      </c>
    </row>
    <row r="1712" spans="1:96" x14ac:dyDescent="0.2">
      <c r="A1712" t="s">
        <v>6799</v>
      </c>
      <c r="B1712" t="s">
        <v>96</v>
      </c>
      <c r="C1712" s="1">
        <v>44099</v>
      </c>
      <c r="D1712" s="1">
        <v>44106</v>
      </c>
      <c r="F1712" t="s">
        <v>97</v>
      </c>
      <c r="G1712" t="str">
        <f>"Senior Software Developer"</f>
        <v>Senior Software Developer</v>
      </c>
      <c r="H1712" t="s">
        <v>12169</v>
      </c>
      <c r="I1712" t="s">
        <v>124</v>
      </c>
      <c r="J1712" t="s">
        <v>98</v>
      </c>
      <c r="K1712" s="1">
        <v>44106</v>
      </c>
      <c r="L1712" s="1">
        <v>45200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 t="s">
        <v>1189</v>
      </c>
      <c r="U1712" t="str">
        <f>""</f>
        <v/>
      </c>
      <c r="V1712" t="s">
        <v>1190</v>
      </c>
      <c r="W1712" t="str">
        <f>"THIRD FLOOR"</f>
        <v>THIRD FLOOR</v>
      </c>
      <c r="X1712" t="s">
        <v>1191</v>
      </c>
      <c r="Y1712" t="s">
        <v>171</v>
      </c>
      <c r="Z1712" s="3">
        <v>1801</v>
      </c>
      <c r="AA1712" t="s">
        <v>101</v>
      </c>
      <c r="AC1712" s="4" t="str">
        <f>"+17819391720"</f>
        <v>+17819391720</v>
      </c>
      <c r="AE1712" t="str">
        <f>"541511"</f>
        <v>541511</v>
      </c>
      <c r="AF1712" t="s">
        <v>1192</v>
      </c>
      <c r="AG1712" t="s">
        <v>1193</v>
      </c>
      <c r="AH1712" t="s">
        <v>1080</v>
      </c>
      <c r="AI1712" t="s">
        <v>1194</v>
      </c>
      <c r="AJ1712" t="s">
        <v>1195</v>
      </c>
      <c r="AK1712" t="str">
        <f>"Third Floor"</f>
        <v>Third Floor</v>
      </c>
      <c r="AL1712" t="s">
        <v>1196</v>
      </c>
      <c r="AM1712" t="s">
        <v>171</v>
      </c>
      <c r="AN1712" s="3">
        <v>1801</v>
      </c>
      <c r="AO1712" t="s">
        <v>101</v>
      </c>
      <c r="AQ1712" t="str">
        <f>"+17819391720"</f>
        <v>+17819391720</v>
      </c>
      <c r="AS1712" t="s">
        <v>1197</v>
      </c>
      <c r="AT1712" t="s">
        <v>107</v>
      </c>
      <c r="AU1712" t="str">
        <f>"Tadmor"</f>
        <v>Tadmor</v>
      </c>
      <c r="AV1712" t="str">
        <f>"Yoav"</f>
        <v>Yoav</v>
      </c>
      <c r="AW1712" t="str">
        <f>""</f>
        <v/>
      </c>
      <c r="AX1712" t="str">
        <f>"340 Main Street "</f>
        <v xml:space="preserve">340 Main Street </v>
      </c>
      <c r="AY1712" t="str">
        <f>"Suite 610"</f>
        <v>Suite 610</v>
      </c>
      <c r="AZ1712" t="str">
        <f>"Worcester "</f>
        <v xml:space="preserve">Worcester </v>
      </c>
      <c r="BA1712" t="str">
        <f>"MA"</f>
        <v>MA</v>
      </c>
      <c r="BB1712" s="3">
        <v>1608</v>
      </c>
      <c r="BC1712" t="str">
        <f t="shared" si="136"/>
        <v>UNITED STATES OF AMERICA</v>
      </c>
      <c r="BD1712" t="str">
        <f>""</f>
        <v/>
      </c>
      <c r="BE1712" t="str">
        <f>"+15087919400"</f>
        <v>+15087919400</v>
      </c>
      <c r="BF1712" t="str">
        <f>""</f>
        <v/>
      </c>
      <c r="BG1712" t="str">
        <f>"yoav@tadmorlaw.com"</f>
        <v>yoav@tadmorlaw.com</v>
      </c>
      <c r="BH1712" t="str">
        <f>"Tadmor &amp; Tadmor LLP"</f>
        <v>Tadmor &amp; Tadmor LLP</v>
      </c>
      <c r="BI1712" t="str">
        <f>"MA"</f>
        <v>MA</v>
      </c>
      <c r="BJ1712" t="str">
        <f>"Supreme Judicial Court"</f>
        <v>Supreme Judicial Court</v>
      </c>
      <c r="BK1712">
        <v>1</v>
      </c>
      <c r="BL1712" t="s">
        <v>107</v>
      </c>
      <c r="BM1712" t="str">
        <f>"United Health Group"</f>
        <v>United Health Group</v>
      </c>
      <c r="BN1712" t="s">
        <v>6800</v>
      </c>
      <c r="BP1712" t="s">
        <v>2304</v>
      </c>
      <c r="BQ1712" t="s">
        <v>2305</v>
      </c>
      <c r="BR1712" t="s">
        <v>330</v>
      </c>
      <c r="BS1712" s="5">
        <v>53051</v>
      </c>
      <c r="BT1712" s="2">
        <v>104000</v>
      </c>
      <c r="BV1712" t="s">
        <v>105</v>
      </c>
      <c r="BW1712" s="2">
        <v>79498</v>
      </c>
      <c r="BX1712" t="s">
        <v>105</v>
      </c>
      <c r="BZ1712" t="s">
        <v>167</v>
      </c>
      <c r="CA1712" t="str">
        <f t="shared" si="135"/>
        <v>7/1/2020 - 6/30/2021</v>
      </c>
      <c r="CF1712">
        <v>2</v>
      </c>
      <c r="CG1712" t="s">
        <v>98</v>
      </c>
      <c r="CH1712" t="s">
        <v>206</v>
      </c>
      <c r="CI1712" t="s">
        <v>206</v>
      </c>
      <c r="CL1712" t="s">
        <v>108</v>
      </c>
      <c r="CM1712" t="s">
        <v>109</v>
      </c>
      <c r="CN1712" t="str">
        <f>""</f>
        <v/>
      </c>
      <c r="CO1712" t="str">
        <f>""</f>
        <v/>
      </c>
      <c r="CP1712" t="str">
        <f>""</f>
        <v/>
      </c>
      <c r="CQ1712" t="str">
        <f>""</f>
        <v/>
      </c>
    </row>
    <row r="1713" spans="1:96" x14ac:dyDescent="0.2">
      <c r="A1713" t="s">
        <v>6828</v>
      </c>
      <c r="B1713" t="s">
        <v>96</v>
      </c>
      <c r="C1713" s="1">
        <v>44099</v>
      </c>
      <c r="D1713" s="1">
        <v>44106</v>
      </c>
      <c r="F1713" t="s">
        <v>97</v>
      </c>
      <c r="G1713" t="str">
        <f>"SOFTWARE ENGINEER"</f>
        <v>SOFTWARE ENGINEER</v>
      </c>
      <c r="H1713" t="s">
        <v>12169</v>
      </c>
      <c r="I1713" t="s">
        <v>124</v>
      </c>
      <c r="J1713" t="s">
        <v>98</v>
      </c>
      <c r="K1713" s="1">
        <v>44109</v>
      </c>
      <c r="L1713" s="1">
        <v>45203</v>
      </c>
      <c r="M1713">
        <v>3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0</v>
      </c>
      <c r="T1713" t="s">
        <v>6822</v>
      </c>
      <c r="U1713" t="str">
        <f>""</f>
        <v/>
      </c>
      <c r="V1713" t="s">
        <v>6823</v>
      </c>
      <c r="W1713" t="str">
        <f>""</f>
        <v/>
      </c>
      <c r="X1713" t="s">
        <v>998</v>
      </c>
      <c r="Y1713" t="s">
        <v>122</v>
      </c>
      <c r="Z1713" s="3">
        <v>28202</v>
      </c>
      <c r="AA1713" t="s">
        <v>101</v>
      </c>
      <c r="AC1713" s="4" t="str">
        <f>"+16153918416"</f>
        <v>+16153918416</v>
      </c>
      <c r="AE1713" t="str">
        <f>"522110"</f>
        <v>522110</v>
      </c>
      <c r="AF1713" t="s">
        <v>2080</v>
      </c>
      <c r="AG1713" t="s">
        <v>3160</v>
      </c>
      <c r="AH1713" t="s">
        <v>1576</v>
      </c>
      <c r="AI1713" t="s">
        <v>6824</v>
      </c>
      <c r="AJ1713" t="s">
        <v>6825</v>
      </c>
      <c r="AK1713" t="str">
        <f>""</f>
        <v/>
      </c>
      <c r="AL1713" t="s">
        <v>1369</v>
      </c>
      <c r="AM1713" t="s">
        <v>545</v>
      </c>
      <c r="AN1713" s="3">
        <v>37214</v>
      </c>
      <c r="AO1713" t="s">
        <v>101</v>
      </c>
      <c r="AQ1713" t="str">
        <f>"+16153918416"</f>
        <v>+16153918416</v>
      </c>
      <c r="AS1713" t="s">
        <v>6826</v>
      </c>
      <c r="AT1713" t="s">
        <v>107</v>
      </c>
      <c r="AU1713" t="str">
        <f>"BRADSHAW"</f>
        <v>BRADSHAW</v>
      </c>
      <c r="AV1713" t="str">
        <f>"PENNI"</f>
        <v>PENNI</v>
      </c>
      <c r="AW1713" t="str">
        <f>"PEARSON"</f>
        <v>PEARSON</v>
      </c>
      <c r="AX1713" t="str">
        <f>"100 N. CHERRY ST."</f>
        <v>100 N. CHERRY ST.</v>
      </c>
      <c r="AY1713" t="str">
        <f>"STE. 300"</f>
        <v>STE. 300</v>
      </c>
      <c r="AZ1713" t="str">
        <f>"WINSTON-SALEM"</f>
        <v>WINSTON-SALEM</v>
      </c>
      <c r="BA1713" t="str">
        <f>"NC"</f>
        <v>NC</v>
      </c>
      <c r="BB1713" s="3">
        <v>27101</v>
      </c>
      <c r="BC1713" t="str">
        <f t="shared" si="136"/>
        <v>UNITED STATES OF AMERICA</v>
      </c>
      <c r="BD1713" t="str">
        <f>""</f>
        <v/>
      </c>
      <c r="BE1713" t="str">
        <f>"+13367216842"</f>
        <v>+13367216842</v>
      </c>
      <c r="BF1713" t="str">
        <f>""</f>
        <v/>
      </c>
      <c r="BG1713" t="str">
        <f>"AKNOWLES@CONSTANGY.COM"</f>
        <v>AKNOWLES@CONSTANGY.COM</v>
      </c>
      <c r="BH1713" t="str">
        <f>"CONSTANGY, BROOKS, SMITH &amp; PROPHETE, LLP"</f>
        <v>CONSTANGY, BROOKS, SMITH &amp; PROPHETE, LLP</v>
      </c>
      <c r="BI1713" t="str">
        <f>"NC"</f>
        <v>NC</v>
      </c>
      <c r="BJ1713" t="str">
        <f>"SUPREME COURT"</f>
        <v>SUPREME COURT</v>
      </c>
      <c r="BK1713">
        <v>3</v>
      </c>
      <c r="BL1713" t="s">
        <v>102</v>
      </c>
      <c r="BM1713" t="str">
        <f>""</f>
        <v/>
      </c>
      <c r="BN1713" t="s">
        <v>6829</v>
      </c>
      <c r="BP1713" t="s">
        <v>1112</v>
      </c>
      <c r="BQ1713" t="s">
        <v>1067</v>
      </c>
      <c r="BR1713" t="s">
        <v>122</v>
      </c>
      <c r="BS1713" s="5">
        <v>27604</v>
      </c>
      <c r="BT1713" s="2">
        <v>127000</v>
      </c>
      <c r="BU1713" s="2">
        <v>140000</v>
      </c>
      <c r="BV1713" t="s">
        <v>105</v>
      </c>
      <c r="BW1713" s="2">
        <v>126027</v>
      </c>
      <c r="BX1713" t="s">
        <v>105</v>
      </c>
      <c r="BZ1713" t="s">
        <v>159</v>
      </c>
      <c r="CA1713" t="str">
        <f t="shared" si="135"/>
        <v>7/1/2020 - 6/30/2021</v>
      </c>
      <c r="CF1713">
        <v>1</v>
      </c>
      <c r="CG1713" t="s">
        <v>98</v>
      </c>
      <c r="CH1713" t="s">
        <v>206</v>
      </c>
      <c r="CI1713" t="s">
        <v>206</v>
      </c>
      <c r="CL1713" t="s">
        <v>108</v>
      </c>
      <c r="CM1713" t="s">
        <v>109</v>
      </c>
      <c r="CN1713" t="str">
        <f>"KNOWLES"</f>
        <v>KNOWLES</v>
      </c>
      <c r="CO1713" t="str">
        <f>"ALICIA"</f>
        <v>ALICIA</v>
      </c>
      <c r="CP1713" t="str">
        <f>"G"</f>
        <v>G</v>
      </c>
      <c r="CQ1713" t="str">
        <f>"CONSTANGY, BROOKS, SMITH &amp; PROPHETE, LLP"</f>
        <v>CONSTANGY, BROOKS, SMITH &amp; PROPHETE, LLP</v>
      </c>
      <c r="CR1713" t="s">
        <v>1610</v>
      </c>
    </row>
    <row r="1714" spans="1:96" x14ac:dyDescent="0.2">
      <c r="A1714" t="s">
        <v>6843</v>
      </c>
      <c r="B1714" t="s">
        <v>96</v>
      </c>
      <c r="C1714" s="1">
        <v>44099</v>
      </c>
      <c r="D1714" s="1">
        <v>44106</v>
      </c>
      <c r="F1714" t="s">
        <v>97</v>
      </c>
      <c r="G1714" t="str">
        <f>"PRODUCT MANAGER III - TECHNICAL"</f>
        <v>PRODUCT MANAGER III - TECHNICAL</v>
      </c>
      <c r="H1714" t="s">
        <v>12178</v>
      </c>
      <c r="I1714" t="s">
        <v>582</v>
      </c>
      <c r="J1714" t="s">
        <v>98</v>
      </c>
      <c r="K1714" s="1">
        <v>44104</v>
      </c>
      <c r="L1714" s="1">
        <v>45198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 t="s">
        <v>440</v>
      </c>
      <c r="U1714" t="str">
        <f>""</f>
        <v/>
      </c>
      <c r="V1714" t="s">
        <v>809</v>
      </c>
      <c r="W1714" t="str">
        <f>"SUITE 500"</f>
        <v>SUITE 500</v>
      </c>
      <c r="X1714" t="s">
        <v>433</v>
      </c>
      <c r="Y1714" t="s">
        <v>176</v>
      </c>
      <c r="Z1714" s="3">
        <v>98121</v>
      </c>
      <c r="AA1714" t="s">
        <v>101</v>
      </c>
      <c r="AC1714" s="4" t="str">
        <f>"+12062661000"</f>
        <v>+12062661000</v>
      </c>
      <c r="AE1714" t="str">
        <f>"454110"</f>
        <v>454110</v>
      </c>
      <c r="AF1714" t="s">
        <v>442</v>
      </c>
      <c r="AG1714" t="s">
        <v>443</v>
      </c>
      <c r="AH1714" t="s">
        <v>108</v>
      </c>
      <c r="AI1714" t="s">
        <v>434</v>
      </c>
      <c r="AJ1714" t="s">
        <v>809</v>
      </c>
      <c r="AK1714" t="str">
        <f>"SUITE 500"</f>
        <v>SUITE 500</v>
      </c>
      <c r="AL1714" t="s">
        <v>433</v>
      </c>
      <c r="AM1714" t="s">
        <v>176</v>
      </c>
      <c r="AN1714" s="3">
        <v>98121</v>
      </c>
      <c r="AO1714" t="s">
        <v>101</v>
      </c>
      <c r="AQ1714" t="str">
        <f>"+12062661000"</f>
        <v>+12062661000</v>
      </c>
      <c r="AS1714" t="s">
        <v>263</v>
      </c>
      <c r="AT1714" t="s">
        <v>107</v>
      </c>
      <c r="AU1714" t="str">
        <f>"MARANCI"</f>
        <v>MARANCI</v>
      </c>
      <c r="AV1714" t="str">
        <f>"DANIEL"</f>
        <v>DANIEL</v>
      </c>
      <c r="AW1714" t="str">
        <f>"N/A"</f>
        <v>N/A</v>
      </c>
      <c r="AX1714" t="str">
        <f>"100 HIGH STREET"</f>
        <v>100 HIGH STREET</v>
      </c>
      <c r="AY1714" t="str">
        <f>"3RD FLOOR C#5316600"</f>
        <v>3RD FLOOR C#5316600</v>
      </c>
      <c r="AZ1714" t="str">
        <f>"BOSTON"</f>
        <v>BOSTON</v>
      </c>
      <c r="BA1714" t="str">
        <f>"MA"</f>
        <v>MA</v>
      </c>
      <c r="BB1714" s="3">
        <v>2110</v>
      </c>
      <c r="BC1714" t="str">
        <f t="shared" si="136"/>
        <v>UNITED STATES OF AMERICA</v>
      </c>
      <c r="BD1714" t="str">
        <f>""</f>
        <v/>
      </c>
      <c r="BE1714" t="str">
        <f>"+16175740400"</f>
        <v>+16175740400</v>
      </c>
      <c r="BF1714" t="str">
        <f>""</f>
        <v/>
      </c>
      <c r="BG1714" t="str">
        <f>"AMAZONINDIA@FRAGOMEN.COM"</f>
        <v>AMAZONINDIA@FRAGOMEN.COM</v>
      </c>
      <c r="BH1714" t="str">
        <f>"FRAGOMEN, DEL REY, BERNSEN &amp; LOEWY, LLP"</f>
        <v>FRAGOMEN, DEL REY, BERNSEN &amp; LOEWY, LLP</v>
      </c>
      <c r="BI1714" t="str">
        <f>"MA"</f>
        <v>MA</v>
      </c>
      <c r="BJ1714" t="str">
        <f>"SUPREME JUDICIAL COURT"</f>
        <v>SUPREME JUDICIAL COURT</v>
      </c>
      <c r="BK1714">
        <v>1</v>
      </c>
      <c r="BL1714" t="s">
        <v>102</v>
      </c>
      <c r="BM1714" t="str">
        <f>""</f>
        <v/>
      </c>
      <c r="BN1714" t="s">
        <v>4176</v>
      </c>
      <c r="BP1714" t="s">
        <v>433</v>
      </c>
      <c r="BQ1714" t="s">
        <v>183</v>
      </c>
      <c r="BR1714" t="s">
        <v>176</v>
      </c>
      <c r="BS1714" s="5">
        <v>98121</v>
      </c>
      <c r="BT1714" s="2">
        <v>160000</v>
      </c>
      <c r="BV1714" t="s">
        <v>105</v>
      </c>
      <c r="BW1714" s="2">
        <v>143998</v>
      </c>
      <c r="BX1714" t="s">
        <v>105</v>
      </c>
      <c r="BZ1714" t="s">
        <v>167</v>
      </c>
      <c r="CA1714" t="str">
        <f t="shared" si="135"/>
        <v>7/1/2020 - 6/30/2021</v>
      </c>
      <c r="CF1714">
        <v>2</v>
      </c>
      <c r="CG1714" t="s">
        <v>98</v>
      </c>
      <c r="CH1714" t="s">
        <v>206</v>
      </c>
      <c r="CI1714" t="s">
        <v>206</v>
      </c>
      <c r="CL1714" t="s">
        <v>108</v>
      </c>
      <c r="CM1714" t="s">
        <v>109</v>
      </c>
      <c r="CN1714" t="str">
        <f>"SUNNY"</f>
        <v>SUNNY</v>
      </c>
      <c r="CO1714" t="str">
        <f>"JASMIN"</f>
        <v>JASMIN</v>
      </c>
      <c r="CP1714" t="str">
        <f>"N/A"</f>
        <v>N/A</v>
      </c>
      <c r="CQ1714" t="str">
        <f>"FRAGOMEN, DEL REY, BERNSEN &amp; LOEWY, LLP"</f>
        <v>FRAGOMEN, DEL REY, BERNSEN &amp; LOEWY, LLP</v>
      </c>
      <c r="CR1714" t="s">
        <v>650</v>
      </c>
    </row>
    <row r="1715" spans="1:96" x14ac:dyDescent="0.2">
      <c r="A1715" t="s">
        <v>6850</v>
      </c>
      <c r="B1715" t="s">
        <v>96</v>
      </c>
      <c r="C1715" s="1">
        <v>44099</v>
      </c>
      <c r="D1715" s="1">
        <v>44106</v>
      </c>
      <c r="F1715" t="s">
        <v>97</v>
      </c>
      <c r="G1715" t="str">
        <f>"SENIOR SOFTWARE DEVELOPER"</f>
        <v>SENIOR SOFTWARE DEVELOPER</v>
      </c>
      <c r="H1715" t="s">
        <v>12169</v>
      </c>
      <c r="I1715" t="s">
        <v>124</v>
      </c>
      <c r="J1715" t="s">
        <v>98</v>
      </c>
      <c r="K1715" s="1">
        <v>44102</v>
      </c>
      <c r="L1715" s="1">
        <v>45196</v>
      </c>
      <c r="M1715">
        <v>10</v>
      </c>
      <c r="N1715">
        <v>2</v>
      </c>
      <c r="O1715">
        <v>2</v>
      </c>
      <c r="P1715">
        <v>2</v>
      </c>
      <c r="Q1715">
        <v>0</v>
      </c>
      <c r="R1715">
        <v>2</v>
      </c>
      <c r="S1715">
        <v>2</v>
      </c>
      <c r="T1715" t="s">
        <v>2068</v>
      </c>
      <c r="U1715" t="str">
        <f>""</f>
        <v/>
      </c>
      <c r="V1715" t="s">
        <v>2069</v>
      </c>
      <c r="W1715" t="str">
        <f>""</f>
        <v/>
      </c>
      <c r="X1715" t="s">
        <v>1025</v>
      </c>
      <c r="Y1715" t="s">
        <v>577</v>
      </c>
      <c r="Z1715" s="3">
        <v>33605</v>
      </c>
      <c r="AA1715" t="s">
        <v>101</v>
      </c>
      <c r="AC1715" s="4" t="str">
        <f>"+18135525000"</f>
        <v>+18135525000</v>
      </c>
      <c r="AE1715" t="str">
        <f>"5416"</f>
        <v>5416</v>
      </c>
      <c r="AF1715" t="s">
        <v>2070</v>
      </c>
      <c r="AG1715" t="s">
        <v>2071</v>
      </c>
      <c r="AI1715" t="s">
        <v>497</v>
      </c>
      <c r="AJ1715" t="s">
        <v>2072</v>
      </c>
      <c r="AK1715" t="str">
        <f>""</f>
        <v/>
      </c>
      <c r="AL1715" t="s">
        <v>1025</v>
      </c>
      <c r="AM1715" t="s">
        <v>577</v>
      </c>
      <c r="AN1715" s="3">
        <v>33605</v>
      </c>
      <c r="AO1715" t="s">
        <v>101</v>
      </c>
      <c r="AQ1715" t="str">
        <f>"+18135525000"</f>
        <v>+18135525000</v>
      </c>
      <c r="AS1715" t="s">
        <v>2073</v>
      </c>
      <c r="AT1715" t="s">
        <v>107</v>
      </c>
      <c r="AU1715" t="str">
        <f>"WHITE "</f>
        <v xml:space="preserve">WHITE </v>
      </c>
      <c r="AV1715" t="str">
        <f>"ROBERT"</f>
        <v>ROBERT</v>
      </c>
      <c r="AW1715" t="str">
        <f>"SAMUEL"</f>
        <v>SAMUEL</v>
      </c>
      <c r="AX1715" t="str">
        <f>"200 N MARTINGALE ROAD"</f>
        <v>200 N MARTINGALE ROAD</v>
      </c>
      <c r="AY1715" t="str">
        <f>"SUITE 800"</f>
        <v>SUITE 800</v>
      </c>
      <c r="AZ1715" t="str">
        <f>"SCHAUMBURG"</f>
        <v>SCHAUMBURG</v>
      </c>
      <c r="BA1715" t="str">
        <f>"IL"</f>
        <v>IL</v>
      </c>
      <c r="BB1715" s="3">
        <v>60173</v>
      </c>
      <c r="BC1715" t="str">
        <f t="shared" si="136"/>
        <v>UNITED STATES OF AMERICA</v>
      </c>
      <c r="BD1715" t="str">
        <f>""</f>
        <v/>
      </c>
      <c r="BE1715" t="str">
        <f>"+18477348811"</f>
        <v>+18477348811</v>
      </c>
      <c r="BF1715" t="str">
        <f>""</f>
        <v/>
      </c>
      <c r="BG1715" t="str">
        <f>"RWHITE@MASUDAFUNAI.COM"</f>
        <v>RWHITE@MASUDAFUNAI.COM</v>
      </c>
      <c r="BH1715" t="str">
        <f>"Masuda Funai Eifert &amp; Mitchell, Ltd."</f>
        <v>Masuda Funai Eifert &amp; Mitchell, Ltd.</v>
      </c>
      <c r="BI1715" t="str">
        <f>"IL"</f>
        <v>IL</v>
      </c>
      <c r="BJ1715" t="str">
        <f>"SUPREME COURT"</f>
        <v>SUPREME COURT</v>
      </c>
      <c r="BK1715">
        <v>10</v>
      </c>
      <c r="BL1715" t="s">
        <v>107</v>
      </c>
      <c r="BM1715" t="str">
        <f>"HOME DEPOT USA, INC."</f>
        <v>HOME DEPOT USA, INC.</v>
      </c>
      <c r="BN1715" t="s">
        <v>6851</v>
      </c>
      <c r="BP1715" t="s">
        <v>3424</v>
      </c>
      <c r="BQ1715" t="s">
        <v>1121</v>
      </c>
      <c r="BR1715" t="s">
        <v>215</v>
      </c>
      <c r="BS1715" s="5">
        <v>30067</v>
      </c>
      <c r="BT1715" s="2">
        <v>41.27</v>
      </c>
      <c r="BU1715" s="2">
        <v>70</v>
      </c>
      <c r="BV1715" t="s">
        <v>210</v>
      </c>
      <c r="BW1715" s="2">
        <v>41.27</v>
      </c>
      <c r="BX1715" t="s">
        <v>210</v>
      </c>
      <c r="BZ1715" t="s">
        <v>167</v>
      </c>
      <c r="CA1715" t="str">
        <f t="shared" si="135"/>
        <v>7/1/2020 - 6/30/2021</v>
      </c>
      <c r="CF1715">
        <v>2</v>
      </c>
      <c r="CG1715" t="s">
        <v>98</v>
      </c>
      <c r="CH1715" t="s">
        <v>206</v>
      </c>
      <c r="CI1715" t="s">
        <v>206</v>
      </c>
      <c r="CL1715" t="s">
        <v>108</v>
      </c>
      <c r="CM1715" t="s">
        <v>109</v>
      </c>
      <c r="CN1715" t="str">
        <f>""</f>
        <v/>
      </c>
      <c r="CO1715" t="str">
        <f>""</f>
        <v/>
      </c>
      <c r="CP1715" t="str">
        <f>""</f>
        <v/>
      </c>
      <c r="CQ1715" t="str">
        <f>""</f>
        <v/>
      </c>
    </row>
    <row r="1716" spans="1:96" x14ac:dyDescent="0.2">
      <c r="A1716" t="s">
        <v>6874</v>
      </c>
      <c r="B1716" t="s">
        <v>96</v>
      </c>
      <c r="C1716" s="1">
        <v>44099</v>
      </c>
      <c r="D1716" s="1">
        <v>44106</v>
      </c>
      <c r="F1716" t="s">
        <v>97</v>
      </c>
      <c r="G1716" t="str">
        <f>"Sr Software Engineer"</f>
        <v>Sr Software Engineer</v>
      </c>
      <c r="H1716" t="s">
        <v>12169</v>
      </c>
      <c r="I1716" t="s">
        <v>124</v>
      </c>
      <c r="J1716" t="s">
        <v>98</v>
      </c>
      <c r="K1716" s="1">
        <v>44280</v>
      </c>
      <c r="L1716" s="1">
        <v>45375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 t="s">
        <v>2834</v>
      </c>
      <c r="U1716" t="str">
        <f>""</f>
        <v/>
      </c>
      <c r="V1716" t="s">
        <v>2120</v>
      </c>
      <c r="W1716" t="str">
        <f>""</f>
        <v/>
      </c>
      <c r="X1716" t="s">
        <v>671</v>
      </c>
      <c r="Y1716" t="s">
        <v>141</v>
      </c>
      <c r="Z1716" s="3">
        <v>94085</v>
      </c>
      <c r="AA1716" t="s">
        <v>101</v>
      </c>
      <c r="AC1716" s="4" t="str">
        <f>"+16506873600"</f>
        <v>+16506873600</v>
      </c>
      <c r="AE1716" t="str">
        <f>"518210"</f>
        <v>518210</v>
      </c>
      <c r="AF1716" t="s">
        <v>2117</v>
      </c>
      <c r="AG1716" t="s">
        <v>2118</v>
      </c>
      <c r="AI1716" t="s">
        <v>2119</v>
      </c>
      <c r="AJ1716" t="s">
        <v>2120</v>
      </c>
      <c r="AK1716" t="str">
        <f>""</f>
        <v/>
      </c>
      <c r="AL1716" t="s">
        <v>671</v>
      </c>
      <c r="AM1716" t="s">
        <v>141</v>
      </c>
      <c r="AN1716" s="3">
        <v>94085</v>
      </c>
      <c r="AO1716" t="s">
        <v>101</v>
      </c>
      <c r="AQ1716" t="str">
        <f>"+16506873600"</f>
        <v>+16506873600</v>
      </c>
      <c r="AS1716" t="s">
        <v>2121</v>
      </c>
      <c r="AT1716" t="s">
        <v>107</v>
      </c>
      <c r="AU1716" t="str">
        <f>"Kivuvani"</f>
        <v>Kivuvani</v>
      </c>
      <c r="AV1716" t="str">
        <f>"Susan"</f>
        <v>Susan</v>
      </c>
      <c r="AW1716" t="str">
        <f>"Kalekye"</f>
        <v>Kalekye</v>
      </c>
      <c r="AX1716" t="str">
        <f>"2400 N Glenville Drive"</f>
        <v>2400 N Glenville Drive</v>
      </c>
      <c r="AY1716" t="str">
        <f>"Building A, Suite 100"</f>
        <v>Building A, Suite 100</v>
      </c>
      <c r="AZ1716" t="str">
        <f>"Richardson"</f>
        <v>Richardson</v>
      </c>
      <c r="BA1716" t="str">
        <f>"TX"</f>
        <v>TX</v>
      </c>
      <c r="BB1716" s="3">
        <v>75082</v>
      </c>
      <c r="BC1716" t="str">
        <f t="shared" si="136"/>
        <v>UNITED STATES OF AMERICA</v>
      </c>
      <c r="BD1716" t="str">
        <f>""</f>
        <v/>
      </c>
      <c r="BE1716" t="str">
        <f>"+14692909832"</f>
        <v>+14692909832</v>
      </c>
      <c r="BF1716" t="str">
        <f>""</f>
        <v/>
      </c>
      <c r="BG1716" t="str">
        <f>"edelacruz@balglobal.com"</f>
        <v>edelacruz@balglobal.com</v>
      </c>
      <c r="BH1716" t="str">
        <f>"Berry Appleman &amp; Leiden LLP"</f>
        <v>Berry Appleman &amp; Leiden LLP</v>
      </c>
      <c r="BI1716" t="str">
        <f>"MO"</f>
        <v>MO</v>
      </c>
      <c r="BJ1716" t="str">
        <f>"Supreme Court of Missouri"</f>
        <v>Supreme Court of Missouri</v>
      </c>
      <c r="BK1716">
        <v>1</v>
      </c>
      <c r="BL1716" t="s">
        <v>102</v>
      </c>
      <c r="BM1716" t="str">
        <f>""</f>
        <v/>
      </c>
      <c r="BN1716" t="s">
        <v>2835</v>
      </c>
      <c r="BP1716" t="s">
        <v>155</v>
      </c>
      <c r="BQ1716" t="s">
        <v>230</v>
      </c>
      <c r="BR1716" t="s">
        <v>141</v>
      </c>
      <c r="BS1716" s="5">
        <v>94043</v>
      </c>
      <c r="BT1716" s="2">
        <v>145725</v>
      </c>
      <c r="BU1716" s="2">
        <v>219000</v>
      </c>
      <c r="BV1716" t="s">
        <v>105</v>
      </c>
      <c r="BW1716" s="2">
        <v>145725</v>
      </c>
      <c r="BX1716" t="s">
        <v>105</v>
      </c>
      <c r="BZ1716" t="s">
        <v>123</v>
      </c>
      <c r="CA1716" t="str">
        <f t="shared" si="135"/>
        <v>7/1/2020 - 6/30/2021</v>
      </c>
      <c r="CF1716">
        <v>2</v>
      </c>
      <c r="CG1716" t="s">
        <v>98</v>
      </c>
      <c r="CH1716" t="s">
        <v>206</v>
      </c>
      <c r="CI1716" t="s">
        <v>206</v>
      </c>
      <c r="CL1716" t="s">
        <v>108</v>
      </c>
      <c r="CM1716" t="s">
        <v>109</v>
      </c>
      <c r="CN1716" t="str">
        <f>""</f>
        <v/>
      </c>
      <c r="CO1716" t="str">
        <f>""</f>
        <v/>
      </c>
      <c r="CP1716" t="str">
        <f>""</f>
        <v/>
      </c>
      <c r="CQ1716" t="str">
        <f>""</f>
        <v/>
      </c>
    </row>
    <row r="1717" spans="1:96" x14ac:dyDescent="0.2">
      <c r="A1717" t="s">
        <v>6884</v>
      </c>
      <c r="B1717" t="s">
        <v>96</v>
      </c>
      <c r="C1717" s="1">
        <v>44099</v>
      </c>
      <c r="D1717" s="1">
        <v>44106</v>
      </c>
      <c r="F1717" t="s">
        <v>97</v>
      </c>
      <c r="G1717" t="str">
        <f>"Software / Automation QA Engineer"</f>
        <v>Software / Automation QA Engineer</v>
      </c>
      <c r="H1717" t="s">
        <v>12168</v>
      </c>
      <c r="I1717" t="s">
        <v>319</v>
      </c>
      <c r="J1717" t="s">
        <v>98</v>
      </c>
      <c r="K1717" s="1">
        <v>44105</v>
      </c>
      <c r="L1717" s="1">
        <v>45199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6885</v>
      </c>
      <c r="U1717" t="str">
        <f>""</f>
        <v/>
      </c>
      <c r="V1717" t="s">
        <v>6886</v>
      </c>
      <c r="W1717" t="str">
        <f>""</f>
        <v/>
      </c>
      <c r="X1717" t="s">
        <v>308</v>
      </c>
      <c r="Y1717" t="s">
        <v>141</v>
      </c>
      <c r="Z1717" s="3">
        <v>94560</v>
      </c>
      <c r="AA1717" t="s">
        <v>101</v>
      </c>
      <c r="AC1717" s="4" t="str">
        <f>"+15107958500"</f>
        <v>+15107958500</v>
      </c>
      <c r="AE1717" t="str">
        <f>"541511"</f>
        <v>541511</v>
      </c>
      <c r="AF1717" t="s">
        <v>6887</v>
      </c>
      <c r="AG1717" t="s">
        <v>6888</v>
      </c>
      <c r="AI1717" t="s">
        <v>6889</v>
      </c>
      <c r="AJ1717" t="s">
        <v>6886</v>
      </c>
      <c r="AK1717" t="str">
        <f>""</f>
        <v/>
      </c>
      <c r="AL1717" t="s">
        <v>308</v>
      </c>
      <c r="AM1717" t="s">
        <v>141</v>
      </c>
      <c r="AN1717" s="3">
        <v>94560</v>
      </c>
      <c r="AO1717" t="s">
        <v>101</v>
      </c>
      <c r="AQ1717" t="str">
        <f>"+15107958500"</f>
        <v>+15107958500</v>
      </c>
      <c r="AS1717" t="s">
        <v>6890</v>
      </c>
      <c r="AT1717" t="s">
        <v>107</v>
      </c>
      <c r="AU1717" t="str">
        <f>"Emralino"</f>
        <v>Emralino</v>
      </c>
      <c r="AV1717" t="str">
        <f>"Jestherlynn"</f>
        <v>Jestherlynn</v>
      </c>
      <c r="AW1717" t="str">
        <f>""</f>
        <v/>
      </c>
      <c r="AX1717" t="str">
        <f>"2121 Tasman Drive"</f>
        <v>2121 Tasman Drive</v>
      </c>
      <c r="AY1717" t="str">
        <f>""</f>
        <v/>
      </c>
      <c r="AZ1717" t="str">
        <f>"Santa Clara"</f>
        <v>Santa Clara</v>
      </c>
      <c r="BA1717" t="str">
        <f>"CA"</f>
        <v>CA</v>
      </c>
      <c r="BB1717" s="3">
        <v>95054</v>
      </c>
      <c r="BC1717" t="str">
        <f t="shared" si="136"/>
        <v>UNITED STATES OF AMERICA</v>
      </c>
      <c r="BD1717" t="str">
        <f>""</f>
        <v/>
      </c>
      <c r="BE1717" t="str">
        <f>"+14089190600"</f>
        <v>+14089190600</v>
      </c>
      <c r="BF1717" t="str">
        <f>""</f>
        <v/>
      </c>
      <c r="BG1717" t="str">
        <f>"JEMRALINO@FRAGOMEN.COM"</f>
        <v>JEMRALINO@FRAGOMEN.COM</v>
      </c>
      <c r="BH1717" t="str">
        <f>"Fragomen, Del Rey, Bernsen &amp; Loewy, LLP"</f>
        <v>Fragomen, Del Rey, Bernsen &amp; Loewy, LLP</v>
      </c>
      <c r="BI1717" t="str">
        <f>"NJ"</f>
        <v>NJ</v>
      </c>
      <c r="BJ1717" t="str">
        <f>"Supreme Court"</f>
        <v>Supreme Court</v>
      </c>
      <c r="BK1717">
        <v>1</v>
      </c>
      <c r="BL1717" t="s">
        <v>102</v>
      </c>
      <c r="BM1717" t="str">
        <f>""</f>
        <v/>
      </c>
      <c r="BN1717" t="s">
        <v>6886</v>
      </c>
      <c r="BP1717" t="s">
        <v>308</v>
      </c>
      <c r="BQ1717" t="s">
        <v>419</v>
      </c>
      <c r="BR1717" t="s">
        <v>141</v>
      </c>
      <c r="BS1717" s="5">
        <v>94560</v>
      </c>
      <c r="BT1717" s="2">
        <v>100000</v>
      </c>
      <c r="BV1717" t="s">
        <v>105</v>
      </c>
      <c r="BW1717" s="2">
        <v>95555</v>
      </c>
      <c r="BX1717" t="s">
        <v>105</v>
      </c>
      <c r="BZ1717" t="s">
        <v>167</v>
      </c>
      <c r="CA1717" t="str">
        <f t="shared" si="135"/>
        <v>7/1/2020 - 6/30/2021</v>
      </c>
      <c r="CF1717">
        <v>1</v>
      </c>
      <c r="CG1717" t="s">
        <v>98</v>
      </c>
      <c r="CH1717" t="s">
        <v>206</v>
      </c>
      <c r="CI1717" t="s">
        <v>206</v>
      </c>
      <c r="CL1717" t="s">
        <v>108</v>
      </c>
      <c r="CM1717" t="s">
        <v>109</v>
      </c>
      <c r="CN1717" t="str">
        <f>""</f>
        <v/>
      </c>
      <c r="CO1717" t="str">
        <f>""</f>
        <v/>
      </c>
      <c r="CP1717" t="str">
        <f>""</f>
        <v/>
      </c>
      <c r="CQ1717" t="str">
        <f>""</f>
        <v/>
      </c>
    </row>
    <row r="1718" spans="1:96" x14ac:dyDescent="0.2">
      <c r="A1718" t="s">
        <v>6892</v>
      </c>
      <c r="B1718" t="s">
        <v>96</v>
      </c>
      <c r="C1718" s="1">
        <v>44099</v>
      </c>
      <c r="D1718" s="1">
        <v>44106</v>
      </c>
      <c r="F1718" t="s">
        <v>97</v>
      </c>
      <c r="G1718" t="str">
        <f>"Senior Software Engineer"</f>
        <v>Senior Software Engineer</v>
      </c>
      <c r="H1718" t="s">
        <v>12169</v>
      </c>
      <c r="I1718" t="s">
        <v>124</v>
      </c>
      <c r="J1718" t="s">
        <v>98</v>
      </c>
      <c r="K1718" s="1">
        <v>44109</v>
      </c>
      <c r="L1718" s="1">
        <v>45203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 t="s">
        <v>6893</v>
      </c>
      <c r="U1718" t="str">
        <f>""</f>
        <v/>
      </c>
      <c r="V1718" t="s">
        <v>6894</v>
      </c>
      <c r="W1718" t="str">
        <f>"Suite 120"</f>
        <v>Suite 120</v>
      </c>
      <c r="X1718" t="s">
        <v>6813</v>
      </c>
      <c r="Y1718" t="s">
        <v>374</v>
      </c>
      <c r="Z1718" s="3">
        <v>63005</v>
      </c>
      <c r="AA1718" t="s">
        <v>101</v>
      </c>
      <c r="AC1718" s="4" t="str">
        <f>"+18776361331"</f>
        <v>+18776361331</v>
      </c>
      <c r="AD1718">
        <v>183</v>
      </c>
      <c r="AE1718" t="str">
        <f>"541519"</f>
        <v>541519</v>
      </c>
      <c r="AF1718" t="s">
        <v>6895</v>
      </c>
      <c r="AG1718" t="s">
        <v>6896</v>
      </c>
      <c r="AI1718" t="s">
        <v>1290</v>
      </c>
      <c r="AJ1718" t="s">
        <v>6894</v>
      </c>
      <c r="AK1718" t="str">
        <f>"Suite 120"</f>
        <v>Suite 120</v>
      </c>
      <c r="AL1718" t="s">
        <v>6813</v>
      </c>
      <c r="AM1718" t="s">
        <v>374</v>
      </c>
      <c r="AN1718" s="3">
        <v>63005</v>
      </c>
      <c r="AO1718" t="s">
        <v>101</v>
      </c>
      <c r="AQ1718" t="str">
        <f>"+18776361331"</f>
        <v>+18776361331</v>
      </c>
      <c r="AR1718">
        <v>183</v>
      </c>
      <c r="AS1718" t="s">
        <v>6897</v>
      </c>
      <c r="AT1718" t="s">
        <v>107</v>
      </c>
      <c r="AU1718" t="str">
        <f>"Mahmud"</f>
        <v>Mahmud</v>
      </c>
      <c r="AV1718" t="str">
        <f>"Myra"</f>
        <v>Myra</v>
      </c>
      <c r="AW1718" t="str">
        <f>"Iman"</f>
        <v>Iman</v>
      </c>
      <c r="AX1718" t="str">
        <f>"230 W. Monroe St."</f>
        <v>230 W. Monroe St.</v>
      </c>
      <c r="AY1718" t="str">
        <f>"Suite 2800"</f>
        <v>Suite 2800</v>
      </c>
      <c r="AZ1718" t="str">
        <f>"Chicago"</f>
        <v>Chicago</v>
      </c>
      <c r="BA1718" t="str">
        <f>"IL"</f>
        <v>IL</v>
      </c>
      <c r="BB1718" s="3">
        <v>60606</v>
      </c>
      <c r="BC1718" t="str">
        <f t="shared" si="136"/>
        <v>UNITED STATES OF AMERICA</v>
      </c>
      <c r="BD1718" t="str">
        <f>""</f>
        <v/>
      </c>
      <c r="BE1718" t="str">
        <f>"+13127226300"</f>
        <v>+13127226300</v>
      </c>
      <c r="BF1718" t="str">
        <f>""</f>
        <v/>
      </c>
      <c r="BG1718" t="str">
        <f>"gov@giafirm.com"</f>
        <v>gov@giafirm.com</v>
      </c>
      <c r="BH1718" t="str">
        <f>"Global Immigration Associates, P.C."</f>
        <v>Global Immigration Associates, P.C.</v>
      </c>
      <c r="BI1718" t="str">
        <f>"NY"</f>
        <v>NY</v>
      </c>
      <c r="BJ1718" t="str">
        <f>"Court of Appeals"</f>
        <v>Court of Appeals</v>
      </c>
      <c r="BK1718">
        <v>1</v>
      </c>
      <c r="BL1718" t="s">
        <v>107</v>
      </c>
      <c r="BM1718" t="str">
        <f>"Enterprise Fleet Management"</f>
        <v>Enterprise Fleet Management</v>
      </c>
      <c r="BN1718" t="s">
        <v>6898</v>
      </c>
      <c r="BP1718" t="s">
        <v>6899</v>
      </c>
      <c r="BQ1718" t="s">
        <v>373</v>
      </c>
      <c r="BR1718" t="s">
        <v>374</v>
      </c>
      <c r="BS1718" s="5">
        <v>63304</v>
      </c>
      <c r="BT1718" s="2">
        <v>142000</v>
      </c>
      <c r="BV1718" t="s">
        <v>105</v>
      </c>
      <c r="BW1718" s="2">
        <v>113901</v>
      </c>
      <c r="BX1718" t="s">
        <v>105</v>
      </c>
      <c r="BZ1718" t="s">
        <v>159</v>
      </c>
      <c r="CA1718" t="str">
        <f t="shared" si="135"/>
        <v>7/1/2020 - 6/30/2021</v>
      </c>
      <c r="CF1718">
        <v>1</v>
      </c>
      <c r="CG1718" t="s">
        <v>98</v>
      </c>
      <c r="CH1718" t="s">
        <v>206</v>
      </c>
      <c r="CI1718" t="s">
        <v>206</v>
      </c>
      <c r="CL1718" t="s">
        <v>108</v>
      </c>
      <c r="CM1718" t="s">
        <v>109</v>
      </c>
      <c r="CN1718" t="str">
        <f>""</f>
        <v/>
      </c>
      <c r="CO1718" t="str">
        <f>""</f>
        <v/>
      </c>
      <c r="CP1718" t="str">
        <f>""</f>
        <v/>
      </c>
      <c r="CQ1718" t="str">
        <f>""</f>
        <v/>
      </c>
    </row>
    <row r="1719" spans="1:96" x14ac:dyDescent="0.2">
      <c r="A1719" t="s">
        <v>6923</v>
      </c>
      <c r="B1719" t="s">
        <v>96</v>
      </c>
      <c r="C1719" s="1">
        <v>44099</v>
      </c>
      <c r="D1719" s="1">
        <v>44106</v>
      </c>
      <c r="F1719" t="s">
        <v>97</v>
      </c>
      <c r="G1719" t="str">
        <f>"Sr. CX Training Professional"</f>
        <v>Sr. CX Training Professional</v>
      </c>
      <c r="H1719" t="s">
        <v>12242</v>
      </c>
      <c r="I1719" t="s">
        <v>3308</v>
      </c>
      <c r="J1719" t="s">
        <v>98</v>
      </c>
      <c r="K1719" s="1">
        <v>44105</v>
      </c>
      <c r="L1719" s="1">
        <v>45199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6924</v>
      </c>
      <c r="U1719" t="str">
        <f>""</f>
        <v/>
      </c>
      <c r="V1719" t="s">
        <v>2096</v>
      </c>
      <c r="W1719" t="str">
        <f>"Suite 600"</f>
        <v>Suite 600</v>
      </c>
      <c r="X1719" t="s">
        <v>604</v>
      </c>
      <c r="Y1719" t="s">
        <v>122</v>
      </c>
      <c r="Z1719" s="3">
        <v>28202</v>
      </c>
      <c r="AA1719" t="s">
        <v>101</v>
      </c>
      <c r="AC1719" s="4" t="str">
        <f>"+17049983700"</f>
        <v>+17049983700</v>
      </c>
      <c r="AE1719" t="str">
        <f>"541330"</f>
        <v>541330</v>
      </c>
      <c r="AF1719" t="s">
        <v>4309</v>
      </c>
      <c r="AG1719" t="s">
        <v>2219</v>
      </c>
      <c r="AH1719" t="s">
        <v>108</v>
      </c>
      <c r="AI1719" t="s">
        <v>4310</v>
      </c>
      <c r="AJ1719" t="s">
        <v>2100</v>
      </c>
      <c r="AK1719" t="str">
        <f>""</f>
        <v/>
      </c>
      <c r="AL1719" t="s">
        <v>2101</v>
      </c>
      <c r="AM1719" t="s">
        <v>100</v>
      </c>
      <c r="AN1719" s="3">
        <v>7950</v>
      </c>
      <c r="AO1719" t="s">
        <v>101</v>
      </c>
      <c r="AQ1719" t="str">
        <f>"+19734553063"</f>
        <v>+19734553063</v>
      </c>
      <c r="AS1719" t="s">
        <v>4311</v>
      </c>
      <c r="AT1719" t="s">
        <v>107</v>
      </c>
      <c r="AU1719" t="str">
        <f>"Nelson"</f>
        <v>Nelson</v>
      </c>
      <c r="AV1719" t="str">
        <f>"Timothy"</f>
        <v>Timothy</v>
      </c>
      <c r="AW1719" t="str">
        <f>""</f>
        <v/>
      </c>
      <c r="AX1719" t="str">
        <f>"90 Matawan Road"</f>
        <v>90 Matawan Road</v>
      </c>
      <c r="AY1719" t="str">
        <f>"4th Floor"</f>
        <v>4th Floor</v>
      </c>
      <c r="AZ1719" t="str">
        <f>"Matawan"</f>
        <v>Matawan</v>
      </c>
      <c r="BA1719" t="str">
        <f>"NJ"</f>
        <v>NJ</v>
      </c>
      <c r="BB1719" s="3">
        <v>7747</v>
      </c>
      <c r="BC1719" t="str">
        <f t="shared" si="136"/>
        <v>UNITED STATES OF AMERICA</v>
      </c>
      <c r="BD1719" t="str">
        <f>"NJ"</f>
        <v>NJ</v>
      </c>
      <c r="BE1719" t="str">
        <f>"+17328625000"</f>
        <v>+17328625000</v>
      </c>
      <c r="BF1719" t="str">
        <f>""</f>
        <v/>
      </c>
      <c r="BG1719" t="str">
        <f>"MyraOrillaza@fragomen.com"</f>
        <v>MyraOrillaza@fragomen.com</v>
      </c>
      <c r="BH1719" t="str">
        <f>"Fragomen, Del Rey, Bernsen &amp; Loewy, LLP"</f>
        <v>Fragomen, Del Rey, Bernsen &amp; Loewy, LLP</v>
      </c>
      <c r="BI1719" t="str">
        <f>"NJ"</f>
        <v>NJ</v>
      </c>
      <c r="BJ1719" t="str">
        <f>"State Supreme Court"</f>
        <v>State Supreme Court</v>
      </c>
      <c r="BK1719">
        <v>1</v>
      </c>
      <c r="BL1719" t="s">
        <v>102</v>
      </c>
      <c r="BM1719" t="str">
        <f>""</f>
        <v/>
      </c>
      <c r="BN1719" t="s">
        <v>6925</v>
      </c>
      <c r="BP1719" t="s">
        <v>3607</v>
      </c>
      <c r="BQ1719" t="s">
        <v>1612</v>
      </c>
      <c r="BR1719" t="s">
        <v>176</v>
      </c>
      <c r="BS1719" s="5">
        <v>98087</v>
      </c>
      <c r="BT1719" s="2">
        <v>94874</v>
      </c>
      <c r="BV1719" t="s">
        <v>105</v>
      </c>
      <c r="BW1719" s="2">
        <v>81058</v>
      </c>
      <c r="BX1719" t="s">
        <v>105</v>
      </c>
      <c r="BZ1719" t="s">
        <v>123</v>
      </c>
      <c r="CA1719" t="str">
        <f t="shared" si="135"/>
        <v>7/1/2020 - 6/30/2021</v>
      </c>
      <c r="CF1719">
        <v>1</v>
      </c>
      <c r="CG1719" t="s">
        <v>98</v>
      </c>
      <c r="CH1719" t="s">
        <v>206</v>
      </c>
      <c r="CI1719" t="s">
        <v>206</v>
      </c>
      <c r="CL1719" t="s">
        <v>108</v>
      </c>
      <c r="CM1719" t="s">
        <v>109</v>
      </c>
      <c r="CN1719" t="str">
        <f>"ORILLAZA"</f>
        <v>ORILLAZA</v>
      </c>
      <c r="CO1719" t="str">
        <f>"MYRA"</f>
        <v>MYRA</v>
      </c>
      <c r="CP1719" t="str">
        <f>"I"</f>
        <v>I</v>
      </c>
      <c r="CQ1719" t="str">
        <f>"FRAGOMEN, DEL REY, BERNSEN &amp; LOEWY, LLP"</f>
        <v>FRAGOMEN, DEL REY, BERNSEN &amp; LOEWY, LLP</v>
      </c>
      <c r="CR1719" t="s">
        <v>3674</v>
      </c>
    </row>
    <row r="1720" spans="1:96" x14ac:dyDescent="0.2">
      <c r="A1720" t="s">
        <v>6938</v>
      </c>
      <c r="B1720" t="s">
        <v>96</v>
      </c>
      <c r="C1720" s="1">
        <v>44099</v>
      </c>
      <c r="D1720" s="1">
        <v>44106</v>
      </c>
      <c r="F1720" t="s">
        <v>97</v>
      </c>
      <c r="G1720" t="str">
        <f>"Software Engineer III Web Applications"</f>
        <v>Software Engineer III Web Applications</v>
      </c>
      <c r="H1720" t="s">
        <v>12169</v>
      </c>
      <c r="I1720" t="s">
        <v>124</v>
      </c>
      <c r="J1720" t="s">
        <v>98</v>
      </c>
      <c r="K1720" s="1">
        <v>44137</v>
      </c>
      <c r="L1720" s="1">
        <v>45231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6939</v>
      </c>
      <c r="U1720" t="str">
        <f>""</f>
        <v/>
      </c>
      <c r="V1720" t="s">
        <v>6940</v>
      </c>
      <c r="W1720" t="str">
        <f>""</f>
        <v/>
      </c>
      <c r="X1720" t="s">
        <v>2302</v>
      </c>
      <c r="Y1720" t="s">
        <v>171</v>
      </c>
      <c r="Z1720" s="3">
        <v>2454</v>
      </c>
      <c r="AA1720" t="s">
        <v>101</v>
      </c>
      <c r="AC1720" s="4" t="str">
        <f>"+17816473700"</f>
        <v>+17816473700</v>
      </c>
      <c r="AD1720">
        <v>214</v>
      </c>
      <c r="AE1720" t="str">
        <f>"334516"</f>
        <v>334516</v>
      </c>
      <c r="AF1720" t="s">
        <v>6941</v>
      </c>
      <c r="AG1720" t="s">
        <v>2336</v>
      </c>
      <c r="AI1720" t="s">
        <v>6942</v>
      </c>
      <c r="AJ1720" t="s">
        <v>6940</v>
      </c>
      <c r="AK1720" t="str">
        <f>""</f>
        <v/>
      </c>
      <c r="AL1720" t="s">
        <v>2302</v>
      </c>
      <c r="AM1720" t="s">
        <v>171</v>
      </c>
      <c r="AN1720" s="3">
        <v>2454</v>
      </c>
      <c r="AO1720" t="s">
        <v>101</v>
      </c>
      <c r="AQ1720" t="str">
        <f>"+17816473700"</f>
        <v>+17816473700</v>
      </c>
      <c r="AR1720">
        <v>214</v>
      </c>
      <c r="AS1720" t="s">
        <v>6943</v>
      </c>
      <c r="AT1720" t="s">
        <v>107</v>
      </c>
      <c r="AU1720" t="str">
        <f>"Ford"</f>
        <v>Ford</v>
      </c>
      <c r="AV1720" t="str">
        <f>"Russell"</f>
        <v>Russell</v>
      </c>
      <c r="AW1720" t="str">
        <f>"C"</f>
        <v>C</v>
      </c>
      <c r="AX1720" t="str">
        <f>"66 Pearl Street"</f>
        <v>66 Pearl Street</v>
      </c>
      <c r="AY1720" t="str">
        <f>"Ste. 311"</f>
        <v>Ste. 311</v>
      </c>
      <c r="AZ1720" t="str">
        <f>"Portland"</f>
        <v>Portland</v>
      </c>
      <c r="BA1720" t="str">
        <f>"ME"</f>
        <v>ME</v>
      </c>
      <c r="BB1720" s="3">
        <v>4101</v>
      </c>
      <c r="BC1720" t="str">
        <f t="shared" si="136"/>
        <v>UNITED STATES OF AMERICA</v>
      </c>
      <c r="BD1720" t="str">
        <f>""</f>
        <v/>
      </c>
      <c r="BE1720" t="str">
        <f>"+12076137331"</f>
        <v>+12076137331</v>
      </c>
      <c r="BF1720" t="str">
        <f>""</f>
        <v/>
      </c>
      <c r="BG1720" t="str">
        <f>"russell@fordmurraylaw.com"</f>
        <v>russell@fordmurraylaw.com</v>
      </c>
      <c r="BH1720" t="str">
        <f>"FordMurray"</f>
        <v>FordMurray</v>
      </c>
      <c r="BI1720" t="str">
        <f>"MA"</f>
        <v>MA</v>
      </c>
      <c r="BJ1720" t="str">
        <f>"Supreme Judicial Court"</f>
        <v>Supreme Judicial Court</v>
      </c>
      <c r="BK1720">
        <v>1</v>
      </c>
      <c r="BL1720" t="s">
        <v>102</v>
      </c>
      <c r="BM1720" t="str">
        <f>""</f>
        <v/>
      </c>
      <c r="BN1720" t="s">
        <v>6940</v>
      </c>
      <c r="BP1720" t="s">
        <v>2302</v>
      </c>
      <c r="BQ1720" t="s">
        <v>3935</v>
      </c>
      <c r="BR1720" t="s">
        <v>171</v>
      </c>
      <c r="BS1720" s="5">
        <v>2454</v>
      </c>
      <c r="BT1720" s="2">
        <v>120000</v>
      </c>
      <c r="BV1720" t="s">
        <v>105</v>
      </c>
      <c r="BW1720" s="2">
        <v>115939</v>
      </c>
      <c r="BX1720" t="s">
        <v>105</v>
      </c>
      <c r="BZ1720" t="s">
        <v>123</v>
      </c>
      <c r="CA1720" t="str">
        <f t="shared" si="135"/>
        <v>7/1/2020 - 6/30/2021</v>
      </c>
      <c r="CF1720">
        <v>1</v>
      </c>
      <c r="CG1720" t="s">
        <v>98</v>
      </c>
      <c r="CH1720" t="s">
        <v>206</v>
      </c>
      <c r="CI1720" t="s">
        <v>206</v>
      </c>
      <c r="CL1720" t="s">
        <v>108</v>
      </c>
      <c r="CM1720" t="s">
        <v>109</v>
      </c>
      <c r="CN1720" t="str">
        <f>"Ford"</f>
        <v>Ford</v>
      </c>
      <c r="CO1720" t="str">
        <f>"Russell"</f>
        <v>Russell</v>
      </c>
      <c r="CP1720" t="str">
        <f>"C"</f>
        <v>C</v>
      </c>
      <c r="CQ1720" t="str">
        <f>"FordMurray"</f>
        <v>FordMurray</v>
      </c>
      <c r="CR1720" t="s">
        <v>204</v>
      </c>
    </row>
    <row r="1721" spans="1:96" x14ac:dyDescent="0.2">
      <c r="A1721" t="s">
        <v>6944</v>
      </c>
      <c r="B1721" t="s">
        <v>96</v>
      </c>
      <c r="C1721" s="1">
        <v>44099</v>
      </c>
      <c r="D1721" s="1">
        <v>44106</v>
      </c>
      <c r="F1721" t="s">
        <v>97</v>
      </c>
      <c r="G1721" t="str">
        <f>"ITC Support Engineer"</f>
        <v>ITC Support Engineer</v>
      </c>
      <c r="H1721" t="s">
        <v>12179</v>
      </c>
      <c r="I1721" t="s">
        <v>1357</v>
      </c>
      <c r="J1721" t="s">
        <v>98</v>
      </c>
      <c r="K1721" s="1">
        <v>44105</v>
      </c>
      <c r="L1721" s="1">
        <v>45200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6486</v>
      </c>
      <c r="U1721" t="str">
        <f>""</f>
        <v/>
      </c>
      <c r="V1721" t="s">
        <v>6487</v>
      </c>
      <c r="W1721" t="str">
        <f>""</f>
        <v/>
      </c>
      <c r="X1721" t="s">
        <v>277</v>
      </c>
      <c r="Y1721" t="s">
        <v>190</v>
      </c>
      <c r="Z1721" s="3">
        <v>10001</v>
      </c>
      <c r="AA1721" t="s">
        <v>101</v>
      </c>
      <c r="AC1721" s="4" t="str">
        <f>"+17183134554"</f>
        <v>+17183134554</v>
      </c>
      <c r="AE1721" t="str">
        <f>"541330"</f>
        <v>541330</v>
      </c>
      <c r="AF1721" t="s">
        <v>6488</v>
      </c>
      <c r="AG1721" t="s">
        <v>964</v>
      </c>
      <c r="AI1721" t="s">
        <v>876</v>
      </c>
      <c r="AJ1721" t="s">
        <v>6487</v>
      </c>
      <c r="AK1721" t="str">
        <f>""</f>
        <v/>
      </c>
      <c r="AL1721" t="s">
        <v>277</v>
      </c>
      <c r="AM1721" t="s">
        <v>190</v>
      </c>
      <c r="AN1721" s="3">
        <v>10001</v>
      </c>
      <c r="AO1721" t="s">
        <v>101</v>
      </c>
      <c r="AQ1721" t="str">
        <f>"+17183134554"</f>
        <v>+17183134554</v>
      </c>
      <c r="AS1721" t="s">
        <v>6489</v>
      </c>
      <c r="AT1721" t="s">
        <v>107</v>
      </c>
      <c r="AU1721" t="str">
        <f>"Sorensen"</f>
        <v>Sorensen</v>
      </c>
      <c r="AV1721" t="str">
        <f>"Anita"</f>
        <v>Anita</v>
      </c>
      <c r="AW1721" t="str">
        <f>"Mae"</f>
        <v>Mae</v>
      </c>
      <c r="AX1721" t="str">
        <f>"Foley &amp; Lardner LLP"</f>
        <v>Foley &amp; Lardner LLP</v>
      </c>
      <c r="AY1721" t="str">
        <f>"150 East Gilman Street, Suite 5000"</f>
        <v>150 East Gilman Street, Suite 5000</v>
      </c>
      <c r="AZ1721" t="str">
        <f>"Madison"</f>
        <v>Madison</v>
      </c>
      <c r="BA1721" t="str">
        <f>"WI"</f>
        <v>WI</v>
      </c>
      <c r="BB1721" s="3">
        <v>53703</v>
      </c>
      <c r="BC1721" t="str">
        <f t="shared" si="136"/>
        <v>UNITED STATES OF AMERICA</v>
      </c>
      <c r="BD1721" t="str">
        <f>""</f>
        <v/>
      </c>
      <c r="BE1721" t="str">
        <f>"+16082584253"</f>
        <v>+16082584253</v>
      </c>
      <c r="BF1721" t="str">
        <f>""</f>
        <v/>
      </c>
      <c r="BG1721" t="str">
        <f>"asorensen@foley.com"</f>
        <v>asorensen@foley.com</v>
      </c>
      <c r="BH1721" t="str">
        <f>"Foley &amp; Lardner LLP"</f>
        <v>Foley &amp; Lardner LLP</v>
      </c>
      <c r="BI1721" t="str">
        <f>"WI"</f>
        <v>WI</v>
      </c>
      <c r="BJ1721" t="str">
        <f>"Supreme Court"</f>
        <v>Supreme Court</v>
      </c>
      <c r="BK1721">
        <v>1</v>
      </c>
      <c r="BL1721" t="s">
        <v>107</v>
      </c>
      <c r="BM1721" t="str">
        <f>"Siemens Mobility"</f>
        <v>Siemens Mobility</v>
      </c>
      <c r="BN1721" t="s">
        <v>6945</v>
      </c>
      <c r="BO1721" t="s">
        <v>6946</v>
      </c>
      <c r="BP1721" t="s">
        <v>1213</v>
      </c>
      <c r="BQ1721" t="s">
        <v>1214</v>
      </c>
      <c r="BR1721" t="s">
        <v>100</v>
      </c>
      <c r="BS1721" s="5">
        <v>7302</v>
      </c>
      <c r="BT1721" s="2">
        <v>76610</v>
      </c>
      <c r="BV1721" t="s">
        <v>105</v>
      </c>
      <c r="BW1721" s="2">
        <v>76606</v>
      </c>
      <c r="BX1721" t="s">
        <v>105</v>
      </c>
      <c r="BZ1721" t="s">
        <v>191</v>
      </c>
      <c r="CA1721" t="str">
        <f t="shared" si="135"/>
        <v>7/1/2020 - 6/30/2021</v>
      </c>
      <c r="CF1721">
        <v>1</v>
      </c>
      <c r="CG1721" t="s">
        <v>98</v>
      </c>
      <c r="CH1721" t="s">
        <v>206</v>
      </c>
      <c r="CI1721" t="s">
        <v>206</v>
      </c>
      <c r="CL1721" t="s">
        <v>108</v>
      </c>
      <c r="CM1721" t="s">
        <v>109</v>
      </c>
      <c r="CN1721" t="str">
        <f>""</f>
        <v/>
      </c>
      <c r="CO1721" t="str">
        <f>""</f>
        <v/>
      </c>
      <c r="CP1721" t="str">
        <f>""</f>
        <v/>
      </c>
      <c r="CQ1721" t="str">
        <f>""</f>
        <v/>
      </c>
    </row>
    <row r="1722" spans="1:96" x14ac:dyDescent="0.2">
      <c r="A1722" t="s">
        <v>6950</v>
      </c>
      <c r="B1722" t="s">
        <v>96</v>
      </c>
      <c r="C1722" s="1">
        <v>44099</v>
      </c>
      <c r="D1722" s="1">
        <v>44106</v>
      </c>
      <c r="F1722" t="s">
        <v>97</v>
      </c>
      <c r="G1722" t="str">
        <f>"Software Development Engineer"</f>
        <v>Software Development Engineer</v>
      </c>
      <c r="H1722" t="s">
        <v>12169</v>
      </c>
      <c r="I1722" t="s">
        <v>124</v>
      </c>
      <c r="J1722" t="s">
        <v>98</v>
      </c>
      <c r="K1722" s="1">
        <v>44144</v>
      </c>
      <c r="L1722" s="1">
        <v>45238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 t="s">
        <v>4794</v>
      </c>
      <c r="U1722" t="str">
        <f>""</f>
        <v/>
      </c>
      <c r="V1722" t="s">
        <v>4795</v>
      </c>
      <c r="W1722" t="str">
        <f>""</f>
        <v/>
      </c>
      <c r="X1722" t="s">
        <v>158</v>
      </c>
      <c r="Y1722" t="s">
        <v>141</v>
      </c>
      <c r="Z1722" s="3">
        <v>92122</v>
      </c>
      <c r="AA1722" t="s">
        <v>101</v>
      </c>
      <c r="AB1722" t="s">
        <v>1246</v>
      </c>
      <c r="AC1722" s="4" t="str">
        <f>"+18583687200"</f>
        <v>+18583687200</v>
      </c>
      <c r="AE1722" t="str">
        <f>"524126"</f>
        <v>524126</v>
      </c>
      <c r="AF1722" t="s">
        <v>1647</v>
      </c>
      <c r="AG1722" t="s">
        <v>4796</v>
      </c>
      <c r="AI1722" t="s">
        <v>4797</v>
      </c>
      <c r="AJ1722" t="s">
        <v>4795</v>
      </c>
      <c r="AK1722" t="str">
        <f>""</f>
        <v/>
      </c>
      <c r="AL1722" t="s">
        <v>158</v>
      </c>
      <c r="AM1722" t="s">
        <v>141</v>
      </c>
      <c r="AN1722" s="3">
        <v>92122</v>
      </c>
      <c r="AO1722" t="s">
        <v>101</v>
      </c>
      <c r="AQ1722" t="str">
        <f>"+18583687200"</f>
        <v>+18583687200</v>
      </c>
      <c r="AS1722" t="s">
        <v>4798</v>
      </c>
      <c r="AT1722" t="s">
        <v>107</v>
      </c>
      <c r="AU1722" t="str">
        <f>"Sheppard"</f>
        <v>Sheppard</v>
      </c>
      <c r="AV1722" t="str">
        <f>"Donald"</f>
        <v>Donald</v>
      </c>
      <c r="AW1722" t="str">
        <f>"Kyle"</f>
        <v>Kyle</v>
      </c>
      <c r="AX1722" t="str">
        <f>"401 West A Street "</f>
        <v xml:space="preserve">401 West A Street </v>
      </c>
      <c r="AY1722" t="str">
        <f>"Suite 2600"</f>
        <v>Suite 2600</v>
      </c>
      <c r="AZ1722" t="str">
        <f>"San Diego"</f>
        <v>San Diego</v>
      </c>
      <c r="BA1722" t="str">
        <f>"CA"</f>
        <v>CA</v>
      </c>
      <c r="BB1722" s="3">
        <v>92101</v>
      </c>
      <c r="BC1722" t="str">
        <f t="shared" si="136"/>
        <v>UNITED STATES OF AMERICA</v>
      </c>
      <c r="BD1722" t="str">
        <f>"CA"</f>
        <v>CA</v>
      </c>
      <c r="BE1722" t="str">
        <f>"+16195954243"</f>
        <v>+16195954243</v>
      </c>
      <c r="BF1722" t="str">
        <f>""</f>
        <v/>
      </c>
      <c r="BG1722" t="str">
        <f>"dsheppard@higgslaw.com"</f>
        <v>dsheppard@higgslaw.com</v>
      </c>
      <c r="BH1722" t="str">
        <f>"Higgs Fletcher and Mack LLP"</f>
        <v>Higgs Fletcher and Mack LLP</v>
      </c>
      <c r="BI1722" t="str">
        <f>"CA"</f>
        <v>CA</v>
      </c>
      <c r="BJ1722" t="str">
        <f>"Supreme Court"</f>
        <v>Supreme Court</v>
      </c>
      <c r="BK1722">
        <v>1</v>
      </c>
      <c r="BL1722" t="s">
        <v>102</v>
      </c>
      <c r="BM1722" t="str">
        <f>""</f>
        <v/>
      </c>
      <c r="BN1722" t="s">
        <v>6951</v>
      </c>
      <c r="BP1722" t="s">
        <v>3556</v>
      </c>
      <c r="BQ1722" t="s">
        <v>484</v>
      </c>
      <c r="BR1722" t="s">
        <v>114</v>
      </c>
      <c r="BS1722" s="5">
        <v>75019</v>
      </c>
      <c r="BT1722" s="2">
        <v>90000</v>
      </c>
      <c r="BV1722" t="s">
        <v>105</v>
      </c>
      <c r="BW1722" s="2">
        <v>76752</v>
      </c>
      <c r="BX1722" t="s">
        <v>105</v>
      </c>
      <c r="BZ1722" t="s">
        <v>191</v>
      </c>
      <c r="CA1722" t="str">
        <f t="shared" si="135"/>
        <v>7/1/2020 - 6/30/2021</v>
      </c>
      <c r="CF1722">
        <v>2</v>
      </c>
      <c r="CG1722" t="s">
        <v>98</v>
      </c>
      <c r="CH1722" t="s">
        <v>206</v>
      </c>
      <c r="CI1722" t="s">
        <v>206</v>
      </c>
      <c r="CL1722" t="s">
        <v>108</v>
      </c>
      <c r="CM1722" t="s">
        <v>109</v>
      </c>
      <c r="CN1722" t="str">
        <f>""</f>
        <v/>
      </c>
      <c r="CO1722" t="str">
        <f>""</f>
        <v/>
      </c>
      <c r="CP1722" t="str">
        <f>""</f>
        <v/>
      </c>
      <c r="CQ1722" t="str">
        <f>""</f>
        <v/>
      </c>
    </row>
    <row r="1723" spans="1:96" x14ac:dyDescent="0.2">
      <c r="A1723" t="s">
        <v>6952</v>
      </c>
      <c r="B1723" t="s">
        <v>96</v>
      </c>
      <c r="C1723" s="1">
        <v>44099</v>
      </c>
      <c r="D1723" s="1">
        <v>44106</v>
      </c>
      <c r="F1723" t="s">
        <v>97</v>
      </c>
      <c r="G1723" t="str">
        <f>"ADVANCED SOFTWARE DEVELOPER"</f>
        <v>ADVANCED SOFTWARE DEVELOPER</v>
      </c>
      <c r="H1723" t="s">
        <v>12169</v>
      </c>
      <c r="I1723" t="s">
        <v>124</v>
      </c>
      <c r="J1723" t="s">
        <v>98</v>
      </c>
      <c r="K1723" s="1">
        <v>44102</v>
      </c>
      <c r="L1723" s="1">
        <v>45196</v>
      </c>
      <c r="M1723">
        <v>10</v>
      </c>
      <c r="N1723">
        <v>2</v>
      </c>
      <c r="O1723">
        <v>2</v>
      </c>
      <c r="P1723">
        <v>2</v>
      </c>
      <c r="Q1723">
        <v>0</v>
      </c>
      <c r="R1723">
        <v>2</v>
      </c>
      <c r="S1723">
        <v>2</v>
      </c>
      <c r="T1723" t="s">
        <v>2068</v>
      </c>
      <c r="U1723" t="str">
        <f>""</f>
        <v/>
      </c>
      <c r="V1723" t="s">
        <v>2069</v>
      </c>
      <c r="W1723" t="str">
        <f>""</f>
        <v/>
      </c>
      <c r="X1723" t="s">
        <v>1025</v>
      </c>
      <c r="Y1723" t="s">
        <v>577</v>
      </c>
      <c r="Z1723" s="3">
        <v>33605</v>
      </c>
      <c r="AA1723" t="s">
        <v>101</v>
      </c>
      <c r="AC1723" s="4" t="str">
        <f>"+18135525000"</f>
        <v>+18135525000</v>
      </c>
      <c r="AE1723" t="str">
        <f>"5416"</f>
        <v>5416</v>
      </c>
      <c r="AF1723" t="s">
        <v>2070</v>
      </c>
      <c r="AG1723" t="s">
        <v>2071</v>
      </c>
      <c r="AI1723" t="s">
        <v>497</v>
      </c>
      <c r="AJ1723" t="s">
        <v>2072</v>
      </c>
      <c r="AK1723" t="str">
        <f>""</f>
        <v/>
      </c>
      <c r="AL1723" t="s">
        <v>1025</v>
      </c>
      <c r="AM1723" t="s">
        <v>577</v>
      </c>
      <c r="AN1723" s="3">
        <v>33605</v>
      </c>
      <c r="AO1723" t="s">
        <v>101</v>
      </c>
      <c r="AQ1723" t="str">
        <f>"+18135525000"</f>
        <v>+18135525000</v>
      </c>
      <c r="AS1723" t="s">
        <v>2073</v>
      </c>
      <c r="AT1723" t="s">
        <v>107</v>
      </c>
      <c r="AU1723" t="str">
        <f>"WHITE "</f>
        <v xml:space="preserve">WHITE </v>
      </c>
      <c r="AV1723" t="str">
        <f>"ROBERT"</f>
        <v>ROBERT</v>
      </c>
      <c r="AW1723" t="str">
        <f>"SAMUEL"</f>
        <v>SAMUEL</v>
      </c>
      <c r="AX1723" t="str">
        <f>"200 N MARTINGALE ROAD"</f>
        <v>200 N MARTINGALE ROAD</v>
      </c>
      <c r="AY1723" t="str">
        <f>"SUITE 800"</f>
        <v>SUITE 800</v>
      </c>
      <c r="AZ1723" t="str">
        <f>"SCHAUMBURG"</f>
        <v>SCHAUMBURG</v>
      </c>
      <c r="BA1723" t="str">
        <f>"IL"</f>
        <v>IL</v>
      </c>
      <c r="BB1723" s="3">
        <v>60173</v>
      </c>
      <c r="BC1723" t="str">
        <f t="shared" si="136"/>
        <v>UNITED STATES OF AMERICA</v>
      </c>
      <c r="BD1723" t="str">
        <f>""</f>
        <v/>
      </c>
      <c r="BE1723" t="str">
        <f>"+18477348811"</f>
        <v>+18477348811</v>
      </c>
      <c r="BF1723" t="str">
        <f>""</f>
        <v/>
      </c>
      <c r="BG1723" t="str">
        <f>"RWHITE@MASUDAFUNAI.COM"</f>
        <v>RWHITE@MASUDAFUNAI.COM</v>
      </c>
      <c r="BH1723" t="str">
        <f>"Masuda Funai Eifert &amp; Mitchell, Ltd."</f>
        <v>Masuda Funai Eifert &amp; Mitchell, Ltd.</v>
      </c>
      <c r="BI1723" t="str">
        <f>"IL"</f>
        <v>IL</v>
      </c>
      <c r="BJ1723" t="str">
        <f>"SUPREME COURT"</f>
        <v>SUPREME COURT</v>
      </c>
      <c r="BK1723">
        <v>10</v>
      </c>
      <c r="BL1723" t="s">
        <v>107</v>
      </c>
      <c r="BM1723" t="str">
        <f>"ALLY FINANCIAL, INC."</f>
        <v>ALLY FINANCIAL, INC.</v>
      </c>
      <c r="BN1723" t="s">
        <v>6953</v>
      </c>
      <c r="BO1723" t="s">
        <v>652</v>
      </c>
      <c r="BP1723" t="s">
        <v>312</v>
      </c>
      <c r="BQ1723" t="s">
        <v>719</v>
      </c>
      <c r="BR1723" t="s">
        <v>265</v>
      </c>
      <c r="BS1723" s="5">
        <v>48083</v>
      </c>
      <c r="BT1723" s="2">
        <v>45.75</v>
      </c>
      <c r="BU1723" s="2">
        <v>90</v>
      </c>
      <c r="BV1723" t="s">
        <v>210</v>
      </c>
      <c r="BW1723" s="2">
        <v>45.75</v>
      </c>
      <c r="BX1723" t="s">
        <v>210</v>
      </c>
      <c r="BZ1723" t="s">
        <v>123</v>
      </c>
      <c r="CA1723" t="str">
        <f t="shared" si="135"/>
        <v>7/1/2020 - 6/30/2021</v>
      </c>
      <c r="CF1723">
        <v>2</v>
      </c>
      <c r="CG1723" t="s">
        <v>98</v>
      </c>
      <c r="CH1723" t="s">
        <v>206</v>
      </c>
      <c r="CI1723" t="s">
        <v>206</v>
      </c>
      <c r="CL1723" t="s">
        <v>108</v>
      </c>
      <c r="CM1723" t="s">
        <v>109</v>
      </c>
      <c r="CN1723" t="str">
        <f>""</f>
        <v/>
      </c>
      <c r="CO1723" t="str">
        <f>""</f>
        <v/>
      </c>
      <c r="CP1723" t="str">
        <f>""</f>
        <v/>
      </c>
      <c r="CQ1723" t="str">
        <f>""</f>
        <v/>
      </c>
    </row>
    <row r="1724" spans="1:96" x14ac:dyDescent="0.2">
      <c r="A1724" t="s">
        <v>6972</v>
      </c>
      <c r="B1724" t="s">
        <v>96</v>
      </c>
      <c r="C1724" s="1">
        <v>44099</v>
      </c>
      <c r="D1724" s="1">
        <v>44106</v>
      </c>
      <c r="F1724" t="s">
        <v>97</v>
      </c>
      <c r="G1724" t="str">
        <f>"SOFTWARE DEVELOPMENT ENGINEER II"</f>
        <v>SOFTWARE DEVELOPMENT ENGINEER II</v>
      </c>
      <c r="H1724" t="s">
        <v>12169</v>
      </c>
      <c r="I1724" t="s">
        <v>124</v>
      </c>
      <c r="J1724" t="s">
        <v>98</v>
      </c>
      <c r="K1724" s="1">
        <v>44105</v>
      </c>
      <c r="L1724" s="1">
        <v>45199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440</v>
      </c>
      <c r="U1724" t="str">
        <f>""</f>
        <v/>
      </c>
      <c r="V1724" t="s">
        <v>809</v>
      </c>
      <c r="W1724" t="str">
        <f>"SUITE 500"</f>
        <v>SUITE 500</v>
      </c>
      <c r="X1724" t="s">
        <v>433</v>
      </c>
      <c r="Y1724" t="s">
        <v>176</v>
      </c>
      <c r="Z1724" s="3">
        <v>98121</v>
      </c>
      <c r="AA1724" t="s">
        <v>101</v>
      </c>
      <c r="AC1724" s="4" t="str">
        <f>"+12062661000"</f>
        <v>+12062661000</v>
      </c>
      <c r="AE1724" t="str">
        <f>"454110"</f>
        <v>454110</v>
      </c>
      <c r="AF1724" t="s">
        <v>3174</v>
      </c>
      <c r="AG1724" t="s">
        <v>3175</v>
      </c>
      <c r="AH1724" t="s">
        <v>108</v>
      </c>
      <c r="AI1724" t="s">
        <v>434</v>
      </c>
      <c r="AJ1724" t="s">
        <v>809</v>
      </c>
      <c r="AK1724" t="str">
        <f>"SUITE 500"</f>
        <v>SUITE 500</v>
      </c>
      <c r="AL1724" t="s">
        <v>433</v>
      </c>
      <c r="AM1724" t="s">
        <v>176</v>
      </c>
      <c r="AN1724" s="3">
        <v>98121</v>
      </c>
      <c r="AO1724" t="s">
        <v>101</v>
      </c>
      <c r="AQ1724" t="str">
        <f>"+12062661000"</f>
        <v>+12062661000</v>
      </c>
      <c r="AS1724" t="s">
        <v>263</v>
      </c>
      <c r="AT1724" t="s">
        <v>107</v>
      </c>
      <c r="AU1724" t="str">
        <f>"CAREY"</f>
        <v>CAREY</v>
      </c>
      <c r="AV1724" t="str">
        <f>"MOLLY"</f>
        <v>MOLLY</v>
      </c>
      <c r="AW1724" t="str">
        <f>"N/A"</f>
        <v>N/A</v>
      </c>
      <c r="AX1724" t="str">
        <f>"100 HIGH STREET"</f>
        <v>100 HIGH STREET</v>
      </c>
      <c r="AY1724" t="str">
        <f>"3RD FLOOR C#5272327"</f>
        <v>3RD FLOOR C#5272327</v>
      </c>
      <c r="AZ1724" t="str">
        <f>"BOSTON"</f>
        <v>BOSTON</v>
      </c>
      <c r="BA1724" t="str">
        <f>"MA"</f>
        <v>MA</v>
      </c>
      <c r="BB1724" s="3">
        <v>2110</v>
      </c>
      <c r="BC1724" t="str">
        <f t="shared" si="136"/>
        <v>UNITED STATES OF AMERICA</v>
      </c>
      <c r="BD1724" t="str">
        <f>""</f>
        <v/>
      </c>
      <c r="BE1724" t="str">
        <f>"+16175740400"</f>
        <v>+16175740400</v>
      </c>
      <c r="BF1724" t="str">
        <f>""</f>
        <v/>
      </c>
      <c r="BG1724" t="str">
        <f>"AMAZONH1BCAP@FRAGOMEN.COM"</f>
        <v>AMAZONH1BCAP@FRAGOMEN.COM</v>
      </c>
      <c r="BH1724" t="str">
        <f>"FRAGOMEN, DEL REY, BERNSEN &amp; LOEWY, LLP"</f>
        <v>FRAGOMEN, DEL REY, BERNSEN &amp; LOEWY, LLP</v>
      </c>
      <c r="BI1724" t="str">
        <f>"MA"</f>
        <v>MA</v>
      </c>
      <c r="BJ1724" t="str">
        <f>"SUPREME JUDICIAL COURT"</f>
        <v>SUPREME JUDICIAL COURT</v>
      </c>
      <c r="BK1724">
        <v>1</v>
      </c>
      <c r="BL1724" t="s">
        <v>102</v>
      </c>
      <c r="BM1724" t="str">
        <f>""</f>
        <v/>
      </c>
      <c r="BN1724" t="s">
        <v>809</v>
      </c>
      <c r="BO1724" t="s">
        <v>3744</v>
      </c>
      <c r="BP1724" t="s">
        <v>433</v>
      </c>
      <c r="BQ1724" t="s">
        <v>183</v>
      </c>
      <c r="BR1724" t="s">
        <v>176</v>
      </c>
      <c r="BS1724" s="5">
        <v>98121</v>
      </c>
      <c r="BT1724" s="2">
        <v>144000</v>
      </c>
      <c r="BV1724" t="s">
        <v>105</v>
      </c>
      <c r="BW1724" s="2">
        <v>113110</v>
      </c>
      <c r="BX1724" t="s">
        <v>105</v>
      </c>
      <c r="BZ1724" t="s">
        <v>167</v>
      </c>
      <c r="CA1724" t="str">
        <f t="shared" si="135"/>
        <v>7/1/2020 - 6/30/2021</v>
      </c>
      <c r="CF1724">
        <v>2</v>
      </c>
      <c r="CG1724" t="s">
        <v>98</v>
      </c>
      <c r="CH1724" t="s">
        <v>206</v>
      </c>
      <c r="CI1724" t="s">
        <v>206</v>
      </c>
      <c r="CL1724" t="s">
        <v>108</v>
      </c>
      <c r="CM1724" t="s">
        <v>109</v>
      </c>
      <c r="CN1724" t="str">
        <f>"RAMACHANDRAN"</f>
        <v>RAMACHANDRAN</v>
      </c>
      <c r="CO1724" t="str">
        <f>"ANU"</f>
        <v>ANU</v>
      </c>
      <c r="CP1724" t="str">
        <f>"N/A"</f>
        <v>N/A</v>
      </c>
      <c r="CQ1724" t="str">
        <f>"FRAGOMEN, DEL REY, BERNSEN &amp; LOEWY, LLP"</f>
        <v>FRAGOMEN, DEL REY, BERNSEN &amp; LOEWY, LLP</v>
      </c>
      <c r="CR1724" t="s">
        <v>3176</v>
      </c>
    </row>
    <row r="1725" spans="1:96" x14ac:dyDescent="0.2">
      <c r="A1725" t="s">
        <v>6981</v>
      </c>
      <c r="B1725" t="s">
        <v>96</v>
      </c>
      <c r="C1725" s="1">
        <v>44099</v>
      </c>
      <c r="D1725" s="1">
        <v>44106</v>
      </c>
      <c r="F1725" t="s">
        <v>97</v>
      </c>
      <c r="G1725" t="str">
        <f>"PRINCIPAL SOFTWARE ENGINEER"</f>
        <v>PRINCIPAL SOFTWARE ENGINEER</v>
      </c>
      <c r="H1725" t="s">
        <v>12169</v>
      </c>
      <c r="I1725" t="s">
        <v>124</v>
      </c>
      <c r="J1725" t="s">
        <v>98</v>
      </c>
      <c r="K1725" s="1">
        <v>44105</v>
      </c>
      <c r="L1725" s="1">
        <v>45199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 t="s">
        <v>949</v>
      </c>
      <c r="U1725" t="str">
        <f>""</f>
        <v/>
      </c>
      <c r="V1725" t="s">
        <v>950</v>
      </c>
      <c r="W1725" t="str">
        <f>"175 BERKELEY STREET"</f>
        <v>175 BERKELEY STREET</v>
      </c>
      <c r="X1725" t="s">
        <v>951</v>
      </c>
      <c r="Y1725" t="s">
        <v>171</v>
      </c>
      <c r="Z1725" s="3">
        <v>2116</v>
      </c>
      <c r="AA1725" t="s">
        <v>101</v>
      </c>
      <c r="AB1725" t="s">
        <v>952</v>
      </c>
      <c r="AC1725" s="4" t="str">
        <f>"+18572246029"</f>
        <v>+18572246029</v>
      </c>
      <c r="AE1725" t="str">
        <f>"52421"</f>
        <v>52421</v>
      </c>
      <c r="AF1725" t="s">
        <v>953</v>
      </c>
      <c r="AG1725" t="s">
        <v>954</v>
      </c>
      <c r="AI1725" t="s">
        <v>955</v>
      </c>
      <c r="AJ1725" t="s">
        <v>950</v>
      </c>
      <c r="AK1725" t="str">
        <f>""</f>
        <v/>
      </c>
      <c r="AL1725" t="s">
        <v>951</v>
      </c>
      <c r="AM1725" t="s">
        <v>171</v>
      </c>
      <c r="AN1725" s="3">
        <v>2116</v>
      </c>
      <c r="AO1725" t="s">
        <v>101</v>
      </c>
      <c r="AQ1725" t="str">
        <f>"+18572941426"</f>
        <v>+18572941426</v>
      </c>
      <c r="AS1725" t="s">
        <v>956</v>
      </c>
      <c r="AT1725" t="s">
        <v>107</v>
      </c>
      <c r="AU1725" t="str">
        <f>"Curtis"</f>
        <v>Curtis</v>
      </c>
      <c r="AV1725" t="str">
        <f>"Josiah"</f>
        <v>Josiah</v>
      </c>
      <c r="AW1725" t="str">
        <f>""</f>
        <v/>
      </c>
      <c r="AX1725" t="str">
        <f>"265 Franklin Street"</f>
        <v>265 Franklin Street</v>
      </c>
      <c r="AY1725" t="str">
        <f>"Suite 502"</f>
        <v>Suite 502</v>
      </c>
      <c r="AZ1725" t="str">
        <f>"Boston"</f>
        <v>Boston</v>
      </c>
      <c r="BA1725" t="str">
        <f>"MA"</f>
        <v>MA</v>
      </c>
      <c r="BB1725" s="3">
        <v>2110</v>
      </c>
      <c r="BC1725" t="str">
        <f t="shared" si="136"/>
        <v>UNITED STATES OF AMERICA</v>
      </c>
      <c r="BD1725" t="str">
        <f>""</f>
        <v/>
      </c>
      <c r="BE1725" t="str">
        <f>"+16172979508"</f>
        <v>+16172979508</v>
      </c>
      <c r="BF1725" t="str">
        <f>""</f>
        <v/>
      </c>
      <c r="BG1725" t="str">
        <f>"scboston@balglobal.com"</f>
        <v>scboston@balglobal.com</v>
      </c>
      <c r="BH1725" t="str">
        <f>"Berry Appleman and Leiden LLP"</f>
        <v>Berry Appleman and Leiden LLP</v>
      </c>
      <c r="BI1725" t="str">
        <f>"MA"</f>
        <v>MA</v>
      </c>
      <c r="BJ1725" t="str">
        <f>"Massachusetts Supreme Judicial Court"</f>
        <v>Massachusetts Supreme Judicial Court</v>
      </c>
      <c r="BK1725">
        <v>1</v>
      </c>
      <c r="BL1725" t="s">
        <v>102</v>
      </c>
      <c r="BM1725" t="str">
        <f>""</f>
        <v/>
      </c>
      <c r="BN1725" t="s">
        <v>6982</v>
      </c>
      <c r="BP1725" t="s">
        <v>951</v>
      </c>
      <c r="BQ1725" t="s">
        <v>209</v>
      </c>
      <c r="BR1725" t="s">
        <v>171</v>
      </c>
      <c r="BS1725" s="5">
        <v>2116</v>
      </c>
      <c r="BT1725" s="2">
        <v>135658</v>
      </c>
      <c r="BU1725" s="2">
        <v>172800</v>
      </c>
      <c r="BV1725" t="s">
        <v>105</v>
      </c>
      <c r="BW1725" s="2">
        <v>135658</v>
      </c>
      <c r="BX1725" t="s">
        <v>105</v>
      </c>
      <c r="BZ1725" t="s">
        <v>159</v>
      </c>
      <c r="CA1725" t="str">
        <f t="shared" si="135"/>
        <v>7/1/2020 - 6/30/2021</v>
      </c>
      <c r="CF1725">
        <v>2</v>
      </c>
      <c r="CG1725" t="s">
        <v>98</v>
      </c>
      <c r="CH1725" t="s">
        <v>206</v>
      </c>
      <c r="CI1725" t="s">
        <v>206</v>
      </c>
      <c r="CL1725" t="s">
        <v>108</v>
      </c>
      <c r="CM1725" t="s">
        <v>109</v>
      </c>
      <c r="CN1725" t="str">
        <f>"MENDL"</f>
        <v>MENDL</v>
      </c>
      <c r="CO1725" t="str">
        <f>"SUSAN"</f>
        <v>SUSAN</v>
      </c>
      <c r="CP1725" t="str">
        <f>"L"</f>
        <v>L</v>
      </c>
      <c r="CQ1725" t="str">
        <f>"BERRY APPLEMAN &amp; LEIDEN LLP"</f>
        <v>BERRY APPLEMAN &amp; LEIDEN LLP</v>
      </c>
      <c r="CR1725" t="s">
        <v>5532</v>
      </c>
    </row>
    <row r="1726" spans="1:96" x14ac:dyDescent="0.2">
      <c r="A1726" t="s">
        <v>6991</v>
      </c>
      <c r="B1726" t="s">
        <v>96</v>
      </c>
      <c r="C1726" s="1">
        <v>44099</v>
      </c>
      <c r="D1726" s="1">
        <v>44106</v>
      </c>
      <c r="F1726" t="s">
        <v>97</v>
      </c>
      <c r="G1726" t="str">
        <f>"Model/Analysis/Validation Senior Analyst"</f>
        <v>Model/Analysis/Validation Senior Analyst</v>
      </c>
      <c r="H1726" t="s">
        <v>12220</v>
      </c>
      <c r="I1726" t="s">
        <v>963</v>
      </c>
      <c r="J1726" t="s">
        <v>98</v>
      </c>
      <c r="K1726" s="1">
        <v>44102</v>
      </c>
      <c r="L1726" s="1">
        <v>45196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 t="s">
        <v>1539</v>
      </c>
      <c r="U1726" t="str">
        <f>""</f>
        <v/>
      </c>
      <c r="V1726" t="s">
        <v>1540</v>
      </c>
      <c r="W1726" t="str">
        <f>"17TH FLOOR"</f>
        <v>17TH FLOOR</v>
      </c>
      <c r="X1726" t="s">
        <v>189</v>
      </c>
      <c r="Y1726" t="s">
        <v>190</v>
      </c>
      <c r="Z1726" s="3">
        <v>10013</v>
      </c>
      <c r="AA1726" t="s">
        <v>101</v>
      </c>
      <c r="AB1726" t="s">
        <v>108</v>
      </c>
      <c r="AC1726" s="4" t="str">
        <f>"+12128165663"</f>
        <v>+12128165663</v>
      </c>
      <c r="AD1726">
        <v>0</v>
      </c>
      <c r="AE1726" t="str">
        <f>"523110"</f>
        <v>523110</v>
      </c>
      <c r="AF1726" t="s">
        <v>1541</v>
      </c>
      <c r="AG1726" t="s">
        <v>1542</v>
      </c>
      <c r="AH1726" t="s">
        <v>108</v>
      </c>
      <c r="AI1726" t="s">
        <v>1543</v>
      </c>
      <c r="AJ1726" t="s">
        <v>1544</v>
      </c>
      <c r="AK1726" t="str">
        <f>"17th Floor"</f>
        <v>17th Floor</v>
      </c>
      <c r="AL1726" t="s">
        <v>277</v>
      </c>
      <c r="AM1726" t="s">
        <v>190</v>
      </c>
      <c r="AN1726" s="3">
        <v>10013</v>
      </c>
      <c r="AO1726" t="s">
        <v>101</v>
      </c>
      <c r="AQ1726" t="str">
        <f>"+12126575580"</f>
        <v>+12126575580</v>
      </c>
      <c r="AR1726">
        <v>0</v>
      </c>
      <c r="AS1726" t="s">
        <v>1545</v>
      </c>
      <c r="AT1726" t="s">
        <v>107</v>
      </c>
      <c r="AU1726" t="str">
        <f>"Chea"</f>
        <v>Chea</v>
      </c>
      <c r="AV1726" t="str">
        <f>"Deanna"</f>
        <v>Deanna</v>
      </c>
      <c r="AW1726" t="str">
        <f>""</f>
        <v/>
      </c>
      <c r="AX1726" t="str">
        <f>"665 FIFTH AVE"</f>
        <v>665 FIFTH AVE</v>
      </c>
      <c r="AY1726" t="str">
        <f>""</f>
        <v/>
      </c>
      <c r="AZ1726" t="str">
        <f>"NEW YORK"</f>
        <v>NEW YORK</v>
      </c>
      <c r="BA1726" t="str">
        <f>"NY"</f>
        <v>NY</v>
      </c>
      <c r="BB1726" s="3">
        <v>10022</v>
      </c>
      <c r="BC1726" t="str">
        <f t="shared" si="136"/>
        <v>UNITED STATES OF AMERICA</v>
      </c>
      <c r="BD1726" t="str">
        <f>""</f>
        <v/>
      </c>
      <c r="BE1726" t="str">
        <f>"+12126885151"</f>
        <v>+12126885151</v>
      </c>
      <c r="BF1726" t="str">
        <f>""</f>
        <v/>
      </c>
      <c r="BG1726" t="str">
        <f>"OFLORES@GIBNEY.COM"</f>
        <v>OFLORES@GIBNEY.COM</v>
      </c>
      <c r="BH1726" t="str">
        <f>"Gibney, Anthony &amp; Flaherty LLP"</f>
        <v>Gibney, Anthony &amp; Flaherty LLP</v>
      </c>
      <c r="BI1726" t="str">
        <f>"CA"</f>
        <v>CA</v>
      </c>
      <c r="BJ1726" t="str">
        <f>"Supreme Court"</f>
        <v>Supreme Court</v>
      </c>
      <c r="BK1726">
        <v>1</v>
      </c>
      <c r="BL1726" t="s">
        <v>102</v>
      </c>
      <c r="BM1726" t="str">
        <f>""</f>
        <v/>
      </c>
      <c r="BN1726" t="s">
        <v>3903</v>
      </c>
      <c r="BP1726" t="s">
        <v>483</v>
      </c>
      <c r="BQ1726" t="s">
        <v>484</v>
      </c>
      <c r="BR1726" t="s">
        <v>114</v>
      </c>
      <c r="BS1726" s="5">
        <v>75039</v>
      </c>
      <c r="BT1726" s="2">
        <v>95000</v>
      </c>
      <c r="BV1726" t="s">
        <v>105</v>
      </c>
      <c r="BW1726" s="2">
        <v>71947</v>
      </c>
      <c r="BX1726" t="s">
        <v>105</v>
      </c>
      <c r="BZ1726" t="s">
        <v>167</v>
      </c>
      <c r="CA1726" t="str">
        <f t="shared" si="135"/>
        <v>7/1/2020 - 6/30/2021</v>
      </c>
      <c r="CF1726">
        <v>3</v>
      </c>
      <c r="CG1726" t="s">
        <v>98</v>
      </c>
      <c r="CH1726" t="s">
        <v>206</v>
      </c>
      <c r="CI1726" t="s">
        <v>206</v>
      </c>
      <c r="CL1726" t="s">
        <v>108</v>
      </c>
      <c r="CM1726" t="s">
        <v>109</v>
      </c>
      <c r="CN1726" t="str">
        <f>"Flores/8990"</f>
        <v>Flores/8990</v>
      </c>
      <c r="CO1726" t="str">
        <f>"Odalis"</f>
        <v>Odalis</v>
      </c>
      <c r="CP1726" t="str">
        <f>""</f>
        <v/>
      </c>
      <c r="CQ1726" t="str">
        <f>"Gibney, Anthony &amp; Flaherty, LLP"</f>
        <v>Gibney, Anthony &amp; Flaherty, LLP</v>
      </c>
      <c r="CR1726" t="s">
        <v>4160</v>
      </c>
    </row>
    <row r="1727" spans="1:96" x14ac:dyDescent="0.2">
      <c r="A1727" t="s">
        <v>7000</v>
      </c>
      <c r="B1727" t="s">
        <v>96</v>
      </c>
      <c r="C1727" s="1">
        <v>44099</v>
      </c>
      <c r="D1727" s="1">
        <v>44106</v>
      </c>
      <c r="F1727" t="s">
        <v>97</v>
      </c>
      <c r="G1727" t="str">
        <f>"Software Engineer 1615.59434"</f>
        <v>Software Engineer 1615.59434</v>
      </c>
      <c r="H1727" t="s">
        <v>12169</v>
      </c>
      <c r="I1727" t="s">
        <v>124</v>
      </c>
      <c r="J1727" t="s">
        <v>98</v>
      </c>
      <c r="K1727" s="1">
        <v>44106</v>
      </c>
      <c r="L1727" s="1">
        <v>45200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289</v>
      </c>
      <c r="U1727" t="str">
        <f>""</f>
        <v/>
      </c>
      <c r="V1727" t="s">
        <v>290</v>
      </c>
      <c r="W1727" t="str">
        <f>""</f>
        <v/>
      </c>
      <c r="X1727" t="s">
        <v>155</v>
      </c>
      <c r="Y1727" t="s">
        <v>141</v>
      </c>
      <c r="Z1727" s="3">
        <v>94043</v>
      </c>
      <c r="AA1727" t="s">
        <v>101</v>
      </c>
      <c r="AC1727" s="4" t="str">
        <f>"+16502534513"</f>
        <v>+16502534513</v>
      </c>
      <c r="AE1727" t="str">
        <f>"541512"</f>
        <v>541512</v>
      </c>
      <c r="AF1727" t="s">
        <v>427</v>
      </c>
      <c r="AG1727" t="s">
        <v>428</v>
      </c>
      <c r="AI1727" t="s">
        <v>293</v>
      </c>
      <c r="AJ1727" t="s">
        <v>290</v>
      </c>
      <c r="AK1727" t="str">
        <f>""</f>
        <v/>
      </c>
      <c r="AL1727" t="s">
        <v>155</v>
      </c>
      <c r="AM1727" t="s">
        <v>141</v>
      </c>
      <c r="AN1727" s="3">
        <v>94043</v>
      </c>
      <c r="AO1727" t="s">
        <v>101</v>
      </c>
      <c r="AQ1727" t="str">
        <f>"+16502534513"</f>
        <v>+16502534513</v>
      </c>
      <c r="AS1727" t="s">
        <v>429</v>
      </c>
      <c r="AT1727" t="s">
        <v>107</v>
      </c>
      <c r="AU1727" t="str">
        <f>"Shalhub"</f>
        <v>Shalhub</v>
      </c>
      <c r="AV1727" t="str">
        <f>"Nancy "</f>
        <v xml:space="preserve">Nancy </v>
      </c>
      <c r="AW1727" t="str">
        <f>""</f>
        <v/>
      </c>
      <c r="AX1727" t="str">
        <f>"2400 N. Glenville Drive"</f>
        <v>2400 N. Glenville Drive</v>
      </c>
      <c r="AY1727" t="str">
        <f>"Building A, Suite 100"</f>
        <v>Building A, Suite 100</v>
      </c>
      <c r="AZ1727" t="str">
        <f>"Richardson"</f>
        <v>Richardson</v>
      </c>
      <c r="BA1727" t="str">
        <f>"TX"</f>
        <v>TX</v>
      </c>
      <c r="BB1727" s="3">
        <v>75082</v>
      </c>
      <c r="BC1727" t="str">
        <f t="shared" si="136"/>
        <v>UNITED STATES OF AMERICA</v>
      </c>
      <c r="BD1727" t="str">
        <f>""</f>
        <v/>
      </c>
      <c r="BE1727" t="str">
        <f>"+14695052684"</f>
        <v>+14695052684</v>
      </c>
      <c r="BF1727" t="str">
        <f>""</f>
        <v/>
      </c>
      <c r="BG1727" t="str">
        <f>"GOOGLEDOL@BALGLOBAL.COM"</f>
        <v>GOOGLEDOL@BALGLOBAL.COM</v>
      </c>
      <c r="BH1727" t="str">
        <f>"Berry Appleman &amp; Leiden LLP"</f>
        <v>Berry Appleman &amp; Leiden LLP</v>
      </c>
      <c r="BI1727" t="str">
        <f>"DC"</f>
        <v>DC</v>
      </c>
      <c r="BJ1727" t="str">
        <f>"Court of Appeals"</f>
        <v>Court of Appeals</v>
      </c>
      <c r="BK1727">
        <v>1</v>
      </c>
      <c r="BL1727" t="s">
        <v>102</v>
      </c>
      <c r="BM1727" t="str">
        <f>""</f>
        <v/>
      </c>
      <c r="BN1727" t="s">
        <v>290</v>
      </c>
      <c r="BP1727" t="s">
        <v>155</v>
      </c>
      <c r="BQ1727" t="s">
        <v>230</v>
      </c>
      <c r="BR1727" t="s">
        <v>141</v>
      </c>
      <c r="BS1727" s="5">
        <v>94043</v>
      </c>
      <c r="BT1727" s="2">
        <v>160000</v>
      </c>
      <c r="BV1727" t="s">
        <v>105</v>
      </c>
      <c r="BW1727" s="2">
        <v>120578</v>
      </c>
      <c r="BX1727" t="s">
        <v>105</v>
      </c>
      <c r="BZ1727" t="s">
        <v>167</v>
      </c>
      <c r="CA1727" t="str">
        <f t="shared" si="135"/>
        <v>7/1/2020 - 6/30/2021</v>
      </c>
      <c r="CF1727">
        <v>2</v>
      </c>
      <c r="CG1727" t="s">
        <v>98</v>
      </c>
      <c r="CH1727" t="s">
        <v>206</v>
      </c>
      <c r="CI1727" t="s">
        <v>206</v>
      </c>
      <c r="CL1727" t="s">
        <v>108</v>
      </c>
      <c r="CM1727" t="s">
        <v>109</v>
      </c>
      <c r="CN1727" t="str">
        <f>"Tirado"</f>
        <v>Tirado</v>
      </c>
      <c r="CO1727" t="str">
        <f>"Paola"</f>
        <v>Paola</v>
      </c>
      <c r="CP1727" t="str">
        <f>""</f>
        <v/>
      </c>
      <c r="CQ1727" t="str">
        <f>"Berry Appleman &amp; Leiden LLP"</f>
        <v>Berry Appleman &amp; Leiden LLP</v>
      </c>
      <c r="CR1727" t="s">
        <v>1822</v>
      </c>
    </row>
    <row r="1728" spans="1:96" x14ac:dyDescent="0.2">
      <c r="A1728" t="s">
        <v>7009</v>
      </c>
      <c r="B1728" t="s">
        <v>96</v>
      </c>
      <c r="C1728" s="1">
        <v>44099</v>
      </c>
      <c r="D1728" s="1">
        <v>44106</v>
      </c>
      <c r="F1728" t="s">
        <v>97</v>
      </c>
      <c r="G1728" t="str">
        <f>"Chief Technology Officer"</f>
        <v>Chief Technology Officer</v>
      </c>
      <c r="H1728" t="s">
        <v>12178</v>
      </c>
      <c r="I1728" t="s">
        <v>582</v>
      </c>
      <c r="J1728" t="s">
        <v>206</v>
      </c>
      <c r="K1728" s="1">
        <v>44137</v>
      </c>
      <c r="L1728" s="1">
        <v>45231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7010</v>
      </c>
      <c r="U1728" t="str">
        <f>""</f>
        <v/>
      </c>
      <c r="V1728" t="s">
        <v>7011</v>
      </c>
      <c r="W1728" t="str">
        <f>"17th Floor"</f>
        <v>17th Floor</v>
      </c>
      <c r="X1728" t="s">
        <v>853</v>
      </c>
      <c r="Y1728" t="s">
        <v>141</v>
      </c>
      <c r="Z1728" s="3">
        <v>90024</v>
      </c>
      <c r="AA1728" t="s">
        <v>101</v>
      </c>
      <c r="AC1728" s="4" t="str">
        <f>"+13106897225"</f>
        <v>+13106897225</v>
      </c>
      <c r="AE1728" t="str">
        <f>"5191"</f>
        <v>5191</v>
      </c>
      <c r="AF1728" t="s">
        <v>7012</v>
      </c>
      <c r="AG1728" t="s">
        <v>2174</v>
      </c>
      <c r="AI1728" t="s">
        <v>629</v>
      </c>
      <c r="AJ1728" t="s">
        <v>6947</v>
      </c>
      <c r="AK1728" t="str">
        <f>"17th Floor"</f>
        <v>17th Floor</v>
      </c>
      <c r="AL1728" t="s">
        <v>853</v>
      </c>
      <c r="AM1728" t="s">
        <v>141</v>
      </c>
      <c r="AN1728" s="3">
        <v>90024</v>
      </c>
      <c r="AO1728" t="s">
        <v>101</v>
      </c>
      <c r="AQ1728" t="str">
        <f>"+13102666808"</f>
        <v>+13102666808</v>
      </c>
      <c r="AS1728" t="s">
        <v>7013</v>
      </c>
      <c r="AT1728" t="s">
        <v>107</v>
      </c>
      <c r="AU1728" t="str">
        <f>"Macaskill"</f>
        <v>Macaskill</v>
      </c>
      <c r="AV1728" t="str">
        <f>"Dane"</f>
        <v>Dane</v>
      </c>
      <c r="AW1728" t="str">
        <f>""</f>
        <v/>
      </c>
      <c r="AX1728" t="str">
        <f>"228 Park Ave S"</f>
        <v>228 Park Ave S</v>
      </c>
      <c r="AY1728" t="str">
        <f>"PMB 35283"</f>
        <v>PMB 35283</v>
      </c>
      <c r="AZ1728" t="str">
        <f>"New York"</f>
        <v>New York</v>
      </c>
      <c r="BA1728" t="str">
        <f>"NY"</f>
        <v>NY</v>
      </c>
      <c r="BB1728" s="3" t="s">
        <v>12311</v>
      </c>
      <c r="BC1728" t="str">
        <f t="shared" si="136"/>
        <v>UNITED STATES OF AMERICA</v>
      </c>
      <c r="BD1728" t="str">
        <f>""</f>
        <v/>
      </c>
      <c r="BE1728" t="str">
        <f>"+19179603802"</f>
        <v>+19179603802</v>
      </c>
      <c r="BF1728" t="str">
        <f>""</f>
        <v/>
      </c>
      <c r="BG1728" t="str">
        <f>"dane@corstange.com"</f>
        <v>dane@corstange.com</v>
      </c>
      <c r="BH1728" t="str">
        <f>"Corstange Law"</f>
        <v>Corstange Law</v>
      </c>
      <c r="BI1728" t="str">
        <f>"OH"</f>
        <v>OH</v>
      </c>
      <c r="BJ1728" t="str">
        <f>"Supreme Court of Ohio"</f>
        <v>Supreme Court of Ohio</v>
      </c>
      <c r="BK1728">
        <v>1</v>
      </c>
      <c r="BL1728" t="s">
        <v>102</v>
      </c>
      <c r="BM1728" t="str">
        <f>""</f>
        <v/>
      </c>
      <c r="BN1728" t="s">
        <v>6947</v>
      </c>
      <c r="BO1728" t="s">
        <v>4197</v>
      </c>
      <c r="BP1728" t="s">
        <v>853</v>
      </c>
      <c r="BQ1728" t="s">
        <v>365</v>
      </c>
      <c r="BR1728" t="s">
        <v>141</v>
      </c>
      <c r="BS1728" s="5">
        <v>90024</v>
      </c>
      <c r="BT1728" s="2">
        <v>53.46</v>
      </c>
      <c r="BV1728" t="s">
        <v>210</v>
      </c>
      <c r="BW1728" s="2">
        <v>53.46</v>
      </c>
      <c r="BX1728" t="s">
        <v>210</v>
      </c>
      <c r="BZ1728" t="s">
        <v>191</v>
      </c>
      <c r="CA1728" t="str">
        <f t="shared" si="135"/>
        <v>7/1/2020 - 6/30/2021</v>
      </c>
      <c r="CF1728">
        <v>1</v>
      </c>
      <c r="CG1728" t="s">
        <v>98</v>
      </c>
      <c r="CH1728" t="s">
        <v>206</v>
      </c>
      <c r="CI1728" t="s">
        <v>206</v>
      </c>
      <c r="CL1728" t="s">
        <v>108</v>
      </c>
      <c r="CM1728" t="s">
        <v>109</v>
      </c>
      <c r="CN1728" t="str">
        <f>""</f>
        <v/>
      </c>
      <c r="CO1728" t="str">
        <f>""</f>
        <v/>
      </c>
      <c r="CP1728" t="str">
        <f>""</f>
        <v/>
      </c>
      <c r="CQ1728" t="str">
        <f>""</f>
        <v/>
      </c>
    </row>
    <row r="1729" spans="1:96" x14ac:dyDescent="0.2">
      <c r="A1729" t="s">
        <v>7017</v>
      </c>
      <c r="B1729" t="s">
        <v>96</v>
      </c>
      <c r="C1729" s="1">
        <v>44099</v>
      </c>
      <c r="D1729" s="1">
        <v>44106</v>
      </c>
      <c r="F1729" t="s">
        <v>97</v>
      </c>
      <c r="G1729" t="str">
        <f>"Senior Software Engineer"</f>
        <v>Senior Software Engineer</v>
      </c>
      <c r="H1729" t="s">
        <v>12169</v>
      </c>
      <c r="I1729" t="s">
        <v>124</v>
      </c>
      <c r="J1729" t="s">
        <v>98</v>
      </c>
      <c r="K1729" s="1">
        <v>44106</v>
      </c>
      <c r="L1729" s="1">
        <v>45200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 t="s">
        <v>7018</v>
      </c>
      <c r="U1729" t="str">
        <f>"Veritas Prime"</f>
        <v>Veritas Prime</v>
      </c>
      <c r="V1729" t="s">
        <v>7019</v>
      </c>
      <c r="W1729" t="str">
        <f>""</f>
        <v/>
      </c>
      <c r="X1729" t="s">
        <v>7020</v>
      </c>
      <c r="Y1729" t="s">
        <v>193</v>
      </c>
      <c r="Z1729" s="3">
        <v>66217</v>
      </c>
      <c r="AA1729" t="s">
        <v>101</v>
      </c>
      <c r="AC1729" s="4" t="str">
        <f>"+19132202224"</f>
        <v>+19132202224</v>
      </c>
      <c r="AE1729" t="str">
        <f>"541512"</f>
        <v>541512</v>
      </c>
      <c r="AF1729" t="s">
        <v>7021</v>
      </c>
      <c r="AG1729" t="s">
        <v>3906</v>
      </c>
      <c r="AI1729" t="s">
        <v>2813</v>
      </c>
      <c r="AJ1729" t="s">
        <v>7019</v>
      </c>
      <c r="AK1729" t="str">
        <f>""</f>
        <v/>
      </c>
      <c r="AL1729" t="s">
        <v>7020</v>
      </c>
      <c r="AM1729" t="s">
        <v>193</v>
      </c>
      <c r="AN1729" s="3">
        <v>66217</v>
      </c>
      <c r="AO1729" t="s">
        <v>101</v>
      </c>
      <c r="AQ1729" t="str">
        <f>"+19132202224"</f>
        <v>+19132202224</v>
      </c>
      <c r="AS1729" t="s">
        <v>7022</v>
      </c>
      <c r="AT1729" t="s">
        <v>107</v>
      </c>
      <c r="AU1729" t="str">
        <f>"Taylor"</f>
        <v>Taylor</v>
      </c>
      <c r="AV1729" t="str">
        <f>"Marc"</f>
        <v>Marc</v>
      </c>
      <c r="AW1729" t="str">
        <f>""</f>
        <v/>
      </c>
      <c r="AX1729" t="str">
        <f>"366 Lewis Avenue"</f>
        <v>366 Lewis Avenue</v>
      </c>
      <c r="AY1729" t="str">
        <f>"Ground Floor"</f>
        <v>Ground Floor</v>
      </c>
      <c r="AZ1729" t="str">
        <f>"Brooklyn"</f>
        <v>Brooklyn</v>
      </c>
      <c r="BA1729" t="str">
        <f>"NY"</f>
        <v>NY</v>
      </c>
      <c r="BB1729" s="3">
        <v>11233</v>
      </c>
      <c r="BC1729" t="str">
        <f t="shared" si="136"/>
        <v>UNITED STATES OF AMERICA</v>
      </c>
      <c r="BD1729" t="str">
        <f>""</f>
        <v/>
      </c>
      <c r="BE1729" t="str">
        <f>"+15169976994"</f>
        <v>+15169976994</v>
      </c>
      <c r="BF1729" t="str">
        <f>""</f>
        <v/>
      </c>
      <c r="BG1729" t="str">
        <f>"info@tnalaw.com"</f>
        <v>info@tnalaw.com</v>
      </c>
      <c r="BH1729" t="str">
        <f>"Taylor &amp; Associates Law P.C"</f>
        <v>Taylor &amp; Associates Law P.C</v>
      </c>
      <c r="BI1729" t="str">
        <f>"NY"</f>
        <v>NY</v>
      </c>
      <c r="BJ1729" t="str">
        <f>"COURT OF APPEALS"</f>
        <v>COURT OF APPEALS</v>
      </c>
      <c r="BK1729">
        <v>1</v>
      </c>
      <c r="BL1729" t="s">
        <v>102</v>
      </c>
      <c r="BM1729" t="str">
        <f>""</f>
        <v/>
      </c>
      <c r="BN1729" t="s">
        <v>7023</v>
      </c>
      <c r="BO1729" t="s">
        <v>787</v>
      </c>
      <c r="BP1729" t="s">
        <v>7020</v>
      </c>
      <c r="BQ1729" t="s">
        <v>1372</v>
      </c>
      <c r="BR1729" t="s">
        <v>193</v>
      </c>
      <c r="BS1729" s="5">
        <v>66217</v>
      </c>
      <c r="BT1729" s="2">
        <v>108555</v>
      </c>
      <c r="BU1729" s="2">
        <v>125000</v>
      </c>
      <c r="BV1729" t="s">
        <v>105</v>
      </c>
      <c r="BW1729" s="2">
        <v>108555</v>
      </c>
      <c r="BX1729" t="s">
        <v>105</v>
      </c>
      <c r="BZ1729" t="s">
        <v>159</v>
      </c>
      <c r="CA1729" t="str">
        <f t="shared" si="135"/>
        <v>7/1/2020 - 6/30/2021</v>
      </c>
      <c r="CF1729">
        <v>1</v>
      </c>
      <c r="CG1729" t="s">
        <v>98</v>
      </c>
      <c r="CH1729" t="s">
        <v>206</v>
      </c>
      <c r="CI1729" t="s">
        <v>206</v>
      </c>
      <c r="CL1729" t="s">
        <v>108</v>
      </c>
      <c r="CM1729" t="s">
        <v>109</v>
      </c>
      <c r="CN1729" t="str">
        <f>""</f>
        <v/>
      </c>
      <c r="CO1729" t="str">
        <f>""</f>
        <v/>
      </c>
      <c r="CP1729" t="str">
        <f>""</f>
        <v/>
      </c>
      <c r="CQ1729" t="str">
        <f>""</f>
        <v/>
      </c>
    </row>
    <row r="1730" spans="1:96" x14ac:dyDescent="0.2">
      <c r="A1730" t="s">
        <v>7047</v>
      </c>
      <c r="B1730" t="s">
        <v>96</v>
      </c>
      <c r="C1730" s="1">
        <v>44099</v>
      </c>
      <c r="D1730" s="1">
        <v>44106</v>
      </c>
      <c r="F1730" t="s">
        <v>97</v>
      </c>
      <c r="G1730" t="str">
        <f>"SENIOR SCRUM MASTER"</f>
        <v>SENIOR SCRUM MASTER</v>
      </c>
      <c r="H1730" t="s">
        <v>12169</v>
      </c>
      <c r="I1730" t="s">
        <v>124</v>
      </c>
      <c r="J1730" t="s">
        <v>98</v>
      </c>
      <c r="K1730" s="1">
        <v>44104</v>
      </c>
      <c r="L1730" s="1">
        <v>45198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3</v>
      </c>
      <c r="S1730">
        <v>0</v>
      </c>
      <c r="T1730" t="s">
        <v>6822</v>
      </c>
      <c r="U1730" t="str">
        <f>""</f>
        <v/>
      </c>
      <c r="V1730" t="s">
        <v>6823</v>
      </c>
      <c r="W1730" t="str">
        <f>""</f>
        <v/>
      </c>
      <c r="X1730" t="s">
        <v>998</v>
      </c>
      <c r="Y1730" t="s">
        <v>122</v>
      </c>
      <c r="Z1730" s="3">
        <v>28202</v>
      </c>
      <c r="AA1730" t="s">
        <v>101</v>
      </c>
      <c r="AC1730" s="4" t="str">
        <f>"+16153918416"</f>
        <v>+16153918416</v>
      </c>
      <c r="AE1730" t="str">
        <f>"522110"</f>
        <v>522110</v>
      </c>
      <c r="AF1730" t="s">
        <v>2080</v>
      </c>
      <c r="AG1730" t="s">
        <v>3160</v>
      </c>
      <c r="AH1730" t="s">
        <v>1576</v>
      </c>
      <c r="AI1730" t="s">
        <v>6824</v>
      </c>
      <c r="AJ1730" t="s">
        <v>6825</v>
      </c>
      <c r="AK1730" t="str">
        <f>""</f>
        <v/>
      </c>
      <c r="AL1730" t="s">
        <v>1369</v>
      </c>
      <c r="AM1730" t="s">
        <v>545</v>
      </c>
      <c r="AN1730" s="3">
        <v>37214</v>
      </c>
      <c r="AO1730" t="s">
        <v>101</v>
      </c>
      <c r="AQ1730" t="str">
        <f>"+16153918416"</f>
        <v>+16153918416</v>
      </c>
      <c r="AS1730" t="s">
        <v>6826</v>
      </c>
      <c r="AT1730" t="s">
        <v>107</v>
      </c>
      <c r="AU1730" t="str">
        <f>"BRADSHAW"</f>
        <v>BRADSHAW</v>
      </c>
      <c r="AV1730" t="str">
        <f>"PENNI"</f>
        <v>PENNI</v>
      </c>
      <c r="AW1730" t="str">
        <f>"PEARSON"</f>
        <v>PEARSON</v>
      </c>
      <c r="AX1730" t="str">
        <f>"100 N. CHERRY ST."</f>
        <v>100 N. CHERRY ST.</v>
      </c>
      <c r="AY1730" t="str">
        <f>"STE. 300"</f>
        <v>STE. 300</v>
      </c>
      <c r="AZ1730" t="str">
        <f>"WINSTON-SALEM"</f>
        <v>WINSTON-SALEM</v>
      </c>
      <c r="BA1730" t="str">
        <f>"NC"</f>
        <v>NC</v>
      </c>
      <c r="BB1730" s="3">
        <v>27101</v>
      </c>
      <c r="BC1730" t="str">
        <f t="shared" si="136"/>
        <v>UNITED STATES OF AMERICA</v>
      </c>
      <c r="BD1730" t="str">
        <f>""</f>
        <v/>
      </c>
      <c r="BE1730" t="str">
        <f>"+13367216842"</f>
        <v>+13367216842</v>
      </c>
      <c r="BF1730" t="str">
        <f>""</f>
        <v/>
      </c>
      <c r="BG1730" t="str">
        <f>"AKNOWLES@CONSTANGY.COM"</f>
        <v>AKNOWLES@CONSTANGY.COM</v>
      </c>
      <c r="BH1730" t="str">
        <f>"CONSTANGY, BROOKS, SMITH &amp; PROPHETE, LLP"</f>
        <v>CONSTANGY, BROOKS, SMITH &amp; PROPHETE, LLP</v>
      </c>
      <c r="BI1730" t="str">
        <f>"NC"</f>
        <v>NC</v>
      </c>
      <c r="BJ1730" t="str">
        <f>"SUPREME COURT"</f>
        <v>SUPREME COURT</v>
      </c>
      <c r="BK1730">
        <v>3</v>
      </c>
      <c r="BL1730" t="s">
        <v>102</v>
      </c>
      <c r="BM1730" t="str">
        <f>""</f>
        <v/>
      </c>
      <c r="BN1730" t="s">
        <v>7048</v>
      </c>
      <c r="BP1730" t="s">
        <v>480</v>
      </c>
      <c r="BQ1730" t="s">
        <v>214</v>
      </c>
      <c r="BR1730" t="s">
        <v>215</v>
      </c>
      <c r="BS1730" s="5">
        <v>30303</v>
      </c>
      <c r="BT1730" s="2">
        <v>105000</v>
      </c>
      <c r="BU1730" s="2">
        <v>120000</v>
      </c>
      <c r="BV1730" t="s">
        <v>105</v>
      </c>
      <c r="BW1730" s="2">
        <v>103501</v>
      </c>
      <c r="BX1730" t="s">
        <v>105</v>
      </c>
      <c r="BZ1730" t="s">
        <v>123</v>
      </c>
      <c r="CA1730" t="str">
        <f t="shared" si="135"/>
        <v>7/1/2020 - 6/30/2021</v>
      </c>
      <c r="CF1730">
        <v>3</v>
      </c>
      <c r="CG1730" t="s">
        <v>98</v>
      </c>
      <c r="CH1730" t="s">
        <v>206</v>
      </c>
      <c r="CI1730" t="s">
        <v>206</v>
      </c>
      <c r="CL1730" t="s">
        <v>108</v>
      </c>
      <c r="CM1730" t="s">
        <v>109</v>
      </c>
      <c r="CN1730" t="str">
        <f>"KNOWLES"</f>
        <v>KNOWLES</v>
      </c>
      <c r="CO1730" t="str">
        <f>"ALICIA"</f>
        <v>ALICIA</v>
      </c>
      <c r="CP1730" t="str">
        <f>"G"</f>
        <v>G</v>
      </c>
      <c r="CQ1730" t="str">
        <f>"CONSTANGY, BROOKS, SMITH &amp; PROPHETE, LLP"</f>
        <v>CONSTANGY, BROOKS, SMITH &amp; PROPHETE, LLP</v>
      </c>
      <c r="CR1730" t="s">
        <v>1610</v>
      </c>
    </row>
    <row r="1731" spans="1:96" x14ac:dyDescent="0.2">
      <c r="A1731" t="s">
        <v>7050</v>
      </c>
      <c r="B1731" t="s">
        <v>96</v>
      </c>
      <c r="C1731" s="1">
        <v>44099</v>
      </c>
      <c r="D1731" s="1">
        <v>44106</v>
      </c>
      <c r="F1731" t="s">
        <v>97</v>
      </c>
      <c r="G1731" t="str">
        <f>"Software Engineer"</f>
        <v>Software Engineer</v>
      </c>
      <c r="H1731" t="s">
        <v>12169</v>
      </c>
      <c r="I1731" t="s">
        <v>124</v>
      </c>
      <c r="J1731" t="s">
        <v>98</v>
      </c>
      <c r="K1731" s="1">
        <v>44105</v>
      </c>
      <c r="L1731" s="1">
        <v>45199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173</v>
      </c>
      <c r="U1731" t="str">
        <f>""</f>
        <v/>
      </c>
      <c r="V1731" t="s">
        <v>174</v>
      </c>
      <c r="W1731" t="str">
        <f>"N/A"</f>
        <v>N/A</v>
      </c>
      <c r="X1731" t="s">
        <v>175</v>
      </c>
      <c r="Y1731" t="s">
        <v>176</v>
      </c>
      <c r="Z1731" s="3">
        <v>98052</v>
      </c>
      <c r="AA1731" t="s">
        <v>101</v>
      </c>
      <c r="AC1731" s="4" t="str">
        <f>"+14258828080"</f>
        <v>+14258828080</v>
      </c>
      <c r="AE1731" t="str">
        <f>"51121"</f>
        <v>51121</v>
      </c>
      <c r="AF1731" t="s">
        <v>177</v>
      </c>
      <c r="AG1731" t="s">
        <v>178</v>
      </c>
      <c r="AI1731" t="s">
        <v>179</v>
      </c>
      <c r="AJ1731" t="s">
        <v>174</v>
      </c>
      <c r="AK1731" t="str">
        <f>""</f>
        <v/>
      </c>
      <c r="AL1731" t="s">
        <v>175</v>
      </c>
      <c r="AM1731" t="s">
        <v>176</v>
      </c>
      <c r="AN1731" s="3">
        <v>98052</v>
      </c>
      <c r="AO1731" t="s">
        <v>101</v>
      </c>
      <c r="AQ1731" t="str">
        <f>"+14258828080"</f>
        <v>+14258828080</v>
      </c>
      <c r="AS1731" t="s">
        <v>180</v>
      </c>
      <c r="AT1731" t="s">
        <v>102</v>
      </c>
      <c r="AU1731" t="str">
        <f>""</f>
        <v/>
      </c>
      <c r="AV1731" t="str">
        <f>""</f>
        <v/>
      </c>
      <c r="AW1731" t="str">
        <f>""</f>
        <v/>
      </c>
      <c r="AX1731" t="str">
        <f>""</f>
        <v/>
      </c>
      <c r="AY1731" t="str">
        <f>""</f>
        <v/>
      </c>
      <c r="AZ1731" t="str">
        <f>""</f>
        <v/>
      </c>
      <c r="BA1731" t="str">
        <f>""</f>
        <v/>
      </c>
      <c r="BC1731" t="str">
        <f>""</f>
        <v/>
      </c>
      <c r="BD1731" t="str">
        <f>""</f>
        <v/>
      </c>
      <c r="BE1731" t="str">
        <f>""</f>
        <v/>
      </c>
      <c r="BF1731" t="str">
        <f>""</f>
        <v/>
      </c>
      <c r="BG1731" t="str">
        <f>""</f>
        <v/>
      </c>
      <c r="BH1731" t="str">
        <f>""</f>
        <v/>
      </c>
      <c r="BI1731" t="str">
        <f>""</f>
        <v/>
      </c>
      <c r="BJ1731" t="str">
        <f>""</f>
        <v/>
      </c>
      <c r="BK1731">
        <v>1</v>
      </c>
      <c r="BL1731" t="s">
        <v>102</v>
      </c>
      <c r="BM1731" t="str">
        <f>""</f>
        <v/>
      </c>
      <c r="BN1731" t="s">
        <v>962</v>
      </c>
      <c r="BP1731" t="s">
        <v>175</v>
      </c>
      <c r="BQ1731" t="s">
        <v>183</v>
      </c>
      <c r="BR1731" t="s">
        <v>176</v>
      </c>
      <c r="BS1731" s="5">
        <v>98052</v>
      </c>
      <c r="BT1731" s="2">
        <v>148000</v>
      </c>
      <c r="BV1731" t="s">
        <v>105</v>
      </c>
      <c r="BW1731" s="2">
        <v>113110</v>
      </c>
      <c r="BX1731" t="s">
        <v>105</v>
      </c>
      <c r="BZ1731" t="s">
        <v>167</v>
      </c>
      <c r="CA1731" t="str">
        <f t="shared" si="135"/>
        <v>7/1/2020 - 6/30/2021</v>
      </c>
      <c r="CF1731">
        <v>2</v>
      </c>
      <c r="CG1731" t="s">
        <v>98</v>
      </c>
      <c r="CH1731" t="s">
        <v>206</v>
      </c>
      <c r="CI1731" t="s">
        <v>206</v>
      </c>
      <c r="CL1731" t="s">
        <v>108</v>
      </c>
      <c r="CM1731" t="s">
        <v>109</v>
      </c>
      <c r="CN1731" t="str">
        <f>"Kodishala"</f>
        <v>Kodishala</v>
      </c>
      <c r="CO1731" t="str">
        <f>"Suresh"</f>
        <v>Suresh</v>
      </c>
      <c r="CP1731" t="str">
        <f>"N/A"</f>
        <v>N/A</v>
      </c>
      <c r="CQ1731" t="str">
        <f>"INTEGREON MANAGED SOLUTIONS (INDIA) PVT LTD"</f>
        <v>INTEGREON MANAGED SOLUTIONS (INDIA) PVT LTD</v>
      </c>
      <c r="CR1731" t="s">
        <v>231</v>
      </c>
    </row>
    <row r="1732" spans="1:96" x14ac:dyDescent="0.2">
      <c r="A1732" t="s">
        <v>7053</v>
      </c>
      <c r="B1732" t="s">
        <v>96</v>
      </c>
      <c r="C1732" s="1">
        <v>44099</v>
      </c>
      <c r="D1732" s="1">
        <v>44106</v>
      </c>
      <c r="F1732" t="s">
        <v>97</v>
      </c>
      <c r="G1732" t="str">
        <f>"AUTHORIZED OFFICER, DATA ANALYST"</f>
        <v>AUTHORIZED OFFICER, DATA ANALYST</v>
      </c>
      <c r="H1732" t="s">
        <v>12181</v>
      </c>
      <c r="I1732" t="s">
        <v>110</v>
      </c>
      <c r="J1732" t="s">
        <v>98</v>
      </c>
      <c r="K1732" s="1">
        <v>44111</v>
      </c>
      <c r="L1732" s="1">
        <v>45205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 t="s">
        <v>6021</v>
      </c>
      <c r="U1732" t="str">
        <f>""</f>
        <v/>
      </c>
      <c r="V1732" t="s">
        <v>5726</v>
      </c>
      <c r="W1732" t="str">
        <f>"SUITE 500"</f>
        <v>SUITE 500</v>
      </c>
      <c r="X1732" t="s">
        <v>1369</v>
      </c>
      <c r="Y1732" t="s">
        <v>545</v>
      </c>
      <c r="Z1732" s="3">
        <v>37238</v>
      </c>
      <c r="AA1732" t="s">
        <v>101</v>
      </c>
      <c r="AC1732" s="4" t="str">
        <f>"+16153937459"</f>
        <v>+16153937459</v>
      </c>
      <c r="AE1732" t="str">
        <f>"523110"</f>
        <v>523110</v>
      </c>
      <c r="AF1732" t="s">
        <v>1574</v>
      </c>
      <c r="AG1732" t="s">
        <v>1575</v>
      </c>
      <c r="AH1732" t="s">
        <v>1576</v>
      </c>
      <c r="AI1732" t="s">
        <v>1577</v>
      </c>
      <c r="AJ1732" t="s">
        <v>1573</v>
      </c>
      <c r="AK1732" t="str">
        <f>"16TH FLOOR"</f>
        <v>16TH FLOOR</v>
      </c>
      <c r="AL1732" t="s">
        <v>1369</v>
      </c>
      <c r="AM1732" t="s">
        <v>545</v>
      </c>
      <c r="AN1732" s="3">
        <v>37238</v>
      </c>
      <c r="AO1732" t="s">
        <v>101</v>
      </c>
      <c r="AQ1732" t="str">
        <f>"+16153937491"</f>
        <v>+16153937491</v>
      </c>
      <c r="AS1732" t="s">
        <v>108</v>
      </c>
      <c r="AT1732" t="s">
        <v>107</v>
      </c>
      <c r="AU1732" t="str">
        <f>"DIETZ"</f>
        <v>DIETZ</v>
      </c>
      <c r="AV1732" t="str">
        <f>"MEE AE "</f>
        <v xml:space="preserve">MEE AE </v>
      </c>
      <c r="AW1732" t="str">
        <f>""</f>
        <v/>
      </c>
      <c r="AX1732" t="str">
        <f>"8529 SIX FORKS ROAD"</f>
        <v>8529 SIX FORKS ROAD</v>
      </c>
      <c r="AY1732" t="str">
        <f>"FORUM IV, SUITE 600"</f>
        <v>FORUM IV, SUITE 600</v>
      </c>
      <c r="AZ1732" t="str">
        <f>"RALEIGH"</f>
        <v>RALEIGH</v>
      </c>
      <c r="BA1732" t="str">
        <f>"NC"</f>
        <v>NC</v>
      </c>
      <c r="BB1732" s="3">
        <v>27615</v>
      </c>
      <c r="BC1732" t="str">
        <f>"UNITED STATES OF AMERICA"</f>
        <v>UNITED STATES OF AMERICA</v>
      </c>
      <c r="BD1732" t="str">
        <f>""</f>
        <v/>
      </c>
      <c r="BE1732" t="str">
        <f>"+19197879700"</f>
        <v>+19197879700</v>
      </c>
      <c r="BF1732" t="str">
        <f>""</f>
        <v/>
      </c>
      <c r="BG1732" t="str">
        <f>"PARKER.BRAMMER@ODNSS.COM"</f>
        <v>PARKER.BRAMMER@ODNSS.COM</v>
      </c>
      <c r="BH1732" t="str">
        <f>"OGLETREE, DEAKINS, NASH, SMOAK &amp; STEWART, P.C."</f>
        <v>OGLETREE, DEAKINS, NASH, SMOAK &amp; STEWART, P.C.</v>
      </c>
      <c r="BI1732" t="str">
        <f>"GA"</f>
        <v>GA</v>
      </c>
      <c r="BJ1732" t="str">
        <f>"GA SUPERIOR COURT "</f>
        <v xml:space="preserve">GA SUPERIOR COURT </v>
      </c>
      <c r="BK1732">
        <v>1</v>
      </c>
      <c r="BL1732" t="s">
        <v>102</v>
      </c>
      <c r="BM1732" t="str">
        <f>""</f>
        <v/>
      </c>
      <c r="BN1732" t="s">
        <v>7054</v>
      </c>
      <c r="BP1732" t="s">
        <v>5275</v>
      </c>
      <c r="BQ1732" t="s">
        <v>1214</v>
      </c>
      <c r="BR1732" t="s">
        <v>100</v>
      </c>
      <c r="BS1732" s="5">
        <v>7086</v>
      </c>
      <c r="BT1732" s="2">
        <v>98000</v>
      </c>
      <c r="BV1732" t="s">
        <v>105</v>
      </c>
      <c r="BW1732" s="2">
        <v>92269</v>
      </c>
      <c r="BX1732" t="s">
        <v>105</v>
      </c>
      <c r="BZ1732" t="s">
        <v>167</v>
      </c>
      <c r="CA1732" t="str">
        <f t="shared" si="135"/>
        <v>7/1/2020 - 6/30/2021</v>
      </c>
      <c r="CF1732">
        <v>2</v>
      </c>
      <c r="CG1732" t="s">
        <v>98</v>
      </c>
      <c r="CH1732" t="s">
        <v>206</v>
      </c>
      <c r="CI1732" t="s">
        <v>206</v>
      </c>
      <c r="CL1732" t="s">
        <v>108</v>
      </c>
      <c r="CM1732" t="s">
        <v>109</v>
      </c>
      <c r="CN1732" t="str">
        <f>"DIETZ"</f>
        <v>DIETZ</v>
      </c>
      <c r="CO1732" t="str">
        <f>"MEE AE "</f>
        <v xml:space="preserve">MEE AE </v>
      </c>
      <c r="CP1732" t="str">
        <f>""</f>
        <v/>
      </c>
      <c r="CQ1732" t="str">
        <f>"OGLETREE, DEAKINS, NASH, SMOAK &amp; STEWART, P.C."</f>
        <v>OGLETREE, DEAKINS, NASH, SMOAK &amp; STEWART, P.C.</v>
      </c>
      <c r="CR1732" t="s">
        <v>5727</v>
      </c>
    </row>
    <row r="1733" spans="1:96" x14ac:dyDescent="0.2">
      <c r="A1733" t="s">
        <v>7061</v>
      </c>
      <c r="B1733" t="s">
        <v>96</v>
      </c>
      <c r="C1733" s="1">
        <v>44099</v>
      </c>
      <c r="D1733" s="1">
        <v>44106</v>
      </c>
      <c r="F1733" t="s">
        <v>97</v>
      </c>
      <c r="G1733" t="str">
        <f>"Technology Delivery Manager"</f>
        <v>Technology Delivery Manager</v>
      </c>
      <c r="H1733" t="s">
        <v>12168</v>
      </c>
      <c r="I1733" t="s">
        <v>367</v>
      </c>
      <c r="J1733" t="s">
        <v>98</v>
      </c>
      <c r="K1733" s="1">
        <v>44105</v>
      </c>
      <c r="L1733" s="1">
        <v>45199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 t="s">
        <v>838</v>
      </c>
      <c r="U1733" t="str">
        <f>""</f>
        <v/>
      </c>
      <c r="V1733" t="s">
        <v>839</v>
      </c>
      <c r="W1733" t="str">
        <f>""</f>
        <v/>
      </c>
      <c r="X1733" t="s">
        <v>833</v>
      </c>
      <c r="Y1733" t="s">
        <v>345</v>
      </c>
      <c r="Z1733" s="3">
        <v>60601</v>
      </c>
      <c r="AA1733" t="s">
        <v>101</v>
      </c>
      <c r="AC1733" s="4" t="str">
        <f>"+13126930161"</f>
        <v>+13126930161</v>
      </c>
      <c r="AE1733" t="str">
        <f>"5416"</f>
        <v>5416</v>
      </c>
      <c r="AF1733" t="s">
        <v>840</v>
      </c>
      <c r="AG1733" t="s">
        <v>841</v>
      </c>
      <c r="AI1733" t="s">
        <v>417</v>
      </c>
      <c r="AJ1733" t="s">
        <v>842</v>
      </c>
      <c r="AK1733" t="str">
        <f>""</f>
        <v/>
      </c>
      <c r="AL1733" t="s">
        <v>843</v>
      </c>
      <c r="AM1733" t="s">
        <v>345</v>
      </c>
      <c r="AN1733" s="3">
        <v>60601</v>
      </c>
      <c r="AO1733" t="s">
        <v>101</v>
      </c>
      <c r="AQ1733" t="str">
        <f>"+13126932825"</f>
        <v>+13126932825</v>
      </c>
      <c r="AS1733" t="s">
        <v>844</v>
      </c>
      <c r="AT1733" t="s">
        <v>102</v>
      </c>
      <c r="AU1733" t="str">
        <f>""</f>
        <v/>
      </c>
      <c r="AV1733" t="str">
        <f>""</f>
        <v/>
      </c>
      <c r="AW1733" t="str">
        <f>""</f>
        <v/>
      </c>
      <c r="AX1733" t="str">
        <f>""</f>
        <v/>
      </c>
      <c r="AY1733" t="str">
        <f>""</f>
        <v/>
      </c>
      <c r="AZ1733" t="str">
        <f>""</f>
        <v/>
      </c>
      <c r="BA1733" t="str">
        <f>""</f>
        <v/>
      </c>
      <c r="BC1733" t="str">
        <f>""</f>
        <v/>
      </c>
      <c r="BD1733" t="str">
        <f>""</f>
        <v/>
      </c>
      <c r="BE1733" t="str">
        <f>""</f>
        <v/>
      </c>
      <c r="BF1733" t="str">
        <f>""</f>
        <v/>
      </c>
      <c r="BG1733" t="str">
        <f>""</f>
        <v/>
      </c>
      <c r="BH1733" t="str">
        <f>""</f>
        <v/>
      </c>
      <c r="BI1733" t="str">
        <f>""</f>
        <v/>
      </c>
      <c r="BJ1733" t="str">
        <f>""</f>
        <v/>
      </c>
      <c r="BK1733">
        <v>1</v>
      </c>
      <c r="BL1733" t="s">
        <v>102</v>
      </c>
      <c r="BM1733" t="str">
        <f>""</f>
        <v/>
      </c>
      <c r="BN1733" t="s">
        <v>7062</v>
      </c>
      <c r="BP1733" t="s">
        <v>1328</v>
      </c>
      <c r="BQ1733" t="s">
        <v>933</v>
      </c>
      <c r="BR1733" t="s">
        <v>934</v>
      </c>
      <c r="BS1733" s="5">
        <v>68130</v>
      </c>
      <c r="BT1733" s="2">
        <v>106100</v>
      </c>
      <c r="BU1733" s="2">
        <v>174000</v>
      </c>
      <c r="BV1733" t="s">
        <v>105</v>
      </c>
      <c r="BW1733" s="2">
        <v>95264</v>
      </c>
      <c r="BX1733" t="s">
        <v>105</v>
      </c>
      <c r="BZ1733" t="s">
        <v>159</v>
      </c>
      <c r="CA1733" t="str">
        <f t="shared" si="135"/>
        <v>7/1/2020 - 6/30/2021</v>
      </c>
      <c r="CF1733">
        <v>1</v>
      </c>
      <c r="CG1733" t="s">
        <v>98</v>
      </c>
      <c r="CH1733" t="s">
        <v>206</v>
      </c>
      <c r="CI1733" t="s">
        <v>206</v>
      </c>
      <c r="CL1733" t="s">
        <v>108</v>
      </c>
      <c r="CM1733" t="s">
        <v>109</v>
      </c>
      <c r="CN1733" t="str">
        <f>""</f>
        <v/>
      </c>
      <c r="CO1733" t="str">
        <f>""</f>
        <v/>
      </c>
      <c r="CP1733" t="str">
        <f>""</f>
        <v/>
      </c>
      <c r="CQ1733" t="str">
        <f>""</f>
        <v/>
      </c>
    </row>
    <row r="1734" spans="1:96" x14ac:dyDescent="0.2">
      <c r="A1734" t="s">
        <v>7076</v>
      </c>
      <c r="B1734" t="s">
        <v>96</v>
      </c>
      <c r="C1734" s="1">
        <v>44099</v>
      </c>
      <c r="D1734" s="1">
        <v>44106</v>
      </c>
      <c r="F1734" t="s">
        <v>97</v>
      </c>
      <c r="G1734" t="str">
        <f>"Food Scientist"</f>
        <v>Food Scientist</v>
      </c>
      <c r="H1734" t="s">
        <v>12264</v>
      </c>
      <c r="I1734" t="s">
        <v>1519</v>
      </c>
      <c r="J1734" t="s">
        <v>98</v>
      </c>
      <c r="K1734" s="1">
        <v>44105</v>
      </c>
      <c r="L1734" s="1">
        <v>45199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7077</v>
      </c>
      <c r="U1734" t="str">
        <f>"dba VPX"</f>
        <v>dba VPX</v>
      </c>
      <c r="V1734" t="s">
        <v>7078</v>
      </c>
      <c r="W1734" t="str">
        <f>""</f>
        <v/>
      </c>
      <c r="X1734" t="s">
        <v>2045</v>
      </c>
      <c r="Y1734" t="s">
        <v>577</v>
      </c>
      <c r="Z1734" s="3">
        <v>33326</v>
      </c>
      <c r="AA1734" t="s">
        <v>101</v>
      </c>
      <c r="AC1734" s="4" t="str">
        <f>"+19546410570"</f>
        <v>+19546410570</v>
      </c>
      <c r="AE1734" t="str">
        <f>"3121"</f>
        <v>3121</v>
      </c>
      <c r="AF1734" t="s">
        <v>7079</v>
      </c>
      <c r="AG1734" t="s">
        <v>5069</v>
      </c>
      <c r="AI1734" t="s">
        <v>1530</v>
      </c>
      <c r="AJ1734" t="s">
        <v>7078</v>
      </c>
      <c r="AK1734" t="str">
        <f>""</f>
        <v/>
      </c>
      <c r="AL1734" t="s">
        <v>2045</v>
      </c>
      <c r="AM1734" t="s">
        <v>577</v>
      </c>
      <c r="AN1734" s="3">
        <v>33326</v>
      </c>
      <c r="AO1734" t="s">
        <v>101</v>
      </c>
      <c r="AQ1734" t="str">
        <f>"+19546410570"</f>
        <v>+19546410570</v>
      </c>
      <c r="AS1734" t="s">
        <v>7080</v>
      </c>
      <c r="AT1734" t="s">
        <v>107</v>
      </c>
      <c r="AU1734" t="str">
        <f>"Schroeder"</f>
        <v>Schroeder</v>
      </c>
      <c r="AV1734" t="str">
        <f>"Sabrina"</f>
        <v>Sabrina</v>
      </c>
      <c r="AW1734" t="str">
        <f>"Marie"</f>
        <v>Marie</v>
      </c>
      <c r="AX1734" t="str">
        <f>"912 S. Capital of TX Hwy"</f>
        <v>912 S. Capital of TX Hwy</v>
      </c>
      <c r="AY1734" t="str">
        <f>"Ste. 450"</f>
        <v>Ste. 450</v>
      </c>
      <c r="AZ1734" t="str">
        <f>"Austin"</f>
        <v>Austin</v>
      </c>
      <c r="BA1734" t="str">
        <f>"TX"</f>
        <v>TX</v>
      </c>
      <c r="BB1734" s="3">
        <v>78746</v>
      </c>
      <c r="BC1734" t="str">
        <f>"UNITED STATES OF AMERICA"</f>
        <v>UNITED STATES OF AMERICA</v>
      </c>
      <c r="BD1734" t="str">
        <f>""</f>
        <v/>
      </c>
      <c r="BE1734" t="str">
        <f>"+15128524135"</f>
        <v>+15128524135</v>
      </c>
      <c r="BF1734" t="str">
        <f>""</f>
        <v/>
      </c>
      <c r="BG1734" t="str">
        <f>"sschroeder@fosterglobal.com"</f>
        <v>sschroeder@fosterglobal.com</v>
      </c>
      <c r="BH1734" t="str">
        <f>"Foster LLP"</f>
        <v>Foster LLP</v>
      </c>
      <c r="BI1734" t="str">
        <f>"MI"</f>
        <v>MI</v>
      </c>
      <c r="BJ1734" t="str">
        <f>"Michigan Supreme Court"</f>
        <v>Michigan Supreme Court</v>
      </c>
      <c r="BK1734">
        <v>1</v>
      </c>
      <c r="BL1734" t="s">
        <v>102</v>
      </c>
      <c r="BM1734" t="str">
        <f>""</f>
        <v/>
      </c>
      <c r="BN1734" t="s">
        <v>7078</v>
      </c>
      <c r="BP1734" t="s">
        <v>2045</v>
      </c>
      <c r="BQ1734" t="s">
        <v>576</v>
      </c>
      <c r="BR1734" t="s">
        <v>577</v>
      </c>
      <c r="BS1734" s="5">
        <v>33326</v>
      </c>
      <c r="BT1734" s="2">
        <v>76800</v>
      </c>
      <c r="BV1734" t="s">
        <v>105</v>
      </c>
      <c r="BW1734" s="2">
        <v>76378</v>
      </c>
      <c r="BX1734" t="s">
        <v>105</v>
      </c>
      <c r="BZ1734" t="s">
        <v>167</v>
      </c>
      <c r="CA1734" t="str">
        <f t="shared" si="135"/>
        <v>7/1/2020 - 6/30/2021</v>
      </c>
      <c r="CF1734">
        <v>1</v>
      </c>
      <c r="CG1734" t="s">
        <v>98</v>
      </c>
      <c r="CH1734" t="s">
        <v>206</v>
      </c>
      <c r="CI1734" t="s">
        <v>206</v>
      </c>
      <c r="CL1734" t="s">
        <v>108</v>
      </c>
      <c r="CM1734" t="s">
        <v>109</v>
      </c>
      <c r="CN1734" t="str">
        <f>""</f>
        <v/>
      </c>
      <c r="CO1734" t="str">
        <f>""</f>
        <v/>
      </c>
      <c r="CP1734" t="str">
        <f>""</f>
        <v/>
      </c>
      <c r="CQ1734" t="str">
        <f>""</f>
        <v/>
      </c>
    </row>
    <row r="1735" spans="1:96" x14ac:dyDescent="0.2">
      <c r="A1735" t="s">
        <v>7092</v>
      </c>
      <c r="B1735" t="s">
        <v>96</v>
      </c>
      <c r="C1735" s="1">
        <v>44099</v>
      </c>
      <c r="D1735" s="1">
        <v>44106</v>
      </c>
      <c r="F1735" t="s">
        <v>97</v>
      </c>
      <c r="G1735" t="str">
        <f>"Senior Software Developer"</f>
        <v>Senior Software Developer</v>
      </c>
      <c r="H1735" t="s">
        <v>12169</v>
      </c>
      <c r="I1735" t="s">
        <v>124</v>
      </c>
      <c r="J1735" t="s">
        <v>98</v>
      </c>
      <c r="K1735" s="1">
        <v>44106</v>
      </c>
      <c r="L1735" s="1">
        <v>45200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1189</v>
      </c>
      <c r="U1735" t="str">
        <f>""</f>
        <v/>
      </c>
      <c r="V1735" t="s">
        <v>1190</v>
      </c>
      <c r="W1735" t="str">
        <f>"THIRD FLOOR"</f>
        <v>THIRD FLOOR</v>
      </c>
      <c r="X1735" t="s">
        <v>1191</v>
      </c>
      <c r="Y1735" t="s">
        <v>171</v>
      </c>
      <c r="Z1735" s="3">
        <v>1801</v>
      </c>
      <c r="AA1735" t="s">
        <v>101</v>
      </c>
      <c r="AC1735" s="4" t="str">
        <f>"+17819391720"</f>
        <v>+17819391720</v>
      </c>
      <c r="AE1735" t="str">
        <f>"541511"</f>
        <v>541511</v>
      </c>
      <c r="AF1735" t="s">
        <v>1192</v>
      </c>
      <c r="AG1735" t="s">
        <v>1193</v>
      </c>
      <c r="AH1735" t="s">
        <v>1080</v>
      </c>
      <c r="AI1735" t="s">
        <v>1194</v>
      </c>
      <c r="AJ1735" t="s">
        <v>1195</v>
      </c>
      <c r="AK1735" t="str">
        <f>"Third Floor"</f>
        <v>Third Floor</v>
      </c>
      <c r="AL1735" t="s">
        <v>1196</v>
      </c>
      <c r="AM1735" t="s">
        <v>171</v>
      </c>
      <c r="AN1735" s="3">
        <v>1801</v>
      </c>
      <c r="AO1735" t="s">
        <v>101</v>
      </c>
      <c r="AQ1735" t="str">
        <f>"+17819391720"</f>
        <v>+17819391720</v>
      </c>
      <c r="AS1735" t="s">
        <v>1197</v>
      </c>
      <c r="AT1735" t="s">
        <v>107</v>
      </c>
      <c r="AU1735" t="str">
        <f>"Tadmor"</f>
        <v>Tadmor</v>
      </c>
      <c r="AV1735" t="str">
        <f>"Yoav"</f>
        <v>Yoav</v>
      </c>
      <c r="AW1735" t="str">
        <f>""</f>
        <v/>
      </c>
      <c r="AX1735" t="str">
        <f>"340 Main Street "</f>
        <v xml:space="preserve">340 Main Street </v>
      </c>
      <c r="AY1735" t="str">
        <f>"Suite 610"</f>
        <v>Suite 610</v>
      </c>
      <c r="AZ1735" t="str">
        <f>"Worcester "</f>
        <v xml:space="preserve">Worcester </v>
      </c>
      <c r="BA1735" t="str">
        <f>"MA"</f>
        <v>MA</v>
      </c>
      <c r="BB1735" s="3">
        <v>1608</v>
      </c>
      <c r="BC1735" t="str">
        <f>"UNITED STATES OF AMERICA"</f>
        <v>UNITED STATES OF AMERICA</v>
      </c>
      <c r="BD1735" t="str">
        <f>""</f>
        <v/>
      </c>
      <c r="BE1735" t="str">
        <f>"+15087919400"</f>
        <v>+15087919400</v>
      </c>
      <c r="BF1735" t="str">
        <f>""</f>
        <v/>
      </c>
      <c r="BG1735" t="str">
        <f>"yoav@tadmorlaw.com"</f>
        <v>yoav@tadmorlaw.com</v>
      </c>
      <c r="BH1735" t="str">
        <f>"Tadmor &amp; Tadmor LLP"</f>
        <v>Tadmor &amp; Tadmor LLP</v>
      </c>
      <c r="BI1735" t="str">
        <f>"MA"</f>
        <v>MA</v>
      </c>
      <c r="BJ1735" t="str">
        <f>"Supreme Judicial Court"</f>
        <v>Supreme Judicial Court</v>
      </c>
      <c r="BK1735">
        <v>1</v>
      </c>
      <c r="BL1735" t="s">
        <v>107</v>
      </c>
      <c r="BM1735" t="str">
        <f>"Bank of America"</f>
        <v>Bank of America</v>
      </c>
      <c r="BN1735" t="s">
        <v>7093</v>
      </c>
      <c r="BP1735" t="s">
        <v>7094</v>
      </c>
      <c r="BQ1735" t="s">
        <v>203</v>
      </c>
      <c r="BR1735" t="s">
        <v>195</v>
      </c>
      <c r="BS1735" s="5">
        <v>21043</v>
      </c>
      <c r="BT1735" s="2">
        <v>125000</v>
      </c>
      <c r="BV1735" t="s">
        <v>105</v>
      </c>
      <c r="BW1735" s="2">
        <v>94037</v>
      </c>
      <c r="BX1735" t="s">
        <v>105</v>
      </c>
      <c r="BZ1735" t="s">
        <v>167</v>
      </c>
      <c r="CA1735" t="str">
        <f t="shared" si="135"/>
        <v>7/1/2020 - 6/30/2021</v>
      </c>
      <c r="CF1735">
        <v>2</v>
      </c>
      <c r="CG1735" t="s">
        <v>98</v>
      </c>
      <c r="CH1735" t="s">
        <v>206</v>
      </c>
      <c r="CI1735" t="s">
        <v>206</v>
      </c>
      <c r="CL1735" t="s">
        <v>108</v>
      </c>
      <c r="CM1735" t="s">
        <v>109</v>
      </c>
      <c r="CN1735" t="str">
        <f>""</f>
        <v/>
      </c>
      <c r="CO1735" t="str">
        <f>""</f>
        <v/>
      </c>
      <c r="CP1735" t="str">
        <f>""</f>
        <v/>
      </c>
      <c r="CQ1735" t="str">
        <f>""</f>
        <v/>
      </c>
    </row>
    <row r="1736" spans="1:96" x14ac:dyDescent="0.2">
      <c r="A1736" t="s">
        <v>7159</v>
      </c>
      <c r="B1736" t="s">
        <v>96</v>
      </c>
      <c r="C1736" s="1">
        <v>44099</v>
      </c>
      <c r="D1736" s="1">
        <v>44106</v>
      </c>
      <c r="F1736" t="s">
        <v>97</v>
      </c>
      <c r="G1736" t="str">
        <f>"SOFTWARE DEVELOPMENT ENGINEER II"</f>
        <v>SOFTWARE DEVELOPMENT ENGINEER II</v>
      </c>
      <c r="H1736" t="s">
        <v>12169</v>
      </c>
      <c r="I1736" t="s">
        <v>124</v>
      </c>
      <c r="J1736" t="s">
        <v>98</v>
      </c>
      <c r="K1736" s="1">
        <v>44274</v>
      </c>
      <c r="L1736" s="1">
        <v>45369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 t="s">
        <v>440</v>
      </c>
      <c r="U1736" t="str">
        <f>""</f>
        <v/>
      </c>
      <c r="V1736" t="s">
        <v>809</v>
      </c>
      <c r="W1736" t="str">
        <f>"SUITE 500"</f>
        <v>SUITE 500</v>
      </c>
      <c r="X1736" t="s">
        <v>433</v>
      </c>
      <c r="Y1736" t="s">
        <v>176</v>
      </c>
      <c r="Z1736" s="3">
        <v>98121</v>
      </c>
      <c r="AA1736" t="s">
        <v>101</v>
      </c>
      <c r="AC1736" s="4" t="str">
        <f>"+12062661000"</f>
        <v>+12062661000</v>
      </c>
      <c r="AE1736" t="str">
        <f>"454110"</f>
        <v>454110</v>
      </c>
      <c r="AF1736" t="s">
        <v>442</v>
      </c>
      <c r="AG1736" t="s">
        <v>443</v>
      </c>
      <c r="AH1736" t="s">
        <v>108</v>
      </c>
      <c r="AI1736" t="s">
        <v>434</v>
      </c>
      <c r="AJ1736" t="s">
        <v>809</v>
      </c>
      <c r="AK1736" t="str">
        <f>"SUITE 500"</f>
        <v>SUITE 500</v>
      </c>
      <c r="AL1736" t="s">
        <v>433</v>
      </c>
      <c r="AM1736" t="s">
        <v>176</v>
      </c>
      <c r="AN1736" s="3">
        <v>98121</v>
      </c>
      <c r="AO1736" t="s">
        <v>101</v>
      </c>
      <c r="AQ1736" t="str">
        <f>"+12062661000"</f>
        <v>+12062661000</v>
      </c>
      <c r="AS1736" t="s">
        <v>263</v>
      </c>
      <c r="AT1736" t="s">
        <v>107</v>
      </c>
      <c r="AU1736" t="str">
        <f>"MARANCI"</f>
        <v>MARANCI</v>
      </c>
      <c r="AV1736" t="str">
        <f>"DANIEL"</f>
        <v>DANIEL</v>
      </c>
      <c r="AW1736" t="str">
        <f>"N/A"</f>
        <v>N/A</v>
      </c>
      <c r="AX1736" t="str">
        <f>"100 HIGH STREET"</f>
        <v>100 HIGH STREET</v>
      </c>
      <c r="AY1736" t="str">
        <f>"3RD FLOOR C#5286603"</f>
        <v>3RD FLOOR C#5286603</v>
      </c>
      <c r="AZ1736" t="str">
        <f>"BOSTON"</f>
        <v>BOSTON</v>
      </c>
      <c r="BA1736" t="str">
        <f>"MA"</f>
        <v>MA</v>
      </c>
      <c r="BB1736" s="3">
        <v>2110</v>
      </c>
      <c r="BC1736" t="str">
        <f>"UNITED STATES OF AMERICA"</f>
        <v>UNITED STATES OF AMERICA</v>
      </c>
      <c r="BD1736" t="str">
        <f>""</f>
        <v/>
      </c>
      <c r="BE1736" t="str">
        <f>"+16175740400"</f>
        <v>+16175740400</v>
      </c>
      <c r="BF1736" t="str">
        <f>""</f>
        <v/>
      </c>
      <c r="BG1736" t="str">
        <f>"AMAZONINDIA@FRAGOMEN.COM"</f>
        <v>AMAZONINDIA@FRAGOMEN.COM</v>
      </c>
      <c r="BH1736" t="str">
        <f>"FRAGOMEN, DEL REY, BERNSEN &amp; LOEWY, LLP"</f>
        <v>FRAGOMEN, DEL REY, BERNSEN &amp; LOEWY, LLP</v>
      </c>
      <c r="BI1736" t="str">
        <f>"MA"</f>
        <v>MA</v>
      </c>
      <c r="BJ1736" t="str">
        <f>"SUPREME JUDICIAL COURT"</f>
        <v>SUPREME JUDICIAL COURT</v>
      </c>
      <c r="BK1736">
        <v>1</v>
      </c>
      <c r="BL1736" t="s">
        <v>102</v>
      </c>
      <c r="BM1736" t="str">
        <f>""</f>
        <v/>
      </c>
      <c r="BN1736" t="s">
        <v>7160</v>
      </c>
      <c r="BP1736" t="s">
        <v>147</v>
      </c>
      <c r="BQ1736" t="s">
        <v>147</v>
      </c>
      <c r="BR1736" t="s">
        <v>141</v>
      </c>
      <c r="BS1736" s="5">
        <v>94105</v>
      </c>
      <c r="BT1736" s="2">
        <v>155300</v>
      </c>
      <c r="BV1736" t="s">
        <v>105</v>
      </c>
      <c r="BW1736" s="2">
        <v>120931</v>
      </c>
      <c r="BX1736" t="s">
        <v>105</v>
      </c>
      <c r="BZ1736" t="s">
        <v>167</v>
      </c>
      <c r="CA1736" t="str">
        <f t="shared" si="135"/>
        <v>7/1/2020 - 6/30/2021</v>
      </c>
      <c r="CF1736">
        <v>2</v>
      </c>
      <c r="CG1736" t="s">
        <v>98</v>
      </c>
      <c r="CH1736" t="s">
        <v>206</v>
      </c>
      <c r="CI1736" t="s">
        <v>206</v>
      </c>
      <c r="CL1736" t="s">
        <v>108</v>
      </c>
      <c r="CM1736" t="s">
        <v>109</v>
      </c>
      <c r="CN1736" t="str">
        <f>"SUNNY"</f>
        <v>SUNNY</v>
      </c>
      <c r="CO1736" t="str">
        <f>"JASMIN"</f>
        <v>JASMIN</v>
      </c>
      <c r="CP1736" t="str">
        <f>"N/A"</f>
        <v>N/A</v>
      </c>
      <c r="CQ1736" t="str">
        <f>"FRAGOMEN, DEL REY, BERNSEN &amp; LOEWY, LLP"</f>
        <v>FRAGOMEN, DEL REY, BERNSEN &amp; LOEWY, LLP</v>
      </c>
      <c r="CR1736" t="s">
        <v>650</v>
      </c>
    </row>
    <row r="1737" spans="1:96" x14ac:dyDescent="0.2">
      <c r="A1737" t="s">
        <v>7201</v>
      </c>
      <c r="B1737" t="s">
        <v>96</v>
      </c>
      <c r="C1737" s="1">
        <v>44099</v>
      </c>
      <c r="D1737" s="1">
        <v>44106</v>
      </c>
      <c r="F1737" t="s">
        <v>97</v>
      </c>
      <c r="G1737" t="str">
        <f>"Sr. IT Technical Specialist"</f>
        <v>Sr. IT Technical Specialist</v>
      </c>
      <c r="H1737" t="s">
        <v>12169</v>
      </c>
      <c r="I1737" t="s">
        <v>124</v>
      </c>
      <c r="J1737" t="s">
        <v>98</v>
      </c>
      <c r="K1737" s="1">
        <v>44220</v>
      </c>
      <c r="L1737" s="1">
        <v>45314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 t="s">
        <v>7163</v>
      </c>
      <c r="U1737" t="str">
        <f>""</f>
        <v/>
      </c>
      <c r="V1737" t="s">
        <v>7164</v>
      </c>
      <c r="W1737" t="str">
        <f>""</f>
        <v/>
      </c>
      <c r="X1737" t="s">
        <v>679</v>
      </c>
      <c r="Y1737" t="s">
        <v>122</v>
      </c>
      <c r="Z1737" s="3">
        <v>27215</v>
      </c>
      <c r="AA1737" t="s">
        <v>101</v>
      </c>
      <c r="AC1737" s="4" t="str">
        <f>"+19842452447"</f>
        <v>+19842452447</v>
      </c>
      <c r="AE1737" t="str">
        <f>"621511"</f>
        <v>621511</v>
      </c>
      <c r="AF1737" t="s">
        <v>2578</v>
      </c>
      <c r="AG1737" t="s">
        <v>2579</v>
      </c>
      <c r="AI1737" t="s">
        <v>2580</v>
      </c>
      <c r="AJ1737" t="s">
        <v>2581</v>
      </c>
      <c r="AK1737" t="str">
        <f>""</f>
        <v/>
      </c>
      <c r="AL1737" t="s">
        <v>1113</v>
      </c>
      <c r="AM1737" t="s">
        <v>122</v>
      </c>
      <c r="AN1737" s="3">
        <v>27709</v>
      </c>
      <c r="AO1737" t="s">
        <v>101</v>
      </c>
      <c r="AQ1737" t="str">
        <f>"+19842452447"</f>
        <v>+19842452447</v>
      </c>
      <c r="AS1737" t="s">
        <v>7165</v>
      </c>
      <c r="AT1737" t="s">
        <v>107</v>
      </c>
      <c r="AU1737" t="str">
        <f>"Rubin"</f>
        <v>Rubin</v>
      </c>
      <c r="AV1737" t="str">
        <f>"Todd"</f>
        <v>Todd</v>
      </c>
      <c r="AW1737" t="str">
        <f>"March"</f>
        <v>March</v>
      </c>
      <c r="AX1737" t="str">
        <f>"301 Fayetteville Street"</f>
        <v>301 Fayetteville Street</v>
      </c>
      <c r="AY1737" t="str">
        <f>"#1400"</f>
        <v>#1400</v>
      </c>
      <c r="AZ1737" t="str">
        <f>"Raleigh"</f>
        <v>Raleigh</v>
      </c>
      <c r="BA1737" t="str">
        <f>"NC"</f>
        <v>NC</v>
      </c>
      <c r="BB1737" s="3">
        <v>27601</v>
      </c>
      <c r="BC1737" t="str">
        <f>"UNITED STATES OF AMERICA"</f>
        <v>UNITED STATES OF AMERICA</v>
      </c>
      <c r="BD1737" t="str">
        <f>""</f>
        <v/>
      </c>
      <c r="BE1737" t="str">
        <f>"+19198354632"</f>
        <v>+19198354632</v>
      </c>
      <c r="BF1737" t="str">
        <f>""</f>
        <v/>
      </c>
      <c r="BG1737" t="str">
        <f>"joyedwards@parkerpoe.com"</f>
        <v>joyedwards@parkerpoe.com</v>
      </c>
      <c r="BH1737" t="str">
        <f>"Parker Poe Adams and Bernstein"</f>
        <v>Parker Poe Adams and Bernstein</v>
      </c>
      <c r="BI1737" t="str">
        <f>"NC"</f>
        <v>NC</v>
      </c>
      <c r="BJ1737" t="str">
        <f>"Supreme Court"</f>
        <v>Supreme Court</v>
      </c>
      <c r="BK1737">
        <v>1</v>
      </c>
      <c r="BL1737" t="s">
        <v>102</v>
      </c>
      <c r="BM1737" t="str">
        <f>""</f>
        <v/>
      </c>
      <c r="BN1737" t="s">
        <v>2581</v>
      </c>
      <c r="BP1737" t="s">
        <v>1113</v>
      </c>
      <c r="BQ1737" t="s">
        <v>302</v>
      </c>
      <c r="BR1737" t="s">
        <v>122</v>
      </c>
      <c r="BS1737" s="5">
        <v>27709</v>
      </c>
      <c r="BT1737" s="2">
        <v>110000</v>
      </c>
      <c r="BU1737" s="2">
        <v>124000</v>
      </c>
      <c r="BV1737" t="s">
        <v>105</v>
      </c>
      <c r="BW1737" s="2">
        <v>108410</v>
      </c>
      <c r="BX1737" t="s">
        <v>105</v>
      </c>
      <c r="BZ1737" t="s">
        <v>123</v>
      </c>
      <c r="CA1737" t="str">
        <f t="shared" si="135"/>
        <v>7/1/2020 - 6/30/2021</v>
      </c>
      <c r="CF1737">
        <v>2</v>
      </c>
      <c r="CG1737" t="s">
        <v>98</v>
      </c>
      <c r="CH1737" t="s">
        <v>206</v>
      </c>
      <c r="CI1737" t="s">
        <v>206</v>
      </c>
      <c r="CL1737" t="s">
        <v>108</v>
      </c>
      <c r="CM1737" t="s">
        <v>109</v>
      </c>
      <c r="CN1737" t="str">
        <f>""</f>
        <v/>
      </c>
      <c r="CO1737" t="str">
        <f>""</f>
        <v/>
      </c>
      <c r="CP1737" t="str">
        <f>""</f>
        <v/>
      </c>
      <c r="CQ1737" t="str">
        <f>""</f>
        <v/>
      </c>
    </row>
    <row r="1738" spans="1:96" x14ac:dyDescent="0.2">
      <c r="A1738" t="s">
        <v>7207</v>
      </c>
      <c r="B1738" t="s">
        <v>96</v>
      </c>
      <c r="C1738" s="1">
        <v>44099</v>
      </c>
      <c r="D1738" s="1">
        <v>44106</v>
      </c>
      <c r="F1738" t="s">
        <v>97</v>
      </c>
      <c r="G1738" t="str">
        <f>"Program Manager"</f>
        <v>Program Manager</v>
      </c>
      <c r="H1738" t="s">
        <v>12214</v>
      </c>
      <c r="I1738" t="s">
        <v>276</v>
      </c>
      <c r="J1738" t="s">
        <v>98</v>
      </c>
      <c r="K1738" s="1">
        <v>44241</v>
      </c>
      <c r="L1738" s="1">
        <v>45335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 t="s">
        <v>173</v>
      </c>
      <c r="U1738" t="str">
        <f>""</f>
        <v/>
      </c>
      <c r="V1738" t="s">
        <v>174</v>
      </c>
      <c r="W1738" t="str">
        <f>"N/A"</f>
        <v>N/A</v>
      </c>
      <c r="X1738" t="s">
        <v>175</v>
      </c>
      <c r="Y1738" t="s">
        <v>176</v>
      </c>
      <c r="Z1738" s="3">
        <v>98052</v>
      </c>
      <c r="AA1738" t="s">
        <v>101</v>
      </c>
      <c r="AC1738" s="4" t="str">
        <f>"+14258828080"</f>
        <v>+14258828080</v>
      </c>
      <c r="AE1738" t="str">
        <f>"51121"</f>
        <v>51121</v>
      </c>
      <c r="AF1738" t="s">
        <v>177</v>
      </c>
      <c r="AG1738" t="s">
        <v>178</v>
      </c>
      <c r="AI1738" t="s">
        <v>179</v>
      </c>
      <c r="AJ1738" t="s">
        <v>174</v>
      </c>
      <c r="AK1738" t="str">
        <f>""</f>
        <v/>
      </c>
      <c r="AL1738" t="s">
        <v>175</v>
      </c>
      <c r="AM1738" t="s">
        <v>176</v>
      </c>
      <c r="AN1738" s="3">
        <v>98052</v>
      </c>
      <c r="AO1738" t="s">
        <v>101</v>
      </c>
      <c r="AQ1738" t="str">
        <f>"+14258828080"</f>
        <v>+14258828080</v>
      </c>
      <c r="AS1738" t="s">
        <v>180</v>
      </c>
      <c r="AT1738" t="s">
        <v>102</v>
      </c>
      <c r="AU1738" t="str">
        <f>""</f>
        <v/>
      </c>
      <c r="AV1738" t="str">
        <f>""</f>
        <v/>
      </c>
      <c r="AW1738" t="str">
        <f>""</f>
        <v/>
      </c>
      <c r="AX1738" t="str">
        <f>""</f>
        <v/>
      </c>
      <c r="AY1738" t="str">
        <f>""</f>
        <v/>
      </c>
      <c r="AZ1738" t="str">
        <f>""</f>
        <v/>
      </c>
      <c r="BA1738" t="str">
        <f>""</f>
        <v/>
      </c>
      <c r="BC1738" t="str">
        <f>""</f>
        <v/>
      </c>
      <c r="BD1738" t="str">
        <f>""</f>
        <v/>
      </c>
      <c r="BE1738" t="str">
        <f>""</f>
        <v/>
      </c>
      <c r="BF1738" t="str">
        <f>""</f>
        <v/>
      </c>
      <c r="BG1738" t="str">
        <f>""</f>
        <v/>
      </c>
      <c r="BH1738" t="str">
        <f>""</f>
        <v/>
      </c>
      <c r="BI1738" t="str">
        <f>""</f>
        <v/>
      </c>
      <c r="BJ1738" t="str">
        <f>""</f>
        <v/>
      </c>
      <c r="BK1738">
        <v>1</v>
      </c>
      <c r="BL1738" t="s">
        <v>102</v>
      </c>
      <c r="BM1738" t="str">
        <f>""</f>
        <v/>
      </c>
      <c r="BN1738" t="s">
        <v>962</v>
      </c>
      <c r="BP1738" t="s">
        <v>175</v>
      </c>
      <c r="BQ1738" t="s">
        <v>183</v>
      </c>
      <c r="BR1738" t="s">
        <v>176</v>
      </c>
      <c r="BS1738" s="5">
        <v>98052</v>
      </c>
      <c r="BT1738" s="2">
        <v>139690</v>
      </c>
      <c r="BV1738" t="s">
        <v>105</v>
      </c>
      <c r="BW1738" s="2">
        <v>109928</v>
      </c>
      <c r="BX1738" t="s">
        <v>105</v>
      </c>
      <c r="BZ1738" t="s">
        <v>123</v>
      </c>
      <c r="CA1738" t="str">
        <f t="shared" si="135"/>
        <v>7/1/2020 - 6/30/2021</v>
      </c>
      <c r="CF1738">
        <v>1</v>
      </c>
      <c r="CG1738" t="s">
        <v>98</v>
      </c>
      <c r="CH1738" t="s">
        <v>206</v>
      </c>
      <c r="CI1738" t="s">
        <v>206</v>
      </c>
      <c r="CL1738" t="s">
        <v>108</v>
      </c>
      <c r="CM1738" t="s">
        <v>109</v>
      </c>
      <c r="CN1738" t="str">
        <f>"Kodishala"</f>
        <v>Kodishala</v>
      </c>
      <c r="CO1738" t="str">
        <f>"Suresh"</f>
        <v>Suresh</v>
      </c>
      <c r="CP1738" t="str">
        <f>"N/A"</f>
        <v>N/A</v>
      </c>
      <c r="CQ1738" t="str">
        <f>"INTEGREON MANAGED SOLUTIONS (INDIA) PVT LTD"</f>
        <v>INTEGREON MANAGED SOLUTIONS (INDIA) PVT LTD</v>
      </c>
      <c r="CR1738" t="s">
        <v>231</v>
      </c>
    </row>
    <row r="1739" spans="1:96" x14ac:dyDescent="0.2">
      <c r="A1739" t="s">
        <v>7208</v>
      </c>
      <c r="B1739" t="s">
        <v>96</v>
      </c>
      <c r="C1739" s="1">
        <v>44099</v>
      </c>
      <c r="D1739" s="1">
        <v>44106</v>
      </c>
      <c r="F1739" t="s">
        <v>97</v>
      </c>
      <c r="G1739" t="str">
        <f>"Protein Engineering Scientist"</f>
        <v>Protein Engineering Scientist</v>
      </c>
      <c r="H1739" t="s">
        <v>12190</v>
      </c>
      <c r="I1739" t="s">
        <v>1072</v>
      </c>
      <c r="J1739" t="s">
        <v>98</v>
      </c>
      <c r="K1739" s="1">
        <v>44109</v>
      </c>
      <c r="L1739" s="1">
        <v>45203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5566</v>
      </c>
      <c r="U1739" t="str">
        <f>""</f>
        <v/>
      </c>
      <c r="V1739" t="s">
        <v>5567</v>
      </c>
      <c r="W1739" t="str">
        <f>"Chestnut Run Plaza, Suite 721/1222"</f>
        <v>Chestnut Run Plaza, Suite 721/1222</v>
      </c>
      <c r="X1739" t="s">
        <v>1775</v>
      </c>
      <c r="Y1739" t="s">
        <v>1776</v>
      </c>
      <c r="Z1739" s="3">
        <v>19805</v>
      </c>
      <c r="AA1739" t="s">
        <v>101</v>
      </c>
      <c r="AC1739" s="4" t="str">
        <f>"+16033731630"</f>
        <v>+16033731630</v>
      </c>
      <c r="AE1739" t="str">
        <f>"32519"</f>
        <v>32519</v>
      </c>
      <c r="AF1739" t="s">
        <v>1968</v>
      </c>
      <c r="AG1739" t="s">
        <v>881</v>
      </c>
      <c r="AI1739" t="s">
        <v>5305</v>
      </c>
      <c r="AJ1739" t="s">
        <v>5568</v>
      </c>
      <c r="AK1739" t="str">
        <f>""</f>
        <v/>
      </c>
      <c r="AL1739" t="s">
        <v>1068</v>
      </c>
      <c r="AM1739" t="s">
        <v>608</v>
      </c>
      <c r="AN1739" s="3">
        <v>50131</v>
      </c>
      <c r="AO1739" t="s">
        <v>101</v>
      </c>
      <c r="AQ1739" t="str">
        <f>"+15155353660"</f>
        <v>+15155353660</v>
      </c>
      <c r="AS1739" t="s">
        <v>5569</v>
      </c>
      <c r="AT1739" t="s">
        <v>107</v>
      </c>
      <c r="AU1739" t="str">
        <f>"Kilibarda"</f>
        <v>Kilibarda</v>
      </c>
      <c r="AV1739" t="str">
        <f>"Sarah"</f>
        <v>Sarah</v>
      </c>
      <c r="AW1739" t="str">
        <f>"R."</f>
        <v>R.</v>
      </c>
      <c r="AX1739" t="str">
        <f>"90 S 7th St"</f>
        <v>90 S 7th St</v>
      </c>
      <c r="AY1739" t="str">
        <f>"STE 2200"</f>
        <v>STE 2200</v>
      </c>
      <c r="AZ1739" t="str">
        <f>"Minneapolis"</f>
        <v>Minneapolis</v>
      </c>
      <c r="BA1739" t="str">
        <f>"MN"</f>
        <v>MN</v>
      </c>
      <c r="BB1739" s="3">
        <v>55402</v>
      </c>
      <c r="BC1739" t="str">
        <f>"UNITED STATES OF AMERICA"</f>
        <v>UNITED STATES OF AMERICA</v>
      </c>
      <c r="BD1739" t="str">
        <f>""</f>
        <v/>
      </c>
      <c r="BE1739" t="str">
        <f>"+16127666929"</f>
        <v>+16127666929</v>
      </c>
      <c r="BF1739" t="str">
        <f>""</f>
        <v/>
      </c>
      <c r="BG1739" t="str">
        <f>"sarah.kilibarda@faegredrinker.com"</f>
        <v>sarah.kilibarda@faegredrinker.com</v>
      </c>
      <c r="BH1739" t="str">
        <f>"Faegre Drinker Biddle &amp; Reath LLP"</f>
        <v>Faegre Drinker Biddle &amp; Reath LLP</v>
      </c>
      <c r="BI1739" t="str">
        <f>"MN"</f>
        <v>MN</v>
      </c>
      <c r="BJ1739" t="str">
        <f>"Minnesota Supreme Court"</f>
        <v>Minnesota Supreme Court</v>
      </c>
      <c r="BK1739">
        <v>1</v>
      </c>
      <c r="BL1739" t="s">
        <v>102</v>
      </c>
      <c r="BM1739" t="str">
        <f>""</f>
        <v/>
      </c>
      <c r="BN1739" t="s">
        <v>7209</v>
      </c>
      <c r="BP1739" t="s">
        <v>1068</v>
      </c>
      <c r="BQ1739" t="s">
        <v>1014</v>
      </c>
      <c r="BR1739" t="s">
        <v>608</v>
      </c>
      <c r="BS1739" s="5">
        <v>50131</v>
      </c>
      <c r="BT1739" s="2">
        <v>94000</v>
      </c>
      <c r="BU1739" s="2">
        <v>147000</v>
      </c>
      <c r="BV1739" t="s">
        <v>105</v>
      </c>
      <c r="BW1739" s="2">
        <v>53602</v>
      </c>
      <c r="BX1739" t="s">
        <v>105</v>
      </c>
      <c r="BZ1739" t="s">
        <v>159</v>
      </c>
      <c r="CA1739" t="str">
        <f t="shared" si="135"/>
        <v>7/1/2020 - 6/30/2021</v>
      </c>
      <c r="CF1739">
        <v>2</v>
      </c>
      <c r="CG1739" t="s">
        <v>98</v>
      </c>
      <c r="CH1739" t="s">
        <v>206</v>
      </c>
      <c r="CI1739" t="s">
        <v>206</v>
      </c>
      <c r="CL1739" t="s">
        <v>108</v>
      </c>
      <c r="CM1739" t="s">
        <v>109</v>
      </c>
      <c r="CN1739" t="str">
        <f>""</f>
        <v/>
      </c>
      <c r="CO1739" t="str">
        <f>""</f>
        <v/>
      </c>
      <c r="CP1739" t="str">
        <f>""</f>
        <v/>
      </c>
      <c r="CQ1739" t="str">
        <f>""</f>
        <v/>
      </c>
    </row>
    <row r="1740" spans="1:96" x14ac:dyDescent="0.2">
      <c r="A1740" t="s">
        <v>7225</v>
      </c>
      <c r="B1740" t="s">
        <v>96</v>
      </c>
      <c r="C1740" s="1">
        <v>44099</v>
      </c>
      <c r="D1740" s="1">
        <v>44106</v>
      </c>
      <c r="F1740" t="s">
        <v>97</v>
      </c>
      <c r="G1740" t="str">
        <f>"Computer Specialist / Testing and Quality Analyst 3"</f>
        <v>Computer Specialist / Testing and Quality Analyst 3</v>
      </c>
      <c r="H1740" t="s">
        <v>12168</v>
      </c>
      <c r="I1740" t="s">
        <v>319</v>
      </c>
      <c r="J1740" t="s">
        <v>98</v>
      </c>
      <c r="K1740" s="1">
        <v>44105</v>
      </c>
      <c r="L1740" s="1">
        <v>45199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 t="s">
        <v>838</v>
      </c>
      <c r="U1740" t="str">
        <f>""</f>
        <v/>
      </c>
      <c r="V1740" t="s">
        <v>839</v>
      </c>
      <c r="W1740" t="str">
        <f>""</f>
        <v/>
      </c>
      <c r="X1740" t="s">
        <v>833</v>
      </c>
      <c r="Y1740" t="s">
        <v>345</v>
      </c>
      <c r="Z1740" s="3">
        <v>60601</v>
      </c>
      <c r="AA1740" t="s">
        <v>101</v>
      </c>
      <c r="AC1740" s="4" t="str">
        <f>"+13126930161"</f>
        <v>+13126930161</v>
      </c>
      <c r="AE1740" t="str">
        <f>"5416"</f>
        <v>5416</v>
      </c>
      <c r="AF1740" t="s">
        <v>840</v>
      </c>
      <c r="AG1740" t="s">
        <v>841</v>
      </c>
      <c r="AI1740" t="s">
        <v>417</v>
      </c>
      <c r="AJ1740" t="s">
        <v>842</v>
      </c>
      <c r="AK1740" t="str">
        <f>""</f>
        <v/>
      </c>
      <c r="AL1740" t="s">
        <v>843</v>
      </c>
      <c r="AM1740" t="s">
        <v>345</v>
      </c>
      <c r="AN1740" s="3">
        <v>60601</v>
      </c>
      <c r="AO1740" t="s">
        <v>101</v>
      </c>
      <c r="AQ1740" t="str">
        <f>"+13126932825"</f>
        <v>+13126932825</v>
      </c>
      <c r="AS1740" t="s">
        <v>844</v>
      </c>
      <c r="AT1740" t="s">
        <v>102</v>
      </c>
      <c r="AU1740" t="str">
        <f>""</f>
        <v/>
      </c>
      <c r="AV1740" t="str">
        <f>""</f>
        <v/>
      </c>
      <c r="AW1740" t="str">
        <f>""</f>
        <v/>
      </c>
      <c r="AX1740" t="str">
        <f>""</f>
        <v/>
      </c>
      <c r="AY1740" t="str">
        <f>""</f>
        <v/>
      </c>
      <c r="AZ1740" t="str">
        <f>""</f>
        <v/>
      </c>
      <c r="BA1740" t="str">
        <f>""</f>
        <v/>
      </c>
      <c r="BC1740" t="str">
        <f>""</f>
        <v/>
      </c>
      <c r="BD1740" t="str">
        <f>""</f>
        <v/>
      </c>
      <c r="BE1740" t="str">
        <f>""</f>
        <v/>
      </c>
      <c r="BF1740" t="str">
        <f>""</f>
        <v/>
      </c>
      <c r="BG1740" t="str">
        <f>""</f>
        <v/>
      </c>
      <c r="BH1740" t="str">
        <f>""</f>
        <v/>
      </c>
      <c r="BI1740" t="str">
        <f>""</f>
        <v/>
      </c>
      <c r="BJ1740" t="str">
        <f>""</f>
        <v/>
      </c>
      <c r="BK1740">
        <v>1</v>
      </c>
      <c r="BL1740" t="s">
        <v>102</v>
      </c>
      <c r="BM1740" t="str">
        <f>""</f>
        <v/>
      </c>
      <c r="BN1740" t="s">
        <v>7226</v>
      </c>
      <c r="BO1740" t="s">
        <v>1141</v>
      </c>
      <c r="BP1740" t="s">
        <v>765</v>
      </c>
      <c r="BQ1740" t="s">
        <v>721</v>
      </c>
      <c r="BR1740" t="s">
        <v>114</v>
      </c>
      <c r="BS1740" s="5">
        <v>78749</v>
      </c>
      <c r="BT1740" s="2">
        <v>91000</v>
      </c>
      <c r="BU1740" s="2">
        <v>149800</v>
      </c>
      <c r="BV1740" t="s">
        <v>105</v>
      </c>
      <c r="BW1740" s="2">
        <v>83138</v>
      </c>
      <c r="BX1740" t="s">
        <v>105</v>
      </c>
      <c r="BZ1740" t="s">
        <v>123</v>
      </c>
      <c r="CA1740" t="str">
        <f t="shared" si="135"/>
        <v>7/1/2020 - 6/30/2021</v>
      </c>
      <c r="CF1740">
        <v>2</v>
      </c>
      <c r="CG1740" t="s">
        <v>98</v>
      </c>
      <c r="CH1740" t="s">
        <v>206</v>
      </c>
      <c r="CI1740" t="s">
        <v>206</v>
      </c>
      <c r="CL1740" t="s">
        <v>108</v>
      </c>
      <c r="CM1740" t="s">
        <v>109</v>
      </c>
      <c r="CN1740" t="str">
        <f>""</f>
        <v/>
      </c>
      <c r="CO1740" t="str">
        <f>""</f>
        <v/>
      </c>
      <c r="CP1740" t="str">
        <f>""</f>
        <v/>
      </c>
      <c r="CQ1740" t="str">
        <f>""</f>
        <v/>
      </c>
    </row>
    <row r="1741" spans="1:96" x14ac:dyDescent="0.2">
      <c r="A1741" t="s">
        <v>7238</v>
      </c>
      <c r="B1741" t="s">
        <v>96</v>
      </c>
      <c r="C1741" s="1">
        <v>44099</v>
      </c>
      <c r="D1741" s="1">
        <v>44106</v>
      </c>
      <c r="F1741" t="s">
        <v>97</v>
      </c>
      <c r="G1741" t="str">
        <f>"Associate Scientist"</f>
        <v>Associate Scientist</v>
      </c>
      <c r="H1741" t="s">
        <v>12190</v>
      </c>
      <c r="I1741" t="s">
        <v>1072</v>
      </c>
      <c r="J1741" t="s">
        <v>98</v>
      </c>
      <c r="K1741" s="1">
        <v>44105</v>
      </c>
      <c r="L1741" s="1">
        <v>45199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7239</v>
      </c>
      <c r="U1741" t="str">
        <f>""</f>
        <v/>
      </c>
      <c r="V1741" t="s">
        <v>7240</v>
      </c>
      <c r="W1741" t="str">
        <f>"Suite 102"</f>
        <v>Suite 102</v>
      </c>
      <c r="X1741" t="s">
        <v>687</v>
      </c>
      <c r="Y1741" t="s">
        <v>171</v>
      </c>
      <c r="Z1741" s="3">
        <v>2421</v>
      </c>
      <c r="AA1741" t="s">
        <v>101</v>
      </c>
      <c r="AC1741" s="4" t="str">
        <f>"+16172037111"</f>
        <v>+16172037111</v>
      </c>
      <c r="AE1741" t="str">
        <f>"54171"</f>
        <v>54171</v>
      </c>
      <c r="AF1741" t="s">
        <v>7241</v>
      </c>
      <c r="AG1741" t="s">
        <v>3679</v>
      </c>
      <c r="AI1741" t="s">
        <v>7242</v>
      </c>
      <c r="AJ1741" t="s">
        <v>7240</v>
      </c>
      <c r="AK1741" t="str">
        <f>"Suite 102"</f>
        <v>Suite 102</v>
      </c>
      <c r="AL1741" t="s">
        <v>687</v>
      </c>
      <c r="AM1741" t="s">
        <v>171</v>
      </c>
      <c r="AN1741" s="3">
        <v>2421</v>
      </c>
      <c r="AO1741" t="s">
        <v>101</v>
      </c>
      <c r="AQ1741" t="str">
        <f>"+13398889940"</f>
        <v>+13398889940</v>
      </c>
      <c r="AS1741" t="s">
        <v>7243</v>
      </c>
      <c r="AT1741" t="s">
        <v>107</v>
      </c>
      <c r="AU1741" t="str">
        <f>"Tietjen"</f>
        <v>Tietjen</v>
      </c>
      <c r="AV1741" t="str">
        <f>"Rhonda"</f>
        <v>Rhonda</v>
      </c>
      <c r="AW1741" t="str">
        <f>"A"</f>
        <v>A</v>
      </c>
      <c r="AX1741" t="str">
        <f>"50 CONGRESS STREET"</f>
        <v>50 CONGRESS STREET</v>
      </c>
      <c r="AY1741" t="str">
        <f>"SUITE 200"</f>
        <v>SUITE 200</v>
      </c>
      <c r="AZ1741" t="str">
        <f>"Boston"</f>
        <v>Boston</v>
      </c>
      <c r="BA1741" t="str">
        <f>"MA"</f>
        <v>MA</v>
      </c>
      <c r="BB1741" s="3">
        <v>2109</v>
      </c>
      <c r="BC1741" t="str">
        <f>"UNITED STATES OF AMERICA"</f>
        <v>UNITED STATES OF AMERICA</v>
      </c>
      <c r="BD1741" t="str">
        <f>""</f>
        <v/>
      </c>
      <c r="BE1741" t="str">
        <f>"+16175425111"</f>
        <v>+16175425111</v>
      </c>
      <c r="BF1741" t="str">
        <f>""</f>
        <v/>
      </c>
      <c r="BG1741" t="str">
        <f>"rt@rsstlawgroup.com"</f>
        <v>rt@rsstlawgroup.com</v>
      </c>
      <c r="BH1741" t="str">
        <f>"Ross Silverman Snyder Tietjen LLP"</f>
        <v>Ross Silverman Snyder Tietjen LLP</v>
      </c>
      <c r="BI1741" t="str">
        <f>"MA"</f>
        <v>MA</v>
      </c>
      <c r="BJ1741" t="str">
        <f>"MA SUPREME JUDICIAL COURT"</f>
        <v>MA SUPREME JUDICIAL COURT</v>
      </c>
      <c r="BK1741">
        <v>1</v>
      </c>
      <c r="BL1741" t="s">
        <v>102</v>
      </c>
      <c r="BM1741" t="str">
        <f>""</f>
        <v/>
      </c>
      <c r="BN1741" t="s">
        <v>7244</v>
      </c>
      <c r="BO1741" t="s">
        <v>1134</v>
      </c>
      <c r="BP1741" t="s">
        <v>687</v>
      </c>
      <c r="BQ1741" t="s">
        <v>593</v>
      </c>
      <c r="BR1741" t="s">
        <v>171</v>
      </c>
      <c r="BS1741" s="5">
        <v>2421</v>
      </c>
      <c r="BT1741" s="2">
        <v>85000</v>
      </c>
      <c r="BV1741" t="s">
        <v>105</v>
      </c>
      <c r="BW1741" s="2">
        <v>82555</v>
      </c>
      <c r="BX1741" t="s">
        <v>105</v>
      </c>
      <c r="BZ1741" t="s">
        <v>167</v>
      </c>
      <c r="CA1741" t="str">
        <f t="shared" si="135"/>
        <v>7/1/2020 - 6/30/2021</v>
      </c>
      <c r="CF1741">
        <v>1</v>
      </c>
      <c r="CG1741" t="s">
        <v>98</v>
      </c>
      <c r="CH1741" t="s">
        <v>206</v>
      </c>
      <c r="CI1741" t="s">
        <v>206</v>
      </c>
      <c r="CL1741" t="s">
        <v>108</v>
      </c>
      <c r="CM1741" t="s">
        <v>109</v>
      </c>
      <c r="CN1741" t="str">
        <f>""</f>
        <v/>
      </c>
      <c r="CO1741" t="str">
        <f>""</f>
        <v/>
      </c>
      <c r="CP1741" t="str">
        <f>""</f>
        <v/>
      </c>
      <c r="CQ1741" t="str">
        <f>""</f>
        <v/>
      </c>
    </row>
    <row r="1742" spans="1:96" x14ac:dyDescent="0.2">
      <c r="A1742" t="s">
        <v>7289</v>
      </c>
      <c r="B1742" t="s">
        <v>96</v>
      </c>
      <c r="C1742" s="1">
        <v>44099</v>
      </c>
      <c r="D1742" s="1">
        <v>44106</v>
      </c>
      <c r="F1742" t="s">
        <v>97</v>
      </c>
      <c r="G1742" t="str">
        <f>"Senior Software Engineer/Developer"</f>
        <v>Senior Software Engineer/Developer</v>
      </c>
      <c r="H1742" t="s">
        <v>12169</v>
      </c>
      <c r="I1742" t="s">
        <v>124</v>
      </c>
      <c r="J1742" t="s">
        <v>98</v>
      </c>
      <c r="K1742" s="1">
        <v>44116</v>
      </c>
      <c r="L1742" s="1">
        <v>45070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 t="s">
        <v>4342</v>
      </c>
      <c r="U1742" t="str">
        <f>"Fidelity Investments"</f>
        <v>Fidelity Investments</v>
      </c>
      <c r="V1742" t="s">
        <v>1580</v>
      </c>
      <c r="W1742" t="str">
        <f>""</f>
        <v/>
      </c>
      <c r="X1742" t="s">
        <v>207</v>
      </c>
      <c r="Y1742" t="s">
        <v>171</v>
      </c>
      <c r="Z1742" s="3">
        <v>2210</v>
      </c>
      <c r="AA1742" t="s">
        <v>101</v>
      </c>
      <c r="AB1742" t="s">
        <v>952</v>
      </c>
      <c r="AC1742" s="4" t="str">
        <f>"+18008355099"</f>
        <v>+18008355099</v>
      </c>
      <c r="AE1742" t="str">
        <f>"52399"</f>
        <v>52399</v>
      </c>
      <c r="AF1742" t="s">
        <v>1581</v>
      </c>
      <c r="AG1742" t="s">
        <v>281</v>
      </c>
      <c r="AH1742" t="s">
        <v>108</v>
      </c>
      <c r="AI1742" t="s">
        <v>1582</v>
      </c>
      <c r="AJ1742" t="s">
        <v>1583</v>
      </c>
      <c r="AK1742" t="str">
        <f>""</f>
        <v/>
      </c>
      <c r="AL1742" t="s">
        <v>1113</v>
      </c>
      <c r="AM1742" t="s">
        <v>122</v>
      </c>
      <c r="AN1742" s="3">
        <v>27709</v>
      </c>
      <c r="AO1742" t="s">
        <v>101</v>
      </c>
      <c r="AQ1742" t="str">
        <f>"+19194583184"</f>
        <v>+19194583184</v>
      </c>
      <c r="AS1742" t="s">
        <v>7290</v>
      </c>
      <c r="AT1742" t="s">
        <v>107</v>
      </c>
      <c r="AU1742" t="str">
        <f>"Swett"</f>
        <v>Swett</v>
      </c>
      <c r="AV1742" t="str">
        <f>"Deborah "</f>
        <v xml:space="preserve">Deborah </v>
      </c>
      <c r="AW1742" t="str">
        <f>"L."</f>
        <v>L.</v>
      </c>
      <c r="AX1742" t="str">
        <f>"2 Seaport Lane - Seaport East"</f>
        <v>2 Seaport Lane - Seaport East</v>
      </c>
      <c r="AY1742" t="str">
        <f>"Suite 300"</f>
        <v>Suite 300</v>
      </c>
      <c r="AZ1742" t="str">
        <f>"Boston"</f>
        <v>Boston</v>
      </c>
      <c r="BA1742" t="str">
        <f>"MA"</f>
        <v>MA</v>
      </c>
      <c r="BB1742" s="3">
        <v>2210</v>
      </c>
      <c r="BC1742" t="str">
        <f>"UNITED STATES OF AMERICA"</f>
        <v>UNITED STATES OF AMERICA</v>
      </c>
      <c r="BD1742" t="str">
        <f>""</f>
        <v/>
      </c>
      <c r="BE1742" t="str">
        <f>"+16179464815"</f>
        <v>+16179464815</v>
      </c>
      <c r="BF1742" t="str">
        <f>""</f>
        <v/>
      </c>
      <c r="BG1742" t="str">
        <f>"DSwett@seyfarth.com"</f>
        <v>DSwett@seyfarth.com</v>
      </c>
      <c r="BH1742" t="str">
        <f>"Seyfarth Shaw LLP"</f>
        <v>Seyfarth Shaw LLP</v>
      </c>
      <c r="BI1742" t="str">
        <f>"CT"</f>
        <v>CT</v>
      </c>
      <c r="BJ1742" t="str">
        <f>"Supreme Judicial Court"</f>
        <v>Supreme Judicial Court</v>
      </c>
      <c r="BK1742">
        <v>1</v>
      </c>
      <c r="BL1742" t="s">
        <v>102</v>
      </c>
      <c r="BM1742" t="str">
        <f>""</f>
        <v/>
      </c>
      <c r="BN1742" t="s">
        <v>3509</v>
      </c>
      <c r="BP1742" t="s">
        <v>3510</v>
      </c>
      <c r="BQ1742" t="s">
        <v>1033</v>
      </c>
      <c r="BR1742" t="s">
        <v>1035</v>
      </c>
      <c r="BS1742" s="5">
        <v>3054</v>
      </c>
      <c r="BT1742" s="2">
        <v>89037</v>
      </c>
      <c r="BU1742" s="2">
        <v>105000</v>
      </c>
      <c r="BV1742" t="s">
        <v>105</v>
      </c>
      <c r="BW1742" s="2">
        <v>89037</v>
      </c>
      <c r="BX1742" t="s">
        <v>105</v>
      </c>
      <c r="CA1742" t="str">
        <f>""</f>
        <v/>
      </c>
      <c r="CB1742" t="s">
        <v>244</v>
      </c>
      <c r="CC1742">
        <v>2020</v>
      </c>
      <c r="CD1742" t="s">
        <v>1616</v>
      </c>
      <c r="CE1742" t="s">
        <v>7291</v>
      </c>
      <c r="CF1742">
        <v>3</v>
      </c>
      <c r="CG1742" t="s">
        <v>98</v>
      </c>
      <c r="CH1742" t="s">
        <v>206</v>
      </c>
      <c r="CI1742" t="s">
        <v>206</v>
      </c>
      <c r="CL1742" t="s">
        <v>108</v>
      </c>
      <c r="CM1742" t="s">
        <v>109</v>
      </c>
      <c r="CN1742" t="str">
        <f>"Skayne"</f>
        <v>Skayne</v>
      </c>
      <c r="CO1742" t="str">
        <f>"Philip"</f>
        <v>Philip</v>
      </c>
      <c r="CP1742" t="str">
        <f>"T."</f>
        <v>T.</v>
      </c>
      <c r="CQ1742" t="str">
        <f>"Seyfarth Shaw LLP"</f>
        <v>Seyfarth Shaw LLP</v>
      </c>
      <c r="CR1742" t="s">
        <v>7096</v>
      </c>
    </row>
    <row r="1743" spans="1:96" x14ac:dyDescent="0.2">
      <c r="A1743" t="s">
        <v>7292</v>
      </c>
      <c r="B1743" t="s">
        <v>96</v>
      </c>
      <c r="C1743" s="1">
        <v>44099</v>
      </c>
      <c r="D1743" s="1">
        <v>44106</v>
      </c>
      <c r="F1743" t="s">
        <v>97</v>
      </c>
      <c r="G1743" t="str">
        <f>"CONSTRUCTION PROJECT ENGINEER"</f>
        <v>CONSTRUCTION PROJECT ENGINEER</v>
      </c>
      <c r="H1743" t="s">
        <v>12185</v>
      </c>
      <c r="I1743" t="s">
        <v>810</v>
      </c>
      <c r="J1743" t="s">
        <v>98</v>
      </c>
      <c r="K1743" s="1">
        <v>44279</v>
      </c>
      <c r="L1743" s="1">
        <v>45374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 t="s">
        <v>7293</v>
      </c>
      <c r="U1743" t="str">
        <f>""</f>
        <v/>
      </c>
      <c r="V1743" t="s">
        <v>7294</v>
      </c>
      <c r="W1743" t="str">
        <f>""</f>
        <v/>
      </c>
      <c r="X1743" t="s">
        <v>805</v>
      </c>
      <c r="Y1743" t="s">
        <v>114</v>
      </c>
      <c r="Z1743" s="3">
        <v>77093</v>
      </c>
      <c r="AA1743" t="s">
        <v>101</v>
      </c>
      <c r="AC1743" s="4" t="str">
        <f>"+17133332104"</f>
        <v>+17133332104</v>
      </c>
      <c r="AE1743" t="str">
        <f>"237120"</f>
        <v>237120</v>
      </c>
      <c r="AF1743" t="s">
        <v>7295</v>
      </c>
      <c r="AG1743" t="s">
        <v>3177</v>
      </c>
      <c r="AI1743" t="s">
        <v>2283</v>
      </c>
      <c r="AJ1743" t="s">
        <v>7294</v>
      </c>
      <c r="AK1743" t="str">
        <f>""</f>
        <v/>
      </c>
      <c r="AL1743" t="s">
        <v>805</v>
      </c>
      <c r="AM1743" t="s">
        <v>114</v>
      </c>
      <c r="AN1743" s="3">
        <v>77093</v>
      </c>
      <c r="AO1743" t="s">
        <v>101</v>
      </c>
      <c r="AQ1743" t="str">
        <f>"+17133332104"</f>
        <v>+17133332104</v>
      </c>
      <c r="AS1743" t="s">
        <v>7296</v>
      </c>
      <c r="AT1743" t="s">
        <v>107</v>
      </c>
      <c r="AU1743" t="str">
        <f>"Ezer"</f>
        <v>Ezer</v>
      </c>
      <c r="AV1743" t="str">
        <f>"Nicole"</f>
        <v>Nicole</v>
      </c>
      <c r="AW1743" t="str">
        <f>"Lawrence"</f>
        <v>Lawrence</v>
      </c>
      <c r="AX1743" t="str">
        <f>"14511 Falling Creek Drive"</f>
        <v>14511 Falling Creek Drive</v>
      </c>
      <c r="AY1743" t="str">
        <f>"Suite 202"</f>
        <v>Suite 202</v>
      </c>
      <c r="AZ1743" t="str">
        <f>"Houston"</f>
        <v>Houston</v>
      </c>
      <c r="BA1743" t="str">
        <f>"TX"</f>
        <v>TX</v>
      </c>
      <c r="BB1743" s="3">
        <v>77014</v>
      </c>
      <c r="BC1743" t="str">
        <f>"UNITED STATES OF AMERICA"</f>
        <v>UNITED STATES OF AMERICA</v>
      </c>
      <c r="BD1743" t="str">
        <f>""</f>
        <v/>
      </c>
      <c r="BE1743" t="str">
        <f>"+12814047781"</f>
        <v>+12814047781</v>
      </c>
      <c r="BF1743" t="str">
        <f>""</f>
        <v/>
      </c>
      <c r="BG1743" t="str">
        <f>"ezernl@ezerlawgroup.com"</f>
        <v>ezernl@ezerlawgroup.com</v>
      </c>
      <c r="BH1743" t="str">
        <f>"The Ezer Law Group PLLC"</f>
        <v>The Ezer Law Group PLLC</v>
      </c>
      <c r="BI1743" t="str">
        <f>"TX"</f>
        <v>TX</v>
      </c>
      <c r="BJ1743" t="str">
        <f>"The Supreme Court of Texas"</f>
        <v>The Supreme Court of Texas</v>
      </c>
      <c r="BK1743">
        <v>1</v>
      </c>
      <c r="BL1743" t="s">
        <v>102</v>
      </c>
      <c r="BM1743" t="str">
        <f>""</f>
        <v/>
      </c>
      <c r="BN1743" t="s">
        <v>7297</v>
      </c>
      <c r="BP1743" t="s">
        <v>7298</v>
      </c>
      <c r="BQ1743" t="s">
        <v>395</v>
      </c>
      <c r="BR1743" t="s">
        <v>114</v>
      </c>
      <c r="BS1743" s="5">
        <v>77530</v>
      </c>
      <c r="BT1743" s="2">
        <v>99840</v>
      </c>
      <c r="BV1743" t="s">
        <v>105</v>
      </c>
      <c r="BW1743" s="2">
        <v>77248</v>
      </c>
      <c r="BX1743" t="s">
        <v>105</v>
      </c>
      <c r="CA1743" t="str">
        <f>""</f>
        <v/>
      </c>
      <c r="CB1743" t="s">
        <v>244</v>
      </c>
      <c r="CC1743">
        <v>2020</v>
      </c>
      <c r="CD1743" t="s">
        <v>5190</v>
      </c>
      <c r="CE1743" t="s">
        <v>7299</v>
      </c>
      <c r="CF1743">
        <v>1</v>
      </c>
      <c r="CG1743" t="s">
        <v>98</v>
      </c>
      <c r="CH1743" t="s">
        <v>206</v>
      </c>
      <c r="CI1743" t="s">
        <v>206</v>
      </c>
      <c r="CL1743" t="s">
        <v>108</v>
      </c>
      <c r="CM1743" t="s">
        <v>109</v>
      </c>
      <c r="CN1743" t="str">
        <f>""</f>
        <v/>
      </c>
      <c r="CO1743" t="str">
        <f>""</f>
        <v/>
      </c>
      <c r="CP1743" t="str">
        <f>""</f>
        <v/>
      </c>
      <c r="CQ1743" t="str">
        <f>""</f>
        <v/>
      </c>
    </row>
    <row r="1744" spans="1:96" x14ac:dyDescent="0.2">
      <c r="A1744" t="s">
        <v>7302</v>
      </c>
      <c r="B1744" t="s">
        <v>96</v>
      </c>
      <c r="C1744" s="1">
        <v>44099</v>
      </c>
      <c r="D1744" s="1">
        <v>44106</v>
      </c>
      <c r="F1744" t="s">
        <v>97</v>
      </c>
      <c r="G1744" t="str">
        <f>"SENIOR REPORTING ANALYST (20012.2977)"</f>
        <v>SENIOR REPORTING ANALYST (20012.2977)</v>
      </c>
      <c r="H1744" t="s">
        <v>12168</v>
      </c>
      <c r="I1744" t="s">
        <v>249</v>
      </c>
      <c r="J1744" t="s">
        <v>98</v>
      </c>
      <c r="K1744" s="1">
        <v>44109</v>
      </c>
      <c r="L1744" s="1">
        <v>45203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 t="s">
        <v>7303</v>
      </c>
      <c r="U1744" t="str">
        <f>""</f>
        <v/>
      </c>
      <c r="V1744" t="s">
        <v>2678</v>
      </c>
      <c r="W1744" t="str">
        <f>""</f>
        <v/>
      </c>
      <c r="X1744" t="s">
        <v>2679</v>
      </c>
      <c r="Y1744" t="s">
        <v>186</v>
      </c>
      <c r="Z1744" s="3">
        <v>55343</v>
      </c>
      <c r="AA1744" t="s">
        <v>101</v>
      </c>
      <c r="AC1744" s="4" t="str">
        <f>"+19529361616"</f>
        <v>+19529361616</v>
      </c>
      <c r="AE1744" t="str">
        <f>"524114"</f>
        <v>524114</v>
      </c>
      <c r="AF1744" t="s">
        <v>2675</v>
      </c>
      <c r="AG1744" t="s">
        <v>2676</v>
      </c>
      <c r="AI1744" t="s">
        <v>2677</v>
      </c>
      <c r="AJ1744" t="s">
        <v>2678</v>
      </c>
      <c r="AK1744" t="str">
        <f>""</f>
        <v/>
      </c>
      <c r="AL1744" t="s">
        <v>2679</v>
      </c>
      <c r="AM1744" t="s">
        <v>186</v>
      </c>
      <c r="AN1744" s="3">
        <v>55343</v>
      </c>
      <c r="AO1744" t="s">
        <v>101</v>
      </c>
      <c r="AQ1744" t="str">
        <f>"+19529361616"</f>
        <v>+19529361616</v>
      </c>
      <c r="AS1744" t="s">
        <v>2680</v>
      </c>
      <c r="AT1744" t="s">
        <v>107</v>
      </c>
      <c r="AU1744" t="str">
        <f>"PETZOLD"</f>
        <v>PETZOLD</v>
      </c>
      <c r="AV1744" t="str">
        <f>"RICK"</f>
        <v>RICK</v>
      </c>
      <c r="AW1744" t="str">
        <f>""</f>
        <v/>
      </c>
      <c r="AX1744" t="str">
        <f>"2400 N GLENVILLE DRIVE, BUILDING A"</f>
        <v>2400 N GLENVILLE DRIVE, BUILDING A</v>
      </c>
      <c r="AY1744" t="str">
        <f>"SUITE 100"</f>
        <v>SUITE 100</v>
      </c>
      <c r="AZ1744" t="str">
        <f>"RICHARDSON"</f>
        <v>RICHARDSON</v>
      </c>
      <c r="BA1744" t="str">
        <f>"TX"</f>
        <v>TX</v>
      </c>
      <c r="BB1744" s="3">
        <v>75082</v>
      </c>
      <c r="BC1744" t="str">
        <f>"UNITED STATES OF AMERICA"</f>
        <v>UNITED STATES OF AMERICA</v>
      </c>
      <c r="BD1744" t="str">
        <f>""</f>
        <v/>
      </c>
      <c r="BE1744" t="str">
        <f>"+19727296094"</f>
        <v>+19727296094</v>
      </c>
      <c r="BF1744" t="str">
        <f>""</f>
        <v/>
      </c>
      <c r="BG1744" t="str">
        <f>"NCHUNG@BALGLOBAL.COM"</f>
        <v>NCHUNG@BALGLOBAL.COM</v>
      </c>
      <c r="BH1744" t="str">
        <f>"BERRY APPLEMAN &amp; LEIDEN LLP"</f>
        <v>BERRY APPLEMAN &amp; LEIDEN LLP</v>
      </c>
      <c r="BI1744" t="str">
        <f>"NJ"</f>
        <v>NJ</v>
      </c>
      <c r="BJ1744" t="str">
        <f>"NEW JERSEY SUPREME COURT"</f>
        <v>NEW JERSEY SUPREME COURT</v>
      </c>
      <c r="BK1744">
        <v>1</v>
      </c>
      <c r="BL1744" t="s">
        <v>102</v>
      </c>
      <c r="BM1744" t="str">
        <f>""</f>
        <v/>
      </c>
      <c r="BN1744" t="s">
        <v>7304</v>
      </c>
      <c r="BP1744" t="s">
        <v>3139</v>
      </c>
      <c r="BQ1744" t="s">
        <v>185</v>
      </c>
      <c r="BR1744" t="s">
        <v>186</v>
      </c>
      <c r="BS1744" s="5">
        <v>55343</v>
      </c>
      <c r="BT1744" s="2">
        <v>88296</v>
      </c>
      <c r="BU1744" s="2">
        <v>118085</v>
      </c>
      <c r="BV1744" t="s">
        <v>105</v>
      </c>
      <c r="BW1744" s="2">
        <v>88296</v>
      </c>
      <c r="BX1744" t="s">
        <v>105</v>
      </c>
      <c r="BZ1744" t="s">
        <v>123</v>
      </c>
      <c r="CA1744" t="str">
        <f t="shared" ref="CA1744:CA1750" si="137">"7/1/2020 - 6/30/2021"</f>
        <v>7/1/2020 - 6/30/2021</v>
      </c>
      <c r="CF1744">
        <v>2</v>
      </c>
      <c r="CG1744" t="s">
        <v>98</v>
      </c>
      <c r="CH1744" t="s">
        <v>206</v>
      </c>
      <c r="CI1744" t="s">
        <v>206</v>
      </c>
      <c r="CL1744" t="s">
        <v>108</v>
      </c>
      <c r="CM1744" t="s">
        <v>109</v>
      </c>
      <c r="CN1744" t="str">
        <f>"Chung"</f>
        <v>Chung</v>
      </c>
      <c r="CO1744" t="str">
        <f>"Nuri"</f>
        <v>Nuri</v>
      </c>
      <c r="CP1744" t="str">
        <f>""</f>
        <v/>
      </c>
      <c r="CQ1744" t="str">
        <f>"Berry Appleman &amp; Leiden LLP"</f>
        <v>Berry Appleman &amp; Leiden LLP</v>
      </c>
      <c r="CR1744" t="s">
        <v>4963</v>
      </c>
    </row>
    <row r="1745" spans="1:96" x14ac:dyDescent="0.2">
      <c r="A1745" t="s">
        <v>7306</v>
      </c>
      <c r="B1745" t="s">
        <v>96</v>
      </c>
      <c r="C1745" s="1">
        <v>44099</v>
      </c>
      <c r="D1745" s="1">
        <v>44106</v>
      </c>
      <c r="F1745" t="s">
        <v>97</v>
      </c>
      <c r="G1745" t="str">
        <f>"Software Engineer"</f>
        <v>Software Engineer</v>
      </c>
      <c r="H1745" t="s">
        <v>12169</v>
      </c>
      <c r="I1745" t="s">
        <v>124</v>
      </c>
      <c r="J1745" t="s">
        <v>98</v>
      </c>
      <c r="K1745" s="1">
        <v>44279</v>
      </c>
      <c r="L1745" s="1">
        <v>45374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 t="s">
        <v>173</v>
      </c>
      <c r="U1745" t="str">
        <f>""</f>
        <v/>
      </c>
      <c r="V1745" t="s">
        <v>174</v>
      </c>
      <c r="W1745" t="str">
        <f>"N/A"</f>
        <v>N/A</v>
      </c>
      <c r="X1745" t="s">
        <v>175</v>
      </c>
      <c r="Y1745" t="s">
        <v>176</v>
      </c>
      <c r="Z1745" s="3">
        <v>98052</v>
      </c>
      <c r="AA1745" t="s">
        <v>101</v>
      </c>
      <c r="AC1745" s="4" t="str">
        <f>"+14258828080"</f>
        <v>+14258828080</v>
      </c>
      <c r="AE1745" t="str">
        <f>"51121"</f>
        <v>51121</v>
      </c>
      <c r="AF1745" t="s">
        <v>177</v>
      </c>
      <c r="AG1745" t="s">
        <v>178</v>
      </c>
      <c r="AI1745" t="s">
        <v>179</v>
      </c>
      <c r="AJ1745" t="s">
        <v>174</v>
      </c>
      <c r="AK1745" t="str">
        <f>""</f>
        <v/>
      </c>
      <c r="AL1745" t="s">
        <v>175</v>
      </c>
      <c r="AM1745" t="s">
        <v>176</v>
      </c>
      <c r="AN1745" s="3">
        <v>98052</v>
      </c>
      <c r="AO1745" t="s">
        <v>101</v>
      </c>
      <c r="AQ1745" t="str">
        <f>"+14258828080"</f>
        <v>+14258828080</v>
      </c>
      <c r="AS1745" t="s">
        <v>180</v>
      </c>
      <c r="AT1745" t="s">
        <v>102</v>
      </c>
      <c r="AU1745" t="str">
        <f>""</f>
        <v/>
      </c>
      <c r="AV1745" t="str">
        <f>""</f>
        <v/>
      </c>
      <c r="AW1745" t="str">
        <f>""</f>
        <v/>
      </c>
      <c r="AX1745" t="str">
        <f>""</f>
        <v/>
      </c>
      <c r="AY1745" t="str">
        <f>""</f>
        <v/>
      </c>
      <c r="AZ1745" t="str">
        <f>""</f>
        <v/>
      </c>
      <c r="BA1745" t="str">
        <f>""</f>
        <v/>
      </c>
      <c r="BC1745" t="str">
        <f>""</f>
        <v/>
      </c>
      <c r="BD1745" t="str">
        <f>""</f>
        <v/>
      </c>
      <c r="BE1745" t="str">
        <f>""</f>
        <v/>
      </c>
      <c r="BF1745" t="str">
        <f>""</f>
        <v/>
      </c>
      <c r="BG1745" t="str">
        <f>""</f>
        <v/>
      </c>
      <c r="BH1745" t="str">
        <f>""</f>
        <v/>
      </c>
      <c r="BI1745" t="str">
        <f>""</f>
        <v/>
      </c>
      <c r="BJ1745" t="str">
        <f>""</f>
        <v/>
      </c>
      <c r="BK1745">
        <v>1</v>
      </c>
      <c r="BL1745" t="s">
        <v>102</v>
      </c>
      <c r="BM1745" t="str">
        <f>""</f>
        <v/>
      </c>
      <c r="BN1745" t="s">
        <v>962</v>
      </c>
      <c r="BP1745" t="s">
        <v>175</v>
      </c>
      <c r="BQ1745" t="s">
        <v>183</v>
      </c>
      <c r="BR1745" t="s">
        <v>176</v>
      </c>
      <c r="BS1745" s="5">
        <v>98052</v>
      </c>
      <c r="BT1745" s="2">
        <v>177279</v>
      </c>
      <c r="BV1745" t="s">
        <v>105</v>
      </c>
      <c r="BW1745" s="2">
        <v>134098</v>
      </c>
      <c r="BX1745" t="s">
        <v>105</v>
      </c>
      <c r="BZ1745" t="s">
        <v>123</v>
      </c>
      <c r="CA1745" t="str">
        <f t="shared" si="137"/>
        <v>7/1/2020 - 6/30/2021</v>
      </c>
      <c r="CF1745">
        <v>1</v>
      </c>
      <c r="CG1745" t="s">
        <v>98</v>
      </c>
      <c r="CH1745" t="s">
        <v>206</v>
      </c>
      <c r="CI1745" t="s">
        <v>206</v>
      </c>
      <c r="CL1745" t="s">
        <v>108</v>
      </c>
      <c r="CM1745" t="s">
        <v>109</v>
      </c>
      <c r="CN1745" t="str">
        <f>"Kodishala"</f>
        <v>Kodishala</v>
      </c>
      <c r="CO1745" t="str">
        <f>"Suresh"</f>
        <v>Suresh</v>
      </c>
      <c r="CP1745" t="str">
        <f>"N/A"</f>
        <v>N/A</v>
      </c>
      <c r="CQ1745" t="str">
        <f>"INTEGREON MANAGED SOLUTIONS (INDIA) PVT LTD"</f>
        <v>INTEGREON MANAGED SOLUTIONS (INDIA) PVT LTD</v>
      </c>
      <c r="CR1745" t="s">
        <v>231</v>
      </c>
    </row>
    <row r="1746" spans="1:96" x14ac:dyDescent="0.2">
      <c r="A1746" t="s">
        <v>7307</v>
      </c>
      <c r="B1746" t="s">
        <v>96</v>
      </c>
      <c r="C1746" s="1">
        <v>44099</v>
      </c>
      <c r="D1746" s="1">
        <v>44106</v>
      </c>
      <c r="F1746" t="s">
        <v>97</v>
      </c>
      <c r="G1746" t="str">
        <f>"Advanced Software Engineer"</f>
        <v>Advanced Software Engineer</v>
      </c>
      <c r="H1746" t="s">
        <v>12176</v>
      </c>
      <c r="I1746" t="s">
        <v>246</v>
      </c>
      <c r="J1746" t="s">
        <v>98</v>
      </c>
      <c r="K1746" s="1">
        <v>44119</v>
      </c>
      <c r="L1746" s="1">
        <v>45213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 t="s">
        <v>2095</v>
      </c>
      <c r="U1746" t="str">
        <f>""</f>
        <v/>
      </c>
      <c r="V1746" t="s">
        <v>2096</v>
      </c>
      <c r="W1746" t="str">
        <f>"Suite 600"</f>
        <v>Suite 600</v>
      </c>
      <c r="X1746" t="s">
        <v>604</v>
      </c>
      <c r="Y1746" t="s">
        <v>122</v>
      </c>
      <c r="Z1746" s="3">
        <v>28202</v>
      </c>
      <c r="AA1746" t="s">
        <v>101</v>
      </c>
      <c r="AC1746" s="4" t="str">
        <f>"+17049983700"</f>
        <v>+17049983700</v>
      </c>
      <c r="AE1746" t="str">
        <f>"541330"</f>
        <v>541330</v>
      </c>
      <c r="AF1746" t="s">
        <v>2097</v>
      </c>
      <c r="AG1746" t="s">
        <v>5756</v>
      </c>
      <c r="AI1746" t="s">
        <v>2099</v>
      </c>
      <c r="AJ1746" t="s">
        <v>2100</v>
      </c>
      <c r="AK1746" t="str">
        <f>""</f>
        <v/>
      </c>
      <c r="AL1746" t="s">
        <v>2101</v>
      </c>
      <c r="AM1746" t="s">
        <v>100</v>
      </c>
      <c r="AN1746" s="3">
        <v>7950</v>
      </c>
      <c r="AO1746" t="s">
        <v>101</v>
      </c>
      <c r="AQ1746" t="str">
        <f>"+19802794119"</f>
        <v>+19802794119</v>
      </c>
      <c r="AS1746" t="s">
        <v>2102</v>
      </c>
      <c r="AT1746" t="s">
        <v>107</v>
      </c>
      <c r="AU1746" t="str">
        <f>"Nelson"</f>
        <v>Nelson</v>
      </c>
      <c r="AV1746" t="str">
        <f>"Timothy"</f>
        <v>Timothy</v>
      </c>
      <c r="AW1746" t="str">
        <f>""</f>
        <v/>
      </c>
      <c r="AX1746" t="str">
        <f>"90 Matawan Road"</f>
        <v>90 Matawan Road</v>
      </c>
      <c r="AY1746" t="str">
        <f>"4th Floor"</f>
        <v>4th Floor</v>
      </c>
      <c r="AZ1746" t="str">
        <f>"Matawan"</f>
        <v>Matawan</v>
      </c>
      <c r="BA1746" t="str">
        <f>"NJ"</f>
        <v>NJ</v>
      </c>
      <c r="BB1746" s="3">
        <v>7747</v>
      </c>
      <c r="BC1746" t="str">
        <f t="shared" ref="BC1746:BC1758" si="138">"UNITED STATES OF AMERICA"</f>
        <v>UNITED STATES OF AMERICA</v>
      </c>
      <c r="BD1746" t="str">
        <f>""</f>
        <v/>
      </c>
      <c r="BE1746" t="str">
        <f>"+17328625000"</f>
        <v>+17328625000</v>
      </c>
      <c r="BF1746" t="str">
        <f>""</f>
        <v/>
      </c>
      <c r="BG1746" t="str">
        <f>"jruela@fragomen.com"</f>
        <v>jruela@fragomen.com</v>
      </c>
      <c r="BH1746" t="str">
        <f>"Fragomen, Del Rey, Bernsen &amp; Loewy LLP"</f>
        <v>Fragomen, Del Rey, Bernsen &amp; Loewy LLP</v>
      </c>
      <c r="BI1746" t="str">
        <f>"NJ"</f>
        <v>NJ</v>
      </c>
      <c r="BJ1746" t="str">
        <f>"Supreme"</f>
        <v>Supreme</v>
      </c>
      <c r="BK1746">
        <v>1</v>
      </c>
      <c r="BL1746" t="s">
        <v>102</v>
      </c>
      <c r="BM1746" t="str">
        <f>""</f>
        <v/>
      </c>
      <c r="BN1746" t="s">
        <v>7308</v>
      </c>
      <c r="BP1746" t="s">
        <v>7309</v>
      </c>
      <c r="BQ1746" t="s">
        <v>282</v>
      </c>
      <c r="BR1746" t="s">
        <v>280</v>
      </c>
      <c r="BS1746" s="5">
        <v>6472</v>
      </c>
      <c r="BT1746" s="2">
        <v>125000</v>
      </c>
      <c r="BV1746" t="s">
        <v>105</v>
      </c>
      <c r="BW1746" s="2">
        <v>111883</v>
      </c>
      <c r="BX1746" t="s">
        <v>105</v>
      </c>
      <c r="BZ1746" t="s">
        <v>123</v>
      </c>
      <c r="CA1746" t="str">
        <f t="shared" si="137"/>
        <v>7/1/2020 - 6/30/2021</v>
      </c>
      <c r="CF1746">
        <v>1</v>
      </c>
      <c r="CG1746" t="s">
        <v>98</v>
      </c>
      <c r="CH1746" t="s">
        <v>206</v>
      </c>
      <c r="CI1746" t="s">
        <v>206</v>
      </c>
      <c r="CL1746" t="s">
        <v>108</v>
      </c>
      <c r="CM1746" t="s">
        <v>109</v>
      </c>
      <c r="CN1746" t="str">
        <f>"Ruela"</f>
        <v>Ruela</v>
      </c>
      <c r="CO1746" t="str">
        <f>"Jenna"</f>
        <v>Jenna</v>
      </c>
      <c r="CP1746" t="str">
        <f>"M."</f>
        <v>M.</v>
      </c>
      <c r="CQ1746" t="str">
        <f>"Fragomen, Del Rey, Bernsen &amp; Loewy LLP"</f>
        <v>Fragomen, Del Rey, Bernsen &amp; Loewy LLP</v>
      </c>
      <c r="CR1746" t="s">
        <v>2103</v>
      </c>
    </row>
    <row r="1747" spans="1:96" x14ac:dyDescent="0.2">
      <c r="A1747" t="s">
        <v>7312</v>
      </c>
      <c r="B1747" t="s">
        <v>96</v>
      </c>
      <c r="C1747" s="1">
        <v>44099</v>
      </c>
      <c r="D1747" s="1">
        <v>44106</v>
      </c>
      <c r="F1747" t="s">
        <v>97</v>
      </c>
      <c r="G1747" t="str">
        <f>"Consultant"</f>
        <v>Consultant</v>
      </c>
      <c r="H1747" t="s">
        <v>12169</v>
      </c>
      <c r="I1747" t="s">
        <v>124</v>
      </c>
      <c r="J1747" t="s">
        <v>98</v>
      </c>
      <c r="K1747" s="1">
        <v>44109</v>
      </c>
      <c r="L1747" s="1">
        <v>45203</v>
      </c>
      <c r="M1747">
        <v>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</v>
      </c>
      <c r="T1747" t="s">
        <v>737</v>
      </c>
      <c r="U1747" t="str">
        <f>""</f>
        <v/>
      </c>
      <c r="V1747" t="s">
        <v>217</v>
      </c>
      <c r="W1747" t="str">
        <f>"Suite 2700"</f>
        <v>Suite 2700</v>
      </c>
      <c r="X1747" t="s">
        <v>218</v>
      </c>
      <c r="Y1747" t="s">
        <v>127</v>
      </c>
      <c r="Z1747" s="3">
        <v>19103</v>
      </c>
      <c r="AA1747" t="s">
        <v>101</v>
      </c>
      <c r="AC1747" s="4" t="str">
        <f>"+16179608170"</f>
        <v>+16179608170</v>
      </c>
      <c r="AE1747" t="str">
        <f>"541611"</f>
        <v>541611</v>
      </c>
      <c r="AF1747" t="s">
        <v>908</v>
      </c>
      <c r="AG1747" t="s">
        <v>909</v>
      </c>
      <c r="AI1747" t="s">
        <v>910</v>
      </c>
      <c r="AJ1747" t="s">
        <v>217</v>
      </c>
      <c r="AK1747" t="str">
        <f>"Suite 2700"</f>
        <v>Suite 2700</v>
      </c>
      <c r="AL1747" t="s">
        <v>218</v>
      </c>
      <c r="AM1747" t="s">
        <v>127</v>
      </c>
      <c r="AN1747" s="3">
        <v>19103</v>
      </c>
      <c r="AO1747" t="s">
        <v>101</v>
      </c>
      <c r="AQ1747" t="str">
        <f>"+16179608170"</f>
        <v>+16179608170</v>
      </c>
      <c r="AS1747" t="s">
        <v>222</v>
      </c>
      <c r="AT1747" t="s">
        <v>107</v>
      </c>
      <c r="AU1747" t="str">
        <f>"Fitzgerald"</f>
        <v>Fitzgerald</v>
      </c>
      <c r="AV1747" t="str">
        <f>"Ayumary"</f>
        <v>Ayumary</v>
      </c>
      <c r="AW1747" t="str">
        <f>""</f>
        <v/>
      </c>
      <c r="AX1747" t="str">
        <f>"2400 N. Glenville Drive, Building A"</f>
        <v>2400 N. Glenville Drive, Building A</v>
      </c>
      <c r="AY1747" t="str">
        <f>"Suite 100"</f>
        <v>Suite 100</v>
      </c>
      <c r="AZ1747" t="str">
        <f>"Richardson"</f>
        <v>Richardson</v>
      </c>
      <c r="BA1747" t="str">
        <f>"TX"</f>
        <v>TX</v>
      </c>
      <c r="BB1747" s="3">
        <v>75082</v>
      </c>
      <c r="BC1747" t="str">
        <f t="shared" si="138"/>
        <v>UNITED STATES OF AMERICA</v>
      </c>
      <c r="BD1747" t="str">
        <f>""</f>
        <v/>
      </c>
      <c r="BE1747" t="str">
        <f>"+19727296182"</f>
        <v>+19727296182</v>
      </c>
      <c r="BF1747" t="str">
        <f>""</f>
        <v/>
      </c>
      <c r="BG1747" t="str">
        <f>"teamayu@balglobal.com"</f>
        <v>teamayu@balglobal.com</v>
      </c>
      <c r="BH1747" t="str">
        <f>"Berry Appleman &amp; Leiden LLP"</f>
        <v>Berry Appleman &amp; Leiden LLP</v>
      </c>
      <c r="BI1747" t="str">
        <f>"TX"</f>
        <v>TX</v>
      </c>
      <c r="BJ1747" t="str">
        <f>"Supreme Court of Texas"</f>
        <v>Supreme Court of Texas</v>
      </c>
      <c r="BK1747">
        <v>3</v>
      </c>
      <c r="BL1747" t="s">
        <v>102</v>
      </c>
      <c r="BM1747" t="str">
        <f>""</f>
        <v/>
      </c>
      <c r="BN1747" t="s">
        <v>2958</v>
      </c>
      <c r="BO1747" t="s">
        <v>1056</v>
      </c>
      <c r="BP1747" t="s">
        <v>595</v>
      </c>
      <c r="BQ1747" t="s">
        <v>484</v>
      </c>
      <c r="BR1747" t="s">
        <v>114</v>
      </c>
      <c r="BS1747" s="5" t="s">
        <v>12321</v>
      </c>
      <c r="BT1747" s="2">
        <v>101900</v>
      </c>
      <c r="BV1747" t="s">
        <v>105</v>
      </c>
      <c r="BW1747" s="2">
        <v>93558</v>
      </c>
      <c r="BX1747" t="s">
        <v>105</v>
      </c>
      <c r="BZ1747" t="s">
        <v>167</v>
      </c>
      <c r="CA1747" t="str">
        <f t="shared" si="137"/>
        <v>7/1/2020 - 6/30/2021</v>
      </c>
      <c r="CF1747">
        <v>2</v>
      </c>
      <c r="CG1747" t="s">
        <v>98</v>
      </c>
      <c r="CH1747" t="s">
        <v>206</v>
      </c>
      <c r="CI1747" t="s">
        <v>206</v>
      </c>
      <c r="CL1747" t="s">
        <v>108</v>
      </c>
      <c r="CM1747" t="s">
        <v>109</v>
      </c>
      <c r="CN1747" t="str">
        <f>"Dennis"</f>
        <v>Dennis</v>
      </c>
      <c r="CO1747" t="str">
        <f>"Ashley"</f>
        <v>Ashley</v>
      </c>
      <c r="CP1747" t="str">
        <f>"N"</f>
        <v>N</v>
      </c>
      <c r="CQ1747" t="str">
        <f>"Berry Appleman &amp; Leiden LLP"</f>
        <v>Berry Appleman &amp; Leiden LLP</v>
      </c>
      <c r="CR1747" t="s">
        <v>913</v>
      </c>
    </row>
    <row r="1748" spans="1:96" x14ac:dyDescent="0.2">
      <c r="A1748" t="s">
        <v>7353</v>
      </c>
      <c r="B1748" t="s">
        <v>96</v>
      </c>
      <c r="C1748" s="1">
        <v>44099</v>
      </c>
      <c r="D1748" s="1">
        <v>44106</v>
      </c>
      <c r="F1748" t="s">
        <v>97</v>
      </c>
      <c r="G1748" t="str">
        <f>"Staff Engineer, R&amp;D Engineering"</f>
        <v>Staff Engineer, R&amp;D Engineering</v>
      </c>
      <c r="H1748" t="s">
        <v>12186</v>
      </c>
      <c r="I1748" t="s">
        <v>232</v>
      </c>
      <c r="J1748" t="s">
        <v>98</v>
      </c>
      <c r="K1748" s="1">
        <v>44105</v>
      </c>
      <c r="L1748" s="1">
        <v>45199</v>
      </c>
      <c r="M1748">
        <v>25</v>
      </c>
      <c r="N1748">
        <v>5</v>
      </c>
      <c r="O1748">
        <v>5</v>
      </c>
      <c r="P1748">
        <v>5</v>
      </c>
      <c r="Q1748">
        <v>0</v>
      </c>
      <c r="R1748">
        <v>5</v>
      </c>
      <c r="S1748">
        <v>5</v>
      </c>
      <c r="T1748" t="s">
        <v>2257</v>
      </c>
      <c r="U1748" t="str">
        <f>""</f>
        <v/>
      </c>
      <c r="V1748" t="s">
        <v>2258</v>
      </c>
      <c r="W1748" t="str">
        <f>"N/A"</f>
        <v>N/A</v>
      </c>
      <c r="X1748" t="s">
        <v>585</v>
      </c>
      <c r="Y1748" t="s">
        <v>141</v>
      </c>
      <c r="Z1748" s="3">
        <v>95119</v>
      </c>
      <c r="AA1748" t="s">
        <v>101</v>
      </c>
      <c r="AC1748" s="4" t="str">
        <f>"+14087178629"</f>
        <v>+14087178629</v>
      </c>
      <c r="AE1748" t="str">
        <f>"334112"</f>
        <v>334112</v>
      </c>
      <c r="AF1748" t="s">
        <v>5712</v>
      </c>
      <c r="AG1748" t="s">
        <v>5713</v>
      </c>
      <c r="AI1748" t="s">
        <v>5714</v>
      </c>
      <c r="AJ1748" t="s">
        <v>2258</v>
      </c>
      <c r="AK1748" t="str">
        <f>""</f>
        <v/>
      </c>
      <c r="AL1748" t="s">
        <v>585</v>
      </c>
      <c r="AM1748" t="s">
        <v>141</v>
      </c>
      <c r="AN1748" s="3">
        <v>95119</v>
      </c>
      <c r="AO1748" t="s">
        <v>101</v>
      </c>
      <c r="AQ1748" t="str">
        <f>"+14087178629"</f>
        <v>+14087178629</v>
      </c>
      <c r="AS1748" t="s">
        <v>2259</v>
      </c>
      <c r="AT1748" t="s">
        <v>107</v>
      </c>
      <c r="AU1748" t="str">
        <f>"Song"</f>
        <v>Song</v>
      </c>
      <c r="AV1748" t="str">
        <f>"Shelly"</f>
        <v>Shelly</v>
      </c>
      <c r="AW1748" t="str">
        <f>""</f>
        <v/>
      </c>
      <c r="AX1748" t="str">
        <f>"444 S Flower St."</f>
        <v>444 S Flower St.</v>
      </c>
      <c r="AY1748" t="str">
        <f>"Ste. 500"</f>
        <v>Ste. 500</v>
      </c>
      <c r="AZ1748" t="str">
        <f>"Los Angeles"</f>
        <v>Los Angeles</v>
      </c>
      <c r="BA1748" t="str">
        <f>"CA"</f>
        <v>CA</v>
      </c>
      <c r="BB1748" s="3">
        <v>90071</v>
      </c>
      <c r="BC1748" t="str">
        <f t="shared" si="138"/>
        <v>UNITED STATES OF AMERICA</v>
      </c>
      <c r="BD1748" t="str">
        <f>""</f>
        <v/>
      </c>
      <c r="BE1748" t="str">
        <f>"+13108203322"</f>
        <v>+13108203322</v>
      </c>
      <c r="BF1748" t="str">
        <f>""</f>
        <v/>
      </c>
      <c r="BG1748" t="str">
        <f>"SNavarro@Fragomen.com"</f>
        <v>SNavarro@Fragomen.com</v>
      </c>
      <c r="BH1748" t="str">
        <f>"Fragomen, Del Rey, Bernsen &amp; Loewy, LLP"</f>
        <v>Fragomen, Del Rey, Bernsen &amp; Loewy, LLP</v>
      </c>
      <c r="BI1748" t="str">
        <f>"CA"</f>
        <v>CA</v>
      </c>
      <c r="BJ1748" t="str">
        <f>"Supreme Court"</f>
        <v>Supreme Court</v>
      </c>
      <c r="BK1748">
        <v>25</v>
      </c>
      <c r="BL1748" t="s">
        <v>102</v>
      </c>
      <c r="BM1748" t="str">
        <f>""</f>
        <v/>
      </c>
      <c r="BN1748" t="s">
        <v>6639</v>
      </c>
      <c r="BP1748" t="s">
        <v>762</v>
      </c>
      <c r="BQ1748" t="s">
        <v>230</v>
      </c>
      <c r="BR1748" t="s">
        <v>141</v>
      </c>
      <c r="BS1748" s="5">
        <v>95035</v>
      </c>
      <c r="BT1748" s="2">
        <v>150000</v>
      </c>
      <c r="BU1748" s="2">
        <v>170000</v>
      </c>
      <c r="BV1748" t="s">
        <v>105</v>
      </c>
      <c r="BW1748" s="2">
        <v>141669</v>
      </c>
      <c r="BX1748" t="s">
        <v>105</v>
      </c>
      <c r="BZ1748" t="s">
        <v>123</v>
      </c>
      <c r="CA1748" t="str">
        <f t="shared" si="137"/>
        <v>7/1/2020 - 6/30/2021</v>
      </c>
      <c r="CF1748">
        <v>3</v>
      </c>
      <c r="CG1748" t="s">
        <v>98</v>
      </c>
      <c r="CH1748" t="s">
        <v>206</v>
      </c>
      <c r="CI1748" t="s">
        <v>206</v>
      </c>
      <c r="CL1748" t="s">
        <v>108</v>
      </c>
      <c r="CM1748" t="s">
        <v>109</v>
      </c>
      <c r="CN1748" t="str">
        <f>"Navarro"</f>
        <v>Navarro</v>
      </c>
      <c r="CO1748" t="str">
        <f>"Sandra"</f>
        <v>Sandra</v>
      </c>
      <c r="CP1748" t="str">
        <f>""</f>
        <v/>
      </c>
      <c r="CQ1748" t="str">
        <f>"Fragomen, Del Rey, Bernsen &amp; Loewy, LLP"</f>
        <v>Fragomen, Del Rey, Bernsen &amp; Loewy, LLP</v>
      </c>
      <c r="CR1748" t="s">
        <v>6640</v>
      </c>
    </row>
    <row r="1749" spans="1:96" x14ac:dyDescent="0.2">
      <c r="A1749" t="s">
        <v>7377</v>
      </c>
      <c r="B1749" t="s">
        <v>96</v>
      </c>
      <c r="C1749" s="1">
        <v>44099</v>
      </c>
      <c r="D1749" s="1">
        <v>44106</v>
      </c>
      <c r="F1749" t="s">
        <v>97</v>
      </c>
      <c r="G1749" t="str">
        <f>"SOFTWARE DEVELOPMENT ENGINEER I"</f>
        <v>SOFTWARE DEVELOPMENT ENGINEER I</v>
      </c>
      <c r="H1749" t="s">
        <v>12169</v>
      </c>
      <c r="I1749" t="s">
        <v>124</v>
      </c>
      <c r="J1749" t="s">
        <v>98</v>
      </c>
      <c r="K1749" s="1">
        <v>44105</v>
      </c>
      <c r="L1749" s="1">
        <v>45199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 t="s">
        <v>440</v>
      </c>
      <c r="U1749" t="str">
        <f>""</f>
        <v/>
      </c>
      <c r="V1749" t="s">
        <v>809</v>
      </c>
      <c r="W1749" t="str">
        <f>"SUITE 500"</f>
        <v>SUITE 500</v>
      </c>
      <c r="X1749" t="s">
        <v>433</v>
      </c>
      <c r="Y1749" t="s">
        <v>176</v>
      </c>
      <c r="Z1749" s="3">
        <v>98121</v>
      </c>
      <c r="AA1749" t="s">
        <v>101</v>
      </c>
      <c r="AC1749" s="4" t="str">
        <f>"+12062661000"</f>
        <v>+12062661000</v>
      </c>
      <c r="AE1749" t="str">
        <f>"454110"</f>
        <v>454110</v>
      </c>
      <c r="AF1749" t="s">
        <v>3174</v>
      </c>
      <c r="AG1749" t="s">
        <v>3175</v>
      </c>
      <c r="AH1749" t="s">
        <v>108</v>
      </c>
      <c r="AI1749" t="s">
        <v>434</v>
      </c>
      <c r="AJ1749" t="s">
        <v>809</v>
      </c>
      <c r="AK1749" t="str">
        <f>"SUITE 500"</f>
        <v>SUITE 500</v>
      </c>
      <c r="AL1749" t="s">
        <v>433</v>
      </c>
      <c r="AM1749" t="s">
        <v>176</v>
      </c>
      <c r="AN1749" s="3">
        <v>98121</v>
      </c>
      <c r="AO1749" t="s">
        <v>101</v>
      </c>
      <c r="AQ1749" t="str">
        <f>"+12062661000"</f>
        <v>+12062661000</v>
      </c>
      <c r="AS1749" t="s">
        <v>263</v>
      </c>
      <c r="AT1749" t="s">
        <v>107</v>
      </c>
      <c r="AU1749" t="str">
        <f>"CAREY"</f>
        <v>CAREY</v>
      </c>
      <c r="AV1749" t="str">
        <f>"MOLLY"</f>
        <v>MOLLY</v>
      </c>
      <c r="AW1749" t="str">
        <f>"N/A"</f>
        <v>N/A</v>
      </c>
      <c r="AX1749" t="str">
        <f>"100 HIGH STREET"</f>
        <v>100 HIGH STREET</v>
      </c>
      <c r="AY1749" t="str">
        <f>"3RD FLOOR C#5273332"</f>
        <v>3RD FLOOR C#5273332</v>
      </c>
      <c r="AZ1749" t="str">
        <f>"BOSTON"</f>
        <v>BOSTON</v>
      </c>
      <c r="BA1749" t="str">
        <f>"MA"</f>
        <v>MA</v>
      </c>
      <c r="BB1749" s="3">
        <v>2110</v>
      </c>
      <c r="BC1749" t="str">
        <f t="shared" si="138"/>
        <v>UNITED STATES OF AMERICA</v>
      </c>
      <c r="BD1749" t="str">
        <f>""</f>
        <v/>
      </c>
      <c r="BE1749" t="str">
        <f>"+16175740400"</f>
        <v>+16175740400</v>
      </c>
      <c r="BF1749" t="str">
        <f>""</f>
        <v/>
      </c>
      <c r="BG1749" t="str">
        <f>"AMAZONH1BCAP@FRAGOMEN.COM"</f>
        <v>AMAZONH1BCAP@FRAGOMEN.COM</v>
      </c>
      <c r="BH1749" t="str">
        <f>"FRAGOMEN, DEL REY, BERNSEN &amp; LOEWY, LLP"</f>
        <v>FRAGOMEN, DEL REY, BERNSEN &amp; LOEWY, LLP</v>
      </c>
      <c r="BI1749" t="str">
        <f>"MA"</f>
        <v>MA</v>
      </c>
      <c r="BJ1749" t="str">
        <f>"SUPREME JUDICIAL COURT"</f>
        <v>SUPREME JUDICIAL COURT</v>
      </c>
      <c r="BK1749">
        <v>1</v>
      </c>
      <c r="BL1749" t="s">
        <v>102</v>
      </c>
      <c r="BM1749" t="str">
        <f>""</f>
        <v/>
      </c>
      <c r="BN1749" t="s">
        <v>6891</v>
      </c>
      <c r="BP1749" t="s">
        <v>1924</v>
      </c>
      <c r="BQ1749" t="s">
        <v>365</v>
      </c>
      <c r="BR1749" t="s">
        <v>141</v>
      </c>
      <c r="BS1749" s="5">
        <v>90404</v>
      </c>
      <c r="BT1749" s="2">
        <v>125900</v>
      </c>
      <c r="BV1749" t="s">
        <v>105</v>
      </c>
      <c r="BW1749" s="2">
        <v>78125</v>
      </c>
      <c r="BX1749" t="s">
        <v>105</v>
      </c>
      <c r="BZ1749" t="s">
        <v>191</v>
      </c>
      <c r="CA1749" t="str">
        <f t="shared" si="137"/>
        <v>7/1/2020 - 6/30/2021</v>
      </c>
      <c r="CF1749">
        <v>2</v>
      </c>
      <c r="CG1749" t="s">
        <v>98</v>
      </c>
      <c r="CH1749" t="s">
        <v>206</v>
      </c>
      <c r="CI1749" t="s">
        <v>206</v>
      </c>
      <c r="CL1749" t="s">
        <v>108</v>
      </c>
      <c r="CM1749" t="s">
        <v>109</v>
      </c>
      <c r="CN1749" t="str">
        <f>"RAMACHANDRAN"</f>
        <v>RAMACHANDRAN</v>
      </c>
      <c r="CO1749" t="str">
        <f>"ANU"</f>
        <v>ANU</v>
      </c>
      <c r="CP1749" t="str">
        <f>"N/A"</f>
        <v>N/A</v>
      </c>
      <c r="CQ1749" t="str">
        <f>"FRAGOMEN, DEL REY, BERNSEN &amp; LOEWY, LLP"</f>
        <v>FRAGOMEN, DEL REY, BERNSEN &amp; LOEWY, LLP</v>
      </c>
      <c r="CR1749" t="s">
        <v>3176</v>
      </c>
    </row>
    <row r="1750" spans="1:96" x14ac:dyDescent="0.2">
      <c r="A1750" t="s">
        <v>7382</v>
      </c>
      <c r="B1750" t="s">
        <v>96</v>
      </c>
      <c r="C1750" s="1">
        <v>44099</v>
      </c>
      <c r="D1750" s="1">
        <v>44106</v>
      </c>
      <c r="F1750" t="s">
        <v>97</v>
      </c>
      <c r="G1750" t="str">
        <f>"Senior Engineer"</f>
        <v>Senior Engineer</v>
      </c>
      <c r="H1750" t="s">
        <v>12169</v>
      </c>
      <c r="I1750" t="s">
        <v>124</v>
      </c>
      <c r="J1750" t="s">
        <v>98</v>
      </c>
      <c r="K1750" s="1">
        <v>44282</v>
      </c>
      <c r="L1750" s="1">
        <v>45377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 t="s">
        <v>4372</v>
      </c>
      <c r="U1750" t="str">
        <f>""</f>
        <v/>
      </c>
      <c r="V1750" t="s">
        <v>4373</v>
      </c>
      <c r="W1750" t="str">
        <f>""</f>
        <v/>
      </c>
      <c r="X1750" t="s">
        <v>1632</v>
      </c>
      <c r="Y1750" t="s">
        <v>814</v>
      </c>
      <c r="Z1750" s="3">
        <v>97005</v>
      </c>
      <c r="AA1750" t="s">
        <v>101</v>
      </c>
      <c r="AC1750" s="4" t="str">
        <f>"+15036716453"</f>
        <v>+15036716453</v>
      </c>
      <c r="AE1750" t="str">
        <f>"31621"</f>
        <v>31621</v>
      </c>
      <c r="AF1750" t="s">
        <v>4374</v>
      </c>
      <c r="AG1750" t="s">
        <v>3745</v>
      </c>
      <c r="AI1750" t="s">
        <v>4375</v>
      </c>
      <c r="AJ1750" t="s">
        <v>4373</v>
      </c>
      <c r="AK1750" t="str">
        <f>""</f>
        <v/>
      </c>
      <c r="AL1750" t="s">
        <v>1632</v>
      </c>
      <c r="AM1750" t="s">
        <v>814</v>
      </c>
      <c r="AN1750" s="3">
        <v>97005</v>
      </c>
      <c r="AO1750" t="s">
        <v>101</v>
      </c>
      <c r="AQ1750" t="str">
        <f>"+15036716228"</f>
        <v>+15036716228</v>
      </c>
      <c r="AS1750" t="s">
        <v>4376</v>
      </c>
      <c r="AT1750" t="s">
        <v>107</v>
      </c>
      <c r="AU1750" t="str">
        <f>"Gupta"</f>
        <v>Gupta</v>
      </c>
      <c r="AV1750" t="str">
        <f>"Manish"</f>
        <v>Manish</v>
      </c>
      <c r="AW1750" t="str">
        <f>""</f>
        <v/>
      </c>
      <c r="AX1750" t="str">
        <f>"2400 N. Glenville Drive"</f>
        <v>2400 N. Glenville Drive</v>
      </c>
      <c r="AY1750" t="str">
        <f>"Building A"</f>
        <v>Building A</v>
      </c>
      <c r="AZ1750" t="str">
        <f>"Richardson"</f>
        <v>Richardson</v>
      </c>
      <c r="BA1750" t="str">
        <f>"TX"</f>
        <v>TX</v>
      </c>
      <c r="BB1750" s="3">
        <v>75082</v>
      </c>
      <c r="BC1750" t="str">
        <f t="shared" si="138"/>
        <v>UNITED STATES OF AMERICA</v>
      </c>
      <c r="BD1750" t="str">
        <f>""</f>
        <v/>
      </c>
      <c r="BE1750" t="str">
        <f>"+19728617079"</f>
        <v>+19728617079</v>
      </c>
      <c r="BF1750" t="str">
        <f>""</f>
        <v/>
      </c>
      <c r="BG1750" t="str">
        <f>"mangupta@balglobal.com"</f>
        <v>mangupta@balglobal.com</v>
      </c>
      <c r="BH1750" t="str">
        <f>"Berry Appleman &amp; Leiden LLP"</f>
        <v>Berry Appleman &amp; Leiden LLP</v>
      </c>
      <c r="BI1750" t="str">
        <f>"PA"</f>
        <v>PA</v>
      </c>
      <c r="BJ1750" t="str">
        <f>"Supreme Court "</f>
        <v xml:space="preserve">Supreme Court </v>
      </c>
      <c r="BK1750">
        <v>1</v>
      </c>
      <c r="BL1750" t="s">
        <v>102</v>
      </c>
      <c r="BM1750" t="str">
        <f>""</f>
        <v/>
      </c>
      <c r="BN1750" t="s">
        <v>4377</v>
      </c>
      <c r="BP1750" t="s">
        <v>1632</v>
      </c>
      <c r="BQ1750" t="s">
        <v>813</v>
      </c>
      <c r="BR1750" t="s">
        <v>814</v>
      </c>
      <c r="BS1750" s="5">
        <v>97005</v>
      </c>
      <c r="BT1750" s="2">
        <v>129150</v>
      </c>
      <c r="BV1750" t="s">
        <v>105</v>
      </c>
      <c r="BW1750" s="2">
        <v>125424</v>
      </c>
      <c r="BX1750" t="s">
        <v>105</v>
      </c>
      <c r="BZ1750" t="s">
        <v>159</v>
      </c>
      <c r="CA1750" t="str">
        <f t="shared" si="137"/>
        <v>7/1/2020 - 6/30/2021</v>
      </c>
      <c r="CF1750">
        <v>2</v>
      </c>
      <c r="CG1750" t="s">
        <v>98</v>
      </c>
      <c r="CH1750" t="s">
        <v>206</v>
      </c>
      <c r="CI1750" t="s">
        <v>206</v>
      </c>
      <c r="CL1750" t="s">
        <v>108</v>
      </c>
      <c r="CM1750" t="s">
        <v>109</v>
      </c>
      <c r="CN1750" t="str">
        <f>"Pradel"</f>
        <v>Pradel</v>
      </c>
      <c r="CO1750" t="str">
        <f>"Adrienne"</f>
        <v>Adrienne</v>
      </c>
      <c r="CP1750" t="str">
        <f>""</f>
        <v/>
      </c>
      <c r="CQ1750" t="str">
        <f>"Berry Appleman &amp; Leiden LLP"</f>
        <v>Berry Appleman &amp; Leiden LLP</v>
      </c>
      <c r="CR1750" t="s">
        <v>4378</v>
      </c>
    </row>
    <row r="1751" spans="1:96" x14ac:dyDescent="0.2">
      <c r="A1751" t="s">
        <v>7390</v>
      </c>
      <c r="B1751" t="s">
        <v>96</v>
      </c>
      <c r="C1751" s="1">
        <v>44099</v>
      </c>
      <c r="D1751" s="1">
        <v>44106</v>
      </c>
      <c r="F1751" t="s">
        <v>97</v>
      </c>
      <c r="G1751" t="str">
        <f>"Technology Consultant"</f>
        <v>Technology Consultant</v>
      </c>
      <c r="H1751" t="s">
        <v>12169</v>
      </c>
      <c r="I1751" t="s">
        <v>124</v>
      </c>
      <c r="J1751" t="s">
        <v>98</v>
      </c>
      <c r="K1751" s="1">
        <v>44116</v>
      </c>
      <c r="L1751" s="1">
        <v>45210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 t="s">
        <v>3443</v>
      </c>
      <c r="U1751" t="str">
        <f>""</f>
        <v/>
      </c>
      <c r="V1751" t="s">
        <v>3444</v>
      </c>
      <c r="W1751" t="str">
        <f>"Suite 1900"</f>
        <v>Suite 1900</v>
      </c>
      <c r="X1751" t="s">
        <v>261</v>
      </c>
      <c r="Y1751" t="s">
        <v>176</v>
      </c>
      <c r="Z1751" s="3">
        <v>98104</v>
      </c>
      <c r="AA1751" t="s">
        <v>101</v>
      </c>
      <c r="AC1751" s="4" t="str">
        <f>"+12064385700"</f>
        <v>+12064385700</v>
      </c>
      <c r="AE1751" t="str">
        <f>"541611"</f>
        <v>541611</v>
      </c>
      <c r="AF1751" t="s">
        <v>6498</v>
      </c>
      <c r="AG1751" t="s">
        <v>3229</v>
      </c>
      <c r="AI1751" t="s">
        <v>3445</v>
      </c>
      <c r="AJ1751" t="s">
        <v>3444</v>
      </c>
      <c r="AK1751" t="str">
        <f>"Suite 1900"</f>
        <v>Suite 1900</v>
      </c>
      <c r="AL1751" t="s">
        <v>261</v>
      </c>
      <c r="AM1751" t="s">
        <v>176</v>
      </c>
      <c r="AN1751" s="3">
        <v>98104</v>
      </c>
      <c r="AO1751" t="s">
        <v>101</v>
      </c>
      <c r="AQ1751" t="str">
        <f>"+12062686887"</f>
        <v>+12062686887</v>
      </c>
      <c r="AS1751" t="s">
        <v>6499</v>
      </c>
      <c r="AT1751" t="s">
        <v>107</v>
      </c>
      <c r="AU1751" t="str">
        <f>"Bacayan"</f>
        <v>Bacayan</v>
      </c>
      <c r="AV1751" t="str">
        <f>"Karla Jean"</f>
        <v>Karla Jean</v>
      </c>
      <c r="AW1751" t="str">
        <f>""</f>
        <v/>
      </c>
      <c r="AX1751" t="str">
        <f>"465 California Street"</f>
        <v>465 California Street</v>
      </c>
      <c r="AY1751" t="str">
        <f>"Suite 700"</f>
        <v>Suite 700</v>
      </c>
      <c r="AZ1751" t="str">
        <f>"San Francisco"</f>
        <v>San Francisco</v>
      </c>
      <c r="BA1751" t="str">
        <f>"CA"</f>
        <v>CA</v>
      </c>
      <c r="BB1751" s="3">
        <v>94104</v>
      </c>
      <c r="BC1751" t="str">
        <f t="shared" si="138"/>
        <v>UNITED STATES OF AMERICA</v>
      </c>
      <c r="BD1751" t="str">
        <f>"California"</f>
        <v>California</v>
      </c>
      <c r="BE1751" t="str">
        <f>"+14157717500"</f>
        <v>+14157717500</v>
      </c>
      <c r="BF1751" t="str">
        <f>""</f>
        <v/>
      </c>
      <c r="BG1751" t="str">
        <f>"slalom@pearllawgroup.com"</f>
        <v>slalom@pearllawgroup.com</v>
      </c>
      <c r="BH1751" t="str">
        <f>"Pearl Law Group"</f>
        <v>Pearl Law Group</v>
      </c>
      <c r="BI1751" t="str">
        <f>"CA"</f>
        <v>CA</v>
      </c>
      <c r="BJ1751" t="str">
        <f>"California Supreme Court"</f>
        <v>California Supreme Court</v>
      </c>
      <c r="BK1751">
        <v>1</v>
      </c>
      <c r="BL1751" t="s">
        <v>102</v>
      </c>
      <c r="BM1751" t="str">
        <f>""</f>
        <v/>
      </c>
      <c r="BN1751" t="s">
        <v>5862</v>
      </c>
      <c r="BP1751" t="s">
        <v>911</v>
      </c>
      <c r="BQ1751" t="s">
        <v>912</v>
      </c>
      <c r="BR1751" t="s">
        <v>166</v>
      </c>
      <c r="BS1751" s="5">
        <v>80202</v>
      </c>
      <c r="BT1751" s="2">
        <v>110000</v>
      </c>
      <c r="BU1751" s="2">
        <v>150000</v>
      </c>
      <c r="BV1751" t="s">
        <v>105</v>
      </c>
      <c r="BW1751" s="2">
        <v>102575</v>
      </c>
      <c r="BX1751" t="s">
        <v>105</v>
      </c>
      <c r="CA1751" t="str">
        <f>""</f>
        <v/>
      </c>
      <c r="CB1751" t="s">
        <v>244</v>
      </c>
      <c r="CC1751">
        <v>2020</v>
      </c>
      <c r="CD1751" t="s">
        <v>569</v>
      </c>
      <c r="CE1751" t="s">
        <v>355</v>
      </c>
      <c r="CF1751">
        <v>4</v>
      </c>
      <c r="CG1751" t="s">
        <v>98</v>
      </c>
      <c r="CH1751" t="s">
        <v>206</v>
      </c>
      <c r="CI1751" t="s">
        <v>206</v>
      </c>
      <c r="CL1751" t="s">
        <v>108</v>
      </c>
      <c r="CM1751" t="s">
        <v>109</v>
      </c>
      <c r="CN1751" t="str">
        <f>""</f>
        <v/>
      </c>
      <c r="CO1751" t="str">
        <f>""</f>
        <v/>
      </c>
      <c r="CP1751" t="str">
        <f>""</f>
        <v/>
      </c>
      <c r="CQ1751" t="str">
        <f>""</f>
        <v/>
      </c>
    </row>
    <row r="1752" spans="1:96" x14ac:dyDescent="0.2">
      <c r="A1752" t="s">
        <v>7398</v>
      </c>
      <c r="B1752" t="s">
        <v>96</v>
      </c>
      <c r="C1752" s="1">
        <v>44099</v>
      </c>
      <c r="D1752" s="1">
        <v>44106</v>
      </c>
      <c r="F1752" t="s">
        <v>97</v>
      </c>
      <c r="G1752" t="str">
        <f>"SITE RELIABILITY ENGINEER, AUTONOMOUS DRIVING"</f>
        <v>SITE RELIABILITY ENGINEER, AUTONOMOUS DRIVING</v>
      </c>
      <c r="H1752" t="s">
        <v>12176</v>
      </c>
      <c r="I1752" t="s">
        <v>246</v>
      </c>
      <c r="J1752" t="s">
        <v>98</v>
      </c>
      <c r="K1752" s="1">
        <v>44105</v>
      </c>
      <c r="L1752" s="1">
        <v>45199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 t="s">
        <v>4934</v>
      </c>
      <c r="U1752" t="str">
        <f>""</f>
        <v/>
      </c>
      <c r="V1752" t="s">
        <v>7056</v>
      </c>
      <c r="W1752" t="str">
        <f>""</f>
        <v/>
      </c>
      <c r="X1752" t="s">
        <v>1288</v>
      </c>
      <c r="Y1752" t="s">
        <v>141</v>
      </c>
      <c r="Z1752" s="3">
        <v>94303</v>
      </c>
      <c r="AA1752" t="s">
        <v>101</v>
      </c>
      <c r="AC1752" s="4" t="str">
        <f>"+14157388017"</f>
        <v>+14157388017</v>
      </c>
      <c r="AE1752" t="str">
        <f>"541512"</f>
        <v>541512</v>
      </c>
      <c r="AF1752" t="s">
        <v>4935</v>
      </c>
      <c r="AG1752" t="s">
        <v>4936</v>
      </c>
      <c r="AI1752" t="s">
        <v>2208</v>
      </c>
      <c r="AJ1752" t="s">
        <v>7057</v>
      </c>
      <c r="AK1752" t="str">
        <f>""</f>
        <v/>
      </c>
      <c r="AL1752" t="s">
        <v>1288</v>
      </c>
      <c r="AM1752" t="s">
        <v>141</v>
      </c>
      <c r="AN1752" s="3">
        <v>94303</v>
      </c>
      <c r="AO1752" t="s">
        <v>101</v>
      </c>
      <c r="AQ1752" t="str">
        <f>"+14128186533"</f>
        <v>+14128186533</v>
      </c>
      <c r="AS1752" t="s">
        <v>4937</v>
      </c>
      <c r="AT1752" t="s">
        <v>107</v>
      </c>
      <c r="AU1752" t="str">
        <f>"REYES GONZALEZ"</f>
        <v>REYES GONZALEZ</v>
      </c>
      <c r="AV1752" t="str">
        <f>"ADRIANA"</f>
        <v>ADRIANA</v>
      </c>
      <c r="AW1752" t="str">
        <f>""</f>
        <v/>
      </c>
      <c r="AX1752" t="str">
        <f>"2801 VIA FORTUNA"</f>
        <v>2801 VIA FORTUNA</v>
      </c>
      <c r="AY1752" t="str">
        <f>"SUITE 350"</f>
        <v>SUITE 350</v>
      </c>
      <c r="AZ1752" t="str">
        <f>"AUSTIN"</f>
        <v>AUSTIN</v>
      </c>
      <c r="BA1752" t="str">
        <f>"TX"</f>
        <v>TX</v>
      </c>
      <c r="BB1752" s="3">
        <v>78746</v>
      </c>
      <c r="BC1752" t="str">
        <f t="shared" si="138"/>
        <v>UNITED STATES OF AMERICA</v>
      </c>
      <c r="BD1752" t="str">
        <f>""</f>
        <v/>
      </c>
      <c r="BE1752" t="str">
        <f>"+15124826830"</f>
        <v>+15124826830</v>
      </c>
      <c r="BF1752" t="str">
        <f>""</f>
        <v/>
      </c>
      <c r="BG1752" t="str">
        <f>"SUSAN.KING@KLGATES.COM"</f>
        <v>SUSAN.KING@KLGATES.COM</v>
      </c>
      <c r="BH1752" t="str">
        <f>"K&amp;L GATES LLP"</f>
        <v>K&amp;L GATES LLP</v>
      </c>
      <c r="BI1752" t="str">
        <f>"TX"</f>
        <v>TX</v>
      </c>
      <c r="BJ1752" t="str">
        <f>"SUPREME COURT OF TEXAS"</f>
        <v>SUPREME COURT OF TEXAS</v>
      </c>
      <c r="BK1752">
        <v>1</v>
      </c>
      <c r="BL1752" t="s">
        <v>102</v>
      </c>
      <c r="BM1752" t="str">
        <f>""</f>
        <v/>
      </c>
      <c r="BN1752" t="s">
        <v>7101</v>
      </c>
      <c r="BP1752" t="s">
        <v>1288</v>
      </c>
      <c r="BQ1752" t="s">
        <v>230</v>
      </c>
      <c r="BR1752" t="s">
        <v>141</v>
      </c>
      <c r="BS1752" s="5">
        <v>94303</v>
      </c>
      <c r="BT1752" s="2">
        <v>150000</v>
      </c>
      <c r="BU1752" s="2">
        <v>215000</v>
      </c>
      <c r="BV1752" t="s">
        <v>105</v>
      </c>
      <c r="BW1752" s="2">
        <v>145725</v>
      </c>
      <c r="BX1752" t="s">
        <v>105</v>
      </c>
      <c r="BZ1752" t="s">
        <v>123</v>
      </c>
      <c r="CA1752" t="str">
        <f t="shared" ref="CA1752:CA1761" si="139">"7/1/2020 - 6/30/2021"</f>
        <v>7/1/2020 - 6/30/2021</v>
      </c>
      <c r="CF1752">
        <v>2</v>
      </c>
      <c r="CG1752" t="s">
        <v>98</v>
      </c>
      <c r="CH1752" t="s">
        <v>206</v>
      </c>
      <c r="CI1752" t="s">
        <v>206</v>
      </c>
      <c r="CL1752" t="s">
        <v>108</v>
      </c>
      <c r="CM1752" t="s">
        <v>109</v>
      </c>
      <c r="CN1752" t="str">
        <f>"SIMS"</f>
        <v>SIMS</v>
      </c>
      <c r="CO1752" t="str">
        <f>"TERESA"</f>
        <v>TERESA</v>
      </c>
      <c r="CP1752" t="str">
        <f>""</f>
        <v/>
      </c>
      <c r="CQ1752" t="str">
        <f>"K&amp;L GATES LLP"</f>
        <v>K&amp;L GATES LLP</v>
      </c>
      <c r="CR1752" t="s">
        <v>4661</v>
      </c>
    </row>
    <row r="1753" spans="1:96" x14ac:dyDescent="0.2">
      <c r="A1753" t="s">
        <v>7408</v>
      </c>
      <c r="B1753" t="s">
        <v>96</v>
      </c>
      <c r="C1753" s="1">
        <v>44099</v>
      </c>
      <c r="D1753" s="1">
        <v>44106</v>
      </c>
      <c r="F1753" t="s">
        <v>97</v>
      </c>
      <c r="G1753" t="str">
        <f>"SOFTWARE DEVELOPMENT ENGINEER "</f>
        <v xml:space="preserve">SOFTWARE DEVELOPMENT ENGINEER </v>
      </c>
      <c r="H1753" t="s">
        <v>12169</v>
      </c>
      <c r="I1753" t="s">
        <v>124</v>
      </c>
      <c r="J1753" t="s">
        <v>98</v>
      </c>
      <c r="K1753" s="1">
        <v>44161</v>
      </c>
      <c r="L1753" s="1">
        <v>45256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 t="s">
        <v>1489</v>
      </c>
      <c r="U1753" t="str">
        <f>""</f>
        <v/>
      </c>
      <c r="V1753" t="s">
        <v>1490</v>
      </c>
      <c r="W1753" t="str">
        <f>""</f>
        <v/>
      </c>
      <c r="X1753" t="s">
        <v>261</v>
      </c>
      <c r="Y1753" t="s">
        <v>176</v>
      </c>
      <c r="Z1753" s="3">
        <v>98119</v>
      </c>
      <c r="AA1753" t="s">
        <v>101</v>
      </c>
      <c r="AC1753" s="4" t="str">
        <f>"+14256797200"</f>
        <v>+14256797200</v>
      </c>
      <c r="AE1753" t="str">
        <f>"5191"</f>
        <v>5191</v>
      </c>
      <c r="AF1753" t="s">
        <v>1491</v>
      </c>
      <c r="AG1753" t="s">
        <v>1492</v>
      </c>
      <c r="AI1753" t="s">
        <v>1493</v>
      </c>
      <c r="AJ1753" t="s">
        <v>1490</v>
      </c>
      <c r="AK1753" t="str">
        <f>""</f>
        <v/>
      </c>
      <c r="AL1753" t="s">
        <v>261</v>
      </c>
      <c r="AM1753" t="s">
        <v>176</v>
      </c>
      <c r="AN1753" s="3">
        <v>98119</v>
      </c>
      <c r="AO1753" t="s">
        <v>101</v>
      </c>
      <c r="AQ1753" t="str">
        <f>"+14256798083"</f>
        <v>+14256798083</v>
      </c>
      <c r="AS1753" t="s">
        <v>1494</v>
      </c>
      <c r="AT1753" t="s">
        <v>107</v>
      </c>
      <c r="AU1753" t="str">
        <f>"Gonzales"</f>
        <v>Gonzales</v>
      </c>
      <c r="AV1753" t="str">
        <f>"Margret Ann"</f>
        <v>Margret Ann</v>
      </c>
      <c r="AW1753" t="str">
        <f>"Cadiz"</f>
        <v>Cadiz</v>
      </c>
      <c r="AX1753" t="str">
        <f>"100 Pringle Avenue"</f>
        <v>100 Pringle Avenue</v>
      </c>
      <c r="AY1753" t="str">
        <f>"Suite 300"</f>
        <v>Suite 300</v>
      </c>
      <c r="AZ1753" t="str">
        <f>"Walnut Creek"</f>
        <v>Walnut Creek</v>
      </c>
      <c r="BA1753" t="str">
        <f>"CA"</f>
        <v>CA</v>
      </c>
      <c r="BB1753" s="3">
        <v>94596</v>
      </c>
      <c r="BC1753" t="str">
        <f t="shared" si="138"/>
        <v>UNITED STATES OF AMERICA</v>
      </c>
      <c r="BD1753" t="str">
        <f>"CALIFORNIA"</f>
        <v>CALIFORNIA</v>
      </c>
      <c r="BE1753" t="str">
        <f>"+14153981800"</f>
        <v>+14153981800</v>
      </c>
      <c r="BF1753" t="str">
        <f>""</f>
        <v/>
      </c>
      <c r="BG1753" t="str">
        <f>"DHIDALGO@balglobal.com"</f>
        <v>DHIDALGO@balglobal.com</v>
      </c>
      <c r="BH1753" t="str">
        <f>"Berry Appleman &amp; Leiden LLP"</f>
        <v>Berry Appleman &amp; Leiden LLP</v>
      </c>
      <c r="BI1753" t="str">
        <f>"CA"</f>
        <v>CA</v>
      </c>
      <c r="BJ1753" t="str">
        <f>"California Supreme Court"</f>
        <v>California Supreme Court</v>
      </c>
      <c r="BK1753">
        <v>1</v>
      </c>
      <c r="BL1753" t="s">
        <v>102</v>
      </c>
      <c r="BM1753" t="str">
        <f>""</f>
        <v/>
      </c>
      <c r="BN1753" t="s">
        <v>7409</v>
      </c>
      <c r="BP1753" t="s">
        <v>843</v>
      </c>
      <c r="BQ1753" t="s">
        <v>788</v>
      </c>
      <c r="BR1753" t="s">
        <v>345</v>
      </c>
      <c r="BS1753" s="5">
        <v>60661</v>
      </c>
      <c r="BT1753" s="2">
        <v>89320</v>
      </c>
      <c r="BU1753" s="2">
        <v>127369</v>
      </c>
      <c r="BV1753" t="s">
        <v>105</v>
      </c>
      <c r="BW1753" s="2">
        <v>87838</v>
      </c>
      <c r="BX1753" t="s">
        <v>105</v>
      </c>
      <c r="BZ1753" t="s">
        <v>167</v>
      </c>
      <c r="CA1753" t="str">
        <f t="shared" si="139"/>
        <v>7/1/2020 - 6/30/2021</v>
      </c>
      <c r="CF1753">
        <v>2</v>
      </c>
      <c r="CG1753" t="s">
        <v>98</v>
      </c>
      <c r="CH1753" t="s">
        <v>206</v>
      </c>
      <c r="CI1753" t="s">
        <v>206</v>
      </c>
      <c r="CL1753" t="s">
        <v>108</v>
      </c>
      <c r="CM1753" t="s">
        <v>109</v>
      </c>
      <c r="CN1753" t="str">
        <f>""</f>
        <v/>
      </c>
      <c r="CO1753" t="str">
        <f>""</f>
        <v/>
      </c>
      <c r="CP1753" t="str">
        <f>""</f>
        <v/>
      </c>
      <c r="CQ1753" t="str">
        <f>""</f>
        <v/>
      </c>
    </row>
    <row r="1754" spans="1:96" x14ac:dyDescent="0.2">
      <c r="A1754" t="s">
        <v>7432</v>
      </c>
      <c r="B1754" t="s">
        <v>96</v>
      </c>
      <c r="C1754" s="1">
        <v>44099</v>
      </c>
      <c r="D1754" s="1">
        <v>44106</v>
      </c>
      <c r="F1754" t="s">
        <v>97</v>
      </c>
      <c r="G1754" t="str">
        <f>"SMTS Silicon Design Engineer "</f>
        <v xml:space="preserve">SMTS Silicon Design Engineer </v>
      </c>
      <c r="H1754" t="s">
        <v>12186</v>
      </c>
      <c r="I1754" t="s">
        <v>232</v>
      </c>
      <c r="J1754" t="s">
        <v>98</v>
      </c>
      <c r="K1754" s="1">
        <v>44165</v>
      </c>
      <c r="L1754" s="1">
        <v>45259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 t="s">
        <v>2899</v>
      </c>
      <c r="U1754" t="str">
        <f>""</f>
        <v/>
      </c>
      <c r="V1754" t="s">
        <v>2900</v>
      </c>
      <c r="W1754" t="str">
        <f>"N/A"</f>
        <v>N/A</v>
      </c>
      <c r="X1754" t="s">
        <v>247</v>
      </c>
      <c r="Y1754" t="s">
        <v>141</v>
      </c>
      <c r="Z1754" s="3">
        <v>95054</v>
      </c>
      <c r="AA1754" t="s">
        <v>101</v>
      </c>
      <c r="AB1754" t="s">
        <v>108</v>
      </c>
      <c r="AC1754" s="4" t="str">
        <f>"+14087493699"</f>
        <v>+14087493699</v>
      </c>
      <c r="AE1754" t="str">
        <f>"334413"</f>
        <v>334413</v>
      </c>
      <c r="AF1754" t="s">
        <v>2901</v>
      </c>
      <c r="AG1754" t="s">
        <v>2902</v>
      </c>
      <c r="AI1754" t="s">
        <v>2903</v>
      </c>
      <c r="AJ1754" t="s">
        <v>2900</v>
      </c>
      <c r="AK1754" t="str">
        <f>""</f>
        <v/>
      </c>
      <c r="AL1754" t="s">
        <v>247</v>
      </c>
      <c r="AM1754" t="s">
        <v>141</v>
      </c>
      <c r="AN1754" s="3">
        <v>95054</v>
      </c>
      <c r="AO1754" t="s">
        <v>101</v>
      </c>
      <c r="AQ1754" t="str">
        <f>"+14087493699"</f>
        <v>+14087493699</v>
      </c>
      <c r="AS1754" t="s">
        <v>2904</v>
      </c>
      <c r="AT1754" t="s">
        <v>107</v>
      </c>
      <c r="AU1754" t="str">
        <f>"Wu"</f>
        <v>Wu</v>
      </c>
      <c r="AV1754" t="str">
        <f>"Mark"</f>
        <v>Mark</v>
      </c>
      <c r="AW1754" t="str">
        <f>""</f>
        <v/>
      </c>
      <c r="AX1754" t="str">
        <f>"301 Congress Avenue"</f>
        <v>301 Congress Avenue</v>
      </c>
      <c r="AY1754" t="str">
        <f>"Suite 1150"</f>
        <v>Suite 1150</v>
      </c>
      <c r="AZ1754" t="str">
        <f>"Austin"</f>
        <v>Austin</v>
      </c>
      <c r="BA1754" t="str">
        <f>"TX"</f>
        <v>TX</v>
      </c>
      <c r="BB1754" s="3">
        <v>78701</v>
      </c>
      <c r="BC1754" t="str">
        <f t="shared" si="138"/>
        <v>UNITED STATES OF AMERICA</v>
      </c>
      <c r="BD1754" t="str">
        <f>""</f>
        <v/>
      </c>
      <c r="BE1754" t="str">
        <f>"+15123444707"</f>
        <v>+15123444707</v>
      </c>
      <c r="BF1754" t="str">
        <f>""</f>
        <v/>
      </c>
      <c r="BG1754" t="str">
        <f>"diego.alvarez-lorant@ogletreedeakins.com"</f>
        <v>diego.alvarez-lorant@ogletreedeakins.com</v>
      </c>
      <c r="BH1754" t="str">
        <f>"Ogletree, Deakins, Nash, Smoak &amp; Stewart, P.C."</f>
        <v>Ogletree, Deakins, Nash, Smoak &amp; Stewart, P.C.</v>
      </c>
      <c r="BI1754" t="str">
        <f>"GA"</f>
        <v>GA</v>
      </c>
      <c r="BJ1754" t="str">
        <f>"Georgia Superior Court"</f>
        <v>Georgia Superior Court</v>
      </c>
      <c r="BK1754">
        <v>1</v>
      </c>
      <c r="BL1754" t="s">
        <v>102</v>
      </c>
      <c r="BM1754" t="str">
        <f>""</f>
        <v/>
      </c>
      <c r="BN1754" t="s">
        <v>3284</v>
      </c>
      <c r="BP1754" t="s">
        <v>1983</v>
      </c>
      <c r="BQ1754" t="s">
        <v>721</v>
      </c>
      <c r="BR1754" t="s">
        <v>114</v>
      </c>
      <c r="BS1754" s="5">
        <v>78735</v>
      </c>
      <c r="BT1754" s="2">
        <v>167000</v>
      </c>
      <c r="BV1754" t="s">
        <v>105</v>
      </c>
      <c r="BW1754" s="2">
        <v>155438</v>
      </c>
      <c r="BX1754" t="s">
        <v>105</v>
      </c>
      <c r="BZ1754" t="s">
        <v>159</v>
      </c>
      <c r="CA1754" t="str">
        <f t="shared" si="139"/>
        <v>7/1/2020 - 6/30/2021</v>
      </c>
      <c r="CF1754">
        <v>2</v>
      </c>
      <c r="CG1754" t="s">
        <v>98</v>
      </c>
      <c r="CH1754" t="s">
        <v>206</v>
      </c>
      <c r="CI1754" t="s">
        <v>206</v>
      </c>
      <c r="CL1754" t="s">
        <v>108</v>
      </c>
      <c r="CM1754" t="s">
        <v>109</v>
      </c>
      <c r="CN1754" t="str">
        <f>"Alvarez Lorant "</f>
        <v xml:space="preserve">Alvarez Lorant </v>
      </c>
      <c r="CO1754" t="str">
        <f>"Diego "</f>
        <v xml:space="preserve">Diego </v>
      </c>
      <c r="CP1754" t="str">
        <f>"E"</f>
        <v>E</v>
      </c>
      <c r="CQ1754" t="str">
        <f>"Ogletree, Deakins, Nash, Smoak &amp; Stewart, P.C."</f>
        <v>Ogletree, Deakins, Nash, Smoak &amp; Stewart, P.C.</v>
      </c>
      <c r="CR1754" t="s">
        <v>2905</v>
      </c>
    </row>
    <row r="1755" spans="1:96" x14ac:dyDescent="0.2">
      <c r="A1755" t="s">
        <v>7478</v>
      </c>
      <c r="B1755" t="s">
        <v>96</v>
      </c>
      <c r="C1755" s="1">
        <v>44099</v>
      </c>
      <c r="D1755" s="1">
        <v>44106</v>
      </c>
      <c r="F1755" t="s">
        <v>97</v>
      </c>
      <c r="G1755" t="str">
        <f>"SOFTWARE DEVELOPMENT ENGINEER III"</f>
        <v>SOFTWARE DEVELOPMENT ENGINEER III</v>
      </c>
      <c r="H1755" t="s">
        <v>12169</v>
      </c>
      <c r="I1755" t="s">
        <v>124</v>
      </c>
      <c r="J1755" t="s">
        <v>98</v>
      </c>
      <c r="K1755" s="1">
        <v>44279</v>
      </c>
      <c r="L1755" s="1">
        <v>45374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 t="s">
        <v>440</v>
      </c>
      <c r="U1755" t="str">
        <f>""</f>
        <v/>
      </c>
      <c r="V1755" t="s">
        <v>809</v>
      </c>
      <c r="W1755" t="str">
        <f>"SUITE 500"</f>
        <v>SUITE 500</v>
      </c>
      <c r="X1755" t="s">
        <v>433</v>
      </c>
      <c r="Y1755" t="s">
        <v>176</v>
      </c>
      <c r="Z1755" s="3">
        <v>98121</v>
      </c>
      <c r="AA1755" t="s">
        <v>101</v>
      </c>
      <c r="AC1755" s="4" t="str">
        <f>"+12062661000"</f>
        <v>+12062661000</v>
      </c>
      <c r="AE1755" t="str">
        <f>"454110"</f>
        <v>454110</v>
      </c>
      <c r="AF1755" t="s">
        <v>442</v>
      </c>
      <c r="AG1755" t="s">
        <v>443</v>
      </c>
      <c r="AH1755" t="s">
        <v>108</v>
      </c>
      <c r="AI1755" t="s">
        <v>434</v>
      </c>
      <c r="AJ1755" t="s">
        <v>809</v>
      </c>
      <c r="AK1755" t="str">
        <f>"SUITE 500"</f>
        <v>SUITE 500</v>
      </c>
      <c r="AL1755" t="s">
        <v>433</v>
      </c>
      <c r="AM1755" t="s">
        <v>176</v>
      </c>
      <c r="AN1755" s="3">
        <v>98121</v>
      </c>
      <c r="AO1755" t="s">
        <v>101</v>
      </c>
      <c r="AQ1755" t="str">
        <f>"+12062661000"</f>
        <v>+12062661000</v>
      </c>
      <c r="AS1755" t="s">
        <v>263</v>
      </c>
      <c r="AT1755" t="s">
        <v>107</v>
      </c>
      <c r="AU1755" t="str">
        <f>"MARANCI"</f>
        <v>MARANCI</v>
      </c>
      <c r="AV1755" t="str">
        <f>"DANIEL"</f>
        <v>DANIEL</v>
      </c>
      <c r="AW1755" t="str">
        <f>"N/A"</f>
        <v>N/A</v>
      </c>
      <c r="AX1755" t="str">
        <f>"100 HIGH STREET"</f>
        <v>100 HIGH STREET</v>
      </c>
      <c r="AY1755" t="str">
        <f>"3RD FLOOR C#5283853"</f>
        <v>3RD FLOOR C#5283853</v>
      </c>
      <c r="AZ1755" t="str">
        <f>"BOSTON"</f>
        <v>BOSTON</v>
      </c>
      <c r="BA1755" t="str">
        <f>"MA"</f>
        <v>MA</v>
      </c>
      <c r="BB1755" s="3">
        <v>2110</v>
      </c>
      <c r="BC1755" t="str">
        <f t="shared" si="138"/>
        <v>UNITED STATES OF AMERICA</v>
      </c>
      <c r="BD1755" t="str">
        <f>""</f>
        <v/>
      </c>
      <c r="BE1755" t="str">
        <f>"+16175740400"</f>
        <v>+16175740400</v>
      </c>
      <c r="BF1755" t="str">
        <f>""</f>
        <v/>
      </c>
      <c r="BG1755" t="str">
        <f>"AMAZONINDIA@FRAGOMEN.COM"</f>
        <v>AMAZONINDIA@FRAGOMEN.COM</v>
      </c>
      <c r="BH1755" t="str">
        <f>"FRAGOMEN, DEL REY, BERNSEN &amp; LOEWY, LLP"</f>
        <v>FRAGOMEN, DEL REY, BERNSEN &amp; LOEWY, LLP</v>
      </c>
      <c r="BI1755" t="str">
        <f>"MA"</f>
        <v>MA</v>
      </c>
      <c r="BJ1755" t="str">
        <f>"SUPREME JUDICIAL COURT"</f>
        <v>SUPREME JUDICIAL COURT</v>
      </c>
      <c r="BK1755">
        <v>1</v>
      </c>
      <c r="BL1755" t="s">
        <v>102</v>
      </c>
      <c r="BM1755" t="str">
        <f>""</f>
        <v/>
      </c>
      <c r="BN1755" t="s">
        <v>7160</v>
      </c>
      <c r="BP1755" t="s">
        <v>147</v>
      </c>
      <c r="BQ1755" t="s">
        <v>147</v>
      </c>
      <c r="BR1755" t="s">
        <v>141</v>
      </c>
      <c r="BS1755" s="5">
        <v>94105</v>
      </c>
      <c r="BT1755" s="2">
        <v>173600</v>
      </c>
      <c r="BV1755" t="s">
        <v>105</v>
      </c>
      <c r="BW1755" s="2">
        <v>145246</v>
      </c>
      <c r="BX1755" t="s">
        <v>105</v>
      </c>
      <c r="BZ1755" t="s">
        <v>123</v>
      </c>
      <c r="CA1755" t="str">
        <f t="shared" si="139"/>
        <v>7/1/2020 - 6/30/2021</v>
      </c>
      <c r="CF1755">
        <v>2</v>
      </c>
      <c r="CG1755" t="s">
        <v>98</v>
      </c>
      <c r="CH1755" t="s">
        <v>206</v>
      </c>
      <c r="CI1755" t="s">
        <v>206</v>
      </c>
      <c r="CL1755" t="s">
        <v>108</v>
      </c>
      <c r="CM1755" t="s">
        <v>109</v>
      </c>
      <c r="CN1755" t="str">
        <f>"SUNNY"</f>
        <v>SUNNY</v>
      </c>
      <c r="CO1755" t="str">
        <f>"JASMIN"</f>
        <v>JASMIN</v>
      </c>
      <c r="CP1755" t="str">
        <f>"N/A"</f>
        <v>N/A</v>
      </c>
      <c r="CQ1755" t="str">
        <f>"FRAGOMEN, DEL REY, BERNSEN &amp; LOEWY, LLP"</f>
        <v>FRAGOMEN, DEL REY, BERNSEN &amp; LOEWY, LLP</v>
      </c>
      <c r="CR1755" t="s">
        <v>650</v>
      </c>
    </row>
    <row r="1756" spans="1:96" x14ac:dyDescent="0.2">
      <c r="A1756" t="s">
        <v>7507</v>
      </c>
      <c r="B1756" t="s">
        <v>96</v>
      </c>
      <c r="C1756" s="1">
        <v>44099</v>
      </c>
      <c r="D1756" s="1">
        <v>44106</v>
      </c>
      <c r="F1756" t="s">
        <v>97</v>
      </c>
      <c r="G1756" t="str">
        <f>"Senior IAM SailPoint Engineer"</f>
        <v>Senior IAM SailPoint Engineer</v>
      </c>
      <c r="H1756" t="s">
        <v>12169</v>
      </c>
      <c r="I1756" t="s">
        <v>124</v>
      </c>
      <c r="J1756" t="s">
        <v>98</v>
      </c>
      <c r="K1756" s="1">
        <v>44116</v>
      </c>
      <c r="L1756" s="1">
        <v>45210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3779</v>
      </c>
      <c r="U1756" t="str">
        <f>""</f>
        <v/>
      </c>
      <c r="V1756" t="s">
        <v>3780</v>
      </c>
      <c r="W1756" t="str">
        <f>""</f>
        <v/>
      </c>
      <c r="X1756" t="s">
        <v>1613</v>
      </c>
      <c r="Y1756" t="s">
        <v>330</v>
      </c>
      <c r="Z1756" s="3">
        <v>53202</v>
      </c>
      <c r="AA1756" t="s">
        <v>101</v>
      </c>
      <c r="AC1756" s="4" t="str">
        <f>"+14142712400"</f>
        <v>+14142712400</v>
      </c>
      <c r="AE1756" t="str">
        <f>"5241"</f>
        <v>5241</v>
      </c>
      <c r="AF1756" t="s">
        <v>3781</v>
      </c>
      <c r="AG1756" t="s">
        <v>1705</v>
      </c>
      <c r="AH1756" t="s">
        <v>1435</v>
      </c>
      <c r="AI1756" t="s">
        <v>321</v>
      </c>
      <c r="AJ1756" t="s">
        <v>3782</v>
      </c>
      <c r="AK1756" t="str">
        <f>""</f>
        <v/>
      </c>
      <c r="AL1756" t="s">
        <v>1613</v>
      </c>
      <c r="AM1756" t="s">
        <v>330</v>
      </c>
      <c r="AN1756" s="3">
        <v>53202</v>
      </c>
      <c r="AO1756" t="s">
        <v>101</v>
      </c>
      <c r="AQ1756" t="str">
        <f>"+14141665175"</f>
        <v>+14141665175</v>
      </c>
      <c r="AS1756" t="s">
        <v>3783</v>
      </c>
      <c r="AT1756" t="s">
        <v>107</v>
      </c>
      <c r="AU1756" t="str">
        <f>"Kallmeyer"</f>
        <v>Kallmeyer</v>
      </c>
      <c r="AV1756" t="str">
        <f>"Maria"</f>
        <v>Maria</v>
      </c>
      <c r="AW1756" t="str">
        <f>""</f>
        <v/>
      </c>
      <c r="AX1756" t="str">
        <f>"411 East Wisconsin Avenue"</f>
        <v>411 East Wisconsin Avenue</v>
      </c>
      <c r="AY1756" t="str">
        <f>"Suite 2400"</f>
        <v>Suite 2400</v>
      </c>
      <c r="AZ1756" t="str">
        <f>"Milwaukee"</f>
        <v>Milwaukee</v>
      </c>
      <c r="BA1756" t="str">
        <f>"WI"</f>
        <v>WI</v>
      </c>
      <c r="BB1756" s="3">
        <v>53202</v>
      </c>
      <c r="BC1756" t="str">
        <f t="shared" si="138"/>
        <v>UNITED STATES OF AMERICA</v>
      </c>
      <c r="BD1756" t="str">
        <f>""</f>
        <v/>
      </c>
      <c r="BE1756" t="str">
        <f>"+13127155009"</f>
        <v>+13127155009</v>
      </c>
      <c r="BF1756" t="str">
        <f>""</f>
        <v/>
      </c>
      <c r="BG1756" t="str">
        <f>"stephanie.rackow@quarles.com"</f>
        <v>stephanie.rackow@quarles.com</v>
      </c>
      <c r="BH1756" t="str">
        <f>"Quarles &amp; Brady LLP"</f>
        <v>Quarles &amp; Brady LLP</v>
      </c>
      <c r="BI1756" t="str">
        <f>"IL"</f>
        <v>IL</v>
      </c>
      <c r="BJ1756" t="str">
        <f>"Supreme Court"</f>
        <v>Supreme Court</v>
      </c>
      <c r="BK1756">
        <v>1</v>
      </c>
      <c r="BL1756" t="s">
        <v>102</v>
      </c>
      <c r="BM1756" t="str">
        <f>""</f>
        <v/>
      </c>
      <c r="BN1756" t="s">
        <v>5111</v>
      </c>
      <c r="BP1756" t="s">
        <v>1613</v>
      </c>
      <c r="BQ1756" t="s">
        <v>1614</v>
      </c>
      <c r="BR1756" t="s">
        <v>330</v>
      </c>
      <c r="BS1756" s="5">
        <v>53202</v>
      </c>
      <c r="BT1756" s="2">
        <v>123000</v>
      </c>
      <c r="BV1756" t="s">
        <v>105</v>
      </c>
      <c r="BW1756" s="2">
        <v>97677</v>
      </c>
      <c r="BX1756" t="s">
        <v>105</v>
      </c>
      <c r="BZ1756" t="s">
        <v>123</v>
      </c>
      <c r="CA1756" t="str">
        <f t="shared" si="139"/>
        <v>7/1/2020 - 6/30/2021</v>
      </c>
      <c r="CF1756">
        <v>1</v>
      </c>
      <c r="CG1756" t="s">
        <v>98</v>
      </c>
      <c r="CH1756" t="s">
        <v>206</v>
      </c>
      <c r="CI1756" t="s">
        <v>206</v>
      </c>
      <c r="CL1756" t="s">
        <v>108</v>
      </c>
      <c r="CM1756" t="s">
        <v>109</v>
      </c>
      <c r="CN1756" t="str">
        <f>""</f>
        <v/>
      </c>
      <c r="CO1756" t="str">
        <f>""</f>
        <v/>
      </c>
      <c r="CP1756" t="str">
        <f>""</f>
        <v/>
      </c>
      <c r="CQ1756" t="str">
        <f>""</f>
        <v/>
      </c>
    </row>
    <row r="1757" spans="1:96" x14ac:dyDescent="0.2">
      <c r="A1757" t="s">
        <v>7513</v>
      </c>
      <c r="B1757" t="s">
        <v>96</v>
      </c>
      <c r="C1757" s="1">
        <v>44099</v>
      </c>
      <c r="D1757" s="1">
        <v>44106</v>
      </c>
      <c r="F1757" t="s">
        <v>97</v>
      </c>
      <c r="G1757" t="str">
        <f>"Software Engineer"</f>
        <v>Software Engineer</v>
      </c>
      <c r="H1757" t="s">
        <v>12176</v>
      </c>
      <c r="I1757" t="s">
        <v>246</v>
      </c>
      <c r="J1757" t="s">
        <v>98</v>
      </c>
      <c r="K1757" s="1">
        <v>44281</v>
      </c>
      <c r="L1757" s="1">
        <v>45376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 t="s">
        <v>3562</v>
      </c>
      <c r="U1757" t="str">
        <f>""</f>
        <v/>
      </c>
      <c r="V1757" t="s">
        <v>3563</v>
      </c>
      <c r="W1757" t="str">
        <f>"Suite 5000"</f>
        <v>Suite 5000</v>
      </c>
      <c r="X1757" t="s">
        <v>140</v>
      </c>
      <c r="Y1757" t="s">
        <v>141</v>
      </c>
      <c r="Z1757" s="3">
        <v>94107</v>
      </c>
      <c r="AA1757" t="s">
        <v>101</v>
      </c>
      <c r="AC1757" s="4" t="str">
        <f>"+14154845589"</f>
        <v>+14154845589</v>
      </c>
      <c r="AE1757" t="str">
        <f>"541511"</f>
        <v>541511</v>
      </c>
      <c r="AF1757" t="s">
        <v>3564</v>
      </c>
      <c r="AG1757" t="s">
        <v>1538</v>
      </c>
      <c r="AI1757" t="s">
        <v>3565</v>
      </c>
      <c r="AJ1757" t="s">
        <v>3563</v>
      </c>
      <c r="AK1757" t="str">
        <f>"Suite 5000"</f>
        <v>Suite 5000</v>
      </c>
      <c r="AL1757" t="s">
        <v>140</v>
      </c>
      <c r="AM1757" t="s">
        <v>141</v>
      </c>
      <c r="AN1757" s="3">
        <v>94107</v>
      </c>
      <c r="AO1757" t="s">
        <v>101</v>
      </c>
      <c r="AQ1757" t="str">
        <f>"+14154845589"</f>
        <v>+14154845589</v>
      </c>
      <c r="AS1757" t="s">
        <v>3566</v>
      </c>
      <c r="AT1757" t="s">
        <v>107</v>
      </c>
      <c r="AU1757" t="str">
        <f>"Sheppard"</f>
        <v>Sheppard</v>
      </c>
      <c r="AV1757" t="str">
        <f>"Donald"</f>
        <v>Donald</v>
      </c>
      <c r="AW1757" t="str">
        <f>"Kyle"</f>
        <v>Kyle</v>
      </c>
      <c r="AX1757" t="str">
        <f>"401 West A Street "</f>
        <v xml:space="preserve">401 West A Street </v>
      </c>
      <c r="AY1757" t="str">
        <f>"Suite 2600"</f>
        <v>Suite 2600</v>
      </c>
      <c r="AZ1757" t="str">
        <f>"San Diego"</f>
        <v>San Diego</v>
      </c>
      <c r="BA1757" t="str">
        <f>"CA"</f>
        <v>CA</v>
      </c>
      <c r="BB1757" s="3">
        <v>92101</v>
      </c>
      <c r="BC1757" t="str">
        <f t="shared" si="138"/>
        <v>UNITED STATES OF AMERICA</v>
      </c>
      <c r="BD1757" t="str">
        <f>""</f>
        <v/>
      </c>
      <c r="BE1757" t="str">
        <f>"+16195954243"</f>
        <v>+16195954243</v>
      </c>
      <c r="BF1757" t="str">
        <f>""</f>
        <v/>
      </c>
      <c r="BG1757" t="str">
        <f>"dsheppard@higgslaw.com"</f>
        <v>dsheppard@higgslaw.com</v>
      </c>
      <c r="BH1757" t="str">
        <f>"Higgs Fletcher and Mack LLP"</f>
        <v>Higgs Fletcher and Mack LLP</v>
      </c>
      <c r="BI1757" t="str">
        <f>"CA"</f>
        <v>CA</v>
      </c>
      <c r="BJ1757" t="str">
        <f>"Supreme Court "</f>
        <v xml:space="preserve">Supreme Court </v>
      </c>
      <c r="BK1757">
        <v>1</v>
      </c>
      <c r="BL1757" t="s">
        <v>102</v>
      </c>
      <c r="BM1757" t="str">
        <f>""</f>
        <v/>
      </c>
      <c r="BN1757" t="s">
        <v>3563</v>
      </c>
      <c r="BO1757" t="s">
        <v>3567</v>
      </c>
      <c r="BP1757" t="s">
        <v>140</v>
      </c>
      <c r="BQ1757" t="s">
        <v>147</v>
      </c>
      <c r="BR1757" t="s">
        <v>141</v>
      </c>
      <c r="BS1757" s="5">
        <v>94107</v>
      </c>
      <c r="BT1757" s="2">
        <v>194000</v>
      </c>
      <c r="BV1757" t="s">
        <v>105</v>
      </c>
      <c r="BW1757" s="2">
        <v>145246</v>
      </c>
      <c r="BX1757" t="s">
        <v>105</v>
      </c>
      <c r="BZ1757" t="s">
        <v>123</v>
      </c>
      <c r="CA1757" t="str">
        <f t="shared" si="139"/>
        <v>7/1/2020 - 6/30/2021</v>
      </c>
      <c r="CF1757">
        <v>1</v>
      </c>
      <c r="CG1757" t="s">
        <v>98</v>
      </c>
      <c r="CH1757" t="s">
        <v>206</v>
      </c>
      <c r="CI1757" t="s">
        <v>206</v>
      </c>
      <c r="CL1757" t="s">
        <v>108</v>
      </c>
      <c r="CM1757" t="s">
        <v>109</v>
      </c>
      <c r="CN1757" t="str">
        <f>""</f>
        <v/>
      </c>
      <c r="CO1757" t="str">
        <f>""</f>
        <v/>
      </c>
      <c r="CP1757" t="str">
        <f>""</f>
        <v/>
      </c>
      <c r="CQ1757" t="str">
        <f>""</f>
        <v/>
      </c>
    </row>
    <row r="1758" spans="1:96" x14ac:dyDescent="0.2">
      <c r="A1758" t="s">
        <v>7514</v>
      </c>
      <c r="B1758" t="s">
        <v>96</v>
      </c>
      <c r="C1758" s="1">
        <v>44099</v>
      </c>
      <c r="D1758" s="1">
        <v>44106</v>
      </c>
      <c r="F1758" t="s">
        <v>97</v>
      </c>
      <c r="G1758" t="str">
        <f>"DATASTAX/CASSANDRA DATABASE ADMINISTRATOR"</f>
        <v>DATASTAX/CASSANDRA DATABASE ADMINISTRATOR</v>
      </c>
      <c r="H1758" t="s">
        <v>12225</v>
      </c>
      <c r="I1758" t="s">
        <v>628</v>
      </c>
      <c r="J1758" t="s">
        <v>98</v>
      </c>
      <c r="K1758" s="1">
        <v>44227</v>
      </c>
      <c r="L1758" s="1">
        <v>45047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 t="s">
        <v>7515</v>
      </c>
      <c r="U1758" t="str">
        <f>""</f>
        <v/>
      </c>
      <c r="V1758" t="s">
        <v>7516</v>
      </c>
      <c r="W1758" t="str">
        <f>"SUITE 301"</f>
        <v>SUITE 301</v>
      </c>
      <c r="X1758" t="s">
        <v>5558</v>
      </c>
      <c r="Y1758" t="s">
        <v>624</v>
      </c>
      <c r="Z1758" s="3">
        <v>20037</v>
      </c>
      <c r="AA1758" t="s">
        <v>101</v>
      </c>
      <c r="AC1758" s="4" t="str">
        <f>"+18552656826"</f>
        <v>+18552656826</v>
      </c>
      <c r="AE1758" t="str">
        <f>"541512"</f>
        <v>541512</v>
      </c>
      <c r="AF1758" t="s">
        <v>901</v>
      </c>
      <c r="AG1758" t="s">
        <v>2286</v>
      </c>
      <c r="AI1758" t="s">
        <v>1789</v>
      </c>
      <c r="AJ1758" t="s">
        <v>7517</v>
      </c>
      <c r="AK1758" t="str">
        <f>"SUITE 301"</f>
        <v>SUITE 301</v>
      </c>
      <c r="AL1758" t="s">
        <v>5558</v>
      </c>
      <c r="AM1758" t="s">
        <v>624</v>
      </c>
      <c r="AN1758" s="3">
        <v>20037</v>
      </c>
      <c r="AO1758" t="s">
        <v>101</v>
      </c>
      <c r="AQ1758" t="str">
        <f>"+18552656826"</f>
        <v>+18552656826</v>
      </c>
      <c r="AS1758" t="s">
        <v>7518</v>
      </c>
      <c r="AT1758" t="s">
        <v>107</v>
      </c>
      <c r="AU1758" t="str">
        <f>"BRITO"</f>
        <v>BRITO</v>
      </c>
      <c r="AV1758" t="str">
        <f>"GIL"</f>
        <v>GIL</v>
      </c>
      <c r="AW1758" t="str">
        <f>"R"</f>
        <v>R</v>
      </c>
      <c r="AX1758" t="str">
        <f>"80 SW 8TH STREET, SUITE 2810"</f>
        <v>80 SW 8TH STREET, SUITE 2810</v>
      </c>
      <c r="AY1758" t="str">
        <f>""</f>
        <v/>
      </c>
      <c r="AZ1758" t="str">
        <f>"MIAMI"</f>
        <v>MIAMI</v>
      </c>
      <c r="BA1758" t="str">
        <f>"FL"</f>
        <v>FL</v>
      </c>
      <c r="BB1758" s="3">
        <v>33130</v>
      </c>
      <c r="BC1758" t="str">
        <f t="shared" si="138"/>
        <v>UNITED STATES OF AMERICA</v>
      </c>
      <c r="BD1758" t="str">
        <f>""</f>
        <v/>
      </c>
      <c r="BE1758" t="str">
        <f>"+13058604050"</f>
        <v>+13058604050</v>
      </c>
      <c r="BF1758" t="str">
        <f>""</f>
        <v/>
      </c>
      <c r="BG1758" t="str">
        <f>"gbrito@beltranbrito.com"</f>
        <v>gbrito@beltranbrito.com</v>
      </c>
      <c r="BH1758" t="str">
        <f>"BELTRAN BRITO CASAMAYOR LLP"</f>
        <v>BELTRAN BRITO CASAMAYOR LLP</v>
      </c>
      <c r="BI1758" t="str">
        <f>"FL"</f>
        <v>FL</v>
      </c>
      <c r="BJ1758" t="str">
        <f>"FLORIDA SUPREME COURT"</f>
        <v>FLORIDA SUPREME COURT</v>
      </c>
      <c r="BK1758">
        <v>1</v>
      </c>
      <c r="BL1758" t="s">
        <v>102</v>
      </c>
      <c r="BM1758" t="str">
        <f>""</f>
        <v/>
      </c>
      <c r="BN1758" t="s">
        <v>7516</v>
      </c>
      <c r="BO1758" t="s">
        <v>3730</v>
      </c>
      <c r="BP1758" t="s">
        <v>5558</v>
      </c>
      <c r="BQ1758" t="s">
        <v>623</v>
      </c>
      <c r="BR1758" t="s">
        <v>624</v>
      </c>
      <c r="BS1758" s="5">
        <v>20037</v>
      </c>
      <c r="BT1758" s="2">
        <v>50</v>
      </c>
      <c r="BV1758" t="s">
        <v>210</v>
      </c>
      <c r="BW1758" s="2">
        <v>41.58</v>
      </c>
      <c r="BX1758" t="s">
        <v>210</v>
      </c>
      <c r="BZ1758" t="s">
        <v>167</v>
      </c>
      <c r="CA1758" t="str">
        <f t="shared" si="139"/>
        <v>7/1/2020 - 6/30/2021</v>
      </c>
      <c r="CF1758">
        <v>2</v>
      </c>
      <c r="CG1758" t="s">
        <v>98</v>
      </c>
      <c r="CH1758" t="s">
        <v>206</v>
      </c>
      <c r="CI1758" t="s">
        <v>206</v>
      </c>
      <c r="CL1758" t="s">
        <v>108</v>
      </c>
      <c r="CM1758" t="s">
        <v>109</v>
      </c>
      <c r="CN1758" t="str">
        <f>""</f>
        <v/>
      </c>
      <c r="CO1758" t="str">
        <f>""</f>
        <v/>
      </c>
      <c r="CP1758" t="str">
        <f>""</f>
        <v/>
      </c>
      <c r="CQ1758" t="str">
        <f>""</f>
        <v/>
      </c>
    </row>
    <row r="1759" spans="1:96" x14ac:dyDescent="0.2">
      <c r="A1759" t="s">
        <v>7589</v>
      </c>
      <c r="B1759" t="s">
        <v>96</v>
      </c>
      <c r="C1759" s="1">
        <v>44099</v>
      </c>
      <c r="D1759" s="1">
        <v>44106</v>
      </c>
      <c r="F1759" t="s">
        <v>97</v>
      </c>
      <c r="G1759" t="str">
        <f>"Postdoctoral Research Fellow"</f>
        <v>Postdoctoral Research Fellow</v>
      </c>
      <c r="H1759" t="s">
        <v>12177</v>
      </c>
      <c r="I1759" t="s">
        <v>1897</v>
      </c>
      <c r="J1759" t="s">
        <v>98</v>
      </c>
      <c r="K1759" s="1">
        <v>44197</v>
      </c>
      <c r="L1759" s="1">
        <v>44957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2046</v>
      </c>
      <c r="U1759" t="str">
        <f>""</f>
        <v/>
      </c>
      <c r="V1759" t="s">
        <v>3704</v>
      </c>
      <c r="W1759" t="str">
        <f>"515 E. Jefferson Street, 1500 SAB"</f>
        <v>515 E. Jefferson Street, 1500 SAB</v>
      </c>
      <c r="X1759" t="s">
        <v>2047</v>
      </c>
      <c r="Y1759" t="s">
        <v>265</v>
      </c>
      <c r="Z1759" s="3">
        <v>48109</v>
      </c>
      <c r="AA1759" t="s">
        <v>101</v>
      </c>
      <c r="AC1759" s="4" t="str">
        <f>"+17347634081"</f>
        <v>+17347634081</v>
      </c>
      <c r="AE1759" t="str">
        <f>"611310"</f>
        <v>611310</v>
      </c>
      <c r="AF1759" t="s">
        <v>6584</v>
      </c>
      <c r="AG1759" t="s">
        <v>1958</v>
      </c>
      <c r="AI1759" t="s">
        <v>6585</v>
      </c>
      <c r="AJ1759" t="s">
        <v>2046</v>
      </c>
      <c r="AK1759" t="str">
        <f>"515 E. Jefferson, 1500 SAB"</f>
        <v>515 E. Jefferson, 1500 SAB</v>
      </c>
      <c r="AL1759" t="s">
        <v>2047</v>
      </c>
      <c r="AM1759" t="s">
        <v>265</v>
      </c>
      <c r="AN1759" s="3">
        <v>48109</v>
      </c>
      <c r="AO1759" t="s">
        <v>101</v>
      </c>
      <c r="AQ1759" t="str">
        <f>"+17347634081"</f>
        <v>+17347634081</v>
      </c>
      <c r="AS1759" t="s">
        <v>2049</v>
      </c>
      <c r="AT1759" t="s">
        <v>102</v>
      </c>
      <c r="AU1759" t="str">
        <f>""</f>
        <v/>
      </c>
      <c r="AV1759" t="str">
        <f>""</f>
        <v/>
      </c>
      <c r="AW1759" t="str">
        <f>""</f>
        <v/>
      </c>
      <c r="AX1759" t="str">
        <f>""</f>
        <v/>
      </c>
      <c r="AY1759" t="str">
        <f>""</f>
        <v/>
      </c>
      <c r="AZ1759" t="str">
        <f>""</f>
        <v/>
      </c>
      <c r="BA1759" t="str">
        <f>""</f>
        <v/>
      </c>
      <c r="BC1759" t="str">
        <f>""</f>
        <v/>
      </c>
      <c r="BD1759" t="str">
        <f>""</f>
        <v/>
      </c>
      <c r="BE1759" t="str">
        <f>""</f>
        <v/>
      </c>
      <c r="BF1759" t="str">
        <f>""</f>
        <v/>
      </c>
      <c r="BG1759" t="str">
        <f>""</f>
        <v/>
      </c>
      <c r="BH1759" t="str">
        <f>""</f>
        <v/>
      </c>
      <c r="BI1759" t="str">
        <f>""</f>
        <v/>
      </c>
      <c r="BJ1759" t="str">
        <f>""</f>
        <v/>
      </c>
      <c r="BK1759">
        <v>1</v>
      </c>
      <c r="BL1759" t="s">
        <v>102</v>
      </c>
      <c r="BM1759" t="str">
        <f>""</f>
        <v/>
      </c>
      <c r="BN1759" t="s">
        <v>4271</v>
      </c>
      <c r="BP1759" t="s">
        <v>2047</v>
      </c>
      <c r="BQ1759" t="s">
        <v>2050</v>
      </c>
      <c r="BR1759" t="s">
        <v>265</v>
      </c>
      <c r="BS1759" s="5">
        <v>48109</v>
      </c>
      <c r="BT1759" s="2">
        <v>55000</v>
      </c>
      <c r="BV1759" t="s">
        <v>105</v>
      </c>
      <c r="BW1759" s="2">
        <v>45302</v>
      </c>
      <c r="BX1759" t="s">
        <v>105</v>
      </c>
      <c r="BZ1759" t="s">
        <v>191</v>
      </c>
      <c r="CA1759" t="str">
        <f t="shared" si="139"/>
        <v>7/1/2020 - 6/30/2021</v>
      </c>
      <c r="CF1759">
        <v>1</v>
      </c>
      <c r="CG1759" t="s">
        <v>98</v>
      </c>
      <c r="CH1759" t="s">
        <v>206</v>
      </c>
      <c r="CI1759" t="s">
        <v>206</v>
      </c>
      <c r="CL1759" t="s">
        <v>108</v>
      </c>
      <c r="CM1759" t="s">
        <v>109</v>
      </c>
      <c r="CN1759" t="str">
        <f>""</f>
        <v/>
      </c>
      <c r="CO1759" t="str">
        <f>""</f>
        <v/>
      </c>
      <c r="CP1759" t="str">
        <f>""</f>
        <v/>
      </c>
      <c r="CQ1759" t="str">
        <f>""</f>
        <v/>
      </c>
    </row>
    <row r="1760" spans="1:96" x14ac:dyDescent="0.2">
      <c r="A1760" t="s">
        <v>7597</v>
      </c>
      <c r="B1760" t="s">
        <v>96</v>
      </c>
      <c r="C1760" s="1">
        <v>44099</v>
      </c>
      <c r="D1760" s="1">
        <v>44106</v>
      </c>
      <c r="F1760" t="s">
        <v>97</v>
      </c>
      <c r="G1760" t="str">
        <f>"Accountants and Auditors - KBGFJG51066-13"</f>
        <v>Accountants and Auditors - KBGFJG51066-13</v>
      </c>
      <c r="H1760" t="s">
        <v>12192</v>
      </c>
      <c r="I1760" t="s">
        <v>1156</v>
      </c>
      <c r="J1760" t="s">
        <v>98</v>
      </c>
      <c r="K1760" s="1">
        <v>44104</v>
      </c>
      <c r="L1760" s="1">
        <v>45198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 t="s">
        <v>697</v>
      </c>
      <c r="U1760" t="str">
        <f>""</f>
        <v/>
      </c>
      <c r="V1760" t="s">
        <v>698</v>
      </c>
      <c r="W1760" t="str">
        <f>"Suite 2222"</f>
        <v>Suite 2222</v>
      </c>
      <c r="X1760" t="s">
        <v>699</v>
      </c>
      <c r="Y1760" t="s">
        <v>100</v>
      </c>
      <c r="Z1760" s="3">
        <v>7094</v>
      </c>
      <c r="AA1760" t="s">
        <v>101</v>
      </c>
      <c r="AC1760" s="4" t="str">
        <f>"+12018723003"</f>
        <v>+12018723003</v>
      </c>
      <c r="AD1760">
        <v>0</v>
      </c>
      <c r="AE1760" t="str">
        <f>"541211"</f>
        <v>541211</v>
      </c>
      <c r="AF1760" t="s">
        <v>700</v>
      </c>
      <c r="AG1760" t="s">
        <v>701</v>
      </c>
      <c r="AH1760" t="s">
        <v>702</v>
      </c>
      <c r="AI1760" t="s">
        <v>703</v>
      </c>
      <c r="AJ1760" t="s">
        <v>698</v>
      </c>
      <c r="AK1760" t="str">
        <f>"Suite 2222"</f>
        <v>Suite 2222</v>
      </c>
      <c r="AL1760" t="s">
        <v>699</v>
      </c>
      <c r="AM1760" t="s">
        <v>100</v>
      </c>
      <c r="AN1760" s="3">
        <v>7094</v>
      </c>
      <c r="AO1760" t="s">
        <v>101</v>
      </c>
      <c r="AQ1760" t="str">
        <f>"+12018723003"</f>
        <v>+12018723003</v>
      </c>
      <c r="AR1760">
        <v>0</v>
      </c>
      <c r="AS1760" t="s">
        <v>704</v>
      </c>
      <c r="AT1760" t="s">
        <v>102</v>
      </c>
      <c r="AU1760" t="str">
        <f>""</f>
        <v/>
      </c>
      <c r="AV1760" t="str">
        <f>""</f>
        <v/>
      </c>
      <c r="AW1760" t="str">
        <f>""</f>
        <v/>
      </c>
      <c r="AX1760" t="str">
        <f>""</f>
        <v/>
      </c>
      <c r="AY1760" t="str">
        <f>""</f>
        <v/>
      </c>
      <c r="AZ1760" t="str">
        <f>""</f>
        <v/>
      </c>
      <c r="BA1760" t="str">
        <f>""</f>
        <v/>
      </c>
      <c r="BC1760" t="str">
        <f>""</f>
        <v/>
      </c>
      <c r="BD1760" t="str">
        <f>""</f>
        <v/>
      </c>
      <c r="BE1760" t="str">
        <f>""</f>
        <v/>
      </c>
      <c r="BF1760" t="str">
        <f>""</f>
        <v/>
      </c>
      <c r="BG1760" t="str">
        <f>""</f>
        <v/>
      </c>
      <c r="BH1760" t="str">
        <f>""</f>
        <v/>
      </c>
      <c r="BI1760" t="str">
        <f>""</f>
        <v/>
      </c>
      <c r="BJ1760" t="str">
        <f>""</f>
        <v/>
      </c>
      <c r="BK1760">
        <v>1</v>
      </c>
      <c r="BL1760" t="s">
        <v>102</v>
      </c>
      <c r="BM1760" t="str">
        <f>""</f>
        <v/>
      </c>
      <c r="BN1760" t="s">
        <v>7598</v>
      </c>
      <c r="BO1760" t="s">
        <v>7599</v>
      </c>
      <c r="BP1760" t="s">
        <v>213</v>
      </c>
      <c r="BQ1760" t="s">
        <v>214</v>
      </c>
      <c r="BR1760" t="s">
        <v>215</v>
      </c>
      <c r="BS1760" s="5">
        <v>30328</v>
      </c>
      <c r="BT1760" s="2">
        <v>55640</v>
      </c>
      <c r="BV1760" t="s">
        <v>105</v>
      </c>
      <c r="BW1760" s="2">
        <v>48610</v>
      </c>
      <c r="BX1760" t="s">
        <v>105</v>
      </c>
      <c r="BZ1760" t="s">
        <v>191</v>
      </c>
      <c r="CA1760" t="str">
        <f t="shared" si="139"/>
        <v>7/1/2020 - 6/30/2021</v>
      </c>
      <c r="CF1760">
        <v>1</v>
      </c>
      <c r="CG1760" t="s">
        <v>98</v>
      </c>
      <c r="CH1760" t="s">
        <v>206</v>
      </c>
      <c r="CI1760" t="s">
        <v>206</v>
      </c>
      <c r="CL1760" t="s">
        <v>108</v>
      </c>
      <c r="CM1760" t="s">
        <v>109</v>
      </c>
      <c r="CN1760" t="str">
        <f>"CONFORTI"</f>
        <v>CONFORTI</v>
      </c>
      <c r="CO1760" t="str">
        <f>"JOSEPH"</f>
        <v>JOSEPH</v>
      </c>
      <c r="CP1760" t="str">
        <f>"B"</f>
        <v>B</v>
      </c>
      <c r="CQ1760" t="str">
        <f>"EY LAW LLP"</f>
        <v>EY LAW LLP</v>
      </c>
      <c r="CR1760" t="s">
        <v>706</v>
      </c>
    </row>
    <row r="1761" spans="1:96" x14ac:dyDescent="0.2">
      <c r="A1761" t="s">
        <v>7612</v>
      </c>
      <c r="B1761" t="s">
        <v>96</v>
      </c>
      <c r="C1761" s="1">
        <v>44099</v>
      </c>
      <c r="D1761" s="1">
        <v>44106</v>
      </c>
      <c r="F1761" t="s">
        <v>97</v>
      </c>
      <c r="G1761" t="str">
        <f>"SOFTWARE ENGINEER"</f>
        <v>SOFTWARE ENGINEER</v>
      </c>
      <c r="H1761" t="s">
        <v>12169</v>
      </c>
      <c r="I1761" t="s">
        <v>124</v>
      </c>
      <c r="J1761" t="s">
        <v>98</v>
      </c>
      <c r="K1761" s="1">
        <v>44105</v>
      </c>
      <c r="L1761" s="1">
        <v>45199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7613</v>
      </c>
      <c r="U1761" t="str">
        <f>""</f>
        <v/>
      </c>
      <c r="V1761" t="s">
        <v>7614</v>
      </c>
      <c r="W1761" t="str">
        <f>"SUITE E078"</f>
        <v>SUITE E078</v>
      </c>
      <c r="X1761" t="s">
        <v>671</v>
      </c>
      <c r="Y1761" t="s">
        <v>141</v>
      </c>
      <c r="Z1761" s="3">
        <v>94085</v>
      </c>
      <c r="AA1761" t="s">
        <v>101</v>
      </c>
      <c r="AC1761" s="4" t="str">
        <f>"+16463899468"</f>
        <v>+16463899468</v>
      </c>
      <c r="AE1761" t="str">
        <f>"511210"</f>
        <v>511210</v>
      </c>
      <c r="AF1761" t="s">
        <v>6830</v>
      </c>
      <c r="AG1761" t="s">
        <v>3419</v>
      </c>
      <c r="AH1761" t="s">
        <v>108</v>
      </c>
      <c r="AI1761" t="s">
        <v>1789</v>
      </c>
      <c r="AJ1761" t="s">
        <v>7614</v>
      </c>
      <c r="AK1761" t="str">
        <f>"SUITE E078"</f>
        <v>SUITE E078</v>
      </c>
      <c r="AL1761" t="s">
        <v>671</v>
      </c>
      <c r="AM1761" t="s">
        <v>141</v>
      </c>
      <c r="AN1761" s="3">
        <v>94085</v>
      </c>
      <c r="AO1761" t="s">
        <v>101</v>
      </c>
      <c r="AQ1761" t="str">
        <f>"+16463899468"</f>
        <v>+16463899468</v>
      </c>
      <c r="AS1761" t="s">
        <v>7615</v>
      </c>
      <c r="AT1761" t="s">
        <v>107</v>
      </c>
      <c r="AU1761" t="str">
        <f>"DEGERIN-RICARD"</f>
        <v>DEGERIN-RICARD</v>
      </c>
      <c r="AV1761" t="str">
        <f>"CLAIRE"</f>
        <v>CLAIRE</v>
      </c>
      <c r="AW1761" t="str">
        <f>"N/A"</f>
        <v>N/A</v>
      </c>
      <c r="AX1761" t="str">
        <f>"2225 E BAYSHORE RD"</f>
        <v>2225 E BAYSHORE RD</v>
      </c>
      <c r="AY1761" t="str">
        <f>"SUITE 200"</f>
        <v>SUITE 200</v>
      </c>
      <c r="AZ1761" t="str">
        <f>"PALO ALTO"</f>
        <v>PALO ALTO</v>
      </c>
      <c r="BA1761" t="str">
        <f>"CA"</f>
        <v>CA</v>
      </c>
      <c r="BB1761" s="3">
        <v>94303</v>
      </c>
      <c r="BC1761" t="str">
        <f>"UNITED STATES OF AMERICA"</f>
        <v>UNITED STATES OF AMERICA</v>
      </c>
      <c r="BD1761" t="str">
        <f>""</f>
        <v/>
      </c>
      <c r="BE1761" t="str">
        <f>"+16507984902"</f>
        <v>+16507984902</v>
      </c>
      <c r="BF1761" t="str">
        <f>""</f>
        <v/>
      </c>
      <c r="BG1761" t="str">
        <f>"cdg@immigrationlawandvisa.com"</f>
        <v>cdg@immigrationlawandvisa.com</v>
      </c>
      <c r="BH1761" t="str">
        <f>"IMMIGRATION LAW OFFICE OF CDG"</f>
        <v>IMMIGRATION LAW OFFICE OF CDG</v>
      </c>
      <c r="BI1761" t="str">
        <f>"NY"</f>
        <v>NY</v>
      </c>
      <c r="BJ1761" t="str">
        <f>"COURT OF APPEALS"</f>
        <v>COURT OF APPEALS</v>
      </c>
      <c r="BK1761">
        <v>1</v>
      </c>
      <c r="BL1761" t="s">
        <v>102</v>
      </c>
      <c r="BM1761" t="str">
        <f>""</f>
        <v/>
      </c>
      <c r="BN1761" t="s">
        <v>7616</v>
      </c>
      <c r="BO1761" t="s">
        <v>7617</v>
      </c>
      <c r="BP1761" t="s">
        <v>671</v>
      </c>
      <c r="BQ1761" t="s">
        <v>230</v>
      </c>
      <c r="BR1761" t="s">
        <v>141</v>
      </c>
      <c r="BS1761" s="5">
        <v>94085</v>
      </c>
      <c r="BT1761" s="2">
        <v>95500</v>
      </c>
      <c r="BV1761" t="s">
        <v>105</v>
      </c>
      <c r="BW1761" s="2">
        <v>95430</v>
      </c>
      <c r="BX1761" t="s">
        <v>105</v>
      </c>
      <c r="BZ1761" t="s">
        <v>191</v>
      </c>
      <c r="CA1761" t="str">
        <f t="shared" si="139"/>
        <v>7/1/2020 - 6/30/2021</v>
      </c>
      <c r="CF1761">
        <v>2</v>
      </c>
      <c r="CG1761" t="s">
        <v>98</v>
      </c>
      <c r="CH1761" t="s">
        <v>206</v>
      </c>
      <c r="CI1761" t="s">
        <v>206</v>
      </c>
      <c r="CL1761" t="s">
        <v>108</v>
      </c>
      <c r="CM1761" t="s">
        <v>718</v>
      </c>
      <c r="CN1761" t="str">
        <f>"DEGERIN-RICARD"</f>
        <v>DEGERIN-RICARD</v>
      </c>
      <c r="CO1761" t="str">
        <f>"CLAIRE"</f>
        <v>CLAIRE</v>
      </c>
      <c r="CP1761" t="str">
        <f>"N/A"</f>
        <v>N/A</v>
      </c>
      <c r="CQ1761" t="str">
        <f>"IMMIGRATION LAW OFFICE OF CDG"</f>
        <v>IMMIGRATION LAW OFFICE OF CDG</v>
      </c>
      <c r="CR1761" t="s">
        <v>3731</v>
      </c>
    </row>
    <row r="1762" spans="1:96" x14ac:dyDescent="0.2">
      <c r="A1762" t="s">
        <v>7618</v>
      </c>
      <c r="B1762" t="s">
        <v>96</v>
      </c>
      <c r="C1762" s="1">
        <v>44099</v>
      </c>
      <c r="D1762" s="1">
        <v>44106</v>
      </c>
      <c r="F1762" t="s">
        <v>97</v>
      </c>
      <c r="G1762" t="str">
        <f>"Assistant Professor of Accounting"</f>
        <v>Assistant Professor of Accounting</v>
      </c>
      <c r="H1762" t="s">
        <v>12243</v>
      </c>
      <c r="I1762" t="s">
        <v>3296</v>
      </c>
      <c r="J1762" t="s">
        <v>98</v>
      </c>
      <c r="K1762" s="1">
        <v>44166</v>
      </c>
      <c r="L1762" s="1">
        <v>45260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4488</v>
      </c>
      <c r="U1762" t="str">
        <f>""</f>
        <v/>
      </c>
      <c r="V1762" t="s">
        <v>7619</v>
      </c>
      <c r="W1762" t="str">
        <f>"Office of International Students and Scholars"</f>
        <v>Office of International Students and Scholars</v>
      </c>
      <c r="X1762" t="s">
        <v>1113</v>
      </c>
      <c r="Y1762" t="s">
        <v>1035</v>
      </c>
      <c r="Z1762" s="3">
        <v>3824</v>
      </c>
      <c r="AA1762" t="s">
        <v>101</v>
      </c>
      <c r="AC1762" s="4" t="str">
        <f>"+16038621288"</f>
        <v>+16038621288</v>
      </c>
      <c r="AE1762" t="str">
        <f>"611310"</f>
        <v>611310</v>
      </c>
      <c r="AF1762" t="s">
        <v>4489</v>
      </c>
      <c r="AG1762" t="s">
        <v>927</v>
      </c>
      <c r="AI1762" t="s">
        <v>117</v>
      </c>
      <c r="AJ1762" t="s">
        <v>7619</v>
      </c>
      <c r="AK1762" t="str">
        <f>"Office of International Students &amp; Scholars"</f>
        <v>Office of International Students &amp; Scholars</v>
      </c>
      <c r="AL1762" t="s">
        <v>1113</v>
      </c>
      <c r="AM1762" t="s">
        <v>1035</v>
      </c>
      <c r="AN1762" s="3">
        <v>3824</v>
      </c>
      <c r="AO1762" t="s">
        <v>101</v>
      </c>
      <c r="AQ1762" t="str">
        <f>"+16038621508"</f>
        <v>+16038621508</v>
      </c>
      <c r="AS1762" t="s">
        <v>4490</v>
      </c>
      <c r="AT1762" t="s">
        <v>102</v>
      </c>
      <c r="AU1762" t="str">
        <f>""</f>
        <v/>
      </c>
      <c r="AV1762" t="str">
        <f>""</f>
        <v/>
      </c>
      <c r="AW1762" t="str">
        <f>""</f>
        <v/>
      </c>
      <c r="AX1762" t="str">
        <f>""</f>
        <v/>
      </c>
      <c r="AY1762" t="str">
        <f>""</f>
        <v/>
      </c>
      <c r="AZ1762" t="str">
        <f>""</f>
        <v/>
      </c>
      <c r="BA1762" t="str">
        <f>""</f>
        <v/>
      </c>
      <c r="BC1762" t="str">
        <f>""</f>
        <v/>
      </c>
      <c r="BD1762" t="str">
        <f>""</f>
        <v/>
      </c>
      <c r="BE1762" t="str">
        <f>""</f>
        <v/>
      </c>
      <c r="BF1762" t="str">
        <f>""</f>
        <v/>
      </c>
      <c r="BG1762" t="str">
        <f>""</f>
        <v/>
      </c>
      <c r="BH1762" t="str">
        <f>""</f>
        <v/>
      </c>
      <c r="BI1762" t="str">
        <f>""</f>
        <v/>
      </c>
      <c r="BJ1762" t="str">
        <f>""</f>
        <v/>
      </c>
      <c r="BK1762">
        <v>1</v>
      </c>
      <c r="BL1762" t="s">
        <v>102</v>
      </c>
      <c r="BM1762" t="str">
        <f>""</f>
        <v/>
      </c>
      <c r="BN1762" t="s">
        <v>7620</v>
      </c>
      <c r="BO1762" t="s">
        <v>7621</v>
      </c>
      <c r="BP1762" t="s">
        <v>1113</v>
      </c>
      <c r="BQ1762" t="s">
        <v>3909</v>
      </c>
      <c r="BR1762" t="s">
        <v>1035</v>
      </c>
      <c r="BS1762" s="5">
        <v>3824</v>
      </c>
      <c r="BT1762" s="2">
        <v>160000</v>
      </c>
      <c r="BV1762" t="s">
        <v>105</v>
      </c>
      <c r="BW1762" s="2">
        <v>160000</v>
      </c>
      <c r="BX1762" t="s">
        <v>105</v>
      </c>
      <c r="CA1762" t="str">
        <f>""</f>
        <v/>
      </c>
      <c r="CB1762" t="s">
        <v>106</v>
      </c>
      <c r="CC1762">
        <v>2015</v>
      </c>
      <c r="CF1762">
        <v>1</v>
      </c>
      <c r="CG1762" t="s">
        <v>98</v>
      </c>
      <c r="CH1762" t="s">
        <v>206</v>
      </c>
      <c r="CI1762" t="s">
        <v>206</v>
      </c>
      <c r="CL1762" t="s">
        <v>108</v>
      </c>
      <c r="CM1762" t="s">
        <v>353</v>
      </c>
      <c r="CN1762" t="str">
        <f>""</f>
        <v/>
      </c>
      <c r="CO1762" t="str">
        <f>""</f>
        <v/>
      </c>
      <c r="CP1762" t="str">
        <f>""</f>
        <v/>
      </c>
      <c r="CQ1762" t="str">
        <f>""</f>
        <v/>
      </c>
    </row>
    <row r="1763" spans="1:96" x14ac:dyDescent="0.2">
      <c r="A1763" t="s">
        <v>7629</v>
      </c>
      <c r="B1763" t="s">
        <v>96</v>
      </c>
      <c r="C1763" s="1">
        <v>44099</v>
      </c>
      <c r="D1763" s="1">
        <v>44106</v>
      </c>
      <c r="F1763" t="s">
        <v>97</v>
      </c>
      <c r="G1763" t="str">
        <f>"Software Developer"</f>
        <v>Software Developer</v>
      </c>
      <c r="H1763" t="s">
        <v>12169</v>
      </c>
      <c r="I1763" t="s">
        <v>124</v>
      </c>
      <c r="J1763" t="s">
        <v>98</v>
      </c>
      <c r="K1763" s="1">
        <v>44109</v>
      </c>
      <c r="L1763" s="1">
        <v>45203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1522</v>
      </c>
      <c r="U1763" t="str">
        <f>""</f>
        <v/>
      </c>
      <c r="V1763" t="s">
        <v>1281</v>
      </c>
      <c r="W1763" t="str">
        <f>""</f>
        <v/>
      </c>
      <c r="X1763" t="s">
        <v>538</v>
      </c>
      <c r="Y1763" t="s">
        <v>135</v>
      </c>
      <c r="Z1763" s="3">
        <v>22030</v>
      </c>
      <c r="AA1763" t="s">
        <v>101</v>
      </c>
      <c r="AC1763" s="4" t="str">
        <f>"+17032678000"</f>
        <v>+17032678000</v>
      </c>
      <c r="AD1763">
        <v>0</v>
      </c>
      <c r="AE1763" t="str">
        <f>"541512"</f>
        <v>541512</v>
      </c>
      <c r="AF1763" t="s">
        <v>1282</v>
      </c>
      <c r="AG1763" t="s">
        <v>1283</v>
      </c>
      <c r="AI1763" t="s">
        <v>1284</v>
      </c>
      <c r="AJ1763" t="s">
        <v>1281</v>
      </c>
      <c r="AK1763" t="str">
        <f>""</f>
        <v/>
      </c>
      <c r="AL1763" t="s">
        <v>538</v>
      </c>
      <c r="AM1763" t="s">
        <v>135</v>
      </c>
      <c r="AN1763" s="3">
        <v>22030</v>
      </c>
      <c r="AO1763" t="s">
        <v>101</v>
      </c>
      <c r="AQ1763" t="str">
        <f>"+17324282390"</f>
        <v>+17324282390</v>
      </c>
      <c r="AS1763" t="s">
        <v>1285</v>
      </c>
      <c r="AT1763" t="s">
        <v>107</v>
      </c>
      <c r="AU1763" t="str">
        <f>"SMITH"</f>
        <v>SMITH</v>
      </c>
      <c r="AV1763" t="str">
        <f>"MICHAEL"</f>
        <v>MICHAEL</v>
      </c>
      <c r="AW1763" t="str">
        <f>"FRANCIS"</f>
        <v>FRANCIS</v>
      </c>
      <c r="AX1763" t="str">
        <f>"1101 15TH STREET, NW"</f>
        <v>1101 15TH STREET, NW</v>
      </c>
      <c r="AY1763" t="str">
        <f>"SUITE 700"</f>
        <v>SUITE 700</v>
      </c>
      <c r="AZ1763" t="str">
        <f>"WASHINGTON"</f>
        <v>WASHINGTON</v>
      </c>
      <c r="BA1763" t="str">
        <f>"DC"</f>
        <v>DC</v>
      </c>
      <c r="BB1763" s="3">
        <v>20005</v>
      </c>
      <c r="BC1763" t="str">
        <f t="shared" ref="BC1763:BC1769" si="140">"UNITED STATES OF AMERICA"</f>
        <v>UNITED STATES OF AMERICA</v>
      </c>
      <c r="BD1763" t="str">
        <f>""</f>
        <v/>
      </c>
      <c r="BE1763" t="str">
        <f>"+12022235515"</f>
        <v>+12022235515</v>
      </c>
      <c r="BF1763" t="str">
        <f>""</f>
        <v/>
      </c>
      <c r="BG1763" t="str">
        <f>"LCATeamPham@Fragomen.com"</f>
        <v>LCATeamPham@Fragomen.com</v>
      </c>
      <c r="BH1763" t="str">
        <f>"Fragomen, Del Rey, Bernsen &amp; Loewy, LLP"</f>
        <v>Fragomen, Del Rey, Bernsen &amp; Loewy, LLP</v>
      </c>
      <c r="BI1763" t="str">
        <f>"DC"</f>
        <v>DC</v>
      </c>
      <c r="BJ1763" t="str">
        <f>"DISTRICT OF COLUMBIA COURT OF APPEALS"</f>
        <v>DISTRICT OF COLUMBIA COURT OF APPEALS</v>
      </c>
      <c r="BK1763">
        <v>1</v>
      </c>
      <c r="BL1763" t="s">
        <v>107</v>
      </c>
      <c r="BM1763" t="str">
        <f>"The PNC Financial Services Group, Inc."</f>
        <v>The PNC Financial Services Group, Inc.</v>
      </c>
      <c r="BN1763" t="s">
        <v>3787</v>
      </c>
      <c r="BP1763" t="s">
        <v>333</v>
      </c>
      <c r="BQ1763" t="s">
        <v>861</v>
      </c>
      <c r="BR1763" t="s">
        <v>127</v>
      </c>
      <c r="BS1763" s="5">
        <v>15222</v>
      </c>
      <c r="BT1763" s="2">
        <v>110000</v>
      </c>
      <c r="BV1763" t="s">
        <v>105</v>
      </c>
      <c r="BW1763" s="2">
        <v>80142</v>
      </c>
      <c r="BX1763" t="s">
        <v>105</v>
      </c>
      <c r="BZ1763" t="s">
        <v>167</v>
      </c>
      <c r="CA1763" t="str">
        <f t="shared" ref="CA1763:CA1781" si="141">"7/1/2020 - 6/30/2021"</f>
        <v>7/1/2020 - 6/30/2021</v>
      </c>
      <c r="CF1763">
        <v>2</v>
      </c>
      <c r="CG1763" t="s">
        <v>98</v>
      </c>
      <c r="CH1763" t="s">
        <v>206</v>
      </c>
      <c r="CI1763" t="s">
        <v>206</v>
      </c>
      <c r="CL1763" t="s">
        <v>108</v>
      </c>
      <c r="CM1763" t="s">
        <v>109</v>
      </c>
      <c r="CN1763" t="str">
        <f>"ALI"</f>
        <v>ALI</v>
      </c>
      <c r="CO1763" t="str">
        <f>"ADAM"</f>
        <v>ADAM</v>
      </c>
      <c r="CP1763" t="str">
        <f>""</f>
        <v/>
      </c>
      <c r="CQ1763" t="str">
        <f>"Fragomen, Del Rey, Bernsen &amp; Loewy, LLP"</f>
        <v>Fragomen, Del Rey, Bernsen &amp; Loewy, LLP</v>
      </c>
      <c r="CR1763" t="s">
        <v>7630</v>
      </c>
    </row>
    <row r="1764" spans="1:96" x14ac:dyDescent="0.2">
      <c r="A1764" t="s">
        <v>7657</v>
      </c>
      <c r="B1764" t="s">
        <v>96</v>
      </c>
      <c r="C1764" s="1">
        <v>44099</v>
      </c>
      <c r="D1764" s="1">
        <v>44106</v>
      </c>
      <c r="F1764" t="s">
        <v>97</v>
      </c>
      <c r="G1764" t="str">
        <f>"Senior Researcher"</f>
        <v>Senior Researcher</v>
      </c>
      <c r="H1764" t="s">
        <v>12191</v>
      </c>
      <c r="I1764" t="s">
        <v>649</v>
      </c>
      <c r="J1764" t="s">
        <v>98</v>
      </c>
      <c r="K1764" s="1">
        <v>44258</v>
      </c>
      <c r="L1764" s="1">
        <v>45353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 t="s">
        <v>5783</v>
      </c>
      <c r="U1764" t="str">
        <f>""</f>
        <v/>
      </c>
      <c r="V1764" t="s">
        <v>5784</v>
      </c>
      <c r="W1764" t="str">
        <f>""</f>
        <v/>
      </c>
      <c r="X1764" t="s">
        <v>568</v>
      </c>
      <c r="Y1764" t="s">
        <v>141</v>
      </c>
      <c r="Z1764" s="3">
        <v>94306</v>
      </c>
      <c r="AA1764" t="s">
        <v>101</v>
      </c>
      <c r="AC1764" s="4" t="str">
        <f>"+16507983300"</f>
        <v>+16507983300</v>
      </c>
      <c r="AE1764" t="str">
        <f>"541519"</f>
        <v>541519</v>
      </c>
      <c r="AF1764" t="s">
        <v>5785</v>
      </c>
      <c r="AG1764" t="s">
        <v>5786</v>
      </c>
      <c r="AI1764" t="s">
        <v>2499</v>
      </c>
      <c r="AJ1764" t="s">
        <v>5784</v>
      </c>
      <c r="AK1764" t="str">
        <f>""</f>
        <v/>
      </c>
      <c r="AL1764" t="s">
        <v>568</v>
      </c>
      <c r="AM1764" t="s">
        <v>141</v>
      </c>
      <c r="AN1764" s="3">
        <v>94306</v>
      </c>
      <c r="AO1764" t="s">
        <v>101</v>
      </c>
      <c r="AQ1764" t="str">
        <f>"+16507983313"</f>
        <v>+16507983313</v>
      </c>
      <c r="AS1764" t="s">
        <v>5787</v>
      </c>
      <c r="AT1764" t="s">
        <v>107</v>
      </c>
      <c r="AU1764" t="str">
        <f>"Goeschl"</f>
        <v>Goeschl</v>
      </c>
      <c r="AV1764" t="str">
        <f>"Malcolm"</f>
        <v>Malcolm</v>
      </c>
      <c r="AW1764" t="str">
        <f>"Knowles"</f>
        <v>Knowles</v>
      </c>
      <c r="AX1764" t="str">
        <f>"235 MONTGOMERY STREET"</f>
        <v>235 MONTGOMERY STREET</v>
      </c>
      <c r="AY1764" t="str">
        <f>"SUITE 629"</f>
        <v>SUITE 629</v>
      </c>
      <c r="AZ1764" t="str">
        <f>"SAN FRANCISCO"</f>
        <v>SAN FRANCISCO</v>
      </c>
      <c r="BA1764" t="str">
        <f>"CA"</f>
        <v>CA</v>
      </c>
      <c r="BB1764" s="3">
        <v>94104</v>
      </c>
      <c r="BC1764" t="str">
        <f t="shared" si="140"/>
        <v>UNITED STATES OF AMERICA</v>
      </c>
      <c r="BD1764" t="str">
        <f>""</f>
        <v/>
      </c>
      <c r="BE1764" t="str">
        <f>"+14158053900"</f>
        <v>+14158053900</v>
      </c>
      <c r="BF1764" t="str">
        <f>""</f>
        <v/>
      </c>
      <c r="BG1764" t="str">
        <f>"LCA@GOLAWCORP.COM"</f>
        <v>LCA@GOLAWCORP.COM</v>
      </c>
      <c r="BH1764" t="str">
        <f>"GOESCHL LAW CORPORATION"</f>
        <v>GOESCHL LAW CORPORATION</v>
      </c>
      <c r="BI1764" t="str">
        <f>"CA"</f>
        <v>CA</v>
      </c>
      <c r="BJ1764" t="str">
        <f>"SUPREME COURT"</f>
        <v>SUPREME COURT</v>
      </c>
      <c r="BK1764">
        <v>1</v>
      </c>
      <c r="BL1764" t="s">
        <v>102</v>
      </c>
      <c r="BM1764" t="str">
        <f>""</f>
        <v/>
      </c>
      <c r="BN1764" t="s">
        <v>793</v>
      </c>
      <c r="BO1764" t="s">
        <v>5057</v>
      </c>
      <c r="BP1764" t="s">
        <v>182</v>
      </c>
      <c r="BQ1764" t="s">
        <v>183</v>
      </c>
      <c r="BR1764" t="s">
        <v>176</v>
      </c>
      <c r="BS1764" s="5">
        <v>98004</v>
      </c>
      <c r="BT1764" s="2">
        <v>180000</v>
      </c>
      <c r="BV1764" t="s">
        <v>105</v>
      </c>
      <c r="BW1764" s="2">
        <v>155376</v>
      </c>
      <c r="BX1764" t="s">
        <v>105</v>
      </c>
      <c r="BZ1764" t="s">
        <v>159</v>
      </c>
      <c r="CA1764" t="str">
        <f t="shared" si="141"/>
        <v>7/1/2020 - 6/30/2021</v>
      </c>
      <c r="CF1764">
        <v>2</v>
      </c>
      <c r="CG1764" t="s">
        <v>98</v>
      </c>
      <c r="CH1764" t="s">
        <v>206</v>
      </c>
      <c r="CI1764" t="s">
        <v>206</v>
      </c>
      <c r="CL1764" t="s">
        <v>108</v>
      </c>
      <c r="CM1764" t="s">
        <v>109</v>
      </c>
      <c r="CN1764" t="str">
        <f>""</f>
        <v/>
      </c>
      <c r="CO1764" t="str">
        <f>""</f>
        <v/>
      </c>
      <c r="CP1764" t="str">
        <f>""</f>
        <v/>
      </c>
      <c r="CQ1764" t="str">
        <f>""</f>
        <v/>
      </c>
    </row>
    <row r="1765" spans="1:96" x14ac:dyDescent="0.2">
      <c r="A1765" t="s">
        <v>7674</v>
      </c>
      <c r="B1765" t="s">
        <v>96</v>
      </c>
      <c r="C1765" s="1">
        <v>44099</v>
      </c>
      <c r="D1765" s="1">
        <v>44106</v>
      </c>
      <c r="F1765" t="s">
        <v>97</v>
      </c>
      <c r="G1765" t="str">
        <f>"Manager, Quality Assurance"</f>
        <v>Manager, Quality Assurance</v>
      </c>
      <c r="H1765" t="s">
        <v>12178</v>
      </c>
      <c r="I1765" t="s">
        <v>582</v>
      </c>
      <c r="J1765" t="s">
        <v>98</v>
      </c>
      <c r="K1765" s="1">
        <v>44105</v>
      </c>
      <c r="L1765" s="1">
        <v>45199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 t="s">
        <v>6273</v>
      </c>
      <c r="U1765" t="str">
        <f>"Balyasny Asset Management, L.P."</f>
        <v>Balyasny Asset Management, L.P.</v>
      </c>
      <c r="V1765" t="s">
        <v>6274</v>
      </c>
      <c r="W1765" t="str">
        <f>"50th Floor"</f>
        <v>50th Floor</v>
      </c>
      <c r="X1765" t="s">
        <v>833</v>
      </c>
      <c r="Y1765" t="s">
        <v>345</v>
      </c>
      <c r="Z1765" s="3">
        <v>60606</v>
      </c>
      <c r="AA1765" t="s">
        <v>101</v>
      </c>
      <c r="AC1765" s="4" t="str">
        <f>"+13124992999"</f>
        <v>+13124992999</v>
      </c>
      <c r="AE1765" t="str">
        <f>"5239"</f>
        <v>5239</v>
      </c>
      <c r="AF1765" t="s">
        <v>6275</v>
      </c>
      <c r="AG1765" t="s">
        <v>6276</v>
      </c>
      <c r="AI1765" t="s">
        <v>5358</v>
      </c>
      <c r="AJ1765" t="s">
        <v>6274</v>
      </c>
      <c r="AK1765" t="str">
        <f>"50th Floor"</f>
        <v>50th Floor</v>
      </c>
      <c r="AL1765" t="s">
        <v>833</v>
      </c>
      <c r="AM1765" t="s">
        <v>345</v>
      </c>
      <c r="AN1765" s="3">
        <v>60606</v>
      </c>
      <c r="AO1765" t="s">
        <v>101</v>
      </c>
      <c r="AQ1765" t="str">
        <f>"+13124992999"</f>
        <v>+13124992999</v>
      </c>
      <c r="AS1765" t="s">
        <v>6277</v>
      </c>
      <c r="AT1765" t="s">
        <v>107</v>
      </c>
      <c r="AU1765" t="str">
        <f>"DeCurtis"</f>
        <v>DeCurtis</v>
      </c>
      <c r="AV1765" t="str">
        <f>"Daniel"</f>
        <v>Daniel</v>
      </c>
      <c r="AW1765" t="str">
        <f>"P."</f>
        <v>P.</v>
      </c>
      <c r="AX1765" t="str">
        <f>"1400 Broadway"</f>
        <v>1400 Broadway</v>
      </c>
      <c r="AY1765" t="str">
        <f>""</f>
        <v/>
      </c>
      <c r="AZ1765" t="str">
        <f>"New York"</f>
        <v>New York</v>
      </c>
      <c r="BA1765" t="str">
        <f>"NY"</f>
        <v>NY</v>
      </c>
      <c r="BB1765" s="3">
        <v>10018</v>
      </c>
      <c r="BC1765" t="str">
        <f t="shared" si="140"/>
        <v>UNITED STATES OF AMERICA</v>
      </c>
      <c r="BD1765" t="str">
        <f>""</f>
        <v/>
      </c>
      <c r="BE1765" t="str">
        <f>"+12126888555"</f>
        <v>+12126888555</v>
      </c>
      <c r="BF1765" t="str">
        <f>""</f>
        <v/>
      </c>
      <c r="BG1765" t="str">
        <f>"ddecurtis@fragomen.com"</f>
        <v>ddecurtis@fragomen.com</v>
      </c>
      <c r="BH1765" t="str">
        <f>"Fragomen, Del Rey, Bernsen and Loewy, LLP"</f>
        <v>Fragomen, Del Rey, Bernsen and Loewy, LLP</v>
      </c>
      <c r="BI1765" t="str">
        <f>"NY"</f>
        <v>NY</v>
      </c>
      <c r="BJ1765" t="str">
        <f>"New York Court of Appeals"</f>
        <v>New York Court of Appeals</v>
      </c>
      <c r="BK1765">
        <v>1</v>
      </c>
      <c r="BL1765" t="s">
        <v>102</v>
      </c>
      <c r="BM1765" t="str">
        <f>""</f>
        <v/>
      </c>
      <c r="BN1765" t="s">
        <v>6274</v>
      </c>
      <c r="BO1765" t="s">
        <v>7675</v>
      </c>
      <c r="BP1765" t="s">
        <v>833</v>
      </c>
      <c r="BQ1765" t="s">
        <v>788</v>
      </c>
      <c r="BR1765" t="s">
        <v>345</v>
      </c>
      <c r="BS1765" s="5">
        <v>60606</v>
      </c>
      <c r="BT1765" s="2">
        <v>220000</v>
      </c>
      <c r="BV1765" t="s">
        <v>105</v>
      </c>
      <c r="BW1765" s="2">
        <v>177923</v>
      </c>
      <c r="BX1765" t="s">
        <v>105</v>
      </c>
      <c r="BZ1765" t="s">
        <v>159</v>
      </c>
      <c r="CA1765" t="str">
        <f t="shared" si="141"/>
        <v>7/1/2020 - 6/30/2021</v>
      </c>
      <c r="CF1765">
        <v>1</v>
      </c>
      <c r="CG1765" t="s">
        <v>98</v>
      </c>
      <c r="CH1765" t="s">
        <v>206</v>
      </c>
      <c r="CI1765" t="s">
        <v>206</v>
      </c>
      <c r="CL1765" t="s">
        <v>108</v>
      </c>
      <c r="CM1765" t="s">
        <v>109</v>
      </c>
      <c r="CN1765" t="str">
        <f>"Lundahl"</f>
        <v>Lundahl</v>
      </c>
      <c r="CO1765" t="str">
        <f>"Megan"</f>
        <v>Megan</v>
      </c>
      <c r="CP1765" t="str">
        <f>"P"</f>
        <v>P</v>
      </c>
      <c r="CQ1765" t="str">
        <f>"Fragomen, Del Rey, Bernsen &amp; Loewy, LLP"</f>
        <v>Fragomen, Del Rey, Bernsen &amp; Loewy, LLP</v>
      </c>
      <c r="CR1765" t="s">
        <v>1990</v>
      </c>
    </row>
    <row r="1766" spans="1:96" x14ac:dyDescent="0.2">
      <c r="A1766" t="s">
        <v>7691</v>
      </c>
      <c r="B1766" t="s">
        <v>96</v>
      </c>
      <c r="C1766" s="1">
        <v>44099</v>
      </c>
      <c r="D1766" s="1">
        <v>44106</v>
      </c>
      <c r="F1766" t="s">
        <v>97</v>
      </c>
      <c r="G1766" t="str">
        <f>"Analyst"</f>
        <v>Analyst</v>
      </c>
      <c r="H1766" t="s">
        <v>12214</v>
      </c>
      <c r="I1766" t="s">
        <v>276</v>
      </c>
      <c r="J1766" t="s">
        <v>206</v>
      </c>
      <c r="K1766" s="1">
        <v>44105</v>
      </c>
      <c r="L1766" s="1">
        <v>45199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3995</v>
      </c>
      <c r="U1766" t="str">
        <f>""</f>
        <v/>
      </c>
      <c r="V1766" t="s">
        <v>3996</v>
      </c>
      <c r="W1766" t="str">
        <f>"Suite 120"</f>
        <v>Suite 120</v>
      </c>
      <c r="X1766" t="s">
        <v>3997</v>
      </c>
      <c r="Y1766" t="s">
        <v>135</v>
      </c>
      <c r="Z1766" s="3">
        <v>20166</v>
      </c>
      <c r="AA1766" t="s">
        <v>101</v>
      </c>
      <c r="AC1766" s="4" t="str">
        <f>"+17034380477"</f>
        <v>+17034380477</v>
      </c>
      <c r="AE1766" t="str">
        <f>"541618"</f>
        <v>541618</v>
      </c>
      <c r="AF1766" t="s">
        <v>3998</v>
      </c>
      <c r="AG1766" t="s">
        <v>3999</v>
      </c>
      <c r="AH1766" t="s">
        <v>4000</v>
      </c>
      <c r="AI1766" t="s">
        <v>228</v>
      </c>
      <c r="AJ1766" t="s">
        <v>3996</v>
      </c>
      <c r="AK1766" t="str">
        <f>"SUITE 120"</f>
        <v>SUITE 120</v>
      </c>
      <c r="AL1766" t="s">
        <v>3997</v>
      </c>
      <c r="AM1766" t="s">
        <v>135</v>
      </c>
      <c r="AN1766" s="3">
        <v>20166</v>
      </c>
      <c r="AO1766" t="s">
        <v>101</v>
      </c>
      <c r="AQ1766" t="str">
        <f>"+17034383804"</f>
        <v>+17034383804</v>
      </c>
      <c r="AS1766" t="s">
        <v>4001</v>
      </c>
      <c r="AT1766" t="s">
        <v>107</v>
      </c>
      <c r="AU1766" t="str">
        <f>"BANSAL"</f>
        <v>BANSAL</v>
      </c>
      <c r="AV1766" t="str">
        <f>"NIDHI"</f>
        <v>NIDHI</v>
      </c>
      <c r="AW1766" t="str">
        <f>""</f>
        <v/>
      </c>
      <c r="AX1766" t="str">
        <f>"11490 COMMERCE PARK DRIVE"</f>
        <v>11490 COMMERCE PARK DRIVE</v>
      </c>
      <c r="AY1766" t="str">
        <f>"SUITE 300"</f>
        <v>SUITE 300</v>
      </c>
      <c r="AZ1766" t="str">
        <f>"RESTON"</f>
        <v>RESTON</v>
      </c>
      <c r="BA1766" t="str">
        <f>"VA"</f>
        <v>VA</v>
      </c>
      <c r="BB1766" s="3">
        <v>20191</v>
      </c>
      <c r="BC1766" t="str">
        <f t="shared" si="140"/>
        <v>UNITED STATES OF AMERICA</v>
      </c>
      <c r="BD1766" t="str">
        <f>""</f>
        <v/>
      </c>
      <c r="BE1766" t="str">
        <f>"+17032306800"</f>
        <v>+17032306800</v>
      </c>
      <c r="BF1766" t="str">
        <f>""</f>
        <v/>
      </c>
      <c r="BG1766" t="str">
        <f>"SONAM@IMMIGRATIONONLINE.COM"</f>
        <v>SONAM@IMMIGRATIONONLINE.COM</v>
      </c>
      <c r="BH1766" t="str">
        <f>"Law Offices of Rakesh Mehrotra"</f>
        <v>Law Offices of Rakesh Mehrotra</v>
      </c>
      <c r="BI1766" t="str">
        <f>"DC"</f>
        <v>DC</v>
      </c>
      <c r="BJ1766" t="str">
        <f>"District of Columbia Court of Appeals"</f>
        <v>District of Columbia Court of Appeals</v>
      </c>
      <c r="BK1766">
        <v>1</v>
      </c>
      <c r="BL1766" t="s">
        <v>102</v>
      </c>
      <c r="BM1766" t="str">
        <f>""</f>
        <v/>
      </c>
      <c r="BN1766" t="s">
        <v>7692</v>
      </c>
      <c r="BO1766" t="s">
        <v>764</v>
      </c>
      <c r="BP1766" t="s">
        <v>1317</v>
      </c>
      <c r="BQ1766" t="s">
        <v>3047</v>
      </c>
      <c r="BR1766" t="s">
        <v>135</v>
      </c>
      <c r="BS1766" s="5">
        <v>20166</v>
      </c>
      <c r="BT1766" s="2">
        <v>44</v>
      </c>
      <c r="BV1766" t="s">
        <v>210</v>
      </c>
      <c r="BW1766" s="2">
        <v>43.45</v>
      </c>
      <c r="BX1766" t="s">
        <v>210</v>
      </c>
      <c r="BZ1766" t="s">
        <v>167</v>
      </c>
      <c r="CA1766" t="str">
        <f t="shared" si="141"/>
        <v>7/1/2020 - 6/30/2021</v>
      </c>
      <c r="CF1766">
        <v>1</v>
      </c>
      <c r="CG1766" t="s">
        <v>98</v>
      </c>
      <c r="CH1766" t="s">
        <v>206</v>
      </c>
      <c r="CI1766" t="s">
        <v>206</v>
      </c>
      <c r="CL1766" t="s">
        <v>108</v>
      </c>
      <c r="CM1766" t="s">
        <v>109</v>
      </c>
      <c r="CN1766" t="str">
        <f>""</f>
        <v/>
      </c>
      <c r="CO1766" t="str">
        <f>""</f>
        <v/>
      </c>
      <c r="CP1766" t="str">
        <f>""</f>
        <v/>
      </c>
      <c r="CQ1766" t="str">
        <f>""</f>
        <v/>
      </c>
    </row>
    <row r="1767" spans="1:96" x14ac:dyDescent="0.2">
      <c r="A1767" t="s">
        <v>7726</v>
      </c>
      <c r="B1767" t="s">
        <v>96</v>
      </c>
      <c r="C1767" s="1">
        <v>44099</v>
      </c>
      <c r="D1767" s="1">
        <v>44106</v>
      </c>
      <c r="F1767" t="s">
        <v>97</v>
      </c>
      <c r="G1767" t="str">
        <f>"Senior Application Developer"</f>
        <v>Senior Application Developer</v>
      </c>
      <c r="H1767" t="s">
        <v>12239</v>
      </c>
      <c r="I1767" t="s">
        <v>378</v>
      </c>
      <c r="J1767" t="s">
        <v>98</v>
      </c>
      <c r="K1767" s="1">
        <v>44105</v>
      </c>
      <c r="L1767" s="1">
        <v>44926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3914</v>
      </c>
      <c r="U1767" t="str">
        <f>""</f>
        <v/>
      </c>
      <c r="V1767" t="s">
        <v>1603</v>
      </c>
      <c r="W1767" t="str">
        <f>""</f>
        <v/>
      </c>
      <c r="X1767" t="s">
        <v>1113</v>
      </c>
      <c r="Y1767" t="s">
        <v>122</v>
      </c>
      <c r="Z1767" s="3">
        <v>27709</v>
      </c>
      <c r="AA1767" t="s">
        <v>101</v>
      </c>
      <c r="AC1767" s="4" t="str">
        <f>"+19192540292"</f>
        <v>+19192540292</v>
      </c>
      <c r="AE1767" t="str">
        <f>"54151"</f>
        <v>54151</v>
      </c>
      <c r="AF1767" t="s">
        <v>6408</v>
      </c>
      <c r="AG1767" t="s">
        <v>1676</v>
      </c>
      <c r="AI1767" t="s">
        <v>3915</v>
      </c>
      <c r="AJ1767" t="s">
        <v>1603</v>
      </c>
      <c r="AK1767" t="str">
        <f>""</f>
        <v/>
      </c>
      <c r="AL1767" t="s">
        <v>1113</v>
      </c>
      <c r="AM1767" t="s">
        <v>122</v>
      </c>
      <c r="AN1767" s="3">
        <v>27709</v>
      </c>
      <c r="AO1767" t="s">
        <v>101</v>
      </c>
      <c r="AQ1767" t="str">
        <f>"+19192540292"</f>
        <v>+19192540292</v>
      </c>
      <c r="AS1767" t="s">
        <v>7463</v>
      </c>
      <c r="AT1767" t="s">
        <v>107</v>
      </c>
      <c r="AU1767" t="str">
        <f>"Szachta"</f>
        <v>Szachta</v>
      </c>
      <c r="AV1767" t="str">
        <f>"Christine"</f>
        <v>Christine</v>
      </c>
      <c r="AW1767" t="str">
        <f>"R."</f>
        <v>R.</v>
      </c>
      <c r="AX1767" t="str">
        <f>"5250 Corporate Drive"</f>
        <v>5250 Corporate Drive</v>
      </c>
      <c r="AY1767" t="str">
        <f>"Ste. 300"</f>
        <v>Ste. 300</v>
      </c>
      <c r="AZ1767" t="str">
        <f>"Troy"</f>
        <v>Troy</v>
      </c>
      <c r="BA1767" t="str">
        <f>"MI"</f>
        <v>MI</v>
      </c>
      <c r="BB1767" s="3">
        <v>48098</v>
      </c>
      <c r="BC1767" t="str">
        <f t="shared" si="140"/>
        <v>UNITED STATES OF AMERICA</v>
      </c>
      <c r="BD1767" t="str">
        <f>""</f>
        <v/>
      </c>
      <c r="BE1767" t="str">
        <f>"+12486434900"</f>
        <v>+12486434900</v>
      </c>
      <c r="BF1767" t="str">
        <f>""</f>
        <v/>
      </c>
      <c r="BG1767" t="str">
        <f>"Kanhaiyalal@employmentimmigration.com"</f>
        <v>Kanhaiyalal@employmentimmigration.com</v>
      </c>
      <c r="BH1767" t="str">
        <f>"Fakhoury Global Immigration, USA PC"</f>
        <v>Fakhoury Global Immigration, USA PC</v>
      </c>
      <c r="BI1767" t="str">
        <f>"MI"</f>
        <v>MI</v>
      </c>
      <c r="BJ1767" t="str">
        <f>"Supreme Court"</f>
        <v>Supreme Court</v>
      </c>
      <c r="BK1767">
        <v>1</v>
      </c>
      <c r="BL1767" t="s">
        <v>107</v>
      </c>
      <c r="BM1767" t="str">
        <f>"Prudential Financial, Inc."</f>
        <v>Prudential Financial, Inc.</v>
      </c>
      <c r="BN1767" t="s">
        <v>3916</v>
      </c>
      <c r="BP1767" t="s">
        <v>2451</v>
      </c>
      <c r="BQ1767" t="s">
        <v>309</v>
      </c>
      <c r="BR1767" t="s">
        <v>100</v>
      </c>
      <c r="BS1767" s="5">
        <v>7068</v>
      </c>
      <c r="BT1767" s="2">
        <v>77646</v>
      </c>
      <c r="BU1767" s="2">
        <v>126800</v>
      </c>
      <c r="BV1767" t="s">
        <v>105</v>
      </c>
      <c r="BW1767" s="2">
        <v>77646</v>
      </c>
      <c r="BX1767" t="s">
        <v>105</v>
      </c>
      <c r="BZ1767" t="s">
        <v>167</v>
      </c>
      <c r="CA1767" t="str">
        <f t="shared" si="141"/>
        <v>7/1/2020 - 6/30/2021</v>
      </c>
      <c r="CF1767">
        <v>1</v>
      </c>
      <c r="CG1767" t="s">
        <v>98</v>
      </c>
      <c r="CH1767" t="s">
        <v>206</v>
      </c>
      <c r="CI1767" t="s">
        <v>206</v>
      </c>
      <c r="CL1767" t="s">
        <v>108</v>
      </c>
      <c r="CM1767" t="s">
        <v>109</v>
      </c>
      <c r="CN1767" t="str">
        <f>"Szachta"</f>
        <v>Szachta</v>
      </c>
      <c r="CO1767" t="str">
        <f>"Christine"</f>
        <v>Christine</v>
      </c>
      <c r="CP1767" t="str">
        <f>"R."</f>
        <v>R.</v>
      </c>
      <c r="CQ1767" t="str">
        <f>"Fakhoury Global Immigration, USA PC"</f>
        <v>Fakhoury Global Immigration, USA PC</v>
      </c>
      <c r="CR1767" t="s">
        <v>3917</v>
      </c>
    </row>
    <row r="1768" spans="1:96" x14ac:dyDescent="0.2">
      <c r="A1768" t="s">
        <v>7747</v>
      </c>
      <c r="B1768" t="s">
        <v>96</v>
      </c>
      <c r="C1768" s="1">
        <v>44099</v>
      </c>
      <c r="D1768" s="1">
        <v>44106</v>
      </c>
      <c r="F1768" t="s">
        <v>97</v>
      </c>
      <c r="G1768" t="str">
        <f>"Associate"</f>
        <v>Associate</v>
      </c>
      <c r="H1768" t="s">
        <v>12213</v>
      </c>
      <c r="I1768" t="s">
        <v>493</v>
      </c>
      <c r="J1768" t="s">
        <v>98</v>
      </c>
      <c r="K1768" s="1">
        <v>44104</v>
      </c>
      <c r="L1768" s="1">
        <v>45199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2366</v>
      </c>
      <c r="U1768" t="str">
        <f>""</f>
        <v/>
      </c>
      <c r="V1768" t="s">
        <v>1205</v>
      </c>
      <c r="W1768" t="str">
        <f>""</f>
        <v/>
      </c>
      <c r="X1768" t="s">
        <v>1206</v>
      </c>
      <c r="Y1768" t="s">
        <v>100</v>
      </c>
      <c r="Z1768" s="3">
        <v>7302</v>
      </c>
      <c r="AA1768" t="s">
        <v>101</v>
      </c>
      <c r="AC1768" s="4" t="str">
        <f>"+12129021000"</f>
        <v>+12129021000</v>
      </c>
      <c r="AE1768" t="str">
        <f>"523110"</f>
        <v>523110</v>
      </c>
      <c r="AF1768" t="s">
        <v>1207</v>
      </c>
      <c r="AG1768" t="s">
        <v>1208</v>
      </c>
      <c r="AH1768" t="s">
        <v>1209</v>
      </c>
      <c r="AI1768" t="s">
        <v>1210</v>
      </c>
      <c r="AJ1768" t="s">
        <v>1205</v>
      </c>
      <c r="AK1768" t="str">
        <f>""</f>
        <v/>
      </c>
      <c r="AL1768" t="s">
        <v>1206</v>
      </c>
      <c r="AM1768" t="s">
        <v>100</v>
      </c>
      <c r="AN1768" s="3">
        <v>7302</v>
      </c>
      <c r="AO1768" t="s">
        <v>101</v>
      </c>
      <c r="AQ1768" t="str">
        <f>"+12129021000"</f>
        <v>+12129021000</v>
      </c>
      <c r="AS1768" t="s">
        <v>1211</v>
      </c>
      <c r="AT1768" t="s">
        <v>107</v>
      </c>
      <c r="AU1768" t="str">
        <f>"DOWNES"</f>
        <v>DOWNES</v>
      </c>
      <c r="AV1768" t="str">
        <f>"HELEN"</f>
        <v>HELEN</v>
      </c>
      <c r="AW1768" t="str">
        <f>""</f>
        <v/>
      </c>
      <c r="AX1768" t="str">
        <f>"1400 Broadway"</f>
        <v>1400 Broadway</v>
      </c>
      <c r="AY1768" t="str">
        <f>""</f>
        <v/>
      </c>
      <c r="AZ1768" t="str">
        <f>"NEW YORK"</f>
        <v>NEW YORK</v>
      </c>
      <c r="BA1768" t="str">
        <f>"NY"</f>
        <v>NY</v>
      </c>
      <c r="BB1768" s="3">
        <v>10018</v>
      </c>
      <c r="BC1768" t="str">
        <f t="shared" si="140"/>
        <v>UNITED STATES OF AMERICA</v>
      </c>
      <c r="BD1768" t="str">
        <f>""</f>
        <v/>
      </c>
      <c r="BE1768" t="str">
        <f>"+12126888555"</f>
        <v>+12126888555</v>
      </c>
      <c r="BF1768" t="str">
        <f>""</f>
        <v/>
      </c>
      <c r="BG1768" t="str">
        <f>"DChausow@fragomen.com"</f>
        <v>DChausow@fragomen.com</v>
      </c>
      <c r="BH1768" t="str">
        <f>"FRAGOMEN, DEL REY, BERNSEN &amp; LOEWY, LLP"</f>
        <v>FRAGOMEN, DEL REY, BERNSEN &amp; LOEWY, LLP</v>
      </c>
      <c r="BI1768" t="str">
        <f>"NY"</f>
        <v>NY</v>
      </c>
      <c r="BJ1768" t="str">
        <f>"COURT OF APPEALS"</f>
        <v>COURT OF APPEALS</v>
      </c>
      <c r="BK1768">
        <v>1</v>
      </c>
      <c r="BL1768" t="s">
        <v>102</v>
      </c>
      <c r="BM1768" t="str">
        <f>""</f>
        <v/>
      </c>
      <c r="BN1768" t="s">
        <v>2368</v>
      </c>
      <c r="BP1768" t="s">
        <v>277</v>
      </c>
      <c r="BQ1768" t="s">
        <v>189</v>
      </c>
      <c r="BR1768" t="s">
        <v>190</v>
      </c>
      <c r="BS1768" s="5">
        <v>10282</v>
      </c>
      <c r="BT1768" s="2">
        <v>165000</v>
      </c>
      <c r="BV1768" t="s">
        <v>105</v>
      </c>
      <c r="BW1768" s="2">
        <v>131685</v>
      </c>
      <c r="BX1768" t="s">
        <v>105</v>
      </c>
      <c r="BZ1768" t="s">
        <v>123</v>
      </c>
      <c r="CA1768" t="str">
        <f t="shared" si="141"/>
        <v>7/1/2020 - 6/30/2021</v>
      </c>
      <c r="CF1768">
        <v>2</v>
      </c>
      <c r="CG1768" t="s">
        <v>98</v>
      </c>
      <c r="CH1768" t="s">
        <v>206</v>
      </c>
      <c r="CI1768" t="s">
        <v>206</v>
      </c>
      <c r="CL1768" t="s">
        <v>108</v>
      </c>
      <c r="CM1768" t="s">
        <v>109</v>
      </c>
      <c r="CN1768" t="str">
        <f>"Chausow"</f>
        <v>Chausow</v>
      </c>
      <c r="CO1768" t="str">
        <f>"Daniel"</f>
        <v>Daniel</v>
      </c>
      <c r="CP1768" t="str">
        <f>""</f>
        <v/>
      </c>
      <c r="CQ1768" t="str">
        <f>"Fragomen, Del Rey, Bernsen &amp; Loewy LLP"</f>
        <v>Fragomen, Del Rey, Bernsen &amp; Loewy LLP</v>
      </c>
      <c r="CR1768" t="s">
        <v>2552</v>
      </c>
    </row>
    <row r="1769" spans="1:96" x14ac:dyDescent="0.2">
      <c r="A1769" t="s">
        <v>7752</v>
      </c>
      <c r="B1769" t="s">
        <v>96</v>
      </c>
      <c r="C1769" s="1">
        <v>44099</v>
      </c>
      <c r="D1769" s="1">
        <v>44106</v>
      </c>
      <c r="F1769" t="s">
        <v>97</v>
      </c>
      <c r="G1769" t="str">
        <f>"Senior Architect"</f>
        <v>Senior Architect</v>
      </c>
      <c r="H1769" t="s">
        <v>12169</v>
      </c>
      <c r="I1769" t="s">
        <v>124</v>
      </c>
      <c r="J1769" t="s">
        <v>98</v>
      </c>
      <c r="K1769" s="1">
        <v>44106</v>
      </c>
      <c r="L1769" s="1">
        <v>45200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 t="s">
        <v>1432</v>
      </c>
      <c r="U1769" t="str">
        <f>""</f>
        <v/>
      </c>
      <c r="V1769" t="s">
        <v>1433</v>
      </c>
      <c r="W1769" t="str">
        <f>""</f>
        <v/>
      </c>
      <c r="X1769" t="s">
        <v>833</v>
      </c>
      <c r="Y1769" t="s">
        <v>345</v>
      </c>
      <c r="Z1769" s="3">
        <v>60661</v>
      </c>
      <c r="AA1769" t="s">
        <v>101</v>
      </c>
      <c r="AC1769" s="4" t="str">
        <f>"+16023275581"</f>
        <v>+16023275581</v>
      </c>
      <c r="AE1769" t="str">
        <f>"3342"</f>
        <v>3342</v>
      </c>
      <c r="AF1769" t="s">
        <v>1434</v>
      </c>
      <c r="AG1769" t="s">
        <v>909</v>
      </c>
      <c r="AH1769" t="s">
        <v>1435</v>
      </c>
      <c r="AI1769" t="s">
        <v>1436</v>
      </c>
      <c r="AJ1769" t="s">
        <v>1433</v>
      </c>
      <c r="AK1769" t="str">
        <f>""</f>
        <v/>
      </c>
      <c r="AL1769" t="s">
        <v>833</v>
      </c>
      <c r="AM1769" t="s">
        <v>345</v>
      </c>
      <c r="AN1769" s="3">
        <v>60661</v>
      </c>
      <c r="AO1769" t="s">
        <v>101</v>
      </c>
      <c r="AQ1769" t="str">
        <f>"+16023275581"</f>
        <v>+16023275581</v>
      </c>
      <c r="AS1769" t="s">
        <v>1437</v>
      </c>
      <c r="AT1769" t="s">
        <v>107</v>
      </c>
      <c r="AU1769" t="str">
        <f>"MARONEY "</f>
        <v xml:space="preserve">MARONEY </v>
      </c>
      <c r="AV1769" t="str">
        <f>"JACQUELYN "</f>
        <v xml:space="preserve">JACQUELYN </v>
      </c>
      <c r="AW1769" t="str">
        <f>"P."</f>
        <v>P.</v>
      </c>
      <c r="AX1769" t="str">
        <f>"301 Congress Avenue"</f>
        <v>301 Congress Avenue</v>
      </c>
      <c r="AY1769" t="str">
        <f>"Suite 1150"</f>
        <v>Suite 1150</v>
      </c>
      <c r="AZ1769" t="str">
        <f>"Austin"</f>
        <v>Austin</v>
      </c>
      <c r="BA1769" t="str">
        <f>"TX"</f>
        <v>TX</v>
      </c>
      <c r="BB1769" s="3">
        <v>78701</v>
      </c>
      <c r="BC1769" t="str">
        <f t="shared" si="140"/>
        <v>UNITED STATES OF AMERICA</v>
      </c>
      <c r="BD1769" t="str">
        <f>""</f>
        <v/>
      </c>
      <c r="BE1769" t="str">
        <f>"+15123444736"</f>
        <v>+15123444736</v>
      </c>
      <c r="BF1769" t="str">
        <f>""</f>
        <v/>
      </c>
      <c r="BG1769" t="str">
        <f>"natalie.ingram@ogletreedeakins.com"</f>
        <v>natalie.ingram@ogletreedeakins.com</v>
      </c>
      <c r="BH1769" t="str">
        <f>"Ogletree, Deakins, Nash, Smoak &amp; Stewart, P.C."</f>
        <v>Ogletree, Deakins, Nash, Smoak &amp; Stewart, P.C.</v>
      </c>
      <c r="BI1769" t="str">
        <f>"TX"</f>
        <v>TX</v>
      </c>
      <c r="BJ1769" t="str">
        <f>"Supreme Court of Texas"</f>
        <v>Supreme Court of Texas</v>
      </c>
      <c r="BK1769">
        <v>1</v>
      </c>
      <c r="BL1769" t="s">
        <v>102</v>
      </c>
      <c r="BM1769" t="str">
        <f>""</f>
        <v/>
      </c>
      <c r="BN1769" t="s">
        <v>5581</v>
      </c>
      <c r="BP1769" t="s">
        <v>2495</v>
      </c>
      <c r="BQ1769" t="s">
        <v>556</v>
      </c>
      <c r="BR1769" t="s">
        <v>114</v>
      </c>
      <c r="BS1769" s="5">
        <v>75002</v>
      </c>
      <c r="BT1769" s="2">
        <v>110344</v>
      </c>
      <c r="BU1769" s="2">
        <v>196200</v>
      </c>
      <c r="BV1769" t="s">
        <v>105</v>
      </c>
      <c r="BW1769" s="2">
        <v>110344</v>
      </c>
      <c r="BX1769" t="s">
        <v>105</v>
      </c>
      <c r="BZ1769" t="s">
        <v>123</v>
      </c>
      <c r="CA1769" t="str">
        <f t="shared" si="141"/>
        <v>7/1/2020 - 6/30/2021</v>
      </c>
      <c r="CF1769">
        <v>2</v>
      </c>
      <c r="CG1769" t="s">
        <v>98</v>
      </c>
      <c r="CH1769" t="s">
        <v>206</v>
      </c>
      <c r="CI1769" t="s">
        <v>206</v>
      </c>
      <c r="CL1769" t="s">
        <v>108</v>
      </c>
      <c r="CM1769" t="s">
        <v>109</v>
      </c>
      <c r="CN1769" t="str">
        <f>""</f>
        <v/>
      </c>
      <c r="CO1769" t="str">
        <f>""</f>
        <v/>
      </c>
      <c r="CP1769" t="str">
        <f>""</f>
        <v/>
      </c>
      <c r="CQ1769" t="str">
        <f>""</f>
        <v/>
      </c>
    </row>
    <row r="1770" spans="1:96" x14ac:dyDescent="0.2">
      <c r="A1770" t="s">
        <v>7766</v>
      </c>
      <c r="B1770" t="s">
        <v>96</v>
      </c>
      <c r="C1770" s="1">
        <v>44099</v>
      </c>
      <c r="D1770" s="1">
        <v>44106</v>
      </c>
      <c r="F1770" t="s">
        <v>97</v>
      </c>
      <c r="G1770" t="str">
        <f>"Support Escalation Engineer"</f>
        <v>Support Escalation Engineer</v>
      </c>
      <c r="H1770" t="s">
        <v>12168</v>
      </c>
      <c r="I1770" t="s">
        <v>160</v>
      </c>
      <c r="J1770" t="s">
        <v>98</v>
      </c>
      <c r="K1770" s="1">
        <v>44106</v>
      </c>
      <c r="L1770" s="1">
        <v>45200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 t="s">
        <v>173</v>
      </c>
      <c r="U1770" t="str">
        <f>""</f>
        <v/>
      </c>
      <c r="V1770" t="s">
        <v>174</v>
      </c>
      <c r="W1770" t="str">
        <f>"N/A"</f>
        <v>N/A</v>
      </c>
      <c r="X1770" t="s">
        <v>175</v>
      </c>
      <c r="Y1770" t="s">
        <v>176</v>
      </c>
      <c r="Z1770" s="3">
        <v>98052</v>
      </c>
      <c r="AA1770" t="s">
        <v>101</v>
      </c>
      <c r="AC1770" s="4" t="str">
        <f>"+14258828080"</f>
        <v>+14258828080</v>
      </c>
      <c r="AE1770" t="str">
        <f>"51121"</f>
        <v>51121</v>
      </c>
      <c r="AF1770" t="s">
        <v>177</v>
      </c>
      <c r="AG1770" t="s">
        <v>178</v>
      </c>
      <c r="AI1770" t="s">
        <v>179</v>
      </c>
      <c r="AJ1770" t="s">
        <v>174</v>
      </c>
      <c r="AK1770" t="str">
        <f>""</f>
        <v/>
      </c>
      <c r="AL1770" t="s">
        <v>175</v>
      </c>
      <c r="AM1770" t="s">
        <v>176</v>
      </c>
      <c r="AN1770" s="3">
        <v>98052</v>
      </c>
      <c r="AO1770" t="s">
        <v>101</v>
      </c>
      <c r="AQ1770" t="str">
        <f>"+14258828080"</f>
        <v>+14258828080</v>
      </c>
      <c r="AS1770" t="s">
        <v>180</v>
      </c>
      <c r="AT1770" t="s">
        <v>102</v>
      </c>
      <c r="AU1770" t="str">
        <f>""</f>
        <v/>
      </c>
      <c r="AV1770" t="str">
        <f>""</f>
        <v/>
      </c>
      <c r="AW1770" t="str">
        <f>""</f>
        <v/>
      </c>
      <c r="AX1770" t="str">
        <f>""</f>
        <v/>
      </c>
      <c r="AY1770" t="str">
        <f>""</f>
        <v/>
      </c>
      <c r="AZ1770" t="str">
        <f>""</f>
        <v/>
      </c>
      <c r="BA1770" t="str">
        <f>""</f>
        <v/>
      </c>
      <c r="BC1770" t="str">
        <f>""</f>
        <v/>
      </c>
      <c r="BD1770" t="str">
        <f>""</f>
        <v/>
      </c>
      <c r="BE1770" t="str">
        <f>""</f>
        <v/>
      </c>
      <c r="BF1770" t="str">
        <f>""</f>
        <v/>
      </c>
      <c r="BG1770" t="str">
        <f>""</f>
        <v/>
      </c>
      <c r="BH1770" t="str">
        <f>""</f>
        <v/>
      </c>
      <c r="BI1770" t="str">
        <f>""</f>
        <v/>
      </c>
      <c r="BJ1770" t="str">
        <f>""</f>
        <v/>
      </c>
      <c r="BK1770">
        <v>1</v>
      </c>
      <c r="BL1770" t="s">
        <v>102</v>
      </c>
      <c r="BM1770" t="str">
        <f>""</f>
        <v/>
      </c>
      <c r="BN1770" t="s">
        <v>7767</v>
      </c>
      <c r="BP1770" t="s">
        <v>483</v>
      </c>
      <c r="BQ1770" t="s">
        <v>484</v>
      </c>
      <c r="BR1770" t="s">
        <v>114</v>
      </c>
      <c r="BS1770" s="5">
        <v>75039</v>
      </c>
      <c r="BT1770" s="2">
        <v>120000</v>
      </c>
      <c r="BV1770" t="s">
        <v>105</v>
      </c>
      <c r="BW1770" s="2">
        <v>74027</v>
      </c>
      <c r="BX1770" t="s">
        <v>105</v>
      </c>
      <c r="BZ1770" t="s">
        <v>167</v>
      </c>
      <c r="CA1770" t="str">
        <f t="shared" si="141"/>
        <v>7/1/2020 - 6/30/2021</v>
      </c>
      <c r="CF1770">
        <v>1</v>
      </c>
      <c r="CG1770" t="s">
        <v>98</v>
      </c>
      <c r="CH1770" t="s">
        <v>206</v>
      </c>
      <c r="CI1770" t="s">
        <v>206</v>
      </c>
      <c r="CL1770" t="s">
        <v>108</v>
      </c>
      <c r="CM1770" t="s">
        <v>109</v>
      </c>
      <c r="CN1770" t="str">
        <f>"Kodishala"</f>
        <v>Kodishala</v>
      </c>
      <c r="CO1770" t="str">
        <f>"Suresh"</f>
        <v>Suresh</v>
      </c>
      <c r="CP1770" t="str">
        <f>"N/A"</f>
        <v>N/A</v>
      </c>
      <c r="CQ1770" t="str">
        <f>"INTEGREON MANAGED SOLUTIONS (INDIA) PVT LTD"</f>
        <v>INTEGREON MANAGED SOLUTIONS (INDIA) PVT LTD</v>
      </c>
      <c r="CR1770" t="s">
        <v>231</v>
      </c>
    </row>
    <row r="1771" spans="1:96" x14ac:dyDescent="0.2">
      <c r="A1771" t="s">
        <v>7783</v>
      </c>
      <c r="B1771" t="s">
        <v>96</v>
      </c>
      <c r="C1771" s="1">
        <v>44099</v>
      </c>
      <c r="D1771" s="1">
        <v>44106</v>
      </c>
      <c r="F1771" t="s">
        <v>97</v>
      </c>
      <c r="G1771" t="str">
        <f>"SECURITY ENGINEER"</f>
        <v>SECURITY ENGINEER</v>
      </c>
      <c r="H1771" t="s">
        <v>12197</v>
      </c>
      <c r="I1771" t="s">
        <v>137</v>
      </c>
      <c r="J1771" t="s">
        <v>98</v>
      </c>
      <c r="K1771" s="1">
        <v>44105</v>
      </c>
      <c r="L1771" s="1">
        <v>45200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571</v>
      </c>
      <c r="U1771" t="str">
        <f>""</f>
        <v/>
      </c>
      <c r="V1771" t="s">
        <v>572</v>
      </c>
      <c r="W1771" t="str">
        <f>"SUITE 343"</f>
        <v>SUITE 343</v>
      </c>
      <c r="X1771" t="s">
        <v>211</v>
      </c>
      <c r="Y1771" t="s">
        <v>100</v>
      </c>
      <c r="Z1771" s="3">
        <v>8837</v>
      </c>
      <c r="AA1771" t="s">
        <v>101</v>
      </c>
      <c r="AC1771" s="4" t="str">
        <f>"+16463305100"</f>
        <v>+16463305100</v>
      </c>
      <c r="AE1771" t="str">
        <f>"541511"</f>
        <v>541511</v>
      </c>
      <c r="AF1771" t="s">
        <v>573</v>
      </c>
      <c r="AG1771" t="s">
        <v>574</v>
      </c>
      <c r="AI1771" t="s">
        <v>228</v>
      </c>
      <c r="AJ1771" t="s">
        <v>572</v>
      </c>
      <c r="AK1771" t="str">
        <f>"SUITE 343"</f>
        <v>SUITE 343</v>
      </c>
      <c r="AL1771" t="s">
        <v>211</v>
      </c>
      <c r="AM1771" t="s">
        <v>100</v>
      </c>
      <c r="AN1771" s="3">
        <v>8837</v>
      </c>
      <c r="AO1771" t="s">
        <v>101</v>
      </c>
      <c r="AQ1771" t="str">
        <f>"+16463305100"</f>
        <v>+16463305100</v>
      </c>
      <c r="AS1771" t="s">
        <v>575</v>
      </c>
      <c r="AT1771" t="s">
        <v>102</v>
      </c>
      <c r="AU1771" t="str">
        <f>""</f>
        <v/>
      </c>
      <c r="AV1771" t="str">
        <f>""</f>
        <v/>
      </c>
      <c r="AW1771" t="str">
        <f>""</f>
        <v/>
      </c>
      <c r="AX1771" t="str">
        <f>""</f>
        <v/>
      </c>
      <c r="AY1771" t="str">
        <f>""</f>
        <v/>
      </c>
      <c r="AZ1771" t="str">
        <f>""</f>
        <v/>
      </c>
      <c r="BA1771" t="str">
        <f>""</f>
        <v/>
      </c>
      <c r="BC1771" t="str">
        <f>""</f>
        <v/>
      </c>
      <c r="BD1771" t="str">
        <f>""</f>
        <v/>
      </c>
      <c r="BE1771" t="str">
        <f>""</f>
        <v/>
      </c>
      <c r="BF1771" t="str">
        <f>""</f>
        <v/>
      </c>
      <c r="BG1771" t="str">
        <f>""</f>
        <v/>
      </c>
      <c r="BH1771" t="str">
        <f>""</f>
        <v/>
      </c>
      <c r="BI1771" t="str">
        <f>""</f>
        <v/>
      </c>
      <c r="BJ1771" t="str">
        <f>""</f>
        <v/>
      </c>
      <c r="BK1771">
        <v>1</v>
      </c>
      <c r="BL1771" t="s">
        <v>102</v>
      </c>
      <c r="BM1771" t="str">
        <f>""</f>
        <v/>
      </c>
      <c r="BN1771" t="s">
        <v>7784</v>
      </c>
      <c r="BP1771" t="s">
        <v>1241</v>
      </c>
      <c r="BQ1771" t="s">
        <v>1243</v>
      </c>
      <c r="BR1771" t="s">
        <v>577</v>
      </c>
      <c r="BS1771" s="5">
        <v>32246</v>
      </c>
      <c r="BT1771" s="2">
        <v>74485</v>
      </c>
      <c r="BU1771" s="2">
        <v>75000</v>
      </c>
      <c r="BV1771" t="s">
        <v>105</v>
      </c>
      <c r="BW1771" s="2">
        <v>74485</v>
      </c>
      <c r="BX1771" t="s">
        <v>105</v>
      </c>
      <c r="BZ1771" t="s">
        <v>167</v>
      </c>
      <c r="CA1771" t="str">
        <f t="shared" si="141"/>
        <v>7/1/2020 - 6/30/2021</v>
      </c>
      <c r="CF1771">
        <v>1</v>
      </c>
      <c r="CG1771" t="s">
        <v>98</v>
      </c>
      <c r="CH1771" t="s">
        <v>206</v>
      </c>
      <c r="CI1771" t="s">
        <v>206</v>
      </c>
      <c r="CL1771" t="s">
        <v>108</v>
      </c>
      <c r="CM1771" t="s">
        <v>109</v>
      </c>
      <c r="CN1771" t="str">
        <f>""</f>
        <v/>
      </c>
      <c r="CO1771" t="str">
        <f>""</f>
        <v/>
      </c>
      <c r="CP1771" t="str">
        <f>""</f>
        <v/>
      </c>
      <c r="CQ1771" t="str">
        <f>""</f>
        <v/>
      </c>
    </row>
    <row r="1772" spans="1:96" x14ac:dyDescent="0.2">
      <c r="A1772" t="s">
        <v>7798</v>
      </c>
      <c r="B1772" t="s">
        <v>96</v>
      </c>
      <c r="C1772" s="1">
        <v>44099</v>
      </c>
      <c r="D1772" s="1">
        <v>44106</v>
      </c>
      <c r="F1772" t="s">
        <v>97</v>
      </c>
      <c r="G1772" t="str">
        <f>"Industrial Inventory Financial Analyst"</f>
        <v>Industrial Inventory Financial Analyst</v>
      </c>
      <c r="H1772" t="s">
        <v>12213</v>
      </c>
      <c r="I1772" t="s">
        <v>493</v>
      </c>
      <c r="J1772" t="s">
        <v>98</v>
      </c>
      <c r="K1772" s="1">
        <v>44102</v>
      </c>
      <c r="L1772" s="1">
        <v>45197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 t="s">
        <v>7799</v>
      </c>
      <c r="U1772" t="str">
        <f>"Hilco"</f>
        <v>Hilco</v>
      </c>
      <c r="V1772" t="s">
        <v>7800</v>
      </c>
      <c r="W1772" t="str">
        <f>"Suite 300"</f>
        <v>Suite 300</v>
      </c>
      <c r="X1772" t="s">
        <v>3746</v>
      </c>
      <c r="Y1772" t="s">
        <v>345</v>
      </c>
      <c r="Z1772" s="3">
        <v>60062</v>
      </c>
      <c r="AA1772" t="s">
        <v>101</v>
      </c>
      <c r="AC1772" s="4" t="str">
        <f>"+18475091100"</f>
        <v>+18475091100</v>
      </c>
      <c r="AE1772" t="str">
        <f>"541614"</f>
        <v>541614</v>
      </c>
      <c r="AF1772" t="s">
        <v>6714</v>
      </c>
      <c r="AG1772" t="s">
        <v>1022</v>
      </c>
      <c r="AI1772" t="s">
        <v>7801</v>
      </c>
      <c r="AJ1772" t="s">
        <v>7800</v>
      </c>
      <c r="AK1772" t="str">
        <f>"Suite 206"</f>
        <v>Suite 206</v>
      </c>
      <c r="AL1772" t="s">
        <v>3746</v>
      </c>
      <c r="AM1772" t="s">
        <v>345</v>
      </c>
      <c r="AN1772" s="3">
        <v>60062</v>
      </c>
      <c r="AO1772" t="s">
        <v>101</v>
      </c>
      <c r="AQ1772" t="str">
        <f>"+18475042462"</f>
        <v>+18475042462</v>
      </c>
      <c r="AS1772" t="s">
        <v>7802</v>
      </c>
      <c r="AT1772" t="s">
        <v>107</v>
      </c>
      <c r="AU1772" t="str">
        <f>"Jacobson"</f>
        <v>Jacobson</v>
      </c>
      <c r="AV1772" t="str">
        <f>"P. Michelle"</f>
        <v>P. Michelle</v>
      </c>
      <c r="AW1772" t="str">
        <f>""</f>
        <v/>
      </c>
      <c r="AX1772" t="str">
        <f>"333 W Wacker Drive"</f>
        <v>333 W Wacker Drive</v>
      </c>
      <c r="AY1772" t="str">
        <f>"15th Floor"</f>
        <v>15th Floor</v>
      </c>
      <c r="AZ1772" t="str">
        <f>"Chicago"</f>
        <v>Chicago</v>
      </c>
      <c r="BA1772" t="str">
        <f>"IL"</f>
        <v>IL</v>
      </c>
      <c r="BB1772" s="3">
        <v>60606</v>
      </c>
      <c r="BC1772" t="str">
        <f t="shared" ref="BC1772:BC1778" si="142">"UNITED STATES OF AMERICA"</f>
        <v>UNITED STATES OF AMERICA</v>
      </c>
      <c r="BD1772" t="str">
        <f>""</f>
        <v/>
      </c>
      <c r="BE1772" t="str">
        <f>"+13122636101"</f>
        <v>+13122636101</v>
      </c>
      <c r="BF1772" t="str">
        <f>""</f>
        <v/>
      </c>
      <c r="BG1772" t="str">
        <f>"ipinto@fragomen.com"</f>
        <v>ipinto@fragomen.com</v>
      </c>
      <c r="BH1772" t="str">
        <f>"Fragomen, Del Rey, Bernsen &amp; Loewy, LLP"</f>
        <v>Fragomen, Del Rey, Bernsen &amp; Loewy, LLP</v>
      </c>
      <c r="BI1772" t="str">
        <f>"IL"</f>
        <v>IL</v>
      </c>
      <c r="BJ1772" t="str">
        <f>"Illinois Supreme Court"</f>
        <v>Illinois Supreme Court</v>
      </c>
      <c r="BK1772">
        <v>1</v>
      </c>
      <c r="BL1772" t="s">
        <v>102</v>
      </c>
      <c r="BM1772" t="str">
        <f>""</f>
        <v/>
      </c>
      <c r="BN1772" t="s">
        <v>7800</v>
      </c>
      <c r="BO1772" t="s">
        <v>4628</v>
      </c>
      <c r="BP1772" t="s">
        <v>3746</v>
      </c>
      <c r="BQ1772" t="s">
        <v>788</v>
      </c>
      <c r="BR1772" t="s">
        <v>345</v>
      </c>
      <c r="BS1772" s="5">
        <v>60062</v>
      </c>
      <c r="BT1772" s="2">
        <v>65000</v>
      </c>
      <c r="BV1772" t="s">
        <v>105</v>
      </c>
      <c r="BW1772" s="2">
        <v>59925</v>
      </c>
      <c r="BX1772" t="s">
        <v>105</v>
      </c>
      <c r="BZ1772" t="s">
        <v>191</v>
      </c>
      <c r="CA1772" t="str">
        <f t="shared" si="141"/>
        <v>7/1/2020 - 6/30/2021</v>
      </c>
      <c r="CF1772">
        <v>2</v>
      </c>
      <c r="CG1772" t="s">
        <v>98</v>
      </c>
      <c r="CH1772" t="s">
        <v>206</v>
      </c>
      <c r="CI1772" t="s">
        <v>206</v>
      </c>
      <c r="CL1772" t="s">
        <v>108</v>
      </c>
      <c r="CM1772" t="s">
        <v>109</v>
      </c>
      <c r="CN1772" t="str">
        <f>""</f>
        <v/>
      </c>
      <c r="CO1772" t="str">
        <f>""</f>
        <v/>
      </c>
      <c r="CP1772" t="str">
        <f>""</f>
        <v/>
      </c>
      <c r="CQ1772" t="str">
        <f>""</f>
        <v/>
      </c>
    </row>
    <row r="1773" spans="1:96" x14ac:dyDescent="0.2">
      <c r="A1773" t="s">
        <v>7803</v>
      </c>
      <c r="B1773" t="s">
        <v>96</v>
      </c>
      <c r="C1773" s="1">
        <v>44099</v>
      </c>
      <c r="D1773" s="1">
        <v>44106</v>
      </c>
      <c r="F1773" t="s">
        <v>97</v>
      </c>
      <c r="G1773" t="str">
        <f>"SOFTWARE APPLICATIONS ANALYST"</f>
        <v>SOFTWARE APPLICATIONS ANALYST</v>
      </c>
      <c r="H1773" t="s">
        <v>12169</v>
      </c>
      <c r="I1773" t="s">
        <v>124</v>
      </c>
      <c r="J1773" t="s">
        <v>98</v>
      </c>
      <c r="K1773" s="1">
        <v>44105</v>
      </c>
      <c r="L1773" s="1">
        <v>45199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6745</v>
      </c>
      <c r="U1773" t="str">
        <f>""</f>
        <v/>
      </c>
      <c r="V1773" t="s">
        <v>4479</v>
      </c>
      <c r="W1773" t="str">
        <f>""</f>
        <v/>
      </c>
      <c r="X1773" t="s">
        <v>189</v>
      </c>
      <c r="Y1773" t="s">
        <v>190</v>
      </c>
      <c r="Z1773" s="3">
        <v>10020</v>
      </c>
      <c r="AA1773" t="s">
        <v>101</v>
      </c>
      <c r="AC1773" s="4" t="str">
        <f>"+12125845114"</f>
        <v>+12125845114</v>
      </c>
      <c r="AE1773" t="str">
        <f>"515111"</f>
        <v>515111</v>
      </c>
      <c r="AF1773" t="s">
        <v>4480</v>
      </c>
      <c r="AG1773" t="s">
        <v>1516</v>
      </c>
      <c r="AI1773" t="s">
        <v>5917</v>
      </c>
      <c r="AJ1773" t="s">
        <v>4481</v>
      </c>
      <c r="AK1773" t="str">
        <f>""</f>
        <v/>
      </c>
      <c r="AL1773" t="s">
        <v>189</v>
      </c>
      <c r="AM1773" t="s">
        <v>190</v>
      </c>
      <c r="AN1773" s="3">
        <v>10104</v>
      </c>
      <c r="AO1773" t="s">
        <v>101</v>
      </c>
      <c r="AQ1773" t="str">
        <f>"+12125845114"</f>
        <v>+12125845114</v>
      </c>
      <c r="AS1773" t="s">
        <v>4482</v>
      </c>
      <c r="AT1773" t="s">
        <v>107</v>
      </c>
      <c r="AU1773" t="str">
        <f>"GORSKI"</f>
        <v>GORSKI</v>
      </c>
      <c r="AV1773" t="str">
        <f>"SCOTT"</f>
        <v>SCOTT</v>
      </c>
      <c r="AW1773" t="str">
        <f>"A."</f>
        <v>A.</v>
      </c>
      <c r="AX1773" t="str">
        <f>"1177 AVENUE OF THE AMERICAS"</f>
        <v>1177 AVENUE OF THE AMERICAS</v>
      </c>
      <c r="AY1773" t="str">
        <f>"23RD"</f>
        <v>23RD</v>
      </c>
      <c r="AZ1773" t="str">
        <f>"NEW YORK"</f>
        <v>NEW YORK</v>
      </c>
      <c r="BA1773" t="str">
        <f>"NY"</f>
        <v>NY</v>
      </c>
      <c r="BB1773" s="3">
        <v>10036</v>
      </c>
      <c r="BC1773" t="str">
        <f t="shared" si="142"/>
        <v>UNITED STATES OF AMERICA</v>
      </c>
      <c r="BD1773" t="str">
        <f>""</f>
        <v/>
      </c>
      <c r="BE1773" t="str">
        <f>"+12127159535"</f>
        <v>+12127159535</v>
      </c>
      <c r="BF1773" t="str">
        <f>""</f>
        <v/>
      </c>
      <c r="BG1773" t="str">
        <f>"SGORSKI@KRAMERLEVIN.COM"</f>
        <v>SGORSKI@KRAMERLEVIN.COM</v>
      </c>
      <c r="BH1773" t="str">
        <f>"KRAMER LEVIN NAFTALIS &amp; FRANKEL LLP"</f>
        <v>KRAMER LEVIN NAFTALIS &amp; FRANKEL LLP</v>
      </c>
      <c r="BI1773" t="str">
        <f>"NY"</f>
        <v>NY</v>
      </c>
      <c r="BJ1773" t="str">
        <f>"SUPREME COURT"</f>
        <v>SUPREME COURT</v>
      </c>
      <c r="BK1773">
        <v>1</v>
      </c>
      <c r="BL1773" t="s">
        <v>102</v>
      </c>
      <c r="BM1773" t="str">
        <f>""</f>
        <v/>
      </c>
      <c r="BN1773" t="s">
        <v>7804</v>
      </c>
      <c r="BP1773" t="s">
        <v>480</v>
      </c>
      <c r="BQ1773" t="s">
        <v>214</v>
      </c>
      <c r="BR1773" t="s">
        <v>215</v>
      </c>
      <c r="BS1773" s="5">
        <v>30309</v>
      </c>
      <c r="BT1773" s="2">
        <v>95000</v>
      </c>
      <c r="BU1773" s="2">
        <v>105000</v>
      </c>
      <c r="BV1773" t="s">
        <v>105</v>
      </c>
      <c r="BW1773" s="2">
        <v>85842</v>
      </c>
      <c r="BX1773" t="s">
        <v>105</v>
      </c>
      <c r="BZ1773" t="s">
        <v>167</v>
      </c>
      <c r="CA1773" t="str">
        <f t="shared" si="141"/>
        <v>7/1/2020 - 6/30/2021</v>
      </c>
      <c r="CF1773">
        <v>2</v>
      </c>
      <c r="CG1773" t="s">
        <v>98</v>
      </c>
      <c r="CH1773" t="s">
        <v>206</v>
      </c>
      <c r="CI1773" t="s">
        <v>206</v>
      </c>
      <c r="CL1773" t="s">
        <v>108</v>
      </c>
      <c r="CM1773" t="s">
        <v>109</v>
      </c>
      <c r="CN1773" t="str">
        <f>"SMITH"</f>
        <v>SMITH</v>
      </c>
      <c r="CO1773" t="str">
        <f>"JUSTIN"</f>
        <v>JUSTIN</v>
      </c>
      <c r="CP1773" t="str">
        <f>"P"</f>
        <v>P</v>
      </c>
      <c r="CQ1773" t="str">
        <f>"KRAMER LEVIN NAFTALIS &amp; FRANKEL LLP"</f>
        <v>KRAMER LEVIN NAFTALIS &amp; FRANKEL LLP</v>
      </c>
      <c r="CR1773" t="s">
        <v>1396</v>
      </c>
    </row>
    <row r="1774" spans="1:96" x14ac:dyDescent="0.2">
      <c r="A1774" t="s">
        <v>7814</v>
      </c>
      <c r="B1774" t="s">
        <v>96</v>
      </c>
      <c r="C1774" s="1">
        <v>44099</v>
      </c>
      <c r="D1774" s="1">
        <v>44106</v>
      </c>
      <c r="F1774" t="s">
        <v>97</v>
      </c>
      <c r="G1774" t="str">
        <f>"Hospitalist Physician"</f>
        <v>Hospitalist Physician</v>
      </c>
      <c r="H1774" t="s">
        <v>12207</v>
      </c>
      <c r="I1774" t="s">
        <v>1665</v>
      </c>
      <c r="J1774" t="s">
        <v>98</v>
      </c>
      <c r="K1774" s="1">
        <v>44130</v>
      </c>
      <c r="L1774" s="1">
        <v>44926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7815</v>
      </c>
      <c r="U1774" t="str">
        <f>""</f>
        <v/>
      </c>
      <c r="V1774" t="s">
        <v>7816</v>
      </c>
      <c r="W1774" t="str">
        <f>""</f>
        <v/>
      </c>
      <c r="X1774" t="s">
        <v>421</v>
      </c>
      <c r="Y1774" t="s">
        <v>345</v>
      </c>
      <c r="Z1774" s="3">
        <v>62703</v>
      </c>
      <c r="AA1774" t="s">
        <v>101</v>
      </c>
      <c r="AC1774" s="4" t="str">
        <f>"+12175287541"</f>
        <v>+12175287541</v>
      </c>
      <c r="AE1774" t="str">
        <f>"6211"</f>
        <v>6211</v>
      </c>
      <c r="AF1774" t="s">
        <v>7817</v>
      </c>
      <c r="AG1774" t="s">
        <v>7818</v>
      </c>
      <c r="AI1774" t="s">
        <v>6302</v>
      </c>
      <c r="AJ1774" t="s">
        <v>7816</v>
      </c>
      <c r="AK1774" t="str">
        <f>""</f>
        <v/>
      </c>
      <c r="AL1774" t="s">
        <v>421</v>
      </c>
      <c r="AM1774" t="s">
        <v>345</v>
      </c>
      <c r="AN1774" s="3">
        <v>62703</v>
      </c>
      <c r="AO1774" t="s">
        <v>101</v>
      </c>
      <c r="AQ1774" t="str">
        <f>"+12175287541"</f>
        <v>+12175287541</v>
      </c>
      <c r="AS1774" t="s">
        <v>7819</v>
      </c>
      <c r="AT1774" t="s">
        <v>107</v>
      </c>
      <c r="AU1774" t="str">
        <f>"Sherman"</f>
        <v>Sherman</v>
      </c>
      <c r="AV1774" t="str">
        <f>"Ted"</f>
        <v>Ted</v>
      </c>
      <c r="AW1774" t="str">
        <f>"Scott"</f>
        <v>Scott</v>
      </c>
      <c r="AX1774" t="str">
        <f>"26111 W 14 MILE RD STE 104"</f>
        <v>26111 W 14 MILE RD STE 104</v>
      </c>
      <c r="AY1774" t="str">
        <f>""</f>
        <v/>
      </c>
      <c r="AZ1774" t="str">
        <f>"FRANKLIN"</f>
        <v>FRANKLIN</v>
      </c>
      <c r="BA1774" t="str">
        <f>"MI"</f>
        <v>MI</v>
      </c>
      <c r="BB1774" s="3" t="s">
        <v>12312</v>
      </c>
      <c r="BC1774" t="str">
        <f t="shared" si="142"/>
        <v>UNITED STATES OF AMERICA</v>
      </c>
      <c r="BD1774" t="str">
        <f>""</f>
        <v/>
      </c>
      <c r="BE1774" t="str">
        <f>"+12488517575"</f>
        <v>+12488517575</v>
      </c>
      <c r="BF1774" t="str">
        <f>""</f>
        <v/>
      </c>
      <c r="BG1774" t="str">
        <f>"tss225@aol.com"</f>
        <v>tss225@aol.com</v>
      </c>
      <c r="BH1774" t="str">
        <f>"Sherman Immigration Lawyers PC"</f>
        <v>Sherman Immigration Lawyers PC</v>
      </c>
      <c r="BI1774" t="str">
        <f>"MI"</f>
        <v>MI</v>
      </c>
      <c r="BJ1774" t="str">
        <f>"Supreme Court"</f>
        <v>Supreme Court</v>
      </c>
      <c r="BK1774">
        <v>1</v>
      </c>
      <c r="BL1774" t="s">
        <v>107</v>
      </c>
      <c r="BM1774" t="str">
        <f>"Abraham Lincoln Memorial Hospital"</f>
        <v>Abraham Lincoln Memorial Hospital</v>
      </c>
      <c r="BN1774" t="s">
        <v>7820</v>
      </c>
      <c r="BP1774" t="s">
        <v>984</v>
      </c>
      <c r="BQ1774" t="s">
        <v>7821</v>
      </c>
      <c r="BR1774" t="s">
        <v>345</v>
      </c>
      <c r="BS1774" s="5">
        <v>62656</v>
      </c>
      <c r="BT1774" s="2">
        <v>250000</v>
      </c>
      <c r="BV1774" t="s">
        <v>105</v>
      </c>
      <c r="BW1774" s="2">
        <v>208000</v>
      </c>
      <c r="BX1774" t="s">
        <v>105</v>
      </c>
      <c r="BZ1774" t="s">
        <v>108</v>
      </c>
      <c r="CA1774" t="str">
        <f t="shared" si="141"/>
        <v>7/1/2020 - 6/30/2021</v>
      </c>
      <c r="CF1774">
        <v>1</v>
      </c>
      <c r="CG1774" t="s">
        <v>98</v>
      </c>
      <c r="CH1774" t="s">
        <v>206</v>
      </c>
      <c r="CI1774" t="s">
        <v>206</v>
      </c>
      <c r="CL1774" t="s">
        <v>108</v>
      </c>
      <c r="CM1774" t="s">
        <v>109</v>
      </c>
      <c r="CN1774" t="str">
        <f>""</f>
        <v/>
      </c>
      <c r="CO1774" t="str">
        <f>""</f>
        <v/>
      </c>
      <c r="CP1774" t="str">
        <f>""</f>
        <v/>
      </c>
      <c r="CQ1774" t="str">
        <f>""</f>
        <v/>
      </c>
    </row>
    <row r="1775" spans="1:96" x14ac:dyDescent="0.2">
      <c r="A1775" t="s">
        <v>7841</v>
      </c>
      <c r="B1775" t="s">
        <v>96</v>
      </c>
      <c r="C1775" s="1">
        <v>44099</v>
      </c>
      <c r="D1775" s="1">
        <v>44106</v>
      </c>
      <c r="F1775" t="s">
        <v>97</v>
      </c>
      <c r="G1775" t="str">
        <f>"Senior Software Engineer and Architect"</f>
        <v>Senior Software Engineer and Architect</v>
      </c>
      <c r="H1775" t="s">
        <v>12169</v>
      </c>
      <c r="I1775" t="s">
        <v>124</v>
      </c>
      <c r="J1775" t="s">
        <v>98</v>
      </c>
      <c r="K1775" s="1">
        <v>44105</v>
      </c>
      <c r="L1775" s="1">
        <v>45199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 t="s">
        <v>7842</v>
      </c>
      <c r="U1775" t="str">
        <f>""</f>
        <v/>
      </c>
      <c r="V1775" t="s">
        <v>7843</v>
      </c>
      <c r="W1775" t="str">
        <f>"Suite 100"</f>
        <v>Suite 100</v>
      </c>
      <c r="X1775" t="s">
        <v>3971</v>
      </c>
      <c r="Y1775" t="s">
        <v>545</v>
      </c>
      <c r="Z1775" s="3">
        <v>37902</v>
      </c>
      <c r="AA1775" t="s">
        <v>101</v>
      </c>
      <c r="AC1775" s="4" t="str">
        <f>"+18655232120"</f>
        <v>+18655232120</v>
      </c>
      <c r="AE1775" t="str">
        <f>"522292"</f>
        <v>522292</v>
      </c>
      <c r="AF1775" t="s">
        <v>7844</v>
      </c>
      <c r="AG1775" t="s">
        <v>2185</v>
      </c>
      <c r="AI1775" t="s">
        <v>1153</v>
      </c>
      <c r="AJ1775" t="s">
        <v>7845</v>
      </c>
      <c r="AK1775" t="str">
        <f>""</f>
        <v/>
      </c>
      <c r="AL1775" t="s">
        <v>3971</v>
      </c>
      <c r="AM1775" t="s">
        <v>545</v>
      </c>
      <c r="AN1775" s="3">
        <v>37902</v>
      </c>
      <c r="AO1775" t="s">
        <v>101</v>
      </c>
      <c r="AQ1775" t="str">
        <f>"+18655232120"</f>
        <v>+18655232120</v>
      </c>
      <c r="AS1775" t="s">
        <v>7846</v>
      </c>
      <c r="AT1775" t="s">
        <v>107</v>
      </c>
      <c r="AU1775" t="str">
        <f>"PHAM"</f>
        <v>PHAM</v>
      </c>
      <c r="AV1775" t="str">
        <f>"SON"</f>
        <v>SON</v>
      </c>
      <c r="AW1775" t="str">
        <f>"GIANG VU"</f>
        <v>GIANG VU</v>
      </c>
      <c r="AX1775" t="str">
        <f>"1101 15TH STREET, NW"</f>
        <v>1101 15TH STREET, NW</v>
      </c>
      <c r="AY1775" t="str">
        <f>"SUITE 700"</f>
        <v>SUITE 700</v>
      </c>
      <c r="AZ1775" t="str">
        <f>"Washington"</f>
        <v>Washington</v>
      </c>
      <c r="BA1775" t="str">
        <f>"DC"</f>
        <v>DC</v>
      </c>
      <c r="BB1775" s="3">
        <v>20005</v>
      </c>
      <c r="BC1775" t="str">
        <f t="shared" si="142"/>
        <v>UNITED STATES OF AMERICA</v>
      </c>
      <c r="BD1775" t="str">
        <f>""</f>
        <v/>
      </c>
      <c r="BE1775" t="str">
        <f>"+12022235515"</f>
        <v>+12022235515</v>
      </c>
      <c r="BF1775" t="str">
        <f>""</f>
        <v/>
      </c>
      <c r="BG1775" t="str">
        <f>"LCATeamPham@Fragomen.com"</f>
        <v>LCATeamPham@Fragomen.com</v>
      </c>
      <c r="BH1775" t="str">
        <f>"Fragomen, Del Rey, Bernsen &amp; Loewy, LLP"</f>
        <v>Fragomen, Del Rey, Bernsen &amp; Loewy, LLP</v>
      </c>
      <c r="BI1775" t="str">
        <f>"VA"</f>
        <v>VA</v>
      </c>
      <c r="BJ1775" t="str">
        <f>"SUPREME COURT OF VIRGINIA"</f>
        <v>SUPREME COURT OF VIRGINIA</v>
      </c>
      <c r="BK1775">
        <v>1</v>
      </c>
      <c r="BL1775" t="s">
        <v>102</v>
      </c>
      <c r="BM1775" t="str">
        <f>""</f>
        <v/>
      </c>
      <c r="BN1775" t="s">
        <v>7847</v>
      </c>
      <c r="BO1775" t="s">
        <v>667</v>
      </c>
      <c r="BP1775" t="s">
        <v>3971</v>
      </c>
      <c r="BQ1775" t="s">
        <v>4438</v>
      </c>
      <c r="BR1775" t="s">
        <v>545</v>
      </c>
      <c r="BS1775" s="5">
        <v>37902</v>
      </c>
      <c r="BT1775" s="2">
        <v>121665</v>
      </c>
      <c r="BV1775" t="s">
        <v>105</v>
      </c>
      <c r="BW1775" s="2">
        <v>99299</v>
      </c>
      <c r="BX1775" t="s">
        <v>105</v>
      </c>
      <c r="BZ1775" t="s">
        <v>159</v>
      </c>
      <c r="CA1775" t="str">
        <f t="shared" si="141"/>
        <v>7/1/2020 - 6/30/2021</v>
      </c>
      <c r="CF1775">
        <v>2</v>
      </c>
      <c r="CG1775" t="s">
        <v>98</v>
      </c>
      <c r="CH1775" t="s">
        <v>206</v>
      </c>
      <c r="CI1775" t="s">
        <v>206</v>
      </c>
      <c r="CL1775" t="s">
        <v>108</v>
      </c>
      <c r="CM1775" t="s">
        <v>109</v>
      </c>
      <c r="CN1775" t="str">
        <f>"ALI"</f>
        <v>ALI</v>
      </c>
      <c r="CO1775" t="str">
        <f>"ADAM"</f>
        <v>ADAM</v>
      </c>
      <c r="CP1775" t="str">
        <f>"P"</f>
        <v>P</v>
      </c>
      <c r="CQ1775" t="str">
        <f>"Fragomen, Del Rey, Bernsen &amp; Loewy, LLP"</f>
        <v>Fragomen, Del Rey, Bernsen &amp; Loewy, LLP</v>
      </c>
      <c r="CR1775" t="s">
        <v>7630</v>
      </c>
    </row>
    <row r="1776" spans="1:96" x14ac:dyDescent="0.2">
      <c r="A1776" t="s">
        <v>7872</v>
      </c>
      <c r="B1776" t="s">
        <v>96</v>
      </c>
      <c r="C1776" s="1">
        <v>44099</v>
      </c>
      <c r="D1776" s="1">
        <v>44106</v>
      </c>
      <c r="F1776" t="s">
        <v>97</v>
      </c>
      <c r="G1776" t="str">
        <f>"Analytical Scientist II"</f>
        <v>Analytical Scientist II</v>
      </c>
      <c r="H1776" t="s">
        <v>12198</v>
      </c>
      <c r="I1776" t="s">
        <v>402</v>
      </c>
      <c r="J1776" t="s">
        <v>98</v>
      </c>
      <c r="K1776" s="1">
        <v>44109</v>
      </c>
      <c r="L1776" s="1">
        <v>45204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 t="s">
        <v>7873</v>
      </c>
      <c r="U1776" t="str">
        <f>""</f>
        <v/>
      </c>
      <c r="V1776" t="s">
        <v>7874</v>
      </c>
      <c r="W1776" t="str">
        <f>""</f>
        <v/>
      </c>
      <c r="X1776" t="s">
        <v>7415</v>
      </c>
      <c r="Y1776" t="s">
        <v>345</v>
      </c>
      <c r="Z1776" s="3">
        <v>60139</v>
      </c>
      <c r="AA1776" t="s">
        <v>101</v>
      </c>
      <c r="AC1776" s="4" t="str">
        <f>"+16306824600"</f>
        <v>+16306824600</v>
      </c>
      <c r="AE1776" t="str">
        <f>"32541"</f>
        <v>32541</v>
      </c>
      <c r="AF1776" t="s">
        <v>5594</v>
      </c>
      <c r="AG1776" t="s">
        <v>1341</v>
      </c>
      <c r="AI1776" t="s">
        <v>1737</v>
      </c>
      <c r="AJ1776" t="s">
        <v>7874</v>
      </c>
      <c r="AK1776" t="str">
        <f>""</f>
        <v/>
      </c>
      <c r="AL1776" t="s">
        <v>7415</v>
      </c>
      <c r="AM1776" t="s">
        <v>345</v>
      </c>
      <c r="AN1776" s="3">
        <v>60139</v>
      </c>
      <c r="AO1776" t="s">
        <v>101</v>
      </c>
      <c r="AQ1776" t="str">
        <f>"+16306824600"</f>
        <v>+16306824600</v>
      </c>
      <c r="AS1776" t="s">
        <v>7875</v>
      </c>
      <c r="AT1776" t="s">
        <v>107</v>
      </c>
      <c r="AU1776" t="str">
        <f>"Bernstein"</f>
        <v>Bernstein</v>
      </c>
      <c r="AV1776" t="str">
        <f>"Matthew"</f>
        <v>Matthew</v>
      </c>
      <c r="AW1776" t="str">
        <f>"Ian"</f>
        <v>Ian</v>
      </c>
      <c r="AX1776" t="str">
        <f>"2484 West Estes Avenue"</f>
        <v>2484 West Estes Avenue</v>
      </c>
      <c r="AY1776" t="str">
        <f>"3rd Floor"</f>
        <v>3rd Floor</v>
      </c>
      <c r="AZ1776" t="str">
        <f>"Chicago"</f>
        <v>Chicago</v>
      </c>
      <c r="BA1776" t="str">
        <f>"IL"</f>
        <v>IL</v>
      </c>
      <c r="BB1776" s="3">
        <v>60645</v>
      </c>
      <c r="BC1776" t="str">
        <f t="shared" si="142"/>
        <v>UNITED STATES OF AMERICA</v>
      </c>
      <c r="BD1776" t="str">
        <f>""</f>
        <v/>
      </c>
      <c r="BE1776" t="str">
        <f>"+13126347988"</f>
        <v>+13126347988</v>
      </c>
      <c r="BF1776" t="str">
        <f>""</f>
        <v/>
      </c>
      <c r="BG1776" t="str">
        <f>"mbernsteinlaw@gmail.com"</f>
        <v>mbernsteinlaw@gmail.com</v>
      </c>
      <c r="BH1776" t="str">
        <f>"Law Office of Matthew I. Bernstein"</f>
        <v>Law Office of Matthew I. Bernstein</v>
      </c>
      <c r="BI1776" t="str">
        <f>"IL"</f>
        <v>IL</v>
      </c>
      <c r="BJ1776" t="str">
        <f>"Illinois Sureme Court"</f>
        <v>Illinois Sureme Court</v>
      </c>
      <c r="BK1776">
        <v>1</v>
      </c>
      <c r="BL1776" t="s">
        <v>102</v>
      </c>
      <c r="BM1776" t="str">
        <f>""</f>
        <v/>
      </c>
      <c r="BN1776" t="s">
        <v>7874</v>
      </c>
      <c r="BP1776" t="s">
        <v>7415</v>
      </c>
      <c r="BQ1776" t="s">
        <v>1382</v>
      </c>
      <c r="BR1776" t="s">
        <v>345</v>
      </c>
      <c r="BS1776" s="5">
        <v>60139</v>
      </c>
      <c r="BT1776" s="2">
        <v>76500</v>
      </c>
      <c r="BU1776" s="2">
        <v>84500</v>
      </c>
      <c r="BV1776" t="s">
        <v>105</v>
      </c>
      <c r="BW1776" s="2">
        <v>76066</v>
      </c>
      <c r="BX1776" t="s">
        <v>105</v>
      </c>
      <c r="BZ1776" t="s">
        <v>123</v>
      </c>
      <c r="CA1776" t="str">
        <f t="shared" si="141"/>
        <v>7/1/2020 - 6/30/2021</v>
      </c>
      <c r="CF1776">
        <v>1</v>
      </c>
      <c r="CG1776" t="s">
        <v>98</v>
      </c>
      <c r="CH1776" t="s">
        <v>206</v>
      </c>
      <c r="CI1776" t="s">
        <v>206</v>
      </c>
      <c r="CL1776" t="s">
        <v>108</v>
      </c>
      <c r="CM1776" t="s">
        <v>109</v>
      </c>
      <c r="CN1776" t="str">
        <f>"Bernstein"</f>
        <v>Bernstein</v>
      </c>
      <c r="CO1776" t="str">
        <f>"Matthew"</f>
        <v>Matthew</v>
      </c>
      <c r="CP1776" t="str">
        <f>"I"</f>
        <v>I</v>
      </c>
      <c r="CQ1776" t="str">
        <f>"Law Offices of Matthew I Bernstein"</f>
        <v>Law Offices of Matthew I Bernstein</v>
      </c>
      <c r="CR1776" t="s">
        <v>7876</v>
      </c>
    </row>
    <row r="1777" spans="1:96" x14ac:dyDescent="0.2">
      <c r="A1777" t="s">
        <v>7877</v>
      </c>
      <c r="B1777" t="s">
        <v>96</v>
      </c>
      <c r="C1777" s="1">
        <v>44099</v>
      </c>
      <c r="D1777" s="1">
        <v>44106</v>
      </c>
      <c r="F1777" t="s">
        <v>97</v>
      </c>
      <c r="G1777" t="str">
        <f>"Neurologist"</f>
        <v>Neurologist</v>
      </c>
      <c r="H1777" t="s">
        <v>12207</v>
      </c>
      <c r="I1777" t="s">
        <v>7280</v>
      </c>
      <c r="J1777" t="s">
        <v>98</v>
      </c>
      <c r="K1777" s="1">
        <v>44119</v>
      </c>
      <c r="L1777" s="1">
        <v>45214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7878</v>
      </c>
      <c r="U1777" t="str">
        <f>""</f>
        <v/>
      </c>
      <c r="V1777" t="s">
        <v>7879</v>
      </c>
      <c r="W1777" t="str">
        <f>"100 MADISON AVENUE, 3RD FLOOR"</f>
        <v>100 MADISON AVENUE, 3RD FLOOR</v>
      </c>
      <c r="X1777" t="s">
        <v>7880</v>
      </c>
      <c r="Y1777" t="s">
        <v>225</v>
      </c>
      <c r="Z1777" s="3">
        <v>43604</v>
      </c>
      <c r="AA1777" t="s">
        <v>101</v>
      </c>
      <c r="AC1777" s="4" t="str">
        <f>"+15675853642"</f>
        <v>+15675853642</v>
      </c>
      <c r="AE1777" t="str">
        <f>"621111"</f>
        <v>621111</v>
      </c>
      <c r="AF1777" t="s">
        <v>7881</v>
      </c>
      <c r="AG1777" t="s">
        <v>4815</v>
      </c>
      <c r="AI1777" t="s">
        <v>425</v>
      </c>
      <c r="AJ1777" t="s">
        <v>7882</v>
      </c>
      <c r="AK1777" t="str">
        <f>"100 MADISON AVENUE, 3RD FLOOR"</f>
        <v>100 MADISON AVENUE, 3RD FLOOR</v>
      </c>
      <c r="AL1777" t="s">
        <v>7880</v>
      </c>
      <c r="AM1777" t="s">
        <v>225</v>
      </c>
      <c r="AN1777" s="3">
        <v>43604</v>
      </c>
      <c r="AO1777" t="s">
        <v>101</v>
      </c>
      <c r="AQ1777" t="str">
        <f>"+15675850978"</f>
        <v>+15675850978</v>
      </c>
      <c r="AS1777" t="s">
        <v>7883</v>
      </c>
      <c r="AT1777" t="s">
        <v>107</v>
      </c>
      <c r="AU1777" t="str">
        <f>"ZAROU"</f>
        <v>ZAROU</v>
      </c>
      <c r="AV1777" t="str">
        <f>"MECHELLE"</f>
        <v>MECHELLE</v>
      </c>
      <c r="AW1777" t="str">
        <f>""</f>
        <v/>
      </c>
      <c r="AX1777" t="str">
        <f>"1000 JACKSON STREET"</f>
        <v>1000 JACKSON STREET</v>
      </c>
      <c r="AY1777" t="str">
        <f>"NORTH COURTHOUSE SQUARE"</f>
        <v>NORTH COURTHOUSE SQUARE</v>
      </c>
      <c r="AZ1777" t="str">
        <f>"TOLEDO"</f>
        <v>TOLEDO</v>
      </c>
      <c r="BA1777" t="str">
        <f>"OH"</f>
        <v>OH</v>
      </c>
      <c r="BB1777" s="3">
        <v>43604</v>
      </c>
      <c r="BC1777" t="str">
        <f t="shared" si="142"/>
        <v>UNITED STATES OF AMERICA</v>
      </c>
      <c r="BD1777" t="str">
        <f>""</f>
        <v/>
      </c>
      <c r="BE1777" t="str">
        <f>"+14193211460"</f>
        <v>+14193211460</v>
      </c>
      <c r="BF1777" t="str">
        <f>""</f>
        <v/>
      </c>
      <c r="BG1777" t="str">
        <f>"mzarou@shumaker.com"</f>
        <v>mzarou@shumaker.com</v>
      </c>
      <c r="BH1777" t="str">
        <f>"Shumaker, Loop &amp; Kendrick, LLP"</f>
        <v>Shumaker, Loop &amp; Kendrick, LLP</v>
      </c>
      <c r="BI1777" t="str">
        <f>"OH"</f>
        <v>OH</v>
      </c>
      <c r="BJ1777" t="str">
        <f>"OHIO SUPREME COURT"</f>
        <v>OHIO SUPREME COURT</v>
      </c>
      <c r="BK1777">
        <v>1</v>
      </c>
      <c r="BL1777" t="s">
        <v>102</v>
      </c>
      <c r="BM1777" t="str">
        <f>""</f>
        <v/>
      </c>
      <c r="BN1777" t="s">
        <v>7884</v>
      </c>
      <c r="BP1777" t="s">
        <v>5212</v>
      </c>
      <c r="BQ1777" t="s">
        <v>3736</v>
      </c>
      <c r="BR1777" t="s">
        <v>225</v>
      </c>
      <c r="BS1777" s="5">
        <v>43551</v>
      </c>
      <c r="BT1777" s="2">
        <v>100</v>
      </c>
      <c r="BU1777" s="2">
        <v>150</v>
      </c>
      <c r="BV1777" t="s">
        <v>210</v>
      </c>
      <c r="BW1777" s="2">
        <v>100</v>
      </c>
      <c r="BX1777" t="s">
        <v>210</v>
      </c>
      <c r="BZ1777" t="s">
        <v>108</v>
      </c>
      <c r="CA1777" t="str">
        <f t="shared" si="141"/>
        <v>7/1/2020 - 6/30/2021</v>
      </c>
      <c r="CF1777">
        <v>7</v>
      </c>
      <c r="CG1777" t="s">
        <v>98</v>
      </c>
      <c r="CH1777" t="s">
        <v>206</v>
      </c>
      <c r="CI1777" t="s">
        <v>206</v>
      </c>
      <c r="CL1777" t="s">
        <v>108</v>
      </c>
      <c r="CM1777" t="s">
        <v>109</v>
      </c>
      <c r="CN1777" t="str">
        <f>"Zarou"</f>
        <v>Zarou</v>
      </c>
      <c r="CO1777" t="str">
        <f>"Mechelle"</f>
        <v>Mechelle</v>
      </c>
      <c r="CP1777" t="str">
        <f>""</f>
        <v/>
      </c>
      <c r="CQ1777" t="str">
        <f>"Shumaker, Loop &amp; Kendrick, LLP"</f>
        <v>Shumaker, Loop &amp; Kendrick, LLP</v>
      </c>
      <c r="CR1777" t="s">
        <v>4235</v>
      </c>
    </row>
    <row r="1778" spans="1:96" x14ac:dyDescent="0.2">
      <c r="A1778" t="s">
        <v>7888</v>
      </c>
      <c r="B1778" t="s">
        <v>96</v>
      </c>
      <c r="C1778" s="1">
        <v>44099</v>
      </c>
      <c r="D1778" s="1">
        <v>44106</v>
      </c>
      <c r="F1778" t="s">
        <v>97</v>
      </c>
      <c r="G1778" t="str">
        <f>"SENIOR PROJECT MANAGER"</f>
        <v>SENIOR PROJECT MANAGER</v>
      </c>
      <c r="H1778" t="s">
        <v>12178</v>
      </c>
      <c r="I1778" t="s">
        <v>582</v>
      </c>
      <c r="J1778" t="s">
        <v>98</v>
      </c>
      <c r="K1778" s="1">
        <v>44102</v>
      </c>
      <c r="L1778" s="1">
        <v>45196</v>
      </c>
      <c r="M1778">
        <v>10</v>
      </c>
      <c r="N1778">
        <v>2</v>
      </c>
      <c r="O1778">
        <v>2</v>
      </c>
      <c r="P1778">
        <v>2</v>
      </c>
      <c r="Q1778">
        <v>0</v>
      </c>
      <c r="R1778">
        <v>2</v>
      </c>
      <c r="S1778">
        <v>2</v>
      </c>
      <c r="T1778" t="s">
        <v>2068</v>
      </c>
      <c r="U1778" t="str">
        <f>""</f>
        <v/>
      </c>
      <c r="V1778" t="s">
        <v>2069</v>
      </c>
      <c r="W1778" t="str">
        <f>""</f>
        <v/>
      </c>
      <c r="X1778" t="s">
        <v>1025</v>
      </c>
      <c r="Y1778" t="s">
        <v>577</v>
      </c>
      <c r="Z1778" s="3">
        <v>33605</v>
      </c>
      <c r="AA1778" t="s">
        <v>101</v>
      </c>
      <c r="AC1778" s="4" t="str">
        <f>"+18135525000"</f>
        <v>+18135525000</v>
      </c>
      <c r="AE1778" t="str">
        <f>"5416"</f>
        <v>5416</v>
      </c>
      <c r="AF1778" t="s">
        <v>2070</v>
      </c>
      <c r="AG1778" t="s">
        <v>2071</v>
      </c>
      <c r="AI1778" t="s">
        <v>497</v>
      </c>
      <c r="AJ1778" t="s">
        <v>2072</v>
      </c>
      <c r="AK1778" t="str">
        <f>""</f>
        <v/>
      </c>
      <c r="AL1778" t="s">
        <v>1025</v>
      </c>
      <c r="AM1778" t="s">
        <v>577</v>
      </c>
      <c r="AN1778" s="3">
        <v>33605</v>
      </c>
      <c r="AO1778" t="s">
        <v>101</v>
      </c>
      <c r="AQ1778" t="str">
        <f>"+18135525000"</f>
        <v>+18135525000</v>
      </c>
      <c r="AS1778" t="s">
        <v>2073</v>
      </c>
      <c r="AT1778" t="s">
        <v>107</v>
      </c>
      <c r="AU1778" t="str">
        <f>"WHITE "</f>
        <v xml:space="preserve">WHITE </v>
      </c>
      <c r="AV1778" t="str">
        <f>"ROBERT"</f>
        <v>ROBERT</v>
      </c>
      <c r="AW1778" t="str">
        <f>"SAMUEL"</f>
        <v>SAMUEL</v>
      </c>
      <c r="AX1778" t="str">
        <f>"200 N MARTINGALE ROAD"</f>
        <v>200 N MARTINGALE ROAD</v>
      </c>
      <c r="AY1778" t="str">
        <f>"SUITE 800"</f>
        <v>SUITE 800</v>
      </c>
      <c r="AZ1778" t="str">
        <f>"SCHAUMBURG"</f>
        <v>SCHAUMBURG</v>
      </c>
      <c r="BA1778" t="str">
        <f>"IL"</f>
        <v>IL</v>
      </c>
      <c r="BB1778" s="3">
        <v>60173</v>
      </c>
      <c r="BC1778" t="str">
        <f t="shared" si="142"/>
        <v>UNITED STATES OF AMERICA</v>
      </c>
      <c r="BD1778" t="str">
        <f>""</f>
        <v/>
      </c>
      <c r="BE1778" t="str">
        <f>"+18477348811"</f>
        <v>+18477348811</v>
      </c>
      <c r="BF1778" t="str">
        <f>""</f>
        <v/>
      </c>
      <c r="BG1778" t="str">
        <f>"RWHITE@MASUDAFUNAI.COM"</f>
        <v>RWHITE@MASUDAFUNAI.COM</v>
      </c>
      <c r="BH1778" t="str">
        <f>"Masuda Funai Eifert &amp; Mitchell, Ltd."</f>
        <v>Masuda Funai Eifert &amp; Mitchell, Ltd.</v>
      </c>
      <c r="BI1778" t="str">
        <f>"IL"</f>
        <v>IL</v>
      </c>
      <c r="BJ1778" t="str">
        <f>"SUPREME COURT"</f>
        <v>SUPREME COURT</v>
      </c>
      <c r="BK1778">
        <v>10</v>
      </c>
      <c r="BL1778" t="s">
        <v>107</v>
      </c>
      <c r="BM1778" t="str">
        <f>"AMERICAN FAMILY MUTUAL INSURANCE COMPANY"</f>
        <v>AMERICAN FAMILY MUTUAL INSURANCE COMPANY</v>
      </c>
      <c r="BN1778" t="s">
        <v>7889</v>
      </c>
      <c r="BP1778" t="s">
        <v>712</v>
      </c>
      <c r="BQ1778" t="s">
        <v>1019</v>
      </c>
      <c r="BR1778" t="s">
        <v>330</v>
      </c>
      <c r="BS1778" s="5">
        <v>53783</v>
      </c>
      <c r="BT1778" s="2">
        <v>55.08</v>
      </c>
      <c r="BU1778" s="2">
        <v>70</v>
      </c>
      <c r="BV1778" t="s">
        <v>210</v>
      </c>
      <c r="BW1778" s="2">
        <v>55.08</v>
      </c>
      <c r="BX1778" t="s">
        <v>210</v>
      </c>
      <c r="BZ1778" t="s">
        <v>167</v>
      </c>
      <c r="CA1778" t="str">
        <f t="shared" si="141"/>
        <v>7/1/2020 - 6/30/2021</v>
      </c>
      <c r="CF1778">
        <v>2</v>
      </c>
      <c r="CG1778" t="s">
        <v>98</v>
      </c>
      <c r="CH1778" t="s">
        <v>206</v>
      </c>
      <c r="CI1778" t="s">
        <v>206</v>
      </c>
      <c r="CL1778" t="s">
        <v>108</v>
      </c>
      <c r="CM1778" t="s">
        <v>109</v>
      </c>
      <c r="CN1778" t="str">
        <f>""</f>
        <v/>
      </c>
      <c r="CO1778" t="str">
        <f>""</f>
        <v/>
      </c>
      <c r="CP1778" t="str">
        <f>""</f>
        <v/>
      </c>
      <c r="CQ1778" t="str">
        <f>""</f>
        <v/>
      </c>
    </row>
    <row r="1779" spans="1:96" x14ac:dyDescent="0.2">
      <c r="A1779" t="s">
        <v>7891</v>
      </c>
      <c r="B1779" t="s">
        <v>96</v>
      </c>
      <c r="C1779" s="1">
        <v>44099</v>
      </c>
      <c r="D1779" s="1">
        <v>44106</v>
      </c>
      <c r="F1779" t="s">
        <v>97</v>
      </c>
      <c r="G1779" t="str">
        <f>"Software Engineer"</f>
        <v>Software Engineer</v>
      </c>
      <c r="H1779" t="s">
        <v>12169</v>
      </c>
      <c r="I1779" t="s">
        <v>124</v>
      </c>
      <c r="J1779" t="s">
        <v>98</v>
      </c>
      <c r="K1779" s="1">
        <v>44279</v>
      </c>
      <c r="L1779" s="1">
        <v>45374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 t="s">
        <v>173</v>
      </c>
      <c r="U1779" t="str">
        <f>""</f>
        <v/>
      </c>
      <c r="V1779" t="s">
        <v>174</v>
      </c>
      <c r="W1779" t="str">
        <f>"N/A"</f>
        <v>N/A</v>
      </c>
      <c r="X1779" t="s">
        <v>175</v>
      </c>
      <c r="Y1779" t="s">
        <v>176</v>
      </c>
      <c r="Z1779" s="3">
        <v>98052</v>
      </c>
      <c r="AA1779" t="s">
        <v>101</v>
      </c>
      <c r="AC1779" s="4" t="str">
        <f>"+14258828080"</f>
        <v>+14258828080</v>
      </c>
      <c r="AE1779" t="str">
        <f>"51121"</f>
        <v>51121</v>
      </c>
      <c r="AF1779" t="s">
        <v>177</v>
      </c>
      <c r="AG1779" t="s">
        <v>178</v>
      </c>
      <c r="AI1779" t="s">
        <v>179</v>
      </c>
      <c r="AJ1779" t="s">
        <v>174</v>
      </c>
      <c r="AK1779" t="str">
        <f>""</f>
        <v/>
      </c>
      <c r="AL1779" t="s">
        <v>175</v>
      </c>
      <c r="AM1779" t="s">
        <v>176</v>
      </c>
      <c r="AN1779" s="3">
        <v>98052</v>
      </c>
      <c r="AO1779" t="s">
        <v>101</v>
      </c>
      <c r="AQ1779" t="str">
        <f>"+14258828080"</f>
        <v>+14258828080</v>
      </c>
      <c r="AS1779" t="s">
        <v>180</v>
      </c>
      <c r="AT1779" t="s">
        <v>102</v>
      </c>
      <c r="AU1779" t="str">
        <f>""</f>
        <v/>
      </c>
      <c r="AV1779" t="str">
        <f>""</f>
        <v/>
      </c>
      <c r="AW1779" t="str">
        <f>""</f>
        <v/>
      </c>
      <c r="AX1779" t="str">
        <f>""</f>
        <v/>
      </c>
      <c r="AY1779" t="str">
        <f>""</f>
        <v/>
      </c>
      <c r="AZ1779" t="str">
        <f>""</f>
        <v/>
      </c>
      <c r="BA1779" t="str">
        <f>""</f>
        <v/>
      </c>
      <c r="BC1779" t="str">
        <f>""</f>
        <v/>
      </c>
      <c r="BD1779" t="str">
        <f>""</f>
        <v/>
      </c>
      <c r="BE1779" t="str">
        <f>""</f>
        <v/>
      </c>
      <c r="BF1779" t="str">
        <f>""</f>
        <v/>
      </c>
      <c r="BG1779" t="str">
        <f>""</f>
        <v/>
      </c>
      <c r="BH1779" t="str">
        <f>""</f>
        <v/>
      </c>
      <c r="BI1779" t="str">
        <f>""</f>
        <v/>
      </c>
      <c r="BJ1779" t="str">
        <f>""</f>
        <v/>
      </c>
      <c r="BK1779">
        <v>1</v>
      </c>
      <c r="BL1779" t="s">
        <v>102</v>
      </c>
      <c r="BM1779" t="str">
        <f>""</f>
        <v/>
      </c>
      <c r="BN1779" t="s">
        <v>962</v>
      </c>
      <c r="BP1779" t="s">
        <v>175</v>
      </c>
      <c r="BQ1779" t="s">
        <v>183</v>
      </c>
      <c r="BR1779" t="s">
        <v>176</v>
      </c>
      <c r="BS1779" s="5">
        <v>98052</v>
      </c>
      <c r="BT1779" s="2">
        <v>163370</v>
      </c>
      <c r="BV1779" t="s">
        <v>105</v>
      </c>
      <c r="BW1779" s="2">
        <v>134098</v>
      </c>
      <c r="BX1779" t="s">
        <v>105</v>
      </c>
      <c r="BZ1779" t="s">
        <v>123</v>
      </c>
      <c r="CA1779" t="str">
        <f t="shared" si="141"/>
        <v>7/1/2020 - 6/30/2021</v>
      </c>
      <c r="CF1779">
        <v>1</v>
      </c>
      <c r="CG1779" t="s">
        <v>98</v>
      </c>
      <c r="CH1779" t="s">
        <v>206</v>
      </c>
      <c r="CI1779" t="s">
        <v>206</v>
      </c>
      <c r="CL1779" t="s">
        <v>108</v>
      </c>
      <c r="CM1779" t="s">
        <v>109</v>
      </c>
      <c r="CN1779" t="str">
        <f>"Kodishala"</f>
        <v>Kodishala</v>
      </c>
      <c r="CO1779" t="str">
        <f>"Suresh"</f>
        <v>Suresh</v>
      </c>
      <c r="CP1779" t="str">
        <f>"N/A"</f>
        <v>N/A</v>
      </c>
      <c r="CQ1779" t="str">
        <f>"INTEGREON MANAGED SOLUTIONS (INDIA) PVT LTD"</f>
        <v>INTEGREON MANAGED SOLUTIONS (INDIA) PVT LTD</v>
      </c>
      <c r="CR1779" t="s">
        <v>231</v>
      </c>
    </row>
    <row r="1780" spans="1:96" x14ac:dyDescent="0.2">
      <c r="A1780" t="s">
        <v>7892</v>
      </c>
      <c r="B1780" t="s">
        <v>96</v>
      </c>
      <c r="C1780" s="1">
        <v>44099</v>
      </c>
      <c r="D1780" s="1">
        <v>44106</v>
      </c>
      <c r="F1780" t="s">
        <v>97</v>
      </c>
      <c r="G1780" t="str">
        <f>"Full Stack Software Engineer"</f>
        <v>Full Stack Software Engineer</v>
      </c>
      <c r="H1780" t="s">
        <v>12169</v>
      </c>
      <c r="I1780" t="s">
        <v>124</v>
      </c>
      <c r="J1780" t="s">
        <v>98</v>
      </c>
      <c r="K1780" s="1">
        <v>44144</v>
      </c>
      <c r="L1780" s="1">
        <v>45238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 t="s">
        <v>4130</v>
      </c>
      <c r="U1780" t="str">
        <f>""</f>
        <v/>
      </c>
      <c r="V1780" t="s">
        <v>4131</v>
      </c>
      <c r="W1780" t="str">
        <f>"Mail Code HR695"</f>
        <v>Mail Code HR695</v>
      </c>
      <c r="X1780" t="s">
        <v>984</v>
      </c>
      <c r="Y1780" t="s">
        <v>857</v>
      </c>
      <c r="Z1780" s="3">
        <v>2865</v>
      </c>
      <c r="AA1780" t="s">
        <v>101</v>
      </c>
      <c r="AB1780" t="s">
        <v>108</v>
      </c>
      <c r="AC1780" s="4" t="str">
        <f>"+14017701621"</f>
        <v>+14017701621</v>
      </c>
      <c r="AE1780" t="str">
        <f>"446110"</f>
        <v>446110</v>
      </c>
      <c r="AF1780" t="s">
        <v>2203</v>
      </c>
      <c r="AG1780" t="s">
        <v>1136</v>
      </c>
      <c r="AH1780" t="s">
        <v>320</v>
      </c>
      <c r="AI1780" t="s">
        <v>2204</v>
      </c>
      <c r="AJ1780" t="s">
        <v>2202</v>
      </c>
      <c r="AK1780" t="str">
        <f>"Mail Code HR695"</f>
        <v>Mail Code HR695</v>
      </c>
      <c r="AL1780" t="s">
        <v>984</v>
      </c>
      <c r="AM1780" t="s">
        <v>857</v>
      </c>
      <c r="AN1780" s="3">
        <v>2895</v>
      </c>
      <c r="AO1780" t="s">
        <v>101</v>
      </c>
      <c r="AQ1780" t="str">
        <f>"+14017701621"</f>
        <v>+14017701621</v>
      </c>
      <c r="AS1780" t="s">
        <v>2957</v>
      </c>
      <c r="AT1780" t="s">
        <v>107</v>
      </c>
      <c r="AU1780" t="str">
        <f>"Reiff"</f>
        <v>Reiff</v>
      </c>
      <c r="AV1780" t="str">
        <f>"Laura"</f>
        <v>Laura</v>
      </c>
      <c r="AW1780" t="str">
        <f>"Foote"</f>
        <v>Foote</v>
      </c>
      <c r="AX1780" t="str">
        <f>"1840 Century Park East"</f>
        <v>1840 Century Park East</v>
      </c>
      <c r="AY1780" t="str">
        <f>"Suite 1900"</f>
        <v>Suite 1900</v>
      </c>
      <c r="AZ1780" t="str">
        <f>"Los Angeles"</f>
        <v>Los Angeles</v>
      </c>
      <c r="BA1780" t="str">
        <f>"CA"</f>
        <v>CA</v>
      </c>
      <c r="BB1780" s="3">
        <v>90067</v>
      </c>
      <c r="BC1780" t="str">
        <f>"UNITED STATES OF AMERICA"</f>
        <v>UNITED STATES OF AMERICA</v>
      </c>
      <c r="BD1780" t="str">
        <f>""</f>
        <v/>
      </c>
      <c r="BE1780" t="str">
        <f>"+17037491372"</f>
        <v>+17037491372</v>
      </c>
      <c r="BF1780" t="str">
        <f>""</f>
        <v/>
      </c>
      <c r="BG1780" t="str">
        <f>"cvs@gtlaw.com"</f>
        <v>cvs@gtlaw.com</v>
      </c>
      <c r="BH1780" t="str">
        <f>"Greenberg Traurig LLP"</f>
        <v>Greenberg Traurig LLP</v>
      </c>
      <c r="BI1780" t="str">
        <f>"DC"</f>
        <v>DC</v>
      </c>
      <c r="BJ1780" t="str">
        <f>"DC COURT OF APPEALS"</f>
        <v>DC COURT OF APPEALS</v>
      </c>
      <c r="BK1780">
        <v>1</v>
      </c>
      <c r="BL1780" t="s">
        <v>102</v>
      </c>
      <c r="BM1780" t="str">
        <f>""</f>
        <v/>
      </c>
      <c r="BN1780" t="s">
        <v>4331</v>
      </c>
      <c r="BP1780" t="s">
        <v>2205</v>
      </c>
      <c r="BQ1780" t="s">
        <v>2206</v>
      </c>
      <c r="BR1780" t="s">
        <v>857</v>
      </c>
      <c r="BS1780" s="5">
        <v>2895</v>
      </c>
      <c r="BT1780" s="2">
        <v>128212</v>
      </c>
      <c r="BV1780" t="s">
        <v>105</v>
      </c>
      <c r="BW1780" s="2">
        <v>126672</v>
      </c>
      <c r="BX1780" t="s">
        <v>105</v>
      </c>
      <c r="BZ1780" t="s">
        <v>159</v>
      </c>
      <c r="CA1780" t="str">
        <f t="shared" si="141"/>
        <v>7/1/2020 - 6/30/2021</v>
      </c>
      <c r="CF1780">
        <v>2</v>
      </c>
      <c r="CG1780" t="s">
        <v>98</v>
      </c>
      <c r="CH1780" t="s">
        <v>206</v>
      </c>
      <c r="CI1780" t="s">
        <v>206</v>
      </c>
      <c r="CL1780" t="s">
        <v>108</v>
      </c>
      <c r="CM1780" t="s">
        <v>109</v>
      </c>
      <c r="CN1780" t="str">
        <f>"Rivadelo"</f>
        <v>Rivadelo</v>
      </c>
      <c r="CO1780" t="str">
        <f>"Sarah"</f>
        <v>Sarah</v>
      </c>
      <c r="CP1780" t="str">
        <f>"V."</f>
        <v>V.</v>
      </c>
      <c r="CQ1780" t="str">
        <f>"Greenberg Traurig, LLP"</f>
        <v>Greenberg Traurig, LLP</v>
      </c>
      <c r="CR1780" t="s">
        <v>7893</v>
      </c>
    </row>
    <row r="1781" spans="1:96" x14ac:dyDescent="0.2">
      <c r="A1781" t="s">
        <v>7899</v>
      </c>
      <c r="B1781" t="s">
        <v>96</v>
      </c>
      <c r="C1781" s="1">
        <v>44099</v>
      </c>
      <c r="D1781" s="1">
        <v>44106</v>
      </c>
      <c r="F1781" t="s">
        <v>97</v>
      </c>
      <c r="G1781" t="str">
        <f>"System Engineer"</f>
        <v>System Engineer</v>
      </c>
      <c r="H1781" t="s">
        <v>12176</v>
      </c>
      <c r="I1781" t="s">
        <v>246</v>
      </c>
      <c r="J1781" t="s">
        <v>98</v>
      </c>
      <c r="K1781" s="1">
        <v>44105</v>
      </c>
      <c r="L1781" s="1">
        <v>45199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7900</v>
      </c>
      <c r="U1781" t="str">
        <f>""</f>
        <v/>
      </c>
      <c r="V1781" t="s">
        <v>7901</v>
      </c>
      <c r="W1781" t="str">
        <f>""</f>
        <v/>
      </c>
      <c r="X1781" t="s">
        <v>7902</v>
      </c>
      <c r="Y1781" t="s">
        <v>135</v>
      </c>
      <c r="Z1781" s="3">
        <v>22066</v>
      </c>
      <c r="AA1781" t="s">
        <v>101</v>
      </c>
      <c r="AC1781" s="4" t="str">
        <f>"+17039676253"</f>
        <v>+17039676253</v>
      </c>
      <c r="AE1781" t="str">
        <f>"541511"</f>
        <v>541511</v>
      </c>
      <c r="AF1781" t="s">
        <v>7903</v>
      </c>
      <c r="AG1781" t="s">
        <v>7904</v>
      </c>
      <c r="AI1781" t="s">
        <v>876</v>
      </c>
      <c r="AJ1781" t="s">
        <v>7901</v>
      </c>
      <c r="AK1781" t="str">
        <f>""</f>
        <v/>
      </c>
      <c r="AL1781" t="s">
        <v>7902</v>
      </c>
      <c r="AM1781" t="s">
        <v>135</v>
      </c>
      <c r="AN1781" s="3">
        <v>22066</v>
      </c>
      <c r="AO1781" t="s">
        <v>101</v>
      </c>
      <c r="AQ1781" t="str">
        <f>"+17039676253"</f>
        <v>+17039676253</v>
      </c>
      <c r="AS1781" t="s">
        <v>7905</v>
      </c>
      <c r="AT1781" t="s">
        <v>107</v>
      </c>
      <c r="AU1781" t="str">
        <f>"Jutur"</f>
        <v>Jutur</v>
      </c>
      <c r="AV1781" t="str">
        <f>"Bharath"</f>
        <v>Bharath</v>
      </c>
      <c r="AW1781" t="str">
        <f>""</f>
        <v/>
      </c>
      <c r="AX1781" t="str">
        <f>"802 E Woodfield Road"</f>
        <v>802 E Woodfield Road</v>
      </c>
      <c r="AY1781" t="str">
        <f>"Suite G400"</f>
        <v>Suite G400</v>
      </c>
      <c r="AZ1781" t="str">
        <f>"Schaumburg"</f>
        <v>Schaumburg</v>
      </c>
      <c r="BA1781" t="str">
        <f>"IL"</f>
        <v>IL</v>
      </c>
      <c r="BB1781" s="3">
        <v>60173</v>
      </c>
      <c r="BC1781" t="str">
        <f>"UNITED STATES OF AMERICA"</f>
        <v>UNITED STATES OF AMERICA</v>
      </c>
      <c r="BD1781" t="str">
        <f>""</f>
        <v/>
      </c>
      <c r="BE1781" t="str">
        <f>"+18479951515"</f>
        <v>+18479951515</v>
      </c>
      <c r="BF1781" t="str">
        <f>"227"</f>
        <v>227</v>
      </c>
      <c r="BG1781" t="str">
        <f>"ICERT@BIZLEGALSERVICES.COM"</f>
        <v>ICERT@BIZLEGALSERVICES.COM</v>
      </c>
      <c r="BH1781" t="str">
        <f>"International Legal and Business Services Group LLP"</f>
        <v>International Legal and Business Services Group LLP</v>
      </c>
      <c r="BI1781" t="str">
        <f>"NY"</f>
        <v>NY</v>
      </c>
      <c r="BJ1781" t="str">
        <f>"New York Supreme Court"</f>
        <v>New York Supreme Court</v>
      </c>
      <c r="BK1781">
        <v>1</v>
      </c>
      <c r="BL1781" t="s">
        <v>102</v>
      </c>
      <c r="BM1781" t="str">
        <f>""</f>
        <v/>
      </c>
      <c r="BN1781" t="s">
        <v>7901</v>
      </c>
      <c r="BP1781" t="s">
        <v>7902</v>
      </c>
      <c r="BQ1781" t="s">
        <v>134</v>
      </c>
      <c r="BR1781" t="s">
        <v>135</v>
      </c>
      <c r="BS1781" s="5">
        <v>22066</v>
      </c>
      <c r="BT1781" s="2">
        <v>97406</v>
      </c>
      <c r="BU1781" s="2">
        <v>97407</v>
      </c>
      <c r="BV1781" t="s">
        <v>105</v>
      </c>
      <c r="BW1781" s="2">
        <v>97406</v>
      </c>
      <c r="BX1781" t="s">
        <v>105</v>
      </c>
      <c r="BZ1781" t="s">
        <v>167</v>
      </c>
      <c r="CA1781" t="str">
        <f t="shared" si="141"/>
        <v>7/1/2020 - 6/30/2021</v>
      </c>
      <c r="CF1781">
        <v>1</v>
      </c>
      <c r="CG1781" t="s">
        <v>98</v>
      </c>
      <c r="CH1781" t="s">
        <v>206</v>
      </c>
      <c r="CI1781" t="s">
        <v>206</v>
      </c>
      <c r="CL1781" t="s">
        <v>108</v>
      </c>
      <c r="CM1781" t="s">
        <v>109</v>
      </c>
      <c r="CN1781" t="str">
        <f>""</f>
        <v/>
      </c>
      <c r="CO1781" t="str">
        <f>""</f>
        <v/>
      </c>
      <c r="CP1781" t="str">
        <f>""</f>
        <v/>
      </c>
      <c r="CQ1781" t="str">
        <f>""</f>
        <v/>
      </c>
    </row>
    <row r="1782" spans="1:96" x14ac:dyDescent="0.2">
      <c r="A1782" t="s">
        <v>7916</v>
      </c>
      <c r="B1782" t="s">
        <v>96</v>
      </c>
      <c r="C1782" s="1">
        <v>44099</v>
      </c>
      <c r="D1782" s="1">
        <v>44106</v>
      </c>
      <c r="F1782" t="s">
        <v>97</v>
      </c>
      <c r="G1782" t="str">
        <f>"Postdoctoral Research Scientist"</f>
        <v>Postdoctoral Research Scientist</v>
      </c>
      <c r="H1782" t="s">
        <v>12170</v>
      </c>
      <c r="I1782" t="s">
        <v>685</v>
      </c>
      <c r="J1782" t="s">
        <v>98</v>
      </c>
      <c r="K1782" s="1">
        <v>44228</v>
      </c>
      <c r="L1782" s="1">
        <v>45322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 t="s">
        <v>487</v>
      </c>
      <c r="U1782" t="str">
        <f>""</f>
        <v/>
      </c>
      <c r="V1782" t="s">
        <v>488</v>
      </c>
      <c r="W1782" t="str">
        <f>"Box 57B"</f>
        <v>Box 57B</v>
      </c>
      <c r="X1782" t="s">
        <v>277</v>
      </c>
      <c r="Y1782" t="s">
        <v>190</v>
      </c>
      <c r="Z1782" s="3">
        <v>10032</v>
      </c>
      <c r="AA1782" t="s">
        <v>101</v>
      </c>
      <c r="AC1782" s="4" t="str">
        <f>"+12123058267"</f>
        <v>+12123058267</v>
      </c>
      <c r="AE1782" t="str">
        <f>"611310"</f>
        <v>611310</v>
      </c>
      <c r="AF1782" t="s">
        <v>489</v>
      </c>
      <c r="AG1782" t="s">
        <v>490</v>
      </c>
      <c r="AH1782" t="s">
        <v>491</v>
      </c>
      <c r="AI1782" t="s">
        <v>117</v>
      </c>
      <c r="AJ1782" t="s">
        <v>488</v>
      </c>
      <c r="AK1782" t="str">
        <f>"Box 57B"</f>
        <v>Box 57B</v>
      </c>
      <c r="AL1782" t="s">
        <v>277</v>
      </c>
      <c r="AM1782" t="s">
        <v>190</v>
      </c>
      <c r="AN1782" s="3">
        <v>10032</v>
      </c>
      <c r="AO1782" t="s">
        <v>101</v>
      </c>
      <c r="AQ1782" t="str">
        <f>"+12123058267"</f>
        <v>+12123058267</v>
      </c>
      <c r="AS1782" t="s">
        <v>492</v>
      </c>
      <c r="AT1782" t="s">
        <v>102</v>
      </c>
      <c r="AU1782" t="str">
        <f>""</f>
        <v/>
      </c>
      <c r="AV1782" t="str">
        <f>""</f>
        <v/>
      </c>
      <c r="AW1782" t="str">
        <f>""</f>
        <v/>
      </c>
      <c r="AX1782" t="str">
        <f>""</f>
        <v/>
      </c>
      <c r="AY1782" t="str">
        <f>""</f>
        <v/>
      </c>
      <c r="AZ1782" t="str">
        <f>""</f>
        <v/>
      </c>
      <c r="BA1782" t="str">
        <f>""</f>
        <v/>
      </c>
      <c r="BC1782" t="str">
        <f>""</f>
        <v/>
      </c>
      <c r="BD1782" t="str">
        <f>""</f>
        <v/>
      </c>
      <c r="BE1782" t="str">
        <f>""</f>
        <v/>
      </c>
      <c r="BF1782" t="str">
        <f>""</f>
        <v/>
      </c>
      <c r="BG1782" t="str">
        <f>""</f>
        <v/>
      </c>
      <c r="BH1782" t="str">
        <f>""</f>
        <v/>
      </c>
      <c r="BI1782" t="str">
        <f>""</f>
        <v/>
      </c>
      <c r="BJ1782" t="str">
        <f>""</f>
        <v/>
      </c>
      <c r="BK1782">
        <v>1</v>
      </c>
      <c r="BL1782" t="s">
        <v>102</v>
      </c>
      <c r="BM1782" t="str">
        <f>""</f>
        <v/>
      </c>
      <c r="BN1782" t="s">
        <v>7917</v>
      </c>
      <c r="BP1782" t="s">
        <v>277</v>
      </c>
      <c r="BQ1782" t="s">
        <v>189</v>
      </c>
      <c r="BR1782" t="s">
        <v>190</v>
      </c>
      <c r="BS1782" s="5">
        <v>10032</v>
      </c>
      <c r="BT1782" s="2">
        <v>60000</v>
      </c>
      <c r="BV1782" t="s">
        <v>105</v>
      </c>
      <c r="BW1782" s="2">
        <v>60000</v>
      </c>
      <c r="BX1782" t="s">
        <v>105</v>
      </c>
      <c r="CA1782" t="str">
        <f>""</f>
        <v/>
      </c>
      <c r="CB1782" t="s">
        <v>106</v>
      </c>
      <c r="CC1782">
        <v>2020</v>
      </c>
      <c r="CF1782">
        <v>1</v>
      </c>
      <c r="CG1782" t="s">
        <v>98</v>
      </c>
      <c r="CH1782" t="s">
        <v>206</v>
      </c>
      <c r="CI1782" t="s">
        <v>206</v>
      </c>
      <c r="CL1782" t="s">
        <v>108</v>
      </c>
      <c r="CM1782" t="s">
        <v>109</v>
      </c>
      <c r="CN1782" t="str">
        <f>""</f>
        <v/>
      </c>
      <c r="CO1782" t="str">
        <f>""</f>
        <v/>
      </c>
      <c r="CP1782" t="str">
        <f>""</f>
        <v/>
      </c>
      <c r="CQ1782" t="str">
        <f>""</f>
        <v/>
      </c>
    </row>
    <row r="1783" spans="1:96" x14ac:dyDescent="0.2">
      <c r="A1783" t="s">
        <v>7919</v>
      </c>
      <c r="B1783" t="s">
        <v>96</v>
      </c>
      <c r="C1783" s="1">
        <v>44099</v>
      </c>
      <c r="D1783" s="1">
        <v>44106</v>
      </c>
      <c r="F1783" t="s">
        <v>97</v>
      </c>
      <c r="G1783" t="str">
        <f>"Data Engineer"</f>
        <v>Data Engineer</v>
      </c>
      <c r="H1783" t="s">
        <v>12168</v>
      </c>
      <c r="I1783" t="s">
        <v>249</v>
      </c>
      <c r="J1783" t="s">
        <v>98</v>
      </c>
      <c r="K1783" s="1">
        <v>44130</v>
      </c>
      <c r="L1783" s="1">
        <v>45224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6785</v>
      </c>
      <c r="U1783" t="str">
        <f>""</f>
        <v/>
      </c>
      <c r="V1783" t="s">
        <v>6786</v>
      </c>
      <c r="W1783" t="str">
        <f>""</f>
        <v/>
      </c>
      <c r="X1783" t="s">
        <v>157</v>
      </c>
      <c r="Y1783" t="s">
        <v>141</v>
      </c>
      <c r="Z1783" s="3">
        <v>92123</v>
      </c>
      <c r="AA1783" t="s">
        <v>101</v>
      </c>
      <c r="AC1783" s="4" t="str">
        <f>"+18588366299"</f>
        <v>+18588366299</v>
      </c>
      <c r="AE1783" t="str">
        <f>"423450"</f>
        <v>423450</v>
      </c>
      <c r="AF1783" t="s">
        <v>6787</v>
      </c>
      <c r="AG1783" t="s">
        <v>6788</v>
      </c>
      <c r="AI1783" t="s">
        <v>6789</v>
      </c>
      <c r="AJ1783" t="s">
        <v>6790</v>
      </c>
      <c r="AK1783" t="str">
        <f>""</f>
        <v/>
      </c>
      <c r="AL1783" t="s">
        <v>157</v>
      </c>
      <c r="AM1783" t="s">
        <v>141</v>
      </c>
      <c r="AN1783" s="3">
        <v>92123</v>
      </c>
      <c r="AO1783" t="s">
        <v>101</v>
      </c>
      <c r="AQ1783" t="str">
        <f>"+18588366870"</f>
        <v>+18588366870</v>
      </c>
      <c r="AS1783" t="s">
        <v>6791</v>
      </c>
      <c r="AT1783" t="s">
        <v>107</v>
      </c>
      <c r="AU1783" t="str">
        <f>"Mullane"</f>
        <v>Mullane</v>
      </c>
      <c r="AV1783" t="str">
        <f>"Amanda"</f>
        <v>Amanda</v>
      </c>
      <c r="AW1783" t="str">
        <f>"Meghan"</f>
        <v>Meghan</v>
      </c>
      <c r="AX1783" t="str">
        <f>"9920 Pacific Heights Blvd."</f>
        <v>9920 Pacific Heights Blvd.</v>
      </c>
      <c r="AY1783" t="str">
        <f>"Suite 300"</f>
        <v>Suite 300</v>
      </c>
      <c r="AZ1783" t="str">
        <f>"San Diego"</f>
        <v>San Diego</v>
      </c>
      <c r="BA1783" t="str">
        <f>"CA"</f>
        <v>CA</v>
      </c>
      <c r="BB1783" s="3">
        <v>92121</v>
      </c>
      <c r="BC1783" t="str">
        <f>"UNITED STATES OF AMERICA"</f>
        <v>UNITED STATES OF AMERICA</v>
      </c>
      <c r="BD1783" t="str">
        <f>""</f>
        <v/>
      </c>
      <c r="BE1783" t="str">
        <f>"+18586420420"</f>
        <v>+18586420420</v>
      </c>
      <c r="BF1783" t="str">
        <f>""</f>
        <v/>
      </c>
      <c r="BG1783" t="str">
        <f>"amanda@larrabee.com"</f>
        <v>amanda@larrabee.com</v>
      </c>
      <c r="BH1783" t="str">
        <f>"Larrabee Albi Coker LLP"</f>
        <v>Larrabee Albi Coker LLP</v>
      </c>
      <c r="BI1783" t="str">
        <f>"CA"</f>
        <v>CA</v>
      </c>
      <c r="BJ1783" t="str">
        <f>"Supreme Court"</f>
        <v>Supreme Court</v>
      </c>
      <c r="BK1783">
        <v>1</v>
      </c>
      <c r="BL1783" t="s">
        <v>102</v>
      </c>
      <c r="BM1783" t="str">
        <f>""</f>
        <v/>
      </c>
      <c r="BN1783" t="s">
        <v>6786</v>
      </c>
      <c r="BP1783" t="s">
        <v>157</v>
      </c>
      <c r="BQ1783" t="s">
        <v>158</v>
      </c>
      <c r="BR1783" t="s">
        <v>141</v>
      </c>
      <c r="BS1783" s="5">
        <v>92123</v>
      </c>
      <c r="BT1783" s="2">
        <v>112902</v>
      </c>
      <c r="BU1783" s="2">
        <v>127902</v>
      </c>
      <c r="BV1783" t="s">
        <v>105</v>
      </c>
      <c r="BW1783" s="2">
        <v>112902</v>
      </c>
      <c r="BX1783" t="s">
        <v>105</v>
      </c>
      <c r="BZ1783" t="s">
        <v>159</v>
      </c>
      <c r="CA1783" t="str">
        <f>"7/1/2020 - 6/30/2021"</f>
        <v>7/1/2020 - 6/30/2021</v>
      </c>
      <c r="CF1783">
        <v>1</v>
      </c>
      <c r="CG1783" t="s">
        <v>98</v>
      </c>
      <c r="CH1783" t="s">
        <v>206</v>
      </c>
      <c r="CI1783" t="s">
        <v>206</v>
      </c>
      <c r="CL1783" t="s">
        <v>108</v>
      </c>
      <c r="CM1783" t="s">
        <v>109</v>
      </c>
      <c r="CN1783" t="str">
        <f>"Gamboa"</f>
        <v>Gamboa</v>
      </c>
      <c r="CO1783" t="str">
        <f>"Nadia"</f>
        <v>Nadia</v>
      </c>
      <c r="CP1783" t="str">
        <f>"R"</f>
        <v>R</v>
      </c>
      <c r="CQ1783" t="str">
        <f>"Larrabee Albi Coker LLP"</f>
        <v>Larrabee Albi Coker LLP</v>
      </c>
      <c r="CR1783" t="s">
        <v>5000</v>
      </c>
    </row>
    <row r="1784" spans="1:96" x14ac:dyDescent="0.2">
      <c r="A1784" t="s">
        <v>7935</v>
      </c>
      <c r="B1784" t="s">
        <v>96</v>
      </c>
      <c r="C1784" s="1">
        <v>44099</v>
      </c>
      <c r="D1784" s="1">
        <v>44106</v>
      </c>
      <c r="F1784" t="s">
        <v>97</v>
      </c>
      <c r="G1784" t="str">
        <f>"Software Engineer"</f>
        <v>Software Engineer</v>
      </c>
      <c r="H1784" t="s">
        <v>12169</v>
      </c>
      <c r="I1784" t="s">
        <v>124</v>
      </c>
      <c r="J1784" t="s">
        <v>98</v>
      </c>
      <c r="K1784" s="1">
        <v>44279</v>
      </c>
      <c r="L1784" s="1">
        <v>45374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 t="s">
        <v>173</v>
      </c>
      <c r="U1784" t="str">
        <f>""</f>
        <v/>
      </c>
      <c r="V1784" t="s">
        <v>174</v>
      </c>
      <c r="W1784" t="str">
        <f>"N/A"</f>
        <v>N/A</v>
      </c>
      <c r="X1784" t="s">
        <v>175</v>
      </c>
      <c r="Y1784" t="s">
        <v>176</v>
      </c>
      <c r="Z1784" s="3">
        <v>98052</v>
      </c>
      <c r="AA1784" t="s">
        <v>101</v>
      </c>
      <c r="AC1784" s="4" t="str">
        <f>"+14258828080"</f>
        <v>+14258828080</v>
      </c>
      <c r="AE1784" t="str">
        <f>"51121"</f>
        <v>51121</v>
      </c>
      <c r="AF1784" t="s">
        <v>177</v>
      </c>
      <c r="AG1784" t="s">
        <v>178</v>
      </c>
      <c r="AI1784" t="s">
        <v>179</v>
      </c>
      <c r="AJ1784" t="s">
        <v>174</v>
      </c>
      <c r="AK1784" t="str">
        <f>""</f>
        <v/>
      </c>
      <c r="AL1784" t="s">
        <v>175</v>
      </c>
      <c r="AM1784" t="s">
        <v>176</v>
      </c>
      <c r="AN1784" s="3">
        <v>98052</v>
      </c>
      <c r="AO1784" t="s">
        <v>101</v>
      </c>
      <c r="AQ1784" t="str">
        <f>"+14258828080"</f>
        <v>+14258828080</v>
      </c>
      <c r="AS1784" t="s">
        <v>180</v>
      </c>
      <c r="AT1784" t="s">
        <v>102</v>
      </c>
      <c r="AU1784" t="str">
        <f>""</f>
        <v/>
      </c>
      <c r="AV1784" t="str">
        <f>""</f>
        <v/>
      </c>
      <c r="AW1784" t="str">
        <f>""</f>
        <v/>
      </c>
      <c r="AX1784" t="str">
        <f>""</f>
        <v/>
      </c>
      <c r="AY1784" t="str">
        <f>""</f>
        <v/>
      </c>
      <c r="AZ1784" t="str">
        <f>""</f>
        <v/>
      </c>
      <c r="BA1784" t="str">
        <f>""</f>
        <v/>
      </c>
      <c r="BC1784" t="str">
        <f>""</f>
        <v/>
      </c>
      <c r="BD1784" t="str">
        <f>""</f>
        <v/>
      </c>
      <c r="BE1784" t="str">
        <f>""</f>
        <v/>
      </c>
      <c r="BF1784" t="str">
        <f>""</f>
        <v/>
      </c>
      <c r="BG1784" t="str">
        <f>""</f>
        <v/>
      </c>
      <c r="BH1784" t="str">
        <f>""</f>
        <v/>
      </c>
      <c r="BI1784" t="str">
        <f>""</f>
        <v/>
      </c>
      <c r="BJ1784" t="str">
        <f>""</f>
        <v/>
      </c>
      <c r="BK1784">
        <v>1</v>
      </c>
      <c r="BL1784" t="s">
        <v>102</v>
      </c>
      <c r="BM1784" t="str">
        <f>""</f>
        <v/>
      </c>
      <c r="BN1784" t="s">
        <v>7936</v>
      </c>
      <c r="BP1784" t="s">
        <v>182</v>
      </c>
      <c r="BQ1784" t="s">
        <v>183</v>
      </c>
      <c r="BR1784" t="s">
        <v>176</v>
      </c>
      <c r="BS1784" s="5">
        <v>98004</v>
      </c>
      <c r="BT1784" s="2">
        <v>182907</v>
      </c>
      <c r="BV1784" t="s">
        <v>105</v>
      </c>
      <c r="BW1784" s="2">
        <v>134098</v>
      </c>
      <c r="BX1784" t="s">
        <v>105</v>
      </c>
      <c r="BZ1784" t="s">
        <v>123</v>
      </c>
      <c r="CA1784" t="str">
        <f>"7/1/2020 - 6/30/2021"</f>
        <v>7/1/2020 - 6/30/2021</v>
      </c>
      <c r="CF1784">
        <v>1</v>
      </c>
      <c r="CG1784" t="s">
        <v>98</v>
      </c>
      <c r="CH1784" t="s">
        <v>206</v>
      </c>
      <c r="CI1784" t="s">
        <v>206</v>
      </c>
      <c r="CL1784" t="s">
        <v>108</v>
      </c>
      <c r="CM1784" t="s">
        <v>109</v>
      </c>
      <c r="CN1784" t="str">
        <f>"Kodishala"</f>
        <v>Kodishala</v>
      </c>
      <c r="CO1784" t="str">
        <f>"Suresh"</f>
        <v>Suresh</v>
      </c>
      <c r="CP1784" t="str">
        <f>"N/A"</f>
        <v>N/A</v>
      </c>
      <c r="CQ1784" t="str">
        <f>"INTEGREON MANAGED SOLUTIONS (INDIA) PVT LTD"</f>
        <v>INTEGREON MANAGED SOLUTIONS (INDIA) PVT LTD</v>
      </c>
      <c r="CR1784" t="s">
        <v>231</v>
      </c>
    </row>
    <row r="1785" spans="1:96" x14ac:dyDescent="0.2">
      <c r="A1785" t="s">
        <v>7937</v>
      </c>
      <c r="B1785" t="s">
        <v>96</v>
      </c>
      <c r="C1785" s="1">
        <v>44099</v>
      </c>
      <c r="D1785" s="1">
        <v>44106</v>
      </c>
      <c r="F1785" t="s">
        <v>97</v>
      </c>
      <c r="G1785" t="str">
        <f>"Lead Application Developer"</f>
        <v>Lead Application Developer</v>
      </c>
      <c r="H1785" t="s">
        <v>12169</v>
      </c>
      <c r="I1785" t="s">
        <v>124</v>
      </c>
      <c r="J1785" t="s">
        <v>98</v>
      </c>
      <c r="K1785" s="1">
        <v>44113</v>
      </c>
      <c r="L1785" s="1">
        <v>45207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 t="s">
        <v>3914</v>
      </c>
      <c r="U1785" t="str">
        <f>""</f>
        <v/>
      </c>
      <c r="V1785" t="s">
        <v>4003</v>
      </c>
      <c r="W1785" t="str">
        <f>""</f>
        <v/>
      </c>
      <c r="X1785">
        <v>27709</v>
      </c>
      <c r="Y1785" t="s">
        <v>122</v>
      </c>
      <c r="Z1785" s="3">
        <v>27709</v>
      </c>
      <c r="AA1785" t="s">
        <v>101</v>
      </c>
      <c r="AC1785" s="4" t="str">
        <f>"+19192540292"</f>
        <v>+19192540292</v>
      </c>
      <c r="AE1785" t="str">
        <f>"54151"</f>
        <v>54151</v>
      </c>
      <c r="AF1785" t="s">
        <v>6408</v>
      </c>
      <c r="AG1785" t="s">
        <v>1676</v>
      </c>
      <c r="AI1785" t="s">
        <v>3915</v>
      </c>
      <c r="AJ1785" t="s">
        <v>4003</v>
      </c>
      <c r="AK1785" t="str">
        <f>""</f>
        <v/>
      </c>
      <c r="AL1785" t="s">
        <v>1113</v>
      </c>
      <c r="AM1785" t="s">
        <v>122</v>
      </c>
      <c r="AN1785" s="3">
        <v>27709</v>
      </c>
      <c r="AO1785" t="s">
        <v>101</v>
      </c>
      <c r="AQ1785" t="str">
        <f>"+19192540292"</f>
        <v>+19192540292</v>
      </c>
      <c r="AS1785" t="s">
        <v>7463</v>
      </c>
      <c r="AT1785" t="s">
        <v>107</v>
      </c>
      <c r="AU1785" t="str">
        <f>"Peloquin"</f>
        <v>Peloquin</v>
      </c>
      <c r="AV1785" t="str">
        <f>"Tina"</f>
        <v>Tina</v>
      </c>
      <c r="AW1785" t="str">
        <f>"R"</f>
        <v>R</v>
      </c>
      <c r="AX1785" t="str">
        <f>"1400 Broadway"</f>
        <v>1400 Broadway</v>
      </c>
      <c r="AY1785" t="str">
        <f>""</f>
        <v/>
      </c>
      <c r="AZ1785" t="str">
        <f>"New York"</f>
        <v>New York</v>
      </c>
      <c r="BA1785" t="str">
        <f>"NY"</f>
        <v>NY</v>
      </c>
      <c r="BB1785" s="3">
        <v>10018</v>
      </c>
      <c r="BC1785" t="str">
        <f>"UNITED STATES OF AMERICA"</f>
        <v>UNITED STATES OF AMERICA</v>
      </c>
      <c r="BD1785" t="str">
        <f>""</f>
        <v/>
      </c>
      <c r="BE1785" t="str">
        <f>"+12126888555"</f>
        <v>+12126888555</v>
      </c>
      <c r="BF1785" t="str">
        <f>""</f>
        <v/>
      </c>
      <c r="BG1785" t="str">
        <f>"tpeloquin@fragomen.com"</f>
        <v>tpeloquin@fragomen.com</v>
      </c>
      <c r="BH1785" t="str">
        <f>"Fragomen Del Rey Bernsen &amp; Loewy, LLP"</f>
        <v>Fragomen Del Rey Bernsen &amp; Loewy, LLP</v>
      </c>
      <c r="BI1785" t="str">
        <f>"NY"</f>
        <v>NY</v>
      </c>
      <c r="BJ1785" t="str">
        <f>"Court of Appeals"</f>
        <v>Court of Appeals</v>
      </c>
      <c r="BK1785">
        <v>1</v>
      </c>
      <c r="BL1785" t="s">
        <v>107</v>
      </c>
      <c r="BM1785" t="str">
        <f>"AmerisourceBergen"</f>
        <v>AmerisourceBergen</v>
      </c>
      <c r="BN1785" t="s">
        <v>3455</v>
      </c>
      <c r="BP1785" t="s">
        <v>2083</v>
      </c>
      <c r="BQ1785" t="s">
        <v>1238</v>
      </c>
      <c r="BR1785" t="s">
        <v>127</v>
      </c>
      <c r="BS1785" s="5">
        <v>19087</v>
      </c>
      <c r="BT1785" s="2">
        <v>121909.2</v>
      </c>
      <c r="BV1785" t="s">
        <v>105</v>
      </c>
      <c r="BW1785" s="2">
        <v>121909</v>
      </c>
      <c r="BX1785" t="s">
        <v>105</v>
      </c>
      <c r="BZ1785" t="s">
        <v>159</v>
      </c>
      <c r="CA1785" t="str">
        <f>"7/1/2020 - 6/30/2021"</f>
        <v>7/1/2020 - 6/30/2021</v>
      </c>
      <c r="CF1785">
        <v>2</v>
      </c>
      <c r="CG1785" t="s">
        <v>98</v>
      </c>
      <c r="CH1785" t="s">
        <v>206</v>
      </c>
      <c r="CI1785" t="s">
        <v>206</v>
      </c>
      <c r="CL1785" t="s">
        <v>108</v>
      </c>
      <c r="CM1785" t="s">
        <v>109</v>
      </c>
      <c r="CN1785" t="str">
        <f>"Peloquin"</f>
        <v>Peloquin</v>
      </c>
      <c r="CO1785" t="str">
        <f>"Tina"</f>
        <v>Tina</v>
      </c>
      <c r="CP1785" t="str">
        <f>"R"</f>
        <v>R</v>
      </c>
      <c r="CQ1785" t="str">
        <f>"Fragomen Del Rey Bernsen &amp; Loewy, LLP"</f>
        <v>Fragomen Del Rey Bernsen &amp; Loewy, LLP</v>
      </c>
      <c r="CR1785" t="s">
        <v>7938</v>
      </c>
    </row>
    <row r="1786" spans="1:96" x14ac:dyDescent="0.2">
      <c r="A1786" t="s">
        <v>7946</v>
      </c>
      <c r="B1786" t="s">
        <v>96</v>
      </c>
      <c r="C1786" s="1">
        <v>44099</v>
      </c>
      <c r="D1786" s="1">
        <v>44106</v>
      </c>
      <c r="F1786" t="s">
        <v>97</v>
      </c>
      <c r="G1786" t="str">
        <f>"Post Doctoral Scholar"</f>
        <v>Post Doctoral Scholar</v>
      </c>
      <c r="H1786" t="s">
        <v>12219</v>
      </c>
      <c r="I1786" t="s">
        <v>4306</v>
      </c>
      <c r="J1786" t="s">
        <v>98</v>
      </c>
      <c r="K1786" s="1">
        <v>44105</v>
      </c>
      <c r="L1786" s="1">
        <v>45199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3297</v>
      </c>
      <c r="U1786" t="str">
        <f>""</f>
        <v/>
      </c>
      <c r="V1786" t="s">
        <v>3298</v>
      </c>
      <c r="W1786" t="str">
        <f>"140 Enarson Classroom Building"</f>
        <v>140 Enarson Classroom Building</v>
      </c>
      <c r="X1786" t="s">
        <v>388</v>
      </c>
      <c r="Y1786" t="s">
        <v>225</v>
      </c>
      <c r="Z1786" s="3">
        <v>43210</v>
      </c>
      <c r="AA1786" t="s">
        <v>101</v>
      </c>
      <c r="AC1786" s="4" t="str">
        <f>"+16142926101"</f>
        <v>+16142926101</v>
      </c>
      <c r="AE1786" t="str">
        <f>"611310"</f>
        <v>611310</v>
      </c>
      <c r="AF1786" t="s">
        <v>1537</v>
      </c>
      <c r="AG1786" t="s">
        <v>3299</v>
      </c>
      <c r="AH1786" t="s">
        <v>702</v>
      </c>
      <c r="AI1786" t="s">
        <v>629</v>
      </c>
      <c r="AJ1786" t="s">
        <v>3300</v>
      </c>
      <c r="AK1786" t="str">
        <f>"140 Enarson Classroom Building"</f>
        <v>140 Enarson Classroom Building</v>
      </c>
      <c r="AL1786" t="s">
        <v>388</v>
      </c>
      <c r="AM1786" t="s">
        <v>225</v>
      </c>
      <c r="AN1786" s="3">
        <v>43210</v>
      </c>
      <c r="AO1786" t="s">
        <v>101</v>
      </c>
      <c r="AQ1786" t="str">
        <f>"+16142926101"</f>
        <v>+16142926101</v>
      </c>
      <c r="AS1786" t="s">
        <v>3301</v>
      </c>
      <c r="AT1786" t="s">
        <v>102</v>
      </c>
      <c r="AU1786" t="str">
        <f>""</f>
        <v/>
      </c>
      <c r="AV1786" t="str">
        <f>""</f>
        <v/>
      </c>
      <c r="AW1786" t="str">
        <f>""</f>
        <v/>
      </c>
      <c r="AX1786" t="str">
        <f>""</f>
        <v/>
      </c>
      <c r="AY1786" t="str">
        <f>""</f>
        <v/>
      </c>
      <c r="AZ1786" t="str">
        <f>""</f>
        <v/>
      </c>
      <c r="BA1786" t="str">
        <f>""</f>
        <v/>
      </c>
      <c r="BC1786" t="str">
        <f>""</f>
        <v/>
      </c>
      <c r="BD1786" t="str">
        <f>""</f>
        <v/>
      </c>
      <c r="BE1786" t="str">
        <f>""</f>
        <v/>
      </c>
      <c r="BF1786" t="str">
        <f>""</f>
        <v/>
      </c>
      <c r="BG1786" t="str">
        <f>""</f>
        <v/>
      </c>
      <c r="BH1786" t="str">
        <f>""</f>
        <v/>
      </c>
      <c r="BI1786" t="str">
        <f>""</f>
        <v/>
      </c>
      <c r="BJ1786" t="str">
        <f>""</f>
        <v/>
      </c>
      <c r="BK1786">
        <v>1</v>
      </c>
      <c r="BL1786" t="s">
        <v>102</v>
      </c>
      <c r="BM1786" t="str">
        <f>""</f>
        <v/>
      </c>
      <c r="BN1786" t="s">
        <v>7947</v>
      </c>
      <c r="BP1786" t="s">
        <v>388</v>
      </c>
      <c r="BQ1786" t="s">
        <v>224</v>
      </c>
      <c r="BR1786" t="s">
        <v>225</v>
      </c>
      <c r="BS1786" s="5">
        <v>43210</v>
      </c>
      <c r="BT1786" s="2">
        <v>52125</v>
      </c>
      <c r="BV1786" t="s">
        <v>105</v>
      </c>
      <c r="BW1786" s="2">
        <v>52125</v>
      </c>
      <c r="BX1786" t="s">
        <v>105</v>
      </c>
      <c r="BY1786" t="s">
        <v>7948</v>
      </c>
      <c r="CA1786" t="str">
        <f>""</f>
        <v/>
      </c>
      <c r="CF1786">
        <v>1</v>
      </c>
      <c r="CG1786" t="s">
        <v>98</v>
      </c>
      <c r="CH1786" t="s">
        <v>206</v>
      </c>
      <c r="CI1786" t="s">
        <v>206</v>
      </c>
      <c r="CL1786" t="s">
        <v>108</v>
      </c>
      <c r="CM1786" t="s">
        <v>109</v>
      </c>
      <c r="CN1786" t="str">
        <f>"Carruthers"</f>
        <v>Carruthers</v>
      </c>
      <c r="CO1786" t="str">
        <f>"Latasha"</f>
        <v>Latasha</v>
      </c>
      <c r="CP1786" t="str">
        <f>""</f>
        <v/>
      </c>
      <c r="CQ1786" t="str">
        <f>"Ohio State University"</f>
        <v>Ohio State University</v>
      </c>
      <c r="CR1786" t="s">
        <v>3302</v>
      </c>
    </row>
    <row r="1787" spans="1:96" x14ac:dyDescent="0.2">
      <c r="A1787" t="s">
        <v>7950</v>
      </c>
      <c r="B1787" t="s">
        <v>96</v>
      </c>
      <c r="C1787" s="1">
        <v>44099</v>
      </c>
      <c r="D1787" s="1">
        <v>44106</v>
      </c>
      <c r="F1787" t="s">
        <v>97</v>
      </c>
      <c r="G1787" t="str">
        <f>"Senior Pricing Analyst"</f>
        <v>Senior Pricing Analyst</v>
      </c>
      <c r="H1787" t="s">
        <v>12231</v>
      </c>
      <c r="I1787" t="s">
        <v>2138</v>
      </c>
      <c r="J1787" t="s">
        <v>98</v>
      </c>
      <c r="K1787" s="1">
        <v>44105</v>
      </c>
      <c r="L1787" s="1">
        <v>45199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3632</v>
      </c>
      <c r="U1787" t="str">
        <f>""</f>
        <v/>
      </c>
      <c r="V1787" t="s">
        <v>3633</v>
      </c>
      <c r="W1787" t="str">
        <f>"3rd Floor"</f>
        <v>3rd Floor</v>
      </c>
      <c r="X1787" t="s">
        <v>3119</v>
      </c>
      <c r="Y1787" t="s">
        <v>545</v>
      </c>
      <c r="Z1787" s="3">
        <v>38017</v>
      </c>
      <c r="AA1787" t="s">
        <v>101</v>
      </c>
      <c r="AC1787" s="4" t="str">
        <f>"+14128098455"</f>
        <v>+14128098455</v>
      </c>
      <c r="AE1787" t="str">
        <f>"492110"</f>
        <v>492110</v>
      </c>
      <c r="AF1787" t="s">
        <v>5344</v>
      </c>
      <c r="AG1787" t="s">
        <v>7951</v>
      </c>
      <c r="AI1787" t="s">
        <v>7952</v>
      </c>
      <c r="AJ1787" t="s">
        <v>5843</v>
      </c>
      <c r="AK1787" t="str">
        <f>"Suite 1300 "</f>
        <v xml:space="preserve">Suite 1300 </v>
      </c>
      <c r="AL1787" t="s">
        <v>333</v>
      </c>
      <c r="AM1787" t="s">
        <v>127</v>
      </c>
      <c r="AN1787" s="3">
        <v>15205</v>
      </c>
      <c r="AO1787" t="s">
        <v>101</v>
      </c>
      <c r="AQ1787" t="str">
        <f>"+14128098455"</f>
        <v>+14128098455</v>
      </c>
      <c r="AS1787" t="s">
        <v>108</v>
      </c>
      <c r="AT1787" t="s">
        <v>107</v>
      </c>
      <c r="AU1787" t="str">
        <f>"Yeaw"</f>
        <v>Yeaw</v>
      </c>
      <c r="AV1787" t="str">
        <f>"Jennifer"</f>
        <v>Jennifer</v>
      </c>
      <c r="AW1787" t="str">
        <f>""</f>
        <v/>
      </c>
      <c r="AX1787" t="str">
        <f>"P.O. Box 98869"</f>
        <v>P.O. Box 98869</v>
      </c>
      <c r="AY1787" t="str">
        <f>""</f>
        <v/>
      </c>
      <c r="AZ1787" t="str">
        <f>"Raleigh"</f>
        <v>Raleigh</v>
      </c>
      <c r="BA1787" t="str">
        <f>"NC"</f>
        <v>NC</v>
      </c>
      <c r="BB1787" s="3">
        <v>27624</v>
      </c>
      <c r="BC1787" t="str">
        <f>"UNITED STATES OF AMERICA"</f>
        <v>UNITED STATES OF AMERICA</v>
      </c>
      <c r="BD1787" t="str">
        <f>""</f>
        <v/>
      </c>
      <c r="BE1787" t="str">
        <f>"+19196474817"</f>
        <v>+19196474817</v>
      </c>
      <c r="BF1787" t="str">
        <f>""</f>
        <v/>
      </c>
      <c r="BG1787" t="str">
        <f>"sdouglas@constangy.com"</f>
        <v>sdouglas@constangy.com</v>
      </c>
      <c r="BH1787" t="str">
        <f>"Constangy, Brooks, Smith &amp; Prophete, LLP"</f>
        <v>Constangy, Brooks, Smith &amp; Prophete, LLP</v>
      </c>
      <c r="BI1787" t="str">
        <f>"NC"</f>
        <v>NC</v>
      </c>
      <c r="BJ1787" t="str">
        <f>"Supreme Court"</f>
        <v>Supreme Court</v>
      </c>
      <c r="BK1787">
        <v>1</v>
      </c>
      <c r="BL1787" t="s">
        <v>102</v>
      </c>
      <c r="BM1787" t="str">
        <f>""</f>
        <v/>
      </c>
      <c r="BN1787" t="s">
        <v>5843</v>
      </c>
      <c r="BO1787" t="s">
        <v>808</v>
      </c>
      <c r="BP1787" t="s">
        <v>333</v>
      </c>
      <c r="BQ1787" t="s">
        <v>861</v>
      </c>
      <c r="BR1787" t="s">
        <v>127</v>
      </c>
      <c r="BS1787" s="5">
        <v>15205</v>
      </c>
      <c r="BT1787" s="2">
        <v>84864</v>
      </c>
      <c r="BU1787" s="2">
        <v>105060</v>
      </c>
      <c r="BV1787" t="s">
        <v>105</v>
      </c>
      <c r="BW1787" s="2">
        <v>84864</v>
      </c>
      <c r="BX1787" t="s">
        <v>105</v>
      </c>
      <c r="BZ1787" t="s">
        <v>167</v>
      </c>
      <c r="CA1787" t="str">
        <f t="shared" ref="CA1787:CA1805" si="143">"7/1/2020 - 6/30/2021"</f>
        <v>7/1/2020 - 6/30/2021</v>
      </c>
      <c r="CF1787">
        <v>1</v>
      </c>
      <c r="CG1787" t="s">
        <v>98</v>
      </c>
      <c r="CH1787" t="s">
        <v>206</v>
      </c>
      <c r="CI1787" t="s">
        <v>206</v>
      </c>
      <c r="CL1787" t="s">
        <v>108</v>
      </c>
      <c r="CM1787" t="s">
        <v>109</v>
      </c>
      <c r="CN1787" t="str">
        <f>"Yeaw"</f>
        <v>Yeaw</v>
      </c>
      <c r="CO1787" t="str">
        <f>"Jennifer"</f>
        <v>Jennifer</v>
      </c>
      <c r="CP1787" t="str">
        <f>""</f>
        <v/>
      </c>
      <c r="CQ1787" t="str">
        <f>"Constangy, Brooks, Smith &amp; Prophete LLP"</f>
        <v>Constangy, Brooks, Smith &amp; Prophete LLP</v>
      </c>
      <c r="CR1787" t="s">
        <v>3634</v>
      </c>
    </row>
    <row r="1788" spans="1:96" x14ac:dyDescent="0.2">
      <c r="A1788" t="s">
        <v>7985</v>
      </c>
      <c r="B1788" t="s">
        <v>96</v>
      </c>
      <c r="C1788" s="1">
        <v>44099</v>
      </c>
      <c r="D1788" s="1">
        <v>44106</v>
      </c>
      <c r="F1788" t="s">
        <v>97</v>
      </c>
      <c r="G1788" t="str">
        <f>"Infectious Disease Hospitalist"</f>
        <v>Infectious Disease Hospitalist</v>
      </c>
      <c r="H1788" t="s">
        <v>12259</v>
      </c>
      <c r="I1788" t="s">
        <v>192</v>
      </c>
      <c r="J1788" t="s">
        <v>98</v>
      </c>
      <c r="K1788" s="1">
        <v>44197</v>
      </c>
      <c r="L1788" s="1">
        <v>45291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 t="s">
        <v>7986</v>
      </c>
      <c r="U1788" t="str">
        <f>""</f>
        <v/>
      </c>
      <c r="V1788" t="s">
        <v>7987</v>
      </c>
      <c r="W1788" t="str">
        <f>""</f>
        <v/>
      </c>
      <c r="X1788" t="s">
        <v>4549</v>
      </c>
      <c r="Y1788" t="s">
        <v>225</v>
      </c>
      <c r="Z1788" s="3">
        <v>44710</v>
      </c>
      <c r="AA1788" t="s">
        <v>101</v>
      </c>
      <c r="AC1788" s="4" t="str">
        <f>"+13303636411"</f>
        <v>+13303636411</v>
      </c>
      <c r="AE1788" t="str">
        <f>"621111"</f>
        <v>621111</v>
      </c>
      <c r="AF1788" t="s">
        <v>7988</v>
      </c>
      <c r="AG1788" t="s">
        <v>3531</v>
      </c>
      <c r="AI1788" t="s">
        <v>7989</v>
      </c>
      <c r="AJ1788" t="s">
        <v>7987</v>
      </c>
      <c r="AK1788" t="str">
        <f>""</f>
        <v/>
      </c>
      <c r="AL1788" t="s">
        <v>4549</v>
      </c>
      <c r="AM1788" t="s">
        <v>225</v>
      </c>
      <c r="AN1788" s="3">
        <v>44710</v>
      </c>
      <c r="AO1788" t="s">
        <v>101</v>
      </c>
      <c r="AQ1788" t="str">
        <f>"+13303632496"</f>
        <v>+13303632496</v>
      </c>
      <c r="AS1788" t="s">
        <v>7990</v>
      </c>
      <c r="AT1788" t="s">
        <v>107</v>
      </c>
      <c r="AU1788" t="str">
        <f>"WALD"</f>
        <v>WALD</v>
      </c>
      <c r="AV1788" t="str">
        <f>"GREGORY"</f>
        <v>GREGORY</v>
      </c>
      <c r="AW1788" t="str">
        <f>"A"</f>
        <v>A</v>
      </c>
      <c r="AX1788" t="str">
        <f>"Squire Patton Boggs"</f>
        <v>Squire Patton Boggs</v>
      </c>
      <c r="AY1788" t="str">
        <f>"275 Battery Street, 26th Floor"</f>
        <v>275 Battery Street, 26th Floor</v>
      </c>
      <c r="AZ1788" t="str">
        <f>"SAN FRANCISCO"</f>
        <v>SAN FRANCISCO</v>
      </c>
      <c r="BA1788" t="str">
        <f>"CA"</f>
        <v>CA</v>
      </c>
      <c r="BB1788" s="3">
        <v>94111</v>
      </c>
      <c r="BC1788" t="str">
        <f>"UNITED STATES OF AMERICA"</f>
        <v>UNITED STATES OF AMERICA</v>
      </c>
      <c r="BD1788" t="str">
        <f>""</f>
        <v/>
      </c>
      <c r="BE1788" t="str">
        <f>"+14153939828"</f>
        <v>+14153939828</v>
      </c>
      <c r="BF1788" t="str">
        <f>"9828"</f>
        <v>9828</v>
      </c>
      <c r="BG1788" t="str">
        <f>"WALD.GREGORY@SQUIREPB.COM"</f>
        <v>WALD.GREGORY@SQUIREPB.COM</v>
      </c>
      <c r="BH1788" t="str">
        <f>"Squire Patton Boggs"</f>
        <v>Squire Patton Boggs</v>
      </c>
      <c r="BI1788" t="str">
        <f>"CA"</f>
        <v>CA</v>
      </c>
      <c r="BJ1788" t="str">
        <f>"Supreme Court of California"</f>
        <v>Supreme Court of California</v>
      </c>
      <c r="BK1788">
        <v>1</v>
      </c>
      <c r="BL1788" t="s">
        <v>102</v>
      </c>
      <c r="BM1788" t="str">
        <f>""</f>
        <v/>
      </c>
      <c r="BN1788" t="s">
        <v>7991</v>
      </c>
      <c r="BP1788" t="s">
        <v>4549</v>
      </c>
      <c r="BQ1788" t="s">
        <v>2785</v>
      </c>
      <c r="BR1788" t="s">
        <v>225</v>
      </c>
      <c r="BS1788" s="5">
        <v>44710</v>
      </c>
      <c r="BT1788" s="2">
        <v>260000</v>
      </c>
      <c r="BV1788" t="s">
        <v>105</v>
      </c>
      <c r="BW1788" s="2">
        <v>217880</v>
      </c>
      <c r="BX1788" t="s">
        <v>105</v>
      </c>
      <c r="BZ1788" t="s">
        <v>123</v>
      </c>
      <c r="CA1788" t="str">
        <f t="shared" si="143"/>
        <v>7/1/2020 - 6/30/2021</v>
      </c>
      <c r="CF1788">
        <v>1</v>
      </c>
      <c r="CG1788" t="s">
        <v>98</v>
      </c>
      <c r="CH1788" t="s">
        <v>206</v>
      </c>
      <c r="CI1788" t="s">
        <v>206</v>
      </c>
      <c r="CL1788" t="s">
        <v>108</v>
      </c>
      <c r="CM1788" t="s">
        <v>109</v>
      </c>
      <c r="CN1788" t="str">
        <f>""</f>
        <v/>
      </c>
      <c r="CO1788" t="str">
        <f>""</f>
        <v/>
      </c>
      <c r="CP1788" t="str">
        <f>""</f>
        <v/>
      </c>
      <c r="CQ1788" t="str">
        <f>""</f>
        <v/>
      </c>
    </row>
    <row r="1789" spans="1:96" x14ac:dyDescent="0.2">
      <c r="A1789" t="s">
        <v>7994</v>
      </c>
      <c r="B1789" t="s">
        <v>96</v>
      </c>
      <c r="C1789" s="1">
        <v>44099</v>
      </c>
      <c r="D1789" s="1">
        <v>44106</v>
      </c>
      <c r="F1789" t="s">
        <v>97</v>
      </c>
      <c r="G1789" t="str">
        <f>"Business Processes Senior Consultant"</f>
        <v>Business Processes Senior Consultant</v>
      </c>
      <c r="H1789" t="s">
        <v>12181</v>
      </c>
      <c r="I1789" t="s">
        <v>110</v>
      </c>
      <c r="J1789" t="s">
        <v>98</v>
      </c>
      <c r="K1789" s="1">
        <v>44105</v>
      </c>
      <c r="L1789" s="1">
        <v>45200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7995</v>
      </c>
      <c r="U1789" t="str">
        <f>""</f>
        <v/>
      </c>
      <c r="V1789" t="s">
        <v>1276</v>
      </c>
      <c r="W1789" t="str">
        <f>""</f>
        <v/>
      </c>
      <c r="X1789" t="s">
        <v>1277</v>
      </c>
      <c r="Y1789" t="s">
        <v>127</v>
      </c>
      <c r="Z1789" s="3">
        <v>19073</v>
      </c>
      <c r="AA1789" t="s">
        <v>101</v>
      </c>
      <c r="AC1789" s="4" t="str">
        <f>"+16106612354"</f>
        <v>+16106612354</v>
      </c>
      <c r="AE1789" t="str">
        <f>"54151"</f>
        <v>54151</v>
      </c>
      <c r="AF1789" t="s">
        <v>7996</v>
      </c>
      <c r="AG1789" t="s">
        <v>7997</v>
      </c>
      <c r="AI1789" t="s">
        <v>130</v>
      </c>
      <c r="AJ1789" t="s">
        <v>1276</v>
      </c>
      <c r="AK1789" t="str">
        <f>""</f>
        <v/>
      </c>
      <c r="AL1789" t="s">
        <v>1277</v>
      </c>
      <c r="AM1789" t="s">
        <v>127</v>
      </c>
      <c r="AN1789" s="3">
        <v>19073</v>
      </c>
      <c r="AO1789" t="s">
        <v>101</v>
      </c>
      <c r="AQ1789" t="str">
        <f>"+16106612354"</f>
        <v>+16106612354</v>
      </c>
      <c r="AS1789" t="s">
        <v>1279</v>
      </c>
      <c r="AT1789" t="s">
        <v>107</v>
      </c>
      <c r="AU1789" t="str">
        <f>"Shah"</f>
        <v>Shah</v>
      </c>
      <c r="AV1789" t="str">
        <f>"Rahul"</f>
        <v>Rahul</v>
      </c>
      <c r="AW1789" t="str">
        <f>"M"</f>
        <v>M</v>
      </c>
      <c r="AX1789" t="str">
        <f>"90 Matawan Road"</f>
        <v>90 Matawan Road</v>
      </c>
      <c r="AY1789" t="str">
        <f>"4th Floor"</f>
        <v>4th Floor</v>
      </c>
      <c r="AZ1789" t="str">
        <f>"Matawan"</f>
        <v>Matawan</v>
      </c>
      <c r="BA1789" t="str">
        <f>"NJ"</f>
        <v>NJ</v>
      </c>
      <c r="BB1789" s="3">
        <v>7747</v>
      </c>
      <c r="BC1789" t="str">
        <f>"UNITED STATES OF AMERICA"</f>
        <v>UNITED STATES OF AMERICA</v>
      </c>
      <c r="BD1789" t="str">
        <f>""</f>
        <v/>
      </c>
      <c r="BE1789" t="str">
        <f>"+17328625000"</f>
        <v>+17328625000</v>
      </c>
      <c r="BF1789" t="str">
        <f>""</f>
        <v/>
      </c>
      <c r="BG1789" t="str">
        <f>"eantokal@fragomen.com"</f>
        <v>eantokal@fragomen.com</v>
      </c>
      <c r="BH1789" t="str">
        <f>"Fragomen, Del Rey, Bernsen &amp; Loewy, LLP"</f>
        <v>Fragomen, Del Rey, Bernsen &amp; Loewy, LLP</v>
      </c>
      <c r="BI1789" t="str">
        <f>"DC"</f>
        <v>DC</v>
      </c>
      <c r="BJ1789" t="str">
        <f>"Court of Appeals"</f>
        <v>Court of Appeals</v>
      </c>
      <c r="BK1789">
        <v>1</v>
      </c>
      <c r="BL1789" t="s">
        <v>102</v>
      </c>
      <c r="BM1789" t="str">
        <f>""</f>
        <v/>
      </c>
      <c r="BN1789" t="s">
        <v>2412</v>
      </c>
      <c r="BO1789" t="s">
        <v>2413</v>
      </c>
      <c r="BP1789" t="s">
        <v>394</v>
      </c>
      <c r="BQ1789" t="s">
        <v>395</v>
      </c>
      <c r="BR1789" t="s">
        <v>114</v>
      </c>
      <c r="BS1789" s="5">
        <v>77098</v>
      </c>
      <c r="BT1789" s="2">
        <v>135000</v>
      </c>
      <c r="BV1789" t="s">
        <v>105</v>
      </c>
      <c r="BW1789" s="2">
        <v>119538</v>
      </c>
      <c r="BX1789" t="s">
        <v>105</v>
      </c>
      <c r="BZ1789" t="s">
        <v>123</v>
      </c>
      <c r="CA1789" t="str">
        <f t="shared" si="143"/>
        <v>7/1/2020 - 6/30/2021</v>
      </c>
      <c r="CF1789">
        <v>1</v>
      </c>
      <c r="CG1789" t="s">
        <v>98</v>
      </c>
      <c r="CH1789" t="s">
        <v>206</v>
      </c>
      <c r="CI1789" t="s">
        <v>206</v>
      </c>
      <c r="CL1789" t="s">
        <v>108</v>
      </c>
      <c r="CM1789" t="s">
        <v>109</v>
      </c>
      <c r="CN1789" t="str">
        <f>"SHAH"</f>
        <v>SHAH</v>
      </c>
      <c r="CO1789" t="str">
        <f>"RAHUL"</f>
        <v>RAHUL</v>
      </c>
      <c r="CP1789" t="str">
        <f>"M."</f>
        <v>M.</v>
      </c>
      <c r="CQ1789" t="str">
        <f>"FRAGOMEN, DEL REY, BERNSEN  &amp; LOEWY, LLP"</f>
        <v>FRAGOMEN, DEL REY, BERNSEN  &amp; LOEWY, LLP</v>
      </c>
      <c r="CR1789" t="s">
        <v>5449</v>
      </c>
    </row>
    <row r="1790" spans="1:96" x14ac:dyDescent="0.2">
      <c r="A1790" t="s">
        <v>8015</v>
      </c>
      <c r="B1790" t="s">
        <v>96</v>
      </c>
      <c r="C1790" s="1">
        <v>44099</v>
      </c>
      <c r="D1790" s="1">
        <v>44106</v>
      </c>
      <c r="F1790" t="s">
        <v>97</v>
      </c>
      <c r="G1790" t="str">
        <f>"Professional Programmer Analyst "</f>
        <v xml:space="preserve">Professional Programmer Analyst </v>
      </c>
      <c r="H1790" t="s">
        <v>12169</v>
      </c>
      <c r="I1790" t="s">
        <v>124</v>
      </c>
      <c r="J1790" t="s">
        <v>98</v>
      </c>
      <c r="K1790" s="1">
        <v>44166</v>
      </c>
      <c r="L1790" s="1">
        <v>45260</v>
      </c>
      <c r="M1790">
        <v>24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 t="s">
        <v>7004</v>
      </c>
      <c r="U1790" t="str">
        <f>""</f>
        <v/>
      </c>
      <c r="V1790" t="s">
        <v>7005</v>
      </c>
      <c r="W1790" t="str">
        <f>"Suite 300"</f>
        <v>Suite 300</v>
      </c>
      <c r="X1790" t="s">
        <v>761</v>
      </c>
      <c r="Y1790" t="s">
        <v>114</v>
      </c>
      <c r="Z1790" s="3">
        <v>75080</v>
      </c>
      <c r="AA1790" t="s">
        <v>101</v>
      </c>
      <c r="AC1790" s="4" t="str">
        <f>"+14698083070"</f>
        <v>+14698083070</v>
      </c>
      <c r="AE1790" t="str">
        <f>"541511"</f>
        <v>541511</v>
      </c>
      <c r="AF1790" t="s">
        <v>926</v>
      </c>
      <c r="AG1790" t="s">
        <v>927</v>
      </c>
      <c r="AI1790" t="s">
        <v>928</v>
      </c>
      <c r="AJ1790" t="s">
        <v>929</v>
      </c>
      <c r="AK1790" t="str">
        <f>"3rd floor"</f>
        <v>3rd floor</v>
      </c>
      <c r="AL1790" t="s">
        <v>761</v>
      </c>
      <c r="AM1790" t="s">
        <v>114</v>
      </c>
      <c r="AN1790" s="3">
        <v>75080</v>
      </c>
      <c r="AO1790" t="s">
        <v>101</v>
      </c>
      <c r="AQ1790" t="str">
        <f>"+14698083070"</f>
        <v>+14698083070</v>
      </c>
      <c r="AS1790" t="s">
        <v>930</v>
      </c>
      <c r="AT1790" t="s">
        <v>107</v>
      </c>
      <c r="AU1790" t="str">
        <f>"Anstey "</f>
        <v xml:space="preserve">Anstey </v>
      </c>
      <c r="AV1790" t="str">
        <f>"Sarah"</f>
        <v>Sarah</v>
      </c>
      <c r="AW1790" t="str">
        <f>""</f>
        <v/>
      </c>
      <c r="AX1790" t="str">
        <f>"2121 Tasman Drive"</f>
        <v>2121 Tasman Drive</v>
      </c>
      <c r="AY1790" t="str">
        <f>""</f>
        <v/>
      </c>
      <c r="AZ1790" t="str">
        <f>"Santa Clara"</f>
        <v>Santa Clara</v>
      </c>
      <c r="BA1790" t="str">
        <f>"CA"</f>
        <v>CA</v>
      </c>
      <c r="BB1790" s="3">
        <v>95054</v>
      </c>
      <c r="BC1790" t="str">
        <f>"UNITED STATES OF AMERICA"</f>
        <v>UNITED STATES OF AMERICA</v>
      </c>
      <c r="BD1790" t="str">
        <f>""</f>
        <v/>
      </c>
      <c r="BE1790" t="str">
        <f>"+14089190600"</f>
        <v>+14089190600</v>
      </c>
      <c r="BF1790" t="str">
        <f>""</f>
        <v/>
      </c>
      <c r="BG1790" t="str">
        <f>"DXCTechnology@fragomen.com"</f>
        <v>DXCTechnology@fragomen.com</v>
      </c>
      <c r="BH1790" t="str">
        <f>"Fragomen, Del Rey, Bernsen &amp; Loewy, LLP"</f>
        <v>Fragomen, Del Rey, Bernsen &amp; Loewy, LLP</v>
      </c>
      <c r="BI1790" t="str">
        <f>"NY"</f>
        <v>NY</v>
      </c>
      <c r="BJ1790" t="str">
        <f>"Appellate Division, First Department"</f>
        <v>Appellate Division, First Department</v>
      </c>
      <c r="BK1790">
        <v>24</v>
      </c>
      <c r="BL1790" t="s">
        <v>102</v>
      </c>
      <c r="BM1790" t="str">
        <f>""</f>
        <v/>
      </c>
      <c r="BN1790" t="s">
        <v>8016</v>
      </c>
      <c r="BP1790" t="s">
        <v>8017</v>
      </c>
      <c r="BQ1790" t="s">
        <v>224</v>
      </c>
      <c r="BR1790" t="s">
        <v>370</v>
      </c>
      <c r="BS1790" s="5">
        <v>40601</v>
      </c>
      <c r="BT1790" s="2">
        <v>64465</v>
      </c>
      <c r="BV1790" t="s">
        <v>105</v>
      </c>
      <c r="BW1790" s="2">
        <v>58698</v>
      </c>
      <c r="BX1790" t="s">
        <v>105</v>
      </c>
      <c r="BZ1790" t="s">
        <v>167</v>
      </c>
      <c r="CA1790" t="str">
        <f t="shared" si="143"/>
        <v>7/1/2020 - 6/30/2021</v>
      </c>
      <c r="CF1790">
        <v>2</v>
      </c>
      <c r="CG1790" t="s">
        <v>98</v>
      </c>
      <c r="CH1790" t="s">
        <v>206</v>
      </c>
      <c r="CI1790" t="s">
        <v>206</v>
      </c>
      <c r="CL1790" t="s">
        <v>108</v>
      </c>
      <c r="CM1790" t="s">
        <v>109</v>
      </c>
      <c r="CN1790" t="str">
        <f>"Halimi"</f>
        <v>Halimi</v>
      </c>
      <c r="CO1790" t="str">
        <f>"Madeha"</f>
        <v>Madeha</v>
      </c>
      <c r="CP1790" t="str">
        <f>""</f>
        <v/>
      </c>
      <c r="CQ1790" t="str">
        <f>"Fragomen, Del Rey, Bernsen &amp; Loewy, LLP"</f>
        <v>Fragomen, Del Rey, Bernsen &amp; Loewy, LLP</v>
      </c>
      <c r="CR1790" t="s">
        <v>4814</v>
      </c>
    </row>
    <row r="1791" spans="1:96" x14ac:dyDescent="0.2">
      <c r="A1791" t="s">
        <v>8027</v>
      </c>
      <c r="B1791" t="s">
        <v>96</v>
      </c>
      <c r="C1791" s="1">
        <v>44099</v>
      </c>
      <c r="D1791" s="1">
        <v>44106</v>
      </c>
      <c r="F1791" t="s">
        <v>97</v>
      </c>
      <c r="G1791" t="str">
        <f>"Software Engineer"</f>
        <v>Software Engineer</v>
      </c>
      <c r="H1791" t="s">
        <v>12169</v>
      </c>
      <c r="I1791" t="s">
        <v>124</v>
      </c>
      <c r="J1791" t="s">
        <v>98</v>
      </c>
      <c r="K1791" s="1">
        <v>44279</v>
      </c>
      <c r="L1791" s="1">
        <v>45374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 t="s">
        <v>173</v>
      </c>
      <c r="U1791" t="str">
        <f>""</f>
        <v/>
      </c>
      <c r="V1791" t="s">
        <v>174</v>
      </c>
      <c r="W1791" t="str">
        <f>"N/A"</f>
        <v>N/A</v>
      </c>
      <c r="X1791" t="s">
        <v>175</v>
      </c>
      <c r="Y1791" t="s">
        <v>176</v>
      </c>
      <c r="Z1791" s="3">
        <v>98052</v>
      </c>
      <c r="AA1791" t="s">
        <v>101</v>
      </c>
      <c r="AC1791" s="4" t="str">
        <f>"+14258828080"</f>
        <v>+14258828080</v>
      </c>
      <c r="AE1791" t="str">
        <f>"51121"</f>
        <v>51121</v>
      </c>
      <c r="AF1791" t="s">
        <v>177</v>
      </c>
      <c r="AG1791" t="s">
        <v>178</v>
      </c>
      <c r="AI1791" t="s">
        <v>179</v>
      </c>
      <c r="AJ1791" t="s">
        <v>174</v>
      </c>
      <c r="AK1791" t="str">
        <f>""</f>
        <v/>
      </c>
      <c r="AL1791" t="s">
        <v>175</v>
      </c>
      <c r="AM1791" t="s">
        <v>176</v>
      </c>
      <c r="AN1791" s="3">
        <v>98052</v>
      </c>
      <c r="AO1791" t="s">
        <v>101</v>
      </c>
      <c r="AQ1791" t="str">
        <f>"+14258828080"</f>
        <v>+14258828080</v>
      </c>
      <c r="AS1791" t="s">
        <v>180</v>
      </c>
      <c r="AT1791" t="s">
        <v>102</v>
      </c>
      <c r="AU1791" t="str">
        <f>""</f>
        <v/>
      </c>
      <c r="AV1791" t="str">
        <f>""</f>
        <v/>
      </c>
      <c r="AW1791" t="str">
        <f>""</f>
        <v/>
      </c>
      <c r="AX1791" t="str">
        <f>""</f>
        <v/>
      </c>
      <c r="AY1791" t="str">
        <f>""</f>
        <v/>
      </c>
      <c r="AZ1791" t="str">
        <f>""</f>
        <v/>
      </c>
      <c r="BA1791" t="str">
        <f>""</f>
        <v/>
      </c>
      <c r="BC1791" t="str">
        <f>""</f>
        <v/>
      </c>
      <c r="BD1791" t="str">
        <f>""</f>
        <v/>
      </c>
      <c r="BE1791" t="str">
        <f>""</f>
        <v/>
      </c>
      <c r="BF1791" t="str">
        <f>""</f>
        <v/>
      </c>
      <c r="BG1791" t="str">
        <f>""</f>
        <v/>
      </c>
      <c r="BH1791" t="str">
        <f>""</f>
        <v/>
      </c>
      <c r="BI1791" t="str">
        <f>""</f>
        <v/>
      </c>
      <c r="BJ1791" t="str">
        <f>""</f>
        <v/>
      </c>
      <c r="BK1791">
        <v>1</v>
      </c>
      <c r="BL1791" t="s">
        <v>102</v>
      </c>
      <c r="BM1791" t="str">
        <f>""</f>
        <v/>
      </c>
      <c r="BN1791" t="s">
        <v>962</v>
      </c>
      <c r="BP1791" t="s">
        <v>175</v>
      </c>
      <c r="BQ1791" t="s">
        <v>183</v>
      </c>
      <c r="BR1791" t="s">
        <v>176</v>
      </c>
      <c r="BS1791" s="5">
        <v>98052</v>
      </c>
      <c r="BT1791" s="2">
        <v>174788</v>
      </c>
      <c r="BV1791" t="s">
        <v>105</v>
      </c>
      <c r="BW1791" s="2">
        <v>134098</v>
      </c>
      <c r="BX1791" t="s">
        <v>105</v>
      </c>
      <c r="BZ1791" t="s">
        <v>123</v>
      </c>
      <c r="CA1791" t="str">
        <f t="shared" si="143"/>
        <v>7/1/2020 - 6/30/2021</v>
      </c>
      <c r="CF1791">
        <v>1</v>
      </c>
      <c r="CG1791" t="s">
        <v>98</v>
      </c>
      <c r="CH1791" t="s">
        <v>206</v>
      </c>
      <c r="CI1791" t="s">
        <v>206</v>
      </c>
      <c r="CL1791" t="s">
        <v>108</v>
      </c>
      <c r="CM1791" t="s">
        <v>109</v>
      </c>
      <c r="CN1791" t="str">
        <f>"Kodishala"</f>
        <v>Kodishala</v>
      </c>
      <c r="CO1791" t="str">
        <f>"Suresh"</f>
        <v>Suresh</v>
      </c>
      <c r="CP1791" t="str">
        <f>"N/A"</f>
        <v>N/A</v>
      </c>
      <c r="CQ1791" t="str">
        <f>"INTEGREON MANAGED SOLUTIONS (INDIA) PVT LTD"</f>
        <v>INTEGREON MANAGED SOLUTIONS (INDIA) PVT LTD</v>
      </c>
      <c r="CR1791" t="s">
        <v>231</v>
      </c>
    </row>
    <row r="1792" spans="1:96" x14ac:dyDescent="0.2">
      <c r="A1792" t="s">
        <v>8066</v>
      </c>
      <c r="B1792" t="s">
        <v>96</v>
      </c>
      <c r="C1792" s="1">
        <v>44099</v>
      </c>
      <c r="D1792" s="1">
        <v>44106</v>
      </c>
      <c r="F1792" t="s">
        <v>97</v>
      </c>
      <c r="G1792" t="str">
        <f>"Assistant Professor"</f>
        <v>Assistant Professor</v>
      </c>
      <c r="H1792" t="s">
        <v>12249</v>
      </c>
      <c r="I1792" t="s">
        <v>3515</v>
      </c>
      <c r="J1792" t="s">
        <v>98</v>
      </c>
      <c r="K1792" s="1">
        <v>44197</v>
      </c>
      <c r="L1792" s="1">
        <v>45291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4888</v>
      </c>
      <c r="U1792" t="str">
        <f>""</f>
        <v/>
      </c>
      <c r="V1792" t="s">
        <v>4889</v>
      </c>
      <c r="W1792" t="str">
        <f>""</f>
        <v/>
      </c>
      <c r="X1792" t="s">
        <v>4890</v>
      </c>
      <c r="Y1792" t="s">
        <v>114</v>
      </c>
      <c r="Z1792" s="3">
        <v>79409</v>
      </c>
      <c r="AA1792" t="s">
        <v>101</v>
      </c>
      <c r="AC1792" s="4" t="str">
        <f>"+18067423667"</f>
        <v>+18067423667</v>
      </c>
      <c r="AE1792" t="str">
        <f>"611310"</f>
        <v>611310</v>
      </c>
      <c r="AF1792" t="s">
        <v>4891</v>
      </c>
      <c r="AG1792" t="s">
        <v>3095</v>
      </c>
      <c r="AH1792" t="s">
        <v>592</v>
      </c>
      <c r="AI1792" t="s">
        <v>4892</v>
      </c>
      <c r="AJ1792" t="s">
        <v>4893</v>
      </c>
      <c r="AK1792" t="str">
        <f>"PO Box 45004"</f>
        <v>PO Box 45004</v>
      </c>
      <c r="AL1792" t="s">
        <v>4890</v>
      </c>
      <c r="AM1792" t="s">
        <v>114</v>
      </c>
      <c r="AN1792" s="3">
        <v>79409</v>
      </c>
      <c r="AO1792" t="s">
        <v>101</v>
      </c>
      <c r="AQ1792" t="str">
        <f>"+18067423667"</f>
        <v>+18067423667</v>
      </c>
      <c r="AS1792" t="s">
        <v>4894</v>
      </c>
      <c r="AT1792" t="s">
        <v>102</v>
      </c>
      <c r="AU1792" t="str">
        <f>""</f>
        <v/>
      </c>
      <c r="AV1792" t="str">
        <f>""</f>
        <v/>
      </c>
      <c r="AW1792" t="str">
        <f>""</f>
        <v/>
      </c>
      <c r="AX1792" t="str">
        <f>""</f>
        <v/>
      </c>
      <c r="AY1792" t="str">
        <f>""</f>
        <v/>
      </c>
      <c r="AZ1792" t="str">
        <f>""</f>
        <v/>
      </c>
      <c r="BA1792" t="str">
        <f>""</f>
        <v/>
      </c>
      <c r="BC1792" t="str">
        <f>""</f>
        <v/>
      </c>
      <c r="BD1792" t="str">
        <f>""</f>
        <v/>
      </c>
      <c r="BE1792" t="str">
        <f>""</f>
        <v/>
      </c>
      <c r="BF1792" t="str">
        <f>""</f>
        <v/>
      </c>
      <c r="BG1792" t="str">
        <f>""</f>
        <v/>
      </c>
      <c r="BH1792" t="str">
        <f>""</f>
        <v/>
      </c>
      <c r="BI1792" t="str">
        <f>""</f>
        <v/>
      </c>
      <c r="BJ1792" t="str">
        <f>""</f>
        <v/>
      </c>
      <c r="BK1792">
        <v>1</v>
      </c>
      <c r="BL1792" t="s">
        <v>102</v>
      </c>
      <c r="BM1792" t="str">
        <f>""</f>
        <v/>
      </c>
      <c r="BN1792" t="s">
        <v>8067</v>
      </c>
      <c r="BO1792" t="s">
        <v>8068</v>
      </c>
      <c r="BP1792" t="s">
        <v>4890</v>
      </c>
      <c r="BQ1792" t="s">
        <v>4895</v>
      </c>
      <c r="BR1792" t="s">
        <v>114</v>
      </c>
      <c r="BS1792" s="5">
        <v>79409</v>
      </c>
      <c r="BT1792" s="2">
        <v>78000</v>
      </c>
      <c r="BV1792" t="s">
        <v>105</v>
      </c>
      <c r="BW1792" s="2">
        <v>55040</v>
      </c>
      <c r="BX1792" t="s">
        <v>105</v>
      </c>
      <c r="BZ1792" t="s">
        <v>191</v>
      </c>
      <c r="CA1792" t="str">
        <f t="shared" si="143"/>
        <v>7/1/2020 - 6/30/2021</v>
      </c>
      <c r="CF1792">
        <v>1</v>
      </c>
      <c r="CG1792" t="s">
        <v>98</v>
      </c>
      <c r="CH1792" t="s">
        <v>206</v>
      </c>
      <c r="CI1792" t="s">
        <v>206</v>
      </c>
      <c r="CL1792" t="s">
        <v>108</v>
      </c>
      <c r="CM1792" t="s">
        <v>109</v>
      </c>
      <c r="CN1792" t="str">
        <f>""</f>
        <v/>
      </c>
      <c r="CO1792" t="str">
        <f>""</f>
        <v/>
      </c>
      <c r="CP1792" t="str">
        <f>""</f>
        <v/>
      </c>
      <c r="CQ1792" t="str">
        <f>""</f>
        <v/>
      </c>
    </row>
    <row r="1793" spans="1:96" x14ac:dyDescent="0.2">
      <c r="A1793" t="s">
        <v>8069</v>
      </c>
      <c r="B1793" t="s">
        <v>96</v>
      </c>
      <c r="C1793" s="1">
        <v>44099</v>
      </c>
      <c r="D1793" s="1">
        <v>44106</v>
      </c>
      <c r="F1793" t="s">
        <v>97</v>
      </c>
      <c r="G1793" t="str">
        <f>"RESEARCH SCIENTIST II"</f>
        <v>RESEARCH SCIENTIST II</v>
      </c>
      <c r="H1793" t="s">
        <v>12191</v>
      </c>
      <c r="I1793" t="s">
        <v>649</v>
      </c>
      <c r="J1793" t="s">
        <v>98</v>
      </c>
      <c r="K1793" s="1">
        <v>44102</v>
      </c>
      <c r="L1793" s="1">
        <v>45196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 t="s">
        <v>440</v>
      </c>
      <c r="U1793" t="str">
        <f>""</f>
        <v/>
      </c>
      <c r="V1793" t="s">
        <v>809</v>
      </c>
      <c r="W1793" t="str">
        <f>"SUITE 500"</f>
        <v>SUITE 500</v>
      </c>
      <c r="X1793" t="s">
        <v>433</v>
      </c>
      <c r="Y1793" t="s">
        <v>176</v>
      </c>
      <c r="Z1793" s="3">
        <v>98121</v>
      </c>
      <c r="AA1793" t="s">
        <v>101</v>
      </c>
      <c r="AC1793" s="4" t="str">
        <f>"+12062661000"</f>
        <v>+12062661000</v>
      </c>
      <c r="AE1793" t="str">
        <f>"454110"</f>
        <v>454110</v>
      </c>
      <c r="AF1793" t="s">
        <v>442</v>
      </c>
      <c r="AG1793" t="s">
        <v>443</v>
      </c>
      <c r="AH1793" t="s">
        <v>108</v>
      </c>
      <c r="AI1793" t="s">
        <v>434</v>
      </c>
      <c r="AJ1793" t="s">
        <v>809</v>
      </c>
      <c r="AK1793" t="str">
        <f>"SUITE 500"</f>
        <v>SUITE 500</v>
      </c>
      <c r="AL1793" t="s">
        <v>433</v>
      </c>
      <c r="AM1793" t="s">
        <v>176</v>
      </c>
      <c r="AN1793" s="3">
        <v>98121</v>
      </c>
      <c r="AO1793" t="s">
        <v>101</v>
      </c>
      <c r="AQ1793" t="str">
        <f>"+12062661000"</f>
        <v>+12062661000</v>
      </c>
      <c r="AS1793" t="s">
        <v>263</v>
      </c>
      <c r="AT1793" t="s">
        <v>107</v>
      </c>
      <c r="AU1793" t="str">
        <f>"MARANCI"</f>
        <v>MARANCI</v>
      </c>
      <c r="AV1793" t="str">
        <f>"DANIEL"</f>
        <v>DANIEL</v>
      </c>
      <c r="AW1793" t="str">
        <f>"N/A"</f>
        <v>N/A</v>
      </c>
      <c r="AX1793" t="str">
        <f>"100 HIGH STREET"</f>
        <v>100 HIGH STREET</v>
      </c>
      <c r="AY1793" t="str">
        <f>"3RD FLOOR C#5312107"</f>
        <v>3RD FLOOR C#5312107</v>
      </c>
      <c r="AZ1793" t="str">
        <f>"BOSTON"</f>
        <v>BOSTON</v>
      </c>
      <c r="BA1793" t="str">
        <f>"MA"</f>
        <v>MA</v>
      </c>
      <c r="BB1793" s="3">
        <v>2110</v>
      </c>
      <c r="BC1793" t="str">
        <f>"UNITED STATES OF AMERICA"</f>
        <v>UNITED STATES OF AMERICA</v>
      </c>
      <c r="BD1793" t="str">
        <f>""</f>
        <v/>
      </c>
      <c r="BE1793" t="str">
        <f>"+16175740400"</f>
        <v>+16175740400</v>
      </c>
      <c r="BF1793" t="str">
        <f>""</f>
        <v/>
      </c>
      <c r="BG1793" t="str">
        <f>"AMAZONINDIA@FRAGOMEN.COM"</f>
        <v>AMAZONINDIA@FRAGOMEN.COM</v>
      </c>
      <c r="BH1793" t="str">
        <f>"FRAGOMEN, DEL REY, BERNSEN &amp; LOEWY, LLP"</f>
        <v>FRAGOMEN, DEL REY, BERNSEN &amp; LOEWY, LLP</v>
      </c>
      <c r="BI1793" t="str">
        <f>"MA"</f>
        <v>MA</v>
      </c>
      <c r="BJ1793" t="str">
        <f>"SUPREME JUDICIAL COURT"</f>
        <v>SUPREME JUDICIAL COURT</v>
      </c>
      <c r="BK1793">
        <v>1</v>
      </c>
      <c r="BL1793" t="s">
        <v>102</v>
      </c>
      <c r="BM1793" t="str">
        <f>""</f>
        <v/>
      </c>
      <c r="BN1793" t="s">
        <v>2323</v>
      </c>
      <c r="BP1793" t="s">
        <v>433</v>
      </c>
      <c r="BQ1793" t="s">
        <v>183</v>
      </c>
      <c r="BR1793" t="s">
        <v>176</v>
      </c>
      <c r="BS1793" s="5">
        <v>98101</v>
      </c>
      <c r="BT1793" s="2">
        <v>136200</v>
      </c>
      <c r="BV1793" t="s">
        <v>105</v>
      </c>
      <c r="BW1793" s="2">
        <v>124384</v>
      </c>
      <c r="BX1793" t="s">
        <v>105</v>
      </c>
      <c r="BZ1793" t="s">
        <v>167</v>
      </c>
      <c r="CA1793" t="str">
        <f t="shared" si="143"/>
        <v>7/1/2020 - 6/30/2021</v>
      </c>
      <c r="CF1793">
        <v>1</v>
      </c>
      <c r="CG1793" t="s">
        <v>98</v>
      </c>
      <c r="CH1793" t="s">
        <v>206</v>
      </c>
      <c r="CI1793" t="s">
        <v>206</v>
      </c>
      <c r="CL1793" t="s">
        <v>108</v>
      </c>
      <c r="CM1793" t="s">
        <v>109</v>
      </c>
      <c r="CN1793" t="str">
        <f>"SUNNY"</f>
        <v>SUNNY</v>
      </c>
      <c r="CO1793" t="str">
        <f>"JASMIN"</f>
        <v>JASMIN</v>
      </c>
      <c r="CP1793" t="str">
        <f>"N/A"</f>
        <v>N/A</v>
      </c>
      <c r="CQ1793" t="str">
        <f>"FRAGOMEN, DEL REY, BERNSEN &amp; LOEWY, LLP"</f>
        <v>FRAGOMEN, DEL REY, BERNSEN &amp; LOEWY, LLP</v>
      </c>
      <c r="CR1793" t="s">
        <v>650</v>
      </c>
    </row>
    <row r="1794" spans="1:96" x14ac:dyDescent="0.2">
      <c r="A1794" t="s">
        <v>8071</v>
      </c>
      <c r="B1794" t="s">
        <v>96</v>
      </c>
      <c r="C1794" s="1">
        <v>44099</v>
      </c>
      <c r="D1794" s="1">
        <v>44106</v>
      </c>
      <c r="F1794" t="s">
        <v>97</v>
      </c>
      <c r="G1794" t="str">
        <f>"Computer Specialist / Testing and Quality Analyst 2"</f>
        <v>Computer Specialist / Testing and Quality Analyst 2</v>
      </c>
      <c r="H1794" t="s">
        <v>12168</v>
      </c>
      <c r="I1794" t="s">
        <v>319</v>
      </c>
      <c r="J1794" t="s">
        <v>98</v>
      </c>
      <c r="K1794" s="1">
        <v>44105</v>
      </c>
      <c r="L1794" s="1">
        <v>45199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838</v>
      </c>
      <c r="U1794" t="str">
        <f>""</f>
        <v/>
      </c>
      <c r="V1794" t="s">
        <v>839</v>
      </c>
      <c r="W1794" t="str">
        <f>""</f>
        <v/>
      </c>
      <c r="X1794" t="s">
        <v>833</v>
      </c>
      <c r="Y1794" t="s">
        <v>345</v>
      </c>
      <c r="Z1794" s="3">
        <v>60601</v>
      </c>
      <c r="AA1794" t="s">
        <v>101</v>
      </c>
      <c r="AC1794" s="4" t="str">
        <f>"+13126930161"</f>
        <v>+13126930161</v>
      </c>
      <c r="AE1794" t="str">
        <f>"5416"</f>
        <v>5416</v>
      </c>
      <c r="AF1794" t="s">
        <v>840</v>
      </c>
      <c r="AG1794" t="s">
        <v>841</v>
      </c>
      <c r="AI1794" t="s">
        <v>417</v>
      </c>
      <c r="AJ1794" t="s">
        <v>842</v>
      </c>
      <c r="AK1794" t="str">
        <f>""</f>
        <v/>
      </c>
      <c r="AL1794" t="s">
        <v>843</v>
      </c>
      <c r="AM1794" t="s">
        <v>345</v>
      </c>
      <c r="AN1794" s="3">
        <v>60601</v>
      </c>
      <c r="AO1794" t="s">
        <v>101</v>
      </c>
      <c r="AQ1794" t="str">
        <f>"+13126932825"</f>
        <v>+13126932825</v>
      </c>
      <c r="AS1794" t="s">
        <v>844</v>
      </c>
      <c r="AT1794" t="s">
        <v>102</v>
      </c>
      <c r="AU1794" t="str">
        <f>""</f>
        <v/>
      </c>
      <c r="AV1794" t="str">
        <f>""</f>
        <v/>
      </c>
      <c r="AW1794" t="str">
        <f>""</f>
        <v/>
      </c>
      <c r="AX1794" t="str">
        <f>""</f>
        <v/>
      </c>
      <c r="AY1794" t="str">
        <f>""</f>
        <v/>
      </c>
      <c r="AZ1794" t="str">
        <f>""</f>
        <v/>
      </c>
      <c r="BA1794" t="str">
        <f>""</f>
        <v/>
      </c>
      <c r="BC1794" t="str">
        <f>""</f>
        <v/>
      </c>
      <c r="BD1794" t="str">
        <f>""</f>
        <v/>
      </c>
      <c r="BE1794" t="str">
        <f>""</f>
        <v/>
      </c>
      <c r="BF1794" t="str">
        <f>""</f>
        <v/>
      </c>
      <c r="BG1794" t="str">
        <f>""</f>
        <v/>
      </c>
      <c r="BH1794" t="str">
        <f>""</f>
        <v/>
      </c>
      <c r="BI1794" t="str">
        <f>""</f>
        <v/>
      </c>
      <c r="BJ1794" t="str">
        <f>""</f>
        <v/>
      </c>
      <c r="BK1794">
        <v>1</v>
      </c>
      <c r="BL1794" t="s">
        <v>107</v>
      </c>
      <c r="BM1794" t="str">
        <f>"Kaiser"</f>
        <v>Kaiser</v>
      </c>
      <c r="BN1794" t="s">
        <v>630</v>
      </c>
      <c r="BO1794" t="s">
        <v>1141</v>
      </c>
      <c r="BP1794" t="s">
        <v>631</v>
      </c>
      <c r="BQ1794" t="s">
        <v>419</v>
      </c>
      <c r="BR1794" t="s">
        <v>141</v>
      </c>
      <c r="BS1794" s="5">
        <v>94588</v>
      </c>
      <c r="BT1794" s="2">
        <v>95555</v>
      </c>
      <c r="BU1794" s="2">
        <v>120400</v>
      </c>
      <c r="BV1794" t="s">
        <v>105</v>
      </c>
      <c r="BW1794" s="2">
        <v>95555</v>
      </c>
      <c r="BX1794" t="s">
        <v>105</v>
      </c>
      <c r="BZ1794" t="s">
        <v>167</v>
      </c>
      <c r="CA1794" t="str">
        <f t="shared" si="143"/>
        <v>7/1/2020 - 6/30/2021</v>
      </c>
      <c r="CF1794">
        <v>1</v>
      </c>
      <c r="CG1794" t="s">
        <v>98</v>
      </c>
      <c r="CH1794" t="s">
        <v>206</v>
      </c>
      <c r="CI1794" t="s">
        <v>206</v>
      </c>
      <c r="CL1794" t="s">
        <v>108</v>
      </c>
      <c r="CM1794" t="s">
        <v>109</v>
      </c>
      <c r="CN1794" t="str">
        <f>""</f>
        <v/>
      </c>
      <c r="CO1794" t="str">
        <f>""</f>
        <v/>
      </c>
      <c r="CP1794" t="str">
        <f>""</f>
        <v/>
      </c>
      <c r="CQ1794" t="str">
        <f>""</f>
        <v/>
      </c>
    </row>
    <row r="1795" spans="1:96" x14ac:dyDescent="0.2">
      <c r="A1795" t="s">
        <v>8073</v>
      </c>
      <c r="B1795" t="s">
        <v>96</v>
      </c>
      <c r="C1795" s="1">
        <v>44099</v>
      </c>
      <c r="D1795" s="1">
        <v>44106</v>
      </c>
      <c r="F1795" t="s">
        <v>97</v>
      </c>
      <c r="G1795" t="str">
        <f>"Senior Researcher"</f>
        <v>Senior Researcher</v>
      </c>
      <c r="H1795" t="s">
        <v>12191</v>
      </c>
      <c r="I1795" t="s">
        <v>649</v>
      </c>
      <c r="J1795" t="s">
        <v>98</v>
      </c>
      <c r="K1795" s="1">
        <v>44258</v>
      </c>
      <c r="L1795" s="1">
        <v>45353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 t="s">
        <v>5783</v>
      </c>
      <c r="U1795" t="str">
        <f>""</f>
        <v/>
      </c>
      <c r="V1795" t="s">
        <v>5784</v>
      </c>
      <c r="W1795" t="str">
        <f>""</f>
        <v/>
      </c>
      <c r="X1795" t="s">
        <v>568</v>
      </c>
      <c r="Y1795" t="s">
        <v>141</v>
      </c>
      <c r="Z1795" s="3">
        <v>94306</v>
      </c>
      <c r="AA1795" t="s">
        <v>101</v>
      </c>
      <c r="AC1795" s="4" t="str">
        <f>"+16507983300"</f>
        <v>+16507983300</v>
      </c>
      <c r="AE1795" t="str">
        <f>"541519"</f>
        <v>541519</v>
      </c>
      <c r="AF1795" t="s">
        <v>5785</v>
      </c>
      <c r="AG1795" t="s">
        <v>5786</v>
      </c>
      <c r="AI1795" t="s">
        <v>2499</v>
      </c>
      <c r="AJ1795" t="s">
        <v>5784</v>
      </c>
      <c r="AK1795" t="str">
        <f>""</f>
        <v/>
      </c>
      <c r="AL1795" t="s">
        <v>568</v>
      </c>
      <c r="AM1795" t="s">
        <v>141</v>
      </c>
      <c r="AN1795" s="3">
        <v>94306</v>
      </c>
      <c r="AO1795" t="s">
        <v>101</v>
      </c>
      <c r="AQ1795" t="str">
        <f>"+16507983313"</f>
        <v>+16507983313</v>
      </c>
      <c r="AS1795" t="s">
        <v>5787</v>
      </c>
      <c r="AT1795" t="s">
        <v>107</v>
      </c>
      <c r="AU1795" t="str">
        <f>"Goeschl"</f>
        <v>Goeschl</v>
      </c>
      <c r="AV1795" t="str">
        <f>"Malcolm"</f>
        <v>Malcolm</v>
      </c>
      <c r="AW1795" t="str">
        <f>"Knowles"</f>
        <v>Knowles</v>
      </c>
      <c r="AX1795" t="str">
        <f>"235 MONTGOMERY STREET"</f>
        <v>235 MONTGOMERY STREET</v>
      </c>
      <c r="AY1795" t="str">
        <f>"SUITE 629"</f>
        <v>SUITE 629</v>
      </c>
      <c r="AZ1795" t="str">
        <f>"SAN FRANCISCO"</f>
        <v>SAN FRANCISCO</v>
      </c>
      <c r="BA1795" t="str">
        <f>"CA"</f>
        <v>CA</v>
      </c>
      <c r="BB1795" s="3">
        <v>94104</v>
      </c>
      <c r="BC1795" t="str">
        <f>"UNITED STATES OF AMERICA"</f>
        <v>UNITED STATES OF AMERICA</v>
      </c>
      <c r="BD1795" t="str">
        <f>""</f>
        <v/>
      </c>
      <c r="BE1795" t="str">
        <f>"+14158053900"</f>
        <v>+14158053900</v>
      </c>
      <c r="BF1795" t="str">
        <f>""</f>
        <v/>
      </c>
      <c r="BG1795" t="str">
        <f>"LCA@GOLAWCORP.COM"</f>
        <v>LCA@GOLAWCORP.COM</v>
      </c>
      <c r="BH1795" t="str">
        <f>"GOESCHL LAW CORPORATION"</f>
        <v>GOESCHL LAW CORPORATION</v>
      </c>
      <c r="BI1795" t="str">
        <f>"CA"</f>
        <v>CA</v>
      </c>
      <c r="BJ1795" t="str">
        <f>"SUPREME COURT"</f>
        <v>SUPREME COURT</v>
      </c>
      <c r="BK1795">
        <v>1</v>
      </c>
      <c r="BL1795" t="s">
        <v>102</v>
      </c>
      <c r="BM1795" t="str">
        <f>""</f>
        <v/>
      </c>
      <c r="BN1795" t="s">
        <v>793</v>
      </c>
      <c r="BO1795" t="s">
        <v>5057</v>
      </c>
      <c r="BP1795" t="s">
        <v>182</v>
      </c>
      <c r="BQ1795" t="s">
        <v>183</v>
      </c>
      <c r="BR1795" t="s">
        <v>176</v>
      </c>
      <c r="BS1795" s="5">
        <v>98004</v>
      </c>
      <c r="BT1795" s="2">
        <v>180000</v>
      </c>
      <c r="BV1795" t="s">
        <v>105</v>
      </c>
      <c r="BW1795" s="2">
        <v>155376</v>
      </c>
      <c r="BX1795" t="s">
        <v>105</v>
      </c>
      <c r="BZ1795" t="s">
        <v>159</v>
      </c>
      <c r="CA1795" t="str">
        <f t="shared" si="143"/>
        <v>7/1/2020 - 6/30/2021</v>
      </c>
      <c r="CF1795">
        <v>2</v>
      </c>
      <c r="CG1795" t="s">
        <v>98</v>
      </c>
      <c r="CH1795" t="s">
        <v>206</v>
      </c>
      <c r="CI1795" t="s">
        <v>206</v>
      </c>
      <c r="CL1795" t="s">
        <v>108</v>
      </c>
      <c r="CM1795" t="s">
        <v>109</v>
      </c>
      <c r="CN1795" t="str">
        <f>""</f>
        <v/>
      </c>
      <c r="CO1795" t="str">
        <f>""</f>
        <v/>
      </c>
      <c r="CP1795" t="str">
        <f>""</f>
        <v/>
      </c>
      <c r="CQ1795" t="str">
        <f>""</f>
        <v/>
      </c>
    </row>
    <row r="1796" spans="1:96" x14ac:dyDescent="0.2">
      <c r="A1796" t="s">
        <v>8074</v>
      </c>
      <c r="B1796" t="s">
        <v>96</v>
      </c>
      <c r="C1796" s="1">
        <v>44099</v>
      </c>
      <c r="D1796" s="1">
        <v>44106</v>
      </c>
      <c r="F1796" t="s">
        <v>97</v>
      </c>
      <c r="G1796" t="str">
        <f>"Associate, Machine Learning Engineer"</f>
        <v>Associate, Machine Learning Engineer</v>
      </c>
      <c r="H1796" t="s">
        <v>12168</v>
      </c>
      <c r="I1796" t="s">
        <v>249</v>
      </c>
      <c r="J1796" t="s">
        <v>98</v>
      </c>
      <c r="K1796" s="1">
        <v>44105</v>
      </c>
      <c r="L1796" s="1">
        <v>45200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2242</v>
      </c>
      <c r="U1796" t="str">
        <f>""</f>
        <v/>
      </c>
      <c r="V1796" t="s">
        <v>2243</v>
      </c>
      <c r="W1796" t="str">
        <f>""</f>
        <v/>
      </c>
      <c r="X1796" t="s">
        <v>833</v>
      </c>
      <c r="Y1796" t="s">
        <v>345</v>
      </c>
      <c r="Z1796" s="3">
        <v>60603</v>
      </c>
      <c r="AA1796" t="s">
        <v>101</v>
      </c>
      <c r="AC1796" s="4" t="str">
        <f>"+13127322655"</f>
        <v>+13127322655</v>
      </c>
      <c r="AE1796" t="str">
        <f>"551112"</f>
        <v>551112</v>
      </c>
      <c r="AF1796" t="s">
        <v>2244</v>
      </c>
      <c r="AG1796" t="s">
        <v>2245</v>
      </c>
      <c r="AI1796" t="s">
        <v>2246</v>
      </c>
      <c r="AJ1796" t="s">
        <v>2247</v>
      </c>
      <c r="AK1796" t="str">
        <f>""</f>
        <v/>
      </c>
      <c r="AL1796" t="s">
        <v>843</v>
      </c>
      <c r="AM1796" t="s">
        <v>345</v>
      </c>
      <c r="AN1796" s="3">
        <v>60603</v>
      </c>
      <c r="AO1796" t="s">
        <v>101</v>
      </c>
      <c r="AQ1796" t="str">
        <f>"+14153158244"</f>
        <v>+14153158244</v>
      </c>
      <c r="AS1796" t="s">
        <v>2248</v>
      </c>
      <c r="AT1796" t="s">
        <v>107</v>
      </c>
      <c r="AU1796" t="str">
        <f>"NIEVES"</f>
        <v>NIEVES</v>
      </c>
      <c r="AV1796" t="str">
        <f>"JENNY "</f>
        <v xml:space="preserve">JENNY </v>
      </c>
      <c r="AW1796" t="str">
        <f>""</f>
        <v/>
      </c>
      <c r="AX1796" t="str">
        <f>"1400 BROADWAY	"</f>
        <v xml:space="preserve">1400 BROADWAY	</v>
      </c>
      <c r="AY1796" t="str">
        <f>"FRAGOMEN, DEL REY, BERNSEN &amp; LOEWY LLP"</f>
        <v>FRAGOMEN, DEL REY, BERNSEN &amp; LOEWY LLP</v>
      </c>
      <c r="AZ1796" t="str">
        <f>"NEW YORK"</f>
        <v>NEW YORK</v>
      </c>
      <c r="BA1796" t="str">
        <f>"NY"</f>
        <v>NY</v>
      </c>
      <c r="BB1796" s="3">
        <v>10018</v>
      </c>
      <c r="BC1796" t="str">
        <f>"UNITED STATES OF AMERICA"</f>
        <v>UNITED STATES OF AMERICA</v>
      </c>
      <c r="BD1796" t="str">
        <f>""</f>
        <v/>
      </c>
      <c r="BE1796" t="str">
        <f>"+12126888555"</f>
        <v>+12126888555</v>
      </c>
      <c r="BF1796" t="str">
        <f>""</f>
        <v/>
      </c>
      <c r="BG1796" t="str">
        <f>"JNIEVES@FRAGOMEN.COM"</f>
        <v>JNIEVES@FRAGOMEN.COM</v>
      </c>
      <c r="BH1796" t="str">
        <f>"FRAGOMEN, DEL REY, BERNSEN &amp; LOEWY LLP"</f>
        <v>FRAGOMEN, DEL REY, BERNSEN &amp; LOEWY LLP</v>
      </c>
      <c r="BI1796" t="str">
        <f>"NY"</f>
        <v>NY</v>
      </c>
      <c r="BJ1796" t="str">
        <f>"NYS APPELLATE DIVISION, SECOND DEPARTMENT"</f>
        <v>NYS APPELLATE DIVISION, SECOND DEPARTMENT</v>
      </c>
      <c r="BK1796">
        <v>1</v>
      </c>
      <c r="BL1796" t="s">
        <v>102</v>
      </c>
      <c r="BM1796" t="str">
        <f>""</f>
        <v/>
      </c>
      <c r="BN1796" t="s">
        <v>8075</v>
      </c>
      <c r="BO1796" t="s">
        <v>8076</v>
      </c>
      <c r="BP1796" t="s">
        <v>1151</v>
      </c>
      <c r="BQ1796" t="s">
        <v>994</v>
      </c>
      <c r="BR1796" t="s">
        <v>141</v>
      </c>
      <c r="BS1796" s="5">
        <v>94402</v>
      </c>
      <c r="BT1796" s="2">
        <v>125000</v>
      </c>
      <c r="BV1796" t="s">
        <v>105</v>
      </c>
      <c r="BW1796" s="2">
        <v>95555</v>
      </c>
      <c r="BX1796" t="s">
        <v>105</v>
      </c>
      <c r="BZ1796" t="s">
        <v>167</v>
      </c>
      <c r="CA1796" t="str">
        <f t="shared" si="143"/>
        <v>7/1/2020 - 6/30/2021</v>
      </c>
      <c r="CF1796">
        <v>1</v>
      </c>
      <c r="CG1796" t="s">
        <v>98</v>
      </c>
      <c r="CH1796" t="s">
        <v>206</v>
      </c>
      <c r="CI1796" t="s">
        <v>206</v>
      </c>
      <c r="CL1796" t="s">
        <v>108</v>
      </c>
      <c r="CM1796" t="s">
        <v>109</v>
      </c>
      <c r="CN1796" t="str">
        <f>"YOON"</f>
        <v>YOON</v>
      </c>
      <c r="CO1796" t="str">
        <f>"ELLIE"</f>
        <v>ELLIE</v>
      </c>
      <c r="CP1796" t="str">
        <f>""</f>
        <v/>
      </c>
      <c r="CQ1796" t="str">
        <f>"FRAGOMEN, DEL REY, BERNSEN &amp; LOEWY, LLP"</f>
        <v>FRAGOMEN, DEL REY, BERNSEN &amp; LOEWY, LLP</v>
      </c>
      <c r="CR1796" t="s">
        <v>2250</v>
      </c>
    </row>
    <row r="1797" spans="1:96" x14ac:dyDescent="0.2">
      <c r="A1797" t="s">
        <v>8077</v>
      </c>
      <c r="B1797" t="s">
        <v>96</v>
      </c>
      <c r="C1797" s="1">
        <v>44099</v>
      </c>
      <c r="D1797" s="1">
        <v>44106</v>
      </c>
      <c r="F1797" t="s">
        <v>97</v>
      </c>
      <c r="G1797" t="str">
        <f>"Market Research Analyst"</f>
        <v>Market Research Analyst</v>
      </c>
      <c r="H1797" t="s">
        <v>12174</v>
      </c>
      <c r="I1797" t="s">
        <v>1795</v>
      </c>
      <c r="J1797" t="s">
        <v>98</v>
      </c>
      <c r="K1797" s="1">
        <v>44105</v>
      </c>
      <c r="L1797" s="1">
        <v>45199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3120</v>
      </c>
      <c r="U1797" t="str">
        <f>"Genentech USA, Inc."</f>
        <v>Genentech USA, Inc.</v>
      </c>
      <c r="V1797" t="s">
        <v>3121</v>
      </c>
      <c r="W1797" t="str">
        <f>"310 DNA Way, Bldg 31"</f>
        <v>310 DNA Way, Bldg 31</v>
      </c>
      <c r="X1797" t="s">
        <v>888</v>
      </c>
      <c r="Y1797" t="s">
        <v>141</v>
      </c>
      <c r="Z1797" s="3">
        <v>94080</v>
      </c>
      <c r="AA1797" t="s">
        <v>101</v>
      </c>
      <c r="AC1797" s="4" t="str">
        <f>"+16502251000"</f>
        <v>+16502251000</v>
      </c>
      <c r="AE1797" t="str">
        <f>"54171"</f>
        <v>54171</v>
      </c>
      <c r="AF1797" t="s">
        <v>3122</v>
      </c>
      <c r="AG1797" t="s">
        <v>3123</v>
      </c>
      <c r="AI1797" t="s">
        <v>3124</v>
      </c>
      <c r="AJ1797" t="s">
        <v>3125</v>
      </c>
      <c r="AK1797" t="str">
        <f>"310 DNA WAY, BLDG. 31"</f>
        <v>310 DNA WAY, BLDG. 31</v>
      </c>
      <c r="AL1797" t="s">
        <v>3126</v>
      </c>
      <c r="AM1797" t="s">
        <v>141</v>
      </c>
      <c r="AN1797" s="3">
        <v>94080</v>
      </c>
      <c r="AO1797" t="s">
        <v>101</v>
      </c>
      <c r="AQ1797" t="str">
        <f>"+16504674302"</f>
        <v>+16504674302</v>
      </c>
      <c r="AR1797">
        <v>0</v>
      </c>
      <c r="AS1797" t="s">
        <v>3127</v>
      </c>
      <c r="AT1797" t="s">
        <v>107</v>
      </c>
      <c r="AU1797" t="str">
        <f>"Rivolta"</f>
        <v>Rivolta</v>
      </c>
      <c r="AV1797" t="str">
        <f>"Nicolo"</f>
        <v>Nicolo</v>
      </c>
      <c r="AW1797" t="str">
        <f>""</f>
        <v/>
      </c>
      <c r="AX1797" t="str">
        <f>"220 Montgomery Street"</f>
        <v>220 Montgomery Street</v>
      </c>
      <c r="AY1797" t="str">
        <f>"Suite 810"</f>
        <v>Suite 810</v>
      </c>
      <c r="AZ1797" t="str">
        <f>"San Francisco"</f>
        <v>San Francisco</v>
      </c>
      <c r="BA1797" t="str">
        <f>"CA"</f>
        <v>CA</v>
      </c>
      <c r="BB1797" s="3">
        <v>94104</v>
      </c>
      <c r="BC1797" t="str">
        <f>"UNITED STATES OF AMERICA"</f>
        <v>UNITED STATES OF AMERICA</v>
      </c>
      <c r="BD1797" t="str">
        <f>""</f>
        <v/>
      </c>
      <c r="BE1797" t="str">
        <f>"+14159012270"</f>
        <v>+14159012270</v>
      </c>
      <c r="BF1797" t="str">
        <f>"000"</f>
        <v>000</v>
      </c>
      <c r="BG1797" t="str">
        <f>"nrivolta@gibney.com"</f>
        <v>nrivolta@gibney.com</v>
      </c>
      <c r="BH1797" t="str">
        <f>"Gibney, Anthony &amp; Flaherty LLP"</f>
        <v>Gibney, Anthony &amp; Flaherty LLP</v>
      </c>
      <c r="BI1797" t="str">
        <f>"CA"</f>
        <v>CA</v>
      </c>
      <c r="BJ1797" t="str">
        <f>"Supreme Court"</f>
        <v>Supreme Court</v>
      </c>
      <c r="BK1797">
        <v>1</v>
      </c>
      <c r="BL1797" t="s">
        <v>102</v>
      </c>
      <c r="BM1797" t="str">
        <f>""</f>
        <v/>
      </c>
      <c r="BN1797" t="s">
        <v>8078</v>
      </c>
      <c r="BO1797" t="s">
        <v>8079</v>
      </c>
      <c r="BP1797" t="s">
        <v>888</v>
      </c>
      <c r="BQ1797" t="s">
        <v>994</v>
      </c>
      <c r="BR1797" t="s">
        <v>141</v>
      </c>
      <c r="BS1797" s="5">
        <v>94080</v>
      </c>
      <c r="BT1797" s="2">
        <v>111446</v>
      </c>
      <c r="BU1797" s="2">
        <v>211000</v>
      </c>
      <c r="BV1797" t="s">
        <v>105</v>
      </c>
      <c r="BW1797" s="2">
        <v>111446</v>
      </c>
      <c r="BX1797" t="s">
        <v>105</v>
      </c>
      <c r="BZ1797" t="s">
        <v>159</v>
      </c>
      <c r="CA1797" t="str">
        <f t="shared" si="143"/>
        <v>7/1/2020 - 6/30/2021</v>
      </c>
      <c r="CF1797">
        <v>2</v>
      </c>
      <c r="CG1797" t="s">
        <v>98</v>
      </c>
      <c r="CH1797" t="s">
        <v>206</v>
      </c>
      <c r="CI1797" t="s">
        <v>206</v>
      </c>
      <c r="CL1797" t="s">
        <v>108</v>
      </c>
      <c r="CM1797" t="s">
        <v>109</v>
      </c>
      <c r="CN1797" t="str">
        <f>"Hayes (13052-00283-006/213A)"</f>
        <v>Hayes (13052-00283-006/213A)</v>
      </c>
      <c r="CO1797" t="str">
        <f>"Gabrielle"</f>
        <v>Gabrielle</v>
      </c>
      <c r="CP1797" t="str">
        <f>""</f>
        <v/>
      </c>
      <c r="CQ1797" t="str">
        <f>"Gibney, Anthony &amp; Flaherty, LLP"</f>
        <v>Gibney, Anthony &amp; Flaherty, LLP</v>
      </c>
      <c r="CR1797" t="s">
        <v>4279</v>
      </c>
    </row>
    <row r="1798" spans="1:96" x14ac:dyDescent="0.2">
      <c r="A1798" t="s">
        <v>8097</v>
      </c>
      <c r="B1798" t="s">
        <v>96</v>
      </c>
      <c r="C1798" s="1">
        <v>44099</v>
      </c>
      <c r="D1798" s="1">
        <v>44106</v>
      </c>
      <c r="F1798" t="s">
        <v>97</v>
      </c>
      <c r="G1798" t="str">
        <f>"Senior Research Associate"</f>
        <v>Senior Research Associate</v>
      </c>
      <c r="H1798" t="s">
        <v>12200</v>
      </c>
      <c r="I1798" t="s">
        <v>1587</v>
      </c>
      <c r="J1798" t="s">
        <v>98</v>
      </c>
      <c r="K1798" s="1">
        <v>44210</v>
      </c>
      <c r="L1798" s="1">
        <v>45304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 t="s">
        <v>5247</v>
      </c>
      <c r="U1798" t="str">
        <f>""</f>
        <v/>
      </c>
      <c r="V1798" t="s">
        <v>5248</v>
      </c>
      <c r="W1798" t="str">
        <f>"INTERNATIONAL CTR., OISS"</f>
        <v>INTERNATIONAL CTR., OISS</v>
      </c>
      <c r="X1798" t="s">
        <v>5249</v>
      </c>
      <c r="Y1798" t="s">
        <v>265</v>
      </c>
      <c r="Z1798" s="3">
        <v>48824</v>
      </c>
      <c r="AA1798" t="s">
        <v>101</v>
      </c>
      <c r="AC1798" s="4" t="str">
        <f>"+15173531720"</f>
        <v>+15173531720</v>
      </c>
      <c r="AE1798" t="str">
        <f>"611310"</f>
        <v>611310</v>
      </c>
      <c r="AF1798" t="s">
        <v>5250</v>
      </c>
      <c r="AG1798" t="s">
        <v>5251</v>
      </c>
      <c r="AI1798" t="s">
        <v>5252</v>
      </c>
      <c r="AJ1798" t="s">
        <v>5248</v>
      </c>
      <c r="AK1798" t="str">
        <f>"INTERNATIONAL CTR., OISS"</f>
        <v>INTERNATIONAL CTR., OISS</v>
      </c>
      <c r="AL1798" t="s">
        <v>5249</v>
      </c>
      <c r="AM1798" t="s">
        <v>265</v>
      </c>
      <c r="AN1798" s="3">
        <v>48824</v>
      </c>
      <c r="AO1798" t="s">
        <v>101</v>
      </c>
      <c r="AQ1798" t="str">
        <f>"+15173531720"</f>
        <v>+15173531720</v>
      </c>
      <c r="AS1798" t="s">
        <v>5253</v>
      </c>
      <c r="AT1798" t="s">
        <v>102</v>
      </c>
      <c r="AU1798" t="str">
        <f>""</f>
        <v/>
      </c>
      <c r="AV1798" t="str">
        <f>""</f>
        <v/>
      </c>
      <c r="AW1798" t="str">
        <f>""</f>
        <v/>
      </c>
      <c r="AX1798" t="str">
        <f>""</f>
        <v/>
      </c>
      <c r="AY1798" t="str">
        <f>""</f>
        <v/>
      </c>
      <c r="AZ1798" t="str">
        <f>""</f>
        <v/>
      </c>
      <c r="BA1798" t="str">
        <f>""</f>
        <v/>
      </c>
      <c r="BC1798" t="str">
        <f>""</f>
        <v/>
      </c>
      <c r="BD1798" t="str">
        <f>""</f>
        <v/>
      </c>
      <c r="BE1798" t="str">
        <f>""</f>
        <v/>
      </c>
      <c r="BF1798" t="str">
        <f>""</f>
        <v/>
      </c>
      <c r="BG1798" t="str">
        <f>""</f>
        <v/>
      </c>
      <c r="BH1798" t="str">
        <f>""</f>
        <v/>
      </c>
      <c r="BI1798" t="str">
        <f>""</f>
        <v/>
      </c>
      <c r="BJ1798" t="str">
        <f>""</f>
        <v/>
      </c>
      <c r="BK1798">
        <v>1</v>
      </c>
      <c r="BL1798" t="s">
        <v>102</v>
      </c>
      <c r="BM1798" t="str">
        <f>""</f>
        <v/>
      </c>
      <c r="BN1798" t="s">
        <v>8098</v>
      </c>
      <c r="BO1798" t="s">
        <v>8099</v>
      </c>
      <c r="BP1798" t="s">
        <v>6313</v>
      </c>
      <c r="BQ1798" t="s">
        <v>4399</v>
      </c>
      <c r="BR1798" t="s">
        <v>265</v>
      </c>
      <c r="BS1798" s="5">
        <v>48910</v>
      </c>
      <c r="BT1798" s="2">
        <v>80000</v>
      </c>
      <c r="BV1798" t="s">
        <v>105</v>
      </c>
      <c r="BW1798" s="2">
        <v>63149</v>
      </c>
      <c r="BX1798" t="s">
        <v>105</v>
      </c>
      <c r="BZ1798" t="s">
        <v>123</v>
      </c>
      <c r="CA1798" t="str">
        <f t="shared" si="143"/>
        <v>7/1/2020 - 6/30/2021</v>
      </c>
      <c r="CF1798">
        <v>1</v>
      </c>
      <c r="CG1798" t="s">
        <v>98</v>
      </c>
      <c r="CH1798" t="s">
        <v>206</v>
      </c>
      <c r="CI1798" t="s">
        <v>206</v>
      </c>
      <c r="CL1798" t="s">
        <v>108</v>
      </c>
      <c r="CM1798" t="s">
        <v>109</v>
      </c>
      <c r="CN1798" t="str">
        <f>""</f>
        <v/>
      </c>
      <c r="CO1798" t="str">
        <f>""</f>
        <v/>
      </c>
      <c r="CP1798" t="str">
        <f>""</f>
        <v/>
      </c>
      <c r="CQ1798" t="str">
        <f>""</f>
        <v/>
      </c>
    </row>
    <row r="1799" spans="1:96" x14ac:dyDescent="0.2">
      <c r="A1799" t="s">
        <v>8107</v>
      </c>
      <c r="B1799" t="s">
        <v>96</v>
      </c>
      <c r="C1799" s="1">
        <v>44099</v>
      </c>
      <c r="D1799" s="1">
        <v>44106</v>
      </c>
      <c r="F1799" t="s">
        <v>97</v>
      </c>
      <c r="G1799" t="str">
        <f>"Engineer II- Manufacturing Process"</f>
        <v>Engineer II- Manufacturing Process</v>
      </c>
      <c r="H1799" t="s">
        <v>12224</v>
      </c>
      <c r="I1799" t="s">
        <v>198</v>
      </c>
      <c r="J1799" t="s">
        <v>98</v>
      </c>
      <c r="K1799" s="1">
        <v>44105</v>
      </c>
      <c r="L1799" s="1">
        <v>45199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 t="s">
        <v>8108</v>
      </c>
      <c r="U1799" t="str">
        <f>""</f>
        <v/>
      </c>
      <c r="V1799" t="s">
        <v>8109</v>
      </c>
      <c r="W1799" t="str">
        <f>""</f>
        <v/>
      </c>
      <c r="X1799" t="s">
        <v>4301</v>
      </c>
      <c r="Y1799" t="s">
        <v>265</v>
      </c>
      <c r="Z1799" s="3">
        <v>48040</v>
      </c>
      <c r="AA1799" t="s">
        <v>101</v>
      </c>
      <c r="AC1799" s="4" t="str">
        <f>"+18109898703"</f>
        <v>+18109898703</v>
      </c>
      <c r="AE1799" t="str">
        <f>"336111"</f>
        <v>336111</v>
      </c>
      <c r="AF1799" t="s">
        <v>8110</v>
      </c>
      <c r="AG1799" t="s">
        <v>7348</v>
      </c>
      <c r="AI1799" t="s">
        <v>2538</v>
      </c>
      <c r="AJ1799" t="s">
        <v>8109</v>
      </c>
      <c r="AK1799" t="str">
        <f>""</f>
        <v/>
      </c>
      <c r="AL1799" t="s">
        <v>4301</v>
      </c>
      <c r="AM1799" t="s">
        <v>265</v>
      </c>
      <c r="AN1799" s="3">
        <v>48040</v>
      </c>
      <c r="AO1799" t="s">
        <v>101</v>
      </c>
      <c r="AQ1799" t="str">
        <f>"+18109898703"</f>
        <v>+18109898703</v>
      </c>
      <c r="AS1799" t="s">
        <v>8111</v>
      </c>
      <c r="AT1799" t="s">
        <v>107</v>
      </c>
      <c r="AU1799" t="str">
        <f>"Terebelo"</f>
        <v>Terebelo</v>
      </c>
      <c r="AV1799" t="str">
        <f>"Michal"</f>
        <v>Michal</v>
      </c>
      <c r="AW1799" t="str">
        <f>"D."</f>
        <v>D.</v>
      </c>
      <c r="AX1799" t="str">
        <f>"5250 Corporate Drive"</f>
        <v>5250 Corporate Drive</v>
      </c>
      <c r="AY1799" t="str">
        <f>"Ste. 300"</f>
        <v>Ste. 300</v>
      </c>
      <c r="AZ1799" t="str">
        <f>"Troy"</f>
        <v>Troy</v>
      </c>
      <c r="BA1799" t="str">
        <f>"MI"</f>
        <v>MI</v>
      </c>
      <c r="BB1799" s="3">
        <v>48098</v>
      </c>
      <c r="BC1799" t="str">
        <f>"UNITED STATES OF AMERICA"</f>
        <v>UNITED STATES OF AMERICA</v>
      </c>
      <c r="BD1799" t="str">
        <f>""</f>
        <v/>
      </c>
      <c r="BE1799" t="str">
        <f>"+12486434900"</f>
        <v>+12486434900</v>
      </c>
      <c r="BF1799" t="str">
        <f>""</f>
        <v/>
      </c>
      <c r="BG1799" t="str">
        <f>"sumitc@employmentimmigration.com"</f>
        <v>sumitc@employmentimmigration.com</v>
      </c>
      <c r="BH1799" t="str">
        <f>"Fakhoury Global Immigration, USA PC"</f>
        <v>Fakhoury Global Immigration, USA PC</v>
      </c>
      <c r="BI1799" t="str">
        <f>"MI"</f>
        <v>MI</v>
      </c>
      <c r="BJ1799" t="str">
        <f>"Supreme Court"</f>
        <v>Supreme Court</v>
      </c>
      <c r="BK1799">
        <v>1</v>
      </c>
      <c r="BL1799" t="s">
        <v>102</v>
      </c>
      <c r="BM1799" t="str">
        <f>""</f>
        <v/>
      </c>
      <c r="BN1799" t="s">
        <v>8108</v>
      </c>
      <c r="BO1799" t="s">
        <v>8109</v>
      </c>
      <c r="BP1799" t="s">
        <v>4301</v>
      </c>
      <c r="BQ1799" t="s">
        <v>4972</v>
      </c>
      <c r="BR1799" t="s">
        <v>265</v>
      </c>
      <c r="BS1799" s="5">
        <v>48040</v>
      </c>
      <c r="BT1799" s="2">
        <v>75000</v>
      </c>
      <c r="BV1799" t="s">
        <v>105</v>
      </c>
      <c r="BW1799" s="2">
        <v>67870</v>
      </c>
      <c r="BX1799" t="s">
        <v>105</v>
      </c>
      <c r="BZ1799" t="s">
        <v>191</v>
      </c>
      <c r="CA1799" t="str">
        <f t="shared" si="143"/>
        <v>7/1/2020 - 6/30/2021</v>
      </c>
      <c r="CF1799">
        <v>1</v>
      </c>
      <c r="CG1799" t="s">
        <v>98</v>
      </c>
      <c r="CH1799" t="s">
        <v>206</v>
      </c>
      <c r="CI1799" t="s">
        <v>206</v>
      </c>
      <c r="CL1799" t="s">
        <v>108</v>
      </c>
      <c r="CM1799" t="s">
        <v>109</v>
      </c>
      <c r="CN1799" t="str">
        <f>"Terebelo"</f>
        <v>Terebelo</v>
      </c>
      <c r="CO1799" t="str">
        <f>"Michal"</f>
        <v>Michal</v>
      </c>
      <c r="CP1799" t="str">
        <f>"D."</f>
        <v>D.</v>
      </c>
      <c r="CQ1799" t="str">
        <f>"Fakhoury Global Immigration, USA PC"</f>
        <v>Fakhoury Global Immigration, USA PC</v>
      </c>
      <c r="CR1799" t="s">
        <v>4856</v>
      </c>
    </row>
    <row r="1800" spans="1:96" x14ac:dyDescent="0.2">
      <c r="A1800" t="s">
        <v>8117</v>
      </c>
      <c r="B1800" t="s">
        <v>96</v>
      </c>
      <c r="C1800" s="1">
        <v>44099</v>
      </c>
      <c r="D1800" s="1">
        <v>44106</v>
      </c>
      <c r="F1800" t="s">
        <v>97</v>
      </c>
      <c r="G1800" t="str">
        <f>"Sr. Engineer, Software"</f>
        <v>Sr. Engineer, Software</v>
      </c>
      <c r="H1800" t="s">
        <v>12169</v>
      </c>
      <c r="I1800" t="s">
        <v>124</v>
      </c>
      <c r="J1800" t="s">
        <v>98</v>
      </c>
      <c r="K1800" s="1">
        <v>44109</v>
      </c>
      <c r="L1800" s="1">
        <v>45203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 t="s">
        <v>4236</v>
      </c>
      <c r="U1800" t="str">
        <f>""</f>
        <v/>
      </c>
      <c r="V1800" t="s">
        <v>4237</v>
      </c>
      <c r="W1800" t="str">
        <f>"Suite 500"</f>
        <v>Suite 500</v>
      </c>
      <c r="X1800" t="s">
        <v>631</v>
      </c>
      <c r="Y1800" t="s">
        <v>141</v>
      </c>
      <c r="Z1800" s="3">
        <v>94588</v>
      </c>
      <c r="AA1800" t="s">
        <v>101</v>
      </c>
      <c r="AC1800" s="4" t="str">
        <f>"+19252273533"</f>
        <v>+19252273533</v>
      </c>
      <c r="AE1800" t="str">
        <f>"541511"</f>
        <v>541511</v>
      </c>
      <c r="AF1800" t="s">
        <v>3854</v>
      </c>
      <c r="AG1800" t="s">
        <v>1572</v>
      </c>
      <c r="AH1800" t="s">
        <v>2048</v>
      </c>
      <c r="AI1800" t="s">
        <v>8118</v>
      </c>
      <c r="AJ1800" t="s">
        <v>4238</v>
      </c>
      <c r="AK1800" t="str">
        <f>"Suite 500"</f>
        <v>Suite 500</v>
      </c>
      <c r="AL1800" t="s">
        <v>631</v>
      </c>
      <c r="AM1800" t="s">
        <v>141</v>
      </c>
      <c r="AN1800" s="3">
        <v>94588</v>
      </c>
      <c r="AO1800" t="s">
        <v>101</v>
      </c>
      <c r="AQ1800" t="str">
        <f>"+19252273533"</f>
        <v>+19252273533</v>
      </c>
      <c r="AS1800" t="s">
        <v>4819</v>
      </c>
      <c r="AT1800" t="s">
        <v>107</v>
      </c>
      <c r="AU1800" t="str">
        <f>"Nichols"</f>
        <v>Nichols</v>
      </c>
      <c r="AV1800" t="str">
        <f>"Susannah"</f>
        <v>Susannah</v>
      </c>
      <c r="AW1800" t="str">
        <f>"Ellyn"</f>
        <v>Ellyn</v>
      </c>
      <c r="AX1800" t="str">
        <f>"230 W Monroe Street"</f>
        <v>230 W Monroe Street</v>
      </c>
      <c r="AY1800" t="str">
        <f>"Suite 2800"</f>
        <v>Suite 2800</v>
      </c>
      <c r="AZ1800" t="str">
        <f>"Chicago"</f>
        <v>Chicago</v>
      </c>
      <c r="BA1800" t="str">
        <f>"IL"</f>
        <v>IL</v>
      </c>
      <c r="BB1800" s="3">
        <v>60606</v>
      </c>
      <c r="BC1800" t="str">
        <f>"UNITED STATES OF AMERICA"</f>
        <v>UNITED STATES OF AMERICA</v>
      </c>
      <c r="BD1800" t="str">
        <f>""</f>
        <v/>
      </c>
      <c r="BE1800" t="str">
        <f>"+13127226300"</f>
        <v>+13127226300</v>
      </c>
      <c r="BF1800" t="str">
        <f>""</f>
        <v/>
      </c>
      <c r="BG1800" t="str">
        <f>"gov@giafirm.com"</f>
        <v>gov@giafirm.com</v>
      </c>
      <c r="BH1800" t="str">
        <f>"Global Immigration Associates, P.C."</f>
        <v>Global Immigration Associates, P.C.</v>
      </c>
      <c r="BI1800" t="str">
        <f>"VA"</f>
        <v>VA</v>
      </c>
      <c r="BJ1800" t="str">
        <f>"Supreme Court of Virginia"</f>
        <v>Supreme Court of Virginia</v>
      </c>
      <c r="BK1800">
        <v>1</v>
      </c>
      <c r="BL1800" t="s">
        <v>102</v>
      </c>
      <c r="BM1800" t="str">
        <f>""</f>
        <v/>
      </c>
      <c r="BN1800" t="s">
        <v>4238</v>
      </c>
      <c r="BO1800" t="s">
        <v>1336</v>
      </c>
      <c r="BP1800" t="s">
        <v>631</v>
      </c>
      <c r="BQ1800" t="s">
        <v>419</v>
      </c>
      <c r="BR1800" t="s">
        <v>141</v>
      </c>
      <c r="BS1800" s="5">
        <v>94588</v>
      </c>
      <c r="BT1800" s="2">
        <v>160000</v>
      </c>
      <c r="BV1800" t="s">
        <v>105</v>
      </c>
      <c r="BW1800" s="2">
        <v>145246</v>
      </c>
      <c r="BX1800" t="s">
        <v>105</v>
      </c>
      <c r="BZ1800" t="s">
        <v>123</v>
      </c>
      <c r="CA1800" t="str">
        <f t="shared" si="143"/>
        <v>7/1/2020 - 6/30/2021</v>
      </c>
      <c r="CF1800">
        <v>2</v>
      </c>
      <c r="CG1800" t="s">
        <v>98</v>
      </c>
      <c r="CH1800" t="s">
        <v>206</v>
      </c>
      <c r="CI1800" t="s">
        <v>206</v>
      </c>
      <c r="CL1800" t="s">
        <v>108</v>
      </c>
      <c r="CM1800" t="s">
        <v>109</v>
      </c>
      <c r="CN1800" t="str">
        <f>""</f>
        <v/>
      </c>
      <c r="CO1800" t="str">
        <f>""</f>
        <v/>
      </c>
      <c r="CP1800" t="str">
        <f>""</f>
        <v/>
      </c>
      <c r="CQ1800" t="str">
        <f>""</f>
        <v/>
      </c>
    </row>
    <row r="1801" spans="1:96" x14ac:dyDescent="0.2">
      <c r="A1801" t="s">
        <v>8119</v>
      </c>
      <c r="B1801" t="s">
        <v>96</v>
      </c>
      <c r="C1801" s="1">
        <v>44099</v>
      </c>
      <c r="D1801" s="1">
        <v>44106</v>
      </c>
      <c r="F1801" t="s">
        <v>97</v>
      </c>
      <c r="G1801" t="str">
        <f>"Software Engineering Manager"</f>
        <v>Software Engineering Manager</v>
      </c>
      <c r="H1801" t="s">
        <v>12168</v>
      </c>
      <c r="I1801" t="s">
        <v>367</v>
      </c>
      <c r="J1801" t="s">
        <v>98</v>
      </c>
      <c r="K1801" s="1">
        <v>44105</v>
      </c>
      <c r="L1801" s="1">
        <v>45199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 t="s">
        <v>838</v>
      </c>
      <c r="U1801" t="str">
        <f>""</f>
        <v/>
      </c>
      <c r="V1801" t="s">
        <v>839</v>
      </c>
      <c r="W1801" t="str">
        <f>""</f>
        <v/>
      </c>
      <c r="X1801" t="s">
        <v>833</v>
      </c>
      <c r="Y1801" t="s">
        <v>345</v>
      </c>
      <c r="Z1801" s="3">
        <v>60601</v>
      </c>
      <c r="AA1801" t="s">
        <v>101</v>
      </c>
      <c r="AC1801" s="4" t="str">
        <f>"+13126930161"</f>
        <v>+13126930161</v>
      </c>
      <c r="AE1801" t="str">
        <f>"5416"</f>
        <v>5416</v>
      </c>
      <c r="AF1801" t="s">
        <v>840</v>
      </c>
      <c r="AG1801" t="s">
        <v>841</v>
      </c>
      <c r="AI1801" t="s">
        <v>417</v>
      </c>
      <c r="AJ1801" t="s">
        <v>842</v>
      </c>
      <c r="AK1801" t="str">
        <f>""</f>
        <v/>
      </c>
      <c r="AL1801" t="s">
        <v>843</v>
      </c>
      <c r="AM1801" t="s">
        <v>345</v>
      </c>
      <c r="AN1801" s="3">
        <v>60601</v>
      </c>
      <c r="AO1801" t="s">
        <v>101</v>
      </c>
      <c r="AQ1801" t="str">
        <f>"+13126932825"</f>
        <v>+13126932825</v>
      </c>
      <c r="AS1801" t="s">
        <v>844</v>
      </c>
      <c r="AT1801" t="s">
        <v>102</v>
      </c>
      <c r="AU1801" t="str">
        <f>""</f>
        <v/>
      </c>
      <c r="AV1801" t="str">
        <f>""</f>
        <v/>
      </c>
      <c r="AW1801" t="str">
        <f>""</f>
        <v/>
      </c>
      <c r="AX1801" t="str">
        <f>""</f>
        <v/>
      </c>
      <c r="AY1801" t="str">
        <f>""</f>
        <v/>
      </c>
      <c r="AZ1801" t="str">
        <f>""</f>
        <v/>
      </c>
      <c r="BA1801" t="str">
        <f>""</f>
        <v/>
      </c>
      <c r="BC1801" t="str">
        <f>""</f>
        <v/>
      </c>
      <c r="BD1801" t="str">
        <f>""</f>
        <v/>
      </c>
      <c r="BE1801" t="str">
        <f>""</f>
        <v/>
      </c>
      <c r="BF1801" t="str">
        <f>""</f>
        <v/>
      </c>
      <c r="BG1801" t="str">
        <f>""</f>
        <v/>
      </c>
      <c r="BH1801" t="str">
        <f>""</f>
        <v/>
      </c>
      <c r="BI1801" t="str">
        <f>""</f>
        <v/>
      </c>
      <c r="BJ1801" t="str">
        <f>""</f>
        <v/>
      </c>
      <c r="BK1801">
        <v>1</v>
      </c>
      <c r="BL1801" t="s">
        <v>102</v>
      </c>
      <c r="BM1801" t="str">
        <f>""</f>
        <v/>
      </c>
      <c r="BN1801" t="s">
        <v>8120</v>
      </c>
      <c r="BO1801" t="s">
        <v>1141</v>
      </c>
      <c r="BP1801" t="s">
        <v>398</v>
      </c>
      <c r="BQ1801" t="s">
        <v>419</v>
      </c>
      <c r="BR1801" t="s">
        <v>141</v>
      </c>
      <c r="BS1801" s="5">
        <v>94538</v>
      </c>
      <c r="BT1801" s="2">
        <v>145205</v>
      </c>
      <c r="BU1801" s="2">
        <v>257800</v>
      </c>
      <c r="BV1801" t="s">
        <v>105</v>
      </c>
      <c r="BW1801" s="2">
        <v>145205</v>
      </c>
      <c r="BX1801" t="s">
        <v>105</v>
      </c>
      <c r="BZ1801" t="s">
        <v>159</v>
      </c>
      <c r="CA1801" t="str">
        <f t="shared" si="143"/>
        <v>7/1/2020 - 6/30/2021</v>
      </c>
      <c r="CF1801">
        <v>1</v>
      </c>
      <c r="CG1801" t="s">
        <v>98</v>
      </c>
      <c r="CH1801" t="s">
        <v>206</v>
      </c>
      <c r="CI1801" t="s">
        <v>206</v>
      </c>
      <c r="CL1801" t="s">
        <v>108</v>
      </c>
      <c r="CM1801" t="s">
        <v>109</v>
      </c>
      <c r="CN1801" t="str">
        <f>""</f>
        <v/>
      </c>
      <c r="CO1801" t="str">
        <f>""</f>
        <v/>
      </c>
      <c r="CP1801" t="str">
        <f>""</f>
        <v/>
      </c>
      <c r="CQ1801" t="str">
        <f>""</f>
        <v/>
      </c>
    </row>
    <row r="1802" spans="1:96" x14ac:dyDescent="0.2">
      <c r="A1802" t="s">
        <v>8127</v>
      </c>
      <c r="B1802" t="s">
        <v>96</v>
      </c>
      <c r="C1802" s="1">
        <v>44099</v>
      </c>
      <c r="D1802" s="1">
        <v>44106</v>
      </c>
      <c r="F1802" t="s">
        <v>97</v>
      </c>
      <c r="G1802" t="str">
        <f>"Product Manager III"</f>
        <v>Product Manager III</v>
      </c>
      <c r="H1802" t="s">
        <v>12182</v>
      </c>
      <c r="I1802" t="s">
        <v>168</v>
      </c>
      <c r="J1802" t="s">
        <v>98</v>
      </c>
      <c r="K1802" s="1">
        <v>44115</v>
      </c>
      <c r="L1802" s="1">
        <v>45209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431</v>
      </c>
      <c r="U1802" t="str">
        <f>""</f>
        <v/>
      </c>
      <c r="V1802" t="s">
        <v>432</v>
      </c>
      <c r="W1802" t="str">
        <f>""</f>
        <v/>
      </c>
      <c r="X1802" t="s">
        <v>433</v>
      </c>
      <c r="Y1802" t="s">
        <v>176</v>
      </c>
      <c r="Z1802" s="3">
        <v>98121</v>
      </c>
      <c r="AA1802" t="s">
        <v>101</v>
      </c>
      <c r="AC1802" s="4" t="str">
        <f>"+12062661000"</f>
        <v>+12062661000</v>
      </c>
      <c r="AE1802" t="str">
        <f>"45411"</f>
        <v>45411</v>
      </c>
      <c r="AF1802" t="s">
        <v>4134</v>
      </c>
      <c r="AG1802" t="s">
        <v>4135</v>
      </c>
      <c r="AI1802" t="s">
        <v>262</v>
      </c>
      <c r="AJ1802" t="s">
        <v>432</v>
      </c>
      <c r="AK1802" t="str">
        <f>""</f>
        <v/>
      </c>
      <c r="AL1802" t="s">
        <v>261</v>
      </c>
      <c r="AM1802" t="s">
        <v>176</v>
      </c>
      <c r="AN1802" s="3">
        <v>98121</v>
      </c>
      <c r="AO1802" t="s">
        <v>101</v>
      </c>
      <c r="AQ1802" t="str">
        <f>"+12062661000"</f>
        <v>+12062661000</v>
      </c>
      <c r="AS1802" t="s">
        <v>263</v>
      </c>
      <c r="AT1802" t="s">
        <v>107</v>
      </c>
      <c r="AU1802" t="str">
        <f>"Cespedes"</f>
        <v>Cespedes</v>
      </c>
      <c r="AV1802" t="str">
        <f>"Carmiann"</f>
        <v>Carmiann</v>
      </c>
      <c r="AW1802" t="str">
        <f>"Sulay"</f>
        <v>Sulay</v>
      </c>
      <c r="AX1802" t="str">
        <f>"2400 North Glenville Drive"</f>
        <v>2400 North Glenville Drive</v>
      </c>
      <c r="AY1802" t="str">
        <f>"Bldg. A, Suite 100"</f>
        <v>Bldg. A, Suite 100</v>
      </c>
      <c r="AZ1802" t="str">
        <f>"Richardson"</f>
        <v>Richardson</v>
      </c>
      <c r="BA1802" t="str">
        <f>"TX"</f>
        <v>TX</v>
      </c>
      <c r="BB1802" s="3">
        <v>75082</v>
      </c>
      <c r="BC1802" t="str">
        <f>"UNITED STATES OF AMERICA"</f>
        <v>UNITED STATES OF AMERICA</v>
      </c>
      <c r="BD1802" t="str">
        <f>""</f>
        <v/>
      </c>
      <c r="BE1802" t="str">
        <f>"+19728617271"</f>
        <v>+19728617271</v>
      </c>
      <c r="BF1802" t="str">
        <f>""</f>
        <v/>
      </c>
      <c r="BG1802" t="str">
        <f>"ccespedes@balglobal.com"</f>
        <v>ccespedes@balglobal.com</v>
      </c>
      <c r="BH1802" t="str">
        <f>"Berry Appleman and Leiden LLP"</f>
        <v>Berry Appleman and Leiden LLP</v>
      </c>
      <c r="BI1802" t="str">
        <f>"PR"</f>
        <v>PR</v>
      </c>
      <c r="BJ1802" t="str">
        <f>"Puerto Rico Supreme Court"</f>
        <v>Puerto Rico Supreme Court</v>
      </c>
      <c r="BK1802">
        <v>1</v>
      </c>
      <c r="BL1802" t="s">
        <v>102</v>
      </c>
      <c r="BM1802" t="str">
        <f>""</f>
        <v/>
      </c>
      <c r="BN1802" t="s">
        <v>4830</v>
      </c>
      <c r="BP1802" t="s">
        <v>261</v>
      </c>
      <c r="BQ1802" t="s">
        <v>183</v>
      </c>
      <c r="BR1802" t="s">
        <v>176</v>
      </c>
      <c r="BS1802" s="5">
        <v>98109</v>
      </c>
      <c r="BT1802" s="2">
        <v>155000</v>
      </c>
      <c r="BV1802" t="s">
        <v>105</v>
      </c>
      <c r="BW1802" s="2">
        <v>88005</v>
      </c>
      <c r="BX1802" t="s">
        <v>105</v>
      </c>
      <c r="BZ1802" t="s">
        <v>167</v>
      </c>
      <c r="CA1802" t="str">
        <f t="shared" si="143"/>
        <v>7/1/2020 - 6/30/2021</v>
      </c>
      <c r="CF1802">
        <v>2</v>
      </c>
      <c r="CG1802" t="s">
        <v>98</v>
      </c>
      <c r="CH1802" t="s">
        <v>206</v>
      </c>
      <c r="CI1802" t="s">
        <v>206</v>
      </c>
      <c r="CL1802" t="s">
        <v>108</v>
      </c>
      <c r="CM1802" t="s">
        <v>109</v>
      </c>
      <c r="CN1802" t="str">
        <f>"N/A"</f>
        <v>N/A</v>
      </c>
      <c r="CO1802" t="str">
        <f>"N/A"</f>
        <v>N/A</v>
      </c>
      <c r="CP1802" t="str">
        <f>""</f>
        <v/>
      </c>
      <c r="CQ1802" t="str">
        <f>"Not applicable"</f>
        <v>Not applicable</v>
      </c>
      <c r="CR1802" t="s">
        <v>108</v>
      </c>
    </row>
    <row r="1803" spans="1:96" x14ac:dyDescent="0.2">
      <c r="A1803" t="s">
        <v>8153</v>
      </c>
      <c r="B1803" t="s">
        <v>96</v>
      </c>
      <c r="C1803" s="1">
        <v>44099</v>
      </c>
      <c r="D1803" s="1">
        <v>44106</v>
      </c>
      <c r="F1803" t="s">
        <v>97</v>
      </c>
      <c r="G1803" t="str">
        <f>"Postdoctoral Fellow"</f>
        <v>Postdoctoral Fellow</v>
      </c>
      <c r="H1803" t="s">
        <v>12170</v>
      </c>
      <c r="I1803" t="s">
        <v>685</v>
      </c>
      <c r="J1803" t="s">
        <v>98</v>
      </c>
      <c r="K1803" s="1">
        <v>44244</v>
      </c>
      <c r="L1803" s="1">
        <v>45338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3719</v>
      </c>
      <c r="U1803" t="str">
        <f>""</f>
        <v/>
      </c>
      <c r="V1803" t="s">
        <v>3720</v>
      </c>
      <c r="W1803" t="str">
        <f>""</f>
        <v/>
      </c>
      <c r="X1803" t="s">
        <v>277</v>
      </c>
      <c r="Y1803" t="s">
        <v>190</v>
      </c>
      <c r="Z1803" s="3">
        <v>10016</v>
      </c>
      <c r="AA1803" t="s">
        <v>101</v>
      </c>
      <c r="AC1803" s="4" t="str">
        <f>"+12124043861"</f>
        <v>+12124043861</v>
      </c>
      <c r="AE1803" t="str">
        <f>"611310"</f>
        <v>611310</v>
      </c>
      <c r="AF1803" t="s">
        <v>3721</v>
      </c>
      <c r="AG1803" t="s">
        <v>3722</v>
      </c>
      <c r="AH1803" t="s">
        <v>200</v>
      </c>
      <c r="AI1803" t="s">
        <v>3723</v>
      </c>
      <c r="AJ1803" t="s">
        <v>3724</v>
      </c>
      <c r="AK1803" t="str">
        <f>"4th Floor "</f>
        <v xml:space="preserve">4th Floor </v>
      </c>
      <c r="AL1803" t="s">
        <v>295</v>
      </c>
      <c r="AM1803" t="s">
        <v>190</v>
      </c>
      <c r="AN1803" s="3">
        <v>10016</v>
      </c>
      <c r="AO1803" t="s">
        <v>101</v>
      </c>
      <c r="AQ1803" t="str">
        <f>"+12124043861"</f>
        <v>+12124043861</v>
      </c>
      <c r="AS1803" t="s">
        <v>7500</v>
      </c>
      <c r="AT1803" t="s">
        <v>102</v>
      </c>
      <c r="AU1803" t="str">
        <f>""</f>
        <v/>
      </c>
      <c r="AV1803" t="str">
        <f>""</f>
        <v/>
      </c>
      <c r="AW1803" t="str">
        <f>""</f>
        <v/>
      </c>
      <c r="AX1803" t="str">
        <f>""</f>
        <v/>
      </c>
      <c r="AY1803" t="str">
        <f>""</f>
        <v/>
      </c>
      <c r="AZ1803" t="str">
        <f>""</f>
        <v/>
      </c>
      <c r="BA1803" t="str">
        <f>""</f>
        <v/>
      </c>
      <c r="BC1803" t="str">
        <f>""</f>
        <v/>
      </c>
      <c r="BD1803" t="str">
        <f>""</f>
        <v/>
      </c>
      <c r="BE1803" t="str">
        <f>""</f>
        <v/>
      </c>
      <c r="BF1803" t="str">
        <f>""</f>
        <v/>
      </c>
      <c r="BG1803" t="str">
        <f>""</f>
        <v/>
      </c>
      <c r="BH1803" t="str">
        <f>""</f>
        <v/>
      </c>
      <c r="BI1803" t="str">
        <f>""</f>
        <v/>
      </c>
      <c r="BJ1803" t="str">
        <f>""</f>
        <v/>
      </c>
      <c r="BK1803">
        <v>1</v>
      </c>
      <c r="BL1803" t="s">
        <v>102</v>
      </c>
      <c r="BM1803" t="str">
        <f>""</f>
        <v/>
      </c>
      <c r="BN1803" t="s">
        <v>8154</v>
      </c>
      <c r="BO1803" t="s">
        <v>2386</v>
      </c>
      <c r="BP1803" t="s">
        <v>295</v>
      </c>
      <c r="BQ1803" t="s">
        <v>189</v>
      </c>
      <c r="BR1803" t="s">
        <v>190</v>
      </c>
      <c r="BS1803" s="5">
        <v>10016</v>
      </c>
      <c r="BT1803" s="2">
        <v>55080</v>
      </c>
      <c r="BV1803" t="s">
        <v>105</v>
      </c>
      <c r="BW1803" s="2">
        <v>53186</v>
      </c>
      <c r="BX1803" t="s">
        <v>105</v>
      </c>
      <c r="BZ1803" t="s">
        <v>191</v>
      </c>
      <c r="CA1803" t="str">
        <f t="shared" si="143"/>
        <v>7/1/2020 - 6/30/2021</v>
      </c>
      <c r="CF1803">
        <v>1</v>
      </c>
      <c r="CG1803" t="s">
        <v>98</v>
      </c>
      <c r="CH1803" t="s">
        <v>206</v>
      </c>
      <c r="CI1803" t="s">
        <v>206</v>
      </c>
      <c r="CL1803" t="s">
        <v>108</v>
      </c>
      <c r="CM1803" t="s">
        <v>109</v>
      </c>
      <c r="CN1803" t="str">
        <f>""</f>
        <v/>
      </c>
      <c r="CO1803" t="str">
        <f>""</f>
        <v/>
      </c>
      <c r="CP1803" t="str">
        <f>""</f>
        <v/>
      </c>
      <c r="CQ1803" t="str">
        <f>""</f>
        <v/>
      </c>
    </row>
    <row r="1804" spans="1:96" x14ac:dyDescent="0.2">
      <c r="A1804" t="s">
        <v>8168</v>
      </c>
      <c r="B1804" t="s">
        <v>96</v>
      </c>
      <c r="C1804" s="1">
        <v>44099</v>
      </c>
      <c r="D1804" s="1">
        <v>44106</v>
      </c>
      <c r="F1804" t="s">
        <v>97</v>
      </c>
      <c r="G1804" t="str">
        <f>"Quantitative Developer"</f>
        <v>Quantitative Developer</v>
      </c>
      <c r="H1804" t="s">
        <v>12182</v>
      </c>
      <c r="I1804" t="s">
        <v>168</v>
      </c>
      <c r="J1804" t="s">
        <v>98</v>
      </c>
      <c r="K1804" s="1">
        <v>44113</v>
      </c>
      <c r="L1804" s="1">
        <v>45207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 t="s">
        <v>4709</v>
      </c>
      <c r="U1804" t="str">
        <f>""</f>
        <v/>
      </c>
      <c r="V1804" t="s">
        <v>4804</v>
      </c>
      <c r="W1804" t="str">
        <f>""</f>
        <v/>
      </c>
      <c r="X1804" t="s">
        <v>833</v>
      </c>
      <c r="Y1804" t="s">
        <v>345</v>
      </c>
      <c r="Z1804" s="3">
        <v>60603</v>
      </c>
      <c r="AA1804" t="s">
        <v>101</v>
      </c>
      <c r="AC1804" s="4" t="str">
        <f>"+13123953247"</f>
        <v>+13123953247</v>
      </c>
      <c r="AE1804" t="str">
        <f>"523920"</f>
        <v>523920</v>
      </c>
      <c r="AF1804" t="s">
        <v>4710</v>
      </c>
      <c r="AG1804" t="s">
        <v>4711</v>
      </c>
      <c r="AI1804" t="s">
        <v>4805</v>
      </c>
      <c r="AJ1804" t="s">
        <v>4804</v>
      </c>
      <c r="AK1804" t="str">
        <f>""</f>
        <v/>
      </c>
      <c r="AL1804" t="s">
        <v>833</v>
      </c>
      <c r="AM1804" t="s">
        <v>345</v>
      </c>
      <c r="AN1804" s="3">
        <v>60603</v>
      </c>
      <c r="AO1804" t="s">
        <v>101</v>
      </c>
      <c r="AQ1804" t="str">
        <f>"+13123953247"</f>
        <v>+13123953247</v>
      </c>
      <c r="AS1804" t="s">
        <v>4806</v>
      </c>
      <c r="AT1804" t="s">
        <v>107</v>
      </c>
      <c r="AU1804" t="str">
        <f>"Tang"</f>
        <v>Tang</v>
      </c>
      <c r="AV1804" t="str">
        <f>"Caroline"</f>
        <v>Caroline</v>
      </c>
      <c r="AW1804" t="str">
        <f>""</f>
        <v/>
      </c>
      <c r="AX1804" t="str">
        <f>"301 Congress Avenue"</f>
        <v>301 Congress Avenue</v>
      </c>
      <c r="AY1804" t="str">
        <f>"Suite 1150"</f>
        <v>Suite 1150</v>
      </c>
      <c r="AZ1804" t="str">
        <f>"Austin"</f>
        <v>Austin</v>
      </c>
      <c r="BA1804" t="str">
        <f>"TX"</f>
        <v>TX</v>
      </c>
      <c r="BB1804" s="3">
        <v>78701</v>
      </c>
      <c r="BC1804" t="str">
        <f t="shared" ref="BC1804:BC1814" si="144">"UNITED STATES OF AMERICA"</f>
        <v>UNITED STATES OF AMERICA</v>
      </c>
      <c r="BD1804" t="str">
        <f>"TX"</f>
        <v>TX</v>
      </c>
      <c r="BE1804" t="str">
        <f>"+15123444704"</f>
        <v>+15123444704</v>
      </c>
      <c r="BF1804" t="str">
        <f>""</f>
        <v/>
      </c>
      <c r="BG1804" t="str">
        <f>"rolando.perez@ogletreedeakins.com"</f>
        <v>rolando.perez@ogletreedeakins.com</v>
      </c>
      <c r="BH1804" t="str">
        <f>"Ogletree, Deakins, Nash, Smoak &amp; Stewart, P.C."</f>
        <v>Ogletree, Deakins, Nash, Smoak &amp; Stewart, P.C.</v>
      </c>
      <c r="BI1804" t="str">
        <f>"TX"</f>
        <v>TX</v>
      </c>
      <c r="BJ1804" t="str">
        <f>"Supreme Court of Texas"</f>
        <v>Supreme Court of Texas</v>
      </c>
      <c r="BK1804">
        <v>1</v>
      </c>
      <c r="BL1804" t="s">
        <v>102</v>
      </c>
      <c r="BM1804" t="str">
        <f>""</f>
        <v/>
      </c>
      <c r="BN1804" t="s">
        <v>2955</v>
      </c>
      <c r="BP1804" t="s">
        <v>277</v>
      </c>
      <c r="BQ1804" t="s">
        <v>189</v>
      </c>
      <c r="BR1804" t="s">
        <v>190</v>
      </c>
      <c r="BS1804" s="5">
        <v>10022</v>
      </c>
      <c r="BT1804" s="2">
        <v>175000</v>
      </c>
      <c r="BV1804" t="s">
        <v>105</v>
      </c>
      <c r="BW1804" s="2">
        <v>137488</v>
      </c>
      <c r="BX1804" t="s">
        <v>105</v>
      </c>
      <c r="BZ1804" t="s">
        <v>159</v>
      </c>
      <c r="CA1804" t="str">
        <f t="shared" si="143"/>
        <v>7/1/2020 - 6/30/2021</v>
      </c>
      <c r="CF1804">
        <v>1</v>
      </c>
      <c r="CG1804" t="s">
        <v>98</v>
      </c>
      <c r="CH1804" t="s">
        <v>206</v>
      </c>
      <c r="CI1804" t="s">
        <v>206</v>
      </c>
      <c r="CL1804" t="s">
        <v>108</v>
      </c>
      <c r="CM1804" t="s">
        <v>109</v>
      </c>
      <c r="CN1804" t="str">
        <f>"Perez"</f>
        <v>Perez</v>
      </c>
      <c r="CO1804" t="str">
        <f>"Rolando"</f>
        <v>Rolando</v>
      </c>
      <c r="CP1804" t="str">
        <f>"R."</f>
        <v>R.</v>
      </c>
      <c r="CQ1804" t="str">
        <f>"Ogletree, Deakins, Nash, Smoak &amp; Stewart, P.C."</f>
        <v>Ogletree, Deakins, Nash, Smoak &amp; Stewart, P.C.</v>
      </c>
      <c r="CR1804" t="s">
        <v>4807</v>
      </c>
    </row>
    <row r="1805" spans="1:96" x14ac:dyDescent="0.2">
      <c r="A1805" t="s">
        <v>8176</v>
      </c>
      <c r="B1805" t="s">
        <v>96</v>
      </c>
      <c r="C1805" s="1">
        <v>44099</v>
      </c>
      <c r="D1805" s="1">
        <v>44106</v>
      </c>
      <c r="F1805" t="s">
        <v>97</v>
      </c>
      <c r="G1805" t="str">
        <f>"Software Engineer 2"</f>
        <v>Software Engineer 2</v>
      </c>
      <c r="H1805" t="s">
        <v>12169</v>
      </c>
      <c r="I1805" t="s">
        <v>124</v>
      </c>
      <c r="J1805" t="s">
        <v>98</v>
      </c>
      <c r="K1805" s="1">
        <v>44116</v>
      </c>
      <c r="L1805" s="1">
        <v>45210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 t="s">
        <v>4239</v>
      </c>
      <c r="U1805" t="str">
        <f>""</f>
        <v/>
      </c>
      <c r="V1805" t="s">
        <v>5480</v>
      </c>
      <c r="W1805" t="str">
        <f>""</f>
        <v/>
      </c>
      <c r="X1805" t="s">
        <v>368</v>
      </c>
      <c r="Y1805" t="s">
        <v>370</v>
      </c>
      <c r="Z1805" s="3">
        <v>40202</v>
      </c>
      <c r="AA1805" t="s">
        <v>101</v>
      </c>
      <c r="AC1805" s="4" t="str">
        <f>"+15025808908"</f>
        <v>+15025808908</v>
      </c>
      <c r="AE1805" t="str">
        <f>"524114"</f>
        <v>524114</v>
      </c>
      <c r="AF1805" t="s">
        <v>4240</v>
      </c>
      <c r="AG1805" t="s">
        <v>278</v>
      </c>
      <c r="AI1805" t="s">
        <v>4241</v>
      </c>
      <c r="AJ1805" t="s">
        <v>5480</v>
      </c>
      <c r="AK1805" t="str">
        <f>""</f>
        <v/>
      </c>
      <c r="AL1805" t="s">
        <v>368</v>
      </c>
      <c r="AM1805" t="s">
        <v>370</v>
      </c>
      <c r="AN1805" s="3">
        <v>40202</v>
      </c>
      <c r="AO1805" t="s">
        <v>101</v>
      </c>
      <c r="AQ1805" t="str">
        <f>"+15025808908"</f>
        <v>+15025808908</v>
      </c>
      <c r="AS1805" t="s">
        <v>4242</v>
      </c>
      <c r="AT1805" t="s">
        <v>107</v>
      </c>
      <c r="AU1805" t="str">
        <f>"Ambrosetti"</f>
        <v>Ambrosetti</v>
      </c>
      <c r="AV1805" t="str">
        <f>"Rita"</f>
        <v>Rita</v>
      </c>
      <c r="AW1805" t="str">
        <f>""</f>
        <v/>
      </c>
      <c r="AX1805" t="str">
        <f>"230 W Monroe Street"</f>
        <v>230 W Monroe Street</v>
      </c>
      <c r="AY1805" t="str">
        <f>"Suite 2800"</f>
        <v>Suite 2800</v>
      </c>
      <c r="AZ1805" t="str">
        <f>"Chicago"</f>
        <v>Chicago</v>
      </c>
      <c r="BA1805" t="str">
        <f>"IL"</f>
        <v>IL</v>
      </c>
      <c r="BB1805" s="3">
        <v>60606</v>
      </c>
      <c r="BC1805" t="str">
        <f t="shared" si="144"/>
        <v>UNITED STATES OF AMERICA</v>
      </c>
      <c r="BD1805" t="str">
        <f>""</f>
        <v/>
      </c>
      <c r="BE1805" t="str">
        <f>"+13127226300"</f>
        <v>+13127226300</v>
      </c>
      <c r="BF1805" t="str">
        <f>""</f>
        <v/>
      </c>
      <c r="BG1805" t="str">
        <f>"gov@giafirm.com"</f>
        <v>gov@giafirm.com</v>
      </c>
      <c r="BH1805" t="str">
        <f>"Global Immigration Associates, P.C."</f>
        <v>Global Immigration Associates, P.C.</v>
      </c>
      <c r="BI1805" t="str">
        <f>"NY"</f>
        <v>NY</v>
      </c>
      <c r="BJ1805" t="str">
        <f>"NY Court of Appeals"</f>
        <v>NY Court of Appeals</v>
      </c>
      <c r="BK1805">
        <v>1</v>
      </c>
      <c r="BL1805" t="s">
        <v>102</v>
      </c>
      <c r="BM1805" t="str">
        <f>""</f>
        <v/>
      </c>
      <c r="BN1805" t="s">
        <v>8177</v>
      </c>
      <c r="BP1805" t="s">
        <v>368</v>
      </c>
      <c r="BQ1805" t="s">
        <v>369</v>
      </c>
      <c r="BR1805" t="s">
        <v>370</v>
      </c>
      <c r="BS1805" s="5">
        <v>40202</v>
      </c>
      <c r="BT1805" s="2">
        <v>90400</v>
      </c>
      <c r="BV1805" t="s">
        <v>105</v>
      </c>
      <c r="BW1805" s="2">
        <v>73757</v>
      </c>
      <c r="BX1805" t="s">
        <v>105</v>
      </c>
      <c r="BZ1805" t="s">
        <v>167</v>
      </c>
      <c r="CA1805" t="str">
        <f t="shared" si="143"/>
        <v>7/1/2020 - 6/30/2021</v>
      </c>
      <c r="CF1805">
        <v>2</v>
      </c>
      <c r="CG1805" t="s">
        <v>98</v>
      </c>
      <c r="CH1805" t="s">
        <v>206</v>
      </c>
      <c r="CI1805" t="s">
        <v>206</v>
      </c>
      <c r="CL1805" t="s">
        <v>108</v>
      </c>
      <c r="CM1805" t="s">
        <v>109</v>
      </c>
      <c r="CN1805" t="str">
        <f>""</f>
        <v/>
      </c>
      <c r="CO1805" t="str">
        <f>""</f>
        <v/>
      </c>
      <c r="CP1805" t="str">
        <f>""</f>
        <v/>
      </c>
      <c r="CQ1805" t="str">
        <f>""</f>
        <v/>
      </c>
    </row>
    <row r="1806" spans="1:96" x14ac:dyDescent="0.2">
      <c r="A1806" t="s">
        <v>8194</v>
      </c>
      <c r="B1806" t="s">
        <v>96</v>
      </c>
      <c r="C1806" s="1">
        <v>44099</v>
      </c>
      <c r="D1806" s="1">
        <v>44106</v>
      </c>
      <c r="F1806" t="s">
        <v>97</v>
      </c>
      <c r="G1806" t="str">
        <f>"Senior Consultant "</f>
        <v xml:space="preserve">Senior Consultant </v>
      </c>
      <c r="H1806" t="s">
        <v>12169</v>
      </c>
      <c r="I1806" t="s">
        <v>124</v>
      </c>
      <c r="J1806" t="s">
        <v>98</v>
      </c>
      <c r="K1806" s="1">
        <v>44246</v>
      </c>
      <c r="L1806" s="1">
        <v>45340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 t="s">
        <v>737</v>
      </c>
      <c r="U1806" t="str">
        <f>""</f>
        <v/>
      </c>
      <c r="V1806" t="s">
        <v>738</v>
      </c>
      <c r="W1806" t="str">
        <f>""</f>
        <v/>
      </c>
      <c r="X1806" t="s">
        <v>510</v>
      </c>
      <c r="Y1806" t="s">
        <v>127</v>
      </c>
      <c r="Z1806" s="3">
        <v>19103</v>
      </c>
      <c r="AA1806" t="s">
        <v>101</v>
      </c>
      <c r="AC1806" s="4" t="str">
        <f>"+16179608170"</f>
        <v>+16179608170</v>
      </c>
      <c r="AE1806" t="str">
        <f>"541611"</f>
        <v>541611</v>
      </c>
      <c r="AF1806" t="s">
        <v>739</v>
      </c>
      <c r="AG1806" t="s">
        <v>740</v>
      </c>
      <c r="AI1806" t="s">
        <v>392</v>
      </c>
      <c r="AJ1806" t="s">
        <v>738</v>
      </c>
      <c r="AK1806" t="str">
        <f>""</f>
        <v/>
      </c>
      <c r="AL1806" t="s">
        <v>510</v>
      </c>
      <c r="AM1806" t="s">
        <v>127</v>
      </c>
      <c r="AN1806" s="3">
        <v>19103</v>
      </c>
      <c r="AO1806" t="s">
        <v>101</v>
      </c>
      <c r="AQ1806" t="str">
        <f>"+16179608170"</f>
        <v>+16179608170</v>
      </c>
      <c r="AS1806" t="s">
        <v>222</v>
      </c>
      <c r="AT1806" t="s">
        <v>107</v>
      </c>
      <c r="AU1806" t="str">
        <f>"GANDHI"</f>
        <v>GANDHI</v>
      </c>
      <c r="AV1806" t="str">
        <f>"JESSICA"</f>
        <v>JESSICA</v>
      </c>
      <c r="AW1806" t="str">
        <f>""</f>
        <v/>
      </c>
      <c r="AX1806" t="str">
        <f>"2400 NORTH GLENVILLE DRIVE"</f>
        <v>2400 NORTH GLENVILLE DRIVE</v>
      </c>
      <c r="AY1806" t="str">
        <f>"Building A, SUITE 100"</f>
        <v>Building A, SUITE 100</v>
      </c>
      <c r="AZ1806" t="str">
        <f>"RICHARDSON"</f>
        <v>RICHARDSON</v>
      </c>
      <c r="BA1806" t="str">
        <f>"TX"</f>
        <v>TX</v>
      </c>
      <c r="BB1806" s="3">
        <v>75082</v>
      </c>
      <c r="BC1806" t="str">
        <f t="shared" si="144"/>
        <v>UNITED STATES OF AMERICA</v>
      </c>
      <c r="BD1806" t="str">
        <f>""</f>
        <v/>
      </c>
      <c r="BE1806" t="str">
        <f>"+14693003253"</f>
        <v>+14693003253</v>
      </c>
      <c r="BF1806" t="str">
        <f>""</f>
        <v/>
      </c>
      <c r="BG1806" t="str">
        <f>"JEGANDHI@BALGLOBAL.COM"</f>
        <v>JEGANDHI@BALGLOBAL.COM</v>
      </c>
      <c r="BH1806" t="str">
        <f>"BERRY APPLEMAN &amp; LEIDEN LLP"</f>
        <v>BERRY APPLEMAN &amp; LEIDEN LLP</v>
      </c>
      <c r="BI1806" t="str">
        <f>"IL"</f>
        <v>IL</v>
      </c>
      <c r="BJ1806" t="str">
        <f>"SUPREME COURT OF ILLINOIS"</f>
        <v>SUPREME COURT OF ILLINOIS</v>
      </c>
      <c r="BK1806">
        <v>1</v>
      </c>
      <c r="BL1806" t="s">
        <v>102</v>
      </c>
      <c r="BM1806" t="str">
        <f>""</f>
        <v/>
      </c>
      <c r="BN1806" t="s">
        <v>8195</v>
      </c>
      <c r="BP1806" t="s">
        <v>146</v>
      </c>
      <c r="BQ1806" t="s">
        <v>147</v>
      </c>
      <c r="BR1806" t="s">
        <v>141</v>
      </c>
      <c r="BS1806" s="5">
        <v>94108</v>
      </c>
      <c r="BT1806" s="2">
        <v>120000</v>
      </c>
      <c r="BV1806" t="s">
        <v>105</v>
      </c>
      <c r="BW1806" s="2">
        <v>119593</v>
      </c>
      <c r="BX1806" t="s">
        <v>105</v>
      </c>
      <c r="CA1806" t="str">
        <f>""</f>
        <v/>
      </c>
      <c r="CB1806" t="s">
        <v>244</v>
      </c>
      <c r="CC1806">
        <v>2020</v>
      </c>
      <c r="CD1806" t="s">
        <v>569</v>
      </c>
      <c r="CE1806" t="s">
        <v>996</v>
      </c>
      <c r="CF1806">
        <v>2</v>
      </c>
      <c r="CG1806" t="s">
        <v>98</v>
      </c>
      <c r="CH1806" t="s">
        <v>206</v>
      </c>
      <c r="CI1806" t="s">
        <v>206</v>
      </c>
      <c r="CL1806" t="s">
        <v>108</v>
      </c>
      <c r="CM1806" t="s">
        <v>109</v>
      </c>
      <c r="CN1806" t="str">
        <f>"Verrill"</f>
        <v>Verrill</v>
      </c>
      <c r="CO1806" t="str">
        <f>"Ruston "</f>
        <v xml:space="preserve">Ruston </v>
      </c>
      <c r="CP1806" t="str">
        <f>""</f>
        <v/>
      </c>
      <c r="CQ1806" t="str">
        <f>"Berry Appleman &amp; Leiden LLP "</f>
        <v xml:space="preserve">Berry Appleman &amp; Leiden LLP </v>
      </c>
      <c r="CR1806" t="s">
        <v>1633</v>
      </c>
    </row>
    <row r="1807" spans="1:96" x14ac:dyDescent="0.2">
      <c r="A1807" t="s">
        <v>8200</v>
      </c>
      <c r="B1807" t="s">
        <v>96</v>
      </c>
      <c r="C1807" s="1">
        <v>44099</v>
      </c>
      <c r="D1807" s="1">
        <v>44106</v>
      </c>
      <c r="F1807" t="s">
        <v>97</v>
      </c>
      <c r="G1807" t="str">
        <f>"Lead Project Engineer"</f>
        <v>Lead Project Engineer</v>
      </c>
      <c r="H1807" t="s">
        <v>12196</v>
      </c>
      <c r="I1807" t="s">
        <v>322</v>
      </c>
      <c r="J1807" t="s">
        <v>98</v>
      </c>
      <c r="K1807" s="1">
        <v>44105</v>
      </c>
      <c r="L1807" s="1">
        <v>45199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8201</v>
      </c>
      <c r="U1807" t="str">
        <f>""</f>
        <v/>
      </c>
      <c r="V1807" t="s">
        <v>8202</v>
      </c>
      <c r="W1807" t="str">
        <f>""</f>
        <v/>
      </c>
      <c r="X1807" t="s">
        <v>806</v>
      </c>
      <c r="Y1807" t="s">
        <v>265</v>
      </c>
      <c r="Z1807" s="3">
        <v>48377</v>
      </c>
      <c r="AA1807" t="s">
        <v>101</v>
      </c>
      <c r="AB1807" t="s">
        <v>108</v>
      </c>
      <c r="AC1807" s="4" t="str">
        <f>"+12485674641"</f>
        <v>+12485674641</v>
      </c>
      <c r="AE1807" t="str">
        <f>"336360"</f>
        <v>336360</v>
      </c>
      <c r="AF1807" t="s">
        <v>8203</v>
      </c>
      <c r="AG1807" t="s">
        <v>3383</v>
      </c>
      <c r="AI1807" t="s">
        <v>1203</v>
      </c>
      <c r="AJ1807" t="s">
        <v>8202</v>
      </c>
      <c r="AK1807" t="str">
        <f>""</f>
        <v/>
      </c>
      <c r="AL1807" t="s">
        <v>806</v>
      </c>
      <c r="AM1807" t="s">
        <v>265</v>
      </c>
      <c r="AN1807" s="3">
        <v>48377</v>
      </c>
      <c r="AO1807" t="s">
        <v>101</v>
      </c>
      <c r="AQ1807" t="str">
        <f>"+12485674641"</f>
        <v>+12485674641</v>
      </c>
      <c r="AS1807" t="s">
        <v>8204</v>
      </c>
      <c r="AT1807" t="s">
        <v>107</v>
      </c>
      <c r="AU1807" t="str">
        <f>"LEVASSEUR"</f>
        <v>LEVASSEUR</v>
      </c>
      <c r="AV1807" t="str">
        <f>"Elise"</f>
        <v>Elise</v>
      </c>
      <c r="AW1807" t="str">
        <f>"Suzanne"</f>
        <v>Suzanne</v>
      </c>
      <c r="AX1807" t="str">
        <f>"2600 West Big Beaver Road"</f>
        <v>2600 West Big Beaver Road</v>
      </c>
      <c r="AY1807" t="str">
        <f>"Suite 300"</f>
        <v>Suite 300</v>
      </c>
      <c r="AZ1807" t="str">
        <f>"Troy"</f>
        <v>Troy</v>
      </c>
      <c r="BA1807" t="str">
        <f>"MI"</f>
        <v>MI</v>
      </c>
      <c r="BB1807" s="3">
        <v>48084</v>
      </c>
      <c r="BC1807" t="str">
        <f t="shared" si="144"/>
        <v>UNITED STATES OF AMERICA</v>
      </c>
      <c r="BD1807" t="str">
        <f>""</f>
        <v/>
      </c>
      <c r="BE1807" t="str">
        <f>"+12484337520"</f>
        <v>+12484337520</v>
      </c>
      <c r="BF1807" t="str">
        <f>""</f>
        <v/>
      </c>
      <c r="BG1807" t="str">
        <f>"ELevasseur@dickinsonwright.com"</f>
        <v>ELevasseur@dickinsonwright.com</v>
      </c>
      <c r="BH1807" t="str">
        <f>"Dickinson Wright PLLC"</f>
        <v>Dickinson Wright PLLC</v>
      </c>
      <c r="BI1807" t="str">
        <f>"MI"</f>
        <v>MI</v>
      </c>
      <c r="BJ1807" t="str">
        <f>"Michigan Supreme Court"</f>
        <v>Michigan Supreme Court</v>
      </c>
      <c r="BK1807">
        <v>1</v>
      </c>
      <c r="BL1807" t="s">
        <v>102</v>
      </c>
      <c r="BM1807" t="str">
        <f>""</f>
        <v/>
      </c>
      <c r="BN1807" t="s">
        <v>8205</v>
      </c>
      <c r="BO1807" t="s">
        <v>8206</v>
      </c>
      <c r="BP1807" t="s">
        <v>2736</v>
      </c>
      <c r="BQ1807" t="s">
        <v>5845</v>
      </c>
      <c r="BR1807" t="s">
        <v>594</v>
      </c>
      <c r="BS1807" s="5">
        <v>29369</v>
      </c>
      <c r="BT1807" s="2">
        <v>94812.5</v>
      </c>
      <c r="BV1807" t="s">
        <v>105</v>
      </c>
      <c r="BW1807" s="2">
        <v>88130</v>
      </c>
      <c r="BX1807" t="s">
        <v>105</v>
      </c>
      <c r="BZ1807" t="s">
        <v>123</v>
      </c>
      <c r="CA1807" t="str">
        <f t="shared" ref="CA1807:CA1813" si="145">"7/1/2020 - 6/30/2021"</f>
        <v>7/1/2020 - 6/30/2021</v>
      </c>
      <c r="CF1807">
        <v>1</v>
      </c>
      <c r="CG1807" t="s">
        <v>98</v>
      </c>
      <c r="CH1807" t="s">
        <v>206</v>
      </c>
      <c r="CI1807" t="s">
        <v>206</v>
      </c>
      <c r="CL1807" t="s">
        <v>108</v>
      </c>
      <c r="CM1807" t="s">
        <v>109</v>
      </c>
      <c r="CN1807" t="str">
        <f>""</f>
        <v/>
      </c>
      <c r="CO1807" t="str">
        <f>""</f>
        <v/>
      </c>
      <c r="CP1807" t="str">
        <f>""</f>
        <v/>
      </c>
      <c r="CQ1807" t="str">
        <f>""</f>
        <v/>
      </c>
    </row>
    <row r="1808" spans="1:96" x14ac:dyDescent="0.2">
      <c r="A1808" t="s">
        <v>8220</v>
      </c>
      <c r="B1808" t="s">
        <v>96</v>
      </c>
      <c r="C1808" s="1">
        <v>44099</v>
      </c>
      <c r="D1808" s="1">
        <v>44106</v>
      </c>
      <c r="F1808" t="s">
        <v>97</v>
      </c>
      <c r="G1808" t="str">
        <f>"QUANTITATIVE DEVELOPER"</f>
        <v>QUANTITATIVE DEVELOPER</v>
      </c>
      <c r="H1808" t="s">
        <v>12220</v>
      </c>
      <c r="I1808" t="s">
        <v>963</v>
      </c>
      <c r="J1808" t="s">
        <v>98</v>
      </c>
      <c r="K1808" s="1">
        <v>44110</v>
      </c>
      <c r="L1808" s="1">
        <v>45204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 t="s">
        <v>8221</v>
      </c>
      <c r="U1808" t="str">
        <f>""</f>
        <v/>
      </c>
      <c r="V1808" t="s">
        <v>8222</v>
      </c>
      <c r="W1808" t="str">
        <f>""</f>
        <v/>
      </c>
      <c r="X1808" t="s">
        <v>8223</v>
      </c>
      <c r="Y1808" t="s">
        <v>141</v>
      </c>
      <c r="Z1808" s="3">
        <v>92660</v>
      </c>
      <c r="AA1808" t="s">
        <v>101</v>
      </c>
      <c r="AC1808" s="4" t="str">
        <f>"+19497206910"</f>
        <v>+19497206910</v>
      </c>
      <c r="AE1808" t="str">
        <f>"523920"</f>
        <v>523920</v>
      </c>
      <c r="AF1808" t="s">
        <v>5693</v>
      </c>
      <c r="AG1808" t="s">
        <v>5694</v>
      </c>
      <c r="AI1808" t="s">
        <v>8224</v>
      </c>
      <c r="AJ1808" t="s">
        <v>8222</v>
      </c>
      <c r="AK1808" t="str">
        <f>""</f>
        <v/>
      </c>
      <c r="AL1808" t="s">
        <v>8223</v>
      </c>
      <c r="AM1808" t="s">
        <v>141</v>
      </c>
      <c r="AN1808" s="3">
        <v>92660</v>
      </c>
      <c r="AO1808" t="s">
        <v>101</v>
      </c>
      <c r="AQ1808" t="str">
        <f>"+19497206910"</f>
        <v>+19497206910</v>
      </c>
      <c r="AS1808" t="s">
        <v>8225</v>
      </c>
      <c r="AT1808" t="s">
        <v>107</v>
      </c>
      <c r="AU1808" t="str">
        <f>"DOGAN"</f>
        <v>DOGAN</v>
      </c>
      <c r="AV1808" t="str">
        <f>"IREM"</f>
        <v>IREM</v>
      </c>
      <c r="AW1808" t="str">
        <f>""</f>
        <v/>
      </c>
      <c r="AX1808" t="str">
        <f>"665 FIFTH AVENUE"</f>
        <v>665 FIFTH AVENUE</v>
      </c>
      <c r="AY1808" t="str">
        <f>""</f>
        <v/>
      </c>
      <c r="AZ1808" t="str">
        <f>"NEW YORK"</f>
        <v>NEW YORK</v>
      </c>
      <c r="BA1808" t="str">
        <f>"NY"</f>
        <v>NY</v>
      </c>
      <c r="BB1808" s="3">
        <v>10022</v>
      </c>
      <c r="BC1808" t="str">
        <f t="shared" si="144"/>
        <v>UNITED STATES OF AMERICA</v>
      </c>
      <c r="BD1808" t="str">
        <f>""</f>
        <v/>
      </c>
      <c r="BE1808" t="str">
        <f>"+12126885151"</f>
        <v>+12126885151</v>
      </c>
      <c r="BF1808" t="str">
        <f>""</f>
        <v/>
      </c>
      <c r="BG1808" t="str">
        <f>"AOCONNELL@GIBNEY.COM"</f>
        <v>AOCONNELL@GIBNEY.COM</v>
      </c>
      <c r="BH1808" t="str">
        <f>"GIBNEY, ANTHONY &amp; FLAHERTY, LLP"</f>
        <v>GIBNEY, ANTHONY &amp; FLAHERTY, LLP</v>
      </c>
      <c r="BI1808" t="str">
        <f>"NY"</f>
        <v>NY</v>
      </c>
      <c r="BJ1808" t="str">
        <f>"COURT OF APPEALS"</f>
        <v>COURT OF APPEALS</v>
      </c>
      <c r="BK1808">
        <v>1</v>
      </c>
      <c r="BL1808" t="s">
        <v>102</v>
      </c>
      <c r="BM1808" t="str">
        <f>""</f>
        <v/>
      </c>
      <c r="BN1808" t="s">
        <v>8222</v>
      </c>
      <c r="BP1808" t="s">
        <v>8223</v>
      </c>
      <c r="BQ1808" t="s">
        <v>377</v>
      </c>
      <c r="BR1808" t="s">
        <v>141</v>
      </c>
      <c r="BS1808" s="5">
        <v>92660</v>
      </c>
      <c r="BT1808" s="2">
        <v>180000</v>
      </c>
      <c r="BV1808" t="s">
        <v>105</v>
      </c>
      <c r="BW1808" s="2">
        <v>93933</v>
      </c>
      <c r="BX1808" t="s">
        <v>105</v>
      </c>
      <c r="BZ1808" t="s">
        <v>123</v>
      </c>
      <c r="CA1808" t="str">
        <f t="shared" si="145"/>
        <v>7/1/2020 - 6/30/2021</v>
      </c>
      <c r="CF1808">
        <v>1</v>
      </c>
      <c r="CG1808" t="s">
        <v>98</v>
      </c>
      <c r="CH1808" t="s">
        <v>206</v>
      </c>
      <c r="CI1808" t="s">
        <v>206</v>
      </c>
      <c r="CL1808" t="s">
        <v>108</v>
      </c>
      <c r="CM1808" t="s">
        <v>109</v>
      </c>
      <c r="CN1808" t="str">
        <f>"O'CONNELL (12858-00490.001)"</f>
        <v>O'CONNELL (12858-00490.001)</v>
      </c>
      <c r="CO1808" t="str">
        <f>"ABEL"</f>
        <v>ABEL</v>
      </c>
      <c r="CP1808" t="str">
        <f>"M"</f>
        <v>M</v>
      </c>
      <c r="CQ1808" t="str">
        <f>"GIBNEY, ANTHONY &amp; FLAHERTY, LLP"</f>
        <v>GIBNEY, ANTHONY &amp; FLAHERTY, LLP</v>
      </c>
      <c r="CR1808" t="s">
        <v>8226</v>
      </c>
    </row>
    <row r="1809" spans="1:96" x14ac:dyDescent="0.2">
      <c r="A1809" t="s">
        <v>8227</v>
      </c>
      <c r="B1809" t="s">
        <v>96</v>
      </c>
      <c r="C1809" s="1">
        <v>44099</v>
      </c>
      <c r="D1809" s="1">
        <v>44106</v>
      </c>
      <c r="F1809" t="s">
        <v>97</v>
      </c>
      <c r="G1809" t="str">
        <f>"Senior Manager, CMC Product Development"</f>
        <v>Senior Manager, CMC Product Development</v>
      </c>
      <c r="H1809" t="s">
        <v>12194</v>
      </c>
      <c r="I1809" t="s">
        <v>1793</v>
      </c>
      <c r="J1809" t="s">
        <v>98</v>
      </c>
      <c r="K1809" s="1">
        <v>44106</v>
      </c>
      <c r="L1809" s="1">
        <v>45200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 t="s">
        <v>8228</v>
      </c>
      <c r="U1809" t="str">
        <f>""</f>
        <v/>
      </c>
      <c r="V1809" t="s">
        <v>8229</v>
      </c>
      <c r="W1809" t="str">
        <f>""</f>
        <v/>
      </c>
      <c r="X1809" t="s">
        <v>334</v>
      </c>
      <c r="Y1809" t="s">
        <v>280</v>
      </c>
      <c r="Z1809" s="3">
        <v>6902</v>
      </c>
      <c r="AA1809" t="s">
        <v>101</v>
      </c>
      <c r="AC1809" s="4" t="str">
        <f>"+19175686676"</f>
        <v>+19175686676</v>
      </c>
      <c r="AE1809" t="str">
        <f>"325412"</f>
        <v>325412</v>
      </c>
      <c r="AF1809" t="s">
        <v>8230</v>
      </c>
      <c r="AG1809" t="s">
        <v>8231</v>
      </c>
      <c r="AI1809" t="s">
        <v>1530</v>
      </c>
      <c r="AJ1809" t="s">
        <v>8229</v>
      </c>
      <c r="AK1809" t="str">
        <f>""</f>
        <v/>
      </c>
      <c r="AL1809" t="s">
        <v>334</v>
      </c>
      <c r="AM1809" t="s">
        <v>280</v>
      </c>
      <c r="AN1809" s="3">
        <v>6902</v>
      </c>
      <c r="AO1809" t="s">
        <v>101</v>
      </c>
      <c r="AQ1809" t="str">
        <f>"+19175866676"</f>
        <v>+19175866676</v>
      </c>
      <c r="AS1809" t="s">
        <v>8232</v>
      </c>
      <c r="AT1809" t="s">
        <v>107</v>
      </c>
      <c r="AU1809" t="str">
        <f>"Soni"</f>
        <v>Soni</v>
      </c>
      <c r="AV1809" t="str">
        <f>"Rahul"</f>
        <v>Rahul</v>
      </c>
      <c r="AW1809" t="str">
        <f>""</f>
        <v/>
      </c>
      <c r="AX1809" t="str">
        <f>"1400 Broadway"</f>
        <v>1400 Broadway</v>
      </c>
      <c r="AY1809" t="str">
        <f>""</f>
        <v/>
      </c>
      <c r="AZ1809" t="str">
        <f>"New York"</f>
        <v>New York</v>
      </c>
      <c r="BA1809" t="str">
        <f>"NY"</f>
        <v>NY</v>
      </c>
      <c r="BB1809" s="3">
        <v>10018</v>
      </c>
      <c r="BC1809" t="str">
        <f t="shared" si="144"/>
        <v>UNITED STATES OF AMERICA</v>
      </c>
      <c r="BD1809" t="str">
        <f>""</f>
        <v/>
      </c>
      <c r="BE1809" t="str">
        <f>"+12126888555"</f>
        <v>+12126888555</v>
      </c>
      <c r="BF1809" t="str">
        <f>""</f>
        <v/>
      </c>
      <c r="BG1809" t="str">
        <f>"nhigdon@fragomen.com"</f>
        <v>nhigdon@fragomen.com</v>
      </c>
      <c r="BH1809" t="str">
        <f>"Fragomen, Del Rey, Bernsen &amp; Loewy, LLP"</f>
        <v>Fragomen, Del Rey, Bernsen &amp; Loewy, LLP</v>
      </c>
      <c r="BI1809" t="str">
        <f>"CA"</f>
        <v>CA</v>
      </c>
      <c r="BJ1809" t="str">
        <f>"Supreme Court"</f>
        <v>Supreme Court</v>
      </c>
      <c r="BK1809">
        <v>1</v>
      </c>
      <c r="BL1809" t="s">
        <v>102</v>
      </c>
      <c r="BM1809" t="str">
        <f>""</f>
        <v/>
      </c>
      <c r="BN1809" t="s">
        <v>8233</v>
      </c>
      <c r="BO1809" t="s">
        <v>8234</v>
      </c>
      <c r="BP1809" t="s">
        <v>1113</v>
      </c>
      <c r="BQ1809" t="s">
        <v>302</v>
      </c>
      <c r="BR1809" t="s">
        <v>122</v>
      </c>
      <c r="BS1809" s="5">
        <v>27713</v>
      </c>
      <c r="BT1809" s="2">
        <v>117229</v>
      </c>
      <c r="BU1809" s="2">
        <v>135000</v>
      </c>
      <c r="BV1809" t="s">
        <v>105</v>
      </c>
      <c r="BW1809" s="2">
        <v>117229</v>
      </c>
      <c r="BX1809" t="s">
        <v>105</v>
      </c>
      <c r="BZ1809" t="s">
        <v>123</v>
      </c>
      <c r="CA1809" t="str">
        <f t="shared" si="145"/>
        <v>7/1/2020 - 6/30/2021</v>
      </c>
      <c r="CF1809">
        <v>1</v>
      </c>
      <c r="CG1809" t="s">
        <v>98</v>
      </c>
      <c r="CH1809" t="s">
        <v>206</v>
      </c>
      <c r="CI1809" t="s">
        <v>206</v>
      </c>
      <c r="CL1809" t="s">
        <v>108</v>
      </c>
      <c r="CM1809" t="s">
        <v>109</v>
      </c>
      <c r="CN1809" t="str">
        <f>"Higdon"</f>
        <v>Higdon</v>
      </c>
      <c r="CO1809" t="str">
        <f>"Nathaniel"</f>
        <v>Nathaniel</v>
      </c>
      <c r="CP1809" t="str">
        <f>""</f>
        <v/>
      </c>
      <c r="CQ1809" t="str">
        <f>"Fragomen, Del Rey, Bernsen &amp; Loewy, LLP"</f>
        <v>Fragomen, Del Rey, Bernsen &amp; Loewy, LLP</v>
      </c>
      <c r="CR1809" t="s">
        <v>5348</v>
      </c>
    </row>
    <row r="1810" spans="1:96" x14ac:dyDescent="0.2">
      <c r="A1810" t="s">
        <v>8248</v>
      </c>
      <c r="B1810" t="s">
        <v>96</v>
      </c>
      <c r="C1810" s="1">
        <v>44099</v>
      </c>
      <c r="D1810" s="1">
        <v>44106</v>
      </c>
      <c r="F1810" t="s">
        <v>97</v>
      </c>
      <c r="G1810" t="str">
        <f>"System Architect "</f>
        <v xml:space="preserve">System Architect </v>
      </c>
      <c r="H1810" t="s">
        <v>12168</v>
      </c>
      <c r="I1810" t="s">
        <v>160</v>
      </c>
      <c r="J1810" t="s">
        <v>98</v>
      </c>
      <c r="K1810" s="1">
        <v>44106</v>
      </c>
      <c r="L1810" s="1">
        <v>45200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 t="s">
        <v>1189</v>
      </c>
      <c r="U1810" t="str">
        <f>""</f>
        <v/>
      </c>
      <c r="V1810" t="s">
        <v>1190</v>
      </c>
      <c r="W1810" t="str">
        <f>"THIRD FLOOR"</f>
        <v>THIRD FLOOR</v>
      </c>
      <c r="X1810" t="s">
        <v>1191</v>
      </c>
      <c r="Y1810" t="s">
        <v>171</v>
      </c>
      <c r="Z1810" s="3">
        <v>1801</v>
      </c>
      <c r="AA1810" t="s">
        <v>101</v>
      </c>
      <c r="AC1810" s="4" t="str">
        <f>"+17819391720"</f>
        <v>+17819391720</v>
      </c>
      <c r="AE1810" t="str">
        <f>"541511"</f>
        <v>541511</v>
      </c>
      <c r="AF1810" t="s">
        <v>1192</v>
      </c>
      <c r="AG1810" t="s">
        <v>1193</v>
      </c>
      <c r="AH1810" t="s">
        <v>1080</v>
      </c>
      <c r="AI1810" t="s">
        <v>1194</v>
      </c>
      <c r="AJ1810" t="s">
        <v>1195</v>
      </c>
      <c r="AK1810" t="str">
        <f>"Third Floor"</f>
        <v>Third Floor</v>
      </c>
      <c r="AL1810" t="s">
        <v>1196</v>
      </c>
      <c r="AM1810" t="s">
        <v>171</v>
      </c>
      <c r="AN1810" s="3">
        <v>1801</v>
      </c>
      <c r="AO1810" t="s">
        <v>101</v>
      </c>
      <c r="AQ1810" t="str">
        <f>"+17819391720"</f>
        <v>+17819391720</v>
      </c>
      <c r="AS1810" t="s">
        <v>1197</v>
      </c>
      <c r="AT1810" t="s">
        <v>107</v>
      </c>
      <c r="AU1810" t="str">
        <f>"Tadmor"</f>
        <v>Tadmor</v>
      </c>
      <c r="AV1810" t="str">
        <f>"Yoav"</f>
        <v>Yoav</v>
      </c>
      <c r="AW1810" t="str">
        <f>""</f>
        <v/>
      </c>
      <c r="AX1810" t="str">
        <f>"340 Main Street "</f>
        <v xml:space="preserve">340 Main Street </v>
      </c>
      <c r="AY1810" t="str">
        <f>"Suite 610"</f>
        <v>Suite 610</v>
      </c>
      <c r="AZ1810" t="str">
        <f>"Worcester "</f>
        <v xml:space="preserve">Worcester </v>
      </c>
      <c r="BA1810" t="str">
        <f>"MA"</f>
        <v>MA</v>
      </c>
      <c r="BB1810" s="3">
        <v>1608</v>
      </c>
      <c r="BC1810" t="str">
        <f t="shared" si="144"/>
        <v>UNITED STATES OF AMERICA</v>
      </c>
      <c r="BD1810" t="str">
        <f>""</f>
        <v/>
      </c>
      <c r="BE1810" t="str">
        <f>"+15087919400"</f>
        <v>+15087919400</v>
      </c>
      <c r="BF1810" t="str">
        <f>""</f>
        <v/>
      </c>
      <c r="BG1810" t="str">
        <f>"yoav@tadmorlaw.com"</f>
        <v>yoav@tadmorlaw.com</v>
      </c>
      <c r="BH1810" t="str">
        <f>"Tadmor &amp; Tadmor LLP"</f>
        <v>Tadmor &amp; Tadmor LLP</v>
      </c>
      <c r="BI1810" t="str">
        <f>"MA"</f>
        <v>MA</v>
      </c>
      <c r="BJ1810" t="str">
        <f>"Supreme Judicial Court "</f>
        <v xml:space="preserve">Supreme Judicial Court </v>
      </c>
      <c r="BK1810">
        <v>1</v>
      </c>
      <c r="BL1810" t="s">
        <v>107</v>
      </c>
      <c r="BM1810" t="str">
        <f>"Cigna "</f>
        <v xml:space="preserve">Cigna </v>
      </c>
      <c r="BN1810" t="s">
        <v>8249</v>
      </c>
      <c r="BP1810" t="s">
        <v>2665</v>
      </c>
      <c r="BQ1810" t="s">
        <v>1624</v>
      </c>
      <c r="BR1810" t="s">
        <v>352</v>
      </c>
      <c r="BS1810" s="5">
        <v>46032</v>
      </c>
      <c r="BT1810" s="2">
        <v>130000</v>
      </c>
      <c r="BV1810" t="s">
        <v>105</v>
      </c>
      <c r="BW1810" s="2">
        <v>60611</v>
      </c>
      <c r="BX1810" t="s">
        <v>105</v>
      </c>
      <c r="BZ1810" t="s">
        <v>167</v>
      </c>
      <c r="CA1810" t="str">
        <f t="shared" si="145"/>
        <v>7/1/2020 - 6/30/2021</v>
      </c>
      <c r="CF1810">
        <v>1</v>
      </c>
      <c r="CG1810" t="s">
        <v>98</v>
      </c>
      <c r="CH1810" t="s">
        <v>206</v>
      </c>
      <c r="CI1810" t="s">
        <v>206</v>
      </c>
      <c r="CL1810" t="s">
        <v>108</v>
      </c>
      <c r="CM1810" t="s">
        <v>109</v>
      </c>
      <c r="CN1810" t="str">
        <f>""</f>
        <v/>
      </c>
      <c r="CO1810" t="str">
        <f>""</f>
        <v/>
      </c>
      <c r="CP1810" t="str">
        <f>""</f>
        <v/>
      </c>
      <c r="CQ1810" t="str">
        <f>""</f>
        <v/>
      </c>
    </row>
    <row r="1811" spans="1:96" x14ac:dyDescent="0.2">
      <c r="A1811" t="s">
        <v>8259</v>
      </c>
      <c r="B1811" t="s">
        <v>96</v>
      </c>
      <c r="C1811" s="1">
        <v>44099</v>
      </c>
      <c r="D1811" s="1">
        <v>44106</v>
      </c>
      <c r="F1811" t="s">
        <v>97</v>
      </c>
      <c r="G1811" t="str">
        <f>"Software Engineer"</f>
        <v>Software Engineer</v>
      </c>
      <c r="H1811" t="s">
        <v>12169</v>
      </c>
      <c r="I1811" t="s">
        <v>124</v>
      </c>
      <c r="J1811" t="s">
        <v>98</v>
      </c>
      <c r="K1811" s="1">
        <v>44144</v>
      </c>
      <c r="L1811" s="1">
        <v>45238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 t="s">
        <v>6082</v>
      </c>
      <c r="U1811" t="str">
        <f>""</f>
        <v/>
      </c>
      <c r="V1811" t="s">
        <v>6083</v>
      </c>
      <c r="W1811" t="str">
        <f>"Ste. 1000"</f>
        <v>Ste. 1000</v>
      </c>
      <c r="X1811" t="s">
        <v>4818</v>
      </c>
      <c r="Y1811" t="s">
        <v>141</v>
      </c>
      <c r="Z1811" s="3">
        <v>91362</v>
      </c>
      <c r="AA1811" t="s">
        <v>101</v>
      </c>
      <c r="AC1811" s="4" t="str">
        <f>"+18055572064"</f>
        <v>+18055572064</v>
      </c>
      <c r="AE1811" t="str">
        <f>"531390"</f>
        <v>531390</v>
      </c>
      <c r="AF1811" t="s">
        <v>6084</v>
      </c>
      <c r="AG1811" t="s">
        <v>5152</v>
      </c>
      <c r="AI1811" t="s">
        <v>6085</v>
      </c>
      <c r="AJ1811" t="s">
        <v>6083</v>
      </c>
      <c r="AK1811" t="str">
        <f>"Ste. 1000"</f>
        <v>Ste. 1000</v>
      </c>
      <c r="AL1811" t="s">
        <v>4818</v>
      </c>
      <c r="AM1811" t="s">
        <v>141</v>
      </c>
      <c r="AN1811" s="3">
        <v>91362</v>
      </c>
      <c r="AO1811" t="s">
        <v>101</v>
      </c>
      <c r="AQ1811" t="str">
        <f>"+18055572064"</f>
        <v>+18055572064</v>
      </c>
      <c r="AS1811" t="s">
        <v>6086</v>
      </c>
      <c r="AT1811" t="s">
        <v>107</v>
      </c>
      <c r="AU1811" t="str">
        <f>"Wu"</f>
        <v>Wu</v>
      </c>
      <c r="AV1811" t="str">
        <f>"Katie"</f>
        <v>Katie</v>
      </c>
      <c r="AW1811" t="str">
        <f>"W."</f>
        <v>W.</v>
      </c>
      <c r="AX1811" t="str">
        <f>"30300 Agoura Road"</f>
        <v>30300 Agoura Road</v>
      </c>
      <c r="AY1811" t="str">
        <f>"Ste. B100"</f>
        <v>Ste. B100</v>
      </c>
      <c r="AZ1811" t="str">
        <f>"Agoura Hills"</f>
        <v>Agoura Hills</v>
      </c>
      <c r="BA1811" t="str">
        <f>"CA"</f>
        <v>CA</v>
      </c>
      <c r="BB1811" s="3">
        <v>91301</v>
      </c>
      <c r="BC1811" t="str">
        <f t="shared" si="144"/>
        <v>UNITED STATES OF AMERICA</v>
      </c>
      <c r="BD1811" t="str">
        <f>""</f>
        <v/>
      </c>
      <c r="BE1811" t="str">
        <f>"+18189146482"</f>
        <v>+18189146482</v>
      </c>
      <c r="BF1811" t="str">
        <f>""</f>
        <v/>
      </c>
      <c r="BG1811" t="str">
        <f>"Admin@gotcherlaw.com"</f>
        <v>Admin@gotcherlaw.com</v>
      </c>
      <c r="BH1811" t="str">
        <f>"Global Immigration Partners, Inc"</f>
        <v>Global Immigration Partners, Inc</v>
      </c>
      <c r="BI1811" t="str">
        <f>"CA"</f>
        <v>CA</v>
      </c>
      <c r="BJ1811" t="str">
        <f>"Supreme Court"</f>
        <v>Supreme Court</v>
      </c>
      <c r="BK1811">
        <v>1</v>
      </c>
      <c r="BL1811" t="s">
        <v>102</v>
      </c>
      <c r="BM1811" t="str">
        <f>""</f>
        <v/>
      </c>
      <c r="BN1811" t="s">
        <v>8260</v>
      </c>
      <c r="BO1811" t="s">
        <v>6031</v>
      </c>
      <c r="BP1811" t="s">
        <v>2549</v>
      </c>
      <c r="BQ1811" t="s">
        <v>5904</v>
      </c>
      <c r="BR1811" t="s">
        <v>2550</v>
      </c>
      <c r="BS1811" s="5">
        <v>26505</v>
      </c>
      <c r="BT1811" s="2">
        <v>103000</v>
      </c>
      <c r="BV1811" t="s">
        <v>105</v>
      </c>
      <c r="BW1811" s="2">
        <v>76877</v>
      </c>
      <c r="BX1811" t="s">
        <v>105</v>
      </c>
      <c r="BZ1811" t="s">
        <v>167</v>
      </c>
      <c r="CA1811" t="str">
        <f t="shared" si="145"/>
        <v>7/1/2020 - 6/30/2021</v>
      </c>
      <c r="CF1811">
        <v>1</v>
      </c>
      <c r="CG1811" t="s">
        <v>98</v>
      </c>
      <c r="CH1811" t="s">
        <v>206</v>
      </c>
      <c r="CI1811" t="s">
        <v>206</v>
      </c>
      <c r="CL1811" t="s">
        <v>108</v>
      </c>
      <c r="CM1811" t="s">
        <v>109</v>
      </c>
      <c r="CN1811" t="str">
        <f>"Wu"</f>
        <v>Wu</v>
      </c>
      <c r="CO1811" t="str">
        <f>"Katie"</f>
        <v>Katie</v>
      </c>
      <c r="CP1811" t="str">
        <f>"W."</f>
        <v>W.</v>
      </c>
      <c r="CQ1811" t="str">
        <f>"Global Immigration Partners, Inc"</f>
        <v>Global Immigration Partners, Inc</v>
      </c>
      <c r="CR1811" t="s">
        <v>1275</v>
      </c>
    </row>
    <row r="1812" spans="1:96" x14ac:dyDescent="0.2">
      <c r="A1812" t="s">
        <v>8274</v>
      </c>
      <c r="B1812" t="s">
        <v>96</v>
      </c>
      <c r="C1812" s="1">
        <v>44099</v>
      </c>
      <c r="D1812" s="1">
        <v>44106</v>
      </c>
      <c r="F1812" t="s">
        <v>97</v>
      </c>
      <c r="G1812" t="str">
        <f>"Researcher III – Hybrid Power Systems Engineer"</f>
        <v>Researcher III – Hybrid Power Systems Engineer</v>
      </c>
      <c r="H1812" t="s">
        <v>12217</v>
      </c>
      <c r="I1812" t="s">
        <v>6746</v>
      </c>
      <c r="J1812" t="s">
        <v>98</v>
      </c>
      <c r="K1812" s="1">
        <v>44207</v>
      </c>
      <c r="L1812" s="1">
        <v>45301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654</v>
      </c>
      <c r="U1812" t="str">
        <f>""</f>
        <v/>
      </c>
      <c r="V1812" t="s">
        <v>655</v>
      </c>
      <c r="W1812" t="str">
        <f>""</f>
        <v/>
      </c>
      <c r="X1812" t="s">
        <v>656</v>
      </c>
      <c r="Y1812" t="s">
        <v>166</v>
      </c>
      <c r="Z1812" s="3">
        <v>80401</v>
      </c>
      <c r="AA1812" t="s">
        <v>101</v>
      </c>
      <c r="AC1812" s="4" t="str">
        <f>"+13033847304"</f>
        <v>+13033847304</v>
      </c>
      <c r="AE1812" t="str">
        <f>"5417"</f>
        <v>5417</v>
      </c>
      <c r="AF1812" t="s">
        <v>657</v>
      </c>
      <c r="AG1812" t="s">
        <v>658</v>
      </c>
      <c r="AI1812" t="s">
        <v>659</v>
      </c>
      <c r="AJ1812" t="s">
        <v>655</v>
      </c>
      <c r="AK1812" t="str">
        <f>""</f>
        <v/>
      </c>
      <c r="AL1812" t="s">
        <v>656</v>
      </c>
      <c r="AM1812" t="s">
        <v>166</v>
      </c>
      <c r="AN1812" s="3">
        <v>80401</v>
      </c>
      <c r="AO1812" t="s">
        <v>101</v>
      </c>
      <c r="AQ1812" t="str">
        <f>"+13033847304"</f>
        <v>+13033847304</v>
      </c>
      <c r="AS1812" t="s">
        <v>660</v>
      </c>
      <c r="AT1812" t="s">
        <v>107</v>
      </c>
      <c r="AU1812" t="str">
        <f>"Wagner"</f>
        <v>Wagner</v>
      </c>
      <c r="AV1812" t="str">
        <f>"David"</f>
        <v>David</v>
      </c>
      <c r="AW1812" t="str">
        <f>"J."</f>
        <v>J.</v>
      </c>
      <c r="AX1812" t="str">
        <f>"2000 S. Colorado Blvd. - Tower 3"</f>
        <v>2000 S. Colorado Blvd. - Tower 3</v>
      </c>
      <c r="AY1812" t="str">
        <f>"Suite 900"</f>
        <v>Suite 900</v>
      </c>
      <c r="AZ1812" t="str">
        <f>"Denver"</f>
        <v>Denver</v>
      </c>
      <c r="BA1812" t="str">
        <f>"CO"</f>
        <v>CO</v>
      </c>
      <c r="BB1812" s="3">
        <v>80222</v>
      </c>
      <c r="BC1812" t="str">
        <f t="shared" si="144"/>
        <v>UNITED STATES OF AMERICA</v>
      </c>
      <c r="BD1812" t="str">
        <f>""</f>
        <v/>
      </c>
      <c r="BE1812" t="str">
        <f>"+13037646802"</f>
        <v>+13037646802</v>
      </c>
      <c r="BF1812" t="str">
        <f>""</f>
        <v/>
      </c>
      <c r="BG1812" t="str">
        <f>"david.wagner@ogletree.com"</f>
        <v>david.wagner@ogletree.com</v>
      </c>
      <c r="BH1812" t="str">
        <f>"Ogletree Deakins"</f>
        <v>Ogletree Deakins</v>
      </c>
      <c r="BI1812" t="str">
        <f>"IL"</f>
        <v>IL</v>
      </c>
      <c r="BJ1812" t="str">
        <f>"Illinois Supreme Court"</f>
        <v>Illinois Supreme Court</v>
      </c>
      <c r="BK1812">
        <v>1</v>
      </c>
      <c r="BL1812" t="s">
        <v>102</v>
      </c>
      <c r="BM1812" t="str">
        <f>""</f>
        <v/>
      </c>
      <c r="BN1812" t="s">
        <v>655</v>
      </c>
      <c r="BO1812" t="s">
        <v>2314</v>
      </c>
      <c r="BP1812" t="s">
        <v>656</v>
      </c>
      <c r="BQ1812" t="s">
        <v>369</v>
      </c>
      <c r="BR1812" t="s">
        <v>166</v>
      </c>
      <c r="BS1812" s="5">
        <v>80401</v>
      </c>
      <c r="BT1812" s="2">
        <v>90189</v>
      </c>
      <c r="BU1812" s="2">
        <v>123600</v>
      </c>
      <c r="BV1812" t="s">
        <v>105</v>
      </c>
      <c r="BW1812" s="2">
        <v>90189</v>
      </c>
      <c r="BX1812" t="s">
        <v>105</v>
      </c>
      <c r="BZ1812" t="s">
        <v>123</v>
      </c>
      <c r="CA1812" t="str">
        <f t="shared" si="145"/>
        <v>7/1/2020 - 6/30/2021</v>
      </c>
      <c r="CF1812">
        <v>1</v>
      </c>
      <c r="CG1812" t="s">
        <v>98</v>
      </c>
      <c r="CH1812" t="s">
        <v>206</v>
      </c>
      <c r="CI1812" t="s">
        <v>206</v>
      </c>
      <c r="CL1812" t="s">
        <v>108</v>
      </c>
      <c r="CM1812" t="s">
        <v>109</v>
      </c>
      <c r="CN1812" t="str">
        <f>"Silver"</f>
        <v>Silver</v>
      </c>
      <c r="CO1812" t="str">
        <f>"Justin"</f>
        <v>Justin</v>
      </c>
      <c r="CP1812" t="str">
        <f>"S."</f>
        <v>S.</v>
      </c>
      <c r="CQ1812" t="str">
        <f>"Ogletree Deakins"</f>
        <v>Ogletree Deakins</v>
      </c>
      <c r="CR1812" t="s">
        <v>661</v>
      </c>
    </row>
    <row r="1813" spans="1:96" x14ac:dyDescent="0.2">
      <c r="A1813" t="s">
        <v>8282</v>
      </c>
      <c r="B1813" t="s">
        <v>96</v>
      </c>
      <c r="C1813" s="1">
        <v>44099</v>
      </c>
      <c r="D1813" s="1">
        <v>44106</v>
      </c>
      <c r="F1813" t="s">
        <v>97</v>
      </c>
      <c r="G1813" t="str">
        <f>"Pr. Engineer - Business Systems"</f>
        <v>Pr. Engineer - Business Systems</v>
      </c>
      <c r="H1813" t="s">
        <v>12176</v>
      </c>
      <c r="I1813" t="s">
        <v>246</v>
      </c>
      <c r="J1813" t="s">
        <v>98</v>
      </c>
      <c r="K1813" s="1">
        <v>44109</v>
      </c>
      <c r="L1813" s="1">
        <v>45203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5494</v>
      </c>
      <c r="U1813" t="str">
        <f>""</f>
        <v/>
      </c>
      <c r="V1813" t="s">
        <v>5495</v>
      </c>
      <c r="W1813" t="str">
        <f>""</f>
        <v/>
      </c>
      <c r="X1813" t="s">
        <v>256</v>
      </c>
      <c r="Y1813" t="s">
        <v>258</v>
      </c>
      <c r="Z1813" s="3">
        <v>85224</v>
      </c>
      <c r="AA1813" t="s">
        <v>101</v>
      </c>
      <c r="AC1813" s="4" t="str">
        <f>"+14807927200"</f>
        <v>+14807927200</v>
      </c>
      <c r="AE1813" t="str">
        <f>"3344"</f>
        <v>3344</v>
      </c>
      <c r="AF1813" t="s">
        <v>5496</v>
      </c>
      <c r="AG1813" t="s">
        <v>3323</v>
      </c>
      <c r="AH1813" t="s">
        <v>1080</v>
      </c>
      <c r="AI1813" t="s">
        <v>5497</v>
      </c>
      <c r="AJ1813" t="s">
        <v>5495</v>
      </c>
      <c r="AK1813" t="str">
        <f>""</f>
        <v/>
      </c>
      <c r="AL1813" t="s">
        <v>256</v>
      </c>
      <c r="AM1813" t="s">
        <v>258</v>
      </c>
      <c r="AN1813" s="3">
        <v>85224</v>
      </c>
      <c r="AO1813" t="s">
        <v>101</v>
      </c>
      <c r="AQ1813" t="str">
        <f>"+14807927200"</f>
        <v>+14807927200</v>
      </c>
      <c r="AS1813" t="s">
        <v>5498</v>
      </c>
      <c r="AT1813" t="s">
        <v>107</v>
      </c>
      <c r="AU1813" t="str">
        <f>"Russell"</f>
        <v>Russell</v>
      </c>
      <c r="AV1813" t="str">
        <f>"Sophia"</f>
        <v>Sophia</v>
      </c>
      <c r="AW1813" t="str">
        <f>"Y"</f>
        <v>Y</v>
      </c>
      <c r="AX1813" t="str">
        <f>"675 N. 1st St., Ste 1050"</f>
        <v>675 N. 1st St., Ste 1050</v>
      </c>
      <c r="AY1813" t="str">
        <f>""</f>
        <v/>
      </c>
      <c r="AZ1813" t="str">
        <f>"San Jose"</f>
        <v>San Jose</v>
      </c>
      <c r="BA1813" t="str">
        <f>"CA"</f>
        <v>CA</v>
      </c>
      <c r="BB1813" s="3">
        <v>95112</v>
      </c>
      <c r="BC1813" t="str">
        <f t="shared" si="144"/>
        <v>UNITED STATES OF AMERICA</v>
      </c>
      <c r="BD1813" t="str">
        <f>""</f>
        <v/>
      </c>
      <c r="BE1813" t="str">
        <f>"+15128061457"</f>
        <v>+15128061457</v>
      </c>
      <c r="BF1813" t="str">
        <f>""</f>
        <v/>
      </c>
      <c r="BG1813" t="str">
        <f>"srussell@grahamadair.com"</f>
        <v>srussell@grahamadair.com</v>
      </c>
      <c r="BH1813" t="str">
        <f>"Graham Adair, Inc."</f>
        <v>Graham Adair, Inc.</v>
      </c>
      <c r="BI1813" t="str">
        <f>"TX"</f>
        <v>TX</v>
      </c>
      <c r="BJ1813" t="str">
        <f>"Texas Supreme Court"</f>
        <v>Texas Supreme Court</v>
      </c>
      <c r="BK1813">
        <v>1</v>
      </c>
      <c r="BL1813" t="s">
        <v>102</v>
      </c>
      <c r="BM1813" t="str">
        <f>""</f>
        <v/>
      </c>
      <c r="BN1813" t="s">
        <v>5495</v>
      </c>
      <c r="BP1813" t="s">
        <v>256</v>
      </c>
      <c r="BQ1813" t="s">
        <v>257</v>
      </c>
      <c r="BR1813" t="s">
        <v>258</v>
      </c>
      <c r="BS1813" s="5">
        <v>85224</v>
      </c>
      <c r="BT1813" s="2">
        <v>83637</v>
      </c>
      <c r="BU1813" s="2">
        <v>115000</v>
      </c>
      <c r="BV1813" t="s">
        <v>105</v>
      </c>
      <c r="BW1813" s="2">
        <v>83637</v>
      </c>
      <c r="BX1813" t="s">
        <v>105</v>
      </c>
      <c r="BZ1813" t="s">
        <v>167</v>
      </c>
      <c r="CA1813" t="str">
        <f t="shared" si="145"/>
        <v>7/1/2020 - 6/30/2021</v>
      </c>
      <c r="CF1813">
        <v>1</v>
      </c>
      <c r="CG1813" t="s">
        <v>98</v>
      </c>
      <c r="CH1813" t="s">
        <v>206</v>
      </c>
      <c r="CI1813" t="s">
        <v>206</v>
      </c>
      <c r="CL1813" t="s">
        <v>108</v>
      </c>
      <c r="CM1813" t="s">
        <v>109</v>
      </c>
      <c r="CN1813" t="str">
        <f>"Russell"</f>
        <v>Russell</v>
      </c>
      <c r="CO1813" t="str">
        <f>"Sophia"</f>
        <v>Sophia</v>
      </c>
      <c r="CP1813" t="str">
        <f>"Y"</f>
        <v>Y</v>
      </c>
      <c r="CQ1813" t="str">
        <f>"Graham Adair, Inc."</f>
        <v>Graham Adair, Inc.</v>
      </c>
      <c r="CR1813" t="s">
        <v>2879</v>
      </c>
    </row>
    <row r="1814" spans="1:96" x14ac:dyDescent="0.2">
      <c r="A1814" t="s">
        <v>8287</v>
      </c>
      <c r="B1814" t="s">
        <v>96</v>
      </c>
      <c r="C1814" s="1">
        <v>44099</v>
      </c>
      <c r="D1814" s="1">
        <v>44106</v>
      </c>
      <c r="F1814" t="s">
        <v>97</v>
      </c>
      <c r="G1814" t="str">
        <f>"QUALITY SR ANALYST"</f>
        <v>QUALITY SR ANALYST</v>
      </c>
      <c r="H1814" t="s">
        <v>12217</v>
      </c>
      <c r="I1814" t="s">
        <v>778</v>
      </c>
      <c r="J1814" t="s">
        <v>98</v>
      </c>
      <c r="K1814" s="1">
        <v>44105</v>
      </c>
      <c r="L1814" s="1">
        <v>45199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7651</v>
      </c>
      <c r="U1814" t="str">
        <f>""</f>
        <v/>
      </c>
      <c r="V1814" t="s">
        <v>7652</v>
      </c>
      <c r="W1814" t="str">
        <f>""</f>
        <v/>
      </c>
      <c r="X1814" t="s">
        <v>480</v>
      </c>
      <c r="Y1814" t="s">
        <v>215</v>
      </c>
      <c r="Z1814" s="3">
        <v>30308</v>
      </c>
      <c r="AA1814" t="s">
        <v>101</v>
      </c>
      <c r="AB1814" t="s">
        <v>4832</v>
      </c>
      <c r="AC1814" s="4" t="str">
        <f>"+16788085996"</f>
        <v>+16788085996</v>
      </c>
      <c r="AE1814" t="str">
        <f>"541519"</f>
        <v>541519</v>
      </c>
      <c r="AF1814" t="s">
        <v>7653</v>
      </c>
      <c r="AG1814" t="s">
        <v>7654</v>
      </c>
      <c r="AH1814" t="s">
        <v>1723</v>
      </c>
      <c r="AI1814" t="s">
        <v>2896</v>
      </c>
      <c r="AJ1814" t="s">
        <v>7652</v>
      </c>
      <c r="AK1814" t="str">
        <f>""</f>
        <v/>
      </c>
      <c r="AL1814" t="s">
        <v>213</v>
      </c>
      <c r="AM1814" t="s">
        <v>215</v>
      </c>
      <c r="AN1814" s="3">
        <v>30308</v>
      </c>
      <c r="AO1814" t="s">
        <v>101</v>
      </c>
      <c r="AP1814" t="s">
        <v>1446</v>
      </c>
      <c r="AQ1814" t="str">
        <f>"+16788085996"</f>
        <v>+16788085996</v>
      </c>
      <c r="AS1814" t="s">
        <v>5447</v>
      </c>
      <c r="AT1814" t="s">
        <v>107</v>
      </c>
      <c r="AU1814" t="str">
        <f>"van Stiphout"</f>
        <v>van Stiphout</v>
      </c>
      <c r="AV1814" t="str">
        <f>"Monique"</f>
        <v>Monique</v>
      </c>
      <c r="AW1814" t="str">
        <f>"Anne"</f>
        <v>Anne</v>
      </c>
      <c r="AX1814" t="str">
        <f>"1800 Massachusetts Ave, NW"</f>
        <v>1800 Massachusetts Ave, NW</v>
      </c>
      <c r="AY1814" t="str">
        <f>"Suite 300"</f>
        <v>Suite 300</v>
      </c>
      <c r="AZ1814" t="str">
        <f>"Washington"</f>
        <v>Washington</v>
      </c>
      <c r="BA1814" t="str">
        <f>"DC"</f>
        <v>DC</v>
      </c>
      <c r="BB1814" s="3">
        <v>20036</v>
      </c>
      <c r="BC1814" t="str">
        <f t="shared" si="144"/>
        <v>UNITED STATES OF AMERICA</v>
      </c>
      <c r="BD1814" t="str">
        <f>"DC"</f>
        <v>DC</v>
      </c>
      <c r="BE1814" t="str">
        <f>"+12024830053"</f>
        <v>+12024830053</v>
      </c>
      <c r="BF1814" t="str">
        <f>"137"</f>
        <v>137</v>
      </c>
      <c r="BG1814" t="str">
        <f>"mvanstiphout@maggio-kattar.com"</f>
        <v>mvanstiphout@maggio-kattar.com</v>
      </c>
      <c r="BH1814" t="str">
        <f>"Maggio Kattar"</f>
        <v>Maggio Kattar</v>
      </c>
      <c r="BI1814" t="str">
        <f>"DC"</f>
        <v>DC</v>
      </c>
      <c r="BJ1814" t="str">
        <f>"District of Columbia Court of Appeals"</f>
        <v>District of Columbia Court of Appeals</v>
      </c>
      <c r="BK1814">
        <v>1</v>
      </c>
      <c r="BL1814" t="s">
        <v>102</v>
      </c>
      <c r="BM1814" t="str">
        <f>""</f>
        <v/>
      </c>
      <c r="BN1814" t="s">
        <v>7652</v>
      </c>
      <c r="BP1814" t="s">
        <v>213</v>
      </c>
      <c r="BQ1814" t="s">
        <v>214</v>
      </c>
      <c r="BR1814" t="s">
        <v>215</v>
      </c>
      <c r="BS1814" s="5">
        <v>30308</v>
      </c>
      <c r="BT1814" s="2">
        <v>95838</v>
      </c>
      <c r="BU1814" s="2">
        <v>114000</v>
      </c>
      <c r="BV1814" t="s">
        <v>105</v>
      </c>
      <c r="BW1814" s="2">
        <v>95838</v>
      </c>
      <c r="BX1814" t="s">
        <v>105</v>
      </c>
      <c r="CA1814" t="str">
        <f>""</f>
        <v/>
      </c>
      <c r="CB1814" t="s">
        <v>244</v>
      </c>
      <c r="CC1814">
        <v>2019</v>
      </c>
      <c r="CD1814" t="s">
        <v>1155</v>
      </c>
      <c r="CE1814" t="s">
        <v>8288</v>
      </c>
      <c r="CF1814">
        <v>5</v>
      </c>
      <c r="CG1814" t="s">
        <v>98</v>
      </c>
      <c r="CH1814" t="s">
        <v>206</v>
      </c>
      <c r="CI1814" t="s">
        <v>206</v>
      </c>
      <c r="CL1814" t="s">
        <v>108</v>
      </c>
      <c r="CM1814" t="s">
        <v>109</v>
      </c>
      <c r="CN1814" t="str">
        <f>"Collins"</f>
        <v>Collins</v>
      </c>
      <c r="CO1814" t="str">
        <f>"James"</f>
        <v>James</v>
      </c>
      <c r="CP1814" t="str">
        <f>"L"</f>
        <v>L</v>
      </c>
      <c r="CQ1814" t="str">
        <f>"Maggio Kattar"</f>
        <v>Maggio Kattar</v>
      </c>
      <c r="CR1814" t="s">
        <v>7981</v>
      </c>
    </row>
    <row r="1815" spans="1:96" x14ac:dyDescent="0.2">
      <c r="A1815" t="s">
        <v>8291</v>
      </c>
      <c r="B1815" t="s">
        <v>96</v>
      </c>
      <c r="C1815" s="1">
        <v>44099</v>
      </c>
      <c r="D1815" s="1">
        <v>44106</v>
      </c>
      <c r="F1815" t="s">
        <v>97</v>
      </c>
      <c r="G1815" t="str">
        <f>"Assistant Professor of Finance"</f>
        <v>Assistant Professor of Finance</v>
      </c>
      <c r="H1815" t="s">
        <v>12243</v>
      </c>
      <c r="I1815" t="s">
        <v>3296</v>
      </c>
      <c r="J1815" t="s">
        <v>98</v>
      </c>
      <c r="K1815" s="1">
        <v>44166</v>
      </c>
      <c r="L1815" s="1">
        <v>45260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4488</v>
      </c>
      <c r="U1815" t="str">
        <f>""</f>
        <v/>
      </c>
      <c r="V1815" t="s">
        <v>7619</v>
      </c>
      <c r="W1815" t="str">
        <f>"Office of International Students and Scholars"</f>
        <v>Office of International Students and Scholars</v>
      </c>
      <c r="X1815" t="s">
        <v>1113</v>
      </c>
      <c r="Y1815" t="s">
        <v>1035</v>
      </c>
      <c r="Z1815" s="3">
        <v>3824</v>
      </c>
      <c r="AA1815" t="s">
        <v>101</v>
      </c>
      <c r="AC1815" s="4" t="str">
        <f>"+16038621288"</f>
        <v>+16038621288</v>
      </c>
      <c r="AE1815" t="str">
        <f>"611310"</f>
        <v>611310</v>
      </c>
      <c r="AF1815" t="s">
        <v>4489</v>
      </c>
      <c r="AG1815" t="s">
        <v>927</v>
      </c>
      <c r="AI1815" t="s">
        <v>117</v>
      </c>
      <c r="AJ1815" t="s">
        <v>8292</v>
      </c>
      <c r="AK1815" t="str">
        <f>"Office of International Students &amp; Scholars"</f>
        <v>Office of International Students &amp; Scholars</v>
      </c>
      <c r="AL1815" t="s">
        <v>1113</v>
      </c>
      <c r="AM1815" t="s">
        <v>1035</v>
      </c>
      <c r="AN1815" s="3">
        <v>3824</v>
      </c>
      <c r="AO1815" t="s">
        <v>101</v>
      </c>
      <c r="AQ1815" t="str">
        <f>"+16038621508"</f>
        <v>+16038621508</v>
      </c>
      <c r="AS1815" t="s">
        <v>4490</v>
      </c>
      <c r="AT1815" t="s">
        <v>102</v>
      </c>
      <c r="AU1815" t="str">
        <f>""</f>
        <v/>
      </c>
      <c r="AV1815" t="str">
        <f>""</f>
        <v/>
      </c>
      <c r="AW1815" t="str">
        <f>""</f>
        <v/>
      </c>
      <c r="AX1815" t="str">
        <f>""</f>
        <v/>
      </c>
      <c r="AY1815" t="str">
        <f>""</f>
        <v/>
      </c>
      <c r="AZ1815" t="str">
        <f>""</f>
        <v/>
      </c>
      <c r="BA1815" t="str">
        <f>""</f>
        <v/>
      </c>
      <c r="BC1815" t="str">
        <f>""</f>
        <v/>
      </c>
      <c r="BD1815" t="str">
        <f>""</f>
        <v/>
      </c>
      <c r="BE1815" t="str">
        <f>""</f>
        <v/>
      </c>
      <c r="BF1815" t="str">
        <f>""</f>
        <v/>
      </c>
      <c r="BG1815" t="str">
        <f>""</f>
        <v/>
      </c>
      <c r="BH1815" t="str">
        <f>""</f>
        <v/>
      </c>
      <c r="BI1815" t="str">
        <f>""</f>
        <v/>
      </c>
      <c r="BJ1815" t="str">
        <f>""</f>
        <v/>
      </c>
      <c r="BK1815">
        <v>1</v>
      </c>
      <c r="BL1815" t="s">
        <v>102</v>
      </c>
      <c r="BM1815" t="str">
        <f>""</f>
        <v/>
      </c>
      <c r="BN1815" t="s">
        <v>7620</v>
      </c>
      <c r="BO1815" t="s">
        <v>8293</v>
      </c>
      <c r="BP1815" t="s">
        <v>1113</v>
      </c>
      <c r="BQ1815" t="s">
        <v>3909</v>
      </c>
      <c r="BR1815" t="s">
        <v>1035</v>
      </c>
      <c r="BS1815" s="5">
        <v>3824</v>
      </c>
      <c r="BT1815" s="2">
        <v>160000</v>
      </c>
      <c r="BV1815" t="s">
        <v>105</v>
      </c>
      <c r="BW1815" s="2">
        <v>160000</v>
      </c>
      <c r="BX1815" t="s">
        <v>105</v>
      </c>
      <c r="CA1815" t="str">
        <f>""</f>
        <v/>
      </c>
      <c r="CB1815" t="s">
        <v>106</v>
      </c>
      <c r="CC1815">
        <v>2015</v>
      </c>
      <c r="CF1815">
        <v>1</v>
      </c>
      <c r="CG1815" t="s">
        <v>98</v>
      </c>
      <c r="CH1815" t="s">
        <v>206</v>
      </c>
      <c r="CI1815" t="s">
        <v>206</v>
      </c>
      <c r="CL1815" t="s">
        <v>108</v>
      </c>
      <c r="CM1815" t="s">
        <v>353</v>
      </c>
      <c r="CN1815" t="str">
        <f>""</f>
        <v/>
      </c>
      <c r="CO1815" t="str">
        <f>""</f>
        <v/>
      </c>
      <c r="CP1815" t="str">
        <f>""</f>
        <v/>
      </c>
      <c r="CQ1815" t="str">
        <f>""</f>
        <v/>
      </c>
    </row>
    <row r="1816" spans="1:96" x14ac:dyDescent="0.2">
      <c r="A1816" t="s">
        <v>8334</v>
      </c>
      <c r="B1816" t="s">
        <v>96</v>
      </c>
      <c r="C1816" s="1">
        <v>44099</v>
      </c>
      <c r="D1816" s="1">
        <v>44106</v>
      </c>
      <c r="F1816" t="s">
        <v>97</v>
      </c>
      <c r="G1816" t="str">
        <f>"IT Senior Developer"</f>
        <v>IT Senior Developer</v>
      </c>
      <c r="H1816" t="s">
        <v>12169</v>
      </c>
      <c r="I1816" t="s">
        <v>124</v>
      </c>
      <c r="J1816" t="s">
        <v>98</v>
      </c>
      <c r="K1816" s="1">
        <v>44282</v>
      </c>
      <c r="L1816" s="1">
        <v>45377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 t="s">
        <v>8335</v>
      </c>
      <c r="U1816" t="str">
        <f>"ULTA BEAUTY"</f>
        <v>ULTA BEAUTY</v>
      </c>
      <c r="V1816" t="s">
        <v>4400</v>
      </c>
      <c r="W1816" t="str">
        <f>"Suite 120"</f>
        <v>Suite 120</v>
      </c>
      <c r="X1816" t="s">
        <v>4401</v>
      </c>
      <c r="Y1816" t="s">
        <v>345</v>
      </c>
      <c r="Z1816" s="3">
        <v>60440</v>
      </c>
      <c r="AA1816" t="s">
        <v>101</v>
      </c>
      <c r="AC1816" s="4" t="str">
        <f>"+16304104800"</f>
        <v>+16304104800</v>
      </c>
      <c r="AE1816" t="str">
        <f>"446120"</f>
        <v>446120</v>
      </c>
      <c r="AF1816" t="s">
        <v>8336</v>
      </c>
      <c r="AG1816" t="s">
        <v>3834</v>
      </c>
      <c r="AI1816" t="s">
        <v>5416</v>
      </c>
      <c r="AJ1816" t="s">
        <v>4400</v>
      </c>
      <c r="AK1816" t="str">
        <f>"Suite 120"</f>
        <v>Suite 120</v>
      </c>
      <c r="AL1816" t="s">
        <v>4401</v>
      </c>
      <c r="AM1816" t="s">
        <v>345</v>
      </c>
      <c r="AN1816" s="3">
        <v>60440</v>
      </c>
      <c r="AO1816" t="s">
        <v>101</v>
      </c>
      <c r="AQ1816" t="str">
        <f>"+16304104800"</f>
        <v>+16304104800</v>
      </c>
      <c r="AS1816" t="s">
        <v>8337</v>
      </c>
      <c r="AT1816" t="s">
        <v>107</v>
      </c>
      <c r="AU1816" t="str">
        <f>"Roeper"</f>
        <v>Roeper</v>
      </c>
      <c r="AV1816" t="str">
        <f>"Jennifer"</f>
        <v>Jennifer</v>
      </c>
      <c r="AW1816" t="str">
        <f>"Gail"</f>
        <v>Gail</v>
      </c>
      <c r="AX1816" t="str">
        <f>"100 N Tampa Street"</f>
        <v>100 N Tampa Street</v>
      </c>
      <c r="AY1816" t="str">
        <f>"Suite 3600"</f>
        <v>Suite 3600</v>
      </c>
      <c r="AZ1816" t="str">
        <f>"Tampa"</f>
        <v>Tampa</v>
      </c>
      <c r="BA1816" t="str">
        <f>"FL"</f>
        <v>FL</v>
      </c>
      <c r="BB1816" s="3">
        <v>33602</v>
      </c>
      <c r="BC1816" t="str">
        <f t="shared" ref="BC1816:BC1827" si="146">"UNITED STATES OF AMERICA"</f>
        <v>UNITED STATES OF AMERICA</v>
      </c>
      <c r="BD1816" t="str">
        <f>""</f>
        <v/>
      </c>
      <c r="BE1816" t="str">
        <f>"+18132217258"</f>
        <v>+18132217258</v>
      </c>
      <c r="BF1816" t="str">
        <f>""</f>
        <v/>
      </c>
      <c r="BG1816" t="str">
        <f>"jennifer.roeper@ogletree.com"</f>
        <v>jennifer.roeper@ogletree.com</v>
      </c>
      <c r="BH1816" t="str">
        <f>"Ogletree Deakins Nash Smoak &amp; Stewart, P.C."</f>
        <v>Ogletree Deakins Nash Smoak &amp; Stewart, P.C.</v>
      </c>
      <c r="BI1816" t="str">
        <f>"FL"</f>
        <v>FL</v>
      </c>
      <c r="BJ1816" t="str">
        <f>"Supreme Court"</f>
        <v>Supreme Court</v>
      </c>
      <c r="BK1816">
        <v>1</v>
      </c>
      <c r="BL1816" t="s">
        <v>102</v>
      </c>
      <c r="BM1816" t="str">
        <f>""</f>
        <v/>
      </c>
      <c r="BN1816" t="s">
        <v>4400</v>
      </c>
      <c r="BP1816" t="s">
        <v>4401</v>
      </c>
      <c r="BQ1816" t="s">
        <v>4402</v>
      </c>
      <c r="BR1816" t="s">
        <v>345</v>
      </c>
      <c r="BS1816" s="5">
        <v>60440</v>
      </c>
      <c r="BT1816" s="2">
        <v>127337.60000000001</v>
      </c>
      <c r="BV1816" t="s">
        <v>105</v>
      </c>
      <c r="BW1816" s="2">
        <v>87838</v>
      </c>
      <c r="BX1816" t="s">
        <v>105</v>
      </c>
      <c r="BZ1816" t="s">
        <v>167</v>
      </c>
      <c r="CA1816" t="str">
        <f>"7/1/2020 - 6/30/2021"</f>
        <v>7/1/2020 - 6/30/2021</v>
      </c>
      <c r="CF1816">
        <v>2</v>
      </c>
      <c r="CG1816" t="s">
        <v>98</v>
      </c>
      <c r="CH1816" t="s">
        <v>206</v>
      </c>
      <c r="CI1816" t="s">
        <v>206</v>
      </c>
      <c r="CL1816" t="s">
        <v>108</v>
      </c>
      <c r="CM1816" t="s">
        <v>109</v>
      </c>
      <c r="CN1816" t="str">
        <f>"Brigham"</f>
        <v>Brigham</v>
      </c>
      <c r="CO1816" t="str">
        <f>"Jennifer"</f>
        <v>Jennifer</v>
      </c>
      <c r="CP1816" t="str">
        <f>"L"</f>
        <v>L</v>
      </c>
      <c r="CQ1816" t="str">
        <f>"Ogletree Deakins"</f>
        <v>Ogletree Deakins</v>
      </c>
      <c r="CR1816" t="s">
        <v>1139</v>
      </c>
    </row>
    <row r="1817" spans="1:96" x14ac:dyDescent="0.2">
      <c r="A1817" t="s">
        <v>8338</v>
      </c>
      <c r="B1817" t="s">
        <v>96</v>
      </c>
      <c r="C1817" s="1">
        <v>44099</v>
      </c>
      <c r="D1817" s="1">
        <v>44106</v>
      </c>
      <c r="F1817" t="s">
        <v>97</v>
      </c>
      <c r="G1817" t="str">
        <f>"Manager, Field Application Engineer"</f>
        <v>Manager, Field Application Engineer</v>
      </c>
      <c r="H1817" t="s">
        <v>12186</v>
      </c>
      <c r="I1817" t="s">
        <v>232</v>
      </c>
      <c r="J1817" t="s">
        <v>98</v>
      </c>
      <c r="K1817" s="1">
        <v>44107</v>
      </c>
      <c r="L1817" s="1">
        <v>45201</v>
      </c>
      <c r="M1817">
        <v>10</v>
      </c>
      <c r="N1817">
        <v>2</v>
      </c>
      <c r="O1817">
        <v>2</v>
      </c>
      <c r="P1817">
        <v>2</v>
      </c>
      <c r="Q1817">
        <v>0</v>
      </c>
      <c r="R1817">
        <v>2</v>
      </c>
      <c r="S1817">
        <v>2</v>
      </c>
      <c r="T1817" t="s">
        <v>2593</v>
      </c>
      <c r="U1817" t="str">
        <f>""</f>
        <v/>
      </c>
      <c r="V1817" t="s">
        <v>2594</v>
      </c>
      <c r="W1817" t="str">
        <f>""</f>
        <v/>
      </c>
      <c r="X1817" t="s">
        <v>585</v>
      </c>
      <c r="Y1817" t="s">
        <v>141</v>
      </c>
      <c r="Z1817" s="3">
        <v>95134</v>
      </c>
      <c r="AA1817" t="s">
        <v>101</v>
      </c>
      <c r="AC1817" s="4" t="str">
        <f>"+14085444092"</f>
        <v>+14085444092</v>
      </c>
      <c r="AE1817" t="str">
        <f>"541511"</f>
        <v>541511</v>
      </c>
      <c r="AF1817" t="s">
        <v>2595</v>
      </c>
      <c r="AG1817" t="s">
        <v>1091</v>
      </c>
      <c r="AI1817" t="s">
        <v>221</v>
      </c>
      <c r="AJ1817" t="s">
        <v>2596</v>
      </c>
      <c r="AK1817" t="str">
        <f>""</f>
        <v/>
      </c>
      <c r="AL1817" t="s">
        <v>585</v>
      </c>
      <c r="AM1817" t="s">
        <v>141</v>
      </c>
      <c r="AN1817" s="3">
        <v>95134</v>
      </c>
      <c r="AO1817" t="s">
        <v>101</v>
      </c>
      <c r="AQ1817" t="str">
        <f>"+14085444092"</f>
        <v>+14085444092</v>
      </c>
      <c r="AS1817" t="s">
        <v>2597</v>
      </c>
      <c r="AT1817" t="s">
        <v>107</v>
      </c>
      <c r="AU1817" t="str">
        <f>"Snyder"</f>
        <v>Snyder</v>
      </c>
      <c r="AV1817" t="str">
        <f>"Virginia"</f>
        <v>Virginia</v>
      </c>
      <c r="AW1817" t="str">
        <f>""</f>
        <v/>
      </c>
      <c r="AX1817" t="str">
        <f>"2121 Tasman Drive"</f>
        <v>2121 Tasman Drive</v>
      </c>
      <c r="AY1817" t="str">
        <f>""</f>
        <v/>
      </c>
      <c r="AZ1817" t="str">
        <f>"Santa Clara"</f>
        <v>Santa Clara</v>
      </c>
      <c r="BA1817" t="str">
        <f>"CA"</f>
        <v>CA</v>
      </c>
      <c r="BB1817" s="3">
        <v>95054</v>
      </c>
      <c r="BC1817" t="str">
        <f t="shared" si="146"/>
        <v>UNITED STATES OF AMERICA</v>
      </c>
      <c r="BD1817" t="str">
        <f>""</f>
        <v/>
      </c>
      <c r="BE1817" t="str">
        <f>"+14083301138"</f>
        <v>+14083301138</v>
      </c>
      <c r="BF1817" t="str">
        <f>""</f>
        <v/>
      </c>
      <c r="BG1817" t="str">
        <f>"vsnyder@fragomen.com"</f>
        <v>vsnyder@fragomen.com</v>
      </c>
      <c r="BH1817" t="str">
        <f>"Fragomen, Del Rey, Bernsen &amp; Loewy, LLP"</f>
        <v>Fragomen, Del Rey, Bernsen &amp; Loewy, LLP</v>
      </c>
      <c r="BI1817" t="str">
        <f>"CA"</f>
        <v>CA</v>
      </c>
      <c r="BJ1817" t="str">
        <f>"CA Sup Ct"</f>
        <v>CA Sup Ct</v>
      </c>
      <c r="BK1817">
        <v>10</v>
      </c>
      <c r="BL1817" t="s">
        <v>102</v>
      </c>
      <c r="BM1817" t="str">
        <f>""</f>
        <v/>
      </c>
      <c r="BN1817" t="s">
        <v>2596</v>
      </c>
      <c r="BP1817" t="s">
        <v>585</v>
      </c>
      <c r="BQ1817" t="s">
        <v>230</v>
      </c>
      <c r="BR1817" t="s">
        <v>141</v>
      </c>
      <c r="BS1817" s="5">
        <v>95134</v>
      </c>
      <c r="BT1817" s="2">
        <v>141669</v>
      </c>
      <c r="BU1817" s="2">
        <v>170000</v>
      </c>
      <c r="BV1817" t="s">
        <v>105</v>
      </c>
      <c r="BW1817" s="2">
        <v>141669</v>
      </c>
      <c r="BX1817" t="s">
        <v>105</v>
      </c>
      <c r="BZ1817" t="s">
        <v>123</v>
      </c>
      <c r="CA1817" t="str">
        <f>"7/1/2020 - 6/30/2021"</f>
        <v>7/1/2020 - 6/30/2021</v>
      </c>
      <c r="CF1817">
        <v>1</v>
      </c>
      <c r="CG1817" t="s">
        <v>98</v>
      </c>
      <c r="CH1817" t="s">
        <v>206</v>
      </c>
      <c r="CI1817" t="s">
        <v>206</v>
      </c>
      <c r="CL1817" t="s">
        <v>108</v>
      </c>
      <c r="CM1817" t="s">
        <v>109</v>
      </c>
      <c r="CN1817" t="str">
        <f>"Chakrabarti"</f>
        <v>Chakrabarti</v>
      </c>
      <c r="CO1817" t="str">
        <f>"Soochandra"</f>
        <v>Soochandra</v>
      </c>
      <c r="CP1817" t="str">
        <f>""</f>
        <v/>
      </c>
      <c r="CQ1817" t="str">
        <f>"Fragomen, Del Rey, Bernsen &amp; Loewy, LLP"</f>
        <v>Fragomen, Del Rey, Bernsen &amp; Loewy, LLP</v>
      </c>
      <c r="CR1817" t="s">
        <v>2598</v>
      </c>
    </row>
    <row r="1818" spans="1:96" x14ac:dyDescent="0.2">
      <c r="A1818" t="s">
        <v>8356</v>
      </c>
      <c r="B1818" t="s">
        <v>96</v>
      </c>
      <c r="C1818" s="1">
        <v>44099</v>
      </c>
      <c r="D1818" s="1">
        <v>44106</v>
      </c>
      <c r="F1818" t="s">
        <v>97</v>
      </c>
      <c r="G1818" t="str">
        <f>"Project Manager I"</f>
        <v>Project Manager I</v>
      </c>
      <c r="H1818" t="s">
        <v>12185</v>
      </c>
      <c r="I1818" t="s">
        <v>810</v>
      </c>
      <c r="J1818" t="s">
        <v>98</v>
      </c>
      <c r="K1818" s="1">
        <v>44105</v>
      </c>
      <c r="L1818" s="1">
        <v>45199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3104</v>
      </c>
      <c r="U1818" t="str">
        <f>""</f>
        <v/>
      </c>
      <c r="V1818" t="s">
        <v>3105</v>
      </c>
      <c r="W1818" t="str">
        <f>""</f>
        <v/>
      </c>
      <c r="X1818" t="s">
        <v>1339</v>
      </c>
      <c r="Y1818" t="s">
        <v>186</v>
      </c>
      <c r="Z1818" s="3">
        <v>55422</v>
      </c>
      <c r="AA1818" t="s">
        <v>101</v>
      </c>
      <c r="AC1818" s="4" t="str">
        <f>"+17635222100"</f>
        <v>+17635222100</v>
      </c>
      <c r="AE1818" t="str">
        <f>"236220"</f>
        <v>236220</v>
      </c>
      <c r="AF1818" t="s">
        <v>3106</v>
      </c>
      <c r="AG1818" t="s">
        <v>3107</v>
      </c>
      <c r="AI1818" t="s">
        <v>3108</v>
      </c>
      <c r="AJ1818" t="s">
        <v>3105</v>
      </c>
      <c r="AK1818" t="str">
        <f>""</f>
        <v/>
      </c>
      <c r="AL1818" t="s">
        <v>1339</v>
      </c>
      <c r="AM1818" t="s">
        <v>186</v>
      </c>
      <c r="AN1818" s="3">
        <v>55422</v>
      </c>
      <c r="AO1818" t="s">
        <v>101</v>
      </c>
      <c r="AQ1818" t="str">
        <f>"+17635875666"</f>
        <v>+17635875666</v>
      </c>
      <c r="AS1818" t="s">
        <v>3109</v>
      </c>
      <c r="AT1818" t="s">
        <v>107</v>
      </c>
      <c r="AU1818" t="str">
        <f>"Rooney"</f>
        <v>Rooney</v>
      </c>
      <c r="AV1818" t="str">
        <f>"Robert"</f>
        <v>Robert</v>
      </c>
      <c r="AW1818" t="str">
        <f>"J"</f>
        <v>J</v>
      </c>
      <c r="AX1818" t="str">
        <f>"90 S 7th Street"</f>
        <v>90 S 7th Street</v>
      </c>
      <c r="AY1818" t="str">
        <f>"Ste 2200"</f>
        <v>Ste 2200</v>
      </c>
      <c r="AZ1818" t="str">
        <f>"Minneapolis"</f>
        <v>Minneapolis</v>
      </c>
      <c r="BA1818" t="str">
        <f>"MN"</f>
        <v>MN</v>
      </c>
      <c r="BB1818" s="3">
        <v>55402</v>
      </c>
      <c r="BC1818" t="str">
        <f t="shared" si="146"/>
        <v>UNITED STATES OF AMERICA</v>
      </c>
      <c r="BD1818" t="str">
        <f>""</f>
        <v/>
      </c>
      <c r="BE1818" t="str">
        <f>"+16127667809"</f>
        <v>+16127667809</v>
      </c>
      <c r="BF1818" t="str">
        <f>""</f>
        <v/>
      </c>
      <c r="BG1818" t="str">
        <f>"rob.rooney@faegredrinker.com"</f>
        <v>rob.rooney@faegredrinker.com</v>
      </c>
      <c r="BH1818" t="str">
        <f>"Faegre Drinker Biddle &amp; Reath LLP"</f>
        <v>Faegre Drinker Biddle &amp; Reath LLP</v>
      </c>
      <c r="BI1818" t="str">
        <f>"MN"</f>
        <v>MN</v>
      </c>
      <c r="BJ1818" t="str">
        <f>"Minnesota Supreme Court"</f>
        <v>Minnesota Supreme Court</v>
      </c>
      <c r="BK1818">
        <v>1</v>
      </c>
      <c r="BL1818" t="s">
        <v>102</v>
      </c>
      <c r="BM1818" t="str">
        <f>""</f>
        <v/>
      </c>
      <c r="BN1818" t="s">
        <v>8357</v>
      </c>
      <c r="BP1818" t="s">
        <v>8358</v>
      </c>
      <c r="BQ1818" t="s">
        <v>835</v>
      </c>
      <c r="BR1818" t="s">
        <v>169</v>
      </c>
      <c r="BS1818" s="5">
        <v>84005</v>
      </c>
      <c r="BT1818" s="2">
        <v>8702.17</v>
      </c>
      <c r="BU1818" s="2">
        <v>9391.67</v>
      </c>
      <c r="BV1818" t="s">
        <v>3018</v>
      </c>
      <c r="BW1818" s="2">
        <v>8702.17</v>
      </c>
      <c r="BX1818" t="s">
        <v>3018</v>
      </c>
      <c r="CA1818" t="str">
        <f>""</f>
        <v/>
      </c>
      <c r="CB1818" t="s">
        <v>244</v>
      </c>
      <c r="CC1818">
        <v>2020</v>
      </c>
      <c r="CD1818" t="s">
        <v>245</v>
      </c>
      <c r="CE1818" t="s">
        <v>581</v>
      </c>
      <c r="CF1818">
        <v>3</v>
      </c>
      <c r="CG1818" t="s">
        <v>98</v>
      </c>
      <c r="CH1818" t="s">
        <v>206</v>
      </c>
      <c r="CI1818" t="s">
        <v>206</v>
      </c>
      <c r="CL1818" t="s">
        <v>108</v>
      </c>
      <c r="CM1818" t="s">
        <v>109</v>
      </c>
      <c r="CN1818" t="str">
        <f>""</f>
        <v/>
      </c>
      <c r="CO1818" t="str">
        <f>""</f>
        <v/>
      </c>
      <c r="CP1818" t="str">
        <f>""</f>
        <v/>
      </c>
      <c r="CQ1818" t="str">
        <f>""</f>
        <v/>
      </c>
    </row>
    <row r="1819" spans="1:96" x14ac:dyDescent="0.2">
      <c r="A1819" t="s">
        <v>8376</v>
      </c>
      <c r="B1819" t="s">
        <v>96</v>
      </c>
      <c r="C1819" s="1">
        <v>44099</v>
      </c>
      <c r="D1819" s="1">
        <v>44106</v>
      </c>
      <c r="F1819" t="s">
        <v>97</v>
      </c>
      <c r="G1819" t="str">
        <f>"Systems Engineer, Senior"</f>
        <v>Systems Engineer, Senior</v>
      </c>
      <c r="H1819" t="s">
        <v>12176</v>
      </c>
      <c r="I1819" t="s">
        <v>246</v>
      </c>
      <c r="J1819" t="s">
        <v>98</v>
      </c>
      <c r="K1819" s="1">
        <v>44281</v>
      </c>
      <c r="L1819" s="1">
        <v>45376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 t="s">
        <v>8377</v>
      </c>
      <c r="U1819" t="str">
        <f>""</f>
        <v/>
      </c>
      <c r="V1819" t="s">
        <v>8378</v>
      </c>
      <c r="W1819" t="str">
        <f>"Suite 300"</f>
        <v>Suite 300</v>
      </c>
      <c r="X1819" t="s">
        <v>388</v>
      </c>
      <c r="Y1819" t="s">
        <v>225</v>
      </c>
      <c r="Z1819" s="3">
        <v>43240</v>
      </c>
      <c r="AA1819" t="s">
        <v>101</v>
      </c>
      <c r="AC1819" s="4" t="str">
        <f>"+16147511167"</f>
        <v>+16147511167</v>
      </c>
      <c r="AE1819" t="str">
        <f>"541512"</f>
        <v>541512</v>
      </c>
      <c r="AF1819" t="s">
        <v>8379</v>
      </c>
      <c r="AG1819" t="s">
        <v>3412</v>
      </c>
      <c r="AI1819" t="s">
        <v>681</v>
      </c>
      <c r="AJ1819" t="s">
        <v>8378</v>
      </c>
      <c r="AK1819" t="str">
        <f>"Suite 300"</f>
        <v>Suite 300</v>
      </c>
      <c r="AL1819" t="s">
        <v>388</v>
      </c>
      <c r="AM1819" t="s">
        <v>225</v>
      </c>
      <c r="AN1819" s="3">
        <v>43240</v>
      </c>
      <c r="AO1819" t="s">
        <v>101</v>
      </c>
      <c r="AQ1819" t="str">
        <f>"+16149293336"</f>
        <v>+16149293336</v>
      </c>
      <c r="AS1819" t="s">
        <v>8380</v>
      </c>
      <c r="AT1819" t="s">
        <v>107</v>
      </c>
      <c r="AU1819" t="str">
        <f>"Shihab"</f>
        <v>Shihab</v>
      </c>
      <c r="AV1819" t="str">
        <f>"Sam"</f>
        <v>Sam</v>
      </c>
      <c r="AW1819" t="str">
        <f>"M."</f>
        <v>M.</v>
      </c>
      <c r="AX1819" t="str">
        <f>"565 Metro Place South"</f>
        <v>565 Metro Place South</v>
      </c>
      <c r="AY1819" t="str">
        <f>"Suite 100"</f>
        <v>Suite 100</v>
      </c>
      <c r="AZ1819" t="str">
        <f>"Dublin"</f>
        <v>Dublin</v>
      </c>
      <c r="BA1819" t="str">
        <f>"OH"</f>
        <v>OH</v>
      </c>
      <c r="BB1819" s="3">
        <v>43017</v>
      </c>
      <c r="BC1819" t="str">
        <f t="shared" si="146"/>
        <v>UNITED STATES OF AMERICA</v>
      </c>
      <c r="BD1819" t="str">
        <f>"N/A"</f>
        <v>N/A</v>
      </c>
      <c r="BE1819" t="str">
        <f>"+16147910500"</f>
        <v>+16147910500</v>
      </c>
      <c r="BF1819" t="str">
        <f>"225"</f>
        <v>225</v>
      </c>
      <c r="BG1819" t="str">
        <f>"govnotice@shihablawoffice.com"</f>
        <v>govnotice@shihablawoffice.com</v>
      </c>
      <c r="BH1819" t="str">
        <f>"Sam Shihab &amp; Associates, LLC"</f>
        <v>Sam Shihab &amp; Associates, LLC</v>
      </c>
      <c r="BI1819" t="str">
        <f>"OH"</f>
        <v>OH</v>
      </c>
      <c r="BJ1819" t="str">
        <f>"Supreme Court of Ohio"</f>
        <v>Supreme Court of Ohio</v>
      </c>
      <c r="BK1819">
        <v>1</v>
      </c>
      <c r="BL1819" t="s">
        <v>102</v>
      </c>
      <c r="BM1819" t="str">
        <f>""</f>
        <v/>
      </c>
      <c r="BN1819" t="s">
        <v>8381</v>
      </c>
      <c r="BO1819" t="s">
        <v>6031</v>
      </c>
      <c r="BP1819" t="s">
        <v>5229</v>
      </c>
      <c r="BQ1819" t="s">
        <v>6801</v>
      </c>
      <c r="BR1819" t="s">
        <v>135</v>
      </c>
      <c r="BS1819" s="5">
        <v>20109</v>
      </c>
      <c r="BT1819" s="2">
        <v>121559.31</v>
      </c>
      <c r="BV1819" t="s">
        <v>105</v>
      </c>
      <c r="BW1819" s="2">
        <v>118102</v>
      </c>
      <c r="BX1819" t="s">
        <v>105</v>
      </c>
      <c r="BZ1819" t="s">
        <v>123</v>
      </c>
      <c r="CA1819" t="str">
        <f t="shared" ref="CA1819:CA1842" si="147">"7/1/2020 - 6/30/2021"</f>
        <v>7/1/2020 - 6/30/2021</v>
      </c>
      <c r="CF1819">
        <v>1</v>
      </c>
      <c r="CG1819" t="s">
        <v>98</v>
      </c>
      <c r="CH1819" t="s">
        <v>206</v>
      </c>
      <c r="CI1819" t="s">
        <v>206</v>
      </c>
      <c r="CL1819" t="s">
        <v>108</v>
      </c>
      <c r="CM1819" t="s">
        <v>109</v>
      </c>
      <c r="CN1819" t="str">
        <f>""</f>
        <v/>
      </c>
      <c r="CO1819" t="str">
        <f>""</f>
        <v/>
      </c>
      <c r="CP1819" t="str">
        <f>""</f>
        <v/>
      </c>
      <c r="CQ1819" t="str">
        <f>""</f>
        <v/>
      </c>
    </row>
    <row r="1820" spans="1:96" x14ac:dyDescent="0.2">
      <c r="A1820" t="s">
        <v>8386</v>
      </c>
      <c r="B1820" t="s">
        <v>96</v>
      </c>
      <c r="C1820" s="1">
        <v>44099</v>
      </c>
      <c r="D1820" s="1">
        <v>44106</v>
      </c>
      <c r="F1820" t="s">
        <v>97</v>
      </c>
      <c r="G1820" t="str">
        <f>"Manager III, Buying"</f>
        <v>Manager III, Buying</v>
      </c>
      <c r="H1820" t="s">
        <v>12210</v>
      </c>
      <c r="I1820" t="s">
        <v>1841</v>
      </c>
      <c r="J1820" t="s">
        <v>98</v>
      </c>
      <c r="K1820" s="1">
        <v>44102</v>
      </c>
      <c r="L1820" s="1">
        <v>45196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 t="s">
        <v>431</v>
      </c>
      <c r="U1820" t="str">
        <f>""</f>
        <v/>
      </c>
      <c r="V1820" t="s">
        <v>432</v>
      </c>
      <c r="W1820" t="str">
        <f>""</f>
        <v/>
      </c>
      <c r="X1820" t="s">
        <v>433</v>
      </c>
      <c r="Y1820" t="s">
        <v>176</v>
      </c>
      <c r="Z1820" s="3">
        <v>98121</v>
      </c>
      <c r="AA1820" t="s">
        <v>101</v>
      </c>
      <c r="AC1820" s="4" t="str">
        <f>"+12062661000"</f>
        <v>+12062661000</v>
      </c>
      <c r="AE1820" t="str">
        <f>"45411"</f>
        <v>45411</v>
      </c>
      <c r="AF1820" t="s">
        <v>4134</v>
      </c>
      <c r="AG1820" t="s">
        <v>4135</v>
      </c>
      <c r="AH1820" t="s">
        <v>108</v>
      </c>
      <c r="AI1820" t="s">
        <v>262</v>
      </c>
      <c r="AJ1820" t="s">
        <v>432</v>
      </c>
      <c r="AK1820" t="str">
        <f>""</f>
        <v/>
      </c>
      <c r="AL1820" t="s">
        <v>261</v>
      </c>
      <c r="AM1820" t="s">
        <v>176</v>
      </c>
      <c r="AN1820" s="3">
        <v>98121</v>
      </c>
      <c r="AO1820" t="s">
        <v>101</v>
      </c>
      <c r="AQ1820" t="str">
        <f>"+12062661000"</f>
        <v>+12062661000</v>
      </c>
      <c r="AS1820" t="s">
        <v>263</v>
      </c>
      <c r="AT1820" t="s">
        <v>107</v>
      </c>
      <c r="AU1820" t="str">
        <f>"Ortiz"</f>
        <v>Ortiz</v>
      </c>
      <c r="AV1820" t="str">
        <f>"Guillermo"</f>
        <v>Guillermo</v>
      </c>
      <c r="AW1820" t="str">
        <f>"N/A"</f>
        <v>N/A</v>
      </c>
      <c r="AX1820" t="str">
        <f>"2400 North Glenville Drive"</f>
        <v>2400 North Glenville Drive</v>
      </c>
      <c r="AY1820" t="str">
        <f>"Bldg. A, Suite 100"</f>
        <v>Bldg. A, Suite 100</v>
      </c>
      <c r="AZ1820" t="str">
        <f>"Richardson"</f>
        <v>Richardson</v>
      </c>
      <c r="BA1820" t="str">
        <f>"TX"</f>
        <v>TX</v>
      </c>
      <c r="BB1820" s="3">
        <v>75082</v>
      </c>
      <c r="BC1820" t="str">
        <f t="shared" si="146"/>
        <v>UNITED STATES OF AMERICA</v>
      </c>
      <c r="BD1820" t="str">
        <f>""</f>
        <v/>
      </c>
      <c r="BE1820" t="str">
        <f>"+19727296035"</f>
        <v>+19727296035</v>
      </c>
      <c r="BF1820" t="str">
        <f>""</f>
        <v/>
      </c>
      <c r="BG1820" t="str">
        <f>"rmehboob@balglobal.com"</f>
        <v>rmehboob@balglobal.com</v>
      </c>
      <c r="BH1820" t="str">
        <f>"Berry Appleman and Leiden LLP"</f>
        <v>Berry Appleman and Leiden LLP</v>
      </c>
      <c r="BI1820" t="str">
        <f>"TX"</f>
        <v>TX</v>
      </c>
      <c r="BJ1820" t="str">
        <f>"Texas Supreme Court"</f>
        <v>Texas Supreme Court</v>
      </c>
      <c r="BK1820">
        <v>1</v>
      </c>
      <c r="BL1820" t="s">
        <v>102</v>
      </c>
      <c r="BM1820" t="str">
        <f>""</f>
        <v/>
      </c>
      <c r="BN1820" t="s">
        <v>3159</v>
      </c>
      <c r="BP1820" t="s">
        <v>261</v>
      </c>
      <c r="BQ1820" t="s">
        <v>183</v>
      </c>
      <c r="BR1820" t="s">
        <v>176</v>
      </c>
      <c r="BS1820" s="5">
        <v>98109</v>
      </c>
      <c r="BT1820" s="2">
        <v>122960</v>
      </c>
      <c r="BV1820" t="s">
        <v>105</v>
      </c>
      <c r="BW1820" s="2">
        <v>105747</v>
      </c>
      <c r="BX1820" t="s">
        <v>105</v>
      </c>
      <c r="BZ1820" t="s">
        <v>167</v>
      </c>
      <c r="CA1820" t="str">
        <f t="shared" si="147"/>
        <v>7/1/2020 - 6/30/2021</v>
      </c>
      <c r="CF1820">
        <v>2</v>
      </c>
      <c r="CG1820" t="s">
        <v>98</v>
      </c>
      <c r="CH1820" t="s">
        <v>206</v>
      </c>
      <c r="CI1820" t="s">
        <v>206</v>
      </c>
      <c r="CL1820" t="s">
        <v>108</v>
      </c>
      <c r="CM1820" t="s">
        <v>109</v>
      </c>
      <c r="CN1820" t="str">
        <f>""</f>
        <v/>
      </c>
      <c r="CO1820" t="str">
        <f>""</f>
        <v/>
      </c>
      <c r="CP1820" t="str">
        <f>""</f>
        <v/>
      </c>
      <c r="CQ1820" t="str">
        <f>""</f>
        <v/>
      </c>
    </row>
    <row r="1821" spans="1:96" x14ac:dyDescent="0.2">
      <c r="A1821" t="s">
        <v>8389</v>
      </c>
      <c r="B1821" t="s">
        <v>96</v>
      </c>
      <c r="C1821" s="1">
        <v>44099</v>
      </c>
      <c r="D1821" s="1">
        <v>44106</v>
      </c>
      <c r="F1821" t="s">
        <v>97</v>
      </c>
      <c r="G1821" t="str">
        <f>"Senior Data Scientist"</f>
        <v>Senior Data Scientist</v>
      </c>
      <c r="H1821" t="s">
        <v>12180</v>
      </c>
      <c r="I1821" t="s">
        <v>390</v>
      </c>
      <c r="J1821" t="s">
        <v>98</v>
      </c>
      <c r="K1821" s="1">
        <v>44123</v>
      </c>
      <c r="L1821" s="1">
        <v>45217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 t="s">
        <v>5161</v>
      </c>
      <c r="U1821" t="str">
        <f>"Instacart"</f>
        <v>Instacart</v>
      </c>
      <c r="V1821" t="s">
        <v>4635</v>
      </c>
      <c r="W1821" t="str">
        <f>"Suite 600"</f>
        <v>Suite 600</v>
      </c>
      <c r="X1821" t="s">
        <v>140</v>
      </c>
      <c r="Y1821" t="s">
        <v>141</v>
      </c>
      <c r="Z1821" s="3">
        <v>94105</v>
      </c>
      <c r="AA1821" t="s">
        <v>101</v>
      </c>
      <c r="AC1821" s="4" t="str">
        <f>"+14156628802"</f>
        <v>+14156628802</v>
      </c>
      <c r="AE1821" t="str">
        <f>"51121"</f>
        <v>51121</v>
      </c>
      <c r="AF1821" t="s">
        <v>5162</v>
      </c>
      <c r="AG1821" t="s">
        <v>5163</v>
      </c>
      <c r="AI1821" t="s">
        <v>5164</v>
      </c>
      <c r="AJ1821" t="s">
        <v>4635</v>
      </c>
      <c r="AK1821" t="str">
        <f>"Suite 600"</f>
        <v>Suite 600</v>
      </c>
      <c r="AL1821" t="s">
        <v>140</v>
      </c>
      <c r="AM1821" t="s">
        <v>141</v>
      </c>
      <c r="AN1821" s="3">
        <v>94105</v>
      </c>
      <c r="AO1821" t="s">
        <v>101</v>
      </c>
      <c r="AQ1821" t="str">
        <f>"+14156628802"</f>
        <v>+14156628802</v>
      </c>
      <c r="AS1821" t="s">
        <v>5165</v>
      </c>
      <c r="AT1821" t="s">
        <v>107</v>
      </c>
      <c r="AU1821" t="str">
        <f>"Brown"</f>
        <v>Brown</v>
      </c>
      <c r="AV1821" t="str">
        <f>"David"</f>
        <v>David</v>
      </c>
      <c r="AW1821" t="str">
        <f>"Zaritzky"</f>
        <v>Zaritzky</v>
      </c>
      <c r="AX1821" t="str">
        <f>"201 North 13th Street"</f>
        <v>201 North 13th Street</v>
      </c>
      <c r="AY1821" t="str">
        <f>"Suite B"</f>
        <v>Suite B</v>
      </c>
      <c r="AZ1821" t="str">
        <f>"Lincoln"</f>
        <v>Lincoln</v>
      </c>
      <c r="BA1821" t="str">
        <f>"NE"</f>
        <v>NE</v>
      </c>
      <c r="BB1821" s="3">
        <v>68508</v>
      </c>
      <c r="BC1821" t="str">
        <f t="shared" si="146"/>
        <v>UNITED STATES OF AMERICA</v>
      </c>
      <c r="BD1821" t="str">
        <f>""</f>
        <v/>
      </c>
      <c r="BE1821" t="str">
        <f>"+14023289899"</f>
        <v>+14023289899</v>
      </c>
      <c r="BF1821" t="str">
        <f>""</f>
        <v/>
      </c>
      <c r="BG1821" t="str">
        <f>"dol@brownimmigrationlaw.com"</f>
        <v>dol@brownimmigrationlaw.com</v>
      </c>
      <c r="BH1821" t="str">
        <f>"Brown Immigration Law P.C., L.L.O."</f>
        <v>Brown Immigration Law P.C., L.L.O.</v>
      </c>
      <c r="BI1821" t="str">
        <f>"CA"</f>
        <v>CA</v>
      </c>
      <c r="BJ1821" t="str">
        <f>"California Supreme Court"</f>
        <v>California Supreme Court</v>
      </c>
      <c r="BK1821">
        <v>1</v>
      </c>
      <c r="BL1821" t="s">
        <v>102</v>
      </c>
      <c r="BM1821" t="str">
        <f>""</f>
        <v/>
      </c>
      <c r="BN1821" t="s">
        <v>8390</v>
      </c>
      <c r="BO1821" t="s">
        <v>664</v>
      </c>
      <c r="BP1821" t="s">
        <v>146</v>
      </c>
      <c r="BQ1821" t="s">
        <v>147</v>
      </c>
      <c r="BR1821" t="s">
        <v>141</v>
      </c>
      <c r="BS1821" s="5">
        <v>94105</v>
      </c>
      <c r="BT1821" s="2">
        <v>150000</v>
      </c>
      <c r="BU1821" s="2">
        <v>190000</v>
      </c>
      <c r="BV1821" t="s">
        <v>105</v>
      </c>
      <c r="BW1821" s="2">
        <v>148949</v>
      </c>
      <c r="BX1821" t="s">
        <v>105</v>
      </c>
      <c r="BZ1821" t="s">
        <v>159</v>
      </c>
      <c r="CA1821" t="str">
        <f t="shared" si="147"/>
        <v>7/1/2020 - 6/30/2021</v>
      </c>
      <c r="CF1821">
        <v>2</v>
      </c>
      <c r="CG1821" t="s">
        <v>98</v>
      </c>
      <c r="CH1821" t="s">
        <v>206</v>
      </c>
      <c r="CI1821" t="s">
        <v>206</v>
      </c>
      <c r="CL1821" t="s">
        <v>108</v>
      </c>
      <c r="CM1821" t="s">
        <v>718</v>
      </c>
      <c r="CN1821" t="str">
        <f>""</f>
        <v/>
      </c>
      <c r="CO1821" t="str">
        <f>""</f>
        <v/>
      </c>
      <c r="CP1821" t="str">
        <f>""</f>
        <v/>
      </c>
      <c r="CQ1821" t="str">
        <f>""</f>
        <v/>
      </c>
    </row>
    <row r="1822" spans="1:96" x14ac:dyDescent="0.2">
      <c r="A1822" t="s">
        <v>8391</v>
      </c>
      <c r="B1822" t="s">
        <v>96</v>
      </c>
      <c r="C1822" s="1">
        <v>44099</v>
      </c>
      <c r="D1822" s="1">
        <v>44106</v>
      </c>
      <c r="F1822" t="s">
        <v>97</v>
      </c>
      <c r="G1822" t="str">
        <f>"Associate Scientist III, Chem &amp; Mol Therapeutics"</f>
        <v>Associate Scientist III, Chem &amp; Mol Therapeutics</v>
      </c>
      <c r="H1822" t="s">
        <v>12190</v>
      </c>
      <c r="I1822" t="s">
        <v>1072</v>
      </c>
      <c r="J1822" t="s">
        <v>98</v>
      </c>
      <c r="K1822" s="1">
        <v>44267</v>
      </c>
      <c r="L1822" s="1">
        <v>45362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 t="s">
        <v>3426</v>
      </c>
      <c r="U1822" t="str">
        <f>""</f>
        <v/>
      </c>
      <c r="V1822" t="s">
        <v>3427</v>
      </c>
      <c r="W1822" t="str">
        <f>""</f>
        <v/>
      </c>
      <c r="X1822" t="s">
        <v>2383</v>
      </c>
      <c r="Y1822" t="s">
        <v>171</v>
      </c>
      <c r="Z1822" s="3">
        <v>2142</v>
      </c>
      <c r="AA1822" t="s">
        <v>101</v>
      </c>
      <c r="AC1822" s="4" t="str">
        <f>"+16179146009"</f>
        <v>+16179146009</v>
      </c>
      <c r="AE1822" t="str">
        <f>"325414"</f>
        <v>325414</v>
      </c>
      <c r="AF1822" t="s">
        <v>3428</v>
      </c>
      <c r="AG1822" t="s">
        <v>3429</v>
      </c>
      <c r="AI1822" t="s">
        <v>3430</v>
      </c>
      <c r="AJ1822" t="s">
        <v>3427</v>
      </c>
      <c r="AK1822" t="str">
        <f>""</f>
        <v/>
      </c>
      <c r="AL1822" t="s">
        <v>2383</v>
      </c>
      <c r="AM1822" t="s">
        <v>171</v>
      </c>
      <c r="AN1822" s="3">
        <v>2142</v>
      </c>
      <c r="AO1822" t="s">
        <v>101</v>
      </c>
      <c r="AQ1822" t="str">
        <f>"+16179146009"</f>
        <v>+16179146009</v>
      </c>
      <c r="AS1822" t="s">
        <v>3431</v>
      </c>
      <c r="AT1822" t="s">
        <v>107</v>
      </c>
      <c r="AU1822" t="str">
        <f>"BRUMMER"</f>
        <v>BRUMMER</v>
      </c>
      <c r="AV1822" t="str">
        <f>"ERIN"</f>
        <v>ERIN</v>
      </c>
      <c r="AW1822" t="str">
        <f>"M"</f>
        <v>M</v>
      </c>
      <c r="AX1822" t="str">
        <f>"100 HIGH STREET"</f>
        <v>100 HIGH STREET</v>
      </c>
      <c r="AY1822" t="str">
        <f>"3RD FLOOR"</f>
        <v>3RD FLOOR</v>
      </c>
      <c r="AZ1822" t="str">
        <f>"BOSTON"</f>
        <v>BOSTON</v>
      </c>
      <c r="BA1822" t="str">
        <f>"MA"</f>
        <v>MA</v>
      </c>
      <c r="BB1822" s="3">
        <v>2110</v>
      </c>
      <c r="BC1822" t="str">
        <f t="shared" si="146"/>
        <v>UNITED STATES OF AMERICA</v>
      </c>
      <c r="BD1822" t="str">
        <f>""</f>
        <v/>
      </c>
      <c r="BE1822" t="str">
        <f>"+16175740400"</f>
        <v>+16175740400</v>
      </c>
      <c r="BF1822" t="str">
        <f>""</f>
        <v/>
      </c>
      <c r="BG1822" t="str">
        <f>"EMMA.HOWARD@FRAGOMEN.COM"</f>
        <v>EMMA.HOWARD@FRAGOMEN.COM</v>
      </c>
      <c r="BH1822" t="str">
        <f>"FRAGOMEN, DEL REY, BERNSEN, &amp; LOEWY, LLP"</f>
        <v>FRAGOMEN, DEL REY, BERNSEN, &amp; LOEWY, LLP</v>
      </c>
      <c r="BI1822" t="str">
        <f>"MA"</f>
        <v>MA</v>
      </c>
      <c r="BJ1822" t="str">
        <f>"SUPREME JUDICIAL COURT "</f>
        <v xml:space="preserve">SUPREME JUDICIAL COURT </v>
      </c>
      <c r="BK1822">
        <v>1</v>
      </c>
      <c r="BL1822" t="s">
        <v>102</v>
      </c>
      <c r="BM1822" t="str">
        <f>""</f>
        <v/>
      </c>
      <c r="BN1822" t="s">
        <v>8392</v>
      </c>
      <c r="BP1822" t="s">
        <v>436</v>
      </c>
      <c r="BQ1822" t="s">
        <v>209</v>
      </c>
      <c r="BR1822" t="s">
        <v>171</v>
      </c>
      <c r="BS1822" s="5">
        <v>2142</v>
      </c>
      <c r="BT1822" s="2">
        <v>85224</v>
      </c>
      <c r="BV1822" t="s">
        <v>105</v>
      </c>
      <c r="BW1822" s="2">
        <v>82555</v>
      </c>
      <c r="BX1822" t="s">
        <v>105</v>
      </c>
      <c r="BZ1822" t="s">
        <v>167</v>
      </c>
      <c r="CA1822" t="str">
        <f t="shared" si="147"/>
        <v>7/1/2020 - 6/30/2021</v>
      </c>
      <c r="CF1822">
        <v>2</v>
      </c>
      <c r="CG1822" t="s">
        <v>98</v>
      </c>
      <c r="CH1822" t="s">
        <v>206</v>
      </c>
      <c r="CI1822" t="s">
        <v>206</v>
      </c>
      <c r="CL1822" t="s">
        <v>108</v>
      </c>
      <c r="CM1822" t="s">
        <v>109</v>
      </c>
      <c r="CN1822" t="str">
        <f>"HOWARD"</f>
        <v>HOWARD</v>
      </c>
      <c r="CO1822" t="str">
        <f>"EMMA"</f>
        <v>EMMA</v>
      </c>
      <c r="CP1822" t="str">
        <f>"R"</f>
        <v>R</v>
      </c>
      <c r="CQ1822" t="str">
        <f>"FRAGOMEN, DEL REY, BERNSEN &amp; LOEWY, LLP"</f>
        <v>FRAGOMEN, DEL REY, BERNSEN &amp; LOEWY, LLP</v>
      </c>
      <c r="CR1822" t="s">
        <v>1456</v>
      </c>
    </row>
    <row r="1823" spans="1:96" x14ac:dyDescent="0.2">
      <c r="A1823" t="s">
        <v>8400</v>
      </c>
      <c r="B1823" t="s">
        <v>96</v>
      </c>
      <c r="C1823" s="1">
        <v>44099</v>
      </c>
      <c r="D1823" s="1">
        <v>44106</v>
      </c>
      <c r="F1823" t="s">
        <v>97</v>
      </c>
      <c r="G1823" t="str">
        <f>"Dentist"</f>
        <v>Dentist</v>
      </c>
      <c r="H1823" t="s">
        <v>12175</v>
      </c>
      <c r="I1823" t="s">
        <v>420</v>
      </c>
      <c r="J1823" t="s">
        <v>206</v>
      </c>
      <c r="K1823" s="1">
        <v>44134</v>
      </c>
      <c r="L1823" s="1">
        <v>45228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8401</v>
      </c>
      <c r="U1823" t="str">
        <f>""</f>
        <v/>
      </c>
      <c r="V1823" t="s">
        <v>8402</v>
      </c>
      <c r="W1823" t="str">
        <f>""</f>
        <v/>
      </c>
      <c r="X1823" t="s">
        <v>5085</v>
      </c>
      <c r="Y1823" t="s">
        <v>127</v>
      </c>
      <c r="Z1823" s="3">
        <v>18018</v>
      </c>
      <c r="AA1823" t="s">
        <v>101</v>
      </c>
      <c r="AC1823" s="4" t="str">
        <f>"+16108492042"</f>
        <v>+16108492042</v>
      </c>
      <c r="AE1823" t="str">
        <f>"621210"</f>
        <v>621210</v>
      </c>
      <c r="AF1823" t="s">
        <v>8403</v>
      </c>
      <c r="AG1823" t="s">
        <v>8404</v>
      </c>
      <c r="AI1823" t="s">
        <v>8405</v>
      </c>
      <c r="AJ1823" t="s">
        <v>8402</v>
      </c>
      <c r="AK1823" t="str">
        <f>""</f>
        <v/>
      </c>
      <c r="AL1823" t="s">
        <v>8406</v>
      </c>
      <c r="AM1823" t="s">
        <v>127</v>
      </c>
      <c r="AN1823" s="3">
        <v>18018</v>
      </c>
      <c r="AO1823" t="s">
        <v>101</v>
      </c>
      <c r="AQ1823" t="str">
        <f>"+16108492042"</f>
        <v>+16108492042</v>
      </c>
      <c r="AS1823" t="s">
        <v>8407</v>
      </c>
      <c r="AT1823" t="s">
        <v>107</v>
      </c>
      <c r="AU1823" t="str">
        <f>"Chugh"</f>
        <v>Chugh</v>
      </c>
      <c r="AV1823" t="str">
        <f>"Navneet"</f>
        <v>Navneet</v>
      </c>
      <c r="AW1823" t="str">
        <f>"Singh"</f>
        <v>Singh</v>
      </c>
      <c r="AX1823" t="str">
        <f>"15925 Carmenita Road"</f>
        <v>15925 Carmenita Road</v>
      </c>
      <c r="AY1823" t="str">
        <f>""</f>
        <v/>
      </c>
      <c r="AZ1823" t="str">
        <f>"Cerritos"</f>
        <v>Cerritos</v>
      </c>
      <c r="BA1823" t="str">
        <f>"CA"</f>
        <v>CA</v>
      </c>
      <c r="BB1823" s="3">
        <v>90703</v>
      </c>
      <c r="BC1823" t="str">
        <f t="shared" si="146"/>
        <v>UNITED STATES OF AMERICA</v>
      </c>
      <c r="BD1823" t="str">
        <f>""</f>
        <v/>
      </c>
      <c r="BE1823" t="str">
        <f>"+15622291220"</f>
        <v>+15622291220</v>
      </c>
      <c r="BF1823" t="str">
        <f>""</f>
        <v/>
      </c>
      <c r="BG1823" t="str">
        <f>"joseph.chua@chugh.com"</f>
        <v>joseph.chua@chugh.com</v>
      </c>
      <c r="BH1823" t="str">
        <f>"Chugh, LLP"</f>
        <v>Chugh, LLP</v>
      </c>
      <c r="BI1823" t="str">
        <f>"CA"</f>
        <v>CA</v>
      </c>
      <c r="BJ1823" t="str">
        <f>"Supreme Court"</f>
        <v>Supreme Court</v>
      </c>
      <c r="BK1823">
        <v>1</v>
      </c>
      <c r="BL1823" t="s">
        <v>102</v>
      </c>
      <c r="BM1823" t="str">
        <f>""</f>
        <v/>
      </c>
      <c r="BN1823" t="s">
        <v>8402</v>
      </c>
      <c r="BP1823" t="s">
        <v>5085</v>
      </c>
      <c r="BQ1823" t="s">
        <v>5394</v>
      </c>
      <c r="BR1823" t="s">
        <v>127</v>
      </c>
      <c r="BS1823" s="5">
        <v>18018</v>
      </c>
      <c r="BT1823" s="2">
        <v>55</v>
      </c>
      <c r="BV1823" t="s">
        <v>210</v>
      </c>
      <c r="BW1823" s="2">
        <v>54.83</v>
      </c>
      <c r="BX1823" t="s">
        <v>210</v>
      </c>
      <c r="BZ1823" t="s">
        <v>167</v>
      </c>
      <c r="CA1823" t="str">
        <f t="shared" si="147"/>
        <v>7/1/2020 - 6/30/2021</v>
      </c>
      <c r="CF1823">
        <v>1</v>
      </c>
      <c r="CG1823" t="s">
        <v>98</v>
      </c>
      <c r="CH1823" t="s">
        <v>206</v>
      </c>
      <c r="CI1823" t="s">
        <v>206</v>
      </c>
      <c r="CL1823" t="s">
        <v>108</v>
      </c>
      <c r="CM1823" t="s">
        <v>109</v>
      </c>
      <c r="CN1823" t="str">
        <f>"Chua"</f>
        <v>Chua</v>
      </c>
      <c r="CO1823" t="str">
        <f>"Joseph"</f>
        <v>Joseph</v>
      </c>
      <c r="CP1823" t="str">
        <f>"A."</f>
        <v>A.</v>
      </c>
      <c r="CQ1823" t="str">
        <f>"Chugh, LLP."</f>
        <v>Chugh, LLP.</v>
      </c>
      <c r="CR1823" t="s">
        <v>1249</v>
      </c>
    </row>
    <row r="1824" spans="1:96" x14ac:dyDescent="0.2">
      <c r="A1824" t="s">
        <v>8424</v>
      </c>
      <c r="B1824" t="s">
        <v>96</v>
      </c>
      <c r="C1824" s="1">
        <v>44099</v>
      </c>
      <c r="D1824" s="1">
        <v>44106</v>
      </c>
      <c r="F1824" t="s">
        <v>97</v>
      </c>
      <c r="G1824" t="str">
        <f>"PORTFOLIO ASSOCIATE"</f>
        <v>PORTFOLIO ASSOCIATE</v>
      </c>
      <c r="H1824" t="s">
        <v>12213</v>
      </c>
      <c r="I1824" t="s">
        <v>493</v>
      </c>
      <c r="J1824" t="s">
        <v>98</v>
      </c>
      <c r="K1824" s="1">
        <v>44212</v>
      </c>
      <c r="L1824" s="1">
        <v>45306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 t="s">
        <v>5692</v>
      </c>
      <c r="U1824" t="str">
        <f>""</f>
        <v/>
      </c>
      <c r="V1824" t="s">
        <v>8222</v>
      </c>
      <c r="W1824" t="str">
        <f>""</f>
        <v/>
      </c>
      <c r="X1824" t="s">
        <v>8223</v>
      </c>
      <c r="Y1824" t="s">
        <v>141</v>
      </c>
      <c r="Z1824" s="3">
        <v>92660</v>
      </c>
      <c r="AA1824" t="s">
        <v>101</v>
      </c>
      <c r="AC1824" s="4" t="str">
        <f>"+19497206000"</f>
        <v>+19497206000</v>
      </c>
      <c r="AE1824" t="str">
        <f>"523920"</f>
        <v>523920</v>
      </c>
      <c r="AF1824" t="s">
        <v>8425</v>
      </c>
      <c r="AG1824" t="s">
        <v>8426</v>
      </c>
      <c r="AH1824" t="s">
        <v>108</v>
      </c>
      <c r="AI1824" t="s">
        <v>8224</v>
      </c>
      <c r="AJ1824" t="s">
        <v>8222</v>
      </c>
      <c r="AK1824" t="str">
        <f>""</f>
        <v/>
      </c>
      <c r="AL1824" t="s">
        <v>8223</v>
      </c>
      <c r="AM1824" t="s">
        <v>141</v>
      </c>
      <c r="AN1824" s="3">
        <v>92660</v>
      </c>
      <c r="AO1824" t="s">
        <v>101</v>
      </c>
      <c r="AQ1824" t="str">
        <f>"+19497206314"</f>
        <v>+19497206314</v>
      </c>
      <c r="AS1824" t="s">
        <v>8427</v>
      </c>
      <c r="AT1824" t="s">
        <v>107</v>
      </c>
      <c r="AU1824" t="str">
        <f>"DOGAN"</f>
        <v>DOGAN</v>
      </c>
      <c r="AV1824" t="str">
        <f>"IREM"</f>
        <v>IREM</v>
      </c>
      <c r="AW1824" t="str">
        <f>""</f>
        <v/>
      </c>
      <c r="AX1824" t="str">
        <f>"665 FIFTH AVENUE"</f>
        <v>665 FIFTH AVENUE</v>
      </c>
      <c r="AY1824" t="str">
        <f>""</f>
        <v/>
      </c>
      <c r="AZ1824" t="str">
        <f>"NEW YORK"</f>
        <v>NEW YORK</v>
      </c>
      <c r="BA1824" t="str">
        <f>"NY"</f>
        <v>NY</v>
      </c>
      <c r="BB1824" s="3">
        <v>10022</v>
      </c>
      <c r="BC1824" t="str">
        <f t="shared" si="146"/>
        <v>UNITED STATES OF AMERICA</v>
      </c>
      <c r="BD1824" t="str">
        <f>""</f>
        <v/>
      </c>
      <c r="BE1824" t="str">
        <f>"+12126885151"</f>
        <v>+12126885151</v>
      </c>
      <c r="BF1824" t="str">
        <f>""</f>
        <v/>
      </c>
      <c r="BG1824" t="str">
        <f>"AOCONNELL@GIBNEY.COM"</f>
        <v>AOCONNELL@GIBNEY.COM</v>
      </c>
      <c r="BH1824" t="str">
        <f>"GIBNEY, ANTHONY &amp; FLAHERTY, LLP"</f>
        <v>GIBNEY, ANTHONY &amp; FLAHERTY, LLP</v>
      </c>
      <c r="BI1824" t="str">
        <f>"NY"</f>
        <v>NY</v>
      </c>
      <c r="BJ1824" t="str">
        <f>"COURT OF APPEALS"</f>
        <v>COURT OF APPEALS</v>
      </c>
      <c r="BK1824">
        <v>1</v>
      </c>
      <c r="BL1824" t="s">
        <v>102</v>
      </c>
      <c r="BM1824" t="str">
        <f>""</f>
        <v/>
      </c>
      <c r="BN1824" t="s">
        <v>8222</v>
      </c>
      <c r="BP1824" t="s">
        <v>8223</v>
      </c>
      <c r="BQ1824" t="s">
        <v>377</v>
      </c>
      <c r="BR1824" t="s">
        <v>141</v>
      </c>
      <c r="BS1824" s="5">
        <v>92660</v>
      </c>
      <c r="BT1824" s="2">
        <v>103000</v>
      </c>
      <c r="BV1824" t="s">
        <v>105</v>
      </c>
      <c r="BW1824" s="2">
        <v>73528</v>
      </c>
      <c r="BX1824" t="s">
        <v>105</v>
      </c>
      <c r="BZ1824" t="s">
        <v>167</v>
      </c>
      <c r="CA1824" t="str">
        <f t="shared" si="147"/>
        <v>7/1/2020 - 6/30/2021</v>
      </c>
      <c r="CF1824">
        <v>1</v>
      </c>
      <c r="CG1824" t="s">
        <v>98</v>
      </c>
      <c r="CH1824" t="s">
        <v>206</v>
      </c>
      <c r="CI1824" t="s">
        <v>206</v>
      </c>
      <c r="CL1824" t="s">
        <v>108</v>
      </c>
      <c r="CM1824" t="s">
        <v>109</v>
      </c>
      <c r="CN1824" t="str">
        <f>"O'CONNELL (12858-00290.002)"</f>
        <v>O'CONNELL (12858-00290.002)</v>
      </c>
      <c r="CO1824" t="str">
        <f>"ABEL"</f>
        <v>ABEL</v>
      </c>
      <c r="CP1824" t="str">
        <f>"M"</f>
        <v>M</v>
      </c>
      <c r="CQ1824" t="str">
        <f>"GIBNEY, ANTHONY &amp; FLAHERTY, LLP"</f>
        <v>GIBNEY, ANTHONY &amp; FLAHERTY, LLP</v>
      </c>
      <c r="CR1824" t="s">
        <v>8226</v>
      </c>
    </row>
    <row r="1825" spans="1:96" x14ac:dyDescent="0.2">
      <c r="A1825" t="s">
        <v>8428</v>
      </c>
      <c r="B1825" t="s">
        <v>96</v>
      </c>
      <c r="C1825" s="1">
        <v>44099</v>
      </c>
      <c r="D1825" s="1">
        <v>44106</v>
      </c>
      <c r="F1825" t="s">
        <v>97</v>
      </c>
      <c r="G1825" t="str">
        <f>"Software Engineer 1615.57152"</f>
        <v>Software Engineer 1615.57152</v>
      </c>
      <c r="H1825" t="s">
        <v>12169</v>
      </c>
      <c r="I1825" t="s">
        <v>124</v>
      </c>
      <c r="J1825" t="s">
        <v>98</v>
      </c>
      <c r="K1825" s="1">
        <v>44109</v>
      </c>
      <c r="L1825" s="1">
        <v>45203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 t="s">
        <v>890</v>
      </c>
      <c r="U1825" t="str">
        <f>""</f>
        <v/>
      </c>
      <c r="V1825" t="s">
        <v>290</v>
      </c>
      <c r="W1825" t="str">
        <f>""</f>
        <v/>
      </c>
      <c r="X1825" t="s">
        <v>155</v>
      </c>
      <c r="Y1825" t="s">
        <v>141</v>
      </c>
      <c r="Z1825" s="3">
        <v>94043</v>
      </c>
      <c r="AA1825" t="s">
        <v>101</v>
      </c>
      <c r="AC1825" s="4" t="str">
        <f>"+16502534513"</f>
        <v>+16502534513</v>
      </c>
      <c r="AE1825" t="str">
        <f>"541512"</f>
        <v>541512</v>
      </c>
      <c r="AF1825" t="s">
        <v>891</v>
      </c>
      <c r="AG1825" t="s">
        <v>892</v>
      </c>
      <c r="AI1825" t="s">
        <v>893</v>
      </c>
      <c r="AJ1825" t="s">
        <v>290</v>
      </c>
      <c r="AK1825" t="str">
        <f>""</f>
        <v/>
      </c>
      <c r="AL1825" t="s">
        <v>155</v>
      </c>
      <c r="AM1825" t="s">
        <v>141</v>
      </c>
      <c r="AN1825" s="3">
        <v>94043</v>
      </c>
      <c r="AO1825" t="s">
        <v>101</v>
      </c>
      <c r="AQ1825" t="str">
        <f>"+16502534513"</f>
        <v>+16502534513</v>
      </c>
      <c r="AS1825" t="s">
        <v>429</v>
      </c>
      <c r="AT1825" t="s">
        <v>107</v>
      </c>
      <c r="AU1825" t="str">
        <f>"LOPEZ"</f>
        <v>LOPEZ</v>
      </c>
      <c r="AV1825" t="str">
        <f>"FRANCISCO"</f>
        <v>FRANCISCO</v>
      </c>
      <c r="AW1825" t="str">
        <f>"JAVIER"</f>
        <v>JAVIER</v>
      </c>
      <c r="AX1825" t="str">
        <f>"2400 N GLENVILLE DRIVE"</f>
        <v>2400 N GLENVILLE DRIVE</v>
      </c>
      <c r="AY1825" t="str">
        <f>"BUILDING A, SUITE 100"</f>
        <v>BUILDING A, SUITE 100</v>
      </c>
      <c r="AZ1825" t="str">
        <f>"RICHARDSON"</f>
        <v>RICHARDSON</v>
      </c>
      <c r="BA1825" t="str">
        <f>"TX"</f>
        <v>TX</v>
      </c>
      <c r="BB1825" s="3">
        <v>75082</v>
      </c>
      <c r="BC1825" t="str">
        <f t="shared" si="146"/>
        <v>UNITED STATES OF AMERICA</v>
      </c>
      <c r="BD1825" t="str">
        <f>""</f>
        <v/>
      </c>
      <c r="BE1825" t="str">
        <f>"+14695052647"</f>
        <v>+14695052647</v>
      </c>
      <c r="BF1825" t="str">
        <f>""</f>
        <v/>
      </c>
      <c r="BG1825" t="str">
        <f>"GOOGLEDOL@BALGLOBAL.COM"</f>
        <v>GOOGLEDOL@BALGLOBAL.COM</v>
      </c>
      <c r="BH1825" t="str">
        <f>"BERRY APPLEMAN &amp; LEIDEN LLP"</f>
        <v>BERRY APPLEMAN &amp; LEIDEN LLP</v>
      </c>
      <c r="BI1825" t="str">
        <f>"DC"</f>
        <v>DC</v>
      </c>
      <c r="BJ1825" t="str">
        <f>"COURT OF APPEALS"</f>
        <v>COURT OF APPEALS</v>
      </c>
      <c r="BK1825">
        <v>1</v>
      </c>
      <c r="BL1825" t="s">
        <v>102</v>
      </c>
      <c r="BM1825" t="str">
        <f>""</f>
        <v/>
      </c>
      <c r="BN1825" t="s">
        <v>2365</v>
      </c>
      <c r="BP1825" t="s">
        <v>277</v>
      </c>
      <c r="BQ1825" t="s">
        <v>189</v>
      </c>
      <c r="BR1825" t="s">
        <v>190</v>
      </c>
      <c r="BS1825" s="5">
        <v>10011</v>
      </c>
      <c r="BT1825" s="2">
        <v>167000</v>
      </c>
      <c r="BV1825" t="s">
        <v>105</v>
      </c>
      <c r="BW1825" s="2">
        <v>100526</v>
      </c>
      <c r="BX1825" t="s">
        <v>105</v>
      </c>
      <c r="BZ1825" t="s">
        <v>167</v>
      </c>
      <c r="CA1825" t="str">
        <f t="shared" si="147"/>
        <v>7/1/2020 - 6/30/2021</v>
      </c>
      <c r="CF1825">
        <v>2</v>
      </c>
      <c r="CG1825" t="s">
        <v>98</v>
      </c>
      <c r="CH1825" t="s">
        <v>206</v>
      </c>
      <c r="CI1825" t="s">
        <v>206</v>
      </c>
      <c r="CL1825" t="s">
        <v>108</v>
      </c>
      <c r="CM1825" t="s">
        <v>109</v>
      </c>
      <c r="CN1825" t="str">
        <f>"Galvez"</f>
        <v>Galvez</v>
      </c>
      <c r="CO1825" t="str">
        <f>"Adrian"</f>
        <v>Adrian</v>
      </c>
      <c r="CP1825" t="str">
        <f>""</f>
        <v/>
      </c>
      <c r="CQ1825" t="str">
        <f>"Berry Appleman &amp; Leiden LLP"</f>
        <v>Berry Appleman &amp; Leiden LLP</v>
      </c>
      <c r="CR1825" t="s">
        <v>6299</v>
      </c>
    </row>
    <row r="1826" spans="1:96" x14ac:dyDescent="0.2">
      <c r="A1826" t="s">
        <v>8436</v>
      </c>
      <c r="B1826" t="s">
        <v>96</v>
      </c>
      <c r="C1826" s="1">
        <v>44099</v>
      </c>
      <c r="D1826" s="1">
        <v>44106</v>
      </c>
      <c r="F1826" t="s">
        <v>97</v>
      </c>
      <c r="G1826" t="str">
        <f>"ASSISTANT PROFESSOR OF CLINICAL MEDICINE"</f>
        <v>ASSISTANT PROFESSOR OF CLINICAL MEDICINE</v>
      </c>
      <c r="H1826" t="s">
        <v>12203</v>
      </c>
      <c r="I1826" t="s">
        <v>525</v>
      </c>
      <c r="J1826" t="s">
        <v>206</v>
      </c>
      <c r="K1826" s="1">
        <v>44130</v>
      </c>
      <c r="L1826" s="1">
        <v>45224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 t="s">
        <v>2416</v>
      </c>
      <c r="U1826" t="str">
        <f>""</f>
        <v/>
      </c>
      <c r="V1826" t="s">
        <v>2417</v>
      </c>
      <c r="W1826" t="str">
        <f>""</f>
        <v/>
      </c>
      <c r="X1826" t="s">
        <v>199</v>
      </c>
      <c r="Y1826" t="s">
        <v>374</v>
      </c>
      <c r="Z1826" s="3">
        <v>65211</v>
      </c>
      <c r="AA1826" t="s">
        <v>101</v>
      </c>
      <c r="AC1826" s="4" t="str">
        <f>"+15738823211"</f>
        <v>+15738823211</v>
      </c>
      <c r="AE1826" t="str">
        <f>"611310"</f>
        <v>611310</v>
      </c>
      <c r="AF1826" t="s">
        <v>8437</v>
      </c>
      <c r="AG1826" t="s">
        <v>3305</v>
      </c>
      <c r="AI1826" t="s">
        <v>8438</v>
      </c>
      <c r="AJ1826" t="s">
        <v>8439</v>
      </c>
      <c r="AK1826" t="str">
        <f>"One Hospital Drive, MA406G Medical Science Addition"</f>
        <v>One Hospital Drive, MA406G Medical Science Addition</v>
      </c>
      <c r="AL1826" t="s">
        <v>199</v>
      </c>
      <c r="AM1826" t="s">
        <v>374</v>
      </c>
      <c r="AN1826" s="3">
        <v>65212</v>
      </c>
      <c r="AO1826" t="s">
        <v>101</v>
      </c>
      <c r="AQ1826" t="str">
        <f>"+15738841829"</f>
        <v>+15738841829</v>
      </c>
      <c r="AS1826" t="s">
        <v>8440</v>
      </c>
      <c r="AT1826" t="s">
        <v>107</v>
      </c>
      <c r="AU1826" t="str">
        <f>"Sandler"</f>
        <v>Sandler</v>
      </c>
      <c r="AV1826" t="str">
        <f>"Bradley"</f>
        <v>Bradley</v>
      </c>
      <c r="AW1826" t="str">
        <f>"A"</f>
        <v>A</v>
      </c>
      <c r="AX1826" t="str">
        <f>"7700 Forsyth"</f>
        <v>7700 Forsyth</v>
      </c>
      <c r="AY1826" t="str">
        <f>"Suite 1100"</f>
        <v>Suite 1100</v>
      </c>
      <c r="AZ1826" t="str">
        <f>"St. Louis"</f>
        <v>St. Louis</v>
      </c>
      <c r="BA1826" t="str">
        <f>"MO"</f>
        <v>MO</v>
      </c>
      <c r="BB1826" s="3">
        <v>63105</v>
      </c>
      <c r="BC1826" t="str">
        <f t="shared" si="146"/>
        <v>UNITED STATES OF AMERICA</v>
      </c>
      <c r="BD1826" t="str">
        <f>""</f>
        <v/>
      </c>
      <c r="BE1826" t="str">
        <f>"+13147193006"</f>
        <v>+13147193006</v>
      </c>
      <c r="BF1826" t="str">
        <f>""</f>
        <v/>
      </c>
      <c r="BG1826" t="str">
        <f>"brad.sandler@stinson.com"</f>
        <v>brad.sandler@stinson.com</v>
      </c>
      <c r="BH1826" t="str">
        <f>"Stinson LLP"</f>
        <v>Stinson LLP</v>
      </c>
      <c r="BI1826" t="str">
        <f>"MO"</f>
        <v>MO</v>
      </c>
      <c r="BJ1826" t="str">
        <f>"Supreme Court"</f>
        <v>Supreme Court</v>
      </c>
      <c r="BK1826">
        <v>1</v>
      </c>
      <c r="BL1826" t="s">
        <v>102</v>
      </c>
      <c r="BM1826" t="str">
        <f>""</f>
        <v/>
      </c>
      <c r="BN1826" t="s">
        <v>8441</v>
      </c>
      <c r="BO1826" t="s">
        <v>8442</v>
      </c>
      <c r="BP1826" t="s">
        <v>2211</v>
      </c>
      <c r="BQ1826" t="s">
        <v>957</v>
      </c>
      <c r="BR1826" t="s">
        <v>374</v>
      </c>
      <c r="BS1826" s="5">
        <v>65212</v>
      </c>
      <c r="BT1826" s="2">
        <v>90</v>
      </c>
      <c r="BU1826" s="2">
        <v>110</v>
      </c>
      <c r="BV1826" t="s">
        <v>210</v>
      </c>
      <c r="BW1826" s="2">
        <v>55.4</v>
      </c>
      <c r="BX1826" t="s">
        <v>210</v>
      </c>
      <c r="BZ1826" t="s">
        <v>167</v>
      </c>
      <c r="CA1826" t="str">
        <f t="shared" si="147"/>
        <v>7/1/2020 - 6/30/2021</v>
      </c>
      <c r="CF1826">
        <v>2</v>
      </c>
      <c r="CG1826" t="s">
        <v>98</v>
      </c>
      <c r="CH1826" t="s">
        <v>206</v>
      </c>
      <c r="CI1826" t="s">
        <v>206</v>
      </c>
      <c r="CL1826" t="s">
        <v>108</v>
      </c>
      <c r="CM1826" t="s">
        <v>109</v>
      </c>
      <c r="CN1826" t="str">
        <f>""</f>
        <v/>
      </c>
      <c r="CO1826" t="str">
        <f>""</f>
        <v/>
      </c>
      <c r="CP1826" t="str">
        <f>""</f>
        <v/>
      </c>
      <c r="CQ1826" t="str">
        <f>""</f>
        <v/>
      </c>
    </row>
    <row r="1827" spans="1:96" x14ac:dyDescent="0.2">
      <c r="A1827" t="s">
        <v>8454</v>
      </c>
      <c r="B1827" t="s">
        <v>96</v>
      </c>
      <c r="C1827" s="1">
        <v>44099</v>
      </c>
      <c r="D1827" s="1">
        <v>44106</v>
      </c>
      <c r="F1827" t="s">
        <v>97</v>
      </c>
      <c r="G1827" t="str">
        <f>"Medical Laboratory Scientist"</f>
        <v>Medical Laboratory Scientist</v>
      </c>
      <c r="H1827" t="s">
        <v>12234</v>
      </c>
      <c r="I1827" t="s">
        <v>1186</v>
      </c>
      <c r="J1827" t="s">
        <v>98</v>
      </c>
      <c r="K1827" s="1">
        <v>44153</v>
      </c>
      <c r="L1827" s="1">
        <v>45247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6727</v>
      </c>
      <c r="U1827" t="str">
        <f>""</f>
        <v/>
      </c>
      <c r="V1827" t="s">
        <v>6728</v>
      </c>
      <c r="W1827" t="str">
        <f>""</f>
        <v/>
      </c>
      <c r="X1827" t="s">
        <v>833</v>
      </c>
      <c r="Y1827" t="s">
        <v>345</v>
      </c>
      <c r="Z1827" s="3">
        <v>60611</v>
      </c>
      <c r="AA1827" t="s">
        <v>101</v>
      </c>
      <c r="AC1827" s="4" t="str">
        <f>"+13129260460"</f>
        <v>+13129260460</v>
      </c>
      <c r="AE1827" t="str">
        <f>"622110"</f>
        <v>622110</v>
      </c>
      <c r="AF1827" t="s">
        <v>6729</v>
      </c>
      <c r="AG1827" t="s">
        <v>927</v>
      </c>
      <c r="AI1827" t="s">
        <v>6730</v>
      </c>
      <c r="AJ1827" t="s">
        <v>6731</v>
      </c>
      <c r="AK1827" t="str">
        <f>"Suite 1700"</f>
        <v>Suite 1700</v>
      </c>
      <c r="AL1827" t="s">
        <v>833</v>
      </c>
      <c r="AM1827" t="s">
        <v>345</v>
      </c>
      <c r="AN1827" s="3">
        <v>60611</v>
      </c>
      <c r="AO1827" t="s">
        <v>101</v>
      </c>
      <c r="AQ1827" t="str">
        <f>"+13129260460"</f>
        <v>+13129260460</v>
      </c>
      <c r="AS1827" t="s">
        <v>6732</v>
      </c>
      <c r="AT1827" t="s">
        <v>107</v>
      </c>
      <c r="AU1827" t="str">
        <f>"Barker"</f>
        <v>Barker</v>
      </c>
      <c r="AV1827" t="str">
        <f>"Nell"</f>
        <v>Nell</v>
      </c>
      <c r="AW1827" t="str">
        <f>"W"</f>
        <v>W</v>
      </c>
      <c r="AX1827" t="str">
        <f>"332 S Michigan Avenue"</f>
        <v>332 S Michigan Avenue</v>
      </c>
      <c r="AY1827" t="str">
        <f>"Suite 1428"</f>
        <v>Suite 1428</v>
      </c>
      <c r="AZ1827" t="str">
        <f>"Chicago"</f>
        <v>Chicago</v>
      </c>
      <c r="BA1827" t="str">
        <f>"IL"</f>
        <v>IL</v>
      </c>
      <c r="BB1827" s="3">
        <v>60604</v>
      </c>
      <c r="BC1827" t="str">
        <f t="shared" si="146"/>
        <v>UNITED STATES OF AMERICA</v>
      </c>
      <c r="BD1827" t="str">
        <f>""</f>
        <v/>
      </c>
      <c r="BE1827" t="str">
        <f>"+13123419730"</f>
        <v>+13123419730</v>
      </c>
      <c r="BF1827" t="str">
        <f>""</f>
        <v/>
      </c>
      <c r="BG1827" t="str">
        <f>"nellb@klc-ltd.com"</f>
        <v>nellb@klc-ltd.com</v>
      </c>
      <c r="BH1827" t="str">
        <f>"Kempster, Corcoran, Quiceno &amp; Lenz-Calvo, LTD"</f>
        <v>Kempster, Corcoran, Quiceno &amp; Lenz-Calvo, LTD</v>
      </c>
      <c r="BI1827" t="str">
        <f>"IL"</f>
        <v>IL</v>
      </c>
      <c r="BJ1827" t="str">
        <f>"Illinois Supreme Court"</f>
        <v>Illinois Supreme Court</v>
      </c>
      <c r="BK1827">
        <v>1</v>
      </c>
      <c r="BL1827" t="s">
        <v>102</v>
      </c>
      <c r="BM1827" t="str">
        <f>""</f>
        <v/>
      </c>
      <c r="BN1827" t="s">
        <v>8455</v>
      </c>
      <c r="BP1827" t="s">
        <v>833</v>
      </c>
      <c r="BQ1827" t="s">
        <v>788</v>
      </c>
      <c r="BR1827" t="s">
        <v>345</v>
      </c>
      <c r="BS1827" s="5">
        <v>60611</v>
      </c>
      <c r="BT1827" s="2">
        <v>51168</v>
      </c>
      <c r="BU1827" s="2">
        <v>62200</v>
      </c>
      <c r="BV1827" t="s">
        <v>105</v>
      </c>
      <c r="BW1827" s="2">
        <v>51168</v>
      </c>
      <c r="BX1827" t="s">
        <v>105</v>
      </c>
      <c r="BZ1827" t="s">
        <v>167</v>
      </c>
      <c r="CA1827" t="str">
        <f t="shared" si="147"/>
        <v>7/1/2020 - 6/30/2021</v>
      </c>
      <c r="CF1827">
        <v>1</v>
      </c>
      <c r="CG1827" t="s">
        <v>98</v>
      </c>
      <c r="CH1827" t="s">
        <v>206</v>
      </c>
      <c r="CI1827" t="s">
        <v>206</v>
      </c>
      <c r="CL1827" t="s">
        <v>108</v>
      </c>
      <c r="CM1827" t="s">
        <v>109</v>
      </c>
      <c r="CN1827" t="str">
        <f>""</f>
        <v/>
      </c>
      <c r="CO1827" t="str">
        <f>""</f>
        <v/>
      </c>
      <c r="CP1827" t="str">
        <f>""</f>
        <v/>
      </c>
      <c r="CQ1827" t="str">
        <f>""</f>
        <v/>
      </c>
    </row>
    <row r="1828" spans="1:96" x14ac:dyDescent="0.2">
      <c r="A1828" t="s">
        <v>8457</v>
      </c>
      <c r="B1828" t="s">
        <v>96</v>
      </c>
      <c r="C1828" s="1">
        <v>44099</v>
      </c>
      <c r="D1828" s="1">
        <v>44106</v>
      </c>
      <c r="F1828" t="s">
        <v>97</v>
      </c>
      <c r="G1828" t="str">
        <f>"RESEARCH ASSOCIATE"</f>
        <v>RESEARCH ASSOCIATE</v>
      </c>
      <c r="H1828" t="s">
        <v>12261</v>
      </c>
      <c r="I1828" t="s">
        <v>5284</v>
      </c>
      <c r="J1828" t="s">
        <v>206</v>
      </c>
      <c r="K1828" s="1">
        <v>44117</v>
      </c>
      <c r="L1828" s="1">
        <v>45211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 t="s">
        <v>3615</v>
      </c>
      <c r="U1828" t="str">
        <f>""</f>
        <v/>
      </c>
      <c r="V1828" t="s">
        <v>3616</v>
      </c>
      <c r="W1828" t="str">
        <f>"7TH FLOOR"</f>
        <v>7TH FLOOR</v>
      </c>
      <c r="X1828" t="s">
        <v>189</v>
      </c>
      <c r="Y1828" t="s">
        <v>190</v>
      </c>
      <c r="Z1828" s="3">
        <v>10036</v>
      </c>
      <c r="AA1828" t="s">
        <v>101</v>
      </c>
      <c r="AC1828" s="4" t="str">
        <f>"+12124178614"</f>
        <v>+12124178614</v>
      </c>
      <c r="AE1828" t="str">
        <f>"611310"</f>
        <v>611310</v>
      </c>
      <c r="AF1828" t="s">
        <v>3617</v>
      </c>
      <c r="AG1828" t="s">
        <v>3618</v>
      </c>
      <c r="AH1828" t="s">
        <v>1080</v>
      </c>
      <c r="AI1828" t="s">
        <v>3619</v>
      </c>
      <c r="AJ1828" t="s">
        <v>3616</v>
      </c>
      <c r="AK1828" t="str">
        <f>"7TH FLOOR"</f>
        <v>7TH FLOOR</v>
      </c>
      <c r="AL1828" t="s">
        <v>189</v>
      </c>
      <c r="AM1828" t="s">
        <v>190</v>
      </c>
      <c r="AN1828" s="3">
        <v>10036</v>
      </c>
      <c r="AO1828" t="s">
        <v>101</v>
      </c>
      <c r="AQ1828" t="str">
        <f>"+12124178614"</f>
        <v>+12124178614</v>
      </c>
      <c r="AS1828" t="s">
        <v>3620</v>
      </c>
      <c r="AT1828" t="s">
        <v>102</v>
      </c>
      <c r="AU1828" t="str">
        <f>""</f>
        <v/>
      </c>
      <c r="AV1828" t="str">
        <f>""</f>
        <v/>
      </c>
      <c r="AW1828" t="str">
        <f>""</f>
        <v/>
      </c>
      <c r="AX1828" t="str">
        <f>""</f>
        <v/>
      </c>
      <c r="AY1828" t="str">
        <f>""</f>
        <v/>
      </c>
      <c r="AZ1828" t="str">
        <f>""</f>
        <v/>
      </c>
      <c r="BA1828" t="str">
        <f>""</f>
        <v/>
      </c>
      <c r="BC1828" t="str">
        <f>""</f>
        <v/>
      </c>
      <c r="BD1828" t="str">
        <f>""</f>
        <v/>
      </c>
      <c r="BE1828" t="str">
        <f>""</f>
        <v/>
      </c>
      <c r="BF1828" t="str">
        <f>""</f>
        <v/>
      </c>
      <c r="BG1828" t="str">
        <f>""</f>
        <v/>
      </c>
      <c r="BH1828" t="str">
        <f>""</f>
        <v/>
      </c>
      <c r="BI1828" t="str">
        <f>""</f>
        <v/>
      </c>
      <c r="BJ1828" t="str">
        <f>""</f>
        <v/>
      </c>
      <c r="BK1828">
        <v>1</v>
      </c>
      <c r="BL1828" t="s">
        <v>102</v>
      </c>
      <c r="BM1828" t="str">
        <f>""</f>
        <v/>
      </c>
      <c r="BN1828" t="s">
        <v>3616</v>
      </c>
      <c r="BO1828" t="s">
        <v>3621</v>
      </c>
      <c r="BP1828" t="s">
        <v>189</v>
      </c>
      <c r="BQ1828" t="s">
        <v>189</v>
      </c>
      <c r="BR1828" t="s">
        <v>190</v>
      </c>
      <c r="BS1828" s="5">
        <v>10036</v>
      </c>
      <c r="BT1828" s="2">
        <v>31.75</v>
      </c>
      <c r="BV1828" t="s">
        <v>210</v>
      </c>
      <c r="BW1828" s="2">
        <v>31.72</v>
      </c>
      <c r="BX1828" t="s">
        <v>210</v>
      </c>
      <c r="BZ1828" t="s">
        <v>167</v>
      </c>
      <c r="CA1828" t="str">
        <f t="shared" si="147"/>
        <v>7/1/2020 - 6/30/2021</v>
      </c>
      <c r="CF1828">
        <v>1</v>
      </c>
      <c r="CG1828" t="s">
        <v>98</v>
      </c>
      <c r="CH1828" t="s">
        <v>206</v>
      </c>
      <c r="CI1828" t="s">
        <v>206</v>
      </c>
      <c r="CL1828" t="s">
        <v>108</v>
      </c>
      <c r="CM1828" t="s">
        <v>109</v>
      </c>
      <c r="CN1828" t="str">
        <f>""</f>
        <v/>
      </c>
      <c r="CO1828" t="str">
        <f>""</f>
        <v/>
      </c>
      <c r="CP1828" t="str">
        <f>""</f>
        <v/>
      </c>
      <c r="CQ1828" t="str">
        <f>""</f>
        <v/>
      </c>
    </row>
    <row r="1829" spans="1:96" x14ac:dyDescent="0.2">
      <c r="A1829" t="s">
        <v>8459</v>
      </c>
      <c r="B1829" t="s">
        <v>96</v>
      </c>
      <c r="C1829" s="1">
        <v>44099</v>
      </c>
      <c r="D1829" s="1">
        <v>44106</v>
      </c>
      <c r="F1829" t="s">
        <v>97</v>
      </c>
      <c r="G1829" t="str">
        <f>"Sr. Technical Program Manager"</f>
        <v>Sr. Technical Program Manager</v>
      </c>
      <c r="H1829" t="s">
        <v>12168</v>
      </c>
      <c r="I1829" t="s">
        <v>367</v>
      </c>
      <c r="J1829" t="s">
        <v>98</v>
      </c>
      <c r="K1829" s="1">
        <v>44179</v>
      </c>
      <c r="L1829" s="1">
        <v>45273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 t="s">
        <v>5281</v>
      </c>
      <c r="U1829" t="str">
        <f>""</f>
        <v/>
      </c>
      <c r="V1829" t="s">
        <v>5282</v>
      </c>
      <c r="W1829" t="str">
        <f>""</f>
        <v/>
      </c>
      <c r="X1829" t="s">
        <v>806</v>
      </c>
      <c r="Y1829" t="s">
        <v>265</v>
      </c>
      <c r="Z1829" s="3">
        <v>48377</v>
      </c>
      <c r="AA1829" t="s">
        <v>101</v>
      </c>
      <c r="AC1829" s="4" t="str">
        <f>"+12489851260"</f>
        <v>+12489851260</v>
      </c>
      <c r="AE1829" t="str">
        <f>"336111"</f>
        <v>336111</v>
      </c>
      <c r="AF1829" t="s">
        <v>8460</v>
      </c>
      <c r="AG1829" t="s">
        <v>1514</v>
      </c>
      <c r="AI1829" t="s">
        <v>2733</v>
      </c>
      <c r="AJ1829" t="s">
        <v>5282</v>
      </c>
      <c r="AK1829" t="str">
        <f>""</f>
        <v/>
      </c>
      <c r="AL1829" t="s">
        <v>806</v>
      </c>
      <c r="AM1829" t="s">
        <v>265</v>
      </c>
      <c r="AN1829" s="3">
        <v>48377</v>
      </c>
      <c r="AO1829" t="s">
        <v>101</v>
      </c>
      <c r="AQ1829" t="str">
        <f>"+12489851260"</f>
        <v>+12489851260</v>
      </c>
      <c r="AS1829" t="s">
        <v>8461</v>
      </c>
      <c r="AT1829" t="s">
        <v>107</v>
      </c>
      <c r="AU1829" t="str">
        <f>"Clarke"</f>
        <v>Clarke</v>
      </c>
      <c r="AV1829" t="str">
        <f>"Marsha"</f>
        <v>Marsha</v>
      </c>
      <c r="AW1829" t="str">
        <f>""</f>
        <v/>
      </c>
      <c r="AX1829" t="str">
        <f>"230 W Monroe Street"</f>
        <v>230 W Monroe Street</v>
      </c>
      <c r="AY1829" t="str">
        <f>"Suite 2800"</f>
        <v>Suite 2800</v>
      </c>
      <c r="AZ1829" t="str">
        <f>"Chicago"</f>
        <v>Chicago</v>
      </c>
      <c r="BA1829" t="str">
        <f>"IL"</f>
        <v>IL</v>
      </c>
      <c r="BB1829" s="3">
        <v>60606</v>
      </c>
      <c r="BC1829" t="str">
        <f t="shared" ref="BC1829:BC1837" si="148">"UNITED STATES OF AMERICA"</f>
        <v>UNITED STATES OF AMERICA</v>
      </c>
      <c r="BD1829" t="str">
        <f>""</f>
        <v/>
      </c>
      <c r="BE1829" t="str">
        <f>"+13127226300"</f>
        <v>+13127226300</v>
      </c>
      <c r="BF1829" t="str">
        <f>""</f>
        <v/>
      </c>
      <c r="BG1829" t="str">
        <f>"gov@giafirm.com"</f>
        <v>gov@giafirm.com</v>
      </c>
      <c r="BH1829" t="str">
        <f>"Global Immigration Associates, P.C."</f>
        <v>Global Immigration Associates, P.C.</v>
      </c>
      <c r="BI1829" t="str">
        <f>"CT"</f>
        <v>CT</v>
      </c>
      <c r="BJ1829" t="str">
        <f>"Supreme Court"</f>
        <v>Supreme Court</v>
      </c>
      <c r="BK1829">
        <v>1</v>
      </c>
      <c r="BL1829" t="s">
        <v>102</v>
      </c>
      <c r="BM1829" t="str">
        <f>""</f>
        <v/>
      </c>
      <c r="BN1829" t="s">
        <v>7634</v>
      </c>
      <c r="BP1829" t="s">
        <v>4314</v>
      </c>
      <c r="BQ1829" t="s">
        <v>365</v>
      </c>
      <c r="BR1829" t="s">
        <v>141</v>
      </c>
      <c r="BS1829" s="5">
        <v>91329</v>
      </c>
      <c r="BT1829" s="2">
        <v>166119</v>
      </c>
      <c r="BV1829" t="s">
        <v>105</v>
      </c>
      <c r="BW1829" s="2">
        <v>104749</v>
      </c>
      <c r="BX1829" t="s">
        <v>105</v>
      </c>
      <c r="BZ1829" t="s">
        <v>159</v>
      </c>
      <c r="CA1829" t="str">
        <f t="shared" si="147"/>
        <v>7/1/2020 - 6/30/2021</v>
      </c>
      <c r="CF1829">
        <v>1</v>
      </c>
      <c r="CG1829" t="s">
        <v>98</v>
      </c>
      <c r="CH1829" t="s">
        <v>206</v>
      </c>
      <c r="CI1829" t="s">
        <v>206</v>
      </c>
      <c r="CL1829" t="s">
        <v>108</v>
      </c>
      <c r="CM1829" t="s">
        <v>109</v>
      </c>
      <c r="CN1829" t="str">
        <f>""</f>
        <v/>
      </c>
      <c r="CO1829" t="str">
        <f>""</f>
        <v/>
      </c>
      <c r="CP1829" t="str">
        <f>""</f>
        <v/>
      </c>
      <c r="CQ1829" t="str">
        <f>""</f>
        <v/>
      </c>
    </row>
    <row r="1830" spans="1:96" x14ac:dyDescent="0.2">
      <c r="A1830" t="s">
        <v>8481</v>
      </c>
      <c r="B1830" t="s">
        <v>96</v>
      </c>
      <c r="C1830" s="1">
        <v>44099</v>
      </c>
      <c r="D1830" s="1">
        <v>44106</v>
      </c>
      <c r="F1830" t="s">
        <v>97</v>
      </c>
      <c r="G1830" t="str">
        <f>"Pre Sales Application Engineer, Intermediate"</f>
        <v>Pre Sales Application Engineer, Intermediate</v>
      </c>
      <c r="H1830" t="s">
        <v>12186</v>
      </c>
      <c r="I1830" t="s">
        <v>232</v>
      </c>
      <c r="J1830" t="s">
        <v>98</v>
      </c>
      <c r="K1830" s="1">
        <v>44105</v>
      </c>
      <c r="L1830" s="1">
        <v>45199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 t="s">
        <v>2866</v>
      </c>
      <c r="U1830" t="str">
        <f>""</f>
        <v/>
      </c>
      <c r="V1830" t="s">
        <v>2867</v>
      </c>
      <c r="W1830" t="str">
        <f>""</f>
        <v/>
      </c>
      <c r="X1830" t="s">
        <v>2868</v>
      </c>
      <c r="Y1830" t="s">
        <v>141</v>
      </c>
      <c r="Z1830" s="3">
        <v>95403</v>
      </c>
      <c r="AA1830" t="s">
        <v>101</v>
      </c>
      <c r="AC1830" s="4" t="str">
        <f>"+17195905706"</f>
        <v>+17195905706</v>
      </c>
      <c r="AE1830" t="str">
        <f>"334419"</f>
        <v>334419</v>
      </c>
      <c r="AF1830" t="s">
        <v>5776</v>
      </c>
      <c r="AG1830" t="s">
        <v>5777</v>
      </c>
      <c r="AI1830" t="s">
        <v>8482</v>
      </c>
      <c r="AJ1830" t="s">
        <v>2867</v>
      </c>
      <c r="AK1830" t="str">
        <f>""</f>
        <v/>
      </c>
      <c r="AL1830" t="s">
        <v>779</v>
      </c>
      <c r="AM1830" t="s">
        <v>141</v>
      </c>
      <c r="AN1830" s="3">
        <v>95403</v>
      </c>
      <c r="AO1830" t="s">
        <v>101</v>
      </c>
      <c r="AQ1830" t="str">
        <f>"+17075776006"</f>
        <v>+17075776006</v>
      </c>
      <c r="AS1830" t="s">
        <v>5778</v>
      </c>
      <c r="AT1830" t="s">
        <v>107</v>
      </c>
      <c r="AU1830" t="str">
        <f>"ESCARIO"</f>
        <v>ESCARIO</v>
      </c>
      <c r="AV1830" t="str">
        <f>"CHERYL"</f>
        <v>CHERYL</v>
      </c>
      <c r="AW1830" t="str">
        <f>"N/A"</f>
        <v>N/A</v>
      </c>
      <c r="AX1830" t="str">
        <f>"2121 TASMAN DRIVE"</f>
        <v>2121 TASMAN DRIVE</v>
      </c>
      <c r="AY1830" t="str">
        <f>"N/A"</f>
        <v>N/A</v>
      </c>
      <c r="AZ1830" t="str">
        <f>"SANTA CLARA"</f>
        <v>SANTA CLARA</v>
      </c>
      <c r="BA1830" t="str">
        <f>"CA"</f>
        <v>CA</v>
      </c>
      <c r="BB1830" s="3">
        <v>95054</v>
      </c>
      <c r="BC1830" t="str">
        <f t="shared" si="148"/>
        <v>UNITED STATES OF AMERICA</v>
      </c>
      <c r="BD1830" t="str">
        <f>"N/A"</f>
        <v>N/A</v>
      </c>
      <c r="BE1830" t="str">
        <f>"+14089190600"</f>
        <v>+14089190600</v>
      </c>
      <c r="BF1830" t="str">
        <f>""</f>
        <v/>
      </c>
      <c r="BG1830" t="str">
        <f>"SANTACLARA9@FRAGOMEN.COM"</f>
        <v>SANTACLARA9@FRAGOMEN.COM</v>
      </c>
      <c r="BH1830" t="str">
        <f>"Fragomen, Del Rey, Bernsen &amp; Loewy, LLP"</f>
        <v>Fragomen, Del Rey, Bernsen &amp; Loewy, LLP</v>
      </c>
      <c r="BI1830" t="str">
        <f>"FL"</f>
        <v>FL</v>
      </c>
      <c r="BJ1830" t="str">
        <f>"SUPREME COURT OF FLORIDA"</f>
        <v>SUPREME COURT OF FLORIDA</v>
      </c>
      <c r="BK1830">
        <v>1</v>
      </c>
      <c r="BL1830" t="s">
        <v>102</v>
      </c>
      <c r="BM1830" t="str">
        <f>""</f>
        <v/>
      </c>
      <c r="BN1830" t="s">
        <v>8483</v>
      </c>
      <c r="BO1830" t="s">
        <v>8484</v>
      </c>
      <c r="BP1830" t="s">
        <v>213</v>
      </c>
      <c r="BQ1830" t="s">
        <v>214</v>
      </c>
      <c r="BR1830" t="s">
        <v>215</v>
      </c>
      <c r="BS1830" s="5">
        <v>30308</v>
      </c>
      <c r="BT1830" s="2">
        <v>110716.82</v>
      </c>
      <c r="BV1830" t="s">
        <v>105</v>
      </c>
      <c r="BW1830" s="2">
        <v>102378</v>
      </c>
      <c r="BX1830" t="s">
        <v>105</v>
      </c>
      <c r="BZ1830" t="s">
        <v>123</v>
      </c>
      <c r="CA1830" t="str">
        <f t="shared" si="147"/>
        <v>7/1/2020 - 6/30/2021</v>
      </c>
      <c r="CF1830">
        <v>2</v>
      </c>
      <c r="CG1830" t="s">
        <v>98</v>
      </c>
      <c r="CH1830" t="s">
        <v>206</v>
      </c>
      <c r="CI1830" t="s">
        <v>206</v>
      </c>
      <c r="CL1830" t="s">
        <v>108</v>
      </c>
      <c r="CM1830" t="s">
        <v>109</v>
      </c>
      <c r="CN1830" t="str">
        <f>"Young"</f>
        <v>Young</v>
      </c>
      <c r="CO1830" t="str">
        <f>"Ann"</f>
        <v>Ann</v>
      </c>
      <c r="CP1830" t="str">
        <f>""</f>
        <v/>
      </c>
      <c r="CQ1830" t="str">
        <f>"Fragomen, Del Rey, Bernsen &amp; Loewy, LLP"</f>
        <v>Fragomen, Del Rey, Bernsen &amp; Loewy, LLP</v>
      </c>
      <c r="CR1830" t="s">
        <v>5779</v>
      </c>
    </row>
    <row r="1831" spans="1:96" x14ac:dyDescent="0.2">
      <c r="A1831" t="s">
        <v>8485</v>
      </c>
      <c r="B1831" t="s">
        <v>96</v>
      </c>
      <c r="C1831" s="1">
        <v>44099</v>
      </c>
      <c r="D1831" s="1">
        <v>44106</v>
      </c>
      <c r="F1831" t="s">
        <v>97</v>
      </c>
      <c r="G1831" t="str">
        <f>"Process Engineering Manager "</f>
        <v xml:space="preserve">Process Engineering Manager </v>
      </c>
      <c r="H1831" t="s">
        <v>12206</v>
      </c>
      <c r="I1831" t="s">
        <v>2761</v>
      </c>
      <c r="J1831" t="s">
        <v>98</v>
      </c>
      <c r="K1831" s="1">
        <v>44105</v>
      </c>
      <c r="L1831" s="1">
        <v>45199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 t="s">
        <v>8486</v>
      </c>
      <c r="U1831" t="str">
        <f>""</f>
        <v/>
      </c>
      <c r="V1831" t="s">
        <v>8487</v>
      </c>
      <c r="W1831" t="str">
        <f>""</f>
        <v/>
      </c>
      <c r="X1831" t="s">
        <v>5915</v>
      </c>
      <c r="Y1831" t="s">
        <v>345</v>
      </c>
      <c r="Z1831" s="3">
        <v>60504</v>
      </c>
      <c r="AA1831" t="s">
        <v>101</v>
      </c>
      <c r="AC1831" s="4" t="str">
        <f>"+16304992787"</f>
        <v>+16304992787</v>
      </c>
      <c r="AE1831" t="str">
        <f>"334413"</f>
        <v>334413</v>
      </c>
      <c r="AF1831" t="s">
        <v>8488</v>
      </c>
      <c r="AG1831" t="s">
        <v>8489</v>
      </c>
      <c r="AI1831" t="s">
        <v>8490</v>
      </c>
      <c r="AJ1831" t="s">
        <v>8487</v>
      </c>
      <c r="AK1831" t="str">
        <f>""</f>
        <v/>
      </c>
      <c r="AL1831" t="s">
        <v>5915</v>
      </c>
      <c r="AM1831" t="s">
        <v>345</v>
      </c>
      <c r="AN1831" s="3">
        <v>60504</v>
      </c>
      <c r="AO1831" t="s">
        <v>101</v>
      </c>
      <c r="AQ1831" t="str">
        <f>"+16304992787"</f>
        <v>+16304992787</v>
      </c>
      <c r="AS1831" t="s">
        <v>8491</v>
      </c>
      <c r="AT1831" t="s">
        <v>107</v>
      </c>
      <c r="AU1831" t="str">
        <f>"KNOWLAND"</f>
        <v>KNOWLAND</v>
      </c>
      <c r="AV1831" t="str">
        <f>"ASHLEY"</f>
        <v>ASHLEY</v>
      </c>
      <c r="AW1831" t="str">
        <f>"N/A"</f>
        <v>N/A</v>
      </c>
      <c r="AX1831" t="str">
        <f>"333 WEST WACKER DRIVE"</f>
        <v>333 WEST WACKER DRIVE</v>
      </c>
      <c r="AY1831" t="str">
        <f>"15TH FLOOR"</f>
        <v>15TH FLOOR</v>
      </c>
      <c r="AZ1831" t="str">
        <f>"CHICAGO"</f>
        <v>CHICAGO</v>
      </c>
      <c r="BA1831" t="str">
        <f>"IL"</f>
        <v>IL</v>
      </c>
      <c r="BB1831" s="3">
        <v>60606</v>
      </c>
      <c r="BC1831" t="str">
        <f t="shared" si="148"/>
        <v>UNITED STATES OF AMERICA</v>
      </c>
      <c r="BD1831" t="str">
        <f>""</f>
        <v/>
      </c>
      <c r="BE1831" t="str">
        <f>"+13122636101"</f>
        <v>+13122636101</v>
      </c>
      <c r="BF1831" t="str">
        <f>""</f>
        <v/>
      </c>
      <c r="BG1831" t="str">
        <f>"lucy.golden@fragomen.com"</f>
        <v>lucy.golden@fragomen.com</v>
      </c>
      <c r="BH1831" t="str">
        <f>"Fragomen, Del Rey, Bernsen &amp; Loewy, LLP"</f>
        <v>Fragomen, Del Rey, Bernsen &amp; Loewy, LLP</v>
      </c>
      <c r="BI1831" t="str">
        <f>"IL"</f>
        <v>IL</v>
      </c>
      <c r="BJ1831" t="str">
        <f>"ILLINOIS SUPREME COURT"</f>
        <v>ILLINOIS SUPREME COURT</v>
      </c>
      <c r="BK1831">
        <v>1</v>
      </c>
      <c r="BL1831" t="s">
        <v>102</v>
      </c>
      <c r="BM1831" t="str">
        <f>""</f>
        <v/>
      </c>
      <c r="BN1831" t="s">
        <v>8492</v>
      </c>
      <c r="BP1831" t="s">
        <v>8493</v>
      </c>
      <c r="BQ1831" t="s">
        <v>6200</v>
      </c>
      <c r="BR1831" t="s">
        <v>141</v>
      </c>
      <c r="BS1831" s="5">
        <v>95023</v>
      </c>
      <c r="BT1831" s="2">
        <v>119850</v>
      </c>
      <c r="BU1831" s="2">
        <v>145000</v>
      </c>
      <c r="BV1831" t="s">
        <v>105</v>
      </c>
      <c r="BW1831" s="2">
        <v>119850</v>
      </c>
      <c r="BX1831" t="s">
        <v>105</v>
      </c>
      <c r="BZ1831" t="s">
        <v>167</v>
      </c>
      <c r="CA1831" t="str">
        <f t="shared" si="147"/>
        <v>7/1/2020 - 6/30/2021</v>
      </c>
      <c r="CF1831">
        <v>2</v>
      </c>
      <c r="CG1831" t="s">
        <v>98</v>
      </c>
      <c r="CH1831" t="s">
        <v>206</v>
      </c>
      <c r="CI1831" t="s">
        <v>206</v>
      </c>
      <c r="CL1831" t="s">
        <v>108</v>
      </c>
      <c r="CM1831" t="s">
        <v>109</v>
      </c>
      <c r="CN1831" t="str">
        <f>""</f>
        <v/>
      </c>
      <c r="CO1831" t="str">
        <f>""</f>
        <v/>
      </c>
      <c r="CP1831" t="str">
        <f>""</f>
        <v/>
      </c>
      <c r="CQ1831" t="str">
        <f>""</f>
        <v/>
      </c>
    </row>
    <row r="1832" spans="1:96" x14ac:dyDescent="0.2">
      <c r="A1832" t="s">
        <v>8500</v>
      </c>
      <c r="B1832" t="s">
        <v>96</v>
      </c>
      <c r="C1832" s="1">
        <v>44099</v>
      </c>
      <c r="D1832" s="1">
        <v>44106</v>
      </c>
      <c r="F1832" t="s">
        <v>97</v>
      </c>
      <c r="G1832" t="str">
        <f>"Sr. CAE Development Engineer "</f>
        <v xml:space="preserve">Sr. CAE Development Engineer </v>
      </c>
      <c r="H1832" t="s">
        <v>12196</v>
      </c>
      <c r="I1832" t="s">
        <v>322</v>
      </c>
      <c r="J1832" t="s">
        <v>98</v>
      </c>
      <c r="K1832" s="1">
        <v>44130</v>
      </c>
      <c r="L1832" s="1">
        <v>45224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 t="s">
        <v>8501</v>
      </c>
      <c r="U1832" t="str">
        <f>""</f>
        <v/>
      </c>
      <c r="V1832" t="s">
        <v>4949</v>
      </c>
      <c r="W1832" t="str">
        <f>""</f>
        <v/>
      </c>
      <c r="X1832" t="s">
        <v>2444</v>
      </c>
      <c r="Y1832" t="s">
        <v>265</v>
      </c>
      <c r="Z1832" s="3">
        <v>48326</v>
      </c>
      <c r="AA1832" t="s">
        <v>101</v>
      </c>
      <c r="AC1832" s="4" t="str">
        <f>"+12487540299"</f>
        <v>+12487540299</v>
      </c>
      <c r="AE1832" t="str">
        <f>"3363"</f>
        <v>3363</v>
      </c>
      <c r="AF1832" t="s">
        <v>2148</v>
      </c>
      <c r="AG1832" t="s">
        <v>1125</v>
      </c>
      <c r="AI1832" t="s">
        <v>5364</v>
      </c>
      <c r="AJ1832" t="s">
        <v>4949</v>
      </c>
      <c r="AK1832" t="str">
        <f>""</f>
        <v/>
      </c>
      <c r="AL1832" t="s">
        <v>2444</v>
      </c>
      <c r="AM1832" t="s">
        <v>265</v>
      </c>
      <c r="AN1832" s="3">
        <v>48326</v>
      </c>
      <c r="AO1832" t="s">
        <v>101</v>
      </c>
      <c r="AQ1832" t="str">
        <f>"+12487540299"</f>
        <v>+12487540299</v>
      </c>
      <c r="AS1832" t="s">
        <v>8502</v>
      </c>
      <c r="AT1832" t="s">
        <v>107</v>
      </c>
      <c r="AU1832" t="str">
        <f>"Debias"</f>
        <v>Debias</v>
      </c>
      <c r="AV1832" t="str">
        <f>"Pamela"</f>
        <v>Pamela</v>
      </c>
      <c r="AW1832" t="str">
        <f>"S."</f>
        <v>S.</v>
      </c>
      <c r="AX1832" t="str">
        <f>"755 W. Big Beaver Road"</f>
        <v>755 W. Big Beaver Road</v>
      </c>
      <c r="AY1832" t="str">
        <f>"Suite 750"</f>
        <v>Suite 750</v>
      </c>
      <c r="AZ1832" t="str">
        <f>"Troy"</f>
        <v>Troy</v>
      </c>
      <c r="BA1832" t="str">
        <f>"MI"</f>
        <v>MI</v>
      </c>
      <c r="BB1832" s="3">
        <v>48084</v>
      </c>
      <c r="BC1832" t="str">
        <f t="shared" si="148"/>
        <v>UNITED STATES OF AMERICA</v>
      </c>
      <c r="BD1832" t="str">
        <f>""</f>
        <v/>
      </c>
      <c r="BE1832" t="str">
        <f>"+12486495404"</f>
        <v>+12486495404</v>
      </c>
      <c r="BF1832" t="str">
        <f>""</f>
        <v/>
      </c>
      <c r="BG1832" t="str">
        <f>"amcclarren@fragomen.com"</f>
        <v>amcclarren@fragomen.com</v>
      </c>
      <c r="BH1832" t="str">
        <f>"Fragomen, Del Rey, Bernsen &amp; Loewy, LLP"</f>
        <v>Fragomen, Del Rey, Bernsen &amp; Loewy, LLP</v>
      </c>
      <c r="BI1832" t="str">
        <f>"MI"</f>
        <v>MI</v>
      </c>
      <c r="BJ1832" t="str">
        <f>"Michigan Supreme Court"</f>
        <v>Michigan Supreme Court</v>
      </c>
      <c r="BK1832">
        <v>1</v>
      </c>
      <c r="BL1832" t="s">
        <v>102</v>
      </c>
      <c r="BM1832" t="str">
        <f>""</f>
        <v/>
      </c>
      <c r="BN1832" t="s">
        <v>4949</v>
      </c>
      <c r="BP1832" t="s">
        <v>2444</v>
      </c>
      <c r="BQ1832" t="s">
        <v>719</v>
      </c>
      <c r="BR1832" t="s">
        <v>265</v>
      </c>
      <c r="BS1832" s="5">
        <v>48326</v>
      </c>
      <c r="BT1832" s="2">
        <v>103000</v>
      </c>
      <c r="BV1832" t="s">
        <v>105</v>
      </c>
      <c r="BW1832" s="2">
        <v>97261</v>
      </c>
      <c r="BX1832" t="s">
        <v>105</v>
      </c>
      <c r="BZ1832" t="s">
        <v>123</v>
      </c>
      <c r="CA1832" t="str">
        <f t="shared" si="147"/>
        <v>7/1/2020 - 6/30/2021</v>
      </c>
      <c r="CF1832">
        <v>2</v>
      </c>
      <c r="CG1832" t="s">
        <v>98</v>
      </c>
      <c r="CH1832" t="s">
        <v>206</v>
      </c>
      <c r="CI1832" t="s">
        <v>206</v>
      </c>
      <c r="CL1832" t="s">
        <v>108</v>
      </c>
      <c r="CM1832" t="s">
        <v>109</v>
      </c>
      <c r="CN1832" t="str">
        <f>""</f>
        <v/>
      </c>
      <c r="CO1832" t="str">
        <f>""</f>
        <v/>
      </c>
      <c r="CP1832" t="str">
        <f>""</f>
        <v/>
      </c>
      <c r="CQ1832" t="str">
        <f>""</f>
        <v/>
      </c>
    </row>
    <row r="1833" spans="1:96" x14ac:dyDescent="0.2">
      <c r="A1833" t="s">
        <v>8523</v>
      </c>
      <c r="B1833" t="s">
        <v>96</v>
      </c>
      <c r="C1833" s="1">
        <v>44099</v>
      </c>
      <c r="D1833" s="1">
        <v>44106</v>
      </c>
      <c r="F1833" t="s">
        <v>97</v>
      </c>
      <c r="G1833" t="str">
        <f>"Expert Support Engineer"</f>
        <v>Expert Support Engineer</v>
      </c>
      <c r="H1833" t="s">
        <v>12181</v>
      </c>
      <c r="I1833" t="s">
        <v>110</v>
      </c>
      <c r="J1833" t="s">
        <v>98</v>
      </c>
      <c r="K1833" s="1">
        <v>44102</v>
      </c>
      <c r="L1833" s="1">
        <v>45197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 t="s">
        <v>5143</v>
      </c>
      <c r="U1833" t="str">
        <f>"SAP America, Inc."</f>
        <v>SAP America, Inc.</v>
      </c>
      <c r="V1833" t="s">
        <v>1276</v>
      </c>
      <c r="W1833" t="str">
        <f>""</f>
        <v/>
      </c>
      <c r="X1833" t="s">
        <v>1277</v>
      </c>
      <c r="Y1833" t="s">
        <v>127</v>
      </c>
      <c r="Z1833" s="3">
        <v>19073</v>
      </c>
      <c r="AA1833" t="s">
        <v>101</v>
      </c>
      <c r="AC1833" s="4" t="str">
        <f>"+16106618413"</f>
        <v>+16106618413</v>
      </c>
      <c r="AE1833" t="str">
        <f>"54151"</f>
        <v>54151</v>
      </c>
      <c r="AF1833" t="s">
        <v>7996</v>
      </c>
      <c r="AG1833" t="s">
        <v>7997</v>
      </c>
      <c r="AI1833" t="s">
        <v>8524</v>
      </c>
      <c r="AJ1833" t="s">
        <v>1276</v>
      </c>
      <c r="AK1833" t="str">
        <f>""</f>
        <v/>
      </c>
      <c r="AL1833" t="s">
        <v>1277</v>
      </c>
      <c r="AM1833" t="s">
        <v>127</v>
      </c>
      <c r="AN1833" s="3">
        <v>19073</v>
      </c>
      <c r="AO1833" t="s">
        <v>101</v>
      </c>
      <c r="AQ1833" t="str">
        <f>"+16106612354"</f>
        <v>+16106612354</v>
      </c>
      <c r="AS1833" t="s">
        <v>1279</v>
      </c>
      <c r="AT1833" t="s">
        <v>107</v>
      </c>
      <c r="AU1833" t="str">
        <f>"Ralston"</f>
        <v>Ralston</v>
      </c>
      <c r="AV1833" t="str">
        <f>"C. William"</f>
        <v>C. William</v>
      </c>
      <c r="AW1833" t="str">
        <f>""</f>
        <v/>
      </c>
      <c r="AX1833" t="str">
        <f>"90 Matawan Road"</f>
        <v>90 Matawan Road</v>
      </c>
      <c r="AY1833" t="str">
        <f>"4th Floor"</f>
        <v>4th Floor</v>
      </c>
      <c r="AZ1833" t="str">
        <f>"Matawan"</f>
        <v>Matawan</v>
      </c>
      <c r="BA1833" t="str">
        <f>"NJ"</f>
        <v>NJ</v>
      </c>
      <c r="BB1833" s="3">
        <v>7747</v>
      </c>
      <c r="BC1833" t="str">
        <f t="shared" si="148"/>
        <v>UNITED STATES OF AMERICA</v>
      </c>
      <c r="BD1833" t="str">
        <f>""</f>
        <v/>
      </c>
      <c r="BE1833" t="str">
        <f>"+17328625000"</f>
        <v>+17328625000</v>
      </c>
      <c r="BF1833" t="str">
        <f>""</f>
        <v/>
      </c>
      <c r="BG1833" t="str">
        <f>"jpinho@fragomen.com"</f>
        <v>jpinho@fragomen.com</v>
      </c>
      <c r="BH1833" t="str">
        <f>"Fragomen, Del Rey, Bernsen &amp; Loewy, LLP"</f>
        <v>Fragomen, Del Rey, Bernsen &amp; Loewy, LLP</v>
      </c>
      <c r="BI1833" t="str">
        <f>"NJ"</f>
        <v>NJ</v>
      </c>
      <c r="BJ1833" t="str">
        <f>"Supreme Court"</f>
        <v>Supreme Court</v>
      </c>
      <c r="BK1833">
        <v>1</v>
      </c>
      <c r="BL1833" t="s">
        <v>102</v>
      </c>
      <c r="BM1833" t="str">
        <f>""</f>
        <v/>
      </c>
      <c r="BN1833" t="s">
        <v>8525</v>
      </c>
      <c r="BO1833" t="s">
        <v>3982</v>
      </c>
      <c r="BP1833" t="s">
        <v>297</v>
      </c>
      <c r="BQ1833" t="s">
        <v>556</v>
      </c>
      <c r="BR1833" t="s">
        <v>114</v>
      </c>
      <c r="BS1833" s="5">
        <v>75024</v>
      </c>
      <c r="BT1833" s="2">
        <v>174814.07999999999</v>
      </c>
      <c r="BV1833" t="s">
        <v>105</v>
      </c>
      <c r="BW1833" s="2">
        <v>97240</v>
      </c>
      <c r="BX1833" t="s">
        <v>105</v>
      </c>
      <c r="BZ1833" t="s">
        <v>123</v>
      </c>
      <c r="CA1833" t="str">
        <f t="shared" si="147"/>
        <v>7/1/2020 - 6/30/2021</v>
      </c>
      <c r="CF1833">
        <v>2</v>
      </c>
      <c r="CG1833" t="s">
        <v>98</v>
      </c>
      <c r="CH1833" t="s">
        <v>206</v>
      </c>
      <c r="CI1833" t="s">
        <v>206</v>
      </c>
      <c r="CL1833" t="s">
        <v>108</v>
      </c>
      <c r="CM1833" t="s">
        <v>109</v>
      </c>
      <c r="CN1833" t="str">
        <f>"Ralston"</f>
        <v>Ralston</v>
      </c>
      <c r="CO1833" t="str">
        <f>"C. William"</f>
        <v>C. William</v>
      </c>
      <c r="CP1833" t="str">
        <f>""</f>
        <v/>
      </c>
      <c r="CQ1833" t="str">
        <f>"Fragomen, Del Rey, Bernsen &amp; Loewy, LLP"</f>
        <v>Fragomen, Del Rey, Bernsen &amp; Loewy, LLP</v>
      </c>
      <c r="CR1833" t="s">
        <v>1280</v>
      </c>
    </row>
    <row r="1834" spans="1:96" x14ac:dyDescent="0.2">
      <c r="A1834" t="s">
        <v>8550</v>
      </c>
      <c r="B1834" t="s">
        <v>96</v>
      </c>
      <c r="C1834" s="1">
        <v>44099</v>
      </c>
      <c r="D1834" s="1">
        <v>44106</v>
      </c>
      <c r="F1834" t="s">
        <v>97</v>
      </c>
      <c r="G1834" t="str">
        <f>"Psychotherapist"</f>
        <v>Psychotherapist</v>
      </c>
      <c r="H1834" t="s">
        <v>12274</v>
      </c>
      <c r="I1834" t="s">
        <v>3862</v>
      </c>
      <c r="J1834" t="s">
        <v>206</v>
      </c>
      <c r="K1834" s="1">
        <v>44109</v>
      </c>
      <c r="L1834" s="1">
        <v>45203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 t="s">
        <v>8551</v>
      </c>
      <c r="U1834" t="str">
        <f>""</f>
        <v/>
      </c>
      <c r="V1834" t="s">
        <v>8552</v>
      </c>
      <c r="W1834" t="str">
        <f>""</f>
        <v/>
      </c>
      <c r="X1834" t="s">
        <v>8553</v>
      </c>
      <c r="Y1834" t="s">
        <v>190</v>
      </c>
      <c r="Z1834" s="3">
        <v>10583</v>
      </c>
      <c r="AA1834" t="s">
        <v>101</v>
      </c>
      <c r="AC1834" s="4" t="str">
        <f>"+19176208749"</f>
        <v>+19176208749</v>
      </c>
      <c r="AE1834" t="str">
        <f>"621420"</f>
        <v>621420</v>
      </c>
      <c r="AF1834" t="s">
        <v>3972</v>
      </c>
      <c r="AG1834" t="s">
        <v>8554</v>
      </c>
      <c r="AH1834" t="s">
        <v>5628</v>
      </c>
      <c r="AI1834" t="s">
        <v>4057</v>
      </c>
      <c r="AJ1834" t="s">
        <v>8552</v>
      </c>
      <c r="AK1834" t="str">
        <f>""</f>
        <v/>
      </c>
      <c r="AL1834" t="s">
        <v>8553</v>
      </c>
      <c r="AM1834" t="s">
        <v>190</v>
      </c>
      <c r="AN1834" s="3">
        <v>10583</v>
      </c>
      <c r="AO1834" t="s">
        <v>101</v>
      </c>
      <c r="AQ1834" t="str">
        <f>"+19176208749"</f>
        <v>+19176208749</v>
      </c>
      <c r="AS1834" t="s">
        <v>8555</v>
      </c>
      <c r="AT1834" t="s">
        <v>107</v>
      </c>
      <c r="AU1834" t="str">
        <f>"Mayer"</f>
        <v>Mayer</v>
      </c>
      <c r="AV1834" t="str">
        <f>"Rosanne"</f>
        <v>Rosanne</v>
      </c>
      <c r="AW1834" t="str">
        <f>""</f>
        <v/>
      </c>
      <c r="AX1834" t="str">
        <f>"P.O. Box 6435"</f>
        <v>P.O. Box 6435</v>
      </c>
      <c r="AY1834" t="str">
        <f>""</f>
        <v/>
      </c>
      <c r="AZ1834" t="str">
        <f>"Ithaca"</f>
        <v>Ithaca</v>
      </c>
      <c r="BA1834" t="str">
        <f>"NY"</f>
        <v>NY</v>
      </c>
      <c r="BB1834" s="3">
        <v>14851</v>
      </c>
      <c r="BC1834" t="str">
        <f t="shared" si="148"/>
        <v>UNITED STATES OF AMERICA</v>
      </c>
      <c r="BD1834" t="str">
        <f>""</f>
        <v/>
      </c>
      <c r="BE1834" t="str">
        <f>"+16072734200"</f>
        <v>+16072734200</v>
      </c>
      <c r="BF1834" t="str">
        <f>""</f>
        <v/>
      </c>
      <c r="BG1834" t="str">
        <f>"rm@millermayer.com"</f>
        <v>rm@millermayer.com</v>
      </c>
      <c r="BH1834" t="str">
        <f>"Miller Mayer, LLP"</f>
        <v>Miller Mayer, LLP</v>
      </c>
      <c r="BI1834" t="str">
        <f>"NY"</f>
        <v>NY</v>
      </c>
      <c r="BJ1834" t="str">
        <f>"NY Court of Appeals"</f>
        <v>NY Court of Appeals</v>
      </c>
      <c r="BK1834">
        <v>1</v>
      </c>
      <c r="BL1834" t="s">
        <v>102</v>
      </c>
      <c r="BM1834" t="str">
        <f>""</f>
        <v/>
      </c>
      <c r="BN1834" t="s">
        <v>8552</v>
      </c>
      <c r="BP1834" t="s">
        <v>8553</v>
      </c>
      <c r="BQ1834" t="s">
        <v>2066</v>
      </c>
      <c r="BR1834" t="s">
        <v>190</v>
      </c>
      <c r="BS1834" s="5">
        <v>10583</v>
      </c>
      <c r="BT1834" s="2">
        <v>27.16</v>
      </c>
      <c r="BV1834" t="s">
        <v>210</v>
      </c>
      <c r="BW1834" s="2">
        <v>27.16</v>
      </c>
      <c r="BX1834" t="s">
        <v>210</v>
      </c>
      <c r="BZ1834" t="s">
        <v>167</v>
      </c>
      <c r="CA1834" t="str">
        <f t="shared" si="147"/>
        <v>7/1/2020 - 6/30/2021</v>
      </c>
      <c r="CF1834">
        <v>1</v>
      </c>
      <c r="CG1834" t="s">
        <v>98</v>
      </c>
      <c r="CH1834" t="s">
        <v>206</v>
      </c>
      <c r="CI1834" t="s">
        <v>206</v>
      </c>
      <c r="CL1834" t="s">
        <v>108</v>
      </c>
      <c r="CM1834" t="s">
        <v>109</v>
      </c>
      <c r="CN1834" t="str">
        <f>""</f>
        <v/>
      </c>
      <c r="CO1834" t="str">
        <f>""</f>
        <v/>
      </c>
      <c r="CP1834" t="str">
        <f>""</f>
        <v/>
      </c>
      <c r="CQ1834" t="str">
        <f>""</f>
        <v/>
      </c>
    </row>
    <row r="1835" spans="1:96" x14ac:dyDescent="0.2">
      <c r="A1835" t="s">
        <v>8563</v>
      </c>
      <c r="B1835" t="s">
        <v>96</v>
      </c>
      <c r="C1835" s="1">
        <v>44099</v>
      </c>
      <c r="D1835" s="1">
        <v>44106</v>
      </c>
      <c r="F1835" t="s">
        <v>97</v>
      </c>
      <c r="G1835" t="str">
        <f>"Data Engineer (20516.748)"</f>
        <v>Data Engineer (20516.748)</v>
      </c>
      <c r="H1835" t="s">
        <v>12169</v>
      </c>
      <c r="I1835" t="s">
        <v>124</v>
      </c>
      <c r="J1835" t="s">
        <v>98</v>
      </c>
      <c r="K1835" s="1">
        <v>44157</v>
      </c>
      <c r="L1835" s="1">
        <v>45251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 t="s">
        <v>3004</v>
      </c>
      <c r="U1835" t="str">
        <f>""</f>
        <v/>
      </c>
      <c r="V1835" t="s">
        <v>3005</v>
      </c>
      <c r="W1835" t="str">
        <f>""</f>
        <v/>
      </c>
      <c r="X1835" t="s">
        <v>2567</v>
      </c>
      <c r="Y1835" t="s">
        <v>141</v>
      </c>
      <c r="Z1835" s="3">
        <v>91320</v>
      </c>
      <c r="AA1835" t="s">
        <v>101</v>
      </c>
      <c r="AC1835" s="4" t="str">
        <f>"+18133920428"</f>
        <v>+18133920428</v>
      </c>
      <c r="AE1835" t="str">
        <f>"54171"</f>
        <v>54171</v>
      </c>
      <c r="AF1835" t="s">
        <v>3006</v>
      </c>
      <c r="AG1835" t="s">
        <v>3007</v>
      </c>
      <c r="AI1835" t="s">
        <v>3008</v>
      </c>
      <c r="AJ1835" t="s">
        <v>3005</v>
      </c>
      <c r="AK1835" t="str">
        <f>""</f>
        <v/>
      </c>
      <c r="AL1835" t="s">
        <v>2567</v>
      </c>
      <c r="AM1835" t="s">
        <v>141</v>
      </c>
      <c r="AN1835" s="3">
        <v>91320</v>
      </c>
      <c r="AO1835" t="s">
        <v>101</v>
      </c>
      <c r="AQ1835" t="str">
        <f>"+18133920428"</f>
        <v>+18133920428</v>
      </c>
      <c r="AS1835" t="s">
        <v>3009</v>
      </c>
      <c r="AT1835" t="s">
        <v>107</v>
      </c>
      <c r="AU1835" t="str">
        <f>"Bloniarz"</f>
        <v>Bloniarz</v>
      </c>
      <c r="AV1835" t="str">
        <f>"Laura"</f>
        <v>Laura</v>
      </c>
      <c r="AW1835" t="str">
        <f>""</f>
        <v/>
      </c>
      <c r="AX1835" t="str">
        <f>"Berry Appleman &amp; Leiden LLP"</f>
        <v>Berry Appleman &amp; Leiden LLP</v>
      </c>
      <c r="AY1835" t="str">
        <f>"2400 N. Glenville Dr."</f>
        <v>2400 N. Glenville Dr.</v>
      </c>
      <c r="AZ1835" t="str">
        <f>"Richardson"</f>
        <v>Richardson</v>
      </c>
      <c r="BA1835" t="str">
        <f>"TX"</f>
        <v>TX</v>
      </c>
      <c r="BB1835" s="3">
        <v>75082</v>
      </c>
      <c r="BC1835" t="str">
        <f t="shared" si="148"/>
        <v>UNITED STATES OF AMERICA</v>
      </c>
      <c r="BD1835" t="str">
        <f>""</f>
        <v/>
      </c>
      <c r="BE1835" t="str">
        <f>"+14692909687"</f>
        <v>+14692909687</v>
      </c>
      <c r="BF1835" t="str">
        <f>""</f>
        <v/>
      </c>
      <c r="BG1835" t="str">
        <f>"amgendol@balglobal.com"</f>
        <v>amgendol@balglobal.com</v>
      </c>
      <c r="BH1835" t="str">
        <f>"Berry Appleman &amp; Leiden LLP"</f>
        <v>Berry Appleman &amp; Leiden LLP</v>
      </c>
      <c r="BI1835" t="str">
        <f>"IL"</f>
        <v>IL</v>
      </c>
      <c r="BJ1835" t="str">
        <f>"Supreme Court of Illinois"</f>
        <v>Supreme Court of Illinois</v>
      </c>
      <c r="BK1835">
        <v>1</v>
      </c>
      <c r="BL1835" t="s">
        <v>102</v>
      </c>
      <c r="BM1835" t="str">
        <f>""</f>
        <v/>
      </c>
      <c r="BN1835" t="s">
        <v>8564</v>
      </c>
      <c r="BP1835" t="s">
        <v>1107</v>
      </c>
      <c r="BQ1835" t="s">
        <v>1034</v>
      </c>
      <c r="BR1835" t="s">
        <v>577</v>
      </c>
      <c r="BS1835" s="5">
        <v>33607</v>
      </c>
      <c r="BT1835" s="2">
        <v>92116.64</v>
      </c>
      <c r="BV1835" t="s">
        <v>105</v>
      </c>
      <c r="BW1835" s="2">
        <v>81806</v>
      </c>
      <c r="BX1835" t="s">
        <v>105</v>
      </c>
      <c r="BZ1835" t="s">
        <v>167</v>
      </c>
      <c r="CA1835" t="str">
        <f t="shared" si="147"/>
        <v>7/1/2020 - 6/30/2021</v>
      </c>
      <c r="CF1835">
        <v>2</v>
      </c>
      <c r="CG1835" t="s">
        <v>98</v>
      </c>
      <c r="CH1835" t="s">
        <v>206</v>
      </c>
      <c r="CI1835" t="s">
        <v>206</v>
      </c>
      <c r="CL1835" t="s">
        <v>108</v>
      </c>
      <c r="CM1835" t="s">
        <v>109</v>
      </c>
      <c r="CN1835" t="str">
        <f>"Carter"</f>
        <v>Carter</v>
      </c>
      <c r="CO1835" t="str">
        <f>"Jaleesa"</f>
        <v>Jaleesa</v>
      </c>
      <c r="CP1835" t="str">
        <f>""</f>
        <v/>
      </c>
      <c r="CQ1835" t="str">
        <f>"Berry, Appleman &amp; Leiden LLP"</f>
        <v>Berry, Appleman &amp; Leiden LLP</v>
      </c>
      <c r="CR1835" t="s">
        <v>7351</v>
      </c>
    </row>
    <row r="1836" spans="1:96" x14ac:dyDescent="0.2">
      <c r="A1836" t="s">
        <v>8567</v>
      </c>
      <c r="B1836" t="s">
        <v>96</v>
      </c>
      <c r="C1836" s="1">
        <v>44099</v>
      </c>
      <c r="D1836" s="1">
        <v>44106</v>
      </c>
      <c r="F1836" t="s">
        <v>97</v>
      </c>
      <c r="G1836" t="str">
        <f>"Senior Customer Support Engineer"</f>
        <v>Senior Customer Support Engineer</v>
      </c>
      <c r="H1836" t="s">
        <v>12186</v>
      </c>
      <c r="I1836" t="s">
        <v>232</v>
      </c>
      <c r="J1836" t="s">
        <v>98</v>
      </c>
      <c r="K1836" s="1">
        <v>44109</v>
      </c>
      <c r="L1836" s="1">
        <v>45204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 t="s">
        <v>8568</v>
      </c>
      <c r="U1836" t="str">
        <f>""</f>
        <v/>
      </c>
      <c r="V1836" t="s">
        <v>8569</v>
      </c>
      <c r="W1836" t="str">
        <f>"Suite 100"</f>
        <v>Suite 100</v>
      </c>
      <c r="X1836" t="s">
        <v>3681</v>
      </c>
      <c r="Y1836" t="s">
        <v>215</v>
      </c>
      <c r="Z1836" s="3">
        <v>30096</v>
      </c>
      <c r="AA1836" t="s">
        <v>101</v>
      </c>
      <c r="AC1836" s="4" t="str">
        <f>"+16782584064"</f>
        <v>+16782584064</v>
      </c>
      <c r="AE1836" t="str">
        <f>"423430"</f>
        <v>423430</v>
      </c>
      <c r="AF1836" t="s">
        <v>8570</v>
      </c>
      <c r="AG1836" t="s">
        <v>8571</v>
      </c>
      <c r="AI1836" t="s">
        <v>763</v>
      </c>
      <c r="AJ1836" t="s">
        <v>8569</v>
      </c>
      <c r="AK1836" t="str">
        <f>"Suite 100"</f>
        <v>Suite 100</v>
      </c>
      <c r="AL1836" t="s">
        <v>3681</v>
      </c>
      <c r="AM1836" t="s">
        <v>215</v>
      </c>
      <c r="AN1836" s="3">
        <v>30096</v>
      </c>
      <c r="AO1836" t="s">
        <v>101</v>
      </c>
      <c r="AQ1836" t="str">
        <f>"+16782584064"</f>
        <v>+16782584064</v>
      </c>
      <c r="AS1836" t="s">
        <v>8572</v>
      </c>
      <c r="AT1836" t="s">
        <v>107</v>
      </c>
      <c r="AU1836" t="str">
        <f>"Sharifi"</f>
        <v>Sharifi</v>
      </c>
      <c r="AV1836" t="str">
        <f>"Laleh"</f>
        <v>Laleh</v>
      </c>
      <c r="AW1836" t="str">
        <f>"N/A"</f>
        <v>N/A</v>
      </c>
      <c r="AX1836" t="str">
        <f>"1230 Peachtree Street, N.E."</f>
        <v>1230 Peachtree Street, N.E.</v>
      </c>
      <c r="AY1836" t="str">
        <f>"Promenade II, Ste. 3100"</f>
        <v>Promenade II, Ste. 3100</v>
      </c>
      <c r="AZ1836" t="str">
        <f>"Atlanta"</f>
        <v>Atlanta</v>
      </c>
      <c r="BA1836" t="str">
        <f>"GA"</f>
        <v>GA</v>
      </c>
      <c r="BB1836" s="3" t="s">
        <v>12313</v>
      </c>
      <c r="BC1836" t="str">
        <f t="shared" si="148"/>
        <v>UNITED STATES OF AMERICA</v>
      </c>
      <c r="BD1836" t="str">
        <f>""</f>
        <v/>
      </c>
      <c r="BE1836" t="str">
        <f>"+14048153787"</f>
        <v>+14048153787</v>
      </c>
      <c r="BF1836" t="str">
        <f>""</f>
        <v/>
      </c>
      <c r="BG1836" t="str">
        <f>"LSHARIFI@SGRLAW.COM"</f>
        <v>LSHARIFI@SGRLAW.COM</v>
      </c>
      <c r="BH1836" t="str">
        <f>"Smith, Gambrell &amp; Russell, LLP"</f>
        <v>Smith, Gambrell &amp; Russell, LLP</v>
      </c>
      <c r="BI1836" t="str">
        <f>"GA"</f>
        <v>GA</v>
      </c>
      <c r="BJ1836" t="str">
        <f>"Supreme"</f>
        <v>Supreme</v>
      </c>
      <c r="BK1836">
        <v>1</v>
      </c>
      <c r="BL1836" t="s">
        <v>102</v>
      </c>
      <c r="BM1836" t="str">
        <f>""</f>
        <v/>
      </c>
      <c r="BN1836" t="s">
        <v>8573</v>
      </c>
      <c r="BP1836" t="s">
        <v>2854</v>
      </c>
      <c r="BQ1836" t="s">
        <v>1067</v>
      </c>
      <c r="BR1836" t="s">
        <v>122</v>
      </c>
      <c r="BS1836" s="5">
        <v>27519</v>
      </c>
      <c r="BT1836" s="2">
        <v>85758</v>
      </c>
      <c r="BU1836" s="2">
        <v>95000</v>
      </c>
      <c r="BV1836" t="s">
        <v>105</v>
      </c>
      <c r="BW1836" s="2">
        <v>85758</v>
      </c>
      <c r="BX1836" t="s">
        <v>105</v>
      </c>
      <c r="BZ1836" t="s">
        <v>167</v>
      </c>
      <c r="CA1836" t="str">
        <f t="shared" si="147"/>
        <v>7/1/2020 - 6/30/2021</v>
      </c>
      <c r="CF1836">
        <v>2</v>
      </c>
      <c r="CG1836" t="s">
        <v>98</v>
      </c>
      <c r="CH1836" t="s">
        <v>206</v>
      </c>
      <c r="CI1836" t="s">
        <v>206</v>
      </c>
      <c r="CL1836" t="s">
        <v>108</v>
      </c>
      <c r="CM1836" t="s">
        <v>109</v>
      </c>
      <c r="CN1836" t="str">
        <f>"Henry"</f>
        <v>Henry</v>
      </c>
      <c r="CO1836" t="str">
        <f>"Sabrina"</f>
        <v>Sabrina</v>
      </c>
      <c r="CP1836" t="str">
        <f>"D"</f>
        <v>D</v>
      </c>
      <c r="CQ1836" t="str">
        <f>"Smith, Gambrell &amp; Russell LLP"</f>
        <v>Smith, Gambrell &amp; Russell LLP</v>
      </c>
      <c r="CR1836" t="s">
        <v>8574</v>
      </c>
    </row>
    <row r="1837" spans="1:96" x14ac:dyDescent="0.2">
      <c r="A1837" t="s">
        <v>8583</v>
      </c>
      <c r="B1837" t="s">
        <v>96</v>
      </c>
      <c r="C1837" s="1">
        <v>44099</v>
      </c>
      <c r="D1837" s="1">
        <v>44106</v>
      </c>
      <c r="F1837" t="s">
        <v>97</v>
      </c>
      <c r="G1837" t="str">
        <f>"Senior Engineer II, Software"</f>
        <v>Senior Engineer II, Software</v>
      </c>
      <c r="H1837" t="s">
        <v>12169</v>
      </c>
      <c r="I1837" t="s">
        <v>124</v>
      </c>
      <c r="J1837" t="s">
        <v>98</v>
      </c>
      <c r="K1837" s="1">
        <v>44270</v>
      </c>
      <c r="L1837" s="1">
        <v>45365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1701</v>
      </c>
      <c r="U1837" t="str">
        <f>""</f>
        <v/>
      </c>
      <c r="V1837" t="s">
        <v>1702</v>
      </c>
      <c r="W1837" t="str">
        <f>"Floor 2"</f>
        <v>Floor 2</v>
      </c>
      <c r="X1837" t="s">
        <v>1703</v>
      </c>
      <c r="Y1837" t="s">
        <v>141</v>
      </c>
      <c r="Z1837" s="3">
        <v>90028</v>
      </c>
      <c r="AA1837" t="s">
        <v>101</v>
      </c>
      <c r="AC1837" s="4" t="str">
        <f>"+13109752420"</f>
        <v>+13109752420</v>
      </c>
      <c r="AE1837" t="str">
        <f>"711310"</f>
        <v>711310</v>
      </c>
      <c r="AF1837" t="s">
        <v>1704</v>
      </c>
      <c r="AG1837" t="s">
        <v>1705</v>
      </c>
      <c r="AI1837" t="s">
        <v>396</v>
      </c>
      <c r="AJ1837" t="s">
        <v>1702</v>
      </c>
      <c r="AK1837" t="str">
        <f>"Floor 2"</f>
        <v>Floor 2</v>
      </c>
      <c r="AL1837" t="s">
        <v>1706</v>
      </c>
      <c r="AM1837" t="s">
        <v>141</v>
      </c>
      <c r="AN1837" s="3">
        <v>90028</v>
      </c>
      <c r="AO1837" t="s">
        <v>101</v>
      </c>
      <c r="AQ1837" t="str">
        <f>"+13109752420"</f>
        <v>+13109752420</v>
      </c>
      <c r="AS1837" t="s">
        <v>1707</v>
      </c>
      <c r="AT1837" t="s">
        <v>107</v>
      </c>
      <c r="AU1837" t="str">
        <f>"Yemm"</f>
        <v>Yemm</v>
      </c>
      <c r="AV1837" t="str">
        <f>"Richard"</f>
        <v>Richard</v>
      </c>
      <c r="AW1837" t="str">
        <f>"N/A"</f>
        <v>N/A</v>
      </c>
      <c r="AX1837" t="str">
        <f>"1416 2nd Street"</f>
        <v>1416 2nd Street</v>
      </c>
      <c r="AY1837" t="str">
        <f>"N/A"</f>
        <v>N/A</v>
      </c>
      <c r="AZ1837" t="str">
        <f>"Santa Monica"</f>
        <v>Santa Monica</v>
      </c>
      <c r="BA1837" t="str">
        <f>"CA"</f>
        <v>CA</v>
      </c>
      <c r="BB1837" s="3">
        <v>90401</v>
      </c>
      <c r="BC1837" t="str">
        <f t="shared" si="148"/>
        <v>UNITED STATES OF AMERICA</v>
      </c>
      <c r="BD1837" t="str">
        <f>"N/A"</f>
        <v>N/A</v>
      </c>
      <c r="BE1837" t="str">
        <f>"+13105704088"</f>
        <v>+13105704088</v>
      </c>
      <c r="BF1837" t="str">
        <f>""</f>
        <v/>
      </c>
      <c r="BG1837" t="str">
        <f>"ryemm@wolfsdorf.com"</f>
        <v>ryemm@wolfsdorf.com</v>
      </c>
      <c r="BH1837" t="str">
        <f>"Wolfsdorf Rosenthal LLP"</f>
        <v>Wolfsdorf Rosenthal LLP</v>
      </c>
      <c r="BI1837" t="str">
        <f>"CA"</f>
        <v>CA</v>
      </c>
      <c r="BJ1837" t="str">
        <f>"Supreme Court"</f>
        <v>Supreme Court</v>
      </c>
      <c r="BK1837">
        <v>1</v>
      </c>
      <c r="BL1837" t="s">
        <v>102</v>
      </c>
      <c r="BM1837" t="str">
        <f>""</f>
        <v/>
      </c>
      <c r="BN1837" t="s">
        <v>2707</v>
      </c>
      <c r="BO1837" t="s">
        <v>754</v>
      </c>
      <c r="BP1837" t="s">
        <v>261</v>
      </c>
      <c r="BQ1837" t="s">
        <v>183</v>
      </c>
      <c r="BR1837" t="s">
        <v>176</v>
      </c>
      <c r="BS1837" s="5">
        <v>98104</v>
      </c>
      <c r="BT1837" s="2">
        <v>151649</v>
      </c>
      <c r="BV1837" t="s">
        <v>105</v>
      </c>
      <c r="BW1837" s="2">
        <v>134098</v>
      </c>
      <c r="BX1837" t="s">
        <v>105</v>
      </c>
      <c r="BZ1837" t="s">
        <v>123</v>
      </c>
      <c r="CA1837" t="str">
        <f t="shared" si="147"/>
        <v>7/1/2020 - 6/30/2021</v>
      </c>
      <c r="CF1837">
        <v>1</v>
      </c>
      <c r="CG1837" t="s">
        <v>98</v>
      </c>
      <c r="CH1837" t="s">
        <v>206</v>
      </c>
      <c r="CI1837" t="s">
        <v>206</v>
      </c>
      <c r="CL1837" t="s">
        <v>108</v>
      </c>
      <c r="CM1837" t="s">
        <v>109</v>
      </c>
      <c r="CN1837" t="str">
        <f>"Kasper"</f>
        <v>Kasper</v>
      </c>
      <c r="CO1837" t="str">
        <f>"Sasha"</f>
        <v>Sasha</v>
      </c>
      <c r="CP1837" t="str">
        <f>""</f>
        <v/>
      </c>
      <c r="CQ1837" t="str">
        <f>"Wolfsdorf Rosenthal LLP"</f>
        <v>Wolfsdorf Rosenthal LLP</v>
      </c>
      <c r="CR1837" t="s">
        <v>1709</v>
      </c>
    </row>
    <row r="1838" spans="1:96" x14ac:dyDescent="0.2">
      <c r="A1838" t="s">
        <v>8637</v>
      </c>
      <c r="B1838" t="s">
        <v>96</v>
      </c>
      <c r="C1838" s="1">
        <v>44099</v>
      </c>
      <c r="D1838" s="1">
        <v>44106</v>
      </c>
      <c r="F1838" t="s">
        <v>97</v>
      </c>
      <c r="G1838" t="str">
        <f>"Developer"</f>
        <v>Developer</v>
      </c>
      <c r="H1838" t="s">
        <v>12289</v>
      </c>
      <c r="I1838" t="s">
        <v>8638</v>
      </c>
      <c r="J1838" t="s">
        <v>98</v>
      </c>
      <c r="K1838" s="1">
        <v>44136</v>
      </c>
      <c r="L1838" s="1">
        <v>45230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 t="s">
        <v>918</v>
      </c>
      <c r="U1838" t="str">
        <f>""</f>
        <v/>
      </c>
      <c r="V1838" t="s">
        <v>919</v>
      </c>
      <c r="W1838" t="str">
        <f>"1427 E. 60th St Suite 251"</f>
        <v>1427 E. 60th St Suite 251</v>
      </c>
      <c r="X1838" t="s">
        <v>833</v>
      </c>
      <c r="Y1838" t="s">
        <v>345</v>
      </c>
      <c r="Z1838" s="3">
        <v>60637</v>
      </c>
      <c r="AA1838" t="s">
        <v>101</v>
      </c>
      <c r="AC1838" s="4" t="str">
        <f>"+17737027752"</f>
        <v>+17737027752</v>
      </c>
      <c r="AE1838" t="str">
        <f>"611310"</f>
        <v>611310</v>
      </c>
      <c r="AF1838" t="s">
        <v>7807</v>
      </c>
      <c r="AG1838" t="s">
        <v>2607</v>
      </c>
      <c r="AH1838" t="s">
        <v>1723</v>
      </c>
      <c r="AI1838" t="s">
        <v>7808</v>
      </c>
      <c r="AJ1838" t="s">
        <v>7809</v>
      </c>
      <c r="AK1838" t="str">
        <f>"1427 E. 60TH STREET SUITE 251"</f>
        <v>1427 E. 60TH STREET SUITE 251</v>
      </c>
      <c r="AL1838" t="s">
        <v>843</v>
      </c>
      <c r="AM1838" t="s">
        <v>345</v>
      </c>
      <c r="AN1838" s="3">
        <v>60637</v>
      </c>
      <c r="AO1838" t="s">
        <v>101</v>
      </c>
      <c r="AQ1838" t="str">
        <f>"+17737027752"</f>
        <v>+17737027752</v>
      </c>
      <c r="AS1838" t="s">
        <v>7810</v>
      </c>
      <c r="AT1838" t="s">
        <v>102</v>
      </c>
      <c r="AU1838" t="str">
        <f>""</f>
        <v/>
      </c>
      <c r="AV1838" t="str">
        <f>""</f>
        <v/>
      </c>
      <c r="AW1838" t="str">
        <f>""</f>
        <v/>
      </c>
      <c r="AX1838" t="str">
        <f>""</f>
        <v/>
      </c>
      <c r="AY1838" t="str">
        <f>""</f>
        <v/>
      </c>
      <c r="AZ1838" t="str">
        <f>""</f>
        <v/>
      </c>
      <c r="BA1838" t="str">
        <f>""</f>
        <v/>
      </c>
      <c r="BC1838" t="str">
        <f>""</f>
        <v/>
      </c>
      <c r="BD1838" t="str">
        <f>""</f>
        <v/>
      </c>
      <c r="BE1838" t="str">
        <f>""</f>
        <v/>
      </c>
      <c r="BF1838" t="str">
        <f>""</f>
        <v/>
      </c>
      <c r="BG1838" t="str">
        <f>""</f>
        <v/>
      </c>
      <c r="BH1838" t="str">
        <f>""</f>
        <v/>
      </c>
      <c r="BI1838" t="str">
        <f>""</f>
        <v/>
      </c>
      <c r="BJ1838" t="str">
        <f>""</f>
        <v/>
      </c>
      <c r="BK1838">
        <v>1</v>
      </c>
      <c r="BL1838" t="s">
        <v>107</v>
      </c>
      <c r="BM1838" t="str">
        <f>"The University of Chicago"</f>
        <v>The University of Chicago</v>
      </c>
      <c r="BN1838" t="s">
        <v>8639</v>
      </c>
      <c r="BO1838" t="s">
        <v>8640</v>
      </c>
      <c r="BP1838" t="s">
        <v>175</v>
      </c>
      <c r="BQ1838" t="s">
        <v>183</v>
      </c>
      <c r="BR1838" t="s">
        <v>176</v>
      </c>
      <c r="BS1838" s="5">
        <v>98052</v>
      </c>
      <c r="BT1838" s="2">
        <v>84240</v>
      </c>
      <c r="BV1838" t="s">
        <v>105</v>
      </c>
      <c r="BW1838" s="2">
        <v>84240</v>
      </c>
      <c r="BX1838" t="s">
        <v>105</v>
      </c>
      <c r="BZ1838" t="s">
        <v>159</v>
      </c>
      <c r="CA1838" t="str">
        <f t="shared" si="147"/>
        <v>7/1/2020 - 6/30/2021</v>
      </c>
      <c r="CF1838">
        <v>2</v>
      </c>
      <c r="CG1838" t="s">
        <v>98</v>
      </c>
      <c r="CH1838" t="s">
        <v>206</v>
      </c>
      <c r="CI1838" t="s">
        <v>206</v>
      </c>
      <c r="CL1838" t="s">
        <v>108</v>
      </c>
      <c r="CM1838" t="s">
        <v>109</v>
      </c>
      <c r="CN1838" t="str">
        <f>""</f>
        <v/>
      </c>
      <c r="CO1838" t="str">
        <f>""</f>
        <v/>
      </c>
      <c r="CP1838" t="str">
        <f>""</f>
        <v/>
      </c>
      <c r="CQ1838" t="str">
        <f>""</f>
        <v/>
      </c>
    </row>
    <row r="1839" spans="1:96" x14ac:dyDescent="0.2">
      <c r="A1839" t="s">
        <v>8661</v>
      </c>
      <c r="B1839" t="s">
        <v>96</v>
      </c>
      <c r="C1839" s="1">
        <v>44099</v>
      </c>
      <c r="D1839" s="1">
        <v>44106</v>
      </c>
      <c r="F1839" t="s">
        <v>97</v>
      </c>
      <c r="G1839" t="str">
        <f>"Director of Systems Operations"</f>
        <v>Director of Systems Operations</v>
      </c>
      <c r="H1839" t="s">
        <v>12178</v>
      </c>
      <c r="I1839" t="s">
        <v>582</v>
      </c>
      <c r="J1839" t="s">
        <v>98</v>
      </c>
      <c r="K1839" s="1">
        <v>44105</v>
      </c>
      <c r="L1839" s="1">
        <v>45199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 t="s">
        <v>8662</v>
      </c>
      <c r="U1839" t="str">
        <f>""</f>
        <v/>
      </c>
      <c r="V1839" t="s">
        <v>8663</v>
      </c>
      <c r="W1839" t="str">
        <f>""</f>
        <v/>
      </c>
      <c r="X1839" t="s">
        <v>5541</v>
      </c>
      <c r="Y1839" t="s">
        <v>345</v>
      </c>
      <c r="Z1839" s="3">
        <v>60056</v>
      </c>
      <c r="AA1839" t="s">
        <v>101</v>
      </c>
      <c r="AC1839" s="4" t="str">
        <f>"+12248022974"</f>
        <v>+12248022974</v>
      </c>
      <c r="AE1839" t="str">
        <f>"423920"</f>
        <v>423920</v>
      </c>
      <c r="AF1839" t="s">
        <v>8664</v>
      </c>
      <c r="AG1839" t="s">
        <v>2174</v>
      </c>
      <c r="AH1839" t="s">
        <v>1003</v>
      </c>
      <c r="AI1839" t="s">
        <v>8665</v>
      </c>
      <c r="AJ1839" t="s">
        <v>8663</v>
      </c>
      <c r="AK1839" t="str">
        <f>""</f>
        <v/>
      </c>
      <c r="AL1839" t="s">
        <v>5541</v>
      </c>
      <c r="AM1839" t="s">
        <v>345</v>
      </c>
      <c r="AN1839" s="3">
        <v>60056</v>
      </c>
      <c r="AO1839" t="s">
        <v>101</v>
      </c>
      <c r="AQ1839" t="str">
        <f>"+12248022974"</f>
        <v>+12248022974</v>
      </c>
      <c r="AS1839" t="s">
        <v>8666</v>
      </c>
      <c r="AT1839" t="s">
        <v>107</v>
      </c>
      <c r="AU1839" t="str">
        <f>"Snead"</f>
        <v>Snead</v>
      </c>
      <c r="AV1839" t="str">
        <f>"Jennifer"</f>
        <v>Jennifer</v>
      </c>
      <c r="AW1839" t="str">
        <f>"Melinda"</f>
        <v>Melinda</v>
      </c>
      <c r="AX1839" t="str">
        <f>"425 Walnut Street"</f>
        <v>425 Walnut Street</v>
      </c>
      <c r="AY1839" t="str">
        <f>"Suite 1800"</f>
        <v>Suite 1800</v>
      </c>
      <c r="AZ1839" t="str">
        <f>"Cincinnati"</f>
        <v>Cincinnati</v>
      </c>
      <c r="BA1839" t="str">
        <f>"OH"</f>
        <v>OH</v>
      </c>
      <c r="BB1839" s="3">
        <v>45202</v>
      </c>
      <c r="BC1839" t="str">
        <f t="shared" ref="BC1839:BC1849" si="149">"UNITED STATES OF AMERICA"</f>
        <v>UNITED STATES OF AMERICA</v>
      </c>
      <c r="BD1839" t="str">
        <f>""</f>
        <v/>
      </c>
      <c r="BE1839" t="str">
        <f>"+15133578794"</f>
        <v>+15133578794</v>
      </c>
      <c r="BF1839" t="str">
        <f>""</f>
        <v/>
      </c>
      <c r="BG1839" t="str">
        <f>"jsnead@taftlaw.com"</f>
        <v>jsnead@taftlaw.com</v>
      </c>
      <c r="BH1839" t="str">
        <f>"Taft Stettinius &amp; Hollister LLP"</f>
        <v>Taft Stettinius &amp; Hollister LLP</v>
      </c>
      <c r="BI1839" t="str">
        <f>"OH"</f>
        <v>OH</v>
      </c>
      <c r="BJ1839" t="str">
        <f>"Ohio Supreme Court"</f>
        <v>Ohio Supreme Court</v>
      </c>
      <c r="BK1839">
        <v>1</v>
      </c>
      <c r="BL1839" t="s">
        <v>102</v>
      </c>
      <c r="BM1839" t="str">
        <f>""</f>
        <v/>
      </c>
      <c r="BN1839" t="s">
        <v>8663</v>
      </c>
      <c r="BP1839" t="s">
        <v>5541</v>
      </c>
      <c r="BQ1839" t="s">
        <v>788</v>
      </c>
      <c r="BR1839" t="s">
        <v>345</v>
      </c>
      <c r="BS1839" s="5">
        <v>60056</v>
      </c>
      <c r="BT1839" s="2">
        <v>135000</v>
      </c>
      <c r="BV1839" t="s">
        <v>105</v>
      </c>
      <c r="BW1839" s="2">
        <v>125507</v>
      </c>
      <c r="BX1839" t="s">
        <v>105</v>
      </c>
      <c r="BZ1839" t="s">
        <v>167</v>
      </c>
      <c r="CA1839" t="str">
        <f t="shared" si="147"/>
        <v>7/1/2020 - 6/30/2021</v>
      </c>
      <c r="CF1839">
        <v>1</v>
      </c>
      <c r="CG1839" t="s">
        <v>98</v>
      </c>
      <c r="CH1839" t="s">
        <v>206</v>
      </c>
      <c r="CI1839" t="s">
        <v>206</v>
      </c>
      <c r="CL1839" t="s">
        <v>108</v>
      </c>
      <c r="CM1839" t="s">
        <v>109</v>
      </c>
      <c r="CN1839" t="str">
        <f>""</f>
        <v/>
      </c>
      <c r="CO1839" t="str">
        <f>""</f>
        <v/>
      </c>
      <c r="CP1839" t="str">
        <f>""</f>
        <v/>
      </c>
      <c r="CQ1839" t="str">
        <f>""</f>
        <v/>
      </c>
    </row>
    <row r="1840" spans="1:96" x14ac:dyDescent="0.2">
      <c r="A1840" t="s">
        <v>8679</v>
      </c>
      <c r="B1840" t="s">
        <v>96</v>
      </c>
      <c r="C1840" s="1">
        <v>44099</v>
      </c>
      <c r="D1840" s="1">
        <v>44106</v>
      </c>
      <c r="F1840" t="s">
        <v>97</v>
      </c>
      <c r="G1840" t="str">
        <f>"Software Developer"</f>
        <v>Software Developer</v>
      </c>
      <c r="H1840" t="s">
        <v>12169</v>
      </c>
      <c r="I1840" t="s">
        <v>124</v>
      </c>
      <c r="J1840" t="s">
        <v>98</v>
      </c>
      <c r="K1840" s="1">
        <v>44110</v>
      </c>
      <c r="L1840" s="1">
        <v>45204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8680</v>
      </c>
      <c r="U1840" t="str">
        <f>""</f>
        <v/>
      </c>
      <c r="V1840" t="s">
        <v>8681</v>
      </c>
      <c r="W1840" t="str">
        <f>"Suite N310"</f>
        <v>Suite N310</v>
      </c>
      <c r="X1840" t="s">
        <v>538</v>
      </c>
      <c r="Y1840" t="s">
        <v>135</v>
      </c>
      <c r="Z1840" s="3">
        <v>22033</v>
      </c>
      <c r="AA1840" t="s">
        <v>101</v>
      </c>
      <c r="AC1840" s="4" t="str">
        <f>"+17033108211"</f>
        <v>+17033108211</v>
      </c>
      <c r="AE1840" t="str">
        <f>"541611"</f>
        <v>541611</v>
      </c>
      <c r="AF1840" t="s">
        <v>8682</v>
      </c>
      <c r="AG1840" t="s">
        <v>1485</v>
      </c>
      <c r="AI1840" t="s">
        <v>8683</v>
      </c>
      <c r="AJ1840" t="s">
        <v>8681</v>
      </c>
      <c r="AK1840" t="str">
        <f>"Suite N310"</f>
        <v>Suite N310</v>
      </c>
      <c r="AL1840" t="s">
        <v>538</v>
      </c>
      <c r="AM1840" t="s">
        <v>135</v>
      </c>
      <c r="AN1840" s="3">
        <v>22033</v>
      </c>
      <c r="AO1840" t="s">
        <v>101</v>
      </c>
      <c r="AQ1840" t="str">
        <f>"+18507482639"</f>
        <v>+18507482639</v>
      </c>
      <c r="AS1840" t="s">
        <v>8684</v>
      </c>
      <c r="AT1840" t="s">
        <v>107</v>
      </c>
      <c r="AU1840" t="str">
        <f>"Zhang "</f>
        <v xml:space="preserve">Zhang </v>
      </c>
      <c r="AV1840" t="str">
        <f>"Yuxia"</f>
        <v>Yuxia</v>
      </c>
      <c r="AW1840" t="str">
        <f>""</f>
        <v/>
      </c>
      <c r="AX1840" t="str">
        <f>"250 West 34 Street"</f>
        <v>250 West 34 Street</v>
      </c>
      <c r="AY1840" t="str">
        <f>"Suite 2015"</f>
        <v>Suite 2015</v>
      </c>
      <c r="AZ1840" t="str">
        <f>"New York"</f>
        <v>New York</v>
      </c>
      <c r="BA1840" t="str">
        <f>"NY"</f>
        <v>NY</v>
      </c>
      <c r="BB1840" s="3">
        <v>10119</v>
      </c>
      <c r="BC1840" t="str">
        <f t="shared" si="149"/>
        <v>UNITED STATES OF AMERICA</v>
      </c>
      <c r="BD1840" t="str">
        <f>""</f>
        <v/>
      </c>
      <c r="BE1840" t="str">
        <f>"+12128589968"</f>
        <v>+12128589968</v>
      </c>
      <c r="BF1840" t="str">
        <f>""</f>
        <v/>
      </c>
      <c r="BG1840" t="str">
        <f>"yxzhang@reidwise.com"</f>
        <v>yxzhang@reidwise.com</v>
      </c>
      <c r="BH1840" t="str">
        <f>"REID &amp; WISE, LLC"</f>
        <v>REID &amp; WISE, LLC</v>
      </c>
      <c r="BI1840" t="str">
        <f>"NY"</f>
        <v>NY</v>
      </c>
      <c r="BJ1840" t="str">
        <f>"New York Supreme Court"</f>
        <v>New York Supreme Court</v>
      </c>
      <c r="BK1840">
        <v>1</v>
      </c>
      <c r="BL1840" t="s">
        <v>102</v>
      </c>
      <c r="BM1840" t="str">
        <f>""</f>
        <v/>
      </c>
      <c r="BN1840" t="s">
        <v>8681</v>
      </c>
      <c r="BO1840" t="s">
        <v>8685</v>
      </c>
      <c r="BP1840" t="s">
        <v>538</v>
      </c>
      <c r="BQ1840" t="s">
        <v>134</v>
      </c>
      <c r="BR1840" t="s">
        <v>135</v>
      </c>
      <c r="BS1840" s="5">
        <v>22033</v>
      </c>
      <c r="BT1840" s="2">
        <v>37.39</v>
      </c>
      <c r="BV1840" t="s">
        <v>210</v>
      </c>
      <c r="BW1840" s="2">
        <v>36.869999999999997</v>
      </c>
      <c r="BX1840" t="s">
        <v>210</v>
      </c>
      <c r="BZ1840" t="s">
        <v>191</v>
      </c>
      <c r="CA1840" t="str">
        <f t="shared" si="147"/>
        <v>7/1/2020 - 6/30/2021</v>
      </c>
      <c r="CF1840">
        <v>1</v>
      </c>
      <c r="CG1840" t="s">
        <v>98</v>
      </c>
      <c r="CH1840" t="s">
        <v>206</v>
      </c>
      <c r="CI1840" t="s">
        <v>206</v>
      </c>
      <c r="CL1840" t="s">
        <v>108</v>
      </c>
      <c r="CM1840" t="s">
        <v>109</v>
      </c>
      <c r="CN1840" t="str">
        <f>""</f>
        <v/>
      </c>
      <c r="CO1840" t="str">
        <f>""</f>
        <v/>
      </c>
      <c r="CP1840" t="str">
        <f>""</f>
        <v/>
      </c>
      <c r="CQ1840" t="str">
        <f>""</f>
        <v/>
      </c>
    </row>
    <row r="1841" spans="1:96" x14ac:dyDescent="0.2">
      <c r="A1841" t="s">
        <v>8686</v>
      </c>
      <c r="B1841" t="s">
        <v>96</v>
      </c>
      <c r="C1841" s="1">
        <v>44099</v>
      </c>
      <c r="D1841" s="1">
        <v>44106</v>
      </c>
      <c r="F1841" t="s">
        <v>97</v>
      </c>
      <c r="G1841" t="str">
        <f>"IS Data Engineer"</f>
        <v>IS Data Engineer</v>
      </c>
      <c r="H1841" t="s">
        <v>12168</v>
      </c>
      <c r="I1841" t="s">
        <v>1844</v>
      </c>
      <c r="J1841" t="s">
        <v>98</v>
      </c>
      <c r="K1841" s="1">
        <v>44123</v>
      </c>
      <c r="L1841" s="1">
        <v>45217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 t="s">
        <v>2859</v>
      </c>
      <c r="U1841" t="str">
        <f>""</f>
        <v/>
      </c>
      <c r="V1841" t="s">
        <v>2860</v>
      </c>
      <c r="W1841" t="str">
        <f>""</f>
        <v/>
      </c>
      <c r="X1841" t="s">
        <v>218</v>
      </c>
      <c r="Y1841" t="s">
        <v>127</v>
      </c>
      <c r="Z1841" s="3">
        <v>19104</v>
      </c>
      <c r="AA1841" t="s">
        <v>101</v>
      </c>
      <c r="AC1841" s="4" t="str">
        <f>"+12155901000"</f>
        <v>+12155901000</v>
      </c>
      <c r="AE1841" t="str">
        <f>"622110"</f>
        <v>622110</v>
      </c>
      <c r="AF1841" t="s">
        <v>2861</v>
      </c>
      <c r="AG1841" t="s">
        <v>791</v>
      </c>
      <c r="AI1841" t="s">
        <v>2862</v>
      </c>
      <c r="AJ1841" t="s">
        <v>2863</v>
      </c>
      <c r="AK1841" t="str">
        <f>"Flr. 6"</f>
        <v>Flr. 6</v>
      </c>
      <c r="AL1841" t="s">
        <v>218</v>
      </c>
      <c r="AM1841" t="s">
        <v>127</v>
      </c>
      <c r="AN1841" s="3">
        <v>19146</v>
      </c>
      <c r="AO1841" t="s">
        <v>101</v>
      </c>
      <c r="AQ1841" t="str">
        <f>"+12674251244"</f>
        <v>+12674251244</v>
      </c>
      <c r="AS1841" t="s">
        <v>2864</v>
      </c>
      <c r="AT1841" t="s">
        <v>107</v>
      </c>
      <c r="AU1841" t="str">
        <f>"Doebley"</f>
        <v>Doebley</v>
      </c>
      <c r="AV1841" t="str">
        <f>"Jack"</f>
        <v>Jack</v>
      </c>
      <c r="AW1841" t="str">
        <f>""</f>
        <v/>
      </c>
      <c r="AX1841" t="str">
        <f>"190 N. Independence Mall W."</f>
        <v>190 N. Independence Mall W.</v>
      </c>
      <c r="AY1841" t="str">
        <f>"Ste. 602"</f>
        <v>Ste. 602</v>
      </c>
      <c r="AZ1841" t="str">
        <f>"Philadelphia"</f>
        <v>Philadelphia</v>
      </c>
      <c r="BA1841" t="str">
        <f>"PA"</f>
        <v>PA</v>
      </c>
      <c r="BB1841" s="3">
        <v>19106</v>
      </c>
      <c r="BC1841" t="str">
        <f t="shared" si="149"/>
        <v>UNITED STATES OF AMERICA</v>
      </c>
      <c r="BD1841" t="str">
        <f>""</f>
        <v/>
      </c>
      <c r="BE1841" t="str">
        <f>"+12159250705"</f>
        <v>+12159250705</v>
      </c>
      <c r="BF1841" t="str">
        <f>""</f>
        <v/>
      </c>
      <c r="BG1841" t="str">
        <f>"jdoebley@lhscimmigration.com"</f>
        <v>jdoebley@lhscimmigration.com</v>
      </c>
      <c r="BH1841" t="str">
        <f>"Landau, Hess, Simon, Choi &amp; Doebley"</f>
        <v>Landau, Hess, Simon, Choi &amp; Doebley</v>
      </c>
      <c r="BI1841" t="str">
        <f>"PA"</f>
        <v>PA</v>
      </c>
      <c r="BJ1841" t="str">
        <f>"Supreme Court"</f>
        <v>Supreme Court</v>
      </c>
      <c r="BK1841">
        <v>1</v>
      </c>
      <c r="BL1841" t="s">
        <v>102</v>
      </c>
      <c r="BM1841" t="str">
        <f>""</f>
        <v/>
      </c>
      <c r="BN1841" t="s">
        <v>8687</v>
      </c>
      <c r="BP1841" t="s">
        <v>218</v>
      </c>
      <c r="BQ1841" t="s">
        <v>510</v>
      </c>
      <c r="BR1841" t="s">
        <v>127</v>
      </c>
      <c r="BS1841" s="5">
        <v>19107</v>
      </c>
      <c r="BT1841" s="2">
        <v>71781</v>
      </c>
      <c r="BU1841" s="2">
        <v>107952</v>
      </c>
      <c r="BV1841" t="s">
        <v>105</v>
      </c>
      <c r="BW1841" s="2">
        <v>71781</v>
      </c>
      <c r="BX1841" t="s">
        <v>105</v>
      </c>
      <c r="BZ1841" t="s">
        <v>167</v>
      </c>
      <c r="CA1841" t="str">
        <f t="shared" si="147"/>
        <v>7/1/2020 - 6/30/2021</v>
      </c>
      <c r="CF1841">
        <v>2</v>
      </c>
      <c r="CG1841" t="s">
        <v>98</v>
      </c>
      <c r="CH1841" t="s">
        <v>206</v>
      </c>
      <c r="CI1841" t="s">
        <v>206</v>
      </c>
      <c r="CL1841" t="s">
        <v>108</v>
      </c>
      <c r="CM1841" t="s">
        <v>109</v>
      </c>
      <c r="CN1841" t="str">
        <f>""</f>
        <v/>
      </c>
      <c r="CO1841" t="str">
        <f>""</f>
        <v/>
      </c>
      <c r="CP1841" t="str">
        <f>""</f>
        <v/>
      </c>
      <c r="CQ1841" t="str">
        <f>""</f>
        <v/>
      </c>
    </row>
    <row r="1842" spans="1:96" x14ac:dyDescent="0.2">
      <c r="A1842" t="s">
        <v>8701</v>
      </c>
      <c r="B1842" t="s">
        <v>96</v>
      </c>
      <c r="C1842" s="1">
        <v>44099</v>
      </c>
      <c r="D1842" s="1">
        <v>44106</v>
      </c>
      <c r="F1842" t="s">
        <v>97</v>
      </c>
      <c r="G1842" t="str">
        <f>"Vice President"</f>
        <v>Vice President</v>
      </c>
      <c r="H1842" t="s">
        <v>12176</v>
      </c>
      <c r="I1842" t="s">
        <v>246</v>
      </c>
      <c r="J1842" t="s">
        <v>98</v>
      </c>
      <c r="K1842" s="1">
        <v>44279</v>
      </c>
      <c r="L1842" s="1">
        <v>45374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 t="s">
        <v>4883</v>
      </c>
      <c r="U1842" t="str">
        <f>""</f>
        <v/>
      </c>
      <c r="V1842" t="s">
        <v>1164</v>
      </c>
      <c r="W1842" t="str">
        <f>""</f>
        <v/>
      </c>
      <c r="X1842" t="s">
        <v>189</v>
      </c>
      <c r="Y1842" t="s">
        <v>190</v>
      </c>
      <c r="Z1842" s="3">
        <v>10036</v>
      </c>
      <c r="AA1842" t="s">
        <v>101</v>
      </c>
      <c r="AC1842" s="4" t="str">
        <f>"+12127619306"</f>
        <v>+12127619306</v>
      </c>
      <c r="AE1842" t="str">
        <f>"523110"</f>
        <v>523110</v>
      </c>
      <c r="AF1842" t="s">
        <v>4884</v>
      </c>
      <c r="AG1842" t="s">
        <v>4885</v>
      </c>
      <c r="AI1842" t="s">
        <v>4886</v>
      </c>
      <c r="AJ1842" t="s">
        <v>1164</v>
      </c>
      <c r="AK1842" t="str">
        <f>""</f>
        <v/>
      </c>
      <c r="AL1842" t="s">
        <v>189</v>
      </c>
      <c r="AM1842" t="s">
        <v>190</v>
      </c>
      <c r="AN1842" s="3">
        <v>10036</v>
      </c>
      <c r="AO1842" t="s">
        <v>101</v>
      </c>
      <c r="AQ1842" t="str">
        <f>"+12127619306"</f>
        <v>+12127619306</v>
      </c>
      <c r="AS1842" t="s">
        <v>108</v>
      </c>
      <c r="AT1842" t="s">
        <v>107</v>
      </c>
      <c r="AU1842" t="str">
        <f>"LANCASTER"</f>
        <v>LANCASTER</v>
      </c>
      <c r="AV1842" t="str">
        <f>"KARA"</f>
        <v>KARA</v>
      </c>
      <c r="AW1842" t="str">
        <f>"K."</f>
        <v>K.</v>
      </c>
      <c r="AX1842" t="str">
        <f>"P.O. BOX 31608"</f>
        <v>P.O. BOX 31608</v>
      </c>
      <c r="AY1842" t="str">
        <f>""</f>
        <v/>
      </c>
      <c r="AZ1842" t="str">
        <f>"RALEIGH"</f>
        <v>RALEIGH</v>
      </c>
      <c r="BA1842" t="str">
        <f>"NC"</f>
        <v>NC</v>
      </c>
      <c r="BB1842" s="3">
        <v>27622</v>
      </c>
      <c r="BC1842" t="str">
        <f t="shared" si="149"/>
        <v>UNITED STATES OF AMERICA</v>
      </c>
      <c r="BD1842" t="str">
        <f>""</f>
        <v/>
      </c>
      <c r="BE1842" t="str">
        <f>"+19197879700"</f>
        <v>+19197879700</v>
      </c>
      <c r="BF1842" t="str">
        <f>""</f>
        <v/>
      </c>
      <c r="BG1842" t="str">
        <f>"ELISE.PURA@OGLETREEDEAKINS.COM"</f>
        <v>ELISE.PURA@OGLETREEDEAKINS.COM</v>
      </c>
      <c r="BH1842" t="str">
        <f>"OGLETREE, DEAKINS, NASH, SMOAK &amp; STEWART, P.C."</f>
        <v>OGLETREE, DEAKINS, NASH, SMOAK &amp; STEWART, P.C.</v>
      </c>
      <c r="BI1842" t="str">
        <f>"NY"</f>
        <v>NY</v>
      </c>
      <c r="BJ1842" t="str">
        <f>"NEW YORK COURT OF APPEALS"</f>
        <v>NEW YORK COURT OF APPEALS</v>
      </c>
      <c r="BK1842">
        <v>1</v>
      </c>
      <c r="BL1842" t="s">
        <v>102</v>
      </c>
      <c r="BM1842" t="str">
        <f>""</f>
        <v/>
      </c>
      <c r="BN1842" t="s">
        <v>4479</v>
      </c>
      <c r="BP1842" t="s">
        <v>189</v>
      </c>
      <c r="BQ1842" t="s">
        <v>189</v>
      </c>
      <c r="BR1842" t="s">
        <v>190</v>
      </c>
      <c r="BS1842" s="5">
        <v>10020</v>
      </c>
      <c r="BT1842" s="2">
        <v>170000</v>
      </c>
      <c r="BV1842" t="s">
        <v>105</v>
      </c>
      <c r="BW1842" s="2">
        <v>143936</v>
      </c>
      <c r="BX1842" t="s">
        <v>105</v>
      </c>
      <c r="BZ1842" t="s">
        <v>159</v>
      </c>
      <c r="CA1842" t="str">
        <f t="shared" si="147"/>
        <v>7/1/2020 - 6/30/2021</v>
      </c>
      <c r="CF1842">
        <v>2</v>
      </c>
      <c r="CG1842" t="s">
        <v>98</v>
      </c>
      <c r="CH1842" t="s">
        <v>206</v>
      </c>
      <c r="CI1842" t="s">
        <v>206</v>
      </c>
      <c r="CL1842" t="s">
        <v>108</v>
      </c>
      <c r="CM1842" t="s">
        <v>109</v>
      </c>
      <c r="CN1842" t="str">
        <f>"LANCASTER"</f>
        <v>LANCASTER</v>
      </c>
      <c r="CO1842" t="str">
        <f>"KARA"</f>
        <v>KARA</v>
      </c>
      <c r="CP1842" t="str">
        <f>"K."</f>
        <v>K.</v>
      </c>
      <c r="CQ1842" t="str">
        <f>"OGLETREE, DEAKINS, NASH, SMOAK &amp; STEWART, P.C."</f>
        <v>OGLETREE, DEAKINS, NASH, SMOAK &amp; STEWART, P.C.</v>
      </c>
      <c r="CR1842" t="s">
        <v>4887</v>
      </c>
    </row>
    <row r="1843" spans="1:96" x14ac:dyDescent="0.2">
      <c r="A1843" t="s">
        <v>8706</v>
      </c>
      <c r="B1843" t="s">
        <v>96</v>
      </c>
      <c r="C1843" s="1">
        <v>44099</v>
      </c>
      <c r="D1843" s="1">
        <v>44106</v>
      </c>
      <c r="F1843" t="s">
        <v>97</v>
      </c>
      <c r="G1843" t="str">
        <f>"Software Development Engineering, Analyst"</f>
        <v>Software Development Engineering, Analyst</v>
      </c>
      <c r="H1843" t="s">
        <v>12169</v>
      </c>
      <c r="I1843" t="s">
        <v>124</v>
      </c>
      <c r="J1843" t="s">
        <v>98</v>
      </c>
      <c r="K1843" s="1">
        <v>44105</v>
      </c>
      <c r="L1843" s="1">
        <v>45199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 t="s">
        <v>1036</v>
      </c>
      <c r="U1843" t="str">
        <f>""</f>
        <v/>
      </c>
      <c r="V1843" t="s">
        <v>1037</v>
      </c>
      <c r="W1843" t="str">
        <f>""</f>
        <v/>
      </c>
      <c r="X1843" t="s">
        <v>1015</v>
      </c>
      <c r="Y1843" t="s">
        <v>330</v>
      </c>
      <c r="Z1843" s="3">
        <v>53045</v>
      </c>
      <c r="AA1843" t="s">
        <v>101</v>
      </c>
      <c r="AC1843" s="4" t="str">
        <f>"+12628795000"</f>
        <v>+12628795000</v>
      </c>
      <c r="AE1843" t="str">
        <f>"518210"</f>
        <v>518210</v>
      </c>
      <c r="AF1843" t="s">
        <v>1324</v>
      </c>
      <c r="AG1843" t="s">
        <v>927</v>
      </c>
      <c r="AI1843" t="s">
        <v>1325</v>
      </c>
      <c r="AJ1843" t="s">
        <v>8707</v>
      </c>
      <c r="AK1843" t="str">
        <f>""</f>
        <v/>
      </c>
      <c r="AL1843" t="s">
        <v>1015</v>
      </c>
      <c r="AM1843" t="s">
        <v>330</v>
      </c>
      <c r="AN1843" s="3">
        <v>53045</v>
      </c>
      <c r="AO1843" t="s">
        <v>101</v>
      </c>
      <c r="AQ1843" t="str">
        <f>"+12628795000"</f>
        <v>+12628795000</v>
      </c>
      <c r="AS1843" t="s">
        <v>1043</v>
      </c>
      <c r="AT1843" t="s">
        <v>107</v>
      </c>
      <c r="AU1843" t="str">
        <f>"OLIVER"</f>
        <v>OLIVER</v>
      </c>
      <c r="AV1843" t="str">
        <f>"BRENDA"</f>
        <v>BRENDA</v>
      </c>
      <c r="AW1843" t="str">
        <f>"J"</f>
        <v>J</v>
      </c>
      <c r="AX1843" t="str">
        <f>"1101 15TH STREET, NW"</f>
        <v>1101 15TH STREET, NW</v>
      </c>
      <c r="AY1843" t="str">
        <f>"SUITE 700"</f>
        <v>SUITE 700</v>
      </c>
      <c r="AZ1843" t="str">
        <f>"Washington"</f>
        <v>Washington</v>
      </c>
      <c r="BA1843" t="str">
        <f>"DC"</f>
        <v>DC</v>
      </c>
      <c r="BB1843" s="3">
        <v>20005</v>
      </c>
      <c r="BC1843" t="str">
        <f t="shared" si="149"/>
        <v>UNITED STATES OF AMERICA</v>
      </c>
      <c r="BD1843" t="str">
        <f>""</f>
        <v/>
      </c>
      <c r="BE1843" t="str">
        <f>"+12022235515"</f>
        <v>+12022235515</v>
      </c>
      <c r="BF1843" t="str">
        <f>""</f>
        <v/>
      </c>
      <c r="BG1843" t="str">
        <f>"LCATeamPham@Fragomen.com"</f>
        <v>LCATeamPham@Fragomen.com</v>
      </c>
      <c r="BH1843" t="str">
        <f>"Fragomen, Del Rey, Bernsen &amp; Loewy, LLP"</f>
        <v>Fragomen, Del Rey, Bernsen &amp; Loewy, LLP</v>
      </c>
      <c r="BI1843" t="str">
        <f>"DC"</f>
        <v>DC</v>
      </c>
      <c r="BJ1843" t="str">
        <f>"COURT OF APPEALS"</f>
        <v>COURT OF APPEALS</v>
      </c>
      <c r="BK1843">
        <v>1</v>
      </c>
      <c r="BL1843" t="s">
        <v>102</v>
      </c>
      <c r="BM1843" t="str">
        <f>""</f>
        <v/>
      </c>
      <c r="BN1843" t="s">
        <v>6525</v>
      </c>
      <c r="BP1843" t="s">
        <v>1775</v>
      </c>
      <c r="BQ1843" t="s">
        <v>1777</v>
      </c>
      <c r="BR1843" t="s">
        <v>1776</v>
      </c>
      <c r="BS1843" s="5">
        <v>19809</v>
      </c>
      <c r="BT1843" s="2">
        <v>104606</v>
      </c>
      <c r="BU1843" s="2">
        <v>127600</v>
      </c>
      <c r="BV1843" t="s">
        <v>105</v>
      </c>
      <c r="BW1843" s="2">
        <v>104606</v>
      </c>
      <c r="BX1843" t="s">
        <v>105</v>
      </c>
      <c r="CA1843" t="str">
        <f>""</f>
        <v/>
      </c>
      <c r="CB1843" t="s">
        <v>244</v>
      </c>
      <c r="CC1843">
        <v>2019</v>
      </c>
      <c r="CD1843" t="s">
        <v>1155</v>
      </c>
      <c r="CE1843" t="s">
        <v>5346</v>
      </c>
      <c r="CF1843">
        <v>2</v>
      </c>
      <c r="CG1843" t="s">
        <v>98</v>
      </c>
      <c r="CH1843" t="s">
        <v>206</v>
      </c>
      <c r="CI1843" t="s">
        <v>206</v>
      </c>
      <c r="CL1843" t="s">
        <v>108</v>
      </c>
      <c r="CM1843" t="s">
        <v>109</v>
      </c>
      <c r="CN1843" t="str">
        <f>"Cronin"</f>
        <v>Cronin</v>
      </c>
      <c r="CO1843" t="str">
        <f>"Emma"</f>
        <v>Emma</v>
      </c>
      <c r="CP1843" t="str">
        <f>""</f>
        <v/>
      </c>
      <c r="CQ1843" t="str">
        <f>"Fragomen, Del Rey, Bernsen &amp; Loewy, LLP"</f>
        <v>Fragomen, Del Rey, Bernsen &amp; Loewy, LLP</v>
      </c>
      <c r="CR1843" t="s">
        <v>1046</v>
      </c>
    </row>
    <row r="1844" spans="1:96" x14ac:dyDescent="0.2">
      <c r="A1844" t="s">
        <v>8720</v>
      </c>
      <c r="B1844" t="s">
        <v>96</v>
      </c>
      <c r="C1844" s="1">
        <v>44099</v>
      </c>
      <c r="D1844" s="1">
        <v>44106</v>
      </c>
      <c r="F1844" t="s">
        <v>97</v>
      </c>
      <c r="G1844" t="str">
        <f>"Software Engineer"</f>
        <v>Software Engineer</v>
      </c>
      <c r="H1844" t="s">
        <v>12169</v>
      </c>
      <c r="I1844" t="s">
        <v>124</v>
      </c>
      <c r="J1844" t="s">
        <v>98</v>
      </c>
      <c r="K1844" s="1">
        <v>44136</v>
      </c>
      <c r="L1844" s="1">
        <v>45230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7735</v>
      </c>
      <c r="U1844" t="str">
        <f>""</f>
        <v/>
      </c>
      <c r="V1844" t="s">
        <v>7736</v>
      </c>
      <c r="W1844" t="str">
        <f>"8TH FLOOR"</f>
        <v>8TH FLOOR</v>
      </c>
      <c r="X1844" t="s">
        <v>277</v>
      </c>
      <c r="Y1844" t="s">
        <v>190</v>
      </c>
      <c r="Z1844" s="3">
        <v>10010</v>
      </c>
      <c r="AA1844" t="s">
        <v>101</v>
      </c>
      <c r="AC1844" s="4" t="str">
        <f>"+19176486489"</f>
        <v>+19176486489</v>
      </c>
      <c r="AE1844" t="str">
        <f>"511210"</f>
        <v>511210</v>
      </c>
      <c r="AF1844" t="s">
        <v>4756</v>
      </c>
      <c r="AG1844" t="s">
        <v>7737</v>
      </c>
      <c r="AH1844" t="s">
        <v>108</v>
      </c>
      <c r="AI1844" t="s">
        <v>6937</v>
      </c>
      <c r="AJ1844" t="s">
        <v>4745</v>
      </c>
      <c r="AK1844" t="str">
        <f>"8TH FLOOR"</f>
        <v>8TH FLOOR</v>
      </c>
      <c r="AL1844" t="s">
        <v>189</v>
      </c>
      <c r="AM1844" t="s">
        <v>190</v>
      </c>
      <c r="AN1844" s="3">
        <v>10010</v>
      </c>
      <c r="AO1844" t="s">
        <v>101</v>
      </c>
      <c r="AQ1844" t="str">
        <f>"+16467388691"</f>
        <v>+16467388691</v>
      </c>
      <c r="AS1844" t="s">
        <v>7738</v>
      </c>
      <c r="AT1844" t="s">
        <v>107</v>
      </c>
      <c r="AU1844" t="str">
        <f>"Derhemi"</f>
        <v>Derhemi</v>
      </c>
      <c r="AV1844" t="str">
        <f>"Eda"</f>
        <v>Eda</v>
      </c>
      <c r="AW1844" t="str">
        <f>"N/A"</f>
        <v>N/A</v>
      </c>
      <c r="AX1844" t="str">
        <f>"1400 Broadway"</f>
        <v>1400 Broadway</v>
      </c>
      <c r="AY1844" t="str">
        <f>"9TH FLOOR"</f>
        <v>9TH FLOOR</v>
      </c>
      <c r="AZ1844" t="str">
        <f>"New York"</f>
        <v>New York</v>
      </c>
      <c r="BA1844" t="str">
        <f>"NY"</f>
        <v>NY</v>
      </c>
      <c r="BB1844" s="3">
        <v>10018</v>
      </c>
      <c r="BC1844" t="str">
        <f t="shared" si="149"/>
        <v>UNITED STATES OF AMERICA</v>
      </c>
      <c r="BD1844" t="str">
        <f>"NY"</f>
        <v>NY</v>
      </c>
      <c r="BE1844" t="str">
        <f>"+16468616855"</f>
        <v>+16468616855</v>
      </c>
      <c r="BF1844" t="str">
        <f>""</f>
        <v/>
      </c>
      <c r="BG1844" t="str">
        <f>"SVESELAGA@FRAGOMEN.COM"</f>
        <v>SVESELAGA@FRAGOMEN.COM</v>
      </c>
      <c r="BH1844" t="str">
        <f>"Fragomen, Del Rey, Bernsen &amp; Loewy, LLP"</f>
        <v>Fragomen, Del Rey, Bernsen &amp; Loewy, LLP</v>
      </c>
      <c r="BI1844" t="str">
        <f>"NY"</f>
        <v>NY</v>
      </c>
      <c r="BJ1844" t="str">
        <f>"New York State Appellate Division, Second Department"</f>
        <v>New York State Appellate Division, Second Department</v>
      </c>
      <c r="BK1844">
        <v>1</v>
      </c>
      <c r="BL1844" t="s">
        <v>102</v>
      </c>
      <c r="BM1844" t="str">
        <f>""</f>
        <v/>
      </c>
      <c r="BN1844" t="s">
        <v>7739</v>
      </c>
      <c r="BO1844" t="s">
        <v>1615</v>
      </c>
      <c r="BP1844" t="s">
        <v>853</v>
      </c>
      <c r="BQ1844" t="s">
        <v>365</v>
      </c>
      <c r="BR1844" t="s">
        <v>141</v>
      </c>
      <c r="BS1844" s="5">
        <v>90067</v>
      </c>
      <c r="BT1844" s="2">
        <v>140000</v>
      </c>
      <c r="BV1844" t="s">
        <v>105</v>
      </c>
      <c r="BW1844" s="2">
        <v>121160</v>
      </c>
      <c r="BX1844" t="s">
        <v>105</v>
      </c>
      <c r="BZ1844" t="s">
        <v>123</v>
      </c>
      <c r="CA1844" t="str">
        <f t="shared" ref="CA1844:CA1878" si="150">"7/1/2020 - 6/30/2021"</f>
        <v>7/1/2020 - 6/30/2021</v>
      </c>
      <c r="CF1844">
        <v>1</v>
      </c>
      <c r="CG1844" t="s">
        <v>98</v>
      </c>
      <c r="CH1844" t="s">
        <v>206</v>
      </c>
      <c r="CI1844" t="s">
        <v>206</v>
      </c>
      <c r="CL1844" t="s">
        <v>108</v>
      </c>
      <c r="CM1844" t="s">
        <v>109</v>
      </c>
      <c r="CN1844" t="str">
        <f>"Veselaga"</f>
        <v>Veselaga</v>
      </c>
      <c r="CO1844" t="str">
        <f>"Steisi"</f>
        <v>Steisi</v>
      </c>
      <c r="CP1844" t="str">
        <f>""</f>
        <v/>
      </c>
      <c r="CQ1844" t="str">
        <f>"Fragomen, Del Rey, Bernsen &amp; Loewy, LLP"</f>
        <v>Fragomen, Del Rey, Bernsen &amp; Loewy, LLP</v>
      </c>
      <c r="CR1844" t="s">
        <v>4312</v>
      </c>
    </row>
    <row r="1845" spans="1:96" x14ac:dyDescent="0.2">
      <c r="A1845" t="s">
        <v>8723</v>
      </c>
      <c r="B1845" t="s">
        <v>96</v>
      </c>
      <c r="C1845" s="1">
        <v>44099</v>
      </c>
      <c r="D1845" s="1">
        <v>44106</v>
      </c>
      <c r="F1845" t="s">
        <v>97</v>
      </c>
      <c r="G1845" t="str">
        <f>"Chief Technical Officer"</f>
        <v>Chief Technical Officer</v>
      </c>
      <c r="H1845" t="s">
        <v>12178</v>
      </c>
      <c r="I1845" t="s">
        <v>582</v>
      </c>
      <c r="J1845" t="s">
        <v>206</v>
      </c>
      <c r="K1845" s="1">
        <v>44109</v>
      </c>
      <c r="L1845" s="1">
        <v>45203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 t="s">
        <v>8724</v>
      </c>
      <c r="U1845" t="str">
        <f>"Wildgrain"</f>
        <v>Wildgrain</v>
      </c>
      <c r="V1845" t="s">
        <v>8725</v>
      </c>
      <c r="W1845" t="str">
        <f>""</f>
        <v/>
      </c>
      <c r="X1845" t="s">
        <v>1196</v>
      </c>
      <c r="Y1845" t="s">
        <v>171</v>
      </c>
      <c r="Z1845" s="3">
        <v>1801</v>
      </c>
      <c r="AA1845" t="s">
        <v>101</v>
      </c>
      <c r="AC1845" s="4" t="str">
        <f>"+16177022749"</f>
        <v>+16177022749</v>
      </c>
      <c r="AE1845" t="str">
        <f>"4539"</f>
        <v>4539</v>
      </c>
      <c r="AF1845" t="s">
        <v>8726</v>
      </c>
      <c r="AG1845" t="s">
        <v>2364</v>
      </c>
      <c r="AI1845" t="s">
        <v>8727</v>
      </c>
      <c r="AJ1845" t="s">
        <v>8725</v>
      </c>
      <c r="AK1845" t="str">
        <f>""</f>
        <v/>
      </c>
      <c r="AL1845" t="s">
        <v>1196</v>
      </c>
      <c r="AM1845" t="s">
        <v>171</v>
      </c>
      <c r="AN1845" s="3">
        <v>1801</v>
      </c>
      <c r="AO1845" t="s">
        <v>101</v>
      </c>
      <c r="AQ1845" t="str">
        <f>"+16177022749"</f>
        <v>+16177022749</v>
      </c>
      <c r="AS1845" t="s">
        <v>8728</v>
      </c>
      <c r="AT1845" t="s">
        <v>107</v>
      </c>
      <c r="AU1845" t="str">
        <f>"Walsh"</f>
        <v>Walsh</v>
      </c>
      <c r="AV1845" t="str">
        <f>"Mary"</f>
        <v>Mary</v>
      </c>
      <c r="AW1845" t="str">
        <f>"Elizabeth"</f>
        <v>Elizabeth</v>
      </c>
      <c r="AX1845" t="str">
        <f>"38 Third Avenue"</f>
        <v>38 Third Avenue</v>
      </c>
      <c r="AY1845" t="str">
        <f>"Suite 100"</f>
        <v>Suite 100</v>
      </c>
      <c r="AZ1845" t="str">
        <f>"Boston"</f>
        <v>Boston</v>
      </c>
      <c r="BA1845" t="str">
        <f>"MA"</f>
        <v>MA</v>
      </c>
      <c r="BB1845" s="3">
        <v>2129</v>
      </c>
      <c r="BC1845" t="str">
        <f t="shared" si="149"/>
        <v>UNITED STATES OF AMERICA</v>
      </c>
      <c r="BD1845" t="str">
        <f>""</f>
        <v/>
      </c>
      <c r="BE1845" t="str">
        <f>"+16174821010"</f>
        <v>+16174821010</v>
      </c>
      <c r="BF1845" t="str">
        <f>""</f>
        <v/>
      </c>
      <c r="BG1845" t="str">
        <f>"walsh@iandoli.com"</f>
        <v>walsh@iandoli.com</v>
      </c>
      <c r="BH1845" t="str">
        <f>"Iandoli Desai and Cronin P.C."</f>
        <v>Iandoli Desai and Cronin P.C.</v>
      </c>
      <c r="BI1845" t="str">
        <f>"MA"</f>
        <v>MA</v>
      </c>
      <c r="BJ1845" t="str">
        <f>"MASSACHUSETTS Supreme Judicial Court"</f>
        <v>MASSACHUSETTS Supreme Judicial Court</v>
      </c>
      <c r="BK1845">
        <v>1</v>
      </c>
      <c r="BL1845" t="s">
        <v>102</v>
      </c>
      <c r="BM1845" t="str">
        <f>""</f>
        <v/>
      </c>
      <c r="BN1845" t="s">
        <v>8725</v>
      </c>
      <c r="BP1845" t="s">
        <v>1196</v>
      </c>
      <c r="BQ1845" t="s">
        <v>7139</v>
      </c>
      <c r="BR1845" t="s">
        <v>171</v>
      </c>
      <c r="BS1845" s="5">
        <v>1801</v>
      </c>
      <c r="BT1845" s="2">
        <v>63.94</v>
      </c>
      <c r="BV1845" t="s">
        <v>210</v>
      </c>
      <c r="BW1845" s="2">
        <v>63.94</v>
      </c>
      <c r="BX1845" t="s">
        <v>210</v>
      </c>
      <c r="BZ1845" t="s">
        <v>167</v>
      </c>
      <c r="CA1845" t="str">
        <f t="shared" si="150"/>
        <v>7/1/2020 - 6/30/2021</v>
      </c>
      <c r="CF1845">
        <v>1</v>
      </c>
      <c r="CG1845" t="s">
        <v>98</v>
      </c>
      <c r="CH1845" t="s">
        <v>206</v>
      </c>
      <c r="CI1845" t="s">
        <v>206</v>
      </c>
      <c r="CL1845" t="s">
        <v>108</v>
      </c>
      <c r="CM1845" t="s">
        <v>109</v>
      </c>
      <c r="CN1845" t="str">
        <f>""</f>
        <v/>
      </c>
      <c r="CO1845" t="str">
        <f>""</f>
        <v/>
      </c>
      <c r="CP1845" t="str">
        <f>""</f>
        <v/>
      </c>
      <c r="CQ1845" t="str">
        <f>""</f>
        <v/>
      </c>
    </row>
    <row r="1846" spans="1:96" x14ac:dyDescent="0.2">
      <c r="A1846" t="s">
        <v>8729</v>
      </c>
      <c r="B1846" t="s">
        <v>96</v>
      </c>
      <c r="C1846" s="1">
        <v>44099</v>
      </c>
      <c r="D1846" s="1">
        <v>44106</v>
      </c>
      <c r="F1846" t="s">
        <v>97</v>
      </c>
      <c r="G1846" t="str">
        <f>"ETL Teradata Developer"</f>
        <v>ETL Teradata Developer</v>
      </c>
      <c r="H1846" t="s">
        <v>12169</v>
      </c>
      <c r="I1846" t="s">
        <v>124</v>
      </c>
      <c r="J1846" t="s">
        <v>98</v>
      </c>
      <c r="K1846" s="1">
        <v>44099</v>
      </c>
      <c r="L1846" s="1">
        <v>45193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 t="s">
        <v>6875</v>
      </c>
      <c r="U1846" t="str">
        <f>""</f>
        <v/>
      </c>
      <c r="V1846" t="s">
        <v>6876</v>
      </c>
      <c r="W1846" t="str">
        <f>"Suite #106"</f>
        <v>Suite #106</v>
      </c>
      <c r="X1846" t="s">
        <v>1317</v>
      </c>
      <c r="Y1846" t="s">
        <v>135</v>
      </c>
      <c r="Z1846" s="3">
        <v>20165</v>
      </c>
      <c r="AA1846" t="s">
        <v>101</v>
      </c>
      <c r="AC1846" s="4" t="str">
        <f>"+12408886523"</f>
        <v>+12408886523</v>
      </c>
      <c r="AE1846" t="str">
        <f>"541511"</f>
        <v>541511</v>
      </c>
      <c r="AF1846" t="s">
        <v>3013</v>
      </c>
      <c r="AG1846" t="s">
        <v>1341</v>
      </c>
      <c r="AI1846" t="s">
        <v>508</v>
      </c>
      <c r="AJ1846" t="s">
        <v>6876</v>
      </c>
      <c r="AK1846" t="str">
        <f>"Suite #106"</f>
        <v>Suite #106</v>
      </c>
      <c r="AL1846" t="s">
        <v>1317</v>
      </c>
      <c r="AM1846" t="s">
        <v>135</v>
      </c>
      <c r="AN1846" s="3">
        <v>20165</v>
      </c>
      <c r="AO1846" t="s">
        <v>101</v>
      </c>
      <c r="AQ1846" t="str">
        <f>"+12408886523"</f>
        <v>+12408886523</v>
      </c>
      <c r="AS1846" t="s">
        <v>6877</v>
      </c>
      <c r="AT1846" t="s">
        <v>107</v>
      </c>
      <c r="AU1846" t="str">
        <f>"Mohan"</f>
        <v>Mohan</v>
      </c>
      <c r="AV1846" t="str">
        <f>"Thejaswini "</f>
        <v xml:space="preserve">Thejaswini </v>
      </c>
      <c r="AW1846" t="str">
        <f>""</f>
        <v/>
      </c>
      <c r="AX1846" t="str">
        <f>"802 E Woodfield Road "</f>
        <v xml:space="preserve">802 E Woodfield Road </v>
      </c>
      <c r="AY1846" t="str">
        <f>"Suite G400 "</f>
        <v xml:space="preserve">Suite G400 </v>
      </c>
      <c r="AZ1846" t="str">
        <f>"Schaumburg "</f>
        <v xml:space="preserve">Schaumburg </v>
      </c>
      <c r="BA1846" t="str">
        <f>"IL"</f>
        <v>IL</v>
      </c>
      <c r="BB1846" s="3">
        <v>60173</v>
      </c>
      <c r="BC1846" t="str">
        <f t="shared" si="149"/>
        <v>UNITED STATES OF AMERICA</v>
      </c>
      <c r="BD1846" t="str">
        <f>""</f>
        <v/>
      </c>
      <c r="BE1846" t="str">
        <f>"+18479951515"</f>
        <v>+18479951515</v>
      </c>
      <c r="BF1846" t="str">
        <f>"236"</f>
        <v>236</v>
      </c>
      <c r="BG1846" t="str">
        <f>"Icert@bizlegalservices.com"</f>
        <v>Icert@bizlegalservices.com</v>
      </c>
      <c r="BH1846" t="str">
        <f>"International Legal and Business Services Group LLP "</f>
        <v xml:space="preserve">International Legal and Business Services Group LLP </v>
      </c>
      <c r="BI1846" t="str">
        <f>"NY"</f>
        <v>NY</v>
      </c>
      <c r="BJ1846" t="str">
        <f>"New York Supreme Court "</f>
        <v xml:space="preserve">New York Supreme Court </v>
      </c>
      <c r="BK1846">
        <v>1</v>
      </c>
      <c r="BL1846" t="s">
        <v>107</v>
      </c>
      <c r="BM1846" t="str">
        <f>"Software Galaxy Systems (SGS)"</f>
        <v>Software Galaxy Systems (SGS)</v>
      </c>
      <c r="BN1846" t="s">
        <v>6878</v>
      </c>
      <c r="BP1846" t="s">
        <v>690</v>
      </c>
      <c r="BQ1846" t="s">
        <v>691</v>
      </c>
      <c r="BR1846" t="s">
        <v>345</v>
      </c>
      <c r="BS1846" s="5">
        <v>60061</v>
      </c>
      <c r="BT1846" s="2">
        <v>109200</v>
      </c>
      <c r="BU1846" s="2">
        <v>109201</v>
      </c>
      <c r="BV1846" t="s">
        <v>105</v>
      </c>
      <c r="BW1846" s="2">
        <v>87838</v>
      </c>
      <c r="BX1846" t="s">
        <v>105</v>
      </c>
      <c r="BZ1846" t="s">
        <v>167</v>
      </c>
      <c r="CA1846" t="str">
        <f t="shared" si="150"/>
        <v>7/1/2020 - 6/30/2021</v>
      </c>
      <c r="CF1846">
        <v>1</v>
      </c>
      <c r="CG1846" t="s">
        <v>98</v>
      </c>
      <c r="CH1846" t="s">
        <v>206</v>
      </c>
      <c r="CI1846" t="s">
        <v>206</v>
      </c>
      <c r="CL1846" t="s">
        <v>108</v>
      </c>
      <c r="CM1846" t="s">
        <v>109</v>
      </c>
      <c r="CN1846" t="str">
        <f>""</f>
        <v/>
      </c>
      <c r="CO1846" t="str">
        <f>""</f>
        <v/>
      </c>
      <c r="CP1846" t="str">
        <f>""</f>
        <v/>
      </c>
      <c r="CQ1846" t="str">
        <f>""</f>
        <v/>
      </c>
    </row>
    <row r="1847" spans="1:96" x14ac:dyDescent="0.2">
      <c r="A1847" t="s">
        <v>8732</v>
      </c>
      <c r="B1847" t="s">
        <v>96</v>
      </c>
      <c r="C1847" s="1">
        <v>44099</v>
      </c>
      <c r="D1847" s="1">
        <v>44106</v>
      </c>
      <c r="F1847" t="s">
        <v>97</v>
      </c>
      <c r="G1847" t="str">
        <f>"Senior Software Engineer "</f>
        <v xml:space="preserve">Senior Software Engineer </v>
      </c>
      <c r="H1847" t="s">
        <v>12169</v>
      </c>
      <c r="I1847" t="s">
        <v>124</v>
      </c>
      <c r="J1847" t="s">
        <v>98</v>
      </c>
      <c r="K1847" s="1">
        <v>44105</v>
      </c>
      <c r="L1847" s="1">
        <v>45199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 t="s">
        <v>8121</v>
      </c>
      <c r="U1847" t="str">
        <f>""</f>
        <v/>
      </c>
      <c r="V1847" t="s">
        <v>8122</v>
      </c>
      <c r="W1847" t="str">
        <f>"35th Floor"</f>
        <v>35th Floor</v>
      </c>
      <c r="X1847" t="s">
        <v>277</v>
      </c>
      <c r="Y1847" t="s">
        <v>190</v>
      </c>
      <c r="Z1847" s="3">
        <v>10002</v>
      </c>
      <c r="AA1847" t="s">
        <v>101</v>
      </c>
      <c r="AC1847" s="4" t="str">
        <f>"+2125845114"</f>
        <v>+2125845114</v>
      </c>
      <c r="AE1847" t="str">
        <f>"518210"</f>
        <v>518210</v>
      </c>
      <c r="AF1847" t="s">
        <v>5916</v>
      </c>
      <c r="AG1847" t="s">
        <v>2974</v>
      </c>
      <c r="AI1847" t="s">
        <v>8123</v>
      </c>
      <c r="AJ1847" t="s">
        <v>4421</v>
      </c>
      <c r="AK1847" t="str">
        <f>"11th Floor"</f>
        <v>11th Floor</v>
      </c>
      <c r="AL1847" t="s">
        <v>277</v>
      </c>
      <c r="AM1847" t="s">
        <v>190</v>
      </c>
      <c r="AN1847" s="3">
        <v>10104</v>
      </c>
      <c r="AO1847" t="s">
        <v>101</v>
      </c>
      <c r="AQ1847" t="str">
        <f>"+12125845114"</f>
        <v>+12125845114</v>
      </c>
      <c r="AS1847" t="s">
        <v>8124</v>
      </c>
      <c r="AT1847" t="s">
        <v>107</v>
      </c>
      <c r="AU1847" t="str">
        <f>"Kim"</f>
        <v>Kim</v>
      </c>
      <c r="AV1847" t="str">
        <f>"Naomi "</f>
        <v xml:space="preserve">Naomi </v>
      </c>
      <c r="AW1847" t="str">
        <f>"Young"</f>
        <v>Young</v>
      </c>
      <c r="AX1847" t="str">
        <f>"2101 Wilson Blvd."</f>
        <v>2101 Wilson Blvd.</v>
      </c>
      <c r="AY1847" t="str">
        <f>"Suite 1100"</f>
        <v>Suite 1100</v>
      </c>
      <c r="AZ1847" t="str">
        <f>"Arlington"</f>
        <v>Arlington</v>
      </c>
      <c r="BA1847" t="str">
        <f>"VA"</f>
        <v>VA</v>
      </c>
      <c r="BB1847" s="3">
        <v>22201</v>
      </c>
      <c r="BC1847" t="str">
        <f t="shared" si="149"/>
        <v>UNITED STATES OF AMERICA</v>
      </c>
      <c r="BD1847" t="str">
        <f>""</f>
        <v/>
      </c>
      <c r="BE1847" t="str">
        <f>"+17036784000"</f>
        <v>+17036784000</v>
      </c>
      <c r="BF1847" t="str">
        <f>""</f>
        <v/>
      </c>
      <c r="BG1847" t="str">
        <f>"naomi@eiglaw.com"</f>
        <v>naomi@eiglaw.com</v>
      </c>
      <c r="BH1847" t="str">
        <f>"Erickson Immigration Group"</f>
        <v>Erickson Immigration Group</v>
      </c>
      <c r="BI1847" t="str">
        <f>"NY"</f>
        <v>NY</v>
      </c>
      <c r="BJ1847" t="str">
        <f>"New York Court of Appeals"</f>
        <v>New York Court of Appeals</v>
      </c>
      <c r="BK1847">
        <v>1</v>
      </c>
      <c r="BL1847" t="s">
        <v>102</v>
      </c>
      <c r="BM1847" t="str">
        <f>""</f>
        <v/>
      </c>
      <c r="BN1847" t="s">
        <v>8733</v>
      </c>
      <c r="BO1847" t="s">
        <v>5640</v>
      </c>
      <c r="BP1847" t="s">
        <v>2742</v>
      </c>
      <c r="BQ1847" t="s">
        <v>419</v>
      </c>
      <c r="BR1847" t="s">
        <v>141</v>
      </c>
      <c r="BS1847" s="5">
        <v>94612</v>
      </c>
      <c r="BT1847" s="2">
        <v>188700</v>
      </c>
      <c r="BU1847" s="2">
        <v>198700</v>
      </c>
      <c r="BV1847" t="s">
        <v>105</v>
      </c>
      <c r="BW1847" s="2">
        <v>169562</v>
      </c>
      <c r="BX1847" t="s">
        <v>105</v>
      </c>
      <c r="BZ1847" t="s">
        <v>159</v>
      </c>
      <c r="CA1847" t="str">
        <f t="shared" si="150"/>
        <v>7/1/2020 - 6/30/2021</v>
      </c>
      <c r="CF1847">
        <v>2</v>
      </c>
      <c r="CG1847" t="s">
        <v>98</v>
      </c>
      <c r="CH1847" t="s">
        <v>206</v>
      </c>
      <c r="CI1847" t="s">
        <v>206</v>
      </c>
      <c r="CL1847" t="s">
        <v>108</v>
      </c>
      <c r="CM1847" t="s">
        <v>109</v>
      </c>
      <c r="CN1847" t="str">
        <f>"Castro"</f>
        <v>Castro</v>
      </c>
      <c r="CO1847" t="str">
        <f>"Chanleakna"</f>
        <v>Chanleakna</v>
      </c>
      <c r="CP1847" t="str">
        <f>""</f>
        <v/>
      </c>
      <c r="CQ1847" t="str">
        <f>"Erickson Immigration Group "</f>
        <v xml:space="preserve">Erickson Immigration Group </v>
      </c>
      <c r="CR1847" t="s">
        <v>259</v>
      </c>
    </row>
    <row r="1848" spans="1:96" x14ac:dyDescent="0.2">
      <c r="A1848" t="s">
        <v>8734</v>
      </c>
      <c r="B1848" t="s">
        <v>96</v>
      </c>
      <c r="C1848" s="1">
        <v>44099</v>
      </c>
      <c r="D1848" s="1">
        <v>44106</v>
      </c>
      <c r="F1848" t="s">
        <v>97</v>
      </c>
      <c r="G1848" t="str">
        <f>"Sr. Full Stack Software Engineer"</f>
        <v>Sr. Full Stack Software Engineer</v>
      </c>
      <c r="H1848" t="s">
        <v>12169</v>
      </c>
      <c r="I1848" t="s">
        <v>124</v>
      </c>
      <c r="J1848" t="s">
        <v>98</v>
      </c>
      <c r="K1848" s="1">
        <v>44272</v>
      </c>
      <c r="L1848" s="1">
        <v>45367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 t="s">
        <v>8735</v>
      </c>
      <c r="U1848" t="str">
        <f>""</f>
        <v/>
      </c>
      <c r="V1848" t="s">
        <v>8736</v>
      </c>
      <c r="W1848" t="str">
        <f>""</f>
        <v/>
      </c>
      <c r="X1848" t="s">
        <v>247</v>
      </c>
      <c r="Y1848" t="s">
        <v>141</v>
      </c>
      <c r="Z1848" s="3">
        <v>95050</v>
      </c>
      <c r="AA1848" t="s">
        <v>101</v>
      </c>
      <c r="AC1848" s="4" t="str">
        <f>"+14089351800"</f>
        <v>+14089351800</v>
      </c>
      <c r="AE1848" t="str">
        <f>"541512"</f>
        <v>541512</v>
      </c>
      <c r="AF1848" t="s">
        <v>8737</v>
      </c>
      <c r="AG1848" t="s">
        <v>8738</v>
      </c>
      <c r="AI1848" t="s">
        <v>2208</v>
      </c>
      <c r="AJ1848" t="s">
        <v>8739</v>
      </c>
      <c r="AK1848" t="str">
        <f>""</f>
        <v/>
      </c>
      <c r="AL1848" t="s">
        <v>230</v>
      </c>
      <c r="AM1848" t="s">
        <v>141</v>
      </c>
      <c r="AN1848" s="3">
        <v>95050</v>
      </c>
      <c r="AO1848" t="s">
        <v>101</v>
      </c>
      <c r="AQ1848" t="str">
        <f>"+14089351854"</f>
        <v>+14089351854</v>
      </c>
      <c r="AS1848" t="s">
        <v>8740</v>
      </c>
      <c r="AT1848" t="s">
        <v>107</v>
      </c>
      <c r="AU1848" t="str">
        <f>"NAGAHORI"</f>
        <v>NAGAHORI</v>
      </c>
      <c r="AV1848" t="str">
        <f>"RANDI"</f>
        <v>RANDI</v>
      </c>
      <c r="AW1848" t="str">
        <f>""</f>
        <v/>
      </c>
      <c r="AX1848" t="str">
        <f>"235 MONTGOMERY STREET"</f>
        <v>235 MONTGOMERY STREET</v>
      </c>
      <c r="AY1848" t="str">
        <f>"SUITE 629"</f>
        <v>SUITE 629</v>
      </c>
      <c r="AZ1848" t="str">
        <f>"SAN FRANCISCO"</f>
        <v>SAN FRANCISCO</v>
      </c>
      <c r="BA1848" t="str">
        <f>"CA"</f>
        <v>CA</v>
      </c>
      <c r="BB1848" s="3">
        <v>94104</v>
      </c>
      <c r="BC1848" t="str">
        <f t="shared" si="149"/>
        <v>UNITED STATES OF AMERICA</v>
      </c>
      <c r="BD1848" t="str">
        <f>""</f>
        <v/>
      </c>
      <c r="BE1848" t="str">
        <f>"+14158053900"</f>
        <v>+14158053900</v>
      </c>
      <c r="BF1848" t="str">
        <f>""</f>
        <v/>
      </c>
      <c r="BG1848" t="str">
        <f>"LCA@GOLAWCORP.COM"</f>
        <v>LCA@GOLAWCORP.COM</v>
      </c>
      <c r="BH1848" t="str">
        <f>"GOESCHL LAW CORPORATION"</f>
        <v>GOESCHL LAW CORPORATION</v>
      </c>
      <c r="BI1848" t="str">
        <f>"CA"</f>
        <v>CA</v>
      </c>
      <c r="BJ1848" t="str">
        <f>"SUPREME COURT"</f>
        <v>SUPREME COURT</v>
      </c>
      <c r="BK1848">
        <v>1</v>
      </c>
      <c r="BL1848" t="s">
        <v>102</v>
      </c>
      <c r="BM1848" t="str">
        <f>""</f>
        <v/>
      </c>
      <c r="BN1848" t="s">
        <v>8736</v>
      </c>
      <c r="BP1848" t="s">
        <v>247</v>
      </c>
      <c r="BQ1848" t="s">
        <v>230</v>
      </c>
      <c r="BR1848" t="s">
        <v>141</v>
      </c>
      <c r="BS1848" s="5">
        <v>95050</v>
      </c>
      <c r="BT1848" s="2">
        <v>154000</v>
      </c>
      <c r="BV1848" t="s">
        <v>105</v>
      </c>
      <c r="BW1848" s="2">
        <v>145725</v>
      </c>
      <c r="BX1848" t="s">
        <v>105</v>
      </c>
      <c r="BZ1848" t="s">
        <v>123</v>
      </c>
      <c r="CA1848" t="str">
        <f t="shared" si="150"/>
        <v>7/1/2020 - 6/30/2021</v>
      </c>
      <c r="CF1848">
        <v>1</v>
      </c>
      <c r="CG1848" t="s">
        <v>98</v>
      </c>
      <c r="CH1848" t="s">
        <v>206</v>
      </c>
      <c r="CI1848" t="s">
        <v>206</v>
      </c>
      <c r="CL1848" t="s">
        <v>108</v>
      </c>
      <c r="CM1848" t="s">
        <v>109</v>
      </c>
      <c r="CN1848" t="str">
        <f>""</f>
        <v/>
      </c>
      <c r="CO1848" t="str">
        <f>""</f>
        <v/>
      </c>
      <c r="CP1848" t="str">
        <f>""</f>
        <v/>
      </c>
      <c r="CQ1848" t="str">
        <f>""</f>
        <v/>
      </c>
    </row>
    <row r="1849" spans="1:96" x14ac:dyDescent="0.2">
      <c r="A1849" t="s">
        <v>8760</v>
      </c>
      <c r="B1849" t="s">
        <v>96</v>
      </c>
      <c r="C1849" s="1">
        <v>44099</v>
      </c>
      <c r="D1849" s="1">
        <v>44106</v>
      </c>
      <c r="F1849" t="s">
        <v>97</v>
      </c>
      <c r="G1849" t="str">
        <f>"Controls Engineer"</f>
        <v>Controls Engineer</v>
      </c>
      <c r="H1849" t="s">
        <v>12179</v>
      </c>
      <c r="I1849" t="s">
        <v>1357</v>
      </c>
      <c r="J1849" t="s">
        <v>98</v>
      </c>
      <c r="K1849" s="1">
        <v>44273</v>
      </c>
      <c r="L1849" s="1">
        <v>45368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2042</v>
      </c>
      <c r="U1849" t="str">
        <f>""</f>
        <v/>
      </c>
      <c r="V1849" t="s">
        <v>1122</v>
      </c>
      <c r="W1849" t="str">
        <f>""</f>
        <v/>
      </c>
      <c r="X1849" t="s">
        <v>1123</v>
      </c>
      <c r="Y1849" t="s">
        <v>190</v>
      </c>
      <c r="Z1849" s="3">
        <v>14831</v>
      </c>
      <c r="AA1849" t="s">
        <v>101</v>
      </c>
      <c r="AC1849" s="4" t="str">
        <f>"+16079747540"</f>
        <v>+16079747540</v>
      </c>
      <c r="AE1849" t="str">
        <f>"32721"</f>
        <v>32721</v>
      </c>
      <c r="AF1849" t="s">
        <v>1124</v>
      </c>
      <c r="AG1849" t="s">
        <v>1125</v>
      </c>
      <c r="AH1849" t="s">
        <v>1126</v>
      </c>
      <c r="AI1849" t="s">
        <v>221</v>
      </c>
      <c r="AJ1849" t="s">
        <v>1122</v>
      </c>
      <c r="AK1849" t="str">
        <f>""</f>
        <v/>
      </c>
      <c r="AL1849" t="s">
        <v>1123</v>
      </c>
      <c r="AM1849" t="s">
        <v>190</v>
      </c>
      <c r="AN1849" s="3">
        <v>14831</v>
      </c>
      <c r="AO1849" t="s">
        <v>101</v>
      </c>
      <c r="AQ1849" t="str">
        <f>"+16079747540"</f>
        <v>+16079747540</v>
      </c>
      <c r="AS1849" t="s">
        <v>2043</v>
      </c>
      <c r="AT1849" t="s">
        <v>107</v>
      </c>
      <c r="AU1849" t="str">
        <f>"Wilks"</f>
        <v>Wilks</v>
      </c>
      <c r="AV1849" t="str">
        <f>"David"</f>
        <v>David</v>
      </c>
      <c r="AW1849" t="str">
        <f>"J."</f>
        <v>J.</v>
      </c>
      <c r="AX1849" t="str">
        <f>"140 Pearl Street"</f>
        <v>140 Pearl Street</v>
      </c>
      <c r="AY1849" t="str">
        <f>""</f>
        <v/>
      </c>
      <c r="AZ1849" t="str">
        <f>"Buffalo"</f>
        <v>Buffalo</v>
      </c>
      <c r="BA1849" t="str">
        <f>"NY"</f>
        <v>NY</v>
      </c>
      <c r="BB1849" s="3">
        <v>14202</v>
      </c>
      <c r="BC1849" t="str">
        <f t="shared" si="149"/>
        <v>UNITED STATES OF AMERICA</v>
      </c>
      <c r="BD1849" t="str">
        <f>""</f>
        <v/>
      </c>
      <c r="BE1849" t="str">
        <f>"+15856133942"</f>
        <v>+15856133942</v>
      </c>
      <c r="BF1849" t="str">
        <f>""</f>
        <v/>
      </c>
      <c r="BG1849" t="str">
        <f>"dwilks@hodgsonruss.com"</f>
        <v>dwilks@hodgsonruss.com</v>
      </c>
      <c r="BH1849" t="str">
        <f>"Hodgson Russ LLP"</f>
        <v>Hodgson Russ LLP</v>
      </c>
      <c r="BI1849" t="str">
        <f>"NY"</f>
        <v>NY</v>
      </c>
      <c r="BJ1849" t="str">
        <f>"Court of Appeals"</f>
        <v>Court of Appeals</v>
      </c>
      <c r="BK1849">
        <v>1</v>
      </c>
      <c r="BL1849" t="s">
        <v>102</v>
      </c>
      <c r="BM1849" t="str">
        <f>""</f>
        <v/>
      </c>
      <c r="BN1849" t="s">
        <v>5154</v>
      </c>
      <c r="BP1849" t="s">
        <v>2079</v>
      </c>
      <c r="BQ1849" t="s">
        <v>2044</v>
      </c>
      <c r="BR1849" t="s">
        <v>190</v>
      </c>
      <c r="BS1849" s="5">
        <v>14870</v>
      </c>
      <c r="BT1849" s="2">
        <v>81910</v>
      </c>
      <c r="BV1849" t="s">
        <v>105</v>
      </c>
      <c r="BW1849" s="2">
        <v>81910</v>
      </c>
      <c r="BX1849" t="s">
        <v>105</v>
      </c>
      <c r="BZ1849" t="s">
        <v>167</v>
      </c>
      <c r="CA1849" t="str">
        <f t="shared" si="150"/>
        <v>7/1/2020 - 6/30/2021</v>
      </c>
      <c r="CF1849">
        <v>1</v>
      </c>
      <c r="CG1849" t="s">
        <v>98</v>
      </c>
      <c r="CH1849" t="s">
        <v>206</v>
      </c>
      <c r="CI1849" t="s">
        <v>206</v>
      </c>
      <c r="CL1849" t="s">
        <v>108</v>
      </c>
      <c r="CM1849" t="s">
        <v>109</v>
      </c>
      <c r="CN1849" t="str">
        <f>"Wrisley"</f>
        <v>Wrisley</v>
      </c>
      <c r="CO1849" t="str">
        <f>"Tammy"</f>
        <v>Tammy</v>
      </c>
      <c r="CP1849" t="str">
        <f>"A."</f>
        <v>A.</v>
      </c>
      <c r="CQ1849" t="str">
        <f>"Hodgson Russ LLP"</f>
        <v>Hodgson Russ LLP</v>
      </c>
      <c r="CR1849" t="s">
        <v>1128</v>
      </c>
    </row>
    <row r="1850" spans="1:96" x14ac:dyDescent="0.2">
      <c r="A1850" t="s">
        <v>8763</v>
      </c>
      <c r="B1850" t="s">
        <v>96</v>
      </c>
      <c r="C1850" s="1">
        <v>44099</v>
      </c>
      <c r="D1850" s="1">
        <v>44106</v>
      </c>
      <c r="F1850" t="s">
        <v>97</v>
      </c>
      <c r="G1850" t="str">
        <f>"Computer Specialist / Testing and Quality Analyst 3"</f>
        <v>Computer Specialist / Testing and Quality Analyst 3</v>
      </c>
      <c r="H1850" t="s">
        <v>12168</v>
      </c>
      <c r="I1850" t="s">
        <v>319</v>
      </c>
      <c r="J1850" t="s">
        <v>98</v>
      </c>
      <c r="K1850" s="1">
        <v>44105</v>
      </c>
      <c r="L1850" s="1">
        <v>45199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 t="s">
        <v>838</v>
      </c>
      <c r="U1850" t="str">
        <f>""</f>
        <v/>
      </c>
      <c r="V1850" t="s">
        <v>839</v>
      </c>
      <c r="W1850" t="str">
        <f>""</f>
        <v/>
      </c>
      <c r="X1850" t="s">
        <v>833</v>
      </c>
      <c r="Y1850" t="s">
        <v>345</v>
      </c>
      <c r="Z1850" s="3">
        <v>60601</v>
      </c>
      <c r="AA1850" t="s">
        <v>101</v>
      </c>
      <c r="AC1850" s="4" t="str">
        <f>"+13126930161"</f>
        <v>+13126930161</v>
      </c>
      <c r="AE1850" t="str">
        <f>"5416"</f>
        <v>5416</v>
      </c>
      <c r="AF1850" t="s">
        <v>840</v>
      </c>
      <c r="AG1850" t="s">
        <v>841</v>
      </c>
      <c r="AI1850" t="s">
        <v>417</v>
      </c>
      <c r="AJ1850" t="s">
        <v>842</v>
      </c>
      <c r="AK1850" t="str">
        <f>""</f>
        <v/>
      </c>
      <c r="AL1850" t="s">
        <v>843</v>
      </c>
      <c r="AM1850" t="s">
        <v>345</v>
      </c>
      <c r="AN1850" s="3">
        <v>60601</v>
      </c>
      <c r="AO1850" t="s">
        <v>101</v>
      </c>
      <c r="AQ1850" t="str">
        <f>"+13126932825"</f>
        <v>+13126932825</v>
      </c>
      <c r="AS1850" t="s">
        <v>844</v>
      </c>
      <c r="AT1850" t="s">
        <v>102</v>
      </c>
      <c r="AU1850" t="str">
        <f>""</f>
        <v/>
      </c>
      <c r="AV1850" t="str">
        <f>""</f>
        <v/>
      </c>
      <c r="AW1850" t="str">
        <f>""</f>
        <v/>
      </c>
      <c r="AX1850" t="str">
        <f>""</f>
        <v/>
      </c>
      <c r="AY1850" t="str">
        <f>""</f>
        <v/>
      </c>
      <c r="AZ1850" t="str">
        <f>""</f>
        <v/>
      </c>
      <c r="BA1850" t="str">
        <f>""</f>
        <v/>
      </c>
      <c r="BC1850" t="str">
        <f>""</f>
        <v/>
      </c>
      <c r="BD1850" t="str">
        <f>""</f>
        <v/>
      </c>
      <c r="BE1850" t="str">
        <f>""</f>
        <v/>
      </c>
      <c r="BF1850" t="str">
        <f>""</f>
        <v/>
      </c>
      <c r="BG1850" t="str">
        <f>""</f>
        <v/>
      </c>
      <c r="BH1850" t="str">
        <f>""</f>
        <v/>
      </c>
      <c r="BI1850" t="str">
        <f>""</f>
        <v/>
      </c>
      <c r="BJ1850" t="str">
        <f>""</f>
        <v/>
      </c>
      <c r="BK1850">
        <v>1</v>
      </c>
      <c r="BL1850" t="s">
        <v>107</v>
      </c>
      <c r="BM1850" t="str">
        <f>"Kontoor Brands"</f>
        <v>Kontoor Brands</v>
      </c>
      <c r="BN1850" t="s">
        <v>8764</v>
      </c>
      <c r="BP1850" t="s">
        <v>2186</v>
      </c>
      <c r="BQ1850" t="s">
        <v>462</v>
      </c>
      <c r="BR1850" t="s">
        <v>122</v>
      </c>
      <c r="BS1850" s="5">
        <v>27401</v>
      </c>
      <c r="BT1850" s="2">
        <v>100000</v>
      </c>
      <c r="BU1850" s="2">
        <v>174000</v>
      </c>
      <c r="BV1850" t="s">
        <v>105</v>
      </c>
      <c r="BW1850" s="2">
        <v>75899</v>
      </c>
      <c r="BX1850" t="s">
        <v>105</v>
      </c>
      <c r="BZ1850" t="s">
        <v>123</v>
      </c>
      <c r="CA1850" t="str">
        <f t="shared" si="150"/>
        <v>7/1/2020 - 6/30/2021</v>
      </c>
      <c r="CF1850">
        <v>1</v>
      </c>
      <c r="CG1850" t="s">
        <v>98</v>
      </c>
      <c r="CH1850" t="s">
        <v>206</v>
      </c>
      <c r="CI1850" t="s">
        <v>206</v>
      </c>
      <c r="CL1850" t="s">
        <v>108</v>
      </c>
      <c r="CM1850" t="s">
        <v>109</v>
      </c>
      <c r="CN1850" t="str">
        <f>""</f>
        <v/>
      </c>
      <c r="CO1850" t="str">
        <f>""</f>
        <v/>
      </c>
      <c r="CP1850" t="str">
        <f>""</f>
        <v/>
      </c>
      <c r="CQ1850" t="str">
        <f>""</f>
        <v/>
      </c>
    </row>
    <row r="1851" spans="1:96" x14ac:dyDescent="0.2">
      <c r="A1851" t="s">
        <v>8777</v>
      </c>
      <c r="B1851" t="s">
        <v>96</v>
      </c>
      <c r="C1851" s="1">
        <v>44099</v>
      </c>
      <c r="D1851" s="1">
        <v>44106</v>
      </c>
      <c r="F1851" t="s">
        <v>97</v>
      </c>
      <c r="G1851" t="str">
        <f>"General Manager, Cloud Engineering"</f>
        <v>General Manager, Cloud Engineering</v>
      </c>
      <c r="H1851" t="s">
        <v>12178</v>
      </c>
      <c r="I1851" t="s">
        <v>582</v>
      </c>
      <c r="J1851" t="s">
        <v>98</v>
      </c>
      <c r="K1851" s="1">
        <v>44151</v>
      </c>
      <c r="L1851" s="1">
        <v>45245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 t="s">
        <v>8778</v>
      </c>
      <c r="U1851" t="str">
        <f>""</f>
        <v/>
      </c>
      <c r="V1851" t="s">
        <v>8779</v>
      </c>
      <c r="W1851" t="str">
        <f>"Ste. 217"</f>
        <v>Ste. 217</v>
      </c>
      <c r="X1851" t="s">
        <v>762</v>
      </c>
      <c r="Y1851" t="s">
        <v>141</v>
      </c>
      <c r="Z1851" s="3">
        <v>95035</v>
      </c>
      <c r="AA1851" t="s">
        <v>101</v>
      </c>
      <c r="AC1851" s="4" t="str">
        <f>"+18884151224"</f>
        <v>+18884151224</v>
      </c>
      <c r="AE1851" t="str">
        <f>"541512"</f>
        <v>541512</v>
      </c>
      <c r="AF1851" t="s">
        <v>1373</v>
      </c>
      <c r="AG1851" t="s">
        <v>8780</v>
      </c>
      <c r="AI1851" t="s">
        <v>1297</v>
      </c>
      <c r="AJ1851" t="s">
        <v>8779</v>
      </c>
      <c r="AK1851" t="str">
        <f>"Ste. 217"</f>
        <v>Ste. 217</v>
      </c>
      <c r="AL1851" t="s">
        <v>762</v>
      </c>
      <c r="AM1851" t="s">
        <v>141</v>
      </c>
      <c r="AN1851" s="3">
        <v>95035</v>
      </c>
      <c r="AO1851" t="s">
        <v>101</v>
      </c>
      <c r="AQ1851" t="str">
        <f>"+18884151224"</f>
        <v>+18884151224</v>
      </c>
      <c r="AS1851" t="s">
        <v>8781</v>
      </c>
      <c r="AT1851" t="s">
        <v>107</v>
      </c>
      <c r="AU1851" t="str">
        <f>"Wu"</f>
        <v>Wu</v>
      </c>
      <c r="AV1851" t="str">
        <f>"Katie"</f>
        <v>Katie</v>
      </c>
      <c r="AW1851" t="str">
        <f>"W."</f>
        <v>W.</v>
      </c>
      <c r="AX1851" t="str">
        <f>"30300 Agoura Road"</f>
        <v>30300 Agoura Road</v>
      </c>
      <c r="AY1851" t="str">
        <f>"Ste. B100"</f>
        <v>Ste. B100</v>
      </c>
      <c r="AZ1851" t="str">
        <f>"Agoura Hills"</f>
        <v>Agoura Hills</v>
      </c>
      <c r="BA1851" t="str">
        <f>"CA"</f>
        <v>CA</v>
      </c>
      <c r="BB1851" s="3">
        <v>91301</v>
      </c>
      <c r="BC1851" t="str">
        <f>"UNITED STATES OF AMERICA"</f>
        <v>UNITED STATES OF AMERICA</v>
      </c>
      <c r="BD1851" t="str">
        <f>""</f>
        <v/>
      </c>
      <c r="BE1851" t="str">
        <f>"+18189146482"</f>
        <v>+18189146482</v>
      </c>
      <c r="BF1851" t="str">
        <f>""</f>
        <v/>
      </c>
      <c r="BG1851" t="str">
        <f>"Admin@gotcherlaw.com"</f>
        <v>Admin@gotcherlaw.com</v>
      </c>
      <c r="BH1851" t="str">
        <f>"Global Immigration Partners, Inc"</f>
        <v>Global Immigration Partners, Inc</v>
      </c>
      <c r="BI1851" t="str">
        <f>"CA"</f>
        <v>CA</v>
      </c>
      <c r="BJ1851" t="str">
        <f>"Supreme Court"</f>
        <v>Supreme Court</v>
      </c>
      <c r="BK1851">
        <v>1</v>
      </c>
      <c r="BL1851" t="s">
        <v>102</v>
      </c>
      <c r="BM1851" t="str">
        <f>""</f>
        <v/>
      </c>
      <c r="BN1851" t="s">
        <v>8782</v>
      </c>
      <c r="BO1851" t="s">
        <v>8783</v>
      </c>
      <c r="BP1851" t="s">
        <v>762</v>
      </c>
      <c r="BQ1851" t="s">
        <v>230</v>
      </c>
      <c r="BR1851" t="s">
        <v>141</v>
      </c>
      <c r="BS1851" s="5">
        <v>95035</v>
      </c>
      <c r="BT1851" s="2">
        <v>250000</v>
      </c>
      <c r="BV1851" t="s">
        <v>105</v>
      </c>
      <c r="BW1851" s="2">
        <v>215093</v>
      </c>
      <c r="BX1851" t="s">
        <v>105</v>
      </c>
      <c r="BZ1851" t="s">
        <v>123</v>
      </c>
      <c r="CA1851" t="str">
        <f t="shared" si="150"/>
        <v>7/1/2020 - 6/30/2021</v>
      </c>
      <c r="CF1851">
        <v>1</v>
      </c>
      <c r="CG1851" t="s">
        <v>98</v>
      </c>
      <c r="CH1851" t="s">
        <v>206</v>
      </c>
      <c r="CI1851" t="s">
        <v>206</v>
      </c>
      <c r="CL1851" t="s">
        <v>108</v>
      </c>
      <c r="CM1851" t="s">
        <v>109</v>
      </c>
      <c r="CN1851" t="str">
        <f>"Wu"</f>
        <v>Wu</v>
      </c>
      <c r="CO1851" t="str">
        <f>"Katie"</f>
        <v>Katie</v>
      </c>
      <c r="CP1851" t="str">
        <f>"W."</f>
        <v>W.</v>
      </c>
      <c r="CQ1851" t="str">
        <f>"Global Immigration Partners, Inc"</f>
        <v>Global Immigration Partners, Inc</v>
      </c>
      <c r="CR1851" t="s">
        <v>1275</v>
      </c>
    </row>
    <row r="1852" spans="1:96" x14ac:dyDescent="0.2">
      <c r="A1852" t="s">
        <v>8801</v>
      </c>
      <c r="B1852" t="s">
        <v>96</v>
      </c>
      <c r="C1852" s="1">
        <v>44099</v>
      </c>
      <c r="D1852" s="1">
        <v>44106</v>
      </c>
      <c r="F1852" t="s">
        <v>97</v>
      </c>
      <c r="G1852" t="str">
        <f>"NLP Engineer"</f>
        <v>NLP Engineer</v>
      </c>
      <c r="H1852" t="s">
        <v>12169</v>
      </c>
      <c r="I1852" t="s">
        <v>124</v>
      </c>
      <c r="J1852" t="s">
        <v>98</v>
      </c>
      <c r="K1852" s="1">
        <v>44109</v>
      </c>
      <c r="L1852" s="1">
        <v>45203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 t="s">
        <v>7232</v>
      </c>
      <c r="U1852" t="str">
        <f>""</f>
        <v/>
      </c>
      <c r="V1852" t="s">
        <v>7233</v>
      </c>
      <c r="W1852" t="str">
        <f>""</f>
        <v/>
      </c>
      <c r="X1852" t="s">
        <v>3588</v>
      </c>
      <c r="Y1852" t="s">
        <v>171</v>
      </c>
      <c r="Z1852" s="3">
        <v>2466</v>
      </c>
      <c r="AA1852" t="s">
        <v>101</v>
      </c>
      <c r="AC1852" s="4" t="str">
        <f>"+19874356467"</f>
        <v>+19874356467</v>
      </c>
      <c r="AE1852" t="str">
        <f>"541714"</f>
        <v>541714</v>
      </c>
      <c r="AF1852" t="s">
        <v>4225</v>
      </c>
      <c r="AG1852" t="s">
        <v>881</v>
      </c>
      <c r="AI1852" t="s">
        <v>7234</v>
      </c>
      <c r="AJ1852" t="s">
        <v>8270</v>
      </c>
      <c r="AK1852" t="str">
        <f>""</f>
        <v/>
      </c>
      <c r="AL1852" t="s">
        <v>7235</v>
      </c>
      <c r="AM1852" t="s">
        <v>171</v>
      </c>
      <c r="AN1852" s="3">
        <v>1821</v>
      </c>
      <c r="AO1852" t="s">
        <v>101</v>
      </c>
      <c r="AQ1852" t="str">
        <f>"+19784958070"</f>
        <v>+19784958070</v>
      </c>
      <c r="AS1852" t="s">
        <v>7236</v>
      </c>
      <c r="AT1852" t="s">
        <v>107</v>
      </c>
      <c r="AU1852" t="str">
        <f>" LEDBETTER"</f>
        <v xml:space="preserve"> LEDBETTER</v>
      </c>
      <c r="AV1852" t="str">
        <f>"ERIC"</f>
        <v>ERIC</v>
      </c>
      <c r="AW1852" t="str">
        <f>""</f>
        <v/>
      </c>
      <c r="AX1852" t="str">
        <f>"300 N LASALLE STREET"</f>
        <v>300 N LASALLE STREET</v>
      </c>
      <c r="AY1852" t="str">
        <f>"STE. 4000"</f>
        <v>STE. 4000</v>
      </c>
      <c r="AZ1852" t="str">
        <f>"CHICAGO"</f>
        <v>CHICAGO</v>
      </c>
      <c r="BA1852" t="str">
        <f>"IL"</f>
        <v>IL</v>
      </c>
      <c r="BB1852" s="3">
        <v>60654</v>
      </c>
      <c r="BC1852" t="str">
        <f>"UNITED STATES OF AMERICA"</f>
        <v>UNITED STATES OF AMERICA</v>
      </c>
      <c r="BD1852" t="str">
        <f>""</f>
        <v/>
      </c>
      <c r="BE1852" t="str">
        <f>"+13127155018"</f>
        <v>+13127155018</v>
      </c>
      <c r="BF1852" t="str">
        <f>""</f>
        <v/>
      </c>
      <c r="BG1852" t="str">
        <f>"Candace.Savino@QUARLES.COM"</f>
        <v>Candace.Savino@QUARLES.COM</v>
      </c>
      <c r="BH1852" t="str">
        <f>" QUARLES &amp; BRADY LLP"</f>
        <v xml:space="preserve"> QUARLES &amp; BRADY LLP</v>
      </c>
      <c r="BI1852" t="str">
        <f>"IL"</f>
        <v>IL</v>
      </c>
      <c r="BJ1852" t="str">
        <f>"SUPREME COURT OF IL"</f>
        <v>SUPREME COURT OF IL</v>
      </c>
      <c r="BK1852">
        <v>1</v>
      </c>
      <c r="BL1852" t="s">
        <v>102</v>
      </c>
      <c r="BM1852" t="str">
        <f>""</f>
        <v/>
      </c>
      <c r="BN1852" t="s">
        <v>8802</v>
      </c>
      <c r="BP1852" t="s">
        <v>140</v>
      </c>
      <c r="BQ1852" t="s">
        <v>147</v>
      </c>
      <c r="BR1852" t="s">
        <v>141</v>
      </c>
      <c r="BS1852" s="5">
        <v>94105</v>
      </c>
      <c r="BT1852" s="2">
        <v>160000</v>
      </c>
      <c r="BV1852" t="s">
        <v>105</v>
      </c>
      <c r="BW1852" s="2">
        <v>145246</v>
      </c>
      <c r="BX1852" t="s">
        <v>105</v>
      </c>
      <c r="BZ1852" t="s">
        <v>123</v>
      </c>
      <c r="CA1852" t="str">
        <f t="shared" si="150"/>
        <v>7/1/2020 - 6/30/2021</v>
      </c>
      <c r="CF1852">
        <v>1</v>
      </c>
      <c r="CG1852" t="s">
        <v>98</v>
      </c>
      <c r="CH1852" t="s">
        <v>206</v>
      </c>
      <c r="CI1852" t="s">
        <v>206</v>
      </c>
      <c r="CL1852" t="s">
        <v>108</v>
      </c>
      <c r="CM1852" t="s">
        <v>109</v>
      </c>
      <c r="CN1852" t="str">
        <f>"Savino"</f>
        <v>Savino</v>
      </c>
      <c r="CO1852" t="str">
        <f>"Candace"</f>
        <v>Candace</v>
      </c>
      <c r="CP1852" t="str">
        <f>""</f>
        <v/>
      </c>
      <c r="CQ1852" t="str">
        <f>"Quarles &amp; Brady LLP"</f>
        <v>Quarles &amp; Brady LLP</v>
      </c>
      <c r="CR1852" t="s">
        <v>7237</v>
      </c>
    </row>
    <row r="1853" spans="1:96" x14ac:dyDescent="0.2">
      <c r="A1853" t="s">
        <v>8812</v>
      </c>
      <c r="B1853" t="s">
        <v>96</v>
      </c>
      <c r="C1853" s="1">
        <v>44099</v>
      </c>
      <c r="D1853" s="1">
        <v>44106</v>
      </c>
      <c r="F1853" t="s">
        <v>97</v>
      </c>
      <c r="G1853" t="str">
        <f>"Statistical Programmer/Analyst"</f>
        <v>Statistical Programmer/Analyst</v>
      </c>
      <c r="H1853" t="s">
        <v>12180</v>
      </c>
      <c r="I1853" t="s">
        <v>390</v>
      </c>
      <c r="J1853" t="s">
        <v>98</v>
      </c>
      <c r="K1853" s="1">
        <v>44155</v>
      </c>
      <c r="L1853" s="1">
        <v>44519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 t="s">
        <v>8813</v>
      </c>
      <c r="U1853" t="str">
        <f>"FMD K&amp;L Inc."</f>
        <v>FMD K&amp;L Inc.</v>
      </c>
      <c r="V1853" t="s">
        <v>8814</v>
      </c>
      <c r="W1853" t="str">
        <f>"Suite 408"</f>
        <v>Suite 408</v>
      </c>
      <c r="X1853" t="s">
        <v>7749</v>
      </c>
      <c r="Y1853" t="s">
        <v>127</v>
      </c>
      <c r="Z1853" s="3">
        <v>19034</v>
      </c>
      <c r="AA1853" t="s">
        <v>101</v>
      </c>
      <c r="AC1853" s="4" t="str">
        <f>"+12152836035"</f>
        <v>+12152836035</v>
      </c>
      <c r="AE1853" t="str">
        <f>"54171"</f>
        <v>54171</v>
      </c>
      <c r="AF1853" t="s">
        <v>8815</v>
      </c>
      <c r="AG1853" t="s">
        <v>8816</v>
      </c>
      <c r="AI1853" t="s">
        <v>2649</v>
      </c>
      <c r="AJ1853" t="s">
        <v>8814</v>
      </c>
      <c r="AK1853" t="str">
        <f>"Suite 408"</f>
        <v>Suite 408</v>
      </c>
      <c r="AL1853" t="s">
        <v>7749</v>
      </c>
      <c r="AM1853" t="s">
        <v>127</v>
      </c>
      <c r="AN1853" s="3">
        <v>19034</v>
      </c>
      <c r="AO1853" t="s">
        <v>101</v>
      </c>
      <c r="AQ1853" t="str">
        <f>"+12152836035"</f>
        <v>+12152836035</v>
      </c>
      <c r="AS1853" t="s">
        <v>8817</v>
      </c>
      <c r="AT1853" t="s">
        <v>107</v>
      </c>
      <c r="AU1853" t="str">
        <f>"Patel"</f>
        <v>Patel</v>
      </c>
      <c r="AV1853" t="str">
        <f>"Rakhi"</f>
        <v>Rakhi</v>
      </c>
      <c r="AW1853" t="str">
        <f>"J"</f>
        <v>J</v>
      </c>
      <c r="AX1853" t="str">
        <f>"1515 Market Street"</f>
        <v>1515 Market Street</v>
      </c>
      <c r="AY1853" t="str">
        <f>"Suite 1200"</f>
        <v>Suite 1200</v>
      </c>
      <c r="AZ1853" t="str">
        <f>"Philadelphia"</f>
        <v>Philadelphia</v>
      </c>
      <c r="BA1853" t="str">
        <f>"PA"</f>
        <v>PA</v>
      </c>
      <c r="BB1853" s="3">
        <v>19102</v>
      </c>
      <c r="BC1853" t="str">
        <f>"UNITED STATES OF AMERICA"</f>
        <v>UNITED STATES OF AMERICA</v>
      </c>
      <c r="BD1853" t="str">
        <f>""</f>
        <v/>
      </c>
      <c r="BE1853" t="str">
        <f>"+12676394225"</f>
        <v>+12676394225</v>
      </c>
      <c r="BF1853" t="str">
        <f>""</f>
        <v/>
      </c>
      <c r="BG1853" t="str">
        <f>"rpatel@rakhilaw.com"</f>
        <v>rpatel@rakhilaw.com</v>
      </c>
      <c r="BH1853" t="str">
        <f>"Rakhi Patel Law, LLC"</f>
        <v>Rakhi Patel Law, LLC</v>
      </c>
      <c r="BI1853" t="str">
        <f>"PA"</f>
        <v>PA</v>
      </c>
      <c r="BJ1853" t="str">
        <f>"Supreme Court of Pennsylvania"</f>
        <v>Supreme Court of Pennsylvania</v>
      </c>
      <c r="BK1853">
        <v>1</v>
      </c>
      <c r="BL1853" t="s">
        <v>102</v>
      </c>
      <c r="BM1853" t="str">
        <f>""</f>
        <v/>
      </c>
      <c r="BN1853" t="s">
        <v>8814</v>
      </c>
      <c r="BO1853" t="s">
        <v>7851</v>
      </c>
      <c r="BP1853" t="s">
        <v>7749</v>
      </c>
      <c r="BQ1853" t="s">
        <v>529</v>
      </c>
      <c r="BR1853" t="s">
        <v>127</v>
      </c>
      <c r="BS1853" s="5">
        <v>19034</v>
      </c>
      <c r="BT1853" s="2">
        <v>140040</v>
      </c>
      <c r="BV1853" t="s">
        <v>105</v>
      </c>
      <c r="BW1853" s="2">
        <v>97885</v>
      </c>
      <c r="BX1853" t="s">
        <v>105</v>
      </c>
      <c r="BZ1853" t="s">
        <v>123</v>
      </c>
      <c r="CA1853" t="str">
        <f t="shared" si="150"/>
        <v>7/1/2020 - 6/30/2021</v>
      </c>
      <c r="CF1853">
        <v>2</v>
      </c>
      <c r="CG1853" t="s">
        <v>98</v>
      </c>
      <c r="CH1853" t="s">
        <v>206</v>
      </c>
      <c r="CI1853" t="s">
        <v>206</v>
      </c>
      <c r="CL1853" t="s">
        <v>108</v>
      </c>
      <c r="CM1853" t="s">
        <v>109</v>
      </c>
      <c r="CN1853" t="str">
        <f>"Patel"</f>
        <v>Patel</v>
      </c>
      <c r="CO1853" t="str">
        <f>"Rakhi"</f>
        <v>Rakhi</v>
      </c>
      <c r="CP1853" t="str">
        <f>"J."</f>
        <v>J.</v>
      </c>
      <c r="CQ1853" t="str">
        <f>"Rakhi Patel Law, LLC"</f>
        <v>Rakhi Patel Law, LLC</v>
      </c>
      <c r="CR1853" t="s">
        <v>8818</v>
      </c>
    </row>
    <row r="1854" spans="1:96" x14ac:dyDescent="0.2">
      <c r="A1854" t="s">
        <v>8849</v>
      </c>
      <c r="B1854" t="s">
        <v>96</v>
      </c>
      <c r="C1854" s="1">
        <v>44099</v>
      </c>
      <c r="D1854" s="1">
        <v>44106</v>
      </c>
      <c r="F1854" t="s">
        <v>97</v>
      </c>
      <c r="G1854" t="str">
        <f>"Consulting-Sr. manager"</f>
        <v>Consulting-Sr. manager</v>
      </c>
      <c r="H1854" t="s">
        <v>12214</v>
      </c>
      <c r="I1854" t="s">
        <v>276</v>
      </c>
      <c r="J1854" t="s">
        <v>98</v>
      </c>
      <c r="K1854" s="1">
        <v>44105</v>
      </c>
      <c r="L1854" s="1">
        <v>45199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 t="s">
        <v>838</v>
      </c>
      <c r="U1854" t="str">
        <f>""</f>
        <v/>
      </c>
      <c r="V1854" t="s">
        <v>839</v>
      </c>
      <c r="W1854" t="str">
        <f>""</f>
        <v/>
      </c>
      <c r="X1854" t="s">
        <v>833</v>
      </c>
      <c r="Y1854" t="s">
        <v>345</v>
      </c>
      <c r="Z1854" s="3">
        <v>60601</v>
      </c>
      <c r="AA1854" t="s">
        <v>101</v>
      </c>
      <c r="AC1854" s="4" t="str">
        <f>"+13126930161"</f>
        <v>+13126930161</v>
      </c>
      <c r="AE1854" t="str">
        <f>"5416"</f>
        <v>5416</v>
      </c>
      <c r="AF1854" t="s">
        <v>840</v>
      </c>
      <c r="AG1854" t="s">
        <v>841</v>
      </c>
      <c r="AI1854" t="s">
        <v>417</v>
      </c>
      <c r="AJ1854" t="s">
        <v>842</v>
      </c>
      <c r="AK1854" t="str">
        <f>""</f>
        <v/>
      </c>
      <c r="AL1854" t="s">
        <v>843</v>
      </c>
      <c r="AM1854" t="s">
        <v>345</v>
      </c>
      <c r="AN1854" s="3">
        <v>60601</v>
      </c>
      <c r="AO1854" t="s">
        <v>101</v>
      </c>
      <c r="AQ1854" t="str">
        <f>"+13126932825"</f>
        <v>+13126932825</v>
      </c>
      <c r="AS1854" t="s">
        <v>844</v>
      </c>
      <c r="AT1854" t="s">
        <v>102</v>
      </c>
      <c r="AU1854" t="str">
        <f>""</f>
        <v/>
      </c>
      <c r="AV1854" t="str">
        <f>""</f>
        <v/>
      </c>
      <c r="AW1854" t="str">
        <f>""</f>
        <v/>
      </c>
      <c r="AX1854" t="str">
        <f>""</f>
        <v/>
      </c>
      <c r="AY1854" t="str">
        <f>""</f>
        <v/>
      </c>
      <c r="AZ1854" t="str">
        <f>""</f>
        <v/>
      </c>
      <c r="BA1854" t="str">
        <f>""</f>
        <v/>
      </c>
      <c r="BC1854" t="str">
        <f>""</f>
        <v/>
      </c>
      <c r="BD1854" t="str">
        <f>""</f>
        <v/>
      </c>
      <c r="BE1854" t="str">
        <f>""</f>
        <v/>
      </c>
      <c r="BF1854" t="str">
        <f>""</f>
        <v/>
      </c>
      <c r="BG1854" t="str">
        <f>""</f>
        <v/>
      </c>
      <c r="BH1854" t="str">
        <f>""</f>
        <v/>
      </c>
      <c r="BI1854" t="str">
        <f>""</f>
        <v/>
      </c>
      <c r="BJ1854" t="str">
        <f>""</f>
        <v/>
      </c>
      <c r="BK1854">
        <v>1</v>
      </c>
      <c r="BL1854" t="s">
        <v>102</v>
      </c>
      <c r="BM1854" t="str">
        <f>""</f>
        <v/>
      </c>
      <c r="BN1854" t="s">
        <v>8850</v>
      </c>
      <c r="BP1854" t="s">
        <v>394</v>
      </c>
      <c r="BQ1854" t="s">
        <v>395</v>
      </c>
      <c r="BR1854" t="s">
        <v>114</v>
      </c>
      <c r="BS1854" s="5">
        <v>77002</v>
      </c>
      <c r="BT1854" s="2">
        <v>145400</v>
      </c>
      <c r="BU1854" s="2">
        <v>222700</v>
      </c>
      <c r="BV1854" t="s">
        <v>105</v>
      </c>
      <c r="BW1854" s="2">
        <v>133869</v>
      </c>
      <c r="BX1854" t="s">
        <v>105</v>
      </c>
      <c r="BZ1854" t="s">
        <v>159</v>
      </c>
      <c r="CA1854" t="str">
        <f t="shared" si="150"/>
        <v>7/1/2020 - 6/30/2021</v>
      </c>
      <c r="CF1854">
        <v>2</v>
      </c>
      <c r="CG1854" t="s">
        <v>98</v>
      </c>
      <c r="CH1854" t="s">
        <v>206</v>
      </c>
      <c r="CI1854" t="s">
        <v>206</v>
      </c>
      <c r="CL1854" t="s">
        <v>108</v>
      </c>
      <c r="CM1854" t="s">
        <v>109</v>
      </c>
      <c r="CN1854" t="str">
        <f>""</f>
        <v/>
      </c>
      <c r="CO1854" t="str">
        <f>""</f>
        <v/>
      </c>
      <c r="CP1854" t="str">
        <f>""</f>
        <v/>
      </c>
      <c r="CQ1854" t="str">
        <f>""</f>
        <v/>
      </c>
    </row>
    <row r="1855" spans="1:96" x14ac:dyDescent="0.2">
      <c r="A1855" t="s">
        <v>8865</v>
      </c>
      <c r="B1855" t="s">
        <v>96</v>
      </c>
      <c r="C1855" s="1">
        <v>44099</v>
      </c>
      <c r="D1855" s="1">
        <v>44106</v>
      </c>
      <c r="F1855" t="s">
        <v>97</v>
      </c>
      <c r="G1855" t="str">
        <f>"Hospital Physicist"</f>
        <v>Hospital Physicist</v>
      </c>
      <c r="H1855" t="s">
        <v>12173</v>
      </c>
      <c r="I1855" t="s">
        <v>917</v>
      </c>
      <c r="J1855" t="s">
        <v>98</v>
      </c>
      <c r="K1855" s="1">
        <v>44196</v>
      </c>
      <c r="L1855" s="1">
        <v>45290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 t="s">
        <v>8866</v>
      </c>
      <c r="U1855" t="str">
        <f>""</f>
        <v/>
      </c>
      <c r="V1855" t="s">
        <v>8867</v>
      </c>
      <c r="W1855" t="str">
        <f>"SUITE 301"</f>
        <v>SUITE 301</v>
      </c>
      <c r="X1855" t="s">
        <v>147</v>
      </c>
      <c r="Y1855" t="s">
        <v>141</v>
      </c>
      <c r="Z1855" s="3">
        <v>94118</v>
      </c>
      <c r="AA1855" t="s">
        <v>101</v>
      </c>
      <c r="AC1855" s="4" t="str">
        <f>"+14153534627"</f>
        <v>+14153534627</v>
      </c>
      <c r="AE1855" t="str">
        <f>"622110"</f>
        <v>622110</v>
      </c>
      <c r="AF1855" t="s">
        <v>8868</v>
      </c>
      <c r="AG1855" t="s">
        <v>2326</v>
      </c>
      <c r="AI1855" t="s">
        <v>8869</v>
      </c>
      <c r="AJ1855" t="s">
        <v>8867</v>
      </c>
      <c r="AK1855" t="str">
        <f>"SUITE 301"</f>
        <v>SUITE 301</v>
      </c>
      <c r="AL1855" t="s">
        <v>140</v>
      </c>
      <c r="AM1855" t="s">
        <v>141</v>
      </c>
      <c r="AN1855" s="3">
        <v>94118</v>
      </c>
      <c r="AO1855" t="s">
        <v>101</v>
      </c>
      <c r="AQ1855" t="str">
        <f>"+14153534627"</f>
        <v>+14153534627</v>
      </c>
      <c r="AS1855" t="s">
        <v>8870</v>
      </c>
      <c r="AT1855" t="s">
        <v>107</v>
      </c>
      <c r="AU1855" t="str">
        <f>"Shih"</f>
        <v>Shih</v>
      </c>
      <c r="AV1855" t="str">
        <f>"Jennifer"</f>
        <v>Jennifer</v>
      </c>
      <c r="AW1855" t="str">
        <f>""</f>
        <v/>
      </c>
      <c r="AX1855" t="str">
        <f>"180 Sutter Street"</f>
        <v>180 Sutter Street</v>
      </c>
      <c r="AY1855" t="str">
        <f>"Suite 500"</f>
        <v>Suite 500</v>
      </c>
      <c r="AZ1855" t="str">
        <f>"San Francisco"</f>
        <v>San Francisco</v>
      </c>
      <c r="BA1855" t="str">
        <f>"CA"</f>
        <v>CA</v>
      </c>
      <c r="BB1855" s="3">
        <v>94104</v>
      </c>
      <c r="BC1855" t="str">
        <f>"UNITED STATES OF AMERICA"</f>
        <v>UNITED STATES OF AMERICA</v>
      </c>
      <c r="BD1855" t="str">
        <f>""</f>
        <v/>
      </c>
      <c r="BE1855" t="str">
        <f>"+14159813000"</f>
        <v>+14159813000</v>
      </c>
      <c r="BF1855" t="str">
        <f>""</f>
        <v/>
      </c>
      <c r="BG1855" t="str">
        <f>"jshih@vblaw.com"</f>
        <v>jshih@vblaw.com</v>
      </c>
      <c r="BH1855" t="str">
        <f>"Van Der Hout LLP"</f>
        <v>Van Der Hout LLP</v>
      </c>
      <c r="BI1855" t="str">
        <f>"NY"</f>
        <v>NY</v>
      </c>
      <c r="BJ1855" t="str">
        <f>"NEW YORK COURT OF APPEALS"</f>
        <v>NEW YORK COURT OF APPEALS</v>
      </c>
      <c r="BK1855">
        <v>1</v>
      </c>
      <c r="BL1855" t="s">
        <v>102</v>
      </c>
      <c r="BM1855" t="str">
        <f>""</f>
        <v/>
      </c>
      <c r="BN1855" t="s">
        <v>8871</v>
      </c>
      <c r="BP1855" t="s">
        <v>140</v>
      </c>
      <c r="BQ1855" t="s">
        <v>147</v>
      </c>
      <c r="BR1855" t="s">
        <v>141</v>
      </c>
      <c r="BS1855" s="5">
        <v>94158</v>
      </c>
      <c r="BT1855" s="2">
        <v>115.48</v>
      </c>
      <c r="BV1855" t="s">
        <v>210</v>
      </c>
      <c r="BW1855" s="2">
        <v>75.87</v>
      </c>
      <c r="BX1855" t="s">
        <v>210</v>
      </c>
      <c r="BZ1855" t="s">
        <v>159</v>
      </c>
      <c r="CA1855" t="str">
        <f t="shared" si="150"/>
        <v>7/1/2020 - 6/30/2021</v>
      </c>
      <c r="CF1855">
        <v>2</v>
      </c>
      <c r="CG1855" t="s">
        <v>98</v>
      </c>
      <c r="CH1855" t="s">
        <v>206</v>
      </c>
      <c r="CI1855" t="s">
        <v>206</v>
      </c>
      <c r="CL1855" t="s">
        <v>108</v>
      </c>
      <c r="CM1855" t="s">
        <v>109</v>
      </c>
      <c r="CN1855" t="str">
        <f>"Maskasky"</f>
        <v>Maskasky</v>
      </c>
      <c r="CO1855" t="str">
        <f>"Elizabeth"</f>
        <v>Elizabeth</v>
      </c>
      <c r="CP1855" t="str">
        <f>"A"</f>
        <v>A</v>
      </c>
      <c r="CQ1855" t="str">
        <f>"Van Der Hout LLP"</f>
        <v>Van Der Hout LLP</v>
      </c>
      <c r="CR1855" t="s">
        <v>3045</v>
      </c>
    </row>
    <row r="1856" spans="1:96" x14ac:dyDescent="0.2">
      <c r="A1856" t="s">
        <v>8878</v>
      </c>
      <c r="B1856" t="s">
        <v>96</v>
      </c>
      <c r="C1856" s="1">
        <v>44099</v>
      </c>
      <c r="D1856" s="1">
        <v>44106</v>
      </c>
      <c r="F1856" t="s">
        <v>97</v>
      </c>
      <c r="G1856" t="str">
        <f>"Statisticians - KBGFJG22303-15"</f>
        <v>Statisticians - KBGFJG22303-15</v>
      </c>
      <c r="H1856" t="s">
        <v>12180</v>
      </c>
      <c r="I1856" t="s">
        <v>390</v>
      </c>
      <c r="J1856" t="s">
        <v>98</v>
      </c>
      <c r="K1856" s="1">
        <v>44105</v>
      </c>
      <c r="L1856" s="1">
        <v>45199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 t="s">
        <v>697</v>
      </c>
      <c r="U1856" t="str">
        <f>""</f>
        <v/>
      </c>
      <c r="V1856" t="s">
        <v>698</v>
      </c>
      <c r="W1856" t="str">
        <f>"Suite 2222"</f>
        <v>Suite 2222</v>
      </c>
      <c r="X1856" t="s">
        <v>699</v>
      </c>
      <c r="Y1856" t="s">
        <v>100</v>
      </c>
      <c r="Z1856" s="3">
        <v>7094</v>
      </c>
      <c r="AA1856" t="s">
        <v>101</v>
      </c>
      <c r="AC1856" s="4" t="str">
        <f>"+12018723003"</f>
        <v>+12018723003</v>
      </c>
      <c r="AD1856">
        <v>0</v>
      </c>
      <c r="AE1856" t="str">
        <f>"541211"</f>
        <v>541211</v>
      </c>
      <c r="AF1856" t="s">
        <v>700</v>
      </c>
      <c r="AG1856" t="s">
        <v>701</v>
      </c>
      <c r="AH1856" t="s">
        <v>702</v>
      </c>
      <c r="AI1856" t="s">
        <v>703</v>
      </c>
      <c r="AJ1856" t="s">
        <v>698</v>
      </c>
      <c r="AK1856" t="str">
        <f>"Suite 2222"</f>
        <v>Suite 2222</v>
      </c>
      <c r="AL1856" t="s">
        <v>699</v>
      </c>
      <c r="AM1856" t="s">
        <v>100</v>
      </c>
      <c r="AN1856" s="3">
        <v>7094</v>
      </c>
      <c r="AO1856" t="s">
        <v>101</v>
      </c>
      <c r="AQ1856" t="str">
        <f>"+12018723003"</f>
        <v>+12018723003</v>
      </c>
      <c r="AR1856">
        <v>0</v>
      </c>
      <c r="AS1856" t="s">
        <v>704</v>
      </c>
      <c r="AT1856" t="s">
        <v>102</v>
      </c>
      <c r="AU1856" t="str">
        <f>""</f>
        <v/>
      </c>
      <c r="AV1856" t="str">
        <f>""</f>
        <v/>
      </c>
      <c r="AW1856" t="str">
        <f>""</f>
        <v/>
      </c>
      <c r="AX1856" t="str">
        <f>""</f>
        <v/>
      </c>
      <c r="AY1856" t="str">
        <f>""</f>
        <v/>
      </c>
      <c r="AZ1856" t="str">
        <f>""</f>
        <v/>
      </c>
      <c r="BA1856" t="str">
        <f>""</f>
        <v/>
      </c>
      <c r="BC1856" t="str">
        <f>""</f>
        <v/>
      </c>
      <c r="BD1856" t="str">
        <f>""</f>
        <v/>
      </c>
      <c r="BE1856" t="str">
        <f>""</f>
        <v/>
      </c>
      <c r="BF1856" t="str">
        <f>""</f>
        <v/>
      </c>
      <c r="BG1856" t="str">
        <f>""</f>
        <v/>
      </c>
      <c r="BH1856" t="str">
        <f>""</f>
        <v/>
      </c>
      <c r="BI1856" t="str">
        <f>""</f>
        <v/>
      </c>
      <c r="BJ1856" t="str">
        <f>""</f>
        <v/>
      </c>
      <c r="BK1856">
        <v>1</v>
      </c>
      <c r="BL1856" t="s">
        <v>102</v>
      </c>
      <c r="BM1856" t="str">
        <f>""</f>
        <v/>
      </c>
      <c r="BN1856" t="s">
        <v>2254</v>
      </c>
      <c r="BP1856" t="s">
        <v>277</v>
      </c>
      <c r="BQ1856" t="s">
        <v>189</v>
      </c>
      <c r="BR1856" t="s">
        <v>190</v>
      </c>
      <c r="BS1856" s="5">
        <v>10036</v>
      </c>
      <c r="BT1856" s="2">
        <v>90475</v>
      </c>
      <c r="BV1856" t="s">
        <v>105</v>
      </c>
      <c r="BW1856" s="2">
        <v>89898</v>
      </c>
      <c r="BX1856" t="s">
        <v>105</v>
      </c>
      <c r="BZ1856" t="s">
        <v>167</v>
      </c>
      <c r="CA1856" t="str">
        <f t="shared" si="150"/>
        <v>7/1/2020 - 6/30/2021</v>
      </c>
      <c r="CF1856">
        <v>1</v>
      </c>
      <c r="CG1856" t="s">
        <v>98</v>
      </c>
      <c r="CH1856" t="s">
        <v>206</v>
      </c>
      <c r="CI1856" t="s">
        <v>206</v>
      </c>
      <c r="CL1856" t="s">
        <v>108</v>
      </c>
      <c r="CM1856" t="s">
        <v>109</v>
      </c>
      <c r="CN1856" t="str">
        <f>"Conforti"</f>
        <v>Conforti</v>
      </c>
      <c r="CO1856" t="str">
        <f>"Joseph"</f>
        <v>Joseph</v>
      </c>
      <c r="CP1856" t="str">
        <f>"B"</f>
        <v>B</v>
      </c>
      <c r="CQ1856" t="str">
        <f>"EY Law LLP"</f>
        <v>EY Law LLP</v>
      </c>
      <c r="CR1856" t="s">
        <v>706</v>
      </c>
    </row>
    <row r="1857" spans="1:96" x14ac:dyDescent="0.2">
      <c r="A1857" t="s">
        <v>8899</v>
      </c>
      <c r="B1857" t="s">
        <v>96</v>
      </c>
      <c r="C1857" s="1">
        <v>44099</v>
      </c>
      <c r="D1857" s="1">
        <v>44106</v>
      </c>
      <c r="F1857" t="s">
        <v>97</v>
      </c>
      <c r="G1857" t="str">
        <f>"Project Engineering Specialist"</f>
        <v>Project Engineering Specialist</v>
      </c>
      <c r="H1857" t="s">
        <v>12179</v>
      </c>
      <c r="I1857" t="s">
        <v>1357</v>
      </c>
      <c r="J1857" t="s">
        <v>98</v>
      </c>
      <c r="K1857" s="1">
        <v>44102</v>
      </c>
      <c r="L1857" s="1">
        <v>45196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 t="s">
        <v>8900</v>
      </c>
      <c r="U1857" t="str">
        <f>""</f>
        <v/>
      </c>
      <c r="V1857" t="s">
        <v>8901</v>
      </c>
      <c r="W1857" t="str">
        <f>""</f>
        <v/>
      </c>
      <c r="X1857" t="s">
        <v>1018</v>
      </c>
      <c r="Y1857" t="s">
        <v>708</v>
      </c>
      <c r="Z1857" s="3">
        <v>35758</v>
      </c>
      <c r="AA1857" t="s">
        <v>101</v>
      </c>
      <c r="AC1857" s="4" t="str">
        <f>"+12562582100"</f>
        <v>+12562582100</v>
      </c>
      <c r="AE1857" t="str">
        <f>"541330"</f>
        <v>541330</v>
      </c>
      <c r="AF1857" t="s">
        <v>8902</v>
      </c>
      <c r="AG1857" t="s">
        <v>8903</v>
      </c>
      <c r="AI1857" t="s">
        <v>860</v>
      </c>
      <c r="AJ1857" t="s">
        <v>8901</v>
      </c>
      <c r="AK1857" t="str">
        <f>""</f>
        <v/>
      </c>
      <c r="AL1857" t="s">
        <v>1018</v>
      </c>
      <c r="AM1857" t="s">
        <v>708</v>
      </c>
      <c r="AN1857" s="3">
        <v>35758</v>
      </c>
      <c r="AO1857" t="s">
        <v>101</v>
      </c>
      <c r="AQ1857" t="str">
        <f>"+12562582100"</f>
        <v>+12562582100</v>
      </c>
      <c r="AS1857" t="s">
        <v>8904</v>
      </c>
      <c r="AT1857" t="s">
        <v>107</v>
      </c>
      <c r="AU1857" t="str">
        <f>"Wong"</f>
        <v>Wong</v>
      </c>
      <c r="AV1857" t="str">
        <f>"Barbara"</f>
        <v>Barbara</v>
      </c>
      <c r="AW1857" t="str">
        <f>""</f>
        <v/>
      </c>
      <c r="AX1857" t="str">
        <f>"3340 Walnut Avenue"</f>
        <v>3340 Walnut Avenue</v>
      </c>
      <c r="AY1857" t="str">
        <f>"Suite 120"</f>
        <v>Suite 120</v>
      </c>
      <c r="AZ1857" t="str">
        <f>"Fremont"</f>
        <v>Fremont</v>
      </c>
      <c r="BA1857" t="str">
        <f>"CA"</f>
        <v>CA</v>
      </c>
      <c r="BB1857" s="3">
        <v>94538</v>
      </c>
      <c r="BC1857" t="str">
        <f t="shared" ref="BC1857:BC1872" si="151">"UNITED STATES OF AMERICA"</f>
        <v>UNITED STATES OF AMERICA</v>
      </c>
      <c r="BD1857" t="str">
        <f>""</f>
        <v/>
      </c>
      <c r="BE1857" t="str">
        <f>"+14083299184"</f>
        <v>+14083299184</v>
      </c>
      <c r="BF1857" t="str">
        <f>"120"</f>
        <v>120</v>
      </c>
      <c r="BG1857" t="str">
        <f>"ca@swlgpc.com"</f>
        <v>ca@swlgpc.com</v>
      </c>
      <c r="BH1857" t="str">
        <f>"SW Law Group, P.C."</f>
        <v>SW Law Group, P.C.</v>
      </c>
      <c r="BI1857" t="str">
        <f>"NY"</f>
        <v>NY</v>
      </c>
      <c r="BJ1857" t="str">
        <f>"New York State Supreme Court, 1st Department"</f>
        <v>New York State Supreme Court, 1st Department</v>
      </c>
      <c r="BK1857">
        <v>1</v>
      </c>
      <c r="BL1857" t="s">
        <v>102</v>
      </c>
      <c r="BM1857" t="str">
        <f>""</f>
        <v/>
      </c>
      <c r="BN1857" t="s">
        <v>6559</v>
      </c>
      <c r="BO1857" t="s">
        <v>7646</v>
      </c>
      <c r="BP1857" t="s">
        <v>1343</v>
      </c>
      <c r="BQ1857" t="s">
        <v>1344</v>
      </c>
      <c r="BR1857" t="s">
        <v>141</v>
      </c>
      <c r="BS1857" s="5">
        <v>94583</v>
      </c>
      <c r="BT1857" s="2">
        <v>120994</v>
      </c>
      <c r="BU1857" s="2">
        <v>146218.79999999999</v>
      </c>
      <c r="BV1857" t="s">
        <v>105</v>
      </c>
      <c r="BW1857" s="2">
        <v>120994</v>
      </c>
      <c r="BX1857" t="s">
        <v>105</v>
      </c>
      <c r="BZ1857" t="s">
        <v>123</v>
      </c>
      <c r="CA1857" t="str">
        <f t="shared" si="150"/>
        <v>7/1/2020 - 6/30/2021</v>
      </c>
      <c r="CF1857">
        <v>2</v>
      </c>
      <c r="CG1857" t="s">
        <v>98</v>
      </c>
      <c r="CH1857" t="s">
        <v>206</v>
      </c>
      <c r="CI1857" t="s">
        <v>206</v>
      </c>
      <c r="CL1857" t="s">
        <v>108</v>
      </c>
      <c r="CM1857" t="s">
        <v>109</v>
      </c>
      <c r="CN1857" t="str">
        <f>""</f>
        <v/>
      </c>
      <c r="CO1857" t="str">
        <f>""</f>
        <v/>
      </c>
      <c r="CP1857" t="str">
        <f>""</f>
        <v/>
      </c>
      <c r="CQ1857" t="str">
        <f>""</f>
        <v/>
      </c>
    </row>
    <row r="1858" spans="1:96" x14ac:dyDescent="0.2">
      <c r="A1858" t="s">
        <v>8907</v>
      </c>
      <c r="B1858" t="s">
        <v>96</v>
      </c>
      <c r="C1858" s="1">
        <v>44099</v>
      </c>
      <c r="D1858" s="1">
        <v>44106</v>
      </c>
      <c r="F1858" t="s">
        <v>97</v>
      </c>
      <c r="G1858" t="str">
        <f>"Advisory Software Engineer"</f>
        <v>Advisory Software Engineer</v>
      </c>
      <c r="H1858" t="s">
        <v>12169</v>
      </c>
      <c r="I1858" t="s">
        <v>124</v>
      </c>
      <c r="J1858" t="s">
        <v>98</v>
      </c>
      <c r="K1858" s="1">
        <v>44113</v>
      </c>
      <c r="L1858" s="1">
        <v>45207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 t="s">
        <v>8908</v>
      </c>
      <c r="U1858" t="str">
        <f>""</f>
        <v/>
      </c>
      <c r="V1858" t="s">
        <v>4003</v>
      </c>
      <c r="W1858" t="str">
        <f>""</f>
        <v/>
      </c>
      <c r="X1858" t="s">
        <v>1113</v>
      </c>
      <c r="Y1858" t="s">
        <v>122</v>
      </c>
      <c r="Z1858" s="3">
        <v>27709</v>
      </c>
      <c r="AA1858" t="s">
        <v>101</v>
      </c>
      <c r="AC1858" s="4" t="str">
        <f>"+19192540292"</f>
        <v>+19192540292</v>
      </c>
      <c r="AE1858" t="str">
        <f>"54151"</f>
        <v>54151</v>
      </c>
      <c r="AF1858" t="s">
        <v>6408</v>
      </c>
      <c r="AG1858" t="s">
        <v>1676</v>
      </c>
      <c r="AI1858" t="s">
        <v>3915</v>
      </c>
      <c r="AJ1858" t="s">
        <v>4003</v>
      </c>
      <c r="AK1858" t="str">
        <f>""</f>
        <v/>
      </c>
      <c r="AL1858" t="s">
        <v>1113</v>
      </c>
      <c r="AM1858" t="s">
        <v>122</v>
      </c>
      <c r="AN1858" s="3">
        <v>27709</v>
      </c>
      <c r="AO1858" t="s">
        <v>101</v>
      </c>
      <c r="AQ1858" t="str">
        <f>"+19192540292"</f>
        <v>+19192540292</v>
      </c>
      <c r="AS1858" t="s">
        <v>8909</v>
      </c>
      <c r="AT1858" t="s">
        <v>107</v>
      </c>
      <c r="AU1858" t="str">
        <f>"Peloquin"</f>
        <v>Peloquin</v>
      </c>
      <c r="AV1858" t="str">
        <f>"Tina"</f>
        <v>Tina</v>
      </c>
      <c r="AW1858" t="str">
        <f>""</f>
        <v/>
      </c>
      <c r="AX1858" t="str">
        <f>"1400 Broadway "</f>
        <v xml:space="preserve">1400 Broadway </v>
      </c>
      <c r="AY1858" t="str">
        <f>""</f>
        <v/>
      </c>
      <c r="AZ1858" t="str">
        <f>"New York"</f>
        <v>New York</v>
      </c>
      <c r="BA1858" t="str">
        <f>"NY"</f>
        <v>NY</v>
      </c>
      <c r="BB1858" s="3">
        <v>10018</v>
      </c>
      <c r="BC1858" t="str">
        <f t="shared" si="151"/>
        <v>UNITED STATES OF AMERICA</v>
      </c>
      <c r="BD1858" t="str">
        <f>""</f>
        <v/>
      </c>
      <c r="BE1858" t="str">
        <f>"+12126888555"</f>
        <v>+12126888555</v>
      </c>
      <c r="BF1858" t="str">
        <f>""</f>
        <v/>
      </c>
      <c r="BG1858" t="str">
        <f>"tpeloquin@fragomen.com"</f>
        <v>tpeloquin@fragomen.com</v>
      </c>
      <c r="BH1858" t="str">
        <f>"Fragomen, Del Rey, Bernsen &amp; Loewy, LLP"</f>
        <v>Fragomen, Del Rey, Bernsen &amp; Loewy, LLP</v>
      </c>
      <c r="BI1858" t="str">
        <f>"NY"</f>
        <v>NY</v>
      </c>
      <c r="BJ1858" t="str">
        <f>"Court of Appeals"</f>
        <v>Court of Appeals</v>
      </c>
      <c r="BK1858">
        <v>1</v>
      </c>
      <c r="BL1858" t="s">
        <v>102</v>
      </c>
      <c r="BM1858" t="str">
        <f>""</f>
        <v/>
      </c>
      <c r="BN1858" t="s">
        <v>8910</v>
      </c>
      <c r="BP1858" t="s">
        <v>585</v>
      </c>
      <c r="BQ1858" t="s">
        <v>230</v>
      </c>
      <c r="BR1858" t="s">
        <v>141</v>
      </c>
      <c r="BS1858" s="5">
        <v>95141</v>
      </c>
      <c r="BT1858" s="2">
        <v>165799.20000000001</v>
      </c>
      <c r="BU1858" s="2">
        <v>165799.21</v>
      </c>
      <c r="BV1858" t="s">
        <v>105</v>
      </c>
      <c r="BW1858" s="2">
        <v>120578</v>
      </c>
      <c r="BX1858" t="s">
        <v>105</v>
      </c>
      <c r="BZ1858" t="s">
        <v>167</v>
      </c>
      <c r="CA1858" t="str">
        <f t="shared" si="150"/>
        <v>7/1/2020 - 6/30/2021</v>
      </c>
      <c r="CF1858">
        <v>3</v>
      </c>
      <c r="CG1858" t="s">
        <v>98</v>
      </c>
      <c r="CH1858" t="s">
        <v>206</v>
      </c>
      <c r="CI1858" t="s">
        <v>206</v>
      </c>
      <c r="CL1858" t="s">
        <v>108</v>
      </c>
      <c r="CM1858" t="s">
        <v>109</v>
      </c>
      <c r="CN1858" t="str">
        <f>"Peloquin"</f>
        <v>Peloquin</v>
      </c>
      <c r="CO1858" t="str">
        <f>"Tina"</f>
        <v>Tina</v>
      </c>
      <c r="CP1858" t="str">
        <f>""</f>
        <v/>
      </c>
      <c r="CQ1858" t="str">
        <f>"Fragomen, Del Rey, Bernsen &amp; Loewy, LLP"</f>
        <v>Fragomen, Del Rey, Bernsen &amp; Loewy, LLP</v>
      </c>
      <c r="CR1858" t="s">
        <v>8911</v>
      </c>
    </row>
    <row r="1859" spans="1:96" x14ac:dyDescent="0.2">
      <c r="A1859" t="s">
        <v>8978</v>
      </c>
      <c r="B1859" t="s">
        <v>96</v>
      </c>
      <c r="C1859" s="1">
        <v>44099</v>
      </c>
      <c r="D1859" s="1">
        <v>44106</v>
      </c>
      <c r="F1859" t="s">
        <v>97</v>
      </c>
      <c r="G1859" t="str">
        <f>"Senior Solutions Engineer"</f>
        <v>Senior Solutions Engineer</v>
      </c>
      <c r="H1859" t="s">
        <v>12169</v>
      </c>
      <c r="I1859" t="s">
        <v>124</v>
      </c>
      <c r="J1859" t="s">
        <v>98</v>
      </c>
      <c r="K1859" s="1">
        <v>44113</v>
      </c>
      <c r="L1859" s="1">
        <v>45207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 t="s">
        <v>250</v>
      </c>
      <c r="U1859" t="str">
        <f>""</f>
        <v/>
      </c>
      <c r="V1859" t="s">
        <v>251</v>
      </c>
      <c r="W1859" t="str">
        <f>"FLR 1"</f>
        <v>FLR 1</v>
      </c>
      <c r="X1859" t="s">
        <v>140</v>
      </c>
      <c r="Y1859" t="s">
        <v>141</v>
      </c>
      <c r="Z1859" s="3">
        <v>94105</v>
      </c>
      <c r="AA1859" t="s">
        <v>101</v>
      </c>
      <c r="AC1859" s="4" t="str">
        <f>"+14153902337"</f>
        <v>+14153902337</v>
      </c>
      <c r="AD1859">
        <v>0</v>
      </c>
      <c r="AE1859" t="str">
        <f>"541519"</f>
        <v>541519</v>
      </c>
      <c r="AF1859" t="s">
        <v>252</v>
      </c>
      <c r="AG1859" t="s">
        <v>253</v>
      </c>
      <c r="AH1859" t="s">
        <v>108</v>
      </c>
      <c r="AI1859" t="s">
        <v>254</v>
      </c>
      <c r="AJ1859" t="s">
        <v>251</v>
      </c>
      <c r="AK1859" t="str">
        <f>"FLR 3"</f>
        <v>FLR 3</v>
      </c>
      <c r="AL1859" t="s">
        <v>140</v>
      </c>
      <c r="AM1859" t="s">
        <v>141</v>
      </c>
      <c r="AN1859" s="3">
        <v>94105</v>
      </c>
      <c r="AO1859" t="s">
        <v>101</v>
      </c>
      <c r="AQ1859" t="str">
        <f>"+14153902337"</f>
        <v>+14153902337</v>
      </c>
      <c r="AR1859">
        <v>0</v>
      </c>
      <c r="AS1859" t="s">
        <v>255</v>
      </c>
      <c r="AT1859" t="s">
        <v>107</v>
      </c>
      <c r="AU1859" t="str">
        <f>"Early"</f>
        <v>Early</v>
      </c>
      <c r="AV1859" t="str">
        <f>"Alexandra"</f>
        <v>Alexandra</v>
      </c>
      <c r="AW1859" t="str">
        <f>"M."</f>
        <v>M.</v>
      </c>
      <c r="AX1859" t="str">
        <f>"2101 Wilson Blvd."</f>
        <v>2101 Wilson Blvd.</v>
      </c>
      <c r="AY1859" t="str">
        <f>"Suite 1100"</f>
        <v>Suite 1100</v>
      </c>
      <c r="AZ1859" t="str">
        <f>"Arlington"</f>
        <v>Arlington</v>
      </c>
      <c r="BA1859" t="str">
        <f>"VA"</f>
        <v>VA</v>
      </c>
      <c r="BB1859" s="3">
        <v>22201</v>
      </c>
      <c r="BC1859" t="str">
        <f t="shared" si="151"/>
        <v>UNITED STATES OF AMERICA</v>
      </c>
      <c r="BD1859" t="str">
        <f>""</f>
        <v/>
      </c>
      <c r="BE1859" t="str">
        <f>"+17036784000"</f>
        <v>+17036784000</v>
      </c>
      <c r="BF1859" t="str">
        <f>""</f>
        <v/>
      </c>
      <c r="BG1859" t="str">
        <f>"alexa@eiglaw.com"</f>
        <v>alexa@eiglaw.com</v>
      </c>
      <c r="BH1859" t="str">
        <f>"Erickson Immigration Group"</f>
        <v>Erickson Immigration Group</v>
      </c>
      <c r="BI1859" t="str">
        <f>"MD"</f>
        <v>MD</v>
      </c>
      <c r="BJ1859" t="str">
        <f>"Court of Appeals"</f>
        <v>Court of Appeals</v>
      </c>
      <c r="BK1859">
        <v>1</v>
      </c>
      <c r="BL1859" t="s">
        <v>102</v>
      </c>
      <c r="BM1859" t="str">
        <f>""</f>
        <v/>
      </c>
      <c r="BN1859" t="s">
        <v>4391</v>
      </c>
      <c r="BO1859" t="s">
        <v>754</v>
      </c>
      <c r="BP1859" t="s">
        <v>147</v>
      </c>
      <c r="BQ1859" t="s">
        <v>147</v>
      </c>
      <c r="BR1859" t="s">
        <v>141</v>
      </c>
      <c r="BS1859" s="5">
        <v>94105</v>
      </c>
      <c r="BT1859" s="2">
        <v>136000</v>
      </c>
      <c r="BV1859" t="s">
        <v>105</v>
      </c>
      <c r="BW1859" s="2">
        <v>120931</v>
      </c>
      <c r="BX1859" t="s">
        <v>105</v>
      </c>
      <c r="BZ1859" t="s">
        <v>167</v>
      </c>
      <c r="CA1859" t="str">
        <f t="shared" si="150"/>
        <v>7/1/2020 - 6/30/2021</v>
      </c>
      <c r="CF1859">
        <v>2</v>
      </c>
      <c r="CG1859" t="s">
        <v>98</v>
      </c>
      <c r="CH1859" t="s">
        <v>206</v>
      </c>
      <c r="CI1859" t="s">
        <v>206</v>
      </c>
      <c r="CL1859" t="s">
        <v>108</v>
      </c>
      <c r="CM1859" t="s">
        <v>109</v>
      </c>
      <c r="CN1859" t="str">
        <f>"Lukwani"</f>
        <v>Lukwani</v>
      </c>
      <c r="CO1859" t="str">
        <f>"Tracy"</f>
        <v>Tracy</v>
      </c>
      <c r="CP1859" t="str">
        <f>""</f>
        <v/>
      </c>
      <c r="CQ1859" t="str">
        <f>"Erickson Immigration Group"</f>
        <v>Erickson Immigration Group</v>
      </c>
      <c r="CR1859" t="s">
        <v>5356</v>
      </c>
    </row>
    <row r="1860" spans="1:96" x14ac:dyDescent="0.2">
      <c r="A1860" t="s">
        <v>9032</v>
      </c>
      <c r="B1860" t="s">
        <v>96</v>
      </c>
      <c r="C1860" s="1">
        <v>44099</v>
      </c>
      <c r="D1860" s="1">
        <v>44106</v>
      </c>
      <c r="F1860" t="s">
        <v>97</v>
      </c>
      <c r="G1860" t="str">
        <f>"Staff Innovation Engineer"</f>
        <v>Staff Innovation Engineer</v>
      </c>
      <c r="H1860" t="s">
        <v>12176</v>
      </c>
      <c r="I1860" t="s">
        <v>246</v>
      </c>
      <c r="J1860" t="s">
        <v>98</v>
      </c>
      <c r="K1860" s="1">
        <v>44282</v>
      </c>
      <c r="L1860" s="1">
        <v>45377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 t="s">
        <v>5897</v>
      </c>
      <c r="U1860" t="str">
        <f>""</f>
        <v/>
      </c>
      <c r="V1860" t="s">
        <v>5898</v>
      </c>
      <c r="W1860" t="str">
        <f>""</f>
        <v/>
      </c>
      <c r="X1860" t="s">
        <v>229</v>
      </c>
      <c r="Y1860" t="s">
        <v>141</v>
      </c>
      <c r="Z1860" s="3">
        <v>94085</v>
      </c>
      <c r="AA1860" t="s">
        <v>101</v>
      </c>
      <c r="AC1860" s="4" t="str">
        <f>"+16698005000"</f>
        <v>+16698005000</v>
      </c>
      <c r="AE1860" t="str">
        <f>"541511"</f>
        <v>541511</v>
      </c>
      <c r="AF1860" t="s">
        <v>5899</v>
      </c>
      <c r="AG1860" t="s">
        <v>3070</v>
      </c>
      <c r="AI1860" t="s">
        <v>5900</v>
      </c>
      <c r="AJ1860" t="s">
        <v>5898</v>
      </c>
      <c r="AK1860" t="str">
        <f>""</f>
        <v/>
      </c>
      <c r="AL1860" t="s">
        <v>229</v>
      </c>
      <c r="AM1860" t="s">
        <v>141</v>
      </c>
      <c r="AN1860" s="3">
        <v>94085</v>
      </c>
      <c r="AO1860" t="s">
        <v>101</v>
      </c>
      <c r="AQ1860" t="str">
        <f>"+16698005000"</f>
        <v>+16698005000</v>
      </c>
      <c r="AS1860" t="s">
        <v>5901</v>
      </c>
      <c r="AT1860" t="s">
        <v>107</v>
      </c>
      <c r="AU1860" t="str">
        <f>"Lin"</f>
        <v>Lin</v>
      </c>
      <c r="AV1860" t="str">
        <f>"Gloria"</f>
        <v>Gloria</v>
      </c>
      <c r="AW1860" t="str">
        <f>"K."</f>
        <v>K.</v>
      </c>
      <c r="AX1860" t="str">
        <f>"3590 North First Street"</f>
        <v>3590 North First Street</v>
      </c>
      <c r="AY1860" t="str">
        <f>"Suite 310"</f>
        <v>Suite 310</v>
      </c>
      <c r="AZ1860" t="str">
        <f>"San Jose"</f>
        <v>San Jose</v>
      </c>
      <c r="BA1860" t="str">
        <f>"CA"</f>
        <v>CA</v>
      </c>
      <c r="BB1860" s="3">
        <v>95134</v>
      </c>
      <c r="BC1860" t="str">
        <f t="shared" si="151"/>
        <v>UNITED STATES OF AMERICA</v>
      </c>
      <c r="BD1860" t="str">
        <f>""</f>
        <v/>
      </c>
      <c r="BE1860" t="str">
        <f>"+14084329200"</f>
        <v>+14084329200</v>
      </c>
      <c r="BF1860" t="str">
        <f>""</f>
        <v/>
      </c>
      <c r="BG1860" t="str">
        <f>"olivia@immigrationlawgroup.net"</f>
        <v>olivia@immigrationlawgroup.net</v>
      </c>
      <c r="BH1860" t="str">
        <f>"Immigration Law Group LLP"</f>
        <v>Immigration Law Group LLP</v>
      </c>
      <c r="BI1860" t="str">
        <f>"CA"</f>
        <v>CA</v>
      </c>
      <c r="BJ1860" t="str">
        <f>"Supreme Court of California"</f>
        <v>Supreme Court of California</v>
      </c>
      <c r="BK1860">
        <v>1</v>
      </c>
      <c r="BL1860" t="s">
        <v>102</v>
      </c>
      <c r="BM1860" t="str">
        <f>""</f>
        <v/>
      </c>
      <c r="BN1860" t="s">
        <v>5898</v>
      </c>
      <c r="BP1860" t="s">
        <v>229</v>
      </c>
      <c r="BQ1860" t="s">
        <v>230</v>
      </c>
      <c r="BR1860" t="s">
        <v>141</v>
      </c>
      <c r="BS1860" s="5">
        <v>94085</v>
      </c>
      <c r="BT1860" s="2">
        <v>145725</v>
      </c>
      <c r="BU1860" s="2">
        <v>170872</v>
      </c>
      <c r="BV1860" t="s">
        <v>105</v>
      </c>
      <c r="BW1860" s="2">
        <v>145725</v>
      </c>
      <c r="BX1860" t="s">
        <v>105</v>
      </c>
      <c r="BZ1860" t="s">
        <v>123</v>
      </c>
      <c r="CA1860" t="str">
        <f t="shared" si="150"/>
        <v>7/1/2020 - 6/30/2021</v>
      </c>
      <c r="CF1860">
        <v>2</v>
      </c>
      <c r="CG1860" t="s">
        <v>98</v>
      </c>
      <c r="CH1860" t="s">
        <v>206</v>
      </c>
      <c r="CI1860" t="s">
        <v>206</v>
      </c>
      <c r="CL1860" t="s">
        <v>108</v>
      </c>
      <c r="CM1860" t="s">
        <v>109</v>
      </c>
      <c r="CN1860" t="str">
        <f>"Jang"</f>
        <v>Jang</v>
      </c>
      <c r="CO1860" t="str">
        <f>"Olivia"</f>
        <v>Olivia</v>
      </c>
      <c r="CP1860" t="str">
        <f>"P"</f>
        <v>P</v>
      </c>
      <c r="CQ1860" t="str">
        <f>"Immigration Law Group LLP"</f>
        <v>Immigration Law Group LLP</v>
      </c>
      <c r="CR1860" t="s">
        <v>5175</v>
      </c>
    </row>
    <row r="1861" spans="1:96" x14ac:dyDescent="0.2">
      <c r="A1861" t="s">
        <v>9038</v>
      </c>
      <c r="B1861" t="s">
        <v>96</v>
      </c>
      <c r="C1861" s="1">
        <v>44099</v>
      </c>
      <c r="D1861" s="1">
        <v>44106</v>
      </c>
      <c r="F1861" t="s">
        <v>97</v>
      </c>
      <c r="G1861" t="str">
        <f>"Director of CFD Applications "</f>
        <v xml:space="preserve">Director of CFD Applications </v>
      </c>
      <c r="H1861" t="s">
        <v>12258</v>
      </c>
      <c r="I1861" t="s">
        <v>863</v>
      </c>
      <c r="J1861" t="s">
        <v>98</v>
      </c>
      <c r="K1861" s="1">
        <v>44252</v>
      </c>
      <c r="L1861" s="1">
        <v>45336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 t="s">
        <v>9039</v>
      </c>
      <c r="U1861" t="str">
        <f>""</f>
        <v/>
      </c>
      <c r="V1861" t="s">
        <v>9040</v>
      </c>
      <c r="W1861" t="str">
        <f>"Suite #325"</f>
        <v>Suite #325</v>
      </c>
      <c r="X1861" t="s">
        <v>394</v>
      </c>
      <c r="Y1861" t="s">
        <v>114</v>
      </c>
      <c r="Z1861" s="3">
        <v>77084</v>
      </c>
      <c r="AA1861" t="s">
        <v>101</v>
      </c>
      <c r="AC1861" s="4" t="str">
        <f>"+18323010881"</f>
        <v>+18323010881</v>
      </c>
      <c r="AE1861" t="str">
        <f>"511210"</f>
        <v>511210</v>
      </c>
      <c r="AF1861" t="s">
        <v>9041</v>
      </c>
      <c r="AG1861" t="s">
        <v>9042</v>
      </c>
      <c r="AI1861" t="s">
        <v>9043</v>
      </c>
      <c r="AJ1861" t="s">
        <v>9044</v>
      </c>
      <c r="AK1861" t="str">
        <f>"Suite #325"</f>
        <v>Suite #325</v>
      </c>
      <c r="AL1861" t="s">
        <v>394</v>
      </c>
      <c r="AM1861" t="s">
        <v>114</v>
      </c>
      <c r="AN1861" s="3">
        <v>77084</v>
      </c>
      <c r="AO1861" t="s">
        <v>101</v>
      </c>
      <c r="AQ1861" t="str">
        <f>"+18323010881"</f>
        <v>+18323010881</v>
      </c>
      <c r="AS1861" t="s">
        <v>9045</v>
      </c>
      <c r="AT1861" t="s">
        <v>107</v>
      </c>
      <c r="AU1861" t="str">
        <f>"XU"</f>
        <v>XU</v>
      </c>
      <c r="AV1861" t="str">
        <f>"JANE"</f>
        <v>JANE</v>
      </c>
      <c r="AW1861" t="str">
        <f>"ZHONG"</f>
        <v>ZHONG</v>
      </c>
      <c r="AX1861" t="str">
        <f>"9999 Bellaire Blvd., Suite 920"</f>
        <v>9999 Bellaire Blvd., Suite 920</v>
      </c>
      <c r="AY1861" t="str">
        <f>""</f>
        <v/>
      </c>
      <c r="AZ1861" t="str">
        <f>"HOUSTON"</f>
        <v>HOUSTON</v>
      </c>
      <c r="BA1861" t="str">
        <f>"TX"</f>
        <v>TX</v>
      </c>
      <c r="BB1861" s="3">
        <v>77036</v>
      </c>
      <c r="BC1861" t="str">
        <f t="shared" si="151"/>
        <v>UNITED STATES OF AMERICA</v>
      </c>
      <c r="BD1861" t="str">
        <f>""</f>
        <v/>
      </c>
      <c r="BE1861" t="str">
        <f>"+17137718433"</f>
        <v>+17137718433</v>
      </c>
      <c r="BF1861" t="str">
        <f>""</f>
        <v/>
      </c>
      <c r="BG1861" t="str">
        <f>"JXU@HOOYOU.COM"</f>
        <v>JXU@HOOYOU.COM</v>
      </c>
      <c r="BH1861" t="str">
        <f>"Zhang &amp; Associates, P.C."</f>
        <v>Zhang &amp; Associates, P.C.</v>
      </c>
      <c r="BI1861" t="str">
        <f>"NY"</f>
        <v>NY</v>
      </c>
      <c r="BJ1861" t="str">
        <f>"NY"</f>
        <v>NY</v>
      </c>
      <c r="BK1861">
        <v>1</v>
      </c>
      <c r="BL1861" t="s">
        <v>102</v>
      </c>
      <c r="BM1861" t="str">
        <f>""</f>
        <v/>
      </c>
      <c r="BN1861" t="s">
        <v>9044</v>
      </c>
      <c r="BO1861" t="s">
        <v>9046</v>
      </c>
      <c r="BP1861" t="s">
        <v>394</v>
      </c>
      <c r="BQ1861" t="s">
        <v>395</v>
      </c>
      <c r="BR1861" t="s">
        <v>114</v>
      </c>
      <c r="BS1861" s="5">
        <v>77084</v>
      </c>
      <c r="BT1861" s="2">
        <v>120000</v>
      </c>
      <c r="BV1861" t="s">
        <v>105</v>
      </c>
      <c r="BW1861" s="2">
        <v>106933</v>
      </c>
      <c r="BX1861" t="s">
        <v>105</v>
      </c>
      <c r="BZ1861" t="s">
        <v>123</v>
      </c>
      <c r="CA1861" t="str">
        <f t="shared" si="150"/>
        <v>7/1/2020 - 6/30/2021</v>
      </c>
      <c r="CF1861">
        <v>1</v>
      </c>
      <c r="CG1861" t="s">
        <v>98</v>
      </c>
      <c r="CH1861" t="s">
        <v>206</v>
      </c>
      <c r="CI1861" t="s">
        <v>206</v>
      </c>
      <c r="CL1861" t="s">
        <v>108</v>
      </c>
      <c r="CM1861" t="s">
        <v>109</v>
      </c>
      <c r="CN1861" t="str">
        <f>""</f>
        <v/>
      </c>
      <c r="CO1861" t="str">
        <f>""</f>
        <v/>
      </c>
      <c r="CP1861" t="str">
        <f>""</f>
        <v/>
      </c>
      <c r="CQ1861" t="str">
        <f>""</f>
        <v/>
      </c>
    </row>
    <row r="1862" spans="1:96" x14ac:dyDescent="0.2">
      <c r="A1862" t="s">
        <v>9047</v>
      </c>
      <c r="B1862" t="s">
        <v>96</v>
      </c>
      <c r="C1862" s="1">
        <v>44099</v>
      </c>
      <c r="D1862" s="1">
        <v>44106</v>
      </c>
      <c r="F1862" t="s">
        <v>97</v>
      </c>
      <c r="G1862" t="str">
        <f>"Senior Engineer - Software Engineering"</f>
        <v>Senior Engineer - Software Engineering</v>
      </c>
      <c r="H1862" t="s">
        <v>12169</v>
      </c>
      <c r="I1862" t="s">
        <v>124</v>
      </c>
      <c r="J1862" t="s">
        <v>98</v>
      </c>
      <c r="K1862" s="1">
        <v>44109</v>
      </c>
      <c r="L1862" s="1">
        <v>45203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 t="s">
        <v>8053</v>
      </c>
      <c r="U1862" t="str">
        <f>""</f>
        <v/>
      </c>
      <c r="V1862" t="s">
        <v>8054</v>
      </c>
      <c r="W1862" t="str">
        <f>""</f>
        <v/>
      </c>
      <c r="X1862" t="s">
        <v>133</v>
      </c>
      <c r="Y1862" t="s">
        <v>135</v>
      </c>
      <c r="Z1862" s="3">
        <v>20190</v>
      </c>
      <c r="AA1862" t="s">
        <v>101</v>
      </c>
      <c r="AC1862" s="4" t="str">
        <f>"+17039484143"</f>
        <v>+17039484143</v>
      </c>
      <c r="AE1862" t="str">
        <f>"541511"</f>
        <v>541511</v>
      </c>
      <c r="AF1862" t="s">
        <v>8055</v>
      </c>
      <c r="AG1862" t="s">
        <v>1705</v>
      </c>
      <c r="AH1862" t="s">
        <v>1003</v>
      </c>
      <c r="AI1862" t="s">
        <v>1290</v>
      </c>
      <c r="AJ1862" t="s">
        <v>8054</v>
      </c>
      <c r="AK1862" t="str">
        <f>""</f>
        <v/>
      </c>
      <c r="AL1862" t="s">
        <v>133</v>
      </c>
      <c r="AM1862" t="s">
        <v>135</v>
      </c>
      <c r="AN1862" s="3">
        <v>20190</v>
      </c>
      <c r="AO1862" t="s">
        <v>101</v>
      </c>
      <c r="AQ1862" t="str">
        <f>"+17039484143"</f>
        <v>+17039484143</v>
      </c>
      <c r="AS1862" t="s">
        <v>8056</v>
      </c>
      <c r="AT1862" t="s">
        <v>107</v>
      </c>
      <c r="AU1862" t="str">
        <f>"Vazquez-Azpiri"</f>
        <v>Vazquez-Azpiri</v>
      </c>
      <c r="AV1862" t="str">
        <f>"A. James"</f>
        <v>A. James</v>
      </c>
      <c r="AW1862" t="str">
        <f>""</f>
        <v/>
      </c>
      <c r="AX1862" t="str">
        <f>"One Market Spear St Tower"</f>
        <v>One Market Spear St Tower</v>
      </c>
      <c r="AY1862" t="str">
        <f>"5th Floor"</f>
        <v>5th Floor</v>
      </c>
      <c r="AZ1862" t="str">
        <f>"San Francisco"</f>
        <v>San Francisco</v>
      </c>
      <c r="BA1862" t="str">
        <f>"CA"</f>
        <v>CA</v>
      </c>
      <c r="BB1862" s="3">
        <v>94105</v>
      </c>
      <c r="BC1862" t="str">
        <f t="shared" si="151"/>
        <v>UNITED STATES OF AMERICA</v>
      </c>
      <c r="BD1862" t="str">
        <f>""</f>
        <v/>
      </c>
      <c r="BE1862" t="str">
        <f>"+14154421000"</f>
        <v>+14154421000</v>
      </c>
      <c r="BF1862" t="str">
        <f>""</f>
        <v/>
      </c>
      <c r="BG1862" t="str">
        <f>"verisignteam@morganlewis.com"</f>
        <v>verisignteam@morganlewis.com</v>
      </c>
      <c r="BH1862" t="str">
        <f>"Morgan, Lewis &amp; Bockius LLP"</f>
        <v>Morgan, Lewis &amp; Bockius LLP</v>
      </c>
      <c r="BI1862" t="str">
        <f>"CA"</f>
        <v>CA</v>
      </c>
      <c r="BJ1862" t="str">
        <f>"CA Supreme Court"</f>
        <v>CA Supreme Court</v>
      </c>
      <c r="BK1862">
        <v>1</v>
      </c>
      <c r="BL1862" t="s">
        <v>102</v>
      </c>
      <c r="BM1862" t="str">
        <f>""</f>
        <v/>
      </c>
      <c r="BN1862" t="s">
        <v>8054</v>
      </c>
      <c r="BP1862" t="s">
        <v>133</v>
      </c>
      <c r="BQ1862" t="s">
        <v>454</v>
      </c>
      <c r="BR1862" t="s">
        <v>135</v>
      </c>
      <c r="BS1862" s="5">
        <v>20190</v>
      </c>
      <c r="BT1862" s="2">
        <v>143936</v>
      </c>
      <c r="BU1862" s="2">
        <v>162000</v>
      </c>
      <c r="BV1862" t="s">
        <v>105</v>
      </c>
      <c r="BW1862" s="2">
        <v>138819</v>
      </c>
      <c r="BX1862" t="s">
        <v>105</v>
      </c>
      <c r="BZ1862" t="s">
        <v>159</v>
      </c>
      <c r="CA1862" t="str">
        <f t="shared" si="150"/>
        <v>7/1/2020 - 6/30/2021</v>
      </c>
      <c r="CF1862">
        <v>2</v>
      </c>
      <c r="CG1862" t="s">
        <v>98</v>
      </c>
      <c r="CH1862" t="s">
        <v>206</v>
      </c>
      <c r="CI1862" t="s">
        <v>206</v>
      </c>
      <c r="CL1862" t="s">
        <v>108</v>
      </c>
      <c r="CM1862" t="s">
        <v>109</v>
      </c>
      <c r="CN1862" t="str">
        <f>"Su"</f>
        <v>Su</v>
      </c>
      <c r="CO1862" t="str">
        <f>"Tiffany"</f>
        <v>Tiffany</v>
      </c>
      <c r="CP1862" t="str">
        <f>"C"</f>
        <v>C</v>
      </c>
      <c r="CQ1862" t="str">
        <f>"Morgan, Lewis &amp; Bockius LLP"</f>
        <v>Morgan, Lewis &amp; Bockius LLP</v>
      </c>
      <c r="CR1862" t="s">
        <v>2689</v>
      </c>
    </row>
    <row r="1863" spans="1:96" x14ac:dyDescent="0.2">
      <c r="A1863" t="s">
        <v>9064</v>
      </c>
      <c r="B1863" t="s">
        <v>96</v>
      </c>
      <c r="C1863" s="1">
        <v>44099</v>
      </c>
      <c r="D1863" s="1">
        <v>44106</v>
      </c>
      <c r="F1863" t="s">
        <v>97</v>
      </c>
      <c r="G1863" t="str">
        <f>"Attorney"</f>
        <v>Attorney</v>
      </c>
      <c r="H1863" t="s">
        <v>12221</v>
      </c>
      <c r="I1863" t="s">
        <v>566</v>
      </c>
      <c r="J1863" t="s">
        <v>98</v>
      </c>
      <c r="K1863" s="1">
        <v>44105</v>
      </c>
      <c r="L1863" s="1">
        <v>45199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9065</v>
      </c>
      <c r="U1863" t="str">
        <f>""</f>
        <v/>
      </c>
      <c r="V1863" t="s">
        <v>9066</v>
      </c>
      <c r="W1863" t="str">
        <f>""</f>
        <v/>
      </c>
      <c r="X1863" t="s">
        <v>189</v>
      </c>
      <c r="Y1863" t="s">
        <v>190</v>
      </c>
      <c r="Z1863" s="3">
        <v>10019</v>
      </c>
      <c r="AA1863" t="s">
        <v>101</v>
      </c>
      <c r="AC1863" s="4" t="str">
        <f>"+12127288000"</f>
        <v>+12127288000</v>
      </c>
      <c r="AE1863" t="str">
        <f>"541110"</f>
        <v>541110</v>
      </c>
      <c r="AF1863" t="s">
        <v>9067</v>
      </c>
      <c r="AG1863" t="s">
        <v>8846</v>
      </c>
      <c r="AH1863" t="s">
        <v>108</v>
      </c>
      <c r="AI1863" t="s">
        <v>9068</v>
      </c>
      <c r="AJ1863" t="s">
        <v>9066</v>
      </c>
      <c r="AK1863" t="str">
        <f>""</f>
        <v/>
      </c>
      <c r="AL1863" t="s">
        <v>189</v>
      </c>
      <c r="AM1863" t="s">
        <v>190</v>
      </c>
      <c r="AN1863" s="3">
        <v>10019</v>
      </c>
      <c r="AO1863" t="s">
        <v>101</v>
      </c>
      <c r="AQ1863" t="str">
        <f>"+12127288000"</f>
        <v>+12127288000</v>
      </c>
      <c r="AS1863" t="s">
        <v>9069</v>
      </c>
      <c r="AT1863" t="s">
        <v>107</v>
      </c>
      <c r="AU1863" t="str">
        <f>"MANCHANDA"</f>
        <v>MANCHANDA</v>
      </c>
      <c r="AV1863" t="str">
        <f>"NINA"</f>
        <v>NINA</v>
      </c>
      <c r="AW1863" t="str">
        <f>"N/A"</f>
        <v>N/A</v>
      </c>
      <c r="AX1863" t="str">
        <f>"5 Penn Plaza"</f>
        <v>5 Penn Plaza</v>
      </c>
      <c r="AY1863" t="str">
        <f>"23rd Floor"</f>
        <v>23rd Floor</v>
      </c>
      <c r="AZ1863" t="str">
        <f>"NEW YORK"</f>
        <v>NEW YORK</v>
      </c>
      <c r="BA1863" t="str">
        <f>"NY"</f>
        <v>NY</v>
      </c>
      <c r="BB1863" s="3">
        <v>10001</v>
      </c>
      <c r="BC1863" t="str">
        <f t="shared" si="151"/>
        <v>UNITED STATES OF AMERICA</v>
      </c>
      <c r="BD1863" t="str">
        <f>""</f>
        <v/>
      </c>
      <c r="BE1863" t="str">
        <f>"+12126891100"</f>
        <v>+12126891100</v>
      </c>
      <c r="BF1863" t="str">
        <f>""</f>
        <v/>
      </c>
      <c r="BG1863" t="str">
        <f>"nmanchanda@smarksassociates.com"</f>
        <v>nmanchanda@smarksassociates.com</v>
      </c>
      <c r="BH1863" t="str">
        <f>"STEPHANIE MARKS &amp; ASSOCIATES, LLC"</f>
        <v>STEPHANIE MARKS &amp; ASSOCIATES, LLC</v>
      </c>
      <c r="BI1863" t="str">
        <f>"NY"</f>
        <v>NY</v>
      </c>
      <c r="BJ1863" t="str">
        <f>"SUPREME COURT"</f>
        <v>SUPREME COURT</v>
      </c>
      <c r="BK1863">
        <v>1</v>
      </c>
      <c r="BL1863" t="s">
        <v>102</v>
      </c>
      <c r="BM1863" t="str">
        <f>""</f>
        <v/>
      </c>
      <c r="BN1863" t="s">
        <v>2622</v>
      </c>
      <c r="BP1863" t="s">
        <v>277</v>
      </c>
      <c r="BQ1863" t="s">
        <v>189</v>
      </c>
      <c r="BR1863" t="s">
        <v>190</v>
      </c>
      <c r="BS1863" s="5">
        <v>10019</v>
      </c>
      <c r="BT1863" s="2">
        <v>190000</v>
      </c>
      <c r="BV1863" t="s">
        <v>105</v>
      </c>
      <c r="BW1863" s="2">
        <v>128606</v>
      </c>
      <c r="BX1863" t="s">
        <v>105</v>
      </c>
      <c r="BZ1863" t="s">
        <v>167</v>
      </c>
      <c r="CA1863" t="str">
        <f t="shared" si="150"/>
        <v>7/1/2020 - 6/30/2021</v>
      </c>
      <c r="CF1863">
        <v>1</v>
      </c>
      <c r="CG1863" t="s">
        <v>98</v>
      </c>
      <c r="CH1863" t="s">
        <v>206</v>
      </c>
      <c r="CI1863" t="s">
        <v>206</v>
      </c>
      <c r="CL1863" t="s">
        <v>108</v>
      </c>
      <c r="CM1863" t="s">
        <v>109</v>
      </c>
      <c r="CN1863" t="str">
        <f>""</f>
        <v/>
      </c>
      <c r="CO1863" t="str">
        <f>""</f>
        <v/>
      </c>
      <c r="CP1863" t="str">
        <f>""</f>
        <v/>
      </c>
      <c r="CQ1863" t="str">
        <f>""</f>
        <v/>
      </c>
    </row>
    <row r="1864" spans="1:96" x14ac:dyDescent="0.2">
      <c r="A1864" t="s">
        <v>9084</v>
      </c>
      <c r="B1864" t="s">
        <v>96</v>
      </c>
      <c r="C1864" s="1">
        <v>44099</v>
      </c>
      <c r="D1864" s="1">
        <v>44106</v>
      </c>
      <c r="F1864" t="s">
        <v>97</v>
      </c>
      <c r="G1864" t="str">
        <f>"Business Valuation Associate"</f>
        <v>Business Valuation Associate</v>
      </c>
      <c r="H1864" t="s">
        <v>12213</v>
      </c>
      <c r="I1864" t="s">
        <v>493</v>
      </c>
      <c r="J1864" t="s">
        <v>98</v>
      </c>
      <c r="K1864" s="1">
        <v>44274</v>
      </c>
      <c r="L1864" s="1">
        <v>45369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 t="s">
        <v>9085</v>
      </c>
      <c r="U1864" t="str">
        <f>""</f>
        <v/>
      </c>
      <c r="V1864" t="s">
        <v>9086</v>
      </c>
      <c r="W1864" t="str">
        <f>"Ste. 400"</f>
        <v>Ste. 400</v>
      </c>
      <c r="X1864" t="s">
        <v>4831</v>
      </c>
      <c r="Y1864" t="s">
        <v>265</v>
      </c>
      <c r="Z1864" s="3">
        <v>48067</v>
      </c>
      <c r="AA1864" t="s">
        <v>101</v>
      </c>
      <c r="AC1864" s="4" t="str">
        <f>"+12484321203"</f>
        <v>+12484321203</v>
      </c>
      <c r="AE1864" t="str">
        <f>"54169"</f>
        <v>54169</v>
      </c>
      <c r="AF1864" t="s">
        <v>9087</v>
      </c>
      <c r="AG1864" t="s">
        <v>2551</v>
      </c>
      <c r="AH1864" t="s">
        <v>1126</v>
      </c>
      <c r="AI1864" t="s">
        <v>3791</v>
      </c>
      <c r="AJ1864" t="s">
        <v>9086</v>
      </c>
      <c r="AK1864" t="str">
        <f>"Ste. 400"</f>
        <v>Ste. 400</v>
      </c>
      <c r="AL1864" t="s">
        <v>4831</v>
      </c>
      <c r="AM1864" t="s">
        <v>265</v>
      </c>
      <c r="AN1864" s="3">
        <v>48067</v>
      </c>
      <c r="AO1864" t="s">
        <v>101</v>
      </c>
      <c r="AQ1864" t="str">
        <f>"+12484321203"</f>
        <v>+12484321203</v>
      </c>
      <c r="AS1864" t="s">
        <v>9088</v>
      </c>
      <c r="AT1864" t="s">
        <v>107</v>
      </c>
      <c r="AU1864" t="str">
        <f>"Nowlan"</f>
        <v>Nowlan</v>
      </c>
      <c r="AV1864" t="str">
        <f>"Michael"</f>
        <v>Michael</v>
      </c>
      <c r="AW1864" t="str">
        <f>"P."</f>
        <v>P.</v>
      </c>
      <c r="AX1864" t="str">
        <f>"500 Woodward Avenue"</f>
        <v>500 Woodward Avenue</v>
      </c>
      <c r="AY1864" t="str">
        <f>"Ste. 3500"</f>
        <v>Ste. 3500</v>
      </c>
      <c r="AZ1864" t="str">
        <f>"Detroit"</f>
        <v>Detroit</v>
      </c>
      <c r="BA1864" t="str">
        <f>"MI"</f>
        <v>MI</v>
      </c>
      <c r="BB1864" s="3">
        <v>48226</v>
      </c>
      <c r="BC1864" t="str">
        <f t="shared" si="151"/>
        <v>UNITED STATES OF AMERICA</v>
      </c>
      <c r="BD1864" t="str">
        <f>""</f>
        <v/>
      </c>
      <c r="BE1864" t="str">
        <f>"+13139658666"</f>
        <v>+13139658666</v>
      </c>
      <c r="BF1864" t="str">
        <f>""</f>
        <v/>
      </c>
      <c r="BG1864" t="str">
        <f>"MNowlan@ClarkHill.com"</f>
        <v>MNowlan@ClarkHill.com</v>
      </c>
      <c r="BH1864" t="str">
        <f>"Clark Hill PLC"</f>
        <v>Clark Hill PLC</v>
      </c>
      <c r="BI1864" t="str">
        <f>"MI"</f>
        <v>MI</v>
      </c>
      <c r="BJ1864" t="str">
        <f>"Supreme Court"</f>
        <v>Supreme Court</v>
      </c>
      <c r="BK1864">
        <v>1</v>
      </c>
      <c r="BL1864" t="s">
        <v>102</v>
      </c>
      <c r="BM1864" t="str">
        <f>""</f>
        <v/>
      </c>
      <c r="BN1864" t="s">
        <v>9089</v>
      </c>
      <c r="BO1864" t="s">
        <v>1923</v>
      </c>
      <c r="BP1864" t="s">
        <v>213</v>
      </c>
      <c r="BQ1864" t="s">
        <v>214</v>
      </c>
      <c r="BR1864" t="s">
        <v>215</v>
      </c>
      <c r="BS1864" s="5">
        <v>30309</v>
      </c>
      <c r="BT1864" s="2">
        <v>75000</v>
      </c>
      <c r="BU1864" s="2">
        <v>85000</v>
      </c>
      <c r="BV1864" t="s">
        <v>105</v>
      </c>
      <c r="BW1864" s="2">
        <v>70803</v>
      </c>
      <c r="BX1864" t="s">
        <v>105</v>
      </c>
      <c r="BZ1864" t="s">
        <v>167</v>
      </c>
      <c r="CA1864" t="str">
        <f t="shared" si="150"/>
        <v>7/1/2020 - 6/30/2021</v>
      </c>
      <c r="CF1864">
        <v>1</v>
      </c>
      <c r="CG1864" t="s">
        <v>98</v>
      </c>
      <c r="CH1864" t="s">
        <v>206</v>
      </c>
      <c r="CI1864" t="s">
        <v>206</v>
      </c>
      <c r="CL1864" t="s">
        <v>108</v>
      </c>
      <c r="CM1864" t="s">
        <v>353</v>
      </c>
      <c r="CN1864" t="str">
        <f>"Nowlan"</f>
        <v>Nowlan</v>
      </c>
      <c r="CO1864" t="str">
        <f>"Michael"</f>
        <v>Michael</v>
      </c>
      <c r="CP1864" t="str">
        <f>"P."</f>
        <v>P.</v>
      </c>
      <c r="CQ1864" t="str">
        <f>"Clark Hill PLC"</f>
        <v>Clark Hill PLC</v>
      </c>
      <c r="CR1864" t="s">
        <v>6679</v>
      </c>
    </row>
    <row r="1865" spans="1:96" x14ac:dyDescent="0.2">
      <c r="A1865" t="s">
        <v>9091</v>
      </c>
      <c r="B1865" t="s">
        <v>96</v>
      </c>
      <c r="C1865" s="1">
        <v>44099</v>
      </c>
      <c r="D1865" s="1">
        <v>44106</v>
      </c>
      <c r="F1865" t="s">
        <v>97</v>
      </c>
      <c r="G1865" t="str">
        <f>"SOFTWARE DEVELOPER"</f>
        <v>SOFTWARE DEVELOPER</v>
      </c>
      <c r="H1865" t="s">
        <v>12176</v>
      </c>
      <c r="I1865" t="s">
        <v>246</v>
      </c>
      <c r="J1865" t="s">
        <v>98</v>
      </c>
      <c r="K1865" s="1">
        <v>44256</v>
      </c>
      <c r="L1865" s="1">
        <v>45350</v>
      </c>
      <c r="M1865">
        <v>20</v>
      </c>
      <c r="N1865">
        <v>4</v>
      </c>
      <c r="O1865">
        <v>4</v>
      </c>
      <c r="P1865">
        <v>4</v>
      </c>
      <c r="Q1865">
        <v>0</v>
      </c>
      <c r="R1865">
        <v>4</v>
      </c>
      <c r="S1865">
        <v>4</v>
      </c>
      <c r="T1865" t="s">
        <v>2172</v>
      </c>
      <c r="U1865" t="str">
        <f>""</f>
        <v/>
      </c>
      <c r="V1865" t="s">
        <v>2176</v>
      </c>
      <c r="W1865" t="str">
        <f>""</f>
        <v/>
      </c>
      <c r="X1865" t="s">
        <v>2177</v>
      </c>
      <c r="Y1865" t="s">
        <v>141</v>
      </c>
      <c r="Z1865" s="3">
        <v>94065</v>
      </c>
      <c r="AA1865" t="s">
        <v>101</v>
      </c>
      <c r="AC1865" s="4" t="str">
        <f>"+16505067000"</f>
        <v>+16505067000</v>
      </c>
      <c r="AE1865" t="str">
        <f>"511210"</f>
        <v>511210</v>
      </c>
      <c r="AF1865" t="s">
        <v>2173</v>
      </c>
      <c r="AG1865" t="s">
        <v>2174</v>
      </c>
      <c r="AI1865" t="s">
        <v>2175</v>
      </c>
      <c r="AJ1865" t="s">
        <v>2176</v>
      </c>
      <c r="AK1865" t="str">
        <f>""</f>
        <v/>
      </c>
      <c r="AL1865" t="s">
        <v>2177</v>
      </c>
      <c r="AM1865" t="s">
        <v>141</v>
      </c>
      <c r="AN1865" s="3">
        <v>94065</v>
      </c>
      <c r="AO1865" t="s">
        <v>101</v>
      </c>
      <c r="AQ1865" t="str">
        <f>"+16505067000"</f>
        <v>+16505067000</v>
      </c>
      <c r="AS1865" t="s">
        <v>2178</v>
      </c>
      <c r="AT1865" t="s">
        <v>107</v>
      </c>
      <c r="AU1865" t="str">
        <f>"Oye"</f>
        <v>Oye</v>
      </c>
      <c r="AV1865" t="str">
        <f>"Ronald"</f>
        <v>Ronald</v>
      </c>
      <c r="AW1865" t="str">
        <f>""</f>
        <v/>
      </c>
      <c r="AX1865" t="str">
        <f>"100 Pringle Avenue"</f>
        <v>100 Pringle Avenue</v>
      </c>
      <c r="AY1865" t="str">
        <f>"Suite 300"</f>
        <v>Suite 300</v>
      </c>
      <c r="AZ1865" t="str">
        <f>"Walnut Creek"</f>
        <v>Walnut Creek</v>
      </c>
      <c r="BA1865" t="str">
        <f>"CA"</f>
        <v>CA</v>
      </c>
      <c r="BB1865" s="3">
        <v>94596</v>
      </c>
      <c r="BC1865" t="str">
        <f t="shared" si="151"/>
        <v>UNITED STATES OF AMERICA</v>
      </c>
      <c r="BD1865" t="str">
        <f>"California"</f>
        <v>California</v>
      </c>
      <c r="BE1865" t="str">
        <f>"+14153981800"</f>
        <v>+14153981800</v>
      </c>
      <c r="BF1865" t="str">
        <f>""</f>
        <v/>
      </c>
      <c r="BG1865" t="str">
        <f>"roye@balglobal.com"</f>
        <v>roye@balglobal.com</v>
      </c>
      <c r="BH1865" t="str">
        <f>"Berry Appleman &amp; Leiden LLP"</f>
        <v>Berry Appleman &amp; Leiden LLP</v>
      </c>
      <c r="BI1865" t="str">
        <f>"CA"</f>
        <v>CA</v>
      </c>
      <c r="BJ1865" t="str">
        <f>"Supreme Court"</f>
        <v>Supreme Court</v>
      </c>
      <c r="BK1865">
        <v>20</v>
      </c>
      <c r="BL1865" t="s">
        <v>102</v>
      </c>
      <c r="BM1865" t="str">
        <f>""</f>
        <v/>
      </c>
      <c r="BN1865" t="s">
        <v>8359</v>
      </c>
      <c r="BP1865" t="s">
        <v>2928</v>
      </c>
      <c r="BQ1865" t="s">
        <v>377</v>
      </c>
      <c r="BR1865" t="s">
        <v>577</v>
      </c>
      <c r="BS1865" s="5">
        <v>32822</v>
      </c>
      <c r="BT1865" s="2">
        <v>121285</v>
      </c>
      <c r="BU1865" s="2">
        <v>189392</v>
      </c>
      <c r="BV1865" t="s">
        <v>105</v>
      </c>
      <c r="BW1865" s="2">
        <v>121285</v>
      </c>
      <c r="BX1865" t="s">
        <v>105</v>
      </c>
      <c r="BZ1865" t="s">
        <v>159</v>
      </c>
      <c r="CA1865" t="str">
        <f t="shared" si="150"/>
        <v>7/1/2020 - 6/30/2021</v>
      </c>
      <c r="CF1865">
        <v>1</v>
      </c>
      <c r="CG1865" t="s">
        <v>98</v>
      </c>
      <c r="CH1865" t="s">
        <v>206</v>
      </c>
      <c r="CI1865" t="s">
        <v>206</v>
      </c>
      <c r="CL1865" t="s">
        <v>108</v>
      </c>
      <c r="CM1865" t="s">
        <v>109</v>
      </c>
      <c r="CN1865" t="str">
        <f>""</f>
        <v/>
      </c>
      <c r="CO1865" t="str">
        <f>""</f>
        <v/>
      </c>
      <c r="CP1865" t="str">
        <f>""</f>
        <v/>
      </c>
      <c r="CQ1865" t="str">
        <f>""</f>
        <v/>
      </c>
    </row>
    <row r="1866" spans="1:96" x14ac:dyDescent="0.2">
      <c r="A1866" t="s">
        <v>9093</v>
      </c>
      <c r="B1866" t="s">
        <v>96</v>
      </c>
      <c r="C1866" s="1">
        <v>44099</v>
      </c>
      <c r="D1866" s="1">
        <v>44106</v>
      </c>
      <c r="F1866" t="s">
        <v>97</v>
      </c>
      <c r="G1866" t="str">
        <f>"Senior Database Administrator"</f>
        <v>Senior Database Administrator</v>
      </c>
      <c r="H1866" t="s">
        <v>12225</v>
      </c>
      <c r="I1866" t="s">
        <v>628</v>
      </c>
      <c r="J1866" t="s">
        <v>98</v>
      </c>
      <c r="K1866" s="1">
        <v>44165</v>
      </c>
      <c r="L1866" s="1">
        <v>45259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 t="s">
        <v>2623</v>
      </c>
      <c r="U1866" t="str">
        <f>""</f>
        <v/>
      </c>
      <c r="V1866" t="s">
        <v>2624</v>
      </c>
      <c r="W1866" t="str">
        <f>""</f>
        <v/>
      </c>
      <c r="X1866" t="s">
        <v>436</v>
      </c>
      <c r="Y1866" t="s">
        <v>171</v>
      </c>
      <c r="Z1866" s="3">
        <v>2142</v>
      </c>
      <c r="AA1866" t="s">
        <v>101</v>
      </c>
      <c r="AC1866" s="4" t="str">
        <f>"+16172747153"</f>
        <v>+16172747153</v>
      </c>
      <c r="AE1866" t="str">
        <f>"541990"</f>
        <v>541990</v>
      </c>
      <c r="AF1866" t="s">
        <v>2625</v>
      </c>
      <c r="AG1866" t="s">
        <v>464</v>
      </c>
      <c r="AH1866" t="s">
        <v>1126</v>
      </c>
      <c r="AI1866" t="s">
        <v>2626</v>
      </c>
      <c r="AJ1866" t="s">
        <v>2624</v>
      </c>
      <c r="AK1866" t="str">
        <f>""</f>
        <v/>
      </c>
      <c r="AL1866" t="s">
        <v>436</v>
      </c>
      <c r="AM1866" t="s">
        <v>171</v>
      </c>
      <c r="AN1866" s="3">
        <v>2142</v>
      </c>
      <c r="AO1866" t="s">
        <v>101</v>
      </c>
      <c r="AQ1866" t="str">
        <f>"+16172747153"</f>
        <v>+16172747153</v>
      </c>
      <c r="AS1866" t="s">
        <v>2627</v>
      </c>
      <c r="AT1866" t="s">
        <v>107</v>
      </c>
      <c r="AU1866" t="str">
        <f>"Montgomery"</f>
        <v>Montgomery</v>
      </c>
      <c r="AV1866" t="str">
        <f>"Mitchell"</f>
        <v>Mitchell</v>
      </c>
      <c r="AW1866" t="str">
        <f>"A."</f>
        <v>A.</v>
      </c>
      <c r="AX1866" t="str">
        <f>"100 High Street"</f>
        <v>100 High Street</v>
      </c>
      <c r="AY1866" t="str">
        <f>"Suite 1300"</f>
        <v>Suite 1300</v>
      </c>
      <c r="AZ1866" t="str">
        <f>"Boston"</f>
        <v>Boston</v>
      </c>
      <c r="BA1866" t="str">
        <f>"MA"</f>
        <v>MA</v>
      </c>
      <c r="BB1866" s="3">
        <v>2110</v>
      </c>
      <c r="BC1866" t="str">
        <f t="shared" si="151"/>
        <v>UNITED STATES OF AMERICA</v>
      </c>
      <c r="BD1866" t="str">
        <f>""</f>
        <v/>
      </c>
      <c r="BE1866" t="str">
        <f>"+16174821775"</f>
        <v>+16174821775</v>
      </c>
      <c r="BF1866" t="str">
        <f>""</f>
        <v/>
      </c>
      <c r="BG1866" t="str">
        <f>"mmontgomery@chincurtis.com"</f>
        <v>mmontgomery@chincurtis.com</v>
      </c>
      <c r="BH1866" t="str">
        <f>"Chin &amp; Curtis, LLP"</f>
        <v>Chin &amp; Curtis, LLP</v>
      </c>
      <c r="BI1866" t="str">
        <f>"NC"</f>
        <v>NC</v>
      </c>
      <c r="BJ1866" t="str">
        <f>"Supreme Court"</f>
        <v>Supreme Court</v>
      </c>
      <c r="BK1866">
        <v>1</v>
      </c>
      <c r="BL1866" t="s">
        <v>102</v>
      </c>
      <c r="BM1866" t="str">
        <f>""</f>
        <v/>
      </c>
      <c r="BN1866" t="s">
        <v>2624</v>
      </c>
      <c r="BP1866" t="s">
        <v>436</v>
      </c>
      <c r="BQ1866" t="s">
        <v>1250</v>
      </c>
      <c r="BR1866" t="s">
        <v>171</v>
      </c>
      <c r="BS1866" s="5">
        <v>2142</v>
      </c>
      <c r="BT1866" s="2">
        <v>133600</v>
      </c>
      <c r="BU1866" s="2">
        <v>160400</v>
      </c>
      <c r="BV1866" t="s">
        <v>105</v>
      </c>
      <c r="BW1866" s="2">
        <v>123947</v>
      </c>
      <c r="BX1866" t="s">
        <v>105</v>
      </c>
      <c r="BZ1866" t="s">
        <v>159</v>
      </c>
      <c r="CA1866" t="str">
        <f t="shared" si="150"/>
        <v>7/1/2020 - 6/30/2021</v>
      </c>
      <c r="CF1866">
        <v>1</v>
      </c>
      <c r="CG1866" t="s">
        <v>98</v>
      </c>
      <c r="CH1866" t="s">
        <v>206</v>
      </c>
      <c r="CI1866" t="s">
        <v>206</v>
      </c>
      <c r="CL1866" t="s">
        <v>108</v>
      </c>
      <c r="CM1866" t="s">
        <v>109</v>
      </c>
      <c r="CN1866" t="str">
        <f>""</f>
        <v/>
      </c>
      <c r="CO1866" t="str">
        <f>""</f>
        <v/>
      </c>
      <c r="CP1866" t="str">
        <f>""</f>
        <v/>
      </c>
      <c r="CQ1866" t="str">
        <f>""</f>
        <v/>
      </c>
    </row>
    <row r="1867" spans="1:96" x14ac:dyDescent="0.2">
      <c r="A1867" t="s">
        <v>9094</v>
      </c>
      <c r="B1867" t="s">
        <v>96</v>
      </c>
      <c r="C1867" s="1">
        <v>44099</v>
      </c>
      <c r="D1867" s="1">
        <v>44106</v>
      </c>
      <c r="F1867" t="s">
        <v>97</v>
      </c>
      <c r="G1867" t="str">
        <f>"Public Relations Specialist "</f>
        <v xml:space="preserve">Public Relations Specialist </v>
      </c>
      <c r="H1867" t="s">
        <v>12262</v>
      </c>
      <c r="I1867" t="s">
        <v>1677</v>
      </c>
      <c r="J1867" t="s">
        <v>98</v>
      </c>
      <c r="K1867" s="1">
        <v>44111</v>
      </c>
      <c r="L1867" s="1">
        <v>45175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 t="s">
        <v>9095</v>
      </c>
      <c r="U1867" t="str">
        <f>"Simplify Valet Storage "</f>
        <v xml:space="preserve">Simplify Valet Storage </v>
      </c>
      <c r="V1867" t="s">
        <v>9096</v>
      </c>
      <c r="W1867" t="str">
        <f>"17th Floor"</f>
        <v>17th Floor</v>
      </c>
      <c r="X1867" t="s">
        <v>277</v>
      </c>
      <c r="Y1867" t="s">
        <v>190</v>
      </c>
      <c r="Z1867" s="3">
        <v>10017</v>
      </c>
      <c r="AA1867" t="s">
        <v>101</v>
      </c>
      <c r="AC1867" s="4" t="str">
        <f>"+18885222330"</f>
        <v>+18885222330</v>
      </c>
      <c r="AE1867" t="str">
        <f>"49319"</f>
        <v>49319</v>
      </c>
      <c r="AF1867" t="s">
        <v>7006</v>
      </c>
      <c r="AG1867" t="s">
        <v>9097</v>
      </c>
      <c r="AI1867" t="s">
        <v>508</v>
      </c>
      <c r="AJ1867" t="s">
        <v>9096</v>
      </c>
      <c r="AK1867" t="str">
        <f>"17th Floor"</f>
        <v>17th Floor</v>
      </c>
      <c r="AL1867" t="s">
        <v>277</v>
      </c>
      <c r="AM1867" t="s">
        <v>190</v>
      </c>
      <c r="AN1867" s="3">
        <v>10017</v>
      </c>
      <c r="AO1867" t="s">
        <v>101</v>
      </c>
      <c r="AQ1867" t="str">
        <f>"+18885222330"</f>
        <v>+18885222330</v>
      </c>
      <c r="AS1867" t="s">
        <v>9098</v>
      </c>
      <c r="AT1867" t="s">
        <v>107</v>
      </c>
      <c r="AU1867" t="str">
        <f>"Maddock"</f>
        <v>Maddock</v>
      </c>
      <c r="AV1867" t="str">
        <f>"Selina"</f>
        <v>Selina</v>
      </c>
      <c r="AW1867" t="str">
        <f>""</f>
        <v/>
      </c>
      <c r="AX1867" t="str">
        <f>"633 3rd Avenue"</f>
        <v>633 3rd Avenue</v>
      </c>
      <c r="AY1867" t="str">
        <f>"17th Floor"</f>
        <v>17th Floor</v>
      </c>
      <c r="AZ1867" t="str">
        <f>"New York"</f>
        <v>New York</v>
      </c>
      <c r="BA1867" t="str">
        <f>"NY"</f>
        <v>NY</v>
      </c>
      <c r="BB1867" s="3">
        <v>10017</v>
      </c>
      <c r="BC1867" t="str">
        <f t="shared" si="151"/>
        <v>UNITED STATES OF AMERICA</v>
      </c>
      <c r="BD1867" t="str">
        <f>""</f>
        <v/>
      </c>
      <c r="BE1867" t="str">
        <f>"+12127501808"</f>
        <v>+12127501808</v>
      </c>
      <c r="BF1867" t="str">
        <f>""</f>
        <v/>
      </c>
      <c r="BG1867" t="str">
        <f>"selinamaddock@gmail.com"</f>
        <v>selinamaddock@gmail.com</v>
      </c>
      <c r="BH1867" t="str">
        <f>"Non Applicable "</f>
        <v xml:space="preserve">Non Applicable </v>
      </c>
      <c r="BI1867" t="str">
        <f>"NY"</f>
        <v>NY</v>
      </c>
      <c r="BJ1867" t="str">
        <f>"Supreme Court"</f>
        <v>Supreme Court</v>
      </c>
      <c r="BK1867">
        <v>1</v>
      </c>
      <c r="BL1867" t="s">
        <v>102</v>
      </c>
      <c r="BM1867" t="str">
        <f>""</f>
        <v/>
      </c>
      <c r="BN1867" t="s">
        <v>9096</v>
      </c>
      <c r="BO1867" t="s">
        <v>9099</v>
      </c>
      <c r="BP1867" t="s">
        <v>277</v>
      </c>
      <c r="BQ1867" t="s">
        <v>189</v>
      </c>
      <c r="BR1867" t="s">
        <v>190</v>
      </c>
      <c r="BS1867" s="5">
        <v>10017</v>
      </c>
      <c r="BT1867" s="2">
        <v>60000</v>
      </c>
      <c r="BV1867" t="s">
        <v>105</v>
      </c>
      <c r="BW1867" s="2">
        <v>45157</v>
      </c>
      <c r="BX1867" t="s">
        <v>105</v>
      </c>
      <c r="BZ1867" t="s">
        <v>191</v>
      </c>
      <c r="CA1867" t="str">
        <f t="shared" si="150"/>
        <v>7/1/2020 - 6/30/2021</v>
      </c>
      <c r="CF1867">
        <v>1</v>
      </c>
      <c r="CG1867" t="s">
        <v>98</v>
      </c>
      <c r="CH1867" t="s">
        <v>206</v>
      </c>
      <c r="CI1867" t="s">
        <v>206</v>
      </c>
      <c r="CL1867" t="s">
        <v>108</v>
      </c>
      <c r="CM1867" t="s">
        <v>109</v>
      </c>
      <c r="CN1867" t="str">
        <f>""</f>
        <v/>
      </c>
      <c r="CO1867" t="str">
        <f>""</f>
        <v/>
      </c>
      <c r="CP1867" t="str">
        <f>""</f>
        <v/>
      </c>
      <c r="CQ1867" t="str">
        <f>""</f>
        <v/>
      </c>
    </row>
    <row r="1868" spans="1:96" x14ac:dyDescent="0.2">
      <c r="A1868" t="s">
        <v>9109</v>
      </c>
      <c r="B1868" t="s">
        <v>96</v>
      </c>
      <c r="C1868" s="1">
        <v>44099</v>
      </c>
      <c r="D1868" s="1">
        <v>44106</v>
      </c>
      <c r="F1868" t="s">
        <v>97</v>
      </c>
      <c r="G1868" t="str">
        <f>"Software Developer"</f>
        <v>Software Developer</v>
      </c>
      <c r="H1868" t="s">
        <v>12169</v>
      </c>
      <c r="I1868" t="s">
        <v>124</v>
      </c>
      <c r="J1868" t="s">
        <v>98</v>
      </c>
      <c r="K1868" s="1">
        <v>44106</v>
      </c>
      <c r="L1868" s="1">
        <v>44450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 t="s">
        <v>8995</v>
      </c>
      <c r="U1868" t="str">
        <f>""</f>
        <v/>
      </c>
      <c r="V1868" t="s">
        <v>8180</v>
      </c>
      <c r="W1868" t="str">
        <f>"Suite 245"</f>
        <v>Suite 245</v>
      </c>
      <c r="X1868" t="s">
        <v>103</v>
      </c>
      <c r="Y1868" t="s">
        <v>100</v>
      </c>
      <c r="Z1868" s="3">
        <v>8854</v>
      </c>
      <c r="AA1868" t="s">
        <v>101</v>
      </c>
      <c r="AC1868" s="4" t="str">
        <f>"+17323772077"</f>
        <v>+17323772077</v>
      </c>
      <c r="AE1868" t="str">
        <f>"541519"</f>
        <v>541519</v>
      </c>
      <c r="AF1868" t="s">
        <v>8996</v>
      </c>
      <c r="AG1868" t="s">
        <v>8997</v>
      </c>
      <c r="AI1868" t="s">
        <v>508</v>
      </c>
      <c r="AJ1868" t="s">
        <v>8180</v>
      </c>
      <c r="AK1868" t="str">
        <f>"Suite 245"</f>
        <v>Suite 245</v>
      </c>
      <c r="AL1868" t="s">
        <v>103</v>
      </c>
      <c r="AM1868" t="s">
        <v>100</v>
      </c>
      <c r="AN1868" s="3">
        <v>8854</v>
      </c>
      <c r="AO1868" t="s">
        <v>101</v>
      </c>
      <c r="AQ1868" t="str">
        <f>"+17323772077"</f>
        <v>+17323772077</v>
      </c>
      <c r="AS1868" t="s">
        <v>8998</v>
      </c>
      <c r="AT1868" t="s">
        <v>107</v>
      </c>
      <c r="AU1868" t="str">
        <f>"Wang"</f>
        <v>Wang</v>
      </c>
      <c r="AV1868" t="str">
        <f>"Weicheng"</f>
        <v>Weicheng</v>
      </c>
      <c r="AW1868" t="str">
        <f>""</f>
        <v/>
      </c>
      <c r="AX1868" t="str">
        <f>"197 Route 18"</f>
        <v>197 Route 18</v>
      </c>
      <c r="AY1868" t="str">
        <f>"Suite 309"</f>
        <v>Suite 309</v>
      </c>
      <c r="AZ1868" t="str">
        <f>"East Brunswick"</f>
        <v>East Brunswick</v>
      </c>
      <c r="BA1868" t="str">
        <f>"NJ"</f>
        <v>NJ</v>
      </c>
      <c r="BB1868" s="3">
        <v>8816</v>
      </c>
      <c r="BC1868" t="str">
        <f t="shared" si="151"/>
        <v>UNITED STATES OF AMERICA</v>
      </c>
      <c r="BD1868" t="str">
        <f>""</f>
        <v/>
      </c>
      <c r="BE1868" t="str">
        <f>"+17324188865"</f>
        <v>+17324188865</v>
      </c>
      <c r="BF1868" t="str">
        <f>""</f>
        <v/>
      </c>
      <c r="BG1868" t="str">
        <f>"wangwesq@aol.com"</f>
        <v>wangwesq@aol.com</v>
      </c>
      <c r="BH1868" t="str">
        <f>"Law Offices of Weicheng Wang"</f>
        <v>Law Offices of Weicheng Wang</v>
      </c>
      <c r="BI1868" t="str">
        <f>"NJ"</f>
        <v>NJ</v>
      </c>
      <c r="BJ1868" t="str">
        <f>"Supreme Court of New Jersey"</f>
        <v>Supreme Court of New Jersey</v>
      </c>
      <c r="BK1868">
        <v>1</v>
      </c>
      <c r="BL1868" t="s">
        <v>107</v>
      </c>
      <c r="BM1868" t="str">
        <f>"Alameda County Information Technology Department"</f>
        <v>Alameda County Information Technology Department</v>
      </c>
      <c r="BN1868" t="s">
        <v>9110</v>
      </c>
      <c r="BP1868" t="s">
        <v>2742</v>
      </c>
      <c r="BQ1868" t="s">
        <v>419</v>
      </c>
      <c r="BR1868" t="s">
        <v>141</v>
      </c>
      <c r="BS1868" s="5">
        <v>94612</v>
      </c>
      <c r="BT1868" s="2">
        <v>58.15</v>
      </c>
      <c r="BU1868" s="2">
        <v>60</v>
      </c>
      <c r="BV1868" t="s">
        <v>210</v>
      </c>
      <c r="BW1868" s="2">
        <v>58.14</v>
      </c>
      <c r="BX1868" t="s">
        <v>210</v>
      </c>
      <c r="BZ1868" t="s">
        <v>167</v>
      </c>
      <c r="CA1868" t="str">
        <f t="shared" si="150"/>
        <v>7/1/2020 - 6/30/2021</v>
      </c>
      <c r="CF1868">
        <v>2</v>
      </c>
      <c r="CG1868" t="s">
        <v>98</v>
      </c>
      <c r="CH1868" t="s">
        <v>206</v>
      </c>
      <c r="CI1868" t="s">
        <v>206</v>
      </c>
      <c r="CL1868" t="s">
        <v>108</v>
      </c>
      <c r="CM1868" t="s">
        <v>109</v>
      </c>
      <c r="CN1868" t="str">
        <f>""</f>
        <v/>
      </c>
      <c r="CO1868" t="str">
        <f>""</f>
        <v/>
      </c>
      <c r="CP1868" t="str">
        <f>""</f>
        <v/>
      </c>
      <c r="CQ1868" t="str">
        <f>""</f>
        <v/>
      </c>
    </row>
    <row r="1869" spans="1:96" x14ac:dyDescent="0.2">
      <c r="A1869" t="s">
        <v>9149</v>
      </c>
      <c r="B1869" t="s">
        <v>96</v>
      </c>
      <c r="C1869" s="1">
        <v>44099</v>
      </c>
      <c r="D1869" s="1">
        <v>44106</v>
      </c>
      <c r="F1869" t="s">
        <v>97</v>
      </c>
      <c r="G1869" t="str">
        <f>"SENIOR NETWORK ENGINEER"</f>
        <v>SENIOR NETWORK ENGINEER</v>
      </c>
      <c r="H1869" t="s">
        <v>12183</v>
      </c>
      <c r="I1869" t="s">
        <v>2335</v>
      </c>
      <c r="J1869" t="s">
        <v>98</v>
      </c>
      <c r="K1869" s="1">
        <v>44102</v>
      </c>
      <c r="L1869" s="1">
        <v>45196</v>
      </c>
      <c r="M1869">
        <v>10</v>
      </c>
      <c r="N1869">
        <v>2</v>
      </c>
      <c r="O1869">
        <v>2</v>
      </c>
      <c r="P1869">
        <v>2</v>
      </c>
      <c r="Q1869">
        <v>0</v>
      </c>
      <c r="R1869">
        <v>2</v>
      </c>
      <c r="S1869">
        <v>2</v>
      </c>
      <c r="T1869" t="s">
        <v>2068</v>
      </c>
      <c r="U1869" t="str">
        <f>""</f>
        <v/>
      </c>
      <c r="V1869" t="s">
        <v>2069</v>
      </c>
      <c r="W1869" t="str">
        <f>""</f>
        <v/>
      </c>
      <c r="X1869" t="s">
        <v>1025</v>
      </c>
      <c r="Y1869" t="s">
        <v>577</v>
      </c>
      <c r="Z1869" s="3">
        <v>33605</v>
      </c>
      <c r="AA1869" t="s">
        <v>101</v>
      </c>
      <c r="AC1869" s="4" t="str">
        <f>"+18135525000"</f>
        <v>+18135525000</v>
      </c>
      <c r="AE1869" t="str">
        <f>"5416"</f>
        <v>5416</v>
      </c>
      <c r="AF1869" t="s">
        <v>2070</v>
      </c>
      <c r="AG1869" t="s">
        <v>2071</v>
      </c>
      <c r="AI1869" t="s">
        <v>497</v>
      </c>
      <c r="AJ1869" t="s">
        <v>2072</v>
      </c>
      <c r="AK1869" t="str">
        <f>""</f>
        <v/>
      </c>
      <c r="AL1869" t="s">
        <v>1025</v>
      </c>
      <c r="AM1869" t="s">
        <v>577</v>
      </c>
      <c r="AN1869" s="3">
        <v>33605</v>
      </c>
      <c r="AO1869" t="s">
        <v>101</v>
      </c>
      <c r="AQ1869" t="str">
        <f>"+18135525000"</f>
        <v>+18135525000</v>
      </c>
      <c r="AS1869" t="s">
        <v>2073</v>
      </c>
      <c r="AT1869" t="s">
        <v>107</v>
      </c>
      <c r="AU1869" t="str">
        <f>"WHITE "</f>
        <v xml:space="preserve">WHITE </v>
      </c>
      <c r="AV1869" t="str">
        <f>"ROBERT"</f>
        <v>ROBERT</v>
      </c>
      <c r="AW1869" t="str">
        <f>"SAMUEL"</f>
        <v>SAMUEL</v>
      </c>
      <c r="AX1869" t="str">
        <f>"200 N MARTINGALE ROAD"</f>
        <v>200 N MARTINGALE ROAD</v>
      </c>
      <c r="AY1869" t="str">
        <f>"SUITE 800"</f>
        <v>SUITE 800</v>
      </c>
      <c r="AZ1869" t="str">
        <f>"SCHAUMBURG"</f>
        <v>SCHAUMBURG</v>
      </c>
      <c r="BA1869" t="str">
        <f>"IL"</f>
        <v>IL</v>
      </c>
      <c r="BB1869" s="3">
        <v>60173</v>
      </c>
      <c r="BC1869" t="str">
        <f t="shared" si="151"/>
        <v>UNITED STATES OF AMERICA</v>
      </c>
      <c r="BD1869" t="str">
        <f>""</f>
        <v/>
      </c>
      <c r="BE1869" t="str">
        <f>"+18477348811"</f>
        <v>+18477348811</v>
      </c>
      <c r="BF1869" t="str">
        <f>""</f>
        <v/>
      </c>
      <c r="BG1869" t="str">
        <f>"RWHITE@MASUDAFUNAI.COM"</f>
        <v>RWHITE@MASUDAFUNAI.COM</v>
      </c>
      <c r="BH1869" t="str">
        <f>"Masuda Funai Eifert &amp; Mitchell, Ltd."</f>
        <v>Masuda Funai Eifert &amp; Mitchell, Ltd.</v>
      </c>
      <c r="BI1869" t="str">
        <f>"IL"</f>
        <v>IL</v>
      </c>
      <c r="BJ1869" t="str">
        <f>"SUPREME COURT"</f>
        <v>SUPREME COURT</v>
      </c>
      <c r="BK1869">
        <v>10</v>
      </c>
      <c r="BL1869" t="s">
        <v>107</v>
      </c>
      <c r="BM1869" t="str">
        <f>"AT&amp;T MOBILITY LLC"</f>
        <v>AT&amp;T MOBILITY LLC</v>
      </c>
      <c r="BN1869" t="s">
        <v>9150</v>
      </c>
      <c r="BP1869" t="s">
        <v>498</v>
      </c>
      <c r="BQ1869" t="s">
        <v>183</v>
      </c>
      <c r="BR1869" t="s">
        <v>176</v>
      </c>
      <c r="BS1869" s="5">
        <v>98052</v>
      </c>
      <c r="BT1869" s="2">
        <v>53.85</v>
      </c>
      <c r="BU1869" s="2">
        <v>70</v>
      </c>
      <c r="BV1869" t="s">
        <v>210</v>
      </c>
      <c r="BW1869" s="2">
        <v>53.85</v>
      </c>
      <c r="BX1869" t="s">
        <v>210</v>
      </c>
      <c r="BZ1869" t="s">
        <v>167</v>
      </c>
      <c r="CA1869" t="str">
        <f t="shared" si="150"/>
        <v>7/1/2020 - 6/30/2021</v>
      </c>
      <c r="CF1869">
        <v>2</v>
      </c>
      <c r="CG1869" t="s">
        <v>98</v>
      </c>
      <c r="CH1869" t="s">
        <v>206</v>
      </c>
      <c r="CI1869" t="s">
        <v>206</v>
      </c>
      <c r="CL1869" t="s">
        <v>108</v>
      </c>
      <c r="CM1869" t="s">
        <v>109</v>
      </c>
      <c r="CN1869" t="str">
        <f>""</f>
        <v/>
      </c>
      <c r="CO1869" t="str">
        <f>""</f>
        <v/>
      </c>
      <c r="CP1869" t="str">
        <f>""</f>
        <v/>
      </c>
      <c r="CQ1869" t="str">
        <f>""</f>
        <v/>
      </c>
    </row>
    <row r="1870" spans="1:96" x14ac:dyDescent="0.2">
      <c r="A1870" t="s">
        <v>9151</v>
      </c>
      <c r="B1870" t="s">
        <v>96</v>
      </c>
      <c r="C1870" s="1">
        <v>44099</v>
      </c>
      <c r="D1870" s="1">
        <v>44106</v>
      </c>
      <c r="F1870" t="s">
        <v>97</v>
      </c>
      <c r="G1870" t="str">
        <f>"Senior Application Integration Engineer"</f>
        <v>Senior Application Integration Engineer</v>
      </c>
      <c r="H1870" t="s">
        <v>12169</v>
      </c>
      <c r="I1870" t="s">
        <v>124</v>
      </c>
      <c r="J1870" t="s">
        <v>98</v>
      </c>
      <c r="K1870" s="1">
        <v>44109</v>
      </c>
      <c r="L1870" s="1">
        <v>45203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 t="s">
        <v>3836</v>
      </c>
      <c r="U1870" t="str">
        <f>""</f>
        <v/>
      </c>
      <c r="V1870" t="s">
        <v>3837</v>
      </c>
      <c r="W1870" t="str">
        <f>"SUITE 200"</f>
        <v>SUITE 200</v>
      </c>
      <c r="X1870" t="s">
        <v>147</v>
      </c>
      <c r="Y1870" t="s">
        <v>141</v>
      </c>
      <c r="Z1870" s="3">
        <v>94105</v>
      </c>
      <c r="AA1870" t="s">
        <v>101</v>
      </c>
      <c r="AC1870" s="4" t="str">
        <f>"+14157674136"</f>
        <v>+14157674136</v>
      </c>
      <c r="AE1870" t="str">
        <f>"522291"</f>
        <v>522291</v>
      </c>
      <c r="AF1870" t="s">
        <v>3478</v>
      </c>
      <c r="AG1870" t="s">
        <v>3838</v>
      </c>
      <c r="AI1870" t="s">
        <v>3839</v>
      </c>
      <c r="AJ1870" t="s">
        <v>3840</v>
      </c>
      <c r="AK1870" t="str">
        <f>"Suite 200"</f>
        <v>Suite 200</v>
      </c>
      <c r="AL1870" t="s">
        <v>147</v>
      </c>
      <c r="AM1870" t="s">
        <v>141</v>
      </c>
      <c r="AN1870" s="3">
        <v>94105</v>
      </c>
      <c r="AO1870" t="s">
        <v>101</v>
      </c>
      <c r="AQ1870" t="str">
        <f>"+14157674136"</f>
        <v>+14157674136</v>
      </c>
      <c r="AS1870" t="s">
        <v>3841</v>
      </c>
      <c r="AT1870" t="s">
        <v>107</v>
      </c>
      <c r="AU1870" t="str">
        <f>"Lee"</f>
        <v>Lee</v>
      </c>
      <c r="AV1870" t="str">
        <f>"Irene"</f>
        <v>Irene</v>
      </c>
      <c r="AW1870" t="str">
        <f>""</f>
        <v/>
      </c>
      <c r="AX1870" t="str">
        <f>"465 California Street"</f>
        <v>465 California Street</v>
      </c>
      <c r="AY1870" t="str">
        <f>"Suite 700"</f>
        <v>Suite 700</v>
      </c>
      <c r="AZ1870" t="str">
        <f>"San Francisco"</f>
        <v>San Francisco</v>
      </c>
      <c r="BA1870" t="str">
        <f>"CA"</f>
        <v>CA</v>
      </c>
      <c r="BB1870" s="3">
        <v>94104</v>
      </c>
      <c r="BC1870" t="str">
        <f t="shared" si="151"/>
        <v>UNITED STATES OF AMERICA</v>
      </c>
      <c r="BD1870" t="str">
        <f>""</f>
        <v/>
      </c>
      <c r="BE1870" t="str">
        <f>"+14157717500"</f>
        <v>+14157717500</v>
      </c>
      <c r="BF1870" t="str">
        <f>""</f>
        <v/>
      </c>
      <c r="BG1870" t="str">
        <f>"lendingclub@pearllawgroup.com"</f>
        <v>lendingclub@pearllawgroup.com</v>
      </c>
      <c r="BH1870" t="str">
        <f>"Pearl Law Group"</f>
        <v>Pearl Law Group</v>
      </c>
      <c r="BI1870" t="str">
        <f>"CA"</f>
        <v>CA</v>
      </c>
      <c r="BJ1870" t="str">
        <f>"California Supreme Court"</f>
        <v>California Supreme Court</v>
      </c>
      <c r="BK1870">
        <v>1</v>
      </c>
      <c r="BL1870" t="s">
        <v>102</v>
      </c>
      <c r="BM1870" t="str">
        <f>""</f>
        <v/>
      </c>
      <c r="BN1870" t="s">
        <v>3842</v>
      </c>
      <c r="BP1870" t="s">
        <v>147</v>
      </c>
      <c r="BQ1870" t="s">
        <v>147</v>
      </c>
      <c r="BR1870" t="s">
        <v>141</v>
      </c>
      <c r="BS1870" s="5">
        <v>94105</v>
      </c>
      <c r="BT1870" s="2">
        <v>145246</v>
      </c>
      <c r="BV1870" t="s">
        <v>105</v>
      </c>
      <c r="BW1870" s="2">
        <v>145246</v>
      </c>
      <c r="BX1870" t="s">
        <v>105</v>
      </c>
      <c r="BZ1870" t="s">
        <v>123</v>
      </c>
      <c r="CA1870" t="str">
        <f t="shared" si="150"/>
        <v>7/1/2020 - 6/30/2021</v>
      </c>
      <c r="CF1870">
        <v>3</v>
      </c>
      <c r="CG1870" t="s">
        <v>98</v>
      </c>
      <c r="CH1870" t="s">
        <v>206</v>
      </c>
      <c r="CI1870" t="s">
        <v>206</v>
      </c>
      <c r="CL1870" t="s">
        <v>108</v>
      </c>
      <c r="CM1870" t="s">
        <v>109</v>
      </c>
      <c r="CN1870" t="str">
        <f>""</f>
        <v/>
      </c>
      <c r="CO1870" t="str">
        <f>""</f>
        <v/>
      </c>
      <c r="CP1870" t="str">
        <f>""</f>
        <v/>
      </c>
      <c r="CQ1870" t="str">
        <f>""</f>
        <v/>
      </c>
    </row>
    <row r="1871" spans="1:96" x14ac:dyDescent="0.2">
      <c r="A1871" t="s">
        <v>9152</v>
      </c>
      <c r="B1871" t="s">
        <v>96</v>
      </c>
      <c r="C1871" s="1">
        <v>44099</v>
      </c>
      <c r="D1871" s="1">
        <v>44106</v>
      </c>
      <c r="F1871" t="s">
        <v>97</v>
      </c>
      <c r="G1871" t="str">
        <f>"Service Delivery Manager"</f>
        <v>Service Delivery Manager</v>
      </c>
      <c r="H1871" t="s">
        <v>12168</v>
      </c>
      <c r="I1871" t="s">
        <v>367</v>
      </c>
      <c r="J1871" t="s">
        <v>98</v>
      </c>
      <c r="K1871" s="1">
        <v>44102</v>
      </c>
      <c r="L1871" s="1">
        <v>45196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 t="s">
        <v>7695</v>
      </c>
      <c r="U1871" t="str">
        <f>"ARTECH INFORMATION SYSTEMS LLC"</f>
        <v>ARTECH INFORMATION SYSTEMS LLC</v>
      </c>
      <c r="V1871" t="s">
        <v>7696</v>
      </c>
      <c r="W1871" t="str">
        <f>"SUITE 2000"</f>
        <v>SUITE 2000</v>
      </c>
      <c r="X1871" t="s">
        <v>7697</v>
      </c>
      <c r="Y1871" t="s">
        <v>100</v>
      </c>
      <c r="Z1871" s="3">
        <v>7960</v>
      </c>
      <c r="AA1871" t="s">
        <v>101</v>
      </c>
      <c r="AC1871" s="4" t="str">
        <f>"+19739982505"</f>
        <v>+19739982505</v>
      </c>
      <c r="AE1871" t="str">
        <f>"541512"</f>
        <v>541512</v>
      </c>
      <c r="AF1871" t="s">
        <v>7698</v>
      </c>
      <c r="AG1871" t="s">
        <v>5573</v>
      </c>
      <c r="AH1871" t="s">
        <v>339</v>
      </c>
      <c r="AI1871" t="s">
        <v>3338</v>
      </c>
      <c r="AJ1871" t="s">
        <v>7696</v>
      </c>
      <c r="AK1871" t="str">
        <f>"SUITE 2000"</f>
        <v>SUITE 2000</v>
      </c>
      <c r="AL1871" t="s">
        <v>7697</v>
      </c>
      <c r="AM1871" t="s">
        <v>100</v>
      </c>
      <c r="AN1871" s="3">
        <v>7960</v>
      </c>
      <c r="AO1871" t="s">
        <v>101</v>
      </c>
      <c r="AQ1871" t="str">
        <f>"+19739982505"</f>
        <v>+19739982505</v>
      </c>
      <c r="AS1871" t="s">
        <v>7699</v>
      </c>
      <c r="AT1871" t="s">
        <v>107</v>
      </c>
      <c r="AU1871" t="str">
        <f>"SEADIE"</f>
        <v>SEADIE</v>
      </c>
      <c r="AV1871" t="str">
        <f>"KESHAB"</f>
        <v>KESHAB</v>
      </c>
      <c r="AW1871" t="str">
        <f>"RAJ"</f>
        <v>RAJ</v>
      </c>
      <c r="AX1871" t="str">
        <f>"246 WEST 38TH STREET "</f>
        <v xml:space="preserve">246 WEST 38TH STREET </v>
      </c>
      <c r="AY1871" t="str">
        <f>"8TH FL"</f>
        <v>8TH FL</v>
      </c>
      <c r="AZ1871" t="str">
        <f>"NEW YORK"</f>
        <v>NEW YORK</v>
      </c>
      <c r="BA1871" t="str">
        <f>"NY"</f>
        <v>NY</v>
      </c>
      <c r="BB1871" s="3">
        <v>10018</v>
      </c>
      <c r="BC1871" t="str">
        <f t="shared" si="151"/>
        <v>UNITED STATES OF AMERICA</v>
      </c>
      <c r="BD1871" t="str">
        <f>""</f>
        <v/>
      </c>
      <c r="BE1871" t="str">
        <f>"+12125716002"</f>
        <v>+12125716002</v>
      </c>
      <c r="BF1871" t="str">
        <f>""</f>
        <v/>
      </c>
      <c r="BG1871" t="str">
        <f>"KESHAB@SEADIE.COM"</f>
        <v>KESHAB@SEADIE.COM</v>
      </c>
      <c r="BH1871" t="str">
        <f>"LAW OFFICE OF KESHAB RAJ SEADIE, P.C."</f>
        <v>LAW OFFICE OF KESHAB RAJ SEADIE, P.C.</v>
      </c>
      <c r="BI1871" t="str">
        <f>"NY"</f>
        <v>NY</v>
      </c>
      <c r="BJ1871" t="str">
        <f>"APPELLATE COURT"</f>
        <v>APPELLATE COURT</v>
      </c>
      <c r="BK1871">
        <v>1</v>
      </c>
      <c r="BL1871" t="s">
        <v>102</v>
      </c>
      <c r="BM1871" t="str">
        <f>""</f>
        <v/>
      </c>
      <c r="BN1871" t="s">
        <v>7696</v>
      </c>
      <c r="BO1871" t="s">
        <v>6713</v>
      </c>
      <c r="BP1871" t="s">
        <v>7697</v>
      </c>
      <c r="BQ1871" t="s">
        <v>1029</v>
      </c>
      <c r="BR1871" t="s">
        <v>100</v>
      </c>
      <c r="BS1871" s="5">
        <v>7960</v>
      </c>
      <c r="BT1871" s="2">
        <v>80000</v>
      </c>
      <c r="BV1871" t="s">
        <v>105</v>
      </c>
      <c r="BW1871" s="2">
        <v>67766</v>
      </c>
      <c r="BX1871" t="s">
        <v>105</v>
      </c>
      <c r="BZ1871" t="s">
        <v>167</v>
      </c>
      <c r="CA1871" t="str">
        <f t="shared" si="150"/>
        <v>7/1/2020 - 6/30/2021</v>
      </c>
      <c r="CF1871">
        <v>1</v>
      </c>
      <c r="CG1871" t="s">
        <v>98</v>
      </c>
      <c r="CH1871" t="s">
        <v>206</v>
      </c>
      <c r="CI1871" t="s">
        <v>206</v>
      </c>
      <c r="CL1871" t="s">
        <v>108</v>
      </c>
      <c r="CM1871" t="s">
        <v>109</v>
      </c>
      <c r="CN1871" t="str">
        <f>""</f>
        <v/>
      </c>
      <c r="CO1871" t="str">
        <f>""</f>
        <v/>
      </c>
      <c r="CP1871" t="str">
        <f>""</f>
        <v/>
      </c>
      <c r="CQ1871" t="str">
        <f>""</f>
        <v/>
      </c>
    </row>
    <row r="1872" spans="1:96" x14ac:dyDescent="0.2">
      <c r="A1872" t="s">
        <v>9172</v>
      </c>
      <c r="B1872" t="s">
        <v>96</v>
      </c>
      <c r="C1872" s="1">
        <v>44099</v>
      </c>
      <c r="D1872" s="1">
        <v>44106</v>
      </c>
      <c r="F1872" t="s">
        <v>97</v>
      </c>
      <c r="G1872" t="str">
        <f>"Engineer"</f>
        <v>Engineer</v>
      </c>
      <c r="H1872" t="s">
        <v>12169</v>
      </c>
      <c r="I1872" t="s">
        <v>124</v>
      </c>
      <c r="J1872" t="s">
        <v>98</v>
      </c>
      <c r="K1872" s="1">
        <v>44105</v>
      </c>
      <c r="L1872" s="1">
        <v>45199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1942</v>
      </c>
      <c r="U1872" t="str">
        <f>""</f>
        <v/>
      </c>
      <c r="V1872" t="s">
        <v>3927</v>
      </c>
      <c r="W1872" t="str">
        <f>""</f>
        <v/>
      </c>
      <c r="X1872" t="s">
        <v>394</v>
      </c>
      <c r="Y1872" t="s">
        <v>114</v>
      </c>
      <c r="Z1872" s="3">
        <v>77070</v>
      </c>
      <c r="AA1872" t="s">
        <v>101</v>
      </c>
      <c r="AC1872" s="4" t="str">
        <f>"+14698083039"</f>
        <v>+14698083039</v>
      </c>
      <c r="AE1872" t="str">
        <f>"54151"</f>
        <v>54151</v>
      </c>
      <c r="AF1872" t="s">
        <v>1943</v>
      </c>
      <c r="AG1872" t="s">
        <v>1944</v>
      </c>
      <c r="AI1872" t="s">
        <v>1945</v>
      </c>
      <c r="AJ1872" t="s">
        <v>1946</v>
      </c>
      <c r="AK1872" t="str">
        <f>""</f>
        <v/>
      </c>
      <c r="AL1872" t="s">
        <v>394</v>
      </c>
      <c r="AM1872" t="s">
        <v>114</v>
      </c>
      <c r="AN1872" s="3">
        <v>77070</v>
      </c>
      <c r="AO1872" t="s">
        <v>101</v>
      </c>
      <c r="AQ1872" t="str">
        <f>"+18323623389"</f>
        <v>+18323623389</v>
      </c>
      <c r="AS1872" t="s">
        <v>1947</v>
      </c>
      <c r="AT1872" t="s">
        <v>107</v>
      </c>
      <c r="AU1872" t="str">
        <f>"Espinal"</f>
        <v>Espinal</v>
      </c>
      <c r="AV1872" t="str">
        <f>"Margaret"</f>
        <v>Margaret</v>
      </c>
      <c r="AW1872" t="str">
        <f>""</f>
        <v/>
      </c>
      <c r="AX1872" t="str">
        <f>"2121 Tasman Drive"</f>
        <v>2121 Tasman Drive</v>
      </c>
      <c r="AY1872" t="str">
        <f>""</f>
        <v/>
      </c>
      <c r="AZ1872" t="str">
        <f>"Santa Clara"</f>
        <v>Santa Clara</v>
      </c>
      <c r="BA1872" t="str">
        <f>"CA"</f>
        <v>CA</v>
      </c>
      <c r="BB1872" s="3">
        <v>95054</v>
      </c>
      <c r="BC1872" t="str">
        <f t="shared" si="151"/>
        <v>UNITED STATES OF AMERICA</v>
      </c>
      <c r="BD1872" t="str">
        <f>""</f>
        <v/>
      </c>
      <c r="BE1872" t="str">
        <f>"+14089190600"</f>
        <v>+14089190600</v>
      </c>
      <c r="BF1872" t="str">
        <f>""</f>
        <v/>
      </c>
      <c r="BG1872" t="str">
        <f>"hpe@fragomen.com"</f>
        <v>hpe@fragomen.com</v>
      </c>
      <c r="BH1872" t="str">
        <f>"Fragomen, Del Rey, Bernsen &amp; Loewy, LLP"</f>
        <v>Fragomen, Del Rey, Bernsen &amp; Loewy, LLP</v>
      </c>
      <c r="BI1872" t="str">
        <f>"CA"</f>
        <v>CA</v>
      </c>
      <c r="BJ1872" t="str">
        <f>"Supreme Court of California"</f>
        <v>Supreme Court of California</v>
      </c>
      <c r="BK1872">
        <v>1</v>
      </c>
      <c r="BL1872" t="s">
        <v>102</v>
      </c>
      <c r="BM1872" t="str">
        <f>""</f>
        <v/>
      </c>
      <c r="BN1872" t="s">
        <v>9173</v>
      </c>
      <c r="BP1872" t="s">
        <v>2433</v>
      </c>
      <c r="BQ1872" t="s">
        <v>309</v>
      </c>
      <c r="BR1872" t="s">
        <v>171</v>
      </c>
      <c r="BS1872" s="5">
        <v>1810</v>
      </c>
      <c r="BT1872" s="2">
        <v>162000</v>
      </c>
      <c r="BU1872" s="2">
        <v>168964.64</v>
      </c>
      <c r="BV1872" t="s">
        <v>105</v>
      </c>
      <c r="BW1872" s="2">
        <v>135658</v>
      </c>
      <c r="BX1872" t="s">
        <v>105</v>
      </c>
      <c r="BZ1872" t="s">
        <v>159</v>
      </c>
      <c r="CA1872" t="str">
        <f t="shared" si="150"/>
        <v>7/1/2020 - 6/30/2021</v>
      </c>
      <c r="CF1872">
        <v>2</v>
      </c>
      <c r="CG1872" t="s">
        <v>98</v>
      </c>
      <c r="CH1872" t="s">
        <v>206</v>
      </c>
      <c r="CI1872" t="s">
        <v>206</v>
      </c>
      <c r="CL1872" t="s">
        <v>108</v>
      </c>
      <c r="CM1872" t="s">
        <v>109</v>
      </c>
      <c r="CN1872" t="str">
        <f>"Reyes"</f>
        <v>Reyes</v>
      </c>
      <c r="CO1872" t="str">
        <f>"Rachel"</f>
        <v>Rachel</v>
      </c>
      <c r="CP1872" t="str">
        <f>""</f>
        <v/>
      </c>
      <c r="CQ1872" t="str">
        <f>"Fragomen, Del Rey, Bernsen &amp; Loewy, LLP."</f>
        <v>Fragomen, Del Rey, Bernsen &amp; Loewy, LLP.</v>
      </c>
      <c r="CR1872" t="s">
        <v>1948</v>
      </c>
    </row>
    <row r="1873" spans="1:96" x14ac:dyDescent="0.2">
      <c r="A1873" t="s">
        <v>9174</v>
      </c>
      <c r="B1873" t="s">
        <v>96</v>
      </c>
      <c r="C1873" s="1">
        <v>44099</v>
      </c>
      <c r="D1873" s="1">
        <v>44106</v>
      </c>
      <c r="F1873" t="s">
        <v>97</v>
      </c>
      <c r="G1873" t="str">
        <f>"Software Engineering Manager"</f>
        <v>Software Engineering Manager</v>
      </c>
      <c r="H1873" t="s">
        <v>12169</v>
      </c>
      <c r="I1873" t="s">
        <v>124</v>
      </c>
      <c r="J1873" t="s">
        <v>98</v>
      </c>
      <c r="K1873" s="1">
        <v>44281</v>
      </c>
      <c r="L1873" s="1">
        <v>45376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 t="s">
        <v>173</v>
      </c>
      <c r="U1873" t="str">
        <f>""</f>
        <v/>
      </c>
      <c r="V1873" t="s">
        <v>174</v>
      </c>
      <c r="W1873" t="str">
        <f>"N/A"</f>
        <v>N/A</v>
      </c>
      <c r="X1873" t="s">
        <v>175</v>
      </c>
      <c r="Y1873" t="s">
        <v>176</v>
      </c>
      <c r="Z1873" s="3">
        <v>98052</v>
      </c>
      <c r="AA1873" t="s">
        <v>101</v>
      </c>
      <c r="AC1873" s="4" t="str">
        <f>"+14258828080"</f>
        <v>+14258828080</v>
      </c>
      <c r="AE1873" t="str">
        <f>"51121"</f>
        <v>51121</v>
      </c>
      <c r="AF1873" t="s">
        <v>177</v>
      </c>
      <c r="AG1873" t="s">
        <v>178</v>
      </c>
      <c r="AI1873" t="s">
        <v>179</v>
      </c>
      <c r="AJ1873" t="s">
        <v>174</v>
      </c>
      <c r="AK1873" t="str">
        <f>""</f>
        <v/>
      </c>
      <c r="AL1873" t="s">
        <v>175</v>
      </c>
      <c r="AM1873" t="s">
        <v>176</v>
      </c>
      <c r="AN1873" s="3">
        <v>98052</v>
      </c>
      <c r="AO1873" t="s">
        <v>101</v>
      </c>
      <c r="AQ1873" t="str">
        <f>"+14258828080"</f>
        <v>+14258828080</v>
      </c>
      <c r="AS1873" t="s">
        <v>180</v>
      </c>
      <c r="AT1873" t="s">
        <v>102</v>
      </c>
      <c r="AU1873" t="str">
        <f>""</f>
        <v/>
      </c>
      <c r="AV1873" t="str">
        <f>""</f>
        <v/>
      </c>
      <c r="AW1873" t="str">
        <f>""</f>
        <v/>
      </c>
      <c r="AX1873" t="str">
        <f>""</f>
        <v/>
      </c>
      <c r="AY1873" t="str">
        <f>""</f>
        <v/>
      </c>
      <c r="AZ1873" t="str">
        <f>""</f>
        <v/>
      </c>
      <c r="BA1873" t="str">
        <f>""</f>
        <v/>
      </c>
      <c r="BC1873" t="str">
        <f>""</f>
        <v/>
      </c>
      <c r="BD1873" t="str">
        <f>""</f>
        <v/>
      </c>
      <c r="BE1873" t="str">
        <f>""</f>
        <v/>
      </c>
      <c r="BF1873" t="str">
        <f>""</f>
        <v/>
      </c>
      <c r="BG1873" t="str">
        <f>""</f>
        <v/>
      </c>
      <c r="BH1873" t="str">
        <f>""</f>
        <v/>
      </c>
      <c r="BI1873" t="str">
        <f>""</f>
        <v/>
      </c>
      <c r="BJ1873" t="str">
        <f>""</f>
        <v/>
      </c>
      <c r="BK1873">
        <v>1</v>
      </c>
      <c r="BL1873" t="s">
        <v>102</v>
      </c>
      <c r="BM1873" t="str">
        <f>""</f>
        <v/>
      </c>
      <c r="BN1873" t="s">
        <v>962</v>
      </c>
      <c r="BP1873" t="s">
        <v>175</v>
      </c>
      <c r="BQ1873" t="s">
        <v>183</v>
      </c>
      <c r="BR1873" t="s">
        <v>176</v>
      </c>
      <c r="BS1873" s="5">
        <v>98052</v>
      </c>
      <c r="BT1873" s="2">
        <v>206855</v>
      </c>
      <c r="BV1873" t="s">
        <v>105</v>
      </c>
      <c r="BW1873" s="2">
        <v>155106</v>
      </c>
      <c r="BX1873" t="s">
        <v>105</v>
      </c>
      <c r="BZ1873" t="s">
        <v>159</v>
      </c>
      <c r="CA1873" t="str">
        <f t="shared" si="150"/>
        <v>7/1/2020 - 6/30/2021</v>
      </c>
      <c r="CF1873">
        <v>1</v>
      </c>
      <c r="CG1873" t="s">
        <v>98</v>
      </c>
      <c r="CH1873" t="s">
        <v>206</v>
      </c>
      <c r="CI1873" t="s">
        <v>206</v>
      </c>
      <c r="CL1873" t="s">
        <v>108</v>
      </c>
      <c r="CM1873" t="s">
        <v>109</v>
      </c>
      <c r="CN1873" t="str">
        <f>"Kodishala"</f>
        <v>Kodishala</v>
      </c>
      <c r="CO1873" t="str">
        <f>"Suresh"</f>
        <v>Suresh</v>
      </c>
      <c r="CP1873" t="str">
        <f>"N/A"</f>
        <v>N/A</v>
      </c>
      <c r="CQ1873" t="str">
        <f>"INTEGREON MANAGED SOLUTIONS (INDIA) PVT LTD"</f>
        <v>INTEGREON MANAGED SOLUTIONS (INDIA) PVT LTD</v>
      </c>
      <c r="CR1873" t="s">
        <v>231</v>
      </c>
    </row>
    <row r="1874" spans="1:96" x14ac:dyDescent="0.2">
      <c r="A1874" t="s">
        <v>9181</v>
      </c>
      <c r="B1874" t="s">
        <v>96</v>
      </c>
      <c r="C1874" s="1">
        <v>44099</v>
      </c>
      <c r="D1874" s="1">
        <v>44106</v>
      </c>
      <c r="F1874" t="s">
        <v>97</v>
      </c>
      <c r="G1874" t="str">
        <f>"Corporate Data Analyst"</f>
        <v>Corporate Data Analyst</v>
      </c>
      <c r="H1874" t="s">
        <v>12168</v>
      </c>
      <c r="I1874" t="s">
        <v>722</v>
      </c>
      <c r="J1874" t="s">
        <v>98</v>
      </c>
      <c r="K1874" s="1">
        <v>44105</v>
      </c>
      <c r="L1874" s="1">
        <v>45199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 t="s">
        <v>7163</v>
      </c>
      <c r="U1874" t="str">
        <f>""</f>
        <v/>
      </c>
      <c r="V1874" t="s">
        <v>7164</v>
      </c>
      <c r="W1874" t="str">
        <f>""</f>
        <v/>
      </c>
      <c r="X1874" t="s">
        <v>679</v>
      </c>
      <c r="Y1874" t="s">
        <v>122</v>
      </c>
      <c r="Z1874" s="3">
        <v>27215</v>
      </c>
      <c r="AA1874" t="s">
        <v>101</v>
      </c>
      <c r="AC1874" s="4" t="str">
        <f>"+19842452447"</f>
        <v>+19842452447</v>
      </c>
      <c r="AE1874" t="str">
        <f>"621511"</f>
        <v>621511</v>
      </c>
      <c r="AF1874" t="s">
        <v>2578</v>
      </c>
      <c r="AG1874" t="s">
        <v>2579</v>
      </c>
      <c r="AI1874" t="s">
        <v>2580</v>
      </c>
      <c r="AJ1874" t="s">
        <v>2581</v>
      </c>
      <c r="AK1874" t="str">
        <f>""</f>
        <v/>
      </c>
      <c r="AL1874" t="s">
        <v>1113</v>
      </c>
      <c r="AM1874" t="s">
        <v>122</v>
      </c>
      <c r="AN1874" s="3">
        <v>27709</v>
      </c>
      <c r="AO1874" t="s">
        <v>101</v>
      </c>
      <c r="AQ1874" t="str">
        <f>"+19842452447"</f>
        <v>+19842452447</v>
      </c>
      <c r="AS1874" t="s">
        <v>7165</v>
      </c>
      <c r="AT1874" t="s">
        <v>107</v>
      </c>
      <c r="AU1874" t="str">
        <f>"Rubin"</f>
        <v>Rubin</v>
      </c>
      <c r="AV1874" t="str">
        <f>"Todd"</f>
        <v>Todd</v>
      </c>
      <c r="AW1874" t="str">
        <f>"March"</f>
        <v>March</v>
      </c>
      <c r="AX1874" t="str">
        <f>"301 Fayetteville Street"</f>
        <v>301 Fayetteville Street</v>
      </c>
      <c r="AY1874" t="str">
        <f>"#1400"</f>
        <v>#1400</v>
      </c>
      <c r="AZ1874" t="str">
        <f>"Raleigh"</f>
        <v>Raleigh</v>
      </c>
      <c r="BA1874" t="str">
        <f>"NC"</f>
        <v>NC</v>
      </c>
      <c r="BB1874" s="3">
        <v>27601</v>
      </c>
      <c r="BC1874" t="str">
        <f>"UNITED STATES OF AMERICA"</f>
        <v>UNITED STATES OF AMERICA</v>
      </c>
      <c r="BD1874" t="str">
        <f>""</f>
        <v/>
      </c>
      <c r="BE1874" t="str">
        <f>"+19198354632"</f>
        <v>+19198354632</v>
      </c>
      <c r="BF1874" t="str">
        <f>""</f>
        <v/>
      </c>
      <c r="BG1874" t="str">
        <f>"joyedwards@parkerpoe.com"</f>
        <v>joyedwards@parkerpoe.com</v>
      </c>
      <c r="BH1874" t="str">
        <f>"Parker Poe Adams and Bernstein"</f>
        <v>Parker Poe Adams and Bernstein</v>
      </c>
      <c r="BI1874" t="str">
        <f>"NC"</f>
        <v>NC</v>
      </c>
      <c r="BJ1874" t="str">
        <f>"Supreme Court"</f>
        <v>Supreme Court</v>
      </c>
      <c r="BK1874">
        <v>1</v>
      </c>
      <c r="BL1874" t="s">
        <v>102</v>
      </c>
      <c r="BM1874" t="str">
        <f>""</f>
        <v/>
      </c>
      <c r="BN1874" t="s">
        <v>9182</v>
      </c>
      <c r="BP1874" t="s">
        <v>2854</v>
      </c>
      <c r="BQ1874" t="s">
        <v>1067</v>
      </c>
      <c r="BR1874" t="s">
        <v>122</v>
      </c>
      <c r="BS1874" s="5">
        <v>27519</v>
      </c>
      <c r="BT1874" s="2">
        <v>120000.19</v>
      </c>
      <c r="BU1874" s="2">
        <v>132000.21</v>
      </c>
      <c r="BV1874" t="s">
        <v>105</v>
      </c>
      <c r="BW1874" s="2">
        <v>108638</v>
      </c>
      <c r="BX1874" t="s">
        <v>105</v>
      </c>
      <c r="BZ1874" t="s">
        <v>159</v>
      </c>
      <c r="CA1874" t="str">
        <f t="shared" si="150"/>
        <v>7/1/2020 - 6/30/2021</v>
      </c>
      <c r="CF1874">
        <v>3</v>
      </c>
      <c r="CG1874" t="s">
        <v>98</v>
      </c>
      <c r="CH1874" t="s">
        <v>206</v>
      </c>
      <c r="CI1874" t="s">
        <v>206</v>
      </c>
      <c r="CL1874" t="s">
        <v>108</v>
      </c>
      <c r="CM1874" t="s">
        <v>109</v>
      </c>
      <c r="CN1874" t="str">
        <f>""</f>
        <v/>
      </c>
      <c r="CO1874" t="str">
        <f>""</f>
        <v/>
      </c>
      <c r="CP1874" t="str">
        <f>""</f>
        <v/>
      </c>
      <c r="CQ1874" t="str">
        <f>""</f>
        <v/>
      </c>
    </row>
    <row r="1875" spans="1:96" x14ac:dyDescent="0.2">
      <c r="A1875" t="s">
        <v>9186</v>
      </c>
      <c r="B1875" t="s">
        <v>96</v>
      </c>
      <c r="C1875" s="1">
        <v>44099</v>
      </c>
      <c r="D1875" s="1">
        <v>44106</v>
      </c>
      <c r="F1875" t="s">
        <v>97</v>
      </c>
      <c r="G1875" t="str">
        <f>"Systems Analyst"</f>
        <v>Systems Analyst</v>
      </c>
      <c r="H1875" t="s">
        <v>12181</v>
      </c>
      <c r="I1875" t="s">
        <v>110</v>
      </c>
      <c r="J1875" t="s">
        <v>98</v>
      </c>
      <c r="K1875" s="1">
        <v>44180</v>
      </c>
      <c r="L1875" s="1">
        <v>45274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 t="s">
        <v>9187</v>
      </c>
      <c r="U1875" t="str">
        <f>""</f>
        <v/>
      </c>
      <c r="V1875" t="s">
        <v>9188</v>
      </c>
      <c r="W1875" t="str">
        <f>"STE # 450"</f>
        <v>STE # 450</v>
      </c>
      <c r="X1875" t="s">
        <v>498</v>
      </c>
      <c r="Y1875" t="s">
        <v>176</v>
      </c>
      <c r="Z1875" s="3">
        <v>98052</v>
      </c>
      <c r="AA1875" t="s">
        <v>101</v>
      </c>
      <c r="AC1875" s="4" t="str">
        <f>"+12065797498"</f>
        <v>+12065797498</v>
      </c>
      <c r="AE1875" t="str">
        <f>"541511"</f>
        <v>541511</v>
      </c>
      <c r="AF1875" t="s">
        <v>9189</v>
      </c>
      <c r="AG1875" t="s">
        <v>9190</v>
      </c>
      <c r="AH1875" t="s">
        <v>9191</v>
      </c>
      <c r="AI1875" t="s">
        <v>5952</v>
      </c>
      <c r="AJ1875" t="s">
        <v>9188</v>
      </c>
      <c r="AK1875" t="str">
        <f>"STE #450"</f>
        <v>STE #450</v>
      </c>
      <c r="AL1875" t="s">
        <v>498</v>
      </c>
      <c r="AM1875" t="s">
        <v>176</v>
      </c>
      <c r="AN1875" s="3">
        <v>98052</v>
      </c>
      <c r="AO1875" t="s">
        <v>101</v>
      </c>
      <c r="AQ1875" t="str">
        <f>"+12065797498"</f>
        <v>+12065797498</v>
      </c>
      <c r="AS1875" t="s">
        <v>9192</v>
      </c>
      <c r="AT1875" t="s">
        <v>107</v>
      </c>
      <c r="AU1875" t="str">
        <f>"Upadhyay"</f>
        <v>Upadhyay</v>
      </c>
      <c r="AV1875" t="str">
        <f>"Kripa"</f>
        <v>Kripa</v>
      </c>
      <c r="AW1875" t="str">
        <f>""</f>
        <v/>
      </c>
      <c r="AX1875" t="str">
        <f>"2226 Eastlake Avenue East"</f>
        <v>2226 Eastlake Avenue East</v>
      </c>
      <c r="AY1875" t="str">
        <f>"# 71"</f>
        <v># 71</v>
      </c>
      <c r="AZ1875" t="str">
        <f>"Seattle"</f>
        <v>Seattle</v>
      </c>
      <c r="BA1875" t="str">
        <f>"WA"</f>
        <v>WA</v>
      </c>
      <c r="BB1875" s="3">
        <v>98102</v>
      </c>
      <c r="BC1875" t="str">
        <f>"UNITED STATES OF AMERICA"</f>
        <v>UNITED STATES OF AMERICA</v>
      </c>
      <c r="BD1875" t="str">
        <f>"WA"</f>
        <v>WA</v>
      </c>
      <c r="BE1875" t="str">
        <f>"+12066233352"</f>
        <v>+12066233352</v>
      </c>
      <c r="BF1875" t="str">
        <f>""</f>
        <v/>
      </c>
      <c r="BG1875" t="str">
        <f>"kripa@orbitlawpllc.com"</f>
        <v>kripa@orbitlawpllc.com</v>
      </c>
      <c r="BH1875" t="str">
        <f>"Orbit Law, PLLC"</f>
        <v>Orbit Law, PLLC</v>
      </c>
      <c r="BI1875" t="str">
        <f>"WA"</f>
        <v>WA</v>
      </c>
      <c r="BJ1875" t="str">
        <f>"Supreme Court of The State of Washington"</f>
        <v>Supreme Court of The State of Washington</v>
      </c>
      <c r="BK1875">
        <v>1</v>
      </c>
      <c r="BL1875" t="s">
        <v>102</v>
      </c>
      <c r="BM1875" t="str">
        <f>""</f>
        <v/>
      </c>
      <c r="BN1875" t="s">
        <v>9188</v>
      </c>
      <c r="BO1875" t="s">
        <v>9193</v>
      </c>
      <c r="BP1875" t="s">
        <v>175</v>
      </c>
      <c r="BQ1875" t="s">
        <v>183</v>
      </c>
      <c r="BR1875" t="s">
        <v>176</v>
      </c>
      <c r="BS1875" s="5">
        <v>98052</v>
      </c>
      <c r="BT1875" s="2">
        <v>126000</v>
      </c>
      <c r="BV1875" t="s">
        <v>105</v>
      </c>
      <c r="BW1875" s="2">
        <v>122325</v>
      </c>
      <c r="BX1875" t="s">
        <v>105</v>
      </c>
      <c r="BZ1875" t="s">
        <v>159</v>
      </c>
      <c r="CA1875" t="str">
        <f t="shared" si="150"/>
        <v>7/1/2020 - 6/30/2021</v>
      </c>
      <c r="CF1875">
        <v>1</v>
      </c>
      <c r="CG1875" t="s">
        <v>98</v>
      </c>
      <c r="CH1875" t="s">
        <v>206</v>
      </c>
      <c r="CI1875" t="s">
        <v>206</v>
      </c>
      <c r="CL1875" t="s">
        <v>108</v>
      </c>
      <c r="CM1875" t="s">
        <v>109</v>
      </c>
      <c r="CN1875" t="str">
        <f>"Upadhyay"</f>
        <v>Upadhyay</v>
      </c>
      <c r="CO1875" t="str">
        <f>"Kripa"</f>
        <v>Kripa</v>
      </c>
      <c r="CP1875" t="str">
        <f>""</f>
        <v/>
      </c>
      <c r="CQ1875" t="str">
        <f>"Orbit Law, PLLC"</f>
        <v>Orbit Law, PLLC</v>
      </c>
      <c r="CR1875" t="s">
        <v>7475</v>
      </c>
    </row>
    <row r="1876" spans="1:96" x14ac:dyDescent="0.2">
      <c r="A1876" t="s">
        <v>9202</v>
      </c>
      <c r="B1876" t="s">
        <v>96</v>
      </c>
      <c r="C1876" s="1">
        <v>44099</v>
      </c>
      <c r="D1876" s="1">
        <v>44106</v>
      </c>
      <c r="F1876" t="s">
        <v>97</v>
      </c>
      <c r="G1876" t="str">
        <f>"Cloud Support Engineer II"</f>
        <v>Cloud Support Engineer II</v>
      </c>
      <c r="H1876" t="s">
        <v>12169</v>
      </c>
      <c r="I1876" t="s">
        <v>124</v>
      </c>
      <c r="J1876" t="s">
        <v>98</v>
      </c>
      <c r="K1876" s="1">
        <v>44106</v>
      </c>
      <c r="L1876" s="1">
        <v>45200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 t="s">
        <v>2682</v>
      </c>
      <c r="U1876" t="str">
        <f>""</f>
        <v/>
      </c>
      <c r="V1876" t="s">
        <v>1959</v>
      </c>
      <c r="W1876" t="str">
        <f>""</f>
        <v/>
      </c>
      <c r="X1876" t="s">
        <v>261</v>
      </c>
      <c r="Y1876" t="s">
        <v>176</v>
      </c>
      <c r="Z1876" s="3">
        <v>98109</v>
      </c>
      <c r="AA1876" t="s">
        <v>101</v>
      </c>
      <c r="AC1876" s="4" t="str">
        <f>"+12062661000"</f>
        <v>+12062661000</v>
      </c>
      <c r="AE1876" t="str">
        <f>"518210"</f>
        <v>518210</v>
      </c>
      <c r="AF1876" t="s">
        <v>2661</v>
      </c>
      <c r="AG1876" t="s">
        <v>2662</v>
      </c>
      <c r="AH1876" t="s">
        <v>108</v>
      </c>
      <c r="AI1876" t="s">
        <v>1553</v>
      </c>
      <c r="AJ1876" t="s">
        <v>1959</v>
      </c>
      <c r="AK1876" t="str">
        <f>""</f>
        <v/>
      </c>
      <c r="AL1876" t="s">
        <v>261</v>
      </c>
      <c r="AM1876" t="s">
        <v>176</v>
      </c>
      <c r="AN1876" s="3">
        <v>98109</v>
      </c>
      <c r="AO1876" t="s">
        <v>101</v>
      </c>
      <c r="AQ1876" t="str">
        <f>"+12062661000"</f>
        <v>+12062661000</v>
      </c>
      <c r="AS1876" t="s">
        <v>2663</v>
      </c>
      <c r="AT1876" t="s">
        <v>102</v>
      </c>
      <c r="AU1876" t="str">
        <f>""</f>
        <v/>
      </c>
      <c r="AV1876" t="str">
        <f>""</f>
        <v/>
      </c>
      <c r="AW1876" t="str">
        <f>""</f>
        <v/>
      </c>
      <c r="AX1876" t="str">
        <f>""</f>
        <v/>
      </c>
      <c r="AY1876" t="str">
        <f>""</f>
        <v/>
      </c>
      <c r="AZ1876" t="str">
        <f>""</f>
        <v/>
      </c>
      <c r="BA1876" t="str">
        <f>""</f>
        <v/>
      </c>
      <c r="BC1876" t="str">
        <f>""</f>
        <v/>
      </c>
      <c r="BD1876" t="str">
        <f>""</f>
        <v/>
      </c>
      <c r="BE1876" t="str">
        <f>""</f>
        <v/>
      </c>
      <c r="BF1876" t="str">
        <f>""</f>
        <v/>
      </c>
      <c r="BG1876" t="str">
        <f>""</f>
        <v/>
      </c>
      <c r="BH1876" t="str">
        <f>""</f>
        <v/>
      </c>
      <c r="BI1876" t="str">
        <f>""</f>
        <v/>
      </c>
      <c r="BJ1876" t="str">
        <f>""</f>
        <v/>
      </c>
      <c r="BK1876">
        <v>1</v>
      </c>
      <c r="BL1876" t="s">
        <v>102</v>
      </c>
      <c r="BM1876" t="str">
        <f>""</f>
        <v/>
      </c>
      <c r="BN1876" t="s">
        <v>5936</v>
      </c>
      <c r="BP1876" t="s">
        <v>2880</v>
      </c>
      <c r="BQ1876" t="s">
        <v>2769</v>
      </c>
      <c r="BR1876" t="s">
        <v>814</v>
      </c>
      <c r="BS1876" s="5">
        <v>97201</v>
      </c>
      <c r="BT1876" s="2">
        <v>108000</v>
      </c>
      <c r="BV1876" t="s">
        <v>105</v>
      </c>
      <c r="BW1876" s="2">
        <v>90979</v>
      </c>
      <c r="BX1876" t="s">
        <v>105</v>
      </c>
      <c r="BZ1876" t="s">
        <v>167</v>
      </c>
      <c r="CA1876" t="str">
        <f t="shared" si="150"/>
        <v>7/1/2020 - 6/30/2021</v>
      </c>
      <c r="CF1876">
        <v>2</v>
      </c>
      <c r="CG1876" t="s">
        <v>98</v>
      </c>
      <c r="CH1876" t="s">
        <v>206</v>
      </c>
      <c r="CI1876" t="s">
        <v>206</v>
      </c>
      <c r="CL1876" t="s">
        <v>108</v>
      </c>
      <c r="CM1876" t="s">
        <v>109</v>
      </c>
      <c r="CN1876" t="str">
        <f>"Cardia"</f>
        <v>Cardia</v>
      </c>
      <c r="CO1876" t="str">
        <f>"Fernanda"</f>
        <v>Fernanda</v>
      </c>
      <c r="CP1876" t="str">
        <f>"N/A"</f>
        <v>N/A</v>
      </c>
      <c r="CQ1876" t="str">
        <f>"de Lint LLP "</f>
        <v xml:space="preserve">de Lint LLP </v>
      </c>
      <c r="CR1876" t="s">
        <v>2664</v>
      </c>
    </row>
    <row r="1877" spans="1:96" x14ac:dyDescent="0.2">
      <c r="A1877" t="s">
        <v>9229</v>
      </c>
      <c r="B1877" t="s">
        <v>96</v>
      </c>
      <c r="C1877" s="1">
        <v>44099</v>
      </c>
      <c r="D1877" s="1">
        <v>44106</v>
      </c>
      <c r="F1877" t="s">
        <v>97</v>
      </c>
      <c r="G1877" t="str">
        <f>"Senior QA Engineer"</f>
        <v>Senior QA Engineer</v>
      </c>
      <c r="H1877" t="s">
        <v>12169</v>
      </c>
      <c r="I1877" t="s">
        <v>124</v>
      </c>
      <c r="J1877" t="s">
        <v>98</v>
      </c>
      <c r="K1877" s="1">
        <v>44148</v>
      </c>
      <c r="L1877" s="1">
        <v>44975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 t="s">
        <v>9230</v>
      </c>
      <c r="U1877" t="str">
        <f>""</f>
        <v/>
      </c>
      <c r="V1877" t="s">
        <v>9231</v>
      </c>
      <c r="W1877" t="str">
        <f>"16th Floor"</f>
        <v>16th Floor</v>
      </c>
      <c r="X1877" t="s">
        <v>277</v>
      </c>
      <c r="Y1877" t="s">
        <v>190</v>
      </c>
      <c r="Z1877" s="3">
        <v>10014</v>
      </c>
      <c r="AA1877" t="s">
        <v>101</v>
      </c>
      <c r="AC1877" s="4" t="str">
        <f>"+16467289687"</f>
        <v>+16467289687</v>
      </c>
      <c r="AE1877" t="str">
        <f>"519130"</f>
        <v>519130</v>
      </c>
      <c r="AF1877" t="s">
        <v>3645</v>
      </c>
      <c r="AG1877" t="s">
        <v>610</v>
      </c>
      <c r="AI1877" t="s">
        <v>201</v>
      </c>
      <c r="AJ1877" t="s">
        <v>8309</v>
      </c>
      <c r="AK1877" t="str">
        <f>"16th Floor"</f>
        <v>16th Floor</v>
      </c>
      <c r="AL1877" t="s">
        <v>277</v>
      </c>
      <c r="AM1877" t="s">
        <v>190</v>
      </c>
      <c r="AN1877" s="3">
        <v>10014</v>
      </c>
      <c r="AO1877" t="s">
        <v>101</v>
      </c>
      <c r="AQ1877" t="str">
        <f>"+16467289687"</f>
        <v>+16467289687</v>
      </c>
      <c r="AS1877" t="s">
        <v>3646</v>
      </c>
      <c r="AT1877" t="s">
        <v>107</v>
      </c>
      <c r="AU1877" t="str">
        <f>"Lee"</f>
        <v>Lee</v>
      </c>
      <c r="AV1877" t="str">
        <f>"Jane"</f>
        <v>Jane</v>
      </c>
      <c r="AW1877" t="str">
        <f>""</f>
        <v/>
      </c>
      <c r="AX1877" t="str">
        <f>"641 Lexington Avenue"</f>
        <v>641 Lexington Avenue</v>
      </c>
      <c r="AY1877" t="str">
        <f>"15th Floor"</f>
        <v>15th Floor</v>
      </c>
      <c r="AZ1877" t="str">
        <f>"New York"</f>
        <v>New York</v>
      </c>
      <c r="BA1877" t="str">
        <f>"NY"</f>
        <v>NY</v>
      </c>
      <c r="BB1877" s="3">
        <v>10022</v>
      </c>
      <c r="BC1877" t="str">
        <f t="shared" ref="BC1877:BC1888" si="152">"UNITED STATES OF AMERICA"</f>
        <v>UNITED STATES OF AMERICA</v>
      </c>
      <c r="BD1877" t="str">
        <f>""</f>
        <v/>
      </c>
      <c r="BE1877" t="str">
        <f>"+12122714873"</f>
        <v>+12122714873</v>
      </c>
      <c r="BF1877" t="str">
        <f>""</f>
        <v/>
      </c>
      <c r="BG1877" t="str">
        <f>"JLee@wolfsdorf.com"</f>
        <v>JLee@wolfsdorf.com</v>
      </c>
      <c r="BH1877" t="str">
        <f>"Wolfsdorf Rosenthal LLP"</f>
        <v>Wolfsdorf Rosenthal LLP</v>
      </c>
      <c r="BI1877" t="str">
        <f>"NY"</f>
        <v>NY</v>
      </c>
      <c r="BJ1877" t="str">
        <f>"New York Court of Appeals"</f>
        <v>New York Court of Appeals</v>
      </c>
      <c r="BK1877">
        <v>1</v>
      </c>
      <c r="BL1877" t="s">
        <v>102</v>
      </c>
      <c r="BM1877" t="str">
        <f>""</f>
        <v/>
      </c>
      <c r="BN1877" t="s">
        <v>9231</v>
      </c>
      <c r="BO1877" t="s">
        <v>5353</v>
      </c>
      <c r="BP1877" t="s">
        <v>277</v>
      </c>
      <c r="BQ1877" t="s">
        <v>189</v>
      </c>
      <c r="BR1877" t="s">
        <v>190</v>
      </c>
      <c r="BS1877" s="5">
        <v>10014</v>
      </c>
      <c r="BT1877" s="2">
        <v>100526</v>
      </c>
      <c r="BV1877" t="s">
        <v>105</v>
      </c>
      <c r="BW1877" s="2">
        <v>100526</v>
      </c>
      <c r="BX1877" t="s">
        <v>105</v>
      </c>
      <c r="BZ1877" t="s">
        <v>167</v>
      </c>
      <c r="CA1877" t="str">
        <f t="shared" si="150"/>
        <v>7/1/2020 - 6/30/2021</v>
      </c>
      <c r="CF1877">
        <v>2</v>
      </c>
      <c r="CG1877" t="s">
        <v>98</v>
      </c>
      <c r="CH1877" t="s">
        <v>206</v>
      </c>
      <c r="CI1877" t="s">
        <v>206</v>
      </c>
      <c r="CL1877" t="s">
        <v>108</v>
      </c>
      <c r="CM1877" t="s">
        <v>109</v>
      </c>
      <c r="CN1877" t="str">
        <f>"Gonzales"</f>
        <v>Gonzales</v>
      </c>
      <c r="CO1877" t="str">
        <f>"Jesse"</f>
        <v>Jesse</v>
      </c>
      <c r="CP1877" t="str">
        <f>""</f>
        <v/>
      </c>
      <c r="CQ1877" t="str">
        <f>"Wolfsdorf Rosenthal LLP"</f>
        <v>Wolfsdorf Rosenthal LLP</v>
      </c>
      <c r="CR1877" t="s">
        <v>3647</v>
      </c>
    </row>
    <row r="1878" spans="1:96" x14ac:dyDescent="0.2">
      <c r="A1878" t="s">
        <v>9232</v>
      </c>
      <c r="B1878" t="s">
        <v>96</v>
      </c>
      <c r="C1878" s="1">
        <v>44099</v>
      </c>
      <c r="D1878" s="1">
        <v>44106</v>
      </c>
      <c r="F1878" t="s">
        <v>97</v>
      </c>
      <c r="G1878" t="str">
        <f>"Software Developer"</f>
        <v>Software Developer</v>
      </c>
      <c r="H1878" t="s">
        <v>12169</v>
      </c>
      <c r="I1878" t="s">
        <v>124</v>
      </c>
      <c r="J1878" t="s">
        <v>98</v>
      </c>
      <c r="K1878" s="1">
        <v>44099</v>
      </c>
      <c r="L1878" s="1">
        <v>45193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 t="s">
        <v>6409</v>
      </c>
      <c r="U1878" t="str">
        <f>""</f>
        <v/>
      </c>
      <c r="V1878" t="s">
        <v>6410</v>
      </c>
      <c r="W1878" t="str">
        <f>"Suite 205 &amp;  2015"</f>
        <v>Suite 205 &amp;  2015</v>
      </c>
      <c r="X1878" t="s">
        <v>4941</v>
      </c>
      <c r="Y1878" t="s">
        <v>135</v>
      </c>
      <c r="Z1878" s="3">
        <v>20176</v>
      </c>
      <c r="AA1878" t="s">
        <v>101</v>
      </c>
      <c r="AC1878" s="4" t="str">
        <f>"+15719188977"</f>
        <v>+15719188977</v>
      </c>
      <c r="AE1878" t="str">
        <f>"541511"</f>
        <v>541511</v>
      </c>
      <c r="AF1878" t="s">
        <v>9233</v>
      </c>
      <c r="AG1878" t="s">
        <v>9234</v>
      </c>
      <c r="AI1878" t="s">
        <v>9235</v>
      </c>
      <c r="AJ1878" t="s">
        <v>6411</v>
      </c>
      <c r="AK1878" t="str">
        <f>"Suite 205 &amp; 215"</f>
        <v>Suite 205 &amp; 215</v>
      </c>
      <c r="AL1878" t="s">
        <v>4941</v>
      </c>
      <c r="AM1878" t="s">
        <v>135</v>
      </c>
      <c r="AN1878" s="3">
        <v>20176</v>
      </c>
      <c r="AO1878" t="s">
        <v>101</v>
      </c>
      <c r="AQ1878" t="str">
        <f>"+15714328836"</f>
        <v>+15714328836</v>
      </c>
      <c r="AS1878" t="s">
        <v>9236</v>
      </c>
      <c r="AT1878" t="s">
        <v>107</v>
      </c>
      <c r="AU1878" t="str">
        <f>"Kidambi"</f>
        <v>Kidambi</v>
      </c>
      <c r="AV1878" t="str">
        <f>"Vaman"</f>
        <v>Vaman</v>
      </c>
      <c r="AW1878" t="str">
        <f>"B"</f>
        <v>B</v>
      </c>
      <c r="AX1878" t="str">
        <f>"140 Monroe Tpke"</f>
        <v>140 Monroe Tpke</v>
      </c>
      <c r="AY1878" t="str">
        <f>"Suite A"</f>
        <v>Suite A</v>
      </c>
      <c r="AZ1878" t="str">
        <f>"Trumbull"</f>
        <v>Trumbull</v>
      </c>
      <c r="BA1878" t="str">
        <f>"CT"</f>
        <v>CT</v>
      </c>
      <c r="BB1878" s="3">
        <v>6611</v>
      </c>
      <c r="BC1878" t="str">
        <f t="shared" si="152"/>
        <v>UNITED STATES OF AMERICA</v>
      </c>
      <c r="BD1878" t="str">
        <f>""</f>
        <v/>
      </c>
      <c r="BE1878" t="str">
        <f>"+12034165300"</f>
        <v>+12034165300</v>
      </c>
      <c r="BF1878" t="str">
        <f>"104"</f>
        <v>104</v>
      </c>
      <c r="BG1878" t="str">
        <f>"LCA@Kidambi.com"</f>
        <v>LCA@Kidambi.com</v>
      </c>
      <c r="BH1878" t="str">
        <f>"Kidambi &amp; Associates, P.C."</f>
        <v>Kidambi &amp; Associates, P.C.</v>
      </c>
      <c r="BI1878" t="str">
        <f>"NY"</f>
        <v>NY</v>
      </c>
      <c r="BJ1878" t="str">
        <f>"Supreme Court"</f>
        <v>Supreme Court</v>
      </c>
      <c r="BK1878">
        <v>1</v>
      </c>
      <c r="BL1878" t="s">
        <v>107</v>
      </c>
      <c r="BM1878" t="str">
        <f>"UPMC, Health Plan, Inc."</f>
        <v>UPMC, Health Plan, Inc.</v>
      </c>
      <c r="BN1878" t="s">
        <v>6412</v>
      </c>
      <c r="BO1878" t="s">
        <v>6413</v>
      </c>
      <c r="BP1878" t="s">
        <v>333</v>
      </c>
      <c r="BQ1878" t="s">
        <v>861</v>
      </c>
      <c r="BR1878" t="s">
        <v>127</v>
      </c>
      <c r="BS1878" s="5">
        <v>15219</v>
      </c>
      <c r="BT1878" s="2">
        <v>93600</v>
      </c>
      <c r="BV1878" t="s">
        <v>105</v>
      </c>
      <c r="BW1878" s="2">
        <v>80142</v>
      </c>
      <c r="BX1878" t="s">
        <v>105</v>
      </c>
      <c r="BZ1878" t="s">
        <v>167</v>
      </c>
      <c r="CA1878" t="str">
        <f t="shared" si="150"/>
        <v>7/1/2020 - 6/30/2021</v>
      </c>
      <c r="CF1878">
        <v>2</v>
      </c>
      <c r="CG1878" t="s">
        <v>98</v>
      </c>
      <c r="CH1878" t="s">
        <v>206</v>
      </c>
      <c r="CI1878" t="s">
        <v>206</v>
      </c>
      <c r="CL1878" t="s">
        <v>108</v>
      </c>
      <c r="CM1878" t="s">
        <v>109</v>
      </c>
      <c r="CN1878" t="str">
        <f>"Kidambi"</f>
        <v>Kidambi</v>
      </c>
      <c r="CO1878" t="str">
        <f>"Vaman"</f>
        <v>Vaman</v>
      </c>
      <c r="CP1878" t="str">
        <f>""</f>
        <v/>
      </c>
      <c r="CQ1878" t="str">
        <f>"Kidambi &amp; Associates, P.C."</f>
        <v>Kidambi &amp; Associates, P.C.</v>
      </c>
      <c r="CR1878" t="s">
        <v>4663</v>
      </c>
    </row>
    <row r="1879" spans="1:96" x14ac:dyDescent="0.2">
      <c r="A1879" t="s">
        <v>9250</v>
      </c>
      <c r="B1879" t="s">
        <v>96</v>
      </c>
      <c r="C1879" s="1">
        <v>44099</v>
      </c>
      <c r="D1879" s="1">
        <v>44106</v>
      </c>
      <c r="F1879" t="s">
        <v>97</v>
      </c>
      <c r="G1879" t="str">
        <f>"Software Quality Assurance Specialist"</f>
        <v>Software Quality Assurance Specialist</v>
      </c>
      <c r="H1879" t="s">
        <v>12168</v>
      </c>
      <c r="I1879" t="s">
        <v>319</v>
      </c>
      <c r="J1879" t="s">
        <v>98</v>
      </c>
      <c r="K1879" s="1">
        <v>44152</v>
      </c>
      <c r="L1879" s="1">
        <v>45246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 t="s">
        <v>1360</v>
      </c>
      <c r="U1879" t="str">
        <f>""</f>
        <v/>
      </c>
      <c r="V1879" t="s">
        <v>1361</v>
      </c>
      <c r="W1879" t="str">
        <f>""</f>
        <v/>
      </c>
      <c r="X1879" t="s">
        <v>207</v>
      </c>
      <c r="Y1879" t="s">
        <v>171</v>
      </c>
      <c r="Z1879" s="3">
        <v>2129</v>
      </c>
      <c r="AA1879" t="s">
        <v>101</v>
      </c>
      <c r="AC1879" s="4" t="str">
        <f>"+16175171483"</f>
        <v>+16175171483</v>
      </c>
      <c r="AE1879" t="str">
        <f>"541511"</f>
        <v>541511</v>
      </c>
      <c r="AF1879" t="s">
        <v>1362</v>
      </c>
      <c r="AG1879" t="s">
        <v>4280</v>
      </c>
      <c r="AI1879" t="s">
        <v>4281</v>
      </c>
      <c r="AJ1879" t="s">
        <v>1361</v>
      </c>
      <c r="AK1879" t="str">
        <f>""</f>
        <v/>
      </c>
      <c r="AL1879" t="s">
        <v>207</v>
      </c>
      <c r="AM1879" t="s">
        <v>171</v>
      </c>
      <c r="AN1879" s="3">
        <v>2129</v>
      </c>
      <c r="AO1879" t="s">
        <v>101</v>
      </c>
      <c r="AQ1879" t="str">
        <f>"+16175171483"</f>
        <v>+16175171483</v>
      </c>
      <c r="AS1879" t="s">
        <v>9251</v>
      </c>
      <c r="AT1879" t="s">
        <v>107</v>
      </c>
      <c r="AU1879" t="str">
        <f>"Drozdowski"</f>
        <v>Drozdowski</v>
      </c>
      <c r="AV1879" t="str">
        <f>"Andrew "</f>
        <v xml:space="preserve">Andrew </v>
      </c>
      <c r="AW1879" t="str">
        <f>"G"</f>
        <v>G</v>
      </c>
      <c r="AX1879" t="str">
        <f>"4208 Six Forks Road"</f>
        <v>4208 Six Forks Road</v>
      </c>
      <c r="AY1879" t="str">
        <f>"Suite 1100"</f>
        <v>Suite 1100</v>
      </c>
      <c r="AZ1879" t="str">
        <f>"Raleigh"</f>
        <v>Raleigh</v>
      </c>
      <c r="BA1879" t="str">
        <f>"NC"</f>
        <v>NC</v>
      </c>
      <c r="BB1879" s="3">
        <v>27609</v>
      </c>
      <c r="BC1879" t="str">
        <f t="shared" si="152"/>
        <v>UNITED STATES OF AMERICA</v>
      </c>
      <c r="BD1879" t="str">
        <f>""</f>
        <v/>
      </c>
      <c r="BE1879" t="str">
        <f>"+19197893120"</f>
        <v>+19197893120</v>
      </c>
      <c r="BF1879" t="str">
        <f>""</f>
        <v/>
      </c>
      <c r="BG1879" t="str">
        <f>"James.Ashburn@ogletreedeakins.com"</f>
        <v>James.Ashburn@ogletreedeakins.com</v>
      </c>
      <c r="BH1879" t="str">
        <f>"Ogletree, Deakins, Nash, Smoak &amp; Stewart, P.C."</f>
        <v>Ogletree, Deakins, Nash, Smoak &amp; Stewart, P.C.</v>
      </c>
      <c r="BI1879" t="str">
        <f>"NY"</f>
        <v>NY</v>
      </c>
      <c r="BJ1879" t="str">
        <f>"SUPREME COURT"</f>
        <v>SUPREME COURT</v>
      </c>
      <c r="BK1879">
        <v>1</v>
      </c>
      <c r="BL1879" t="s">
        <v>107</v>
      </c>
      <c r="BM1879" t="str">
        <f>"Teachers Insurance and Annuity Association of America"</f>
        <v>Teachers Insurance and Annuity Association of America</v>
      </c>
      <c r="BN1879" t="s">
        <v>6048</v>
      </c>
      <c r="BP1879" t="s">
        <v>604</v>
      </c>
      <c r="BQ1879" t="s">
        <v>121</v>
      </c>
      <c r="BR1879" t="s">
        <v>122</v>
      </c>
      <c r="BS1879" s="5">
        <v>28262</v>
      </c>
      <c r="BT1879" s="2">
        <v>89744</v>
      </c>
      <c r="BU1879" s="2">
        <v>119744</v>
      </c>
      <c r="BV1879" t="s">
        <v>105</v>
      </c>
      <c r="BW1879" s="2">
        <v>89744</v>
      </c>
      <c r="BX1879" t="s">
        <v>105</v>
      </c>
      <c r="CA1879" t="str">
        <f>""</f>
        <v/>
      </c>
      <c r="CB1879" t="s">
        <v>244</v>
      </c>
      <c r="CC1879">
        <v>2020</v>
      </c>
      <c r="CD1879" t="s">
        <v>569</v>
      </c>
      <c r="CE1879" t="s">
        <v>9252</v>
      </c>
      <c r="CF1879">
        <v>2</v>
      </c>
      <c r="CG1879" t="s">
        <v>98</v>
      </c>
      <c r="CH1879" t="s">
        <v>206</v>
      </c>
      <c r="CI1879" t="s">
        <v>206</v>
      </c>
      <c r="CL1879" t="s">
        <v>108</v>
      </c>
      <c r="CM1879" t="s">
        <v>109</v>
      </c>
      <c r="CN1879" t="str">
        <f>"Drozdowski"</f>
        <v>Drozdowski</v>
      </c>
      <c r="CO1879" t="str">
        <f>"Andrew"</f>
        <v>Andrew</v>
      </c>
      <c r="CP1879" t="str">
        <f>"G"</f>
        <v>G</v>
      </c>
      <c r="CQ1879" t="str">
        <f>"Ogletree, Deakins, Nash, Smoak and Stewart, P.C."</f>
        <v>Ogletree, Deakins, Nash, Smoak and Stewart, P.C.</v>
      </c>
      <c r="CR1879" t="s">
        <v>9253</v>
      </c>
    </row>
    <row r="1880" spans="1:96" x14ac:dyDescent="0.2">
      <c r="A1880" t="s">
        <v>9257</v>
      </c>
      <c r="B1880" t="s">
        <v>96</v>
      </c>
      <c r="C1880" s="1">
        <v>44099</v>
      </c>
      <c r="D1880" s="1">
        <v>44106</v>
      </c>
      <c r="F1880" t="s">
        <v>97</v>
      </c>
      <c r="G1880" t="str">
        <f>"Software Engineer"</f>
        <v>Software Engineer</v>
      </c>
      <c r="H1880" t="s">
        <v>12169</v>
      </c>
      <c r="I1880" t="s">
        <v>124</v>
      </c>
      <c r="J1880" t="s">
        <v>98</v>
      </c>
      <c r="K1880" s="1">
        <v>44105</v>
      </c>
      <c r="L1880" s="1">
        <v>45199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 t="s">
        <v>5873</v>
      </c>
      <c r="U1880" t="str">
        <f>""</f>
        <v/>
      </c>
      <c r="V1880" t="s">
        <v>5875</v>
      </c>
      <c r="W1880" t="str">
        <f>""</f>
        <v/>
      </c>
      <c r="X1880" t="s">
        <v>213</v>
      </c>
      <c r="Y1880" t="s">
        <v>215</v>
      </c>
      <c r="Z1880" s="3">
        <v>30309</v>
      </c>
      <c r="AA1880" t="s">
        <v>101</v>
      </c>
      <c r="AC1880" s="4" t="str">
        <f>"+16176490018"</f>
        <v>+16176490018</v>
      </c>
      <c r="AE1880" t="str">
        <f>"541511"</f>
        <v>541511</v>
      </c>
      <c r="AF1880" t="s">
        <v>4662</v>
      </c>
      <c r="AG1880" t="s">
        <v>5865</v>
      </c>
      <c r="AI1880" t="s">
        <v>3703</v>
      </c>
      <c r="AJ1880" t="s">
        <v>5875</v>
      </c>
      <c r="AK1880" t="str">
        <f>""</f>
        <v/>
      </c>
      <c r="AL1880" t="s">
        <v>213</v>
      </c>
      <c r="AM1880" t="s">
        <v>215</v>
      </c>
      <c r="AN1880" s="3">
        <v>30309</v>
      </c>
      <c r="AO1880" t="s">
        <v>101</v>
      </c>
      <c r="AQ1880" t="str">
        <f>"+16176490018"</f>
        <v>+16176490018</v>
      </c>
      <c r="AS1880" t="s">
        <v>5876</v>
      </c>
      <c r="AT1880" t="s">
        <v>107</v>
      </c>
      <c r="AU1880" t="str">
        <f>"Howard-Yilmaz"</f>
        <v>Howard-Yilmaz</v>
      </c>
      <c r="AV1880" t="str">
        <f>"Alison"</f>
        <v>Alison</v>
      </c>
      <c r="AW1880" t="str">
        <f>""</f>
        <v/>
      </c>
      <c r="AX1880" t="str">
        <f>"38 Third Ave"</f>
        <v>38 Third Ave</v>
      </c>
      <c r="AY1880" t="str">
        <f>"Suite 100"</f>
        <v>Suite 100</v>
      </c>
      <c r="AZ1880" t="str">
        <f>"Boston"</f>
        <v>Boston</v>
      </c>
      <c r="BA1880" t="str">
        <f>"MA"</f>
        <v>MA</v>
      </c>
      <c r="BB1880" s="3">
        <v>2129</v>
      </c>
      <c r="BC1880" t="str">
        <f t="shared" si="152"/>
        <v>UNITED STATES OF AMERICA</v>
      </c>
      <c r="BD1880" t="str">
        <f>""</f>
        <v/>
      </c>
      <c r="BE1880" t="str">
        <f>"+16174821010"</f>
        <v>+16174821010</v>
      </c>
      <c r="BF1880" t="str">
        <f>""</f>
        <v/>
      </c>
      <c r="BG1880" t="str">
        <f>"alison@iandoli.com"</f>
        <v>alison@iandoli.com</v>
      </c>
      <c r="BH1880" t="str">
        <f>"Iandoli Desai and Cronin PC"</f>
        <v>Iandoli Desai and Cronin PC</v>
      </c>
      <c r="BI1880" t="str">
        <f>"MA"</f>
        <v>MA</v>
      </c>
      <c r="BJ1880" t="str">
        <f>"Massachusetts Supreme Judicial Court"</f>
        <v>Massachusetts Supreme Judicial Court</v>
      </c>
      <c r="BK1880">
        <v>1</v>
      </c>
      <c r="BL1880" t="s">
        <v>102</v>
      </c>
      <c r="BM1880" t="str">
        <f>""</f>
        <v/>
      </c>
      <c r="BN1880" t="s">
        <v>9258</v>
      </c>
      <c r="BO1880" t="s">
        <v>9259</v>
      </c>
      <c r="BP1880" t="s">
        <v>1400</v>
      </c>
      <c r="BQ1880" t="s">
        <v>1014</v>
      </c>
      <c r="BR1880" t="s">
        <v>608</v>
      </c>
      <c r="BS1880" s="5">
        <v>50266</v>
      </c>
      <c r="BT1880" s="2">
        <v>140000</v>
      </c>
      <c r="BV1880" t="s">
        <v>105</v>
      </c>
      <c r="BW1880" s="2">
        <v>84760</v>
      </c>
      <c r="BX1880" t="s">
        <v>105</v>
      </c>
      <c r="BZ1880" t="s">
        <v>167</v>
      </c>
      <c r="CA1880" t="str">
        <f t="shared" ref="CA1880:CA1885" si="153">"7/1/2020 - 6/30/2021"</f>
        <v>7/1/2020 - 6/30/2021</v>
      </c>
      <c r="CF1880">
        <v>3</v>
      </c>
      <c r="CG1880" t="s">
        <v>98</v>
      </c>
      <c r="CH1880" t="s">
        <v>206</v>
      </c>
      <c r="CI1880" t="s">
        <v>206</v>
      </c>
      <c r="CL1880" t="s">
        <v>108</v>
      </c>
      <c r="CM1880" t="s">
        <v>109</v>
      </c>
      <c r="CN1880" t="str">
        <f>""</f>
        <v/>
      </c>
      <c r="CO1880" t="str">
        <f>""</f>
        <v/>
      </c>
      <c r="CP1880" t="str">
        <f>""</f>
        <v/>
      </c>
      <c r="CQ1880" t="str">
        <f>""</f>
        <v/>
      </c>
    </row>
    <row r="1881" spans="1:96" x14ac:dyDescent="0.2">
      <c r="A1881" t="s">
        <v>9263</v>
      </c>
      <c r="B1881" t="s">
        <v>96</v>
      </c>
      <c r="C1881" s="1">
        <v>44099</v>
      </c>
      <c r="D1881" s="1">
        <v>44106</v>
      </c>
      <c r="F1881" t="s">
        <v>97</v>
      </c>
      <c r="G1881" t="str">
        <f>"AWS Cloud Engineer "</f>
        <v xml:space="preserve">AWS Cloud Engineer </v>
      </c>
      <c r="H1881" t="s">
        <v>12168</v>
      </c>
      <c r="I1881" t="s">
        <v>160</v>
      </c>
      <c r="J1881" t="s">
        <v>98</v>
      </c>
      <c r="K1881" s="1">
        <v>44116</v>
      </c>
      <c r="L1881" s="1">
        <v>45210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 t="s">
        <v>1901</v>
      </c>
      <c r="U1881" t="str">
        <f>""</f>
        <v/>
      </c>
      <c r="V1881" t="s">
        <v>1902</v>
      </c>
      <c r="W1881" t="str">
        <f>"Suite 400"</f>
        <v>Suite 400</v>
      </c>
      <c r="X1881" t="s">
        <v>348</v>
      </c>
      <c r="Y1881" t="s">
        <v>265</v>
      </c>
      <c r="Z1881" s="3">
        <v>48084</v>
      </c>
      <c r="AA1881" t="s">
        <v>101</v>
      </c>
      <c r="AC1881" s="4" t="str">
        <f>"+12487127900"</f>
        <v>+12487127900</v>
      </c>
      <c r="AE1881" t="str">
        <f>"561320"</f>
        <v>561320</v>
      </c>
      <c r="AF1881" t="s">
        <v>1903</v>
      </c>
      <c r="AG1881" t="s">
        <v>1904</v>
      </c>
      <c r="AH1881" t="s">
        <v>1905</v>
      </c>
      <c r="AI1881" t="s">
        <v>1906</v>
      </c>
      <c r="AJ1881" t="s">
        <v>1902</v>
      </c>
      <c r="AK1881" t="str">
        <f>"Suite 400"</f>
        <v>Suite 400</v>
      </c>
      <c r="AL1881" t="s">
        <v>348</v>
      </c>
      <c r="AM1881" t="s">
        <v>265</v>
      </c>
      <c r="AN1881" s="3">
        <v>48084</v>
      </c>
      <c r="AO1881" t="s">
        <v>101</v>
      </c>
      <c r="AQ1881" t="str">
        <f>"+12487127908"</f>
        <v>+12487127908</v>
      </c>
      <c r="AS1881" t="s">
        <v>1907</v>
      </c>
      <c r="AT1881" t="s">
        <v>107</v>
      </c>
      <c r="AU1881" t="str">
        <f>"Wisniewski"</f>
        <v>Wisniewski</v>
      </c>
      <c r="AV1881" t="str">
        <f>"Joel"</f>
        <v>Joel</v>
      </c>
      <c r="AW1881" t="str">
        <f>"Adam"</f>
        <v>Adam</v>
      </c>
      <c r="AX1881" t="str">
        <f>"3001 West Big Beaver Rd."</f>
        <v>3001 West Big Beaver Rd.</v>
      </c>
      <c r="AY1881" t="str">
        <f>"Suite 400"</f>
        <v>Suite 400</v>
      </c>
      <c r="AZ1881" t="str">
        <f>"Troy"</f>
        <v>Troy</v>
      </c>
      <c r="BA1881" t="str">
        <f>"MI"</f>
        <v>MI</v>
      </c>
      <c r="BB1881" s="3">
        <v>48084</v>
      </c>
      <c r="BC1881" t="str">
        <f t="shared" si="152"/>
        <v>UNITED STATES OF AMERICA</v>
      </c>
      <c r="BD1881" t="str">
        <f>""</f>
        <v/>
      </c>
      <c r="BE1881" t="str">
        <f>"+12487127983"</f>
        <v>+12487127983</v>
      </c>
      <c r="BF1881" t="str">
        <f>""</f>
        <v/>
      </c>
      <c r="BG1881" t="str">
        <f>"jwisniew@populusgroup.com"</f>
        <v>jwisniew@populusgroup.com</v>
      </c>
      <c r="BH1881" t="str">
        <f>"Populus Group LLC"</f>
        <v>Populus Group LLC</v>
      </c>
      <c r="BI1881" t="str">
        <f>"MI"</f>
        <v>MI</v>
      </c>
      <c r="BJ1881" t="str">
        <f>"Supreme Court"</f>
        <v>Supreme Court</v>
      </c>
      <c r="BK1881">
        <v>1</v>
      </c>
      <c r="BL1881" t="s">
        <v>107</v>
      </c>
      <c r="BM1881" t="str">
        <f>"Takeda"</f>
        <v>Takeda</v>
      </c>
      <c r="BN1881" t="s">
        <v>7758</v>
      </c>
      <c r="BP1881" t="s">
        <v>436</v>
      </c>
      <c r="BQ1881" t="s">
        <v>1250</v>
      </c>
      <c r="BR1881" t="s">
        <v>171</v>
      </c>
      <c r="BS1881" s="5">
        <v>2139</v>
      </c>
      <c r="BT1881" s="2">
        <v>90</v>
      </c>
      <c r="BV1881" t="s">
        <v>210</v>
      </c>
      <c r="BW1881" s="2">
        <v>52.21</v>
      </c>
      <c r="BX1881" t="s">
        <v>210</v>
      </c>
      <c r="BZ1881" t="s">
        <v>159</v>
      </c>
      <c r="CA1881" t="str">
        <f t="shared" si="153"/>
        <v>7/1/2020 - 6/30/2021</v>
      </c>
      <c r="CF1881">
        <v>1</v>
      </c>
      <c r="CG1881" t="s">
        <v>98</v>
      </c>
      <c r="CH1881" t="s">
        <v>206</v>
      </c>
      <c r="CI1881" t="s">
        <v>206</v>
      </c>
      <c r="CL1881" t="s">
        <v>108</v>
      </c>
      <c r="CM1881" t="s">
        <v>109</v>
      </c>
      <c r="CN1881" t="str">
        <f>""</f>
        <v/>
      </c>
      <c r="CO1881" t="str">
        <f>""</f>
        <v/>
      </c>
      <c r="CP1881" t="str">
        <f>""</f>
        <v/>
      </c>
      <c r="CQ1881" t="str">
        <f>""</f>
        <v/>
      </c>
    </row>
    <row r="1882" spans="1:96" x14ac:dyDescent="0.2">
      <c r="A1882" t="s">
        <v>9264</v>
      </c>
      <c r="B1882" t="s">
        <v>96</v>
      </c>
      <c r="C1882" s="1">
        <v>44099</v>
      </c>
      <c r="D1882" s="1">
        <v>44106</v>
      </c>
      <c r="F1882" t="s">
        <v>97</v>
      </c>
      <c r="G1882" t="str">
        <f>"Director of Customer Engineering"</f>
        <v>Director of Customer Engineering</v>
      </c>
      <c r="H1882" t="s">
        <v>12178</v>
      </c>
      <c r="I1882" t="s">
        <v>582</v>
      </c>
      <c r="J1882" t="s">
        <v>98</v>
      </c>
      <c r="K1882" s="1">
        <v>44099</v>
      </c>
      <c r="L1882" s="1">
        <v>45193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9265</v>
      </c>
      <c r="U1882" t="str">
        <f>""</f>
        <v/>
      </c>
      <c r="V1882" t="s">
        <v>5155</v>
      </c>
      <c r="W1882" t="str">
        <f>"Suite 850"</f>
        <v>Suite 850</v>
      </c>
      <c r="X1882" t="s">
        <v>5156</v>
      </c>
      <c r="Y1882" t="s">
        <v>141</v>
      </c>
      <c r="Z1882" s="3">
        <v>94608</v>
      </c>
      <c r="AA1882" t="s">
        <v>101</v>
      </c>
      <c r="AC1882" s="4" t="str">
        <f>"+14088366663"</f>
        <v>+14088366663</v>
      </c>
      <c r="AE1882" t="str">
        <f>"511210"</f>
        <v>511210</v>
      </c>
      <c r="AF1882" t="s">
        <v>9266</v>
      </c>
      <c r="AG1882" t="s">
        <v>9267</v>
      </c>
      <c r="AI1882" t="s">
        <v>9268</v>
      </c>
      <c r="AJ1882" t="s">
        <v>5155</v>
      </c>
      <c r="AK1882" t="str">
        <f>"Suite 850"</f>
        <v>Suite 850</v>
      </c>
      <c r="AL1882" t="s">
        <v>5156</v>
      </c>
      <c r="AM1882" t="s">
        <v>141</v>
      </c>
      <c r="AN1882" s="3">
        <v>94608</v>
      </c>
      <c r="AO1882" t="s">
        <v>101</v>
      </c>
      <c r="AQ1882" t="str">
        <f>"+14088366663"</f>
        <v>+14088366663</v>
      </c>
      <c r="AS1882" t="s">
        <v>9269</v>
      </c>
      <c r="AT1882" t="s">
        <v>107</v>
      </c>
      <c r="AU1882" t="str">
        <f>"Mozaffarimehr"</f>
        <v>Mozaffarimehr</v>
      </c>
      <c r="AV1882" t="str">
        <f>"Roujin"</f>
        <v>Roujin</v>
      </c>
      <c r="AW1882" t="str">
        <f>""</f>
        <v/>
      </c>
      <c r="AX1882" t="str">
        <f>"39899 Balentine Drive"</f>
        <v>39899 Balentine Drive</v>
      </c>
      <c r="AY1882" t="str">
        <f>"Ste. 380"</f>
        <v>Ste. 380</v>
      </c>
      <c r="AZ1882" t="str">
        <f>"Newark"</f>
        <v>Newark</v>
      </c>
      <c r="BA1882" t="str">
        <f>"CA"</f>
        <v>CA</v>
      </c>
      <c r="BB1882" s="3">
        <v>94560</v>
      </c>
      <c r="BC1882" t="str">
        <f t="shared" si="152"/>
        <v>UNITED STATES OF AMERICA</v>
      </c>
      <c r="BD1882" t="str">
        <f>""</f>
        <v/>
      </c>
      <c r="BE1882" t="str">
        <f>"+15104981949"</f>
        <v>+15104981949</v>
      </c>
      <c r="BF1882" t="str">
        <f>""</f>
        <v/>
      </c>
      <c r="BG1882" t="str">
        <f>"contact@mplg.us"</f>
        <v>contact@mplg.us</v>
      </c>
      <c r="BH1882" t="str">
        <f>"Mathews &amp; Peddibhotla Law Group, PC"</f>
        <v>Mathews &amp; Peddibhotla Law Group, PC</v>
      </c>
      <c r="BI1882" t="str">
        <f>"CA"</f>
        <v>CA</v>
      </c>
      <c r="BJ1882" t="str">
        <f>"California Supreme Court"</f>
        <v>California Supreme Court</v>
      </c>
      <c r="BK1882">
        <v>1</v>
      </c>
      <c r="BL1882" t="s">
        <v>102</v>
      </c>
      <c r="BM1882" t="str">
        <f>""</f>
        <v/>
      </c>
      <c r="BN1882" t="s">
        <v>9270</v>
      </c>
      <c r="BP1882" t="s">
        <v>585</v>
      </c>
      <c r="BQ1882" t="s">
        <v>230</v>
      </c>
      <c r="BR1882" t="s">
        <v>141</v>
      </c>
      <c r="BS1882" s="5">
        <v>95125</v>
      </c>
      <c r="BT1882" s="2">
        <v>250000</v>
      </c>
      <c r="BV1882" t="s">
        <v>105</v>
      </c>
      <c r="BW1882" s="2">
        <v>215093</v>
      </c>
      <c r="BX1882" t="s">
        <v>105</v>
      </c>
      <c r="BZ1882" t="s">
        <v>123</v>
      </c>
      <c r="CA1882" t="str">
        <f t="shared" si="153"/>
        <v>7/1/2020 - 6/30/2021</v>
      </c>
      <c r="CF1882">
        <v>2</v>
      </c>
      <c r="CG1882" t="s">
        <v>98</v>
      </c>
      <c r="CH1882" t="s">
        <v>206</v>
      </c>
      <c r="CI1882" t="s">
        <v>206</v>
      </c>
      <c r="CL1882" t="s">
        <v>108</v>
      </c>
      <c r="CM1882" t="s">
        <v>109</v>
      </c>
      <c r="CN1882" t="str">
        <f>""</f>
        <v/>
      </c>
      <c r="CO1882" t="str">
        <f>""</f>
        <v/>
      </c>
      <c r="CP1882" t="str">
        <f>""</f>
        <v/>
      </c>
      <c r="CQ1882" t="str">
        <f>""</f>
        <v/>
      </c>
    </row>
    <row r="1883" spans="1:96" x14ac:dyDescent="0.2">
      <c r="A1883" t="s">
        <v>9273</v>
      </c>
      <c r="B1883" t="s">
        <v>96</v>
      </c>
      <c r="C1883" s="1">
        <v>44099</v>
      </c>
      <c r="D1883" s="1">
        <v>44106</v>
      </c>
      <c r="F1883" t="s">
        <v>97</v>
      </c>
      <c r="G1883" t="str">
        <f>"IT Support Specialist"</f>
        <v>IT Support Specialist</v>
      </c>
      <c r="H1883" t="s">
        <v>12181</v>
      </c>
      <c r="I1883" t="s">
        <v>110</v>
      </c>
      <c r="J1883" t="s">
        <v>98</v>
      </c>
      <c r="K1883" s="1">
        <v>44227</v>
      </c>
      <c r="L1883" s="1">
        <v>45321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4938</v>
      </c>
      <c r="U1883" t="str">
        <f>""</f>
        <v/>
      </c>
      <c r="V1883" t="s">
        <v>1281</v>
      </c>
      <c r="W1883" t="str">
        <f>""</f>
        <v/>
      </c>
      <c r="X1883" t="s">
        <v>538</v>
      </c>
      <c r="Y1883" t="s">
        <v>135</v>
      </c>
      <c r="Z1883" s="3">
        <v>22030</v>
      </c>
      <c r="AA1883" t="s">
        <v>101</v>
      </c>
      <c r="AC1883" s="4" t="str">
        <f>"+17032678000"</f>
        <v>+17032678000</v>
      </c>
      <c r="AE1883" t="str">
        <f>"541512"</f>
        <v>541512</v>
      </c>
      <c r="AF1883" t="s">
        <v>1282</v>
      </c>
      <c r="AG1883" t="s">
        <v>1283</v>
      </c>
      <c r="AI1883" t="s">
        <v>1284</v>
      </c>
      <c r="AJ1883" t="s">
        <v>1281</v>
      </c>
      <c r="AK1883" t="str">
        <f>""</f>
        <v/>
      </c>
      <c r="AL1883" t="s">
        <v>538</v>
      </c>
      <c r="AM1883" t="s">
        <v>135</v>
      </c>
      <c r="AN1883" s="3">
        <v>22030</v>
      </c>
      <c r="AO1883" t="s">
        <v>101</v>
      </c>
      <c r="AQ1883" t="str">
        <f>"+17324282390"</f>
        <v>+17324282390</v>
      </c>
      <c r="AS1883" t="s">
        <v>1285</v>
      </c>
      <c r="AT1883" t="s">
        <v>107</v>
      </c>
      <c r="AU1883" t="str">
        <f>"Smith"</f>
        <v>Smith</v>
      </c>
      <c r="AV1883" t="str">
        <f>"Michael"</f>
        <v>Michael</v>
      </c>
      <c r="AW1883" t="str">
        <f>"Francis"</f>
        <v>Francis</v>
      </c>
      <c r="AX1883" t="str">
        <f>"1101 15TH STREET, NW"</f>
        <v>1101 15TH STREET, NW</v>
      </c>
      <c r="AY1883" t="str">
        <f>"Suite 700"</f>
        <v>Suite 700</v>
      </c>
      <c r="AZ1883" t="str">
        <f>"Washington"</f>
        <v>Washington</v>
      </c>
      <c r="BA1883" t="str">
        <f>"DC"</f>
        <v>DC</v>
      </c>
      <c r="BB1883" s="3">
        <v>20005</v>
      </c>
      <c r="BC1883" t="str">
        <f t="shared" si="152"/>
        <v>UNITED STATES OF AMERICA</v>
      </c>
      <c r="BD1883" t="str">
        <f>""</f>
        <v/>
      </c>
      <c r="BE1883" t="str">
        <f>"+12022235515"</f>
        <v>+12022235515</v>
      </c>
      <c r="BF1883" t="str">
        <f>""</f>
        <v/>
      </c>
      <c r="BG1883" t="str">
        <f>"LCATeamPham@Fragomen.com"</f>
        <v>LCATeamPham@Fragomen.com</v>
      </c>
      <c r="BH1883" t="str">
        <f>"Fragomen, Del Rey, Bernsen &amp; Loewy, LLP"</f>
        <v>Fragomen, Del Rey, Bernsen &amp; Loewy, LLP</v>
      </c>
      <c r="BI1883" t="str">
        <f>"DC"</f>
        <v>DC</v>
      </c>
      <c r="BJ1883" t="str">
        <f>"DISTRICT OF COLUMBIA COURT OF APPEALS"</f>
        <v>DISTRICT OF COLUMBIA COURT OF APPEALS</v>
      </c>
      <c r="BK1883">
        <v>1</v>
      </c>
      <c r="BL1883" t="s">
        <v>107</v>
      </c>
      <c r="BM1883" t="str">
        <f>"Fannie Mae"</f>
        <v>Fannie Mae</v>
      </c>
      <c r="BN1883" t="s">
        <v>8592</v>
      </c>
      <c r="BP1883" t="s">
        <v>297</v>
      </c>
      <c r="BQ1883" t="s">
        <v>556</v>
      </c>
      <c r="BR1883" t="s">
        <v>114</v>
      </c>
      <c r="BS1883" s="5">
        <v>75024</v>
      </c>
      <c r="BT1883" s="2">
        <v>92115</v>
      </c>
      <c r="BV1883" t="s">
        <v>105</v>
      </c>
      <c r="BW1883" s="2">
        <v>80475</v>
      </c>
      <c r="BX1883" t="s">
        <v>105</v>
      </c>
      <c r="BZ1883" t="s">
        <v>167</v>
      </c>
      <c r="CA1883" t="str">
        <f t="shared" si="153"/>
        <v>7/1/2020 - 6/30/2021</v>
      </c>
      <c r="CF1883">
        <v>2</v>
      </c>
      <c r="CG1883" t="s">
        <v>98</v>
      </c>
      <c r="CH1883" t="s">
        <v>206</v>
      </c>
      <c r="CI1883" t="s">
        <v>206</v>
      </c>
      <c r="CL1883" t="s">
        <v>108</v>
      </c>
      <c r="CM1883" t="s">
        <v>109</v>
      </c>
      <c r="CN1883" t="str">
        <f>""</f>
        <v/>
      </c>
      <c r="CO1883" t="str">
        <f>""</f>
        <v/>
      </c>
      <c r="CP1883" t="str">
        <f>""</f>
        <v/>
      </c>
      <c r="CQ1883" t="str">
        <f>""</f>
        <v/>
      </c>
    </row>
    <row r="1884" spans="1:96" x14ac:dyDescent="0.2">
      <c r="A1884" t="s">
        <v>9274</v>
      </c>
      <c r="B1884" t="s">
        <v>96</v>
      </c>
      <c r="C1884" s="1">
        <v>44099</v>
      </c>
      <c r="D1884" s="1">
        <v>44106</v>
      </c>
      <c r="F1884" t="s">
        <v>97</v>
      </c>
      <c r="G1884" t="str">
        <f>"Staff Software Engineer"</f>
        <v>Staff Software Engineer</v>
      </c>
      <c r="H1884" t="s">
        <v>12187</v>
      </c>
      <c r="I1884" t="s">
        <v>331</v>
      </c>
      <c r="J1884" t="s">
        <v>98</v>
      </c>
      <c r="K1884" s="1">
        <v>44280</v>
      </c>
      <c r="L1884" s="1">
        <v>45375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 t="s">
        <v>2834</v>
      </c>
      <c r="U1884" t="str">
        <f>""</f>
        <v/>
      </c>
      <c r="V1884" t="s">
        <v>2120</v>
      </c>
      <c r="W1884" t="str">
        <f>""</f>
        <v/>
      </c>
      <c r="X1884" t="s">
        <v>671</v>
      </c>
      <c r="Y1884" t="s">
        <v>141</v>
      </c>
      <c r="Z1884" s="3">
        <v>94085</v>
      </c>
      <c r="AA1884" t="s">
        <v>101</v>
      </c>
      <c r="AC1884" s="4" t="str">
        <f>"+16506873600"</f>
        <v>+16506873600</v>
      </c>
      <c r="AE1884" t="str">
        <f>"518210"</f>
        <v>518210</v>
      </c>
      <c r="AF1884" t="s">
        <v>2117</v>
      </c>
      <c r="AG1884" t="s">
        <v>2118</v>
      </c>
      <c r="AI1884" t="s">
        <v>2119</v>
      </c>
      <c r="AJ1884" t="s">
        <v>2120</v>
      </c>
      <c r="AK1884" t="str">
        <f>""</f>
        <v/>
      </c>
      <c r="AL1884" t="s">
        <v>671</v>
      </c>
      <c r="AM1884" t="s">
        <v>141</v>
      </c>
      <c r="AN1884" s="3">
        <v>94085</v>
      </c>
      <c r="AO1884" t="s">
        <v>101</v>
      </c>
      <c r="AQ1884" t="str">
        <f>"+16506873600"</f>
        <v>+16506873600</v>
      </c>
      <c r="AS1884" t="s">
        <v>2121</v>
      </c>
      <c r="AT1884" t="s">
        <v>107</v>
      </c>
      <c r="AU1884" t="str">
        <f>"Kivuvani"</f>
        <v>Kivuvani</v>
      </c>
      <c r="AV1884" t="str">
        <f>"Susan"</f>
        <v>Susan</v>
      </c>
      <c r="AW1884" t="str">
        <f>"Kalekye"</f>
        <v>Kalekye</v>
      </c>
      <c r="AX1884" t="str">
        <f>"2400 N Glenville Drive"</f>
        <v>2400 N Glenville Drive</v>
      </c>
      <c r="AY1884" t="str">
        <f>"Building A, Suite 100"</f>
        <v>Building A, Suite 100</v>
      </c>
      <c r="AZ1884" t="str">
        <f>"Richardson"</f>
        <v>Richardson</v>
      </c>
      <c r="BA1884" t="str">
        <f>"TX"</f>
        <v>TX</v>
      </c>
      <c r="BB1884" s="3">
        <v>75082</v>
      </c>
      <c r="BC1884" t="str">
        <f t="shared" si="152"/>
        <v>UNITED STATES OF AMERICA</v>
      </c>
      <c r="BD1884" t="str">
        <f>""</f>
        <v/>
      </c>
      <c r="BE1884" t="str">
        <f>"+14695052765"</f>
        <v>+14695052765</v>
      </c>
      <c r="BF1884" t="str">
        <f>""</f>
        <v/>
      </c>
      <c r="BG1884" t="str">
        <f>"edelacruz@balglobal.com"</f>
        <v>edelacruz@balglobal.com</v>
      </c>
      <c r="BH1884" t="str">
        <f>"Berry Appleman &amp; Leiden LLP"</f>
        <v>Berry Appleman &amp; Leiden LLP</v>
      </c>
      <c r="BI1884" t="str">
        <f>"MO"</f>
        <v>MO</v>
      </c>
      <c r="BJ1884" t="str">
        <f>"Supreme Court of Missouri"</f>
        <v>Supreme Court of Missouri</v>
      </c>
      <c r="BK1884">
        <v>1</v>
      </c>
      <c r="BL1884" t="s">
        <v>102</v>
      </c>
      <c r="BM1884" t="str">
        <f>""</f>
        <v/>
      </c>
      <c r="BN1884" t="s">
        <v>9275</v>
      </c>
      <c r="BP1884" t="s">
        <v>229</v>
      </c>
      <c r="BQ1884" t="s">
        <v>230</v>
      </c>
      <c r="BR1884" t="s">
        <v>141</v>
      </c>
      <c r="BS1884" s="5">
        <v>94085</v>
      </c>
      <c r="BT1884" s="2">
        <v>158000</v>
      </c>
      <c r="BU1884" s="2">
        <v>263000</v>
      </c>
      <c r="BV1884" t="s">
        <v>105</v>
      </c>
      <c r="BW1884" s="2">
        <v>144269</v>
      </c>
      <c r="BX1884" t="s">
        <v>105</v>
      </c>
      <c r="BZ1884" t="s">
        <v>159</v>
      </c>
      <c r="CA1884" t="str">
        <f t="shared" si="153"/>
        <v>7/1/2020 - 6/30/2021</v>
      </c>
      <c r="CF1884">
        <v>2</v>
      </c>
      <c r="CG1884" t="s">
        <v>98</v>
      </c>
      <c r="CH1884" t="s">
        <v>206</v>
      </c>
      <c r="CI1884" t="s">
        <v>206</v>
      </c>
      <c r="CL1884" t="s">
        <v>108</v>
      </c>
      <c r="CM1884" t="s">
        <v>109</v>
      </c>
      <c r="CN1884" t="str">
        <f>""</f>
        <v/>
      </c>
      <c r="CO1884" t="str">
        <f>""</f>
        <v/>
      </c>
      <c r="CP1884" t="str">
        <f>""</f>
        <v/>
      </c>
      <c r="CQ1884" t="str">
        <f>""</f>
        <v/>
      </c>
    </row>
    <row r="1885" spans="1:96" x14ac:dyDescent="0.2">
      <c r="A1885" t="s">
        <v>9282</v>
      </c>
      <c r="B1885" t="s">
        <v>96</v>
      </c>
      <c r="C1885" s="1">
        <v>44099</v>
      </c>
      <c r="D1885" s="1">
        <v>44106</v>
      </c>
      <c r="F1885" t="s">
        <v>97</v>
      </c>
      <c r="G1885" t="str">
        <f>"Sr. Manager, Operations"</f>
        <v>Sr. Manager, Operations</v>
      </c>
      <c r="H1885" t="s">
        <v>12280</v>
      </c>
      <c r="I1885" t="s">
        <v>430</v>
      </c>
      <c r="J1885" t="s">
        <v>98</v>
      </c>
      <c r="K1885" s="1">
        <v>44277</v>
      </c>
      <c r="L1885" s="1">
        <v>45372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431</v>
      </c>
      <c r="U1885" t="str">
        <f>""</f>
        <v/>
      </c>
      <c r="V1885" t="s">
        <v>432</v>
      </c>
      <c r="W1885" t="str">
        <f>""</f>
        <v/>
      </c>
      <c r="X1885" t="s">
        <v>433</v>
      </c>
      <c r="Y1885" t="s">
        <v>176</v>
      </c>
      <c r="Z1885" s="3">
        <v>98121</v>
      </c>
      <c r="AA1885" t="s">
        <v>101</v>
      </c>
      <c r="AC1885" s="4" t="str">
        <f>"+12062661000"</f>
        <v>+12062661000</v>
      </c>
      <c r="AE1885" t="str">
        <f>"45411"</f>
        <v>45411</v>
      </c>
      <c r="AF1885" t="s">
        <v>4134</v>
      </c>
      <c r="AG1885" t="s">
        <v>4135</v>
      </c>
      <c r="AH1885" t="s">
        <v>108</v>
      </c>
      <c r="AI1885" t="s">
        <v>262</v>
      </c>
      <c r="AJ1885" t="s">
        <v>432</v>
      </c>
      <c r="AK1885" t="str">
        <f>""</f>
        <v/>
      </c>
      <c r="AL1885" t="s">
        <v>261</v>
      </c>
      <c r="AM1885" t="s">
        <v>176</v>
      </c>
      <c r="AN1885" s="3">
        <v>98121</v>
      </c>
      <c r="AO1885" t="s">
        <v>101</v>
      </c>
      <c r="AQ1885" t="str">
        <f>"+12062661000"</f>
        <v>+12062661000</v>
      </c>
      <c r="AS1885" t="s">
        <v>263</v>
      </c>
      <c r="AT1885" t="s">
        <v>107</v>
      </c>
      <c r="AU1885" t="str">
        <f>"Dubitzky"</f>
        <v>Dubitzky</v>
      </c>
      <c r="AV1885" t="str">
        <f>"Michael"</f>
        <v>Michael</v>
      </c>
      <c r="AW1885" t="str">
        <f>"David"</f>
        <v>David</v>
      </c>
      <c r="AX1885" t="str">
        <f>"11 Times Square"</f>
        <v>11 Times Square</v>
      </c>
      <c r="AY1885" t="str">
        <f>"Floor 11"</f>
        <v>Floor 11</v>
      </c>
      <c r="AZ1885" t="str">
        <f>"New York"</f>
        <v>New York</v>
      </c>
      <c r="BA1885" t="str">
        <f>"NY"</f>
        <v>NY</v>
      </c>
      <c r="BB1885" s="3">
        <v>10036</v>
      </c>
      <c r="BC1885" t="str">
        <f t="shared" si="152"/>
        <v>UNITED STATES OF AMERICA</v>
      </c>
      <c r="BD1885" t="str">
        <f>""</f>
        <v/>
      </c>
      <c r="BE1885" t="str">
        <f>"+16469812075"</f>
        <v>+16469812075</v>
      </c>
      <c r="BF1885" t="str">
        <f>""</f>
        <v/>
      </c>
      <c r="BG1885" t="str">
        <f>"mdubitzky@balglobal.com"</f>
        <v>mdubitzky@balglobal.com</v>
      </c>
      <c r="BH1885" t="str">
        <f>"Berry Appleman and Leiden LLP"</f>
        <v>Berry Appleman and Leiden LLP</v>
      </c>
      <c r="BI1885" t="str">
        <f>"NY"</f>
        <v>NY</v>
      </c>
      <c r="BJ1885" t="str">
        <f>"NY Court of Appeals"</f>
        <v>NY Court of Appeals</v>
      </c>
      <c r="BK1885">
        <v>1</v>
      </c>
      <c r="BL1885" t="s">
        <v>102</v>
      </c>
      <c r="BM1885" t="str">
        <f>""</f>
        <v/>
      </c>
      <c r="BN1885" t="s">
        <v>9283</v>
      </c>
      <c r="BP1885" t="s">
        <v>9284</v>
      </c>
      <c r="BQ1885" t="s">
        <v>820</v>
      </c>
      <c r="BR1885" t="s">
        <v>577</v>
      </c>
      <c r="BS1885" s="5">
        <v>33054</v>
      </c>
      <c r="BT1885" s="2">
        <v>157200</v>
      </c>
      <c r="BV1885" t="s">
        <v>105</v>
      </c>
      <c r="BW1885" s="2">
        <v>96346</v>
      </c>
      <c r="BX1885" t="s">
        <v>105</v>
      </c>
      <c r="BZ1885" t="s">
        <v>123</v>
      </c>
      <c r="CA1885" t="str">
        <f t="shared" si="153"/>
        <v>7/1/2020 - 6/30/2021</v>
      </c>
      <c r="CF1885">
        <v>1</v>
      </c>
      <c r="CG1885" t="s">
        <v>98</v>
      </c>
      <c r="CH1885" t="s">
        <v>206</v>
      </c>
      <c r="CI1885" t="s">
        <v>206</v>
      </c>
      <c r="CL1885" t="s">
        <v>108</v>
      </c>
      <c r="CM1885" t="s">
        <v>109</v>
      </c>
      <c r="CN1885" t="str">
        <f>""</f>
        <v/>
      </c>
      <c r="CO1885" t="str">
        <f>""</f>
        <v/>
      </c>
      <c r="CP1885" t="str">
        <f>""</f>
        <v/>
      </c>
      <c r="CQ1885" t="str">
        <f>""</f>
        <v/>
      </c>
    </row>
    <row r="1886" spans="1:96" x14ac:dyDescent="0.2">
      <c r="A1886" t="s">
        <v>9285</v>
      </c>
      <c r="B1886" t="s">
        <v>96</v>
      </c>
      <c r="C1886" s="1">
        <v>44099</v>
      </c>
      <c r="D1886" s="1">
        <v>44106</v>
      </c>
      <c r="F1886" t="s">
        <v>97</v>
      </c>
      <c r="G1886" t="str">
        <f>"Engineering Supervisor"</f>
        <v>Engineering Supervisor</v>
      </c>
      <c r="H1886" t="s">
        <v>12196</v>
      </c>
      <c r="I1886" t="s">
        <v>322</v>
      </c>
      <c r="J1886" t="s">
        <v>98</v>
      </c>
      <c r="K1886" s="1">
        <v>44102</v>
      </c>
      <c r="L1886" s="1">
        <v>44831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 t="s">
        <v>5173</v>
      </c>
      <c r="U1886" t="str">
        <f>""</f>
        <v/>
      </c>
      <c r="V1886" t="s">
        <v>9286</v>
      </c>
      <c r="W1886" t="str">
        <f>""</f>
        <v/>
      </c>
      <c r="X1886" t="s">
        <v>2466</v>
      </c>
      <c r="Y1886" t="s">
        <v>345</v>
      </c>
      <c r="Z1886" s="3">
        <v>60045</v>
      </c>
      <c r="AA1886" t="s">
        <v>101</v>
      </c>
      <c r="AC1886" s="4" t="str">
        <f>"+18474505000"</f>
        <v>+18474505000</v>
      </c>
      <c r="AD1886">
        <v>5605</v>
      </c>
      <c r="AE1886" t="str">
        <f>"3363"</f>
        <v>3363</v>
      </c>
      <c r="AF1886" t="s">
        <v>5731</v>
      </c>
      <c r="AG1886" t="s">
        <v>5300</v>
      </c>
      <c r="AI1886" t="s">
        <v>2605</v>
      </c>
      <c r="AJ1886" t="s">
        <v>9286</v>
      </c>
      <c r="AK1886" t="str">
        <f>""</f>
        <v/>
      </c>
      <c r="AL1886" t="s">
        <v>2466</v>
      </c>
      <c r="AM1886" t="s">
        <v>345</v>
      </c>
      <c r="AN1886" s="3">
        <v>60045</v>
      </c>
      <c r="AO1886" t="s">
        <v>101</v>
      </c>
      <c r="AQ1886" t="str">
        <f>"+18474825605"</f>
        <v>+18474825605</v>
      </c>
      <c r="AS1886" t="s">
        <v>9287</v>
      </c>
      <c r="AT1886" t="s">
        <v>107</v>
      </c>
      <c r="AU1886" t="str">
        <f>"Bressler"</f>
        <v>Bressler</v>
      </c>
      <c r="AV1886" t="str">
        <f>"Delisa"</f>
        <v>Delisa</v>
      </c>
      <c r="AW1886" t="str">
        <f>"Joy Futch"</f>
        <v>Joy Futch</v>
      </c>
      <c r="AX1886" t="str">
        <f>"912 S Capital of Texas Hwy"</f>
        <v>912 S Capital of Texas Hwy</v>
      </c>
      <c r="AY1886" t="str">
        <f>"Suite 450"</f>
        <v>Suite 450</v>
      </c>
      <c r="AZ1886" t="str">
        <f>"West Lake Hills"</f>
        <v>West Lake Hills</v>
      </c>
      <c r="BA1886" t="str">
        <f>"TX"</f>
        <v>TX</v>
      </c>
      <c r="BB1886" s="3">
        <v>78746</v>
      </c>
      <c r="BC1886" t="str">
        <f t="shared" si="152"/>
        <v>UNITED STATES OF AMERICA</v>
      </c>
      <c r="BD1886" t="str">
        <f>""</f>
        <v/>
      </c>
      <c r="BE1886" t="str">
        <f>"+15128524175"</f>
        <v>+15128524175</v>
      </c>
      <c r="BF1886" t="str">
        <f>""</f>
        <v/>
      </c>
      <c r="BG1886" t="str">
        <f>"dbressler@fosterglobal.com"</f>
        <v>dbressler@fosterglobal.com</v>
      </c>
      <c r="BH1886" t="str">
        <f>"Foster LLP"</f>
        <v>Foster LLP</v>
      </c>
      <c r="BI1886" t="str">
        <f>"TX"</f>
        <v>TX</v>
      </c>
      <c r="BJ1886" t="str">
        <f>"Supreme Court"</f>
        <v>Supreme Court</v>
      </c>
      <c r="BK1886">
        <v>1</v>
      </c>
      <c r="BL1886" t="s">
        <v>102</v>
      </c>
      <c r="BM1886" t="str">
        <f>""</f>
        <v/>
      </c>
      <c r="BN1886" t="s">
        <v>9288</v>
      </c>
      <c r="BP1886" t="s">
        <v>3622</v>
      </c>
      <c r="BQ1886" t="s">
        <v>626</v>
      </c>
      <c r="BR1886" t="s">
        <v>265</v>
      </c>
      <c r="BS1886" s="5">
        <v>48161</v>
      </c>
      <c r="BT1886" s="2">
        <v>100500</v>
      </c>
      <c r="BV1886" t="s">
        <v>105</v>
      </c>
      <c r="BW1886" s="2">
        <v>88750</v>
      </c>
      <c r="BX1886" t="s">
        <v>105</v>
      </c>
      <c r="CA1886" t="str">
        <f>""</f>
        <v/>
      </c>
      <c r="CB1886" t="s">
        <v>244</v>
      </c>
      <c r="CC1886">
        <v>2019</v>
      </c>
      <c r="CD1886" t="s">
        <v>6124</v>
      </c>
      <c r="CE1886" t="s">
        <v>7786</v>
      </c>
      <c r="CF1886">
        <v>1</v>
      </c>
      <c r="CG1886" t="s">
        <v>98</v>
      </c>
      <c r="CH1886" t="s">
        <v>206</v>
      </c>
      <c r="CI1886" t="s">
        <v>206</v>
      </c>
      <c r="CL1886" t="s">
        <v>108</v>
      </c>
      <c r="CM1886" t="s">
        <v>353</v>
      </c>
      <c r="CN1886" t="str">
        <f>""</f>
        <v/>
      </c>
      <c r="CO1886" t="str">
        <f>""</f>
        <v/>
      </c>
      <c r="CP1886" t="str">
        <f>""</f>
        <v/>
      </c>
      <c r="CQ1886" t="str">
        <f>""</f>
        <v/>
      </c>
    </row>
    <row r="1887" spans="1:96" x14ac:dyDescent="0.2">
      <c r="A1887" t="s">
        <v>9301</v>
      </c>
      <c r="B1887" t="s">
        <v>96</v>
      </c>
      <c r="C1887" s="1">
        <v>44099</v>
      </c>
      <c r="D1887" s="1">
        <v>44106</v>
      </c>
      <c r="F1887" t="s">
        <v>97</v>
      </c>
      <c r="G1887" t="str">
        <f>"Program Manager II"</f>
        <v>Program Manager II</v>
      </c>
      <c r="H1887" t="s">
        <v>12168</v>
      </c>
      <c r="I1887" t="s">
        <v>249</v>
      </c>
      <c r="J1887" t="s">
        <v>98</v>
      </c>
      <c r="K1887" s="1">
        <v>44109</v>
      </c>
      <c r="L1887" s="1">
        <v>45203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431</v>
      </c>
      <c r="U1887" t="str">
        <f>""</f>
        <v/>
      </c>
      <c r="V1887" t="s">
        <v>432</v>
      </c>
      <c r="W1887" t="str">
        <f>""</f>
        <v/>
      </c>
      <c r="X1887" t="s">
        <v>433</v>
      </c>
      <c r="Y1887" t="s">
        <v>176</v>
      </c>
      <c r="Z1887" s="3">
        <v>98121</v>
      </c>
      <c r="AA1887" t="s">
        <v>101</v>
      </c>
      <c r="AC1887" s="4" t="str">
        <f>"+12062661000"</f>
        <v>+12062661000</v>
      </c>
      <c r="AE1887" t="str">
        <f>"45411"</f>
        <v>45411</v>
      </c>
      <c r="AF1887" t="s">
        <v>4134</v>
      </c>
      <c r="AG1887" t="s">
        <v>4135</v>
      </c>
      <c r="AH1887" t="s">
        <v>108</v>
      </c>
      <c r="AI1887" t="s">
        <v>262</v>
      </c>
      <c r="AJ1887" t="s">
        <v>432</v>
      </c>
      <c r="AK1887" t="str">
        <f>""</f>
        <v/>
      </c>
      <c r="AL1887" t="s">
        <v>261</v>
      </c>
      <c r="AM1887" t="s">
        <v>176</v>
      </c>
      <c r="AN1887" s="3">
        <v>98121</v>
      </c>
      <c r="AO1887" t="s">
        <v>101</v>
      </c>
      <c r="AQ1887" t="str">
        <f>"+12062661000"</f>
        <v>+12062661000</v>
      </c>
      <c r="AS1887" t="s">
        <v>263</v>
      </c>
      <c r="AT1887" t="s">
        <v>107</v>
      </c>
      <c r="AU1887" t="str">
        <f>"Ortiz"</f>
        <v>Ortiz</v>
      </c>
      <c r="AV1887" t="str">
        <f>"Guillermo"</f>
        <v>Guillermo</v>
      </c>
      <c r="AW1887" t="str">
        <f>"N/A"</f>
        <v>N/A</v>
      </c>
      <c r="AX1887" t="str">
        <f>"2400 North Glenville Drive"</f>
        <v>2400 North Glenville Drive</v>
      </c>
      <c r="AY1887" t="str">
        <f>"Bldg. A, Suite 100"</f>
        <v>Bldg. A, Suite 100</v>
      </c>
      <c r="AZ1887" t="str">
        <f>"Richardson"</f>
        <v>Richardson</v>
      </c>
      <c r="BA1887" t="str">
        <f>"TX"</f>
        <v>TX</v>
      </c>
      <c r="BB1887" s="3">
        <v>75082</v>
      </c>
      <c r="BC1887" t="str">
        <f t="shared" si="152"/>
        <v>UNITED STATES OF AMERICA</v>
      </c>
      <c r="BD1887" t="str">
        <f>""</f>
        <v/>
      </c>
      <c r="BE1887" t="str">
        <f>"+19727296035"</f>
        <v>+19727296035</v>
      </c>
      <c r="BF1887" t="str">
        <f>""</f>
        <v/>
      </c>
      <c r="BG1887" t="str">
        <f>"rmehboob@balglobal.com"</f>
        <v>rmehboob@balglobal.com</v>
      </c>
      <c r="BH1887" t="str">
        <f>"Berry Appleman and Leiden LLP"</f>
        <v>Berry Appleman and Leiden LLP</v>
      </c>
      <c r="BI1887" t="str">
        <f>"TX"</f>
        <v>TX</v>
      </c>
      <c r="BJ1887" t="str">
        <f>"Texas Supreme Court"</f>
        <v>Texas Supreme Court</v>
      </c>
      <c r="BK1887">
        <v>1</v>
      </c>
      <c r="BL1887" t="s">
        <v>102</v>
      </c>
      <c r="BM1887" t="str">
        <f>""</f>
        <v/>
      </c>
      <c r="BN1887" t="s">
        <v>8855</v>
      </c>
      <c r="BP1887" t="s">
        <v>261</v>
      </c>
      <c r="BQ1887" t="s">
        <v>183</v>
      </c>
      <c r="BR1887" t="s">
        <v>176</v>
      </c>
      <c r="BS1887" s="5">
        <v>98109</v>
      </c>
      <c r="BT1887" s="2">
        <v>108600</v>
      </c>
      <c r="BV1887" t="s">
        <v>105</v>
      </c>
      <c r="BW1887" s="2">
        <v>77875</v>
      </c>
      <c r="BX1887" t="s">
        <v>105</v>
      </c>
      <c r="BZ1887" t="s">
        <v>167</v>
      </c>
      <c r="CA1887" t="str">
        <f t="shared" ref="CA1887:CA1892" si="154">"7/1/2020 - 6/30/2021"</f>
        <v>7/1/2020 - 6/30/2021</v>
      </c>
      <c r="CF1887">
        <v>2</v>
      </c>
      <c r="CG1887" t="s">
        <v>98</v>
      </c>
      <c r="CH1887" t="s">
        <v>206</v>
      </c>
      <c r="CI1887" t="s">
        <v>206</v>
      </c>
      <c r="CL1887" t="s">
        <v>108</v>
      </c>
      <c r="CM1887" t="s">
        <v>109</v>
      </c>
      <c r="CN1887" t="str">
        <f>""</f>
        <v/>
      </c>
      <c r="CO1887" t="str">
        <f>""</f>
        <v/>
      </c>
      <c r="CP1887" t="str">
        <f>""</f>
        <v/>
      </c>
      <c r="CQ1887" t="str">
        <f>""</f>
        <v/>
      </c>
    </row>
    <row r="1888" spans="1:96" x14ac:dyDescent="0.2">
      <c r="A1888" t="s">
        <v>9309</v>
      </c>
      <c r="B1888" t="s">
        <v>96</v>
      </c>
      <c r="C1888" s="1">
        <v>44099</v>
      </c>
      <c r="D1888" s="1">
        <v>44106</v>
      </c>
      <c r="F1888" t="s">
        <v>97</v>
      </c>
      <c r="G1888" t="str">
        <f>"GLOBAL SUPPORT PROGRAM SPECIALIST"</f>
        <v>GLOBAL SUPPORT PROGRAM SPECIALIST</v>
      </c>
      <c r="H1888" t="s">
        <v>12214</v>
      </c>
      <c r="I1888" t="s">
        <v>276</v>
      </c>
      <c r="J1888" t="s">
        <v>98</v>
      </c>
      <c r="K1888" s="1">
        <v>44280</v>
      </c>
      <c r="L1888" s="1">
        <v>45375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 t="s">
        <v>1215</v>
      </c>
      <c r="U1888" t="str">
        <f>""</f>
        <v/>
      </c>
      <c r="V1888" t="s">
        <v>1216</v>
      </c>
      <c r="W1888" t="str">
        <f>"4TH FLOOR"</f>
        <v>4TH FLOOR</v>
      </c>
      <c r="X1888" t="s">
        <v>147</v>
      </c>
      <c r="Y1888" t="s">
        <v>141</v>
      </c>
      <c r="Z1888" s="3">
        <v>94103</v>
      </c>
      <c r="AA1888" t="s">
        <v>101</v>
      </c>
      <c r="AC1888" s="4" t="str">
        <f>"+14152312438"</f>
        <v>+14152312438</v>
      </c>
      <c r="AE1888" t="str">
        <f>"541511"</f>
        <v>541511</v>
      </c>
      <c r="AF1888" t="s">
        <v>1217</v>
      </c>
      <c r="AG1888" t="s">
        <v>1218</v>
      </c>
      <c r="AI1888" t="s">
        <v>1219</v>
      </c>
      <c r="AJ1888" t="s">
        <v>1216</v>
      </c>
      <c r="AK1888" t="str">
        <f>"4TH FLOOR"</f>
        <v>4TH FLOOR</v>
      </c>
      <c r="AL1888" t="s">
        <v>147</v>
      </c>
      <c r="AM1888" t="s">
        <v>141</v>
      </c>
      <c r="AN1888" s="3">
        <v>94103</v>
      </c>
      <c r="AO1888" t="s">
        <v>101</v>
      </c>
      <c r="AQ1888" t="str">
        <f>"+14152312438"</f>
        <v>+14152312438</v>
      </c>
      <c r="AS1888" t="s">
        <v>1220</v>
      </c>
      <c r="AT1888" t="s">
        <v>107</v>
      </c>
      <c r="AU1888" t="str">
        <f>"KHOL"</f>
        <v>KHOL</v>
      </c>
      <c r="AV1888" t="str">
        <f>"KATHY"</f>
        <v>KATHY</v>
      </c>
      <c r="AW1888" t="str">
        <f>"ANN"</f>
        <v>ANN</v>
      </c>
      <c r="AX1888" t="str">
        <f>"555 MONTGOMERY STREET"</f>
        <v>555 MONTGOMERY STREET</v>
      </c>
      <c r="AY1888" t="str">
        <f>"4TH FLOOR   #5267714"</f>
        <v>4TH FLOOR   #5267714</v>
      </c>
      <c r="AZ1888" t="str">
        <f>"SAN FRANCISCO"</f>
        <v>SAN FRANCISCO</v>
      </c>
      <c r="BA1888" t="str">
        <f>"CA"</f>
        <v>CA</v>
      </c>
      <c r="BB1888" s="3">
        <v>94111</v>
      </c>
      <c r="BC1888" t="str">
        <f t="shared" si="152"/>
        <v>UNITED STATES OF AMERICA</v>
      </c>
      <c r="BD1888" t="str">
        <f>""</f>
        <v/>
      </c>
      <c r="BE1888" t="str">
        <f>"+14159861446"</f>
        <v>+14159861446</v>
      </c>
      <c r="BF1888" t="str">
        <f>""</f>
        <v/>
      </c>
      <c r="BG1888" t="str">
        <f>"UBERNIV@FRAGOMEN.COM"</f>
        <v>UBERNIV@FRAGOMEN.COM</v>
      </c>
      <c r="BH1888" t="str">
        <f>"FRAGOMEN, DEL REY, BERNSEN &amp; LOEWY, LLP"</f>
        <v>FRAGOMEN, DEL REY, BERNSEN &amp; LOEWY, LLP</v>
      </c>
      <c r="BI1888" t="str">
        <f>"CA"</f>
        <v>CA</v>
      </c>
      <c r="BJ1888" t="str">
        <f>"SUPREME COURT"</f>
        <v>SUPREME COURT</v>
      </c>
      <c r="BK1888">
        <v>1</v>
      </c>
      <c r="BL1888" t="s">
        <v>102</v>
      </c>
      <c r="BM1888" t="str">
        <f>""</f>
        <v/>
      </c>
      <c r="BN1888" t="s">
        <v>7545</v>
      </c>
      <c r="BP1888" t="s">
        <v>147</v>
      </c>
      <c r="BQ1888" t="s">
        <v>147</v>
      </c>
      <c r="BR1888" t="s">
        <v>141</v>
      </c>
      <c r="BS1888" s="5">
        <v>94105</v>
      </c>
      <c r="BT1888" s="2">
        <v>114350</v>
      </c>
      <c r="BV1888" t="s">
        <v>105</v>
      </c>
      <c r="BW1888" s="2">
        <v>89149</v>
      </c>
      <c r="BX1888" t="s">
        <v>105</v>
      </c>
      <c r="BZ1888" t="s">
        <v>167</v>
      </c>
      <c r="CA1888" t="str">
        <f t="shared" si="154"/>
        <v>7/1/2020 - 6/30/2021</v>
      </c>
      <c r="CF1888">
        <v>1</v>
      </c>
      <c r="CG1888" t="s">
        <v>98</v>
      </c>
      <c r="CH1888" t="s">
        <v>206</v>
      </c>
      <c r="CI1888" t="s">
        <v>206</v>
      </c>
      <c r="CL1888" t="s">
        <v>108</v>
      </c>
      <c r="CM1888" t="s">
        <v>109</v>
      </c>
      <c r="CN1888" t="str">
        <f>"KHOL"</f>
        <v>KHOL</v>
      </c>
      <c r="CO1888" t="str">
        <f>"KATHY"</f>
        <v>KATHY</v>
      </c>
      <c r="CP1888" t="str">
        <f>"A"</f>
        <v>A</v>
      </c>
      <c r="CQ1888" t="str">
        <f>"FRAGOMEN, DEL REY, BERNSEN &amp; LOEWY, LLP"</f>
        <v>FRAGOMEN, DEL REY, BERNSEN &amp; LOEWY, LLP</v>
      </c>
      <c r="CR1888" t="s">
        <v>1221</v>
      </c>
    </row>
    <row r="1889" spans="1:96" x14ac:dyDescent="0.2">
      <c r="A1889" t="s">
        <v>9320</v>
      </c>
      <c r="B1889" t="s">
        <v>96</v>
      </c>
      <c r="C1889" s="1">
        <v>44099</v>
      </c>
      <c r="D1889" s="1">
        <v>44106</v>
      </c>
      <c r="F1889" t="s">
        <v>97</v>
      </c>
      <c r="G1889" t="str">
        <f>"Sr.  Research Technician"</f>
        <v>Sr.  Research Technician</v>
      </c>
      <c r="H1889" t="s">
        <v>12223</v>
      </c>
      <c r="I1889" t="s">
        <v>486</v>
      </c>
      <c r="J1889" t="s">
        <v>98</v>
      </c>
      <c r="K1889" s="1">
        <v>44119</v>
      </c>
      <c r="L1889" s="1">
        <v>45213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1862</v>
      </c>
      <c r="U1889" t="str">
        <f>""</f>
        <v/>
      </c>
      <c r="V1889" t="s">
        <v>1863</v>
      </c>
      <c r="W1889" t="str">
        <f>""</f>
        <v/>
      </c>
      <c r="X1889" t="s">
        <v>207</v>
      </c>
      <c r="Y1889" t="s">
        <v>171</v>
      </c>
      <c r="Z1889" s="3">
        <v>2215</v>
      </c>
      <c r="AA1889" t="s">
        <v>101</v>
      </c>
      <c r="AC1889" s="4" t="str">
        <f>"+16176323063"</f>
        <v>+16176323063</v>
      </c>
      <c r="AE1889" t="str">
        <f>"541714"</f>
        <v>541714</v>
      </c>
      <c r="AF1889" t="s">
        <v>1864</v>
      </c>
      <c r="AG1889" t="s">
        <v>1865</v>
      </c>
      <c r="AH1889" t="s">
        <v>339</v>
      </c>
      <c r="AI1889" t="s">
        <v>910</v>
      </c>
      <c r="AJ1889" t="s">
        <v>1863</v>
      </c>
      <c r="AK1889" t="str">
        <f>""</f>
        <v/>
      </c>
      <c r="AL1889" t="s">
        <v>207</v>
      </c>
      <c r="AM1889" t="s">
        <v>171</v>
      </c>
      <c r="AN1889" s="3">
        <v>2215</v>
      </c>
      <c r="AO1889" t="s">
        <v>101</v>
      </c>
      <c r="AQ1889" t="str">
        <f>"+16176323063"</f>
        <v>+16176323063</v>
      </c>
      <c r="AS1889" t="s">
        <v>1866</v>
      </c>
      <c r="AT1889" t="s">
        <v>102</v>
      </c>
      <c r="AU1889" t="str">
        <f>""</f>
        <v/>
      </c>
      <c r="AV1889" t="str">
        <f>""</f>
        <v/>
      </c>
      <c r="AW1889" t="str">
        <f>""</f>
        <v/>
      </c>
      <c r="AX1889" t="str">
        <f>""</f>
        <v/>
      </c>
      <c r="AY1889" t="str">
        <f>""</f>
        <v/>
      </c>
      <c r="AZ1889" t="str">
        <f>""</f>
        <v/>
      </c>
      <c r="BA1889" t="str">
        <f>""</f>
        <v/>
      </c>
      <c r="BC1889" t="str">
        <f>""</f>
        <v/>
      </c>
      <c r="BD1889" t="str">
        <f>""</f>
        <v/>
      </c>
      <c r="BE1889" t="str">
        <f>""</f>
        <v/>
      </c>
      <c r="BF1889" t="str">
        <f>""</f>
        <v/>
      </c>
      <c r="BG1889" t="str">
        <f>""</f>
        <v/>
      </c>
      <c r="BH1889" t="str">
        <f>""</f>
        <v/>
      </c>
      <c r="BI1889" t="str">
        <f>""</f>
        <v/>
      </c>
      <c r="BJ1889" t="str">
        <f>""</f>
        <v/>
      </c>
      <c r="BK1889">
        <v>1</v>
      </c>
      <c r="BL1889" t="s">
        <v>102</v>
      </c>
      <c r="BM1889" t="str">
        <f>""</f>
        <v/>
      </c>
      <c r="BN1889" t="s">
        <v>1863</v>
      </c>
      <c r="BP1889" t="s">
        <v>207</v>
      </c>
      <c r="BQ1889" t="s">
        <v>209</v>
      </c>
      <c r="BR1889" t="s">
        <v>171</v>
      </c>
      <c r="BS1889" s="5">
        <v>2215</v>
      </c>
      <c r="BT1889" s="2">
        <v>45884</v>
      </c>
      <c r="BU1889" s="2">
        <v>45884.800000000003</v>
      </c>
      <c r="BV1889" t="s">
        <v>105</v>
      </c>
      <c r="BW1889" s="2">
        <v>39187</v>
      </c>
      <c r="BX1889" t="s">
        <v>105</v>
      </c>
      <c r="BZ1889" t="s">
        <v>191</v>
      </c>
      <c r="CA1889" t="str">
        <f t="shared" si="154"/>
        <v>7/1/2020 - 6/30/2021</v>
      </c>
      <c r="CF1889">
        <v>1</v>
      </c>
      <c r="CG1889" t="s">
        <v>98</v>
      </c>
      <c r="CH1889" t="s">
        <v>206</v>
      </c>
      <c r="CI1889" t="s">
        <v>206</v>
      </c>
      <c r="CL1889" t="s">
        <v>108</v>
      </c>
      <c r="CM1889" t="s">
        <v>353</v>
      </c>
      <c r="CN1889" t="str">
        <f>""</f>
        <v/>
      </c>
      <c r="CO1889" t="str">
        <f>""</f>
        <v/>
      </c>
      <c r="CP1889" t="str">
        <f>""</f>
        <v/>
      </c>
      <c r="CQ1889" t="str">
        <f>""</f>
        <v/>
      </c>
    </row>
    <row r="1890" spans="1:96" x14ac:dyDescent="0.2">
      <c r="A1890" t="s">
        <v>9331</v>
      </c>
      <c r="B1890" t="s">
        <v>96</v>
      </c>
      <c r="C1890" s="1">
        <v>44099</v>
      </c>
      <c r="D1890" s="1">
        <v>44106</v>
      </c>
      <c r="F1890" t="s">
        <v>97</v>
      </c>
      <c r="G1890" t="str">
        <f>"SOFTWARE DEVELOPER"</f>
        <v>SOFTWARE DEVELOPER</v>
      </c>
      <c r="H1890" t="s">
        <v>12176</v>
      </c>
      <c r="I1890" t="s">
        <v>246</v>
      </c>
      <c r="J1890" t="s">
        <v>98</v>
      </c>
      <c r="K1890" s="1">
        <v>44105</v>
      </c>
      <c r="L1890" s="1">
        <v>45199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2992</v>
      </c>
      <c r="U1890" t="str">
        <f>""</f>
        <v/>
      </c>
      <c r="V1890" t="s">
        <v>2993</v>
      </c>
      <c r="W1890" t="str">
        <f>""</f>
        <v/>
      </c>
      <c r="X1890" t="s">
        <v>2994</v>
      </c>
      <c r="Y1890" t="s">
        <v>141</v>
      </c>
      <c r="Z1890" s="3">
        <v>94544</v>
      </c>
      <c r="AA1890" t="s">
        <v>101</v>
      </c>
      <c r="AC1890" s="4" t="str">
        <f>"+12146063934"</f>
        <v>+12146063934</v>
      </c>
      <c r="AE1890" t="str">
        <f>"541511"</f>
        <v>541511</v>
      </c>
      <c r="AF1890" t="s">
        <v>2995</v>
      </c>
      <c r="AG1890" t="s">
        <v>2996</v>
      </c>
      <c r="AI1890" t="s">
        <v>1586</v>
      </c>
      <c r="AJ1890" t="s">
        <v>2993</v>
      </c>
      <c r="AK1890" t="str">
        <f>""</f>
        <v/>
      </c>
      <c r="AL1890" t="s">
        <v>2994</v>
      </c>
      <c r="AM1890" t="s">
        <v>141</v>
      </c>
      <c r="AN1890" s="3">
        <v>94544</v>
      </c>
      <c r="AO1890" t="s">
        <v>101</v>
      </c>
      <c r="AQ1890" t="str">
        <f>"+12146063934"</f>
        <v>+12146063934</v>
      </c>
      <c r="AS1890" t="s">
        <v>2997</v>
      </c>
      <c r="AT1890" t="s">
        <v>107</v>
      </c>
      <c r="AU1890" t="str">
        <f>"Akula"</f>
        <v>Akula</v>
      </c>
      <c r="AV1890" t="str">
        <f>"Kavitha"</f>
        <v>Kavitha</v>
      </c>
      <c r="AW1890" t="str">
        <f>""</f>
        <v/>
      </c>
      <c r="AX1890" t="str">
        <f>"17400 DALLAS PKWY"</f>
        <v>17400 DALLAS PKWY</v>
      </c>
      <c r="AY1890" t="str">
        <f>"SUITE 216"</f>
        <v>SUITE 216</v>
      </c>
      <c r="AZ1890" t="str">
        <f>"DALLAS"</f>
        <v>DALLAS</v>
      </c>
      <c r="BA1890" t="str">
        <f>"TX"</f>
        <v>TX</v>
      </c>
      <c r="BB1890" s="3">
        <v>75287</v>
      </c>
      <c r="BC1890" t="str">
        <f>"UNITED STATES OF AMERICA"</f>
        <v>UNITED STATES OF AMERICA</v>
      </c>
      <c r="BD1890" t="str">
        <f>""</f>
        <v/>
      </c>
      <c r="BE1890" t="str">
        <f>"+19722414698"</f>
        <v>+19722414698</v>
      </c>
      <c r="BF1890" t="str">
        <f>""</f>
        <v/>
      </c>
      <c r="BG1890" t="str">
        <f>"erika.sanchez@akulalaw.com"</f>
        <v>erika.sanchez@akulalaw.com</v>
      </c>
      <c r="BH1890" t="str">
        <f>"Akula &amp; Associates, P.C."</f>
        <v>Akula &amp; Associates, P.C.</v>
      </c>
      <c r="BI1890" t="str">
        <f>"TX"</f>
        <v>TX</v>
      </c>
      <c r="BJ1890" t="str">
        <f>"SUPREME COURT"</f>
        <v>SUPREME COURT</v>
      </c>
      <c r="BK1890">
        <v>1</v>
      </c>
      <c r="BL1890" t="s">
        <v>107</v>
      </c>
      <c r="BM1890" t="str">
        <f>"KELLOGG COMPANY"</f>
        <v>KELLOGG COMPANY</v>
      </c>
      <c r="BN1890" t="s">
        <v>2998</v>
      </c>
      <c r="BP1890" t="s">
        <v>2999</v>
      </c>
      <c r="BQ1890" t="s">
        <v>1382</v>
      </c>
      <c r="BR1890" t="s">
        <v>345</v>
      </c>
      <c r="BS1890" s="5">
        <v>60523</v>
      </c>
      <c r="BT1890" s="2">
        <v>87838</v>
      </c>
      <c r="BU1890" s="2">
        <v>100000</v>
      </c>
      <c r="BV1890" t="s">
        <v>105</v>
      </c>
      <c r="BW1890" s="2">
        <v>87838</v>
      </c>
      <c r="BX1890" t="s">
        <v>105</v>
      </c>
      <c r="BZ1890" t="s">
        <v>167</v>
      </c>
      <c r="CA1890" t="str">
        <f t="shared" si="154"/>
        <v>7/1/2020 - 6/30/2021</v>
      </c>
      <c r="CF1890">
        <v>1</v>
      </c>
      <c r="CG1890" t="s">
        <v>98</v>
      </c>
      <c r="CH1890" t="s">
        <v>206</v>
      </c>
      <c r="CI1890" t="s">
        <v>206</v>
      </c>
      <c r="CL1890" t="s">
        <v>108</v>
      </c>
      <c r="CM1890" t="s">
        <v>109</v>
      </c>
      <c r="CN1890" t="str">
        <f>""</f>
        <v/>
      </c>
      <c r="CO1890" t="str">
        <f>""</f>
        <v/>
      </c>
      <c r="CP1890" t="str">
        <f>""</f>
        <v/>
      </c>
      <c r="CQ1890" t="str">
        <f>""</f>
        <v/>
      </c>
    </row>
    <row r="1891" spans="1:96" x14ac:dyDescent="0.2">
      <c r="A1891" t="s">
        <v>9332</v>
      </c>
      <c r="B1891" t="s">
        <v>96</v>
      </c>
      <c r="C1891" s="1">
        <v>44099</v>
      </c>
      <c r="D1891" s="1">
        <v>44106</v>
      </c>
      <c r="F1891" t="s">
        <v>97</v>
      </c>
      <c r="G1891" t="str">
        <f>"Computer Systems Analyst 3"</f>
        <v>Computer Systems Analyst 3</v>
      </c>
      <c r="H1891" t="s">
        <v>12181</v>
      </c>
      <c r="I1891" t="s">
        <v>110</v>
      </c>
      <c r="J1891" t="s">
        <v>98</v>
      </c>
      <c r="K1891" s="1">
        <v>44105</v>
      </c>
      <c r="L1891" s="1">
        <v>45199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 t="s">
        <v>838</v>
      </c>
      <c r="U1891" t="str">
        <f>""</f>
        <v/>
      </c>
      <c r="V1891" t="s">
        <v>839</v>
      </c>
      <c r="W1891" t="str">
        <f>""</f>
        <v/>
      </c>
      <c r="X1891" t="s">
        <v>833</v>
      </c>
      <c r="Y1891" t="s">
        <v>345</v>
      </c>
      <c r="Z1891" s="3">
        <v>60601</v>
      </c>
      <c r="AA1891" t="s">
        <v>101</v>
      </c>
      <c r="AC1891" s="4" t="str">
        <f>"+13126930161"</f>
        <v>+13126930161</v>
      </c>
      <c r="AE1891" t="str">
        <f>"5416"</f>
        <v>5416</v>
      </c>
      <c r="AF1891" t="s">
        <v>840</v>
      </c>
      <c r="AG1891" t="s">
        <v>841</v>
      </c>
      <c r="AI1891" t="s">
        <v>417</v>
      </c>
      <c r="AJ1891" t="s">
        <v>842</v>
      </c>
      <c r="AK1891" t="str">
        <f>""</f>
        <v/>
      </c>
      <c r="AL1891" t="s">
        <v>843</v>
      </c>
      <c r="AM1891" t="s">
        <v>345</v>
      </c>
      <c r="AN1891" s="3">
        <v>60601</v>
      </c>
      <c r="AO1891" t="s">
        <v>101</v>
      </c>
      <c r="AQ1891" t="str">
        <f>"+13126932825"</f>
        <v>+13126932825</v>
      </c>
      <c r="AS1891" t="s">
        <v>844</v>
      </c>
      <c r="AT1891" t="s">
        <v>102</v>
      </c>
      <c r="AU1891" t="str">
        <f>""</f>
        <v/>
      </c>
      <c r="AV1891" t="str">
        <f>""</f>
        <v/>
      </c>
      <c r="AW1891" t="str">
        <f>""</f>
        <v/>
      </c>
      <c r="AX1891" t="str">
        <f>""</f>
        <v/>
      </c>
      <c r="AY1891" t="str">
        <f>""</f>
        <v/>
      </c>
      <c r="AZ1891" t="str">
        <f>""</f>
        <v/>
      </c>
      <c r="BA1891" t="str">
        <f>""</f>
        <v/>
      </c>
      <c r="BC1891" t="str">
        <f>""</f>
        <v/>
      </c>
      <c r="BD1891" t="str">
        <f>""</f>
        <v/>
      </c>
      <c r="BE1891" t="str">
        <f>""</f>
        <v/>
      </c>
      <c r="BF1891" t="str">
        <f>""</f>
        <v/>
      </c>
      <c r="BG1891" t="str">
        <f>""</f>
        <v/>
      </c>
      <c r="BH1891" t="str">
        <f>""</f>
        <v/>
      </c>
      <c r="BI1891" t="str">
        <f>""</f>
        <v/>
      </c>
      <c r="BJ1891" t="str">
        <f>""</f>
        <v/>
      </c>
      <c r="BK1891">
        <v>1</v>
      </c>
      <c r="BL1891" t="s">
        <v>102</v>
      </c>
      <c r="BM1891" t="str">
        <f>""</f>
        <v/>
      </c>
      <c r="BN1891" t="s">
        <v>9333</v>
      </c>
      <c r="BO1891" t="s">
        <v>1141</v>
      </c>
      <c r="BP1891" t="s">
        <v>6128</v>
      </c>
      <c r="BQ1891" t="s">
        <v>6128</v>
      </c>
      <c r="BR1891" t="s">
        <v>265</v>
      </c>
      <c r="BS1891" s="5">
        <v>48603</v>
      </c>
      <c r="BT1891" s="2">
        <v>99350</v>
      </c>
      <c r="BU1891" s="2">
        <v>172400</v>
      </c>
      <c r="BV1891" t="s">
        <v>105</v>
      </c>
      <c r="BW1891" s="2">
        <v>75275</v>
      </c>
      <c r="BX1891" t="s">
        <v>105</v>
      </c>
      <c r="BZ1891" t="s">
        <v>123</v>
      </c>
      <c r="CA1891" t="str">
        <f t="shared" si="154"/>
        <v>7/1/2020 - 6/30/2021</v>
      </c>
      <c r="CF1891">
        <v>1</v>
      </c>
      <c r="CG1891" t="s">
        <v>98</v>
      </c>
      <c r="CH1891" t="s">
        <v>206</v>
      </c>
      <c r="CI1891" t="s">
        <v>206</v>
      </c>
      <c r="CL1891" t="s">
        <v>108</v>
      </c>
      <c r="CM1891" t="s">
        <v>109</v>
      </c>
      <c r="CN1891" t="str">
        <f>""</f>
        <v/>
      </c>
      <c r="CO1891" t="str">
        <f>""</f>
        <v/>
      </c>
      <c r="CP1891" t="str">
        <f>""</f>
        <v/>
      </c>
      <c r="CQ1891" t="str">
        <f>""</f>
        <v/>
      </c>
    </row>
    <row r="1892" spans="1:96" x14ac:dyDescent="0.2">
      <c r="A1892" t="s">
        <v>9334</v>
      </c>
      <c r="B1892" t="s">
        <v>96</v>
      </c>
      <c r="C1892" s="1">
        <v>44099</v>
      </c>
      <c r="D1892" s="1">
        <v>44106</v>
      </c>
      <c r="F1892" t="s">
        <v>97</v>
      </c>
      <c r="G1892" t="str">
        <f>"Software Developer"</f>
        <v>Software Developer</v>
      </c>
      <c r="H1892" t="s">
        <v>12169</v>
      </c>
      <c r="I1892" t="s">
        <v>124</v>
      </c>
      <c r="J1892" t="s">
        <v>98</v>
      </c>
      <c r="K1892" s="1">
        <v>44105</v>
      </c>
      <c r="L1892" s="1">
        <v>45199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9335</v>
      </c>
      <c r="U1892" t="str">
        <f>""</f>
        <v/>
      </c>
      <c r="V1892" t="s">
        <v>9336</v>
      </c>
      <c r="W1892" t="str">
        <f>""</f>
        <v/>
      </c>
      <c r="X1892" t="s">
        <v>157</v>
      </c>
      <c r="Y1892" t="s">
        <v>141</v>
      </c>
      <c r="Z1892" s="3">
        <v>92121</v>
      </c>
      <c r="AA1892" t="s">
        <v>101</v>
      </c>
      <c r="AC1892" s="4" t="str">
        <f>"+18582497500"</f>
        <v>+18582497500</v>
      </c>
      <c r="AE1892" t="str">
        <f>"5417"</f>
        <v>5417</v>
      </c>
      <c r="AF1892" t="s">
        <v>9337</v>
      </c>
      <c r="AG1892" t="s">
        <v>6831</v>
      </c>
      <c r="AI1892" t="s">
        <v>6169</v>
      </c>
      <c r="AJ1892" t="s">
        <v>9336</v>
      </c>
      <c r="AK1892" t="str">
        <f>""</f>
        <v/>
      </c>
      <c r="AL1892" t="s">
        <v>157</v>
      </c>
      <c r="AM1892" t="s">
        <v>141</v>
      </c>
      <c r="AN1892" s="3">
        <v>92121</v>
      </c>
      <c r="AO1892" t="s">
        <v>101</v>
      </c>
      <c r="AQ1892" t="str">
        <f>"+18582497500"</f>
        <v>+18582497500</v>
      </c>
      <c r="AS1892" t="s">
        <v>9338</v>
      </c>
      <c r="AT1892" t="s">
        <v>107</v>
      </c>
      <c r="AU1892" t="str">
        <f>"Perkins"</f>
        <v>Perkins</v>
      </c>
      <c r="AV1892" t="str">
        <f>"Alan"</f>
        <v>Alan</v>
      </c>
      <c r="AW1892" t="str">
        <f>"C."</f>
        <v>C.</v>
      </c>
      <c r="AX1892" t="str">
        <f>"888 SW 5th Avenue"</f>
        <v>888 SW 5th Avenue</v>
      </c>
      <c r="AY1892" t="str">
        <f>"Suite 1600"</f>
        <v>Suite 1600</v>
      </c>
      <c r="AZ1892" t="str">
        <f>"Portland"</f>
        <v>Portland</v>
      </c>
      <c r="BA1892" t="str">
        <f>"OR"</f>
        <v>OR</v>
      </c>
      <c r="BB1892" s="3">
        <v>97204</v>
      </c>
      <c r="BC1892" t="str">
        <f>"UNITED STATES OF AMERICA"</f>
        <v>UNITED STATES OF AMERICA</v>
      </c>
      <c r="BD1892" t="str">
        <f>""</f>
        <v/>
      </c>
      <c r="BE1892" t="str">
        <f>"+15038022127"</f>
        <v>+15038022127</v>
      </c>
      <c r="BF1892" t="str">
        <f>""</f>
        <v/>
      </c>
      <c r="BG1892" t="str">
        <f>"alan.perkins@tonkon.com"</f>
        <v>alan.perkins@tonkon.com</v>
      </c>
      <c r="BH1892" t="str">
        <f>"Tonkon Torp LLP"</f>
        <v>Tonkon Torp LLP</v>
      </c>
      <c r="BI1892" t="str">
        <f>"OR"</f>
        <v>OR</v>
      </c>
      <c r="BJ1892" t="str">
        <f>"Supreme Court"</f>
        <v>Supreme Court</v>
      </c>
      <c r="BK1892">
        <v>1</v>
      </c>
      <c r="BL1892" t="s">
        <v>102</v>
      </c>
      <c r="BM1892" t="str">
        <f>""</f>
        <v/>
      </c>
      <c r="BN1892" t="s">
        <v>9336</v>
      </c>
      <c r="BP1892" t="s">
        <v>157</v>
      </c>
      <c r="BQ1892" t="s">
        <v>158</v>
      </c>
      <c r="BR1892" t="s">
        <v>141</v>
      </c>
      <c r="BS1892" s="5">
        <v>92121</v>
      </c>
      <c r="BT1892" s="2">
        <v>87984</v>
      </c>
      <c r="BV1892" t="s">
        <v>105</v>
      </c>
      <c r="BW1892" s="2">
        <v>80184</v>
      </c>
      <c r="BX1892" t="s">
        <v>105</v>
      </c>
      <c r="BZ1892" t="s">
        <v>191</v>
      </c>
      <c r="CA1892" t="str">
        <f t="shared" si="154"/>
        <v>7/1/2020 - 6/30/2021</v>
      </c>
      <c r="CF1892">
        <v>2</v>
      </c>
      <c r="CG1892" t="s">
        <v>98</v>
      </c>
      <c r="CH1892" t="s">
        <v>206</v>
      </c>
      <c r="CI1892" t="s">
        <v>206</v>
      </c>
      <c r="CL1892" t="s">
        <v>108</v>
      </c>
      <c r="CM1892" t="s">
        <v>109</v>
      </c>
      <c r="CN1892" t="str">
        <f>""</f>
        <v/>
      </c>
      <c r="CO1892" t="str">
        <f>""</f>
        <v/>
      </c>
      <c r="CP1892" t="str">
        <f>""</f>
        <v/>
      </c>
      <c r="CQ1892" t="str">
        <f>""</f>
        <v/>
      </c>
    </row>
    <row r="1893" spans="1:96" x14ac:dyDescent="0.2">
      <c r="A1893" t="s">
        <v>9340</v>
      </c>
      <c r="B1893" t="s">
        <v>96</v>
      </c>
      <c r="C1893" s="1">
        <v>44099</v>
      </c>
      <c r="D1893" s="1">
        <v>44106</v>
      </c>
      <c r="F1893" t="s">
        <v>97</v>
      </c>
      <c r="G1893" t="str">
        <f>"Quality Manager"</f>
        <v>Quality Manager</v>
      </c>
      <c r="H1893" t="s">
        <v>12217</v>
      </c>
      <c r="I1893" t="s">
        <v>778</v>
      </c>
      <c r="J1893" t="s">
        <v>98</v>
      </c>
      <c r="K1893" s="1">
        <v>44105</v>
      </c>
      <c r="L1893" s="1">
        <v>45199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3104</v>
      </c>
      <c r="U1893" t="str">
        <f>""</f>
        <v/>
      </c>
      <c r="V1893" t="s">
        <v>3105</v>
      </c>
      <c r="W1893" t="str">
        <f>""</f>
        <v/>
      </c>
      <c r="X1893" t="s">
        <v>1339</v>
      </c>
      <c r="Y1893" t="s">
        <v>186</v>
      </c>
      <c r="Z1893" s="3">
        <v>55422</v>
      </c>
      <c r="AA1893" t="s">
        <v>101</v>
      </c>
      <c r="AC1893" s="4" t="str">
        <f>"+17635222100"</f>
        <v>+17635222100</v>
      </c>
      <c r="AE1893" t="str">
        <f>"236220"</f>
        <v>236220</v>
      </c>
      <c r="AF1893" t="s">
        <v>3106</v>
      </c>
      <c r="AG1893" t="s">
        <v>3107</v>
      </c>
      <c r="AI1893" t="s">
        <v>3108</v>
      </c>
      <c r="AJ1893" t="s">
        <v>3105</v>
      </c>
      <c r="AK1893" t="str">
        <f>""</f>
        <v/>
      </c>
      <c r="AL1893" t="s">
        <v>1339</v>
      </c>
      <c r="AM1893" t="s">
        <v>186</v>
      </c>
      <c r="AN1893" s="3">
        <v>55422</v>
      </c>
      <c r="AO1893" t="s">
        <v>101</v>
      </c>
      <c r="AQ1893" t="str">
        <f>"+17635875666"</f>
        <v>+17635875666</v>
      </c>
      <c r="AS1893" t="s">
        <v>3109</v>
      </c>
      <c r="AT1893" t="s">
        <v>107</v>
      </c>
      <c r="AU1893" t="str">
        <f>"Rooney"</f>
        <v>Rooney</v>
      </c>
      <c r="AV1893" t="str">
        <f>"Robert"</f>
        <v>Robert</v>
      </c>
      <c r="AW1893" t="str">
        <f>"J"</f>
        <v>J</v>
      </c>
      <c r="AX1893" t="str">
        <f>"90 S 7th Street"</f>
        <v>90 S 7th Street</v>
      </c>
      <c r="AY1893" t="str">
        <f>"Ste 2200"</f>
        <v>Ste 2200</v>
      </c>
      <c r="AZ1893" t="str">
        <f>"Minneapolis"</f>
        <v>Minneapolis</v>
      </c>
      <c r="BA1893" t="str">
        <f>"MN"</f>
        <v>MN</v>
      </c>
      <c r="BB1893" s="3">
        <v>55402</v>
      </c>
      <c r="BC1893" t="str">
        <f>"UNITED STATES OF AMERICA"</f>
        <v>UNITED STATES OF AMERICA</v>
      </c>
      <c r="BD1893" t="str">
        <f>""</f>
        <v/>
      </c>
      <c r="BE1893" t="str">
        <f>"+16127667809"</f>
        <v>+16127667809</v>
      </c>
      <c r="BF1893" t="str">
        <f>""</f>
        <v/>
      </c>
      <c r="BG1893" t="str">
        <f>"rob.rooney@faegredrinker.com"</f>
        <v>rob.rooney@faegredrinker.com</v>
      </c>
      <c r="BH1893" t="str">
        <f>"Faegre Drinker Biddle &amp; Reath LLP"</f>
        <v>Faegre Drinker Biddle &amp; Reath LLP</v>
      </c>
      <c r="BI1893" t="str">
        <f>"MN"</f>
        <v>MN</v>
      </c>
      <c r="BJ1893" t="str">
        <f>"Minnesota Supreme Court"</f>
        <v>Minnesota Supreme Court</v>
      </c>
      <c r="BK1893">
        <v>1</v>
      </c>
      <c r="BL1893" t="s">
        <v>102</v>
      </c>
      <c r="BM1893" t="str">
        <f>""</f>
        <v/>
      </c>
      <c r="BN1893" t="s">
        <v>9341</v>
      </c>
      <c r="BO1893" t="s">
        <v>132</v>
      </c>
      <c r="BP1893" t="s">
        <v>911</v>
      </c>
      <c r="BQ1893" t="s">
        <v>912</v>
      </c>
      <c r="BR1893" t="s">
        <v>166</v>
      </c>
      <c r="BS1893" s="5">
        <v>80202</v>
      </c>
      <c r="BT1893" s="2">
        <v>8490.59</v>
      </c>
      <c r="BU1893" s="2">
        <v>9391.67</v>
      </c>
      <c r="BV1893" t="s">
        <v>3018</v>
      </c>
      <c r="BW1893" s="2">
        <v>8490.59</v>
      </c>
      <c r="BX1893" t="s">
        <v>3018</v>
      </c>
      <c r="CA1893" t="str">
        <f>""</f>
        <v/>
      </c>
      <c r="CB1893" t="s">
        <v>244</v>
      </c>
      <c r="CC1893">
        <v>2020</v>
      </c>
      <c r="CD1893" t="s">
        <v>245</v>
      </c>
      <c r="CE1893" t="s">
        <v>581</v>
      </c>
      <c r="CF1893">
        <v>3</v>
      </c>
      <c r="CG1893" t="s">
        <v>98</v>
      </c>
      <c r="CH1893" t="s">
        <v>206</v>
      </c>
      <c r="CI1893" t="s">
        <v>206</v>
      </c>
      <c r="CL1893" t="s">
        <v>108</v>
      </c>
      <c r="CM1893" t="s">
        <v>109</v>
      </c>
      <c r="CN1893" t="str">
        <f>""</f>
        <v/>
      </c>
      <c r="CO1893" t="str">
        <f>""</f>
        <v/>
      </c>
      <c r="CP1893" t="str">
        <f>""</f>
        <v/>
      </c>
      <c r="CQ1893" t="str">
        <f>""</f>
        <v/>
      </c>
    </row>
    <row r="1894" spans="1:96" x14ac:dyDescent="0.2">
      <c r="A1894" t="s">
        <v>9350</v>
      </c>
      <c r="B1894" t="s">
        <v>96</v>
      </c>
      <c r="C1894" s="1">
        <v>44099</v>
      </c>
      <c r="D1894" s="1">
        <v>44106</v>
      </c>
      <c r="F1894" t="s">
        <v>97</v>
      </c>
      <c r="G1894" t="str">
        <f>"SENIOR ORACLE FUNCTIONAL ANALYST"</f>
        <v>SENIOR ORACLE FUNCTIONAL ANALYST</v>
      </c>
      <c r="H1894" t="s">
        <v>12213</v>
      </c>
      <c r="I1894" t="s">
        <v>493</v>
      </c>
      <c r="J1894" t="s">
        <v>98</v>
      </c>
      <c r="K1894" s="1">
        <v>44261</v>
      </c>
      <c r="L1894" s="1">
        <v>45356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 t="s">
        <v>1489</v>
      </c>
      <c r="U1894" t="str">
        <f>""</f>
        <v/>
      </c>
      <c r="V1894" t="s">
        <v>1490</v>
      </c>
      <c r="W1894" t="str">
        <f>""</f>
        <v/>
      </c>
      <c r="X1894" t="s">
        <v>261</v>
      </c>
      <c r="Y1894" t="s">
        <v>176</v>
      </c>
      <c r="Z1894" s="3">
        <v>98119</v>
      </c>
      <c r="AA1894" t="s">
        <v>101</v>
      </c>
      <c r="AC1894" s="4" t="str">
        <f>"+14256797200"</f>
        <v>+14256797200</v>
      </c>
      <c r="AE1894" t="str">
        <f>"5191"</f>
        <v>5191</v>
      </c>
      <c r="AF1894" t="s">
        <v>1491</v>
      </c>
      <c r="AG1894" t="s">
        <v>1492</v>
      </c>
      <c r="AI1894" t="s">
        <v>1493</v>
      </c>
      <c r="AJ1894" t="s">
        <v>1490</v>
      </c>
      <c r="AK1894" t="str">
        <f>""</f>
        <v/>
      </c>
      <c r="AL1894" t="s">
        <v>261</v>
      </c>
      <c r="AM1894" t="s">
        <v>176</v>
      </c>
      <c r="AN1894" s="3">
        <v>98119</v>
      </c>
      <c r="AO1894" t="s">
        <v>101</v>
      </c>
      <c r="AQ1894" t="str">
        <f>"+14256798083"</f>
        <v>+14256798083</v>
      </c>
      <c r="AS1894" t="s">
        <v>1494</v>
      </c>
      <c r="AT1894" t="s">
        <v>107</v>
      </c>
      <c r="AU1894" t="str">
        <f>"Gonzales"</f>
        <v>Gonzales</v>
      </c>
      <c r="AV1894" t="str">
        <f>"Margret Ann"</f>
        <v>Margret Ann</v>
      </c>
      <c r="AW1894" t="str">
        <f>"Cadiz"</f>
        <v>Cadiz</v>
      </c>
      <c r="AX1894" t="str">
        <f>"100 Pringle Avenue"</f>
        <v>100 Pringle Avenue</v>
      </c>
      <c r="AY1894" t="str">
        <f>"Suite 300"</f>
        <v>Suite 300</v>
      </c>
      <c r="AZ1894" t="str">
        <f>"Walnut Creek"</f>
        <v>Walnut Creek</v>
      </c>
      <c r="BA1894" t="str">
        <f>"CA"</f>
        <v>CA</v>
      </c>
      <c r="BB1894" s="3">
        <v>94596</v>
      </c>
      <c r="BC1894" t="str">
        <f>"UNITED STATES OF AMERICA"</f>
        <v>UNITED STATES OF AMERICA</v>
      </c>
      <c r="BD1894" t="str">
        <f>"CALIFORNIA"</f>
        <v>CALIFORNIA</v>
      </c>
      <c r="BE1894" t="str">
        <f>"+14153981800"</f>
        <v>+14153981800</v>
      </c>
      <c r="BF1894" t="str">
        <f>""</f>
        <v/>
      </c>
      <c r="BG1894" t="str">
        <f>"DHIDALGO@balglobal.com"</f>
        <v>DHIDALGO@balglobal.com</v>
      </c>
      <c r="BH1894" t="str">
        <f>"Berry Appleman &amp; Leiden LLP"</f>
        <v>Berry Appleman &amp; Leiden LLP</v>
      </c>
      <c r="BI1894" t="str">
        <f>"CA"</f>
        <v>CA</v>
      </c>
      <c r="BJ1894" t="str">
        <f>"California Supreme Court"</f>
        <v>California Supreme Court</v>
      </c>
      <c r="BK1894">
        <v>1</v>
      </c>
      <c r="BL1894" t="s">
        <v>102</v>
      </c>
      <c r="BM1894" t="str">
        <f>""</f>
        <v/>
      </c>
      <c r="BN1894" t="s">
        <v>3658</v>
      </c>
      <c r="BP1894" t="s">
        <v>433</v>
      </c>
      <c r="BQ1894" t="s">
        <v>183</v>
      </c>
      <c r="BR1894" t="s">
        <v>176</v>
      </c>
      <c r="BS1894" s="5">
        <v>98119</v>
      </c>
      <c r="BT1894" s="2">
        <v>140000</v>
      </c>
      <c r="BU1894" s="2">
        <v>167214.6</v>
      </c>
      <c r="BV1894" t="s">
        <v>105</v>
      </c>
      <c r="BW1894" s="2">
        <v>118643</v>
      </c>
      <c r="BX1894" t="s">
        <v>105</v>
      </c>
      <c r="BZ1894" t="s">
        <v>159</v>
      </c>
      <c r="CA1894" t="str">
        <f t="shared" ref="CA1894:CA1909" si="155">"7/1/2020 - 6/30/2021"</f>
        <v>7/1/2020 - 6/30/2021</v>
      </c>
      <c r="CF1894">
        <v>2</v>
      </c>
      <c r="CG1894" t="s">
        <v>98</v>
      </c>
      <c r="CH1894" t="s">
        <v>206</v>
      </c>
      <c r="CI1894" t="s">
        <v>206</v>
      </c>
      <c r="CL1894" t="s">
        <v>108</v>
      </c>
      <c r="CM1894" t="s">
        <v>109</v>
      </c>
      <c r="CN1894" t="str">
        <f>""</f>
        <v/>
      </c>
      <c r="CO1894" t="str">
        <f>""</f>
        <v/>
      </c>
      <c r="CP1894" t="str">
        <f>""</f>
        <v/>
      </c>
      <c r="CQ1894" t="str">
        <f>""</f>
        <v/>
      </c>
    </row>
    <row r="1895" spans="1:96" x14ac:dyDescent="0.2">
      <c r="A1895" t="s">
        <v>9374</v>
      </c>
      <c r="B1895" t="s">
        <v>96</v>
      </c>
      <c r="C1895" s="1">
        <v>44099</v>
      </c>
      <c r="D1895" s="1">
        <v>44106</v>
      </c>
      <c r="F1895" t="s">
        <v>97</v>
      </c>
      <c r="G1895" t="str">
        <f>"ServiceNow Developer "</f>
        <v xml:space="preserve">ServiceNow Developer </v>
      </c>
      <c r="H1895" t="s">
        <v>12181</v>
      </c>
      <c r="I1895" t="s">
        <v>110</v>
      </c>
      <c r="J1895" t="s">
        <v>98</v>
      </c>
      <c r="K1895" s="1">
        <v>44109</v>
      </c>
      <c r="L1895" s="1">
        <v>45203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 t="s">
        <v>3220</v>
      </c>
      <c r="U1895" t="str">
        <f>""</f>
        <v/>
      </c>
      <c r="V1895" t="s">
        <v>3221</v>
      </c>
      <c r="W1895" t="str">
        <f>"Suite #120 "</f>
        <v xml:space="preserve">Suite #120 </v>
      </c>
      <c r="X1895" t="s">
        <v>755</v>
      </c>
      <c r="Y1895" t="s">
        <v>135</v>
      </c>
      <c r="Z1895" s="3">
        <v>20171</v>
      </c>
      <c r="AA1895" t="s">
        <v>101</v>
      </c>
      <c r="AC1895" s="4" t="str">
        <f>"+17036744505"</f>
        <v>+17036744505</v>
      </c>
      <c r="AE1895" t="str">
        <f>"541511"</f>
        <v>541511</v>
      </c>
      <c r="AF1895" t="s">
        <v>3222</v>
      </c>
      <c r="AG1895" t="s">
        <v>3223</v>
      </c>
      <c r="AI1895" t="s">
        <v>3032</v>
      </c>
      <c r="AJ1895" t="s">
        <v>3221</v>
      </c>
      <c r="AK1895" t="str">
        <f>"Suite #120"</f>
        <v>Suite #120</v>
      </c>
      <c r="AL1895" t="s">
        <v>755</v>
      </c>
      <c r="AM1895" t="s">
        <v>135</v>
      </c>
      <c r="AN1895" s="3">
        <v>20171</v>
      </c>
      <c r="AO1895" t="s">
        <v>101</v>
      </c>
      <c r="AQ1895" t="str">
        <f>"+17036744505"</f>
        <v>+17036744505</v>
      </c>
      <c r="AS1895" t="s">
        <v>3224</v>
      </c>
      <c r="AT1895" t="s">
        <v>102</v>
      </c>
      <c r="AU1895" t="str">
        <f>""</f>
        <v/>
      </c>
      <c r="AV1895" t="str">
        <f>""</f>
        <v/>
      </c>
      <c r="AW1895" t="str">
        <f>""</f>
        <v/>
      </c>
      <c r="AX1895" t="str">
        <f>""</f>
        <v/>
      </c>
      <c r="AY1895" t="str">
        <f>""</f>
        <v/>
      </c>
      <c r="AZ1895" t="str">
        <f>""</f>
        <v/>
      </c>
      <c r="BA1895" t="str">
        <f>""</f>
        <v/>
      </c>
      <c r="BC1895" t="str">
        <f>""</f>
        <v/>
      </c>
      <c r="BD1895" t="str">
        <f>""</f>
        <v/>
      </c>
      <c r="BE1895" t="str">
        <f>""</f>
        <v/>
      </c>
      <c r="BF1895" t="str">
        <f>""</f>
        <v/>
      </c>
      <c r="BG1895" t="str">
        <f>""</f>
        <v/>
      </c>
      <c r="BH1895" t="str">
        <f>""</f>
        <v/>
      </c>
      <c r="BI1895" t="str">
        <f>""</f>
        <v/>
      </c>
      <c r="BJ1895" t="str">
        <f>""</f>
        <v/>
      </c>
      <c r="BK1895">
        <v>1</v>
      </c>
      <c r="BL1895" t="s">
        <v>102</v>
      </c>
      <c r="BM1895" t="str">
        <f>""</f>
        <v/>
      </c>
      <c r="BN1895" t="s">
        <v>9375</v>
      </c>
      <c r="BP1895" t="s">
        <v>6100</v>
      </c>
      <c r="BQ1895" t="s">
        <v>668</v>
      </c>
      <c r="BR1895" t="s">
        <v>114</v>
      </c>
      <c r="BS1895" s="5">
        <v>78641</v>
      </c>
      <c r="BT1895" s="2">
        <v>73100</v>
      </c>
      <c r="BV1895" t="s">
        <v>105</v>
      </c>
      <c r="BW1895" s="2">
        <v>73029</v>
      </c>
      <c r="BX1895" t="s">
        <v>105</v>
      </c>
      <c r="BZ1895" t="s">
        <v>167</v>
      </c>
      <c r="CA1895" t="str">
        <f t="shared" si="155"/>
        <v>7/1/2020 - 6/30/2021</v>
      </c>
      <c r="CF1895">
        <v>1</v>
      </c>
      <c r="CG1895" t="s">
        <v>98</v>
      </c>
      <c r="CH1895" t="s">
        <v>206</v>
      </c>
      <c r="CI1895" t="s">
        <v>206</v>
      </c>
      <c r="CL1895" t="s">
        <v>108</v>
      </c>
      <c r="CM1895" t="s">
        <v>109</v>
      </c>
      <c r="CN1895" t="str">
        <f>""</f>
        <v/>
      </c>
      <c r="CO1895" t="str">
        <f>""</f>
        <v/>
      </c>
      <c r="CP1895" t="str">
        <f>""</f>
        <v/>
      </c>
      <c r="CQ1895" t="str">
        <f>""</f>
        <v/>
      </c>
    </row>
    <row r="1896" spans="1:96" x14ac:dyDescent="0.2">
      <c r="A1896" t="s">
        <v>9381</v>
      </c>
      <c r="B1896" t="s">
        <v>96</v>
      </c>
      <c r="C1896" s="1">
        <v>44099</v>
      </c>
      <c r="D1896" s="1">
        <v>44106</v>
      </c>
      <c r="F1896" t="s">
        <v>97</v>
      </c>
      <c r="G1896" t="str">
        <f>"Software Developer"</f>
        <v>Software Developer</v>
      </c>
      <c r="H1896" t="s">
        <v>12169</v>
      </c>
      <c r="I1896" t="s">
        <v>124</v>
      </c>
      <c r="J1896" t="s">
        <v>98</v>
      </c>
      <c r="K1896" s="1">
        <v>44168</v>
      </c>
      <c r="L1896" s="1">
        <v>45263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 t="s">
        <v>9382</v>
      </c>
      <c r="U1896" t="str">
        <f>""</f>
        <v/>
      </c>
      <c r="V1896" t="s">
        <v>9383</v>
      </c>
      <c r="W1896" t="str">
        <f>"Ste 900"</f>
        <v>Ste 900</v>
      </c>
      <c r="X1896" t="s">
        <v>2270</v>
      </c>
      <c r="Y1896" t="s">
        <v>141</v>
      </c>
      <c r="Z1896" s="3">
        <v>94596</v>
      </c>
      <c r="AA1896" t="s">
        <v>101</v>
      </c>
      <c r="AC1896" s="4" t="str">
        <f>"+19258176361"</f>
        <v>+19258176361</v>
      </c>
      <c r="AE1896" t="str">
        <f>"5241"</f>
        <v>5241</v>
      </c>
      <c r="AF1896" t="s">
        <v>9384</v>
      </c>
      <c r="AG1896" t="s">
        <v>1385</v>
      </c>
      <c r="AI1896" t="s">
        <v>9385</v>
      </c>
      <c r="AJ1896" t="s">
        <v>9386</v>
      </c>
      <c r="AK1896" t="str">
        <f>"Ste. 900"</f>
        <v>Ste. 900</v>
      </c>
      <c r="AL1896" t="s">
        <v>2270</v>
      </c>
      <c r="AM1896" t="s">
        <v>141</v>
      </c>
      <c r="AN1896" s="3">
        <v>94596</v>
      </c>
      <c r="AO1896" t="s">
        <v>101</v>
      </c>
      <c r="AQ1896" t="str">
        <f>"+19258176361"</f>
        <v>+19258176361</v>
      </c>
      <c r="AS1896" t="s">
        <v>9387</v>
      </c>
      <c r="AT1896" t="s">
        <v>107</v>
      </c>
      <c r="AU1896" t="str">
        <f>"Hsiang"</f>
        <v>Hsiang</v>
      </c>
      <c r="AV1896" t="str">
        <f>"Jean"</f>
        <v>Jean</v>
      </c>
      <c r="AW1896" t="str">
        <f>"N"</f>
        <v>N</v>
      </c>
      <c r="AX1896" t="str">
        <f>"19925 Stevens Creek Blvd, Ste 100"</f>
        <v>19925 Stevens Creek Blvd, Ste 100</v>
      </c>
      <c r="AY1896" t="str">
        <f>""</f>
        <v/>
      </c>
      <c r="AZ1896" t="str">
        <f>"Cupertino"</f>
        <v>Cupertino</v>
      </c>
      <c r="BA1896" t="str">
        <f>"CA"</f>
        <v>CA</v>
      </c>
      <c r="BB1896" s="3" t="s">
        <v>12314</v>
      </c>
      <c r="BC1896" t="str">
        <f>"UNITED STATES OF AMERICA"</f>
        <v>UNITED STATES OF AMERICA</v>
      </c>
      <c r="BD1896" t="str">
        <f>""</f>
        <v/>
      </c>
      <c r="BE1896" t="str">
        <f>"+14082528868"</f>
        <v>+14082528868</v>
      </c>
      <c r="BF1896" t="str">
        <f>""</f>
        <v/>
      </c>
      <c r="BG1896" t="str">
        <f>"jnhsiang@aol.com"</f>
        <v>jnhsiang@aol.com</v>
      </c>
      <c r="BH1896" t="str">
        <f>"Law Office of Jean Hsiang"</f>
        <v>Law Office of Jean Hsiang</v>
      </c>
      <c r="BI1896" t="str">
        <f>"CA"</f>
        <v>CA</v>
      </c>
      <c r="BJ1896" t="str">
        <f>"Supreme Court for the State of California"</f>
        <v>Supreme Court for the State of California</v>
      </c>
      <c r="BK1896">
        <v>1</v>
      </c>
      <c r="BL1896" t="s">
        <v>102</v>
      </c>
      <c r="BM1896" t="str">
        <f>""</f>
        <v/>
      </c>
      <c r="BN1896" t="s">
        <v>9388</v>
      </c>
      <c r="BP1896" t="s">
        <v>2270</v>
      </c>
      <c r="BQ1896" t="s">
        <v>1344</v>
      </c>
      <c r="BR1896" t="s">
        <v>141</v>
      </c>
      <c r="BS1896" s="5">
        <v>94596</v>
      </c>
      <c r="BT1896" s="2">
        <v>120931</v>
      </c>
      <c r="BV1896" t="s">
        <v>105</v>
      </c>
      <c r="BW1896" s="2">
        <v>120931</v>
      </c>
      <c r="BX1896" t="s">
        <v>105</v>
      </c>
      <c r="BZ1896" t="s">
        <v>167</v>
      </c>
      <c r="CA1896" t="str">
        <f t="shared" si="155"/>
        <v>7/1/2020 - 6/30/2021</v>
      </c>
      <c r="CF1896">
        <v>2</v>
      </c>
      <c r="CG1896" t="s">
        <v>98</v>
      </c>
      <c r="CH1896" t="s">
        <v>206</v>
      </c>
      <c r="CI1896" t="s">
        <v>206</v>
      </c>
      <c r="CL1896" t="s">
        <v>108</v>
      </c>
      <c r="CM1896" t="s">
        <v>109</v>
      </c>
      <c r="CN1896" t="str">
        <f>""</f>
        <v/>
      </c>
      <c r="CO1896" t="str">
        <f>""</f>
        <v/>
      </c>
      <c r="CP1896" t="str">
        <f>""</f>
        <v/>
      </c>
      <c r="CQ1896" t="str">
        <f>""</f>
        <v/>
      </c>
    </row>
    <row r="1897" spans="1:96" x14ac:dyDescent="0.2">
      <c r="A1897" t="s">
        <v>9403</v>
      </c>
      <c r="B1897" t="s">
        <v>96</v>
      </c>
      <c r="C1897" s="1">
        <v>44099</v>
      </c>
      <c r="D1897" s="1">
        <v>44106</v>
      </c>
      <c r="F1897" t="s">
        <v>97</v>
      </c>
      <c r="G1897" t="str">
        <f>"Test Engineer 1615.59366"</f>
        <v>Test Engineer 1615.59366</v>
      </c>
      <c r="H1897" t="s">
        <v>12176</v>
      </c>
      <c r="I1897" t="s">
        <v>246</v>
      </c>
      <c r="J1897" t="s">
        <v>98</v>
      </c>
      <c r="K1897" s="1">
        <v>44103</v>
      </c>
      <c r="L1897" s="1">
        <v>45197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 t="s">
        <v>289</v>
      </c>
      <c r="U1897" t="str">
        <f>""</f>
        <v/>
      </c>
      <c r="V1897" t="s">
        <v>290</v>
      </c>
      <c r="W1897" t="str">
        <f>""</f>
        <v/>
      </c>
      <c r="X1897" t="s">
        <v>155</v>
      </c>
      <c r="Y1897" t="s">
        <v>141</v>
      </c>
      <c r="Z1897" s="3">
        <v>94043</v>
      </c>
      <c r="AA1897" t="s">
        <v>101</v>
      </c>
      <c r="AC1897" s="4" t="str">
        <f>"+16502534513"</f>
        <v>+16502534513</v>
      </c>
      <c r="AE1897" t="str">
        <f>"541512"</f>
        <v>541512</v>
      </c>
      <c r="AF1897" t="s">
        <v>291</v>
      </c>
      <c r="AG1897" t="s">
        <v>6058</v>
      </c>
      <c r="AI1897" t="s">
        <v>3132</v>
      </c>
      <c r="AJ1897" t="s">
        <v>290</v>
      </c>
      <c r="AK1897" t="str">
        <f>""</f>
        <v/>
      </c>
      <c r="AL1897" t="s">
        <v>155</v>
      </c>
      <c r="AM1897" t="s">
        <v>141</v>
      </c>
      <c r="AN1897" s="3">
        <v>94043</v>
      </c>
      <c r="AO1897" t="s">
        <v>101</v>
      </c>
      <c r="AQ1897" t="str">
        <f>"+16502534513"</f>
        <v>+16502534513</v>
      </c>
      <c r="AS1897" t="s">
        <v>294</v>
      </c>
      <c r="AT1897" t="s">
        <v>107</v>
      </c>
      <c r="AU1897" t="str">
        <f>"Shim"</f>
        <v>Shim</v>
      </c>
      <c r="AV1897" t="str">
        <f>"Diana"</f>
        <v>Diana</v>
      </c>
      <c r="AW1897" t="str">
        <f>""</f>
        <v/>
      </c>
      <c r="AX1897" t="str">
        <f>"2400 N Glenville Dr, Building A"</f>
        <v>2400 N Glenville Dr, Building A</v>
      </c>
      <c r="AY1897" t="str">
        <f>"Suite 100"</f>
        <v>Suite 100</v>
      </c>
      <c r="AZ1897" t="str">
        <f>"Richardson"</f>
        <v>Richardson</v>
      </c>
      <c r="BA1897" t="str">
        <f>"TX"</f>
        <v>TX</v>
      </c>
      <c r="BB1897" s="3">
        <v>75082</v>
      </c>
      <c r="BC1897" t="str">
        <f>"UNITED STATES OF AMERICA"</f>
        <v>UNITED STATES OF AMERICA</v>
      </c>
      <c r="BD1897" t="str">
        <f>""</f>
        <v/>
      </c>
      <c r="BE1897" t="str">
        <f>"+14695052766"</f>
        <v>+14695052766</v>
      </c>
      <c r="BF1897" t="str">
        <f>""</f>
        <v/>
      </c>
      <c r="BG1897" t="str">
        <f>"googledol@balglobal.com"</f>
        <v>googledol@balglobal.com</v>
      </c>
      <c r="BH1897" t="str">
        <f>"Berry Appleman &amp; Leiden LLP"</f>
        <v>Berry Appleman &amp; Leiden LLP</v>
      </c>
      <c r="BI1897" t="str">
        <f>"TX"</f>
        <v>TX</v>
      </c>
      <c r="BJ1897" t="str">
        <f>"Supreme Court of Texas"</f>
        <v>Supreme Court of Texas</v>
      </c>
      <c r="BK1897">
        <v>1</v>
      </c>
      <c r="BL1897" t="s">
        <v>102</v>
      </c>
      <c r="BM1897" t="str">
        <f>""</f>
        <v/>
      </c>
      <c r="BN1897" t="s">
        <v>290</v>
      </c>
      <c r="BP1897" t="s">
        <v>155</v>
      </c>
      <c r="BQ1897" t="s">
        <v>230</v>
      </c>
      <c r="BR1897" t="s">
        <v>141</v>
      </c>
      <c r="BS1897" s="5">
        <v>94043</v>
      </c>
      <c r="BT1897" s="2">
        <v>124000</v>
      </c>
      <c r="BV1897" t="s">
        <v>105</v>
      </c>
      <c r="BW1897" s="2">
        <v>120578</v>
      </c>
      <c r="BX1897" t="s">
        <v>105</v>
      </c>
      <c r="BZ1897" t="s">
        <v>167</v>
      </c>
      <c r="CA1897" t="str">
        <f t="shared" si="155"/>
        <v>7/1/2020 - 6/30/2021</v>
      </c>
      <c r="CF1897">
        <v>2</v>
      </c>
      <c r="CG1897" t="s">
        <v>98</v>
      </c>
      <c r="CH1897" t="s">
        <v>206</v>
      </c>
      <c r="CI1897" t="s">
        <v>206</v>
      </c>
      <c r="CL1897" t="s">
        <v>108</v>
      </c>
      <c r="CM1897" t="s">
        <v>109</v>
      </c>
      <c r="CN1897" t="str">
        <f>"Castillo"</f>
        <v>Castillo</v>
      </c>
      <c r="CO1897" t="str">
        <f>"Celia "</f>
        <v xml:space="preserve">Celia </v>
      </c>
      <c r="CP1897" t="str">
        <f>""</f>
        <v/>
      </c>
      <c r="CQ1897" t="str">
        <f>"Berry Appleman and Leiden LLP"</f>
        <v>Berry Appleman and Leiden LLP</v>
      </c>
      <c r="CR1897" t="s">
        <v>3379</v>
      </c>
    </row>
    <row r="1898" spans="1:96" x14ac:dyDescent="0.2">
      <c r="A1898" t="s">
        <v>9404</v>
      </c>
      <c r="B1898" t="s">
        <v>96</v>
      </c>
      <c r="C1898" s="1">
        <v>44099</v>
      </c>
      <c r="D1898" s="1">
        <v>44106</v>
      </c>
      <c r="F1898" t="s">
        <v>97</v>
      </c>
      <c r="G1898" t="str">
        <f>"Orthoptist"</f>
        <v>Orthoptist</v>
      </c>
      <c r="H1898" t="s">
        <v>12268</v>
      </c>
      <c r="I1898" t="s">
        <v>2076</v>
      </c>
      <c r="J1898" t="s">
        <v>98</v>
      </c>
      <c r="K1898" s="1">
        <v>44116</v>
      </c>
      <c r="L1898" s="1">
        <v>45210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 t="s">
        <v>9405</v>
      </c>
      <c r="U1898" t="str">
        <f>"CHOC Children's Hospital"</f>
        <v>CHOC Children's Hospital</v>
      </c>
      <c r="V1898" t="s">
        <v>9406</v>
      </c>
      <c r="W1898" t="str">
        <f>""</f>
        <v/>
      </c>
      <c r="X1898" t="s">
        <v>717</v>
      </c>
      <c r="Y1898" t="s">
        <v>141</v>
      </c>
      <c r="Z1898" s="3">
        <v>92868</v>
      </c>
      <c r="AA1898" t="s">
        <v>101</v>
      </c>
      <c r="AC1898" s="4" t="str">
        <f>"+17145094904"</f>
        <v>+17145094904</v>
      </c>
      <c r="AE1898" t="str">
        <f>"622310"</f>
        <v>622310</v>
      </c>
      <c r="AF1898" t="s">
        <v>9407</v>
      </c>
      <c r="AG1898" t="s">
        <v>5237</v>
      </c>
      <c r="AH1898" t="s">
        <v>5479</v>
      </c>
      <c r="AI1898" t="s">
        <v>7602</v>
      </c>
      <c r="AJ1898" t="s">
        <v>9406</v>
      </c>
      <c r="AK1898" t="str">
        <f>""</f>
        <v/>
      </c>
      <c r="AL1898" t="s">
        <v>717</v>
      </c>
      <c r="AM1898" t="s">
        <v>141</v>
      </c>
      <c r="AN1898" s="3">
        <v>92868</v>
      </c>
      <c r="AO1898" t="s">
        <v>101</v>
      </c>
      <c r="AQ1898" t="str">
        <f>"+17145094904"</f>
        <v>+17145094904</v>
      </c>
      <c r="AS1898" t="s">
        <v>9408</v>
      </c>
      <c r="AT1898" t="s">
        <v>107</v>
      </c>
      <c r="AU1898" t="str">
        <f>"Thorne"</f>
        <v>Thorne</v>
      </c>
      <c r="AV1898" t="str">
        <f>"Julia"</f>
        <v>Julia</v>
      </c>
      <c r="AW1898" t="str">
        <f>"Anne"</f>
        <v>Anne</v>
      </c>
      <c r="AX1898" t="str">
        <f>"1421 N. Wanda Road"</f>
        <v>1421 N. Wanda Road</v>
      </c>
      <c r="AY1898" t="str">
        <f>"Suite 120-S"</f>
        <v>Suite 120-S</v>
      </c>
      <c r="AZ1898" t="str">
        <f>"Orange"</f>
        <v>Orange</v>
      </c>
      <c r="BA1898" t="str">
        <f>"CA"</f>
        <v>CA</v>
      </c>
      <c r="BB1898" s="3">
        <v>92867</v>
      </c>
      <c r="BC1898" t="str">
        <f>"UNITED STATES OF AMERICA"</f>
        <v>UNITED STATES OF AMERICA</v>
      </c>
      <c r="BD1898" t="str">
        <f>""</f>
        <v/>
      </c>
      <c r="BE1898" t="str">
        <f>"+19492446601"</f>
        <v>+19492446601</v>
      </c>
      <c r="BF1898" t="str">
        <f>""</f>
        <v/>
      </c>
      <c r="BG1898" t="str">
        <f>"julia@thorneimmlaw.com"</f>
        <v>julia@thorneimmlaw.com</v>
      </c>
      <c r="BH1898" t="str">
        <f>"Thorne Immigration Law"</f>
        <v>Thorne Immigration Law</v>
      </c>
      <c r="BI1898" t="str">
        <f>"KY"</f>
        <v>KY</v>
      </c>
      <c r="BJ1898" t="str">
        <f>"Supreme"</f>
        <v>Supreme</v>
      </c>
      <c r="BK1898">
        <v>1</v>
      </c>
      <c r="BL1898" t="s">
        <v>102</v>
      </c>
      <c r="BM1898" t="str">
        <f>""</f>
        <v/>
      </c>
      <c r="BN1898" t="s">
        <v>9406</v>
      </c>
      <c r="BP1898" t="s">
        <v>717</v>
      </c>
      <c r="BQ1898" t="s">
        <v>377</v>
      </c>
      <c r="BR1898" t="s">
        <v>141</v>
      </c>
      <c r="BS1898" s="5">
        <v>92868</v>
      </c>
      <c r="BT1898" s="2">
        <v>92520</v>
      </c>
      <c r="BV1898" t="s">
        <v>105</v>
      </c>
      <c r="BW1898" s="2">
        <v>61651</v>
      </c>
      <c r="BX1898" t="s">
        <v>105</v>
      </c>
      <c r="BZ1898" t="s">
        <v>167</v>
      </c>
      <c r="CA1898" t="str">
        <f t="shared" si="155"/>
        <v>7/1/2020 - 6/30/2021</v>
      </c>
      <c r="CF1898">
        <v>1</v>
      </c>
      <c r="CG1898" t="s">
        <v>98</v>
      </c>
      <c r="CH1898" t="s">
        <v>206</v>
      </c>
      <c r="CI1898" t="s">
        <v>206</v>
      </c>
      <c r="CL1898" t="s">
        <v>108</v>
      </c>
      <c r="CM1898" t="s">
        <v>109</v>
      </c>
      <c r="CN1898" t="str">
        <f>""</f>
        <v/>
      </c>
      <c r="CO1898" t="str">
        <f>""</f>
        <v/>
      </c>
      <c r="CP1898" t="str">
        <f>""</f>
        <v/>
      </c>
      <c r="CQ1898" t="str">
        <f>""</f>
        <v/>
      </c>
    </row>
    <row r="1899" spans="1:96" x14ac:dyDescent="0.2">
      <c r="A1899" t="s">
        <v>9411</v>
      </c>
      <c r="B1899" t="s">
        <v>96</v>
      </c>
      <c r="C1899" s="1">
        <v>44099</v>
      </c>
      <c r="D1899" s="1">
        <v>44106</v>
      </c>
      <c r="F1899" t="s">
        <v>97</v>
      </c>
      <c r="G1899" t="str">
        <f>"Software Engineer, Engineering"</f>
        <v>Software Engineer, Engineering</v>
      </c>
      <c r="H1899" t="s">
        <v>12169</v>
      </c>
      <c r="I1899" t="s">
        <v>124</v>
      </c>
      <c r="J1899" t="s">
        <v>98</v>
      </c>
      <c r="K1899" s="1">
        <v>44105</v>
      </c>
      <c r="L1899" s="1">
        <v>45199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9412</v>
      </c>
      <c r="U1899" t="str">
        <f>""</f>
        <v/>
      </c>
      <c r="V1899" t="s">
        <v>8766</v>
      </c>
      <c r="W1899" t="str">
        <f>""</f>
        <v/>
      </c>
      <c r="X1899" t="s">
        <v>1078</v>
      </c>
      <c r="Y1899" t="s">
        <v>265</v>
      </c>
      <c r="Z1899" s="3">
        <v>49002</v>
      </c>
      <c r="AA1899" t="s">
        <v>101</v>
      </c>
      <c r="AC1899" s="4" t="str">
        <f>"+12693892995"</f>
        <v>+12693892995</v>
      </c>
      <c r="AE1899" t="str">
        <f>"339112"</f>
        <v>339112</v>
      </c>
      <c r="AF1899" t="s">
        <v>8767</v>
      </c>
      <c r="AG1899" t="s">
        <v>1385</v>
      </c>
      <c r="AI1899" t="s">
        <v>6835</v>
      </c>
      <c r="AJ1899" t="s">
        <v>8768</v>
      </c>
      <c r="AK1899" t="str">
        <f>""</f>
        <v/>
      </c>
      <c r="AL1899" t="s">
        <v>3560</v>
      </c>
      <c r="AM1899" t="s">
        <v>100</v>
      </c>
      <c r="AN1899" s="3">
        <v>7430</v>
      </c>
      <c r="AO1899" t="s">
        <v>101</v>
      </c>
      <c r="AQ1899" t="str">
        <f>"+12018315148"</f>
        <v>+12018315148</v>
      </c>
      <c r="AS1899" t="s">
        <v>8769</v>
      </c>
      <c r="AT1899" t="s">
        <v>107</v>
      </c>
      <c r="AU1899" t="str">
        <f>"Burritt"</f>
        <v>Burritt</v>
      </c>
      <c r="AV1899" t="str">
        <f>"Jason"</f>
        <v>Jason</v>
      </c>
      <c r="AW1899" t="str">
        <f>"E"</f>
        <v>E</v>
      </c>
      <c r="AX1899" t="str">
        <f>"975 F Street, N.W."</f>
        <v>975 F Street, N.W.</v>
      </c>
      <c r="AY1899" t="str">
        <f>"N/A"</f>
        <v>N/A</v>
      </c>
      <c r="AZ1899" t="str">
        <f>"Washington"</f>
        <v>Washington</v>
      </c>
      <c r="BA1899" t="str">
        <f>"DC"</f>
        <v>DC</v>
      </c>
      <c r="BB1899" s="3">
        <v>20004</v>
      </c>
      <c r="BC1899" t="str">
        <f>"UNITED STATES OF AMERICA"</f>
        <v>UNITED STATES OF AMERICA</v>
      </c>
      <c r="BD1899" t="str">
        <f>"N/A"</f>
        <v>N/A</v>
      </c>
      <c r="BE1899" t="str">
        <f>"+12024632400"</f>
        <v>+12024632400</v>
      </c>
      <c r="BF1899" t="str">
        <f>"0"</f>
        <v>0</v>
      </c>
      <c r="BG1899" t="str">
        <f>"jehall@seyfarth.com"</f>
        <v>jehall@seyfarth.com</v>
      </c>
      <c r="BH1899" t="str">
        <f>"Seyfarth Shaw LLP"</f>
        <v>Seyfarth Shaw LLP</v>
      </c>
      <c r="BI1899" t="str">
        <f>"NY"</f>
        <v>NY</v>
      </c>
      <c r="BJ1899" t="str">
        <f>"New York State Supreme"</f>
        <v>New York State Supreme</v>
      </c>
      <c r="BK1899">
        <v>1</v>
      </c>
      <c r="BL1899" t="s">
        <v>102</v>
      </c>
      <c r="BM1899" t="str">
        <f>""</f>
        <v/>
      </c>
      <c r="BN1899" t="s">
        <v>9413</v>
      </c>
      <c r="BP1899" t="s">
        <v>2045</v>
      </c>
      <c r="BQ1899" t="s">
        <v>576</v>
      </c>
      <c r="BR1899" t="s">
        <v>577</v>
      </c>
      <c r="BS1899" s="5">
        <v>33331</v>
      </c>
      <c r="BT1899" s="2">
        <v>63274</v>
      </c>
      <c r="BU1899" s="2">
        <v>82959.399999999994</v>
      </c>
      <c r="BV1899" t="s">
        <v>105</v>
      </c>
      <c r="BW1899" s="2">
        <v>63274</v>
      </c>
      <c r="BX1899" t="s">
        <v>105</v>
      </c>
      <c r="BZ1899" t="s">
        <v>191</v>
      </c>
      <c r="CA1899" t="str">
        <f t="shared" si="155"/>
        <v>7/1/2020 - 6/30/2021</v>
      </c>
      <c r="CF1899">
        <v>2</v>
      </c>
      <c r="CG1899" t="s">
        <v>98</v>
      </c>
      <c r="CH1899" t="s">
        <v>206</v>
      </c>
      <c r="CI1899" t="s">
        <v>206</v>
      </c>
      <c r="CL1899" t="s">
        <v>108</v>
      </c>
      <c r="CM1899" t="s">
        <v>109</v>
      </c>
      <c r="CN1899" t="str">
        <f>"Hall"</f>
        <v>Hall</v>
      </c>
      <c r="CO1899" t="str">
        <f>"Jessika"</f>
        <v>Jessika</v>
      </c>
      <c r="CP1899" t="str">
        <f>"K"</f>
        <v>K</v>
      </c>
      <c r="CQ1899" t="str">
        <f>"Seyfarth Shaw LLP"</f>
        <v>Seyfarth Shaw LLP</v>
      </c>
      <c r="CR1899" t="s">
        <v>9414</v>
      </c>
    </row>
    <row r="1900" spans="1:96" x14ac:dyDescent="0.2">
      <c r="A1900" t="s">
        <v>9415</v>
      </c>
      <c r="B1900" t="s">
        <v>96</v>
      </c>
      <c r="C1900" s="1">
        <v>44099</v>
      </c>
      <c r="D1900" s="1">
        <v>44106</v>
      </c>
      <c r="F1900" t="s">
        <v>97</v>
      </c>
      <c r="G1900" t="str">
        <f>"Post-Doctoral Fellow"</f>
        <v>Post-Doctoral Fellow</v>
      </c>
      <c r="H1900" t="s">
        <v>12200</v>
      </c>
      <c r="I1900" t="s">
        <v>1587</v>
      </c>
      <c r="J1900" t="s">
        <v>98</v>
      </c>
      <c r="K1900" s="1">
        <v>44166</v>
      </c>
      <c r="L1900" s="1">
        <v>45260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2512</v>
      </c>
      <c r="U1900" t="str">
        <f>""</f>
        <v/>
      </c>
      <c r="V1900" t="s">
        <v>2513</v>
      </c>
      <c r="W1900" t="str">
        <f>"Smith Campus Center, Suite 864"</f>
        <v>Smith Campus Center, Suite 864</v>
      </c>
      <c r="X1900" t="s">
        <v>436</v>
      </c>
      <c r="Y1900" t="s">
        <v>171</v>
      </c>
      <c r="Z1900" s="3">
        <v>2138</v>
      </c>
      <c r="AA1900" t="s">
        <v>101</v>
      </c>
      <c r="AC1900" s="4" t="str">
        <f>"+16174957837"</f>
        <v>+16174957837</v>
      </c>
      <c r="AE1900" t="str">
        <f>"611310"</f>
        <v>611310</v>
      </c>
      <c r="AF1900" t="s">
        <v>5336</v>
      </c>
      <c r="AG1900" t="s">
        <v>1767</v>
      </c>
      <c r="AI1900" t="s">
        <v>2514</v>
      </c>
      <c r="AJ1900" t="s">
        <v>2513</v>
      </c>
      <c r="AK1900" t="str">
        <f>"Smith Campus Center, Suite 864"</f>
        <v>Smith Campus Center, Suite 864</v>
      </c>
      <c r="AL1900" t="s">
        <v>436</v>
      </c>
      <c r="AM1900" t="s">
        <v>171</v>
      </c>
      <c r="AN1900" s="3">
        <v>2138</v>
      </c>
      <c r="AO1900" t="s">
        <v>101</v>
      </c>
      <c r="AQ1900" t="str">
        <f>"+16174969120"</f>
        <v>+16174969120</v>
      </c>
      <c r="AS1900" t="s">
        <v>2515</v>
      </c>
      <c r="AT1900" t="s">
        <v>102</v>
      </c>
      <c r="AU1900" t="str">
        <f>""</f>
        <v/>
      </c>
      <c r="AV1900" t="str">
        <f>""</f>
        <v/>
      </c>
      <c r="AW1900" t="str">
        <f>""</f>
        <v/>
      </c>
      <c r="AX1900" t="str">
        <f>""</f>
        <v/>
      </c>
      <c r="AY1900" t="str">
        <f>""</f>
        <v/>
      </c>
      <c r="AZ1900" t="str">
        <f>""</f>
        <v/>
      </c>
      <c r="BA1900" t="str">
        <f>""</f>
        <v/>
      </c>
      <c r="BC1900" t="str">
        <f>""</f>
        <v/>
      </c>
      <c r="BD1900" t="str">
        <f>""</f>
        <v/>
      </c>
      <c r="BE1900" t="str">
        <f>""</f>
        <v/>
      </c>
      <c r="BF1900" t="str">
        <f>""</f>
        <v/>
      </c>
      <c r="BG1900" t="str">
        <f>""</f>
        <v/>
      </c>
      <c r="BH1900" t="str">
        <f>""</f>
        <v/>
      </c>
      <c r="BI1900" t="str">
        <f>""</f>
        <v/>
      </c>
      <c r="BJ1900" t="str">
        <f>""</f>
        <v/>
      </c>
      <c r="BK1900">
        <v>1</v>
      </c>
      <c r="BL1900" t="s">
        <v>102</v>
      </c>
      <c r="BM1900" t="str">
        <f>""</f>
        <v/>
      </c>
      <c r="BN1900" t="s">
        <v>9416</v>
      </c>
      <c r="BP1900" t="s">
        <v>436</v>
      </c>
      <c r="BQ1900" t="s">
        <v>1250</v>
      </c>
      <c r="BR1900" t="s">
        <v>171</v>
      </c>
      <c r="BS1900" s="5">
        <v>2138</v>
      </c>
      <c r="BT1900" s="2">
        <v>56285</v>
      </c>
      <c r="BV1900" t="s">
        <v>105</v>
      </c>
      <c r="BW1900" s="2">
        <v>34507</v>
      </c>
      <c r="BX1900" t="s">
        <v>105</v>
      </c>
      <c r="BZ1900" t="s">
        <v>191</v>
      </c>
      <c r="CA1900" t="str">
        <f t="shared" si="155"/>
        <v>7/1/2020 - 6/30/2021</v>
      </c>
      <c r="CF1900">
        <v>1</v>
      </c>
      <c r="CG1900" t="s">
        <v>98</v>
      </c>
      <c r="CH1900" t="s">
        <v>206</v>
      </c>
      <c r="CI1900" t="s">
        <v>206</v>
      </c>
      <c r="CL1900" t="s">
        <v>108</v>
      </c>
      <c r="CM1900" t="s">
        <v>109</v>
      </c>
      <c r="CN1900" t="str">
        <f>""</f>
        <v/>
      </c>
      <c r="CO1900" t="str">
        <f>""</f>
        <v/>
      </c>
      <c r="CP1900" t="str">
        <f>""</f>
        <v/>
      </c>
      <c r="CQ1900" t="str">
        <f>""</f>
        <v/>
      </c>
    </row>
    <row r="1901" spans="1:96" x14ac:dyDescent="0.2">
      <c r="A1901" t="s">
        <v>9417</v>
      </c>
      <c r="B1901" t="s">
        <v>96</v>
      </c>
      <c r="C1901" s="1">
        <v>44099</v>
      </c>
      <c r="D1901" s="1">
        <v>44106</v>
      </c>
      <c r="F1901" t="s">
        <v>97</v>
      </c>
      <c r="G1901" t="str">
        <f>"Software Engineer"</f>
        <v>Software Engineer</v>
      </c>
      <c r="H1901" t="s">
        <v>12169</v>
      </c>
      <c r="I1901" t="s">
        <v>124</v>
      </c>
      <c r="J1901" t="s">
        <v>98</v>
      </c>
      <c r="K1901" s="1">
        <v>44281</v>
      </c>
      <c r="L1901" s="1">
        <v>45376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 t="s">
        <v>173</v>
      </c>
      <c r="U1901" t="str">
        <f>""</f>
        <v/>
      </c>
      <c r="V1901" t="s">
        <v>174</v>
      </c>
      <c r="W1901" t="str">
        <f>"N/A"</f>
        <v>N/A</v>
      </c>
      <c r="X1901" t="s">
        <v>175</v>
      </c>
      <c r="Y1901" t="s">
        <v>176</v>
      </c>
      <c r="Z1901" s="3">
        <v>98052</v>
      </c>
      <c r="AA1901" t="s">
        <v>101</v>
      </c>
      <c r="AC1901" s="4" t="str">
        <f>"+14258828080"</f>
        <v>+14258828080</v>
      </c>
      <c r="AE1901" t="str">
        <f>"51121"</f>
        <v>51121</v>
      </c>
      <c r="AF1901" t="s">
        <v>177</v>
      </c>
      <c r="AG1901" t="s">
        <v>178</v>
      </c>
      <c r="AI1901" t="s">
        <v>179</v>
      </c>
      <c r="AJ1901" t="s">
        <v>174</v>
      </c>
      <c r="AK1901" t="str">
        <f>""</f>
        <v/>
      </c>
      <c r="AL1901" t="s">
        <v>175</v>
      </c>
      <c r="AM1901" t="s">
        <v>176</v>
      </c>
      <c r="AN1901" s="3">
        <v>98052</v>
      </c>
      <c r="AO1901" t="s">
        <v>101</v>
      </c>
      <c r="AQ1901" t="str">
        <f>"+14258828080"</f>
        <v>+14258828080</v>
      </c>
      <c r="AS1901" t="s">
        <v>180</v>
      </c>
      <c r="AT1901" t="s">
        <v>102</v>
      </c>
      <c r="AU1901" t="str">
        <f>""</f>
        <v/>
      </c>
      <c r="AV1901" t="str">
        <f>""</f>
        <v/>
      </c>
      <c r="AW1901" t="str">
        <f>""</f>
        <v/>
      </c>
      <c r="AX1901" t="str">
        <f>""</f>
        <v/>
      </c>
      <c r="AY1901" t="str">
        <f>""</f>
        <v/>
      </c>
      <c r="AZ1901" t="str">
        <f>""</f>
        <v/>
      </c>
      <c r="BA1901" t="str">
        <f>""</f>
        <v/>
      </c>
      <c r="BC1901" t="str">
        <f>""</f>
        <v/>
      </c>
      <c r="BD1901" t="str">
        <f>""</f>
        <v/>
      </c>
      <c r="BE1901" t="str">
        <f>""</f>
        <v/>
      </c>
      <c r="BF1901" t="str">
        <f>""</f>
        <v/>
      </c>
      <c r="BG1901" t="str">
        <f>""</f>
        <v/>
      </c>
      <c r="BH1901" t="str">
        <f>""</f>
        <v/>
      </c>
      <c r="BI1901" t="str">
        <f>""</f>
        <v/>
      </c>
      <c r="BJ1901" t="str">
        <f>""</f>
        <v/>
      </c>
      <c r="BK1901">
        <v>1</v>
      </c>
      <c r="BL1901" t="s">
        <v>102</v>
      </c>
      <c r="BM1901" t="str">
        <f>""</f>
        <v/>
      </c>
      <c r="BN1901" t="s">
        <v>962</v>
      </c>
      <c r="BP1901" t="s">
        <v>175</v>
      </c>
      <c r="BQ1901" t="s">
        <v>183</v>
      </c>
      <c r="BR1901" t="s">
        <v>176</v>
      </c>
      <c r="BS1901" s="5">
        <v>98052</v>
      </c>
      <c r="BT1901" s="2">
        <v>183126</v>
      </c>
      <c r="BV1901" t="s">
        <v>105</v>
      </c>
      <c r="BW1901" s="2">
        <v>134098</v>
      </c>
      <c r="BX1901" t="s">
        <v>105</v>
      </c>
      <c r="BZ1901" t="s">
        <v>123</v>
      </c>
      <c r="CA1901" t="str">
        <f t="shared" si="155"/>
        <v>7/1/2020 - 6/30/2021</v>
      </c>
      <c r="CF1901">
        <v>1</v>
      </c>
      <c r="CG1901" t="s">
        <v>98</v>
      </c>
      <c r="CH1901" t="s">
        <v>206</v>
      </c>
      <c r="CI1901" t="s">
        <v>206</v>
      </c>
      <c r="CL1901" t="s">
        <v>108</v>
      </c>
      <c r="CM1901" t="s">
        <v>109</v>
      </c>
      <c r="CN1901" t="str">
        <f>"Kodishala"</f>
        <v>Kodishala</v>
      </c>
      <c r="CO1901" t="str">
        <f>"Suresh"</f>
        <v>Suresh</v>
      </c>
      <c r="CP1901" t="str">
        <f>"N/A"</f>
        <v>N/A</v>
      </c>
      <c r="CQ1901" t="str">
        <f>"INTEGREON MANAGED SOLUTIONS (INDIA) PVT LTD"</f>
        <v>INTEGREON MANAGED SOLUTIONS (INDIA) PVT LTD</v>
      </c>
      <c r="CR1901" t="s">
        <v>231</v>
      </c>
    </row>
    <row r="1902" spans="1:96" x14ac:dyDescent="0.2">
      <c r="A1902" t="s">
        <v>9419</v>
      </c>
      <c r="B1902" t="s">
        <v>96</v>
      </c>
      <c r="C1902" s="1">
        <v>44099</v>
      </c>
      <c r="D1902" s="1">
        <v>44106</v>
      </c>
      <c r="F1902" t="s">
        <v>97</v>
      </c>
      <c r="G1902" t="str">
        <f>"Software Development Engineer"</f>
        <v>Software Development Engineer</v>
      </c>
      <c r="H1902" t="s">
        <v>12169</v>
      </c>
      <c r="I1902" t="s">
        <v>124</v>
      </c>
      <c r="J1902" t="s">
        <v>98</v>
      </c>
      <c r="K1902" s="1">
        <v>44111</v>
      </c>
      <c r="L1902" s="1">
        <v>45205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 t="s">
        <v>4010</v>
      </c>
      <c r="U1902" t="str">
        <f>""</f>
        <v/>
      </c>
      <c r="V1902" t="s">
        <v>4011</v>
      </c>
      <c r="W1902" t="str">
        <f>"Floor 31"</f>
        <v>Floor 31</v>
      </c>
      <c r="X1902" t="s">
        <v>261</v>
      </c>
      <c r="Y1902" t="s">
        <v>176</v>
      </c>
      <c r="Z1902" s="3">
        <v>98101</v>
      </c>
      <c r="AA1902" t="s">
        <v>101</v>
      </c>
      <c r="AC1902" s="4" t="str">
        <f>"+12064707000"</f>
        <v>+12064707000</v>
      </c>
      <c r="AE1902" t="str">
        <f>"531390"</f>
        <v>531390</v>
      </c>
      <c r="AF1902" t="s">
        <v>858</v>
      </c>
      <c r="AG1902" t="s">
        <v>1106</v>
      </c>
      <c r="AI1902" t="s">
        <v>4012</v>
      </c>
      <c r="AJ1902" t="s">
        <v>4011</v>
      </c>
      <c r="AK1902" t="str">
        <f>"Floor 31"</f>
        <v>Floor 31</v>
      </c>
      <c r="AL1902" t="s">
        <v>261</v>
      </c>
      <c r="AM1902" t="s">
        <v>176</v>
      </c>
      <c r="AN1902" s="3">
        <v>98101</v>
      </c>
      <c r="AO1902" t="s">
        <v>101</v>
      </c>
      <c r="AQ1902" t="str">
        <f>"+12065152964"</f>
        <v>+12065152964</v>
      </c>
      <c r="AS1902" t="s">
        <v>4013</v>
      </c>
      <c r="AT1902" t="s">
        <v>107</v>
      </c>
      <c r="AU1902" t="str">
        <f>"Mehta"</f>
        <v>Mehta</v>
      </c>
      <c r="AV1902" t="str">
        <f>"Radhika"</f>
        <v>Radhika</v>
      </c>
      <c r="AW1902" t="str">
        <f>""</f>
        <v/>
      </c>
      <c r="AX1902" t="str">
        <f>"1201 Third Avenue"</f>
        <v>1201 Third Avenue</v>
      </c>
      <c r="AY1902" t="str">
        <f>"Suite 2750"</f>
        <v>Suite 2750</v>
      </c>
      <c r="AZ1902" t="str">
        <f>"Seattle"</f>
        <v>Seattle</v>
      </c>
      <c r="BA1902" t="str">
        <f>"WA"</f>
        <v>WA</v>
      </c>
      <c r="BB1902" s="3">
        <v>98101</v>
      </c>
      <c r="BC1902" t="str">
        <f>"UNITED STATES OF AMERICA"</f>
        <v>UNITED STATES OF AMERICA</v>
      </c>
      <c r="BD1902" t="str">
        <f>""</f>
        <v/>
      </c>
      <c r="BE1902" t="str">
        <f>"+12066822308"</f>
        <v>+12066822308</v>
      </c>
      <c r="BF1902" t="str">
        <f>""</f>
        <v/>
      </c>
      <c r="BG1902" t="str">
        <f>"sea-immigration@fisherphillips.com"</f>
        <v>sea-immigration@fisherphillips.com</v>
      </c>
      <c r="BH1902" t="str">
        <f>"Fisher &amp; Phillips LLP"</f>
        <v>Fisher &amp; Phillips LLP</v>
      </c>
      <c r="BI1902" t="str">
        <f>"CA"</f>
        <v>CA</v>
      </c>
      <c r="BJ1902" t="str">
        <f>"Court of Appeals"</f>
        <v>Court of Appeals</v>
      </c>
      <c r="BK1902">
        <v>1</v>
      </c>
      <c r="BL1902" t="s">
        <v>102</v>
      </c>
      <c r="BM1902" t="str">
        <f>""</f>
        <v/>
      </c>
      <c r="BN1902" t="s">
        <v>5355</v>
      </c>
      <c r="BO1902" t="s">
        <v>4014</v>
      </c>
      <c r="BP1902" t="s">
        <v>261</v>
      </c>
      <c r="BQ1902" t="s">
        <v>183</v>
      </c>
      <c r="BR1902" t="s">
        <v>176</v>
      </c>
      <c r="BS1902" s="5">
        <v>98101</v>
      </c>
      <c r="BT1902" s="2">
        <v>155106</v>
      </c>
      <c r="BU1902" s="2">
        <v>179000</v>
      </c>
      <c r="BV1902" t="s">
        <v>105</v>
      </c>
      <c r="BW1902" s="2">
        <v>155106</v>
      </c>
      <c r="BX1902" t="s">
        <v>105</v>
      </c>
      <c r="BZ1902" t="s">
        <v>159</v>
      </c>
      <c r="CA1902" t="str">
        <f t="shared" si="155"/>
        <v>7/1/2020 - 6/30/2021</v>
      </c>
      <c r="CF1902">
        <v>2</v>
      </c>
      <c r="CG1902" t="s">
        <v>98</v>
      </c>
      <c r="CH1902" t="s">
        <v>206</v>
      </c>
      <c r="CI1902" t="s">
        <v>206</v>
      </c>
      <c r="CL1902" t="s">
        <v>108</v>
      </c>
      <c r="CM1902" t="s">
        <v>109</v>
      </c>
      <c r="CN1902" t="str">
        <f>"Wong"</f>
        <v>Wong</v>
      </c>
      <c r="CO1902" t="str">
        <f>"Erica"</f>
        <v>Erica</v>
      </c>
      <c r="CP1902" t="str">
        <f>"N.A"</f>
        <v>N.A</v>
      </c>
      <c r="CQ1902" t="str">
        <f>"Fisher &amp; Phillips LLP"</f>
        <v>Fisher &amp; Phillips LLP</v>
      </c>
      <c r="CR1902" t="s">
        <v>5343</v>
      </c>
    </row>
    <row r="1903" spans="1:96" x14ac:dyDescent="0.2">
      <c r="A1903" t="s">
        <v>9420</v>
      </c>
      <c r="B1903" t="s">
        <v>96</v>
      </c>
      <c r="C1903" s="1">
        <v>44099</v>
      </c>
      <c r="D1903" s="1">
        <v>44106</v>
      </c>
      <c r="F1903" t="s">
        <v>97</v>
      </c>
      <c r="G1903" t="str">
        <f>"Director, Medical Information - Virtual Engagement Strategy"</f>
        <v>Director, Medical Information - Virtual Engagement Strategy</v>
      </c>
      <c r="H1903" t="s">
        <v>12178</v>
      </c>
      <c r="I1903" t="s">
        <v>582</v>
      </c>
      <c r="J1903" t="s">
        <v>98</v>
      </c>
      <c r="K1903" s="1">
        <v>44105</v>
      </c>
      <c r="L1903" s="1">
        <v>45199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 t="s">
        <v>3380</v>
      </c>
      <c r="U1903" t="str">
        <f>""</f>
        <v/>
      </c>
      <c r="V1903" t="s">
        <v>3381</v>
      </c>
      <c r="W1903" t="str">
        <f>"310 DNA Way, Bldg 31"</f>
        <v>310 DNA Way, Bldg 31</v>
      </c>
      <c r="X1903" t="s">
        <v>888</v>
      </c>
      <c r="Y1903" t="s">
        <v>141</v>
      </c>
      <c r="Z1903" s="3">
        <v>94080</v>
      </c>
      <c r="AA1903" t="s">
        <v>101</v>
      </c>
      <c r="AC1903" s="4" t="str">
        <f>"+16502251000"</f>
        <v>+16502251000</v>
      </c>
      <c r="AE1903" t="str">
        <f>"54171"</f>
        <v>54171</v>
      </c>
      <c r="AF1903" t="s">
        <v>3122</v>
      </c>
      <c r="AG1903" t="s">
        <v>3123</v>
      </c>
      <c r="AI1903" t="s">
        <v>3124</v>
      </c>
      <c r="AJ1903" t="s">
        <v>3125</v>
      </c>
      <c r="AK1903" t="str">
        <f>"310 DNA WAY, BLDG. 31"</f>
        <v>310 DNA WAY, BLDG. 31</v>
      </c>
      <c r="AL1903" t="s">
        <v>3126</v>
      </c>
      <c r="AM1903" t="s">
        <v>141</v>
      </c>
      <c r="AN1903" s="3">
        <v>94080</v>
      </c>
      <c r="AO1903" t="s">
        <v>101</v>
      </c>
      <c r="AQ1903" t="str">
        <f>"+16504674302"</f>
        <v>+16504674302</v>
      </c>
      <c r="AS1903" t="s">
        <v>3127</v>
      </c>
      <c r="AT1903" t="s">
        <v>107</v>
      </c>
      <c r="AU1903" t="str">
        <f>"Kim"</f>
        <v>Kim</v>
      </c>
      <c r="AV1903" t="str">
        <f>"Monica"</f>
        <v>Monica</v>
      </c>
      <c r="AW1903" t="str">
        <f>"Maureen"</f>
        <v>Maureen</v>
      </c>
      <c r="AX1903" t="str">
        <f>"220 Montgomery Street"</f>
        <v>220 Montgomery Street</v>
      </c>
      <c r="AY1903" t="str">
        <f>"Suite 810"</f>
        <v>Suite 810</v>
      </c>
      <c r="AZ1903" t="str">
        <f>"San Francisco"</f>
        <v>San Francisco</v>
      </c>
      <c r="BA1903" t="str">
        <f>"CA"</f>
        <v>CA</v>
      </c>
      <c r="BB1903" s="3">
        <v>94104</v>
      </c>
      <c r="BC1903" t="str">
        <f>"UNITED STATES OF AMERICA"</f>
        <v>UNITED STATES OF AMERICA</v>
      </c>
      <c r="BD1903" t="str">
        <f>""</f>
        <v/>
      </c>
      <c r="BE1903" t="str">
        <f>"+14159012270"</f>
        <v>+14159012270</v>
      </c>
      <c r="BF1903" t="str">
        <f>""</f>
        <v/>
      </c>
      <c r="BG1903" t="str">
        <f>"mkim@gibney.com"</f>
        <v>mkim@gibney.com</v>
      </c>
      <c r="BH1903" t="str">
        <f>"Gibney, Anthony &amp; Flaherty LLP"</f>
        <v>Gibney, Anthony &amp; Flaherty LLP</v>
      </c>
      <c r="BI1903" t="str">
        <f>"CA"</f>
        <v>CA</v>
      </c>
      <c r="BJ1903" t="str">
        <f>"Supreme Court"</f>
        <v>Supreme Court</v>
      </c>
      <c r="BK1903">
        <v>1</v>
      </c>
      <c r="BL1903" t="s">
        <v>102</v>
      </c>
      <c r="BM1903" t="str">
        <f>""</f>
        <v/>
      </c>
      <c r="BN1903" t="s">
        <v>9421</v>
      </c>
      <c r="BO1903" t="s">
        <v>9422</v>
      </c>
      <c r="BP1903" t="s">
        <v>888</v>
      </c>
      <c r="BQ1903" t="s">
        <v>994</v>
      </c>
      <c r="BR1903" t="s">
        <v>141</v>
      </c>
      <c r="BS1903" s="5">
        <v>94080</v>
      </c>
      <c r="BT1903" s="2">
        <v>201968</v>
      </c>
      <c r="BU1903" s="2">
        <v>333400</v>
      </c>
      <c r="BV1903" t="s">
        <v>105</v>
      </c>
      <c r="BW1903" s="2">
        <v>201968</v>
      </c>
      <c r="BX1903" t="s">
        <v>105</v>
      </c>
      <c r="BZ1903" t="s">
        <v>123</v>
      </c>
      <c r="CA1903" t="str">
        <f t="shared" si="155"/>
        <v>7/1/2020 - 6/30/2021</v>
      </c>
      <c r="CF1903">
        <v>2</v>
      </c>
      <c r="CG1903" t="s">
        <v>98</v>
      </c>
      <c r="CH1903" t="s">
        <v>206</v>
      </c>
      <c r="CI1903" t="s">
        <v>206</v>
      </c>
      <c r="CL1903" t="s">
        <v>108</v>
      </c>
      <c r="CM1903" t="s">
        <v>109</v>
      </c>
      <c r="CN1903" t="str">
        <f>"Pong (840A/13004-02605-003)"</f>
        <v>Pong (840A/13004-02605-003)</v>
      </c>
      <c r="CO1903" t="str">
        <f>"Alexis"</f>
        <v>Alexis</v>
      </c>
      <c r="CP1903" t="str">
        <f>"S"</f>
        <v>S</v>
      </c>
      <c r="CQ1903" t="str">
        <f>"Gibney, Anthony &amp; Flaherty LLP"</f>
        <v>Gibney, Anthony &amp; Flaherty LLP</v>
      </c>
      <c r="CR1903" t="s">
        <v>3128</v>
      </c>
    </row>
    <row r="1904" spans="1:96" x14ac:dyDescent="0.2">
      <c r="A1904" t="s">
        <v>9425</v>
      </c>
      <c r="B1904" t="s">
        <v>96</v>
      </c>
      <c r="C1904" s="1">
        <v>44099</v>
      </c>
      <c r="D1904" s="1">
        <v>44106</v>
      </c>
      <c r="F1904" t="s">
        <v>97</v>
      </c>
      <c r="G1904" t="str">
        <f>"SENIOR SOFTWARE DEVELOPER"</f>
        <v>SENIOR SOFTWARE DEVELOPER</v>
      </c>
      <c r="H1904" t="s">
        <v>12169</v>
      </c>
      <c r="I1904" t="s">
        <v>124</v>
      </c>
      <c r="J1904" t="s">
        <v>98</v>
      </c>
      <c r="K1904" s="1">
        <v>44102</v>
      </c>
      <c r="L1904" s="1">
        <v>45196</v>
      </c>
      <c r="M1904">
        <v>10</v>
      </c>
      <c r="N1904">
        <v>2</v>
      </c>
      <c r="O1904">
        <v>2</v>
      </c>
      <c r="P1904">
        <v>2</v>
      </c>
      <c r="Q1904">
        <v>0</v>
      </c>
      <c r="R1904">
        <v>2</v>
      </c>
      <c r="S1904">
        <v>2</v>
      </c>
      <c r="T1904" t="s">
        <v>2068</v>
      </c>
      <c r="U1904" t="str">
        <f>""</f>
        <v/>
      </c>
      <c r="V1904" t="s">
        <v>2069</v>
      </c>
      <c r="W1904" t="str">
        <f>""</f>
        <v/>
      </c>
      <c r="X1904" t="s">
        <v>1025</v>
      </c>
      <c r="Y1904" t="s">
        <v>577</v>
      </c>
      <c r="Z1904" s="3">
        <v>33605</v>
      </c>
      <c r="AA1904" t="s">
        <v>101</v>
      </c>
      <c r="AC1904" s="4" t="str">
        <f>"+18135525000"</f>
        <v>+18135525000</v>
      </c>
      <c r="AE1904" t="str">
        <f>"5416"</f>
        <v>5416</v>
      </c>
      <c r="AF1904" t="s">
        <v>2070</v>
      </c>
      <c r="AG1904" t="s">
        <v>2071</v>
      </c>
      <c r="AI1904" t="s">
        <v>497</v>
      </c>
      <c r="AJ1904" t="s">
        <v>2072</v>
      </c>
      <c r="AK1904" t="str">
        <f>""</f>
        <v/>
      </c>
      <c r="AL1904" t="s">
        <v>1025</v>
      </c>
      <c r="AM1904" t="s">
        <v>577</v>
      </c>
      <c r="AN1904" s="3">
        <v>33605</v>
      </c>
      <c r="AO1904" t="s">
        <v>101</v>
      </c>
      <c r="AQ1904" t="str">
        <f>"+18135525000"</f>
        <v>+18135525000</v>
      </c>
      <c r="AS1904" t="s">
        <v>2073</v>
      </c>
      <c r="AT1904" t="s">
        <v>107</v>
      </c>
      <c r="AU1904" t="str">
        <f>"WHITE "</f>
        <v xml:space="preserve">WHITE </v>
      </c>
      <c r="AV1904" t="str">
        <f>"ROBERT"</f>
        <v>ROBERT</v>
      </c>
      <c r="AW1904" t="str">
        <f>"SAMUEL"</f>
        <v>SAMUEL</v>
      </c>
      <c r="AX1904" t="str">
        <f>"200 N MARTINGALE ROAD"</f>
        <v>200 N MARTINGALE ROAD</v>
      </c>
      <c r="AY1904" t="str">
        <f>"SUITE 800"</f>
        <v>SUITE 800</v>
      </c>
      <c r="AZ1904" t="str">
        <f>"SCHAUMBURG"</f>
        <v>SCHAUMBURG</v>
      </c>
      <c r="BA1904" t="str">
        <f>"IL"</f>
        <v>IL</v>
      </c>
      <c r="BB1904" s="3">
        <v>60173</v>
      </c>
      <c r="BC1904" t="str">
        <f>"UNITED STATES OF AMERICA"</f>
        <v>UNITED STATES OF AMERICA</v>
      </c>
      <c r="BD1904" t="str">
        <f>""</f>
        <v/>
      </c>
      <c r="BE1904" t="str">
        <f>"+18477348811"</f>
        <v>+18477348811</v>
      </c>
      <c r="BF1904" t="str">
        <f>""</f>
        <v/>
      </c>
      <c r="BG1904" t="str">
        <f>"RWHITE@MASUDAFUNAI.COM"</f>
        <v>RWHITE@MASUDAFUNAI.COM</v>
      </c>
      <c r="BH1904" t="str">
        <f>"Masuda Funai Eifert &amp; Mitchell, Ltd."</f>
        <v>Masuda Funai Eifert &amp; Mitchell, Ltd.</v>
      </c>
      <c r="BI1904" t="str">
        <f>"IL"</f>
        <v>IL</v>
      </c>
      <c r="BJ1904" t="str">
        <f>"SUPREME COURT"</f>
        <v>SUPREME COURT</v>
      </c>
      <c r="BK1904">
        <v>10</v>
      </c>
      <c r="BL1904" t="s">
        <v>107</v>
      </c>
      <c r="BM1904" t="str">
        <f>"AUTOMATED FINANCIAL SYSTEMS, INC."</f>
        <v>AUTOMATED FINANCIAL SYSTEMS, INC.</v>
      </c>
      <c r="BN1904" t="s">
        <v>9426</v>
      </c>
      <c r="BP1904" t="s">
        <v>4953</v>
      </c>
      <c r="BQ1904" t="s">
        <v>1238</v>
      </c>
      <c r="BR1904" t="s">
        <v>127</v>
      </c>
      <c r="BS1904" s="5">
        <v>19341</v>
      </c>
      <c r="BT1904" s="2">
        <v>43.16</v>
      </c>
      <c r="BU1904" s="2">
        <v>70</v>
      </c>
      <c r="BV1904" t="s">
        <v>210</v>
      </c>
      <c r="BW1904" s="2">
        <v>43.16</v>
      </c>
      <c r="BX1904" t="s">
        <v>210</v>
      </c>
      <c r="BZ1904" t="s">
        <v>167</v>
      </c>
      <c r="CA1904" t="str">
        <f t="shared" si="155"/>
        <v>7/1/2020 - 6/30/2021</v>
      </c>
      <c r="CF1904">
        <v>2</v>
      </c>
      <c r="CG1904" t="s">
        <v>98</v>
      </c>
      <c r="CH1904" t="s">
        <v>206</v>
      </c>
      <c r="CI1904" t="s">
        <v>206</v>
      </c>
      <c r="CL1904" t="s">
        <v>108</v>
      </c>
      <c r="CM1904" t="s">
        <v>109</v>
      </c>
      <c r="CN1904" t="str">
        <f>""</f>
        <v/>
      </c>
      <c r="CO1904" t="str">
        <f>""</f>
        <v/>
      </c>
      <c r="CP1904" t="str">
        <f>""</f>
        <v/>
      </c>
      <c r="CQ1904" t="str">
        <f>""</f>
        <v/>
      </c>
    </row>
    <row r="1905" spans="1:96" x14ac:dyDescent="0.2">
      <c r="A1905" t="s">
        <v>9438</v>
      </c>
      <c r="B1905" t="s">
        <v>96</v>
      </c>
      <c r="C1905" s="1">
        <v>44099</v>
      </c>
      <c r="D1905" s="1">
        <v>44106</v>
      </c>
      <c r="F1905" t="s">
        <v>97</v>
      </c>
      <c r="G1905" t="str">
        <f>"Product Development Project Management Specialist"</f>
        <v>Product Development Project Management Specialist</v>
      </c>
      <c r="H1905" t="s">
        <v>12196</v>
      </c>
      <c r="I1905" t="s">
        <v>322</v>
      </c>
      <c r="J1905" t="s">
        <v>98</v>
      </c>
      <c r="K1905" s="1">
        <v>44105</v>
      </c>
      <c r="L1905" s="1">
        <v>45199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4292</v>
      </c>
      <c r="U1905" t="str">
        <f>""</f>
        <v/>
      </c>
      <c r="V1905" t="s">
        <v>4293</v>
      </c>
      <c r="W1905" t="str">
        <f>""</f>
        <v/>
      </c>
      <c r="X1905" t="s">
        <v>1339</v>
      </c>
      <c r="Y1905" t="s">
        <v>186</v>
      </c>
      <c r="Z1905" s="3" t="s">
        <v>12299</v>
      </c>
      <c r="AA1905" t="s">
        <v>101</v>
      </c>
      <c r="AC1905" s="4" t="str">
        <f>"+17635052710"</f>
        <v>+17635052710</v>
      </c>
      <c r="AE1905" t="str">
        <f>"334510"</f>
        <v>334510</v>
      </c>
      <c r="AF1905" t="s">
        <v>2459</v>
      </c>
      <c r="AG1905" t="s">
        <v>1182</v>
      </c>
      <c r="AH1905" t="s">
        <v>1435</v>
      </c>
      <c r="AI1905" t="s">
        <v>2460</v>
      </c>
      <c r="AJ1905" t="s">
        <v>4293</v>
      </c>
      <c r="AK1905" t="str">
        <f>""</f>
        <v/>
      </c>
      <c r="AL1905" t="s">
        <v>1339</v>
      </c>
      <c r="AM1905" t="s">
        <v>186</v>
      </c>
      <c r="AN1905" s="3" t="s">
        <v>12299</v>
      </c>
      <c r="AO1905" t="s">
        <v>101</v>
      </c>
      <c r="AQ1905" t="str">
        <f>"+17635052710"</f>
        <v>+17635052710</v>
      </c>
      <c r="AS1905" t="s">
        <v>8268</v>
      </c>
      <c r="AT1905" t="s">
        <v>107</v>
      </c>
      <c r="AU1905" t="str">
        <f>"Cheng "</f>
        <v xml:space="preserve">Cheng </v>
      </c>
      <c r="AV1905" t="str">
        <f>"Zhu"</f>
        <v>Zhu</v>
      </c>
      <c r="AW1905" t="str">
        <f>""</f>
        <v/>
      </c>
      <c r="AX1905" t="str">
        <f>"Fredrikson &amp; Byron PA"</f>
        <v>Fredrikson &amp; Byron PA</v>
      </c>
      <c r="AY1905" t="str">
        <f>"200 South 6th Street, Suite 4000"</f>
        <v>200 South 6th Street, Suite 4000</v>
      </c>
      <c r="AZ1905" t="str">
        <f>"Minneapolis"</f>
        <v>Minneapolis</v>
      </c>
      <c r="BA1905" t="str">
        <f>"MN"</f>
        <v>MN</v>
      </c>
      <c r="BB1905" s="3">
        <v>55402</v>
      </c>
      <c r="BC1905" t="str">
        <f>"UNITED STATES OF AMERICA"</f>
        <v>UNITED STATES OF AMERICA</v>
      </c>
      <c r="BD1905" t="str">
        <f>""</f>
        <v/>
      </c>
      <c r="BE1905" t="str">
        <f>"+16124927399"</f>
        <v>+16124927399</v>
      </c>
      <c r="BF1905" t="str">
        <f>""</f>
        <v/>
      </c>
      <c r="BG1905" t="str">
        <f>"zcheng@fredlaw.com"</f>
        <v>zcheng@fredlaw.com</v>
      </c>
      <c r="BH1905" t="str">
        <f>"Fredrikson &amp; Byron, P.A. "</f>
        <v xml:space="preserve">Fredrikson &amp; Byron, P.A. </v>
      </c>
      <c r="BI1905" t="str">
        <f>"MN"</f>
        <v>MN</v>
      </c>
      <c r="BJ1905" t="str">
        <f>"Supreme Court "</f>
        <v xml:space="preserve">Supreme Court </v>
      </c>
      <c r="BK1905">
        <v>1</v>
      </c>
      <c r="BL1905" t="s">
        <v>102</v>
      </c>
      <c r="BM1905" t="str">
        <f>""</f>
        <v/>
      </c>
      <c r="BN1905" t="s">
        <v>9439</v>
      </c>
      <c r="BP1905" t="s">
        <v>4314</v>
      </c>
      <c r="BQ1905" t="s">
        <v>365</v>
      </c>
      <c r="BR1905" t="s">
        <v>141</v>
      </c>
      <c r="BS1905" s="5">
        <v>91325</v>
      </c>
      <c r="BT1905" s="2">
        <v>68765</v>
      </c>
      <c r="BU1905" s="2">
        <v>81600</v>
      </c>
      <c r="BV1905" t="s">
        <v>105</v>
      </c>
      <c r="BW1905" s="2">
        <v>68765</v>
      </c>
      <c r="BX1905" t="s">
        <v>105</v>
      </c>
      <c r="BZ1905" t="s">
        <v>191</v>
      </c>
      <c r="CA1905" t="str">
        <f t="shared" si="155"/>
        <v>7/1/2020 - 6/30/2021</v>
      </c>
      <c r="CF1905">
        <v>2</v>
      </c>
      <c r="CG1905" t="s">
        <v>98</v>
      </c>
      <c r="CH1905" t="s">
        <v>206</v>
      </c>
      <c r="CI1905" t="s">
        <v>206</v>
      </c>
      <c r="CL1905" t="s">
        <v>108</v>
      </c>
      <c r="CM1905" t="s">
        <v>109</v>
      </c>
      <c r="CN1905" t="str">
        <f>""</f>
        <v/>
      </c>
      <c r="CO1905" t="str">
        <f>""</f>
        <v/>
      </c>
      <c r="CP1905" t="str">
        <f>""</f>
        <v/>
      </c>
      <c r="CQ1905" t="str">
        <f>""</f>
        <v/>
      </c>
    </row>
    <row r="1906" spans="1:96" x14ac:dyDescent="0.2">
      <c r="A1906" t="s">
        <v>9456</v>
      </c>
      <c r="B1906" t="s">
        <v>96</v>
      </c>
      <c r="C1906" s="1">
        <v>44099</v>
      </c>
      <c r="D1906" s="1">
        <v>44106</v>
      </c>
      <c r="F1906" t="s">
        <v>97</v>
      </c>
      <c r="G1906" t="str">
        <f>"Software Engineer"</f>
        <v>Software Engineer</v>
      </c>
      <c r="H1906" t="s">
        <v>12169</v>
      </c>
      <c r="I1906" t="s">
        <v>124</v>
      </c>
      <c r="J1906" t="s">
        <v>98</v>
      </c>
      <c r="K1906" s="1">
        <v>44282</v>
      </c>
      <c r="L1906" s="1">
        <v>45377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 t="s">
        <v>173</v>
      </c>
      <c r="U1906" t="str">
        <f>""</f>
        <v/>
      </c>
      <c r="V1906" t="s">
        <v>174</v>
      </c>
      <c r="W1906" t="str">
        <f>"N/A"</f>
        <v>N/A</v>
      </c>
      <c r="X1906" t="s">
        <v>175</v>
      </c>
      <c r="Y1906" t="s">
        <v>176</v>
      </c>
      <c r="Z1906" s="3">
        <v>98052</v>
      </c>
      <c r="AA1906" t="s">
        <v>101</v>
      </c>
      <c r="AC1906" s="4" t="str">
        <f>"+14258828080"</f>
        <v>+14258828080</v>
      </c>
      <c r="AE1906" t="str">
        <f>"51121"</f>
        <v>51121</v>
      </c>
      <c r="AF1906" t="s">
        <v>177</v>
      </c>
      <c r="AG1906" t="s">
        <v>178</v>
      </c>
      <c r="AI1906" t="s">
        <v>179</v>
      </c>
      <c r="AJ1906" t="s">
        <v>174</v>
      </c>
      <c r="AK1906" t="str">
        <f>""</f>
        <v/>
      </c>
      <c r="AL1906" t="s">
        <v>175</v>
      </c>
      <c r="AM1906" t="s">
        <v>176</v>
      </c>
      <c r="AN1906" s="3">
        <v>98052</v>
      </c>
      <c r="AO1906" t="s">
        <v>101</v>
      </c>
      <c r="AQ1906" t="str">
        <f>"+14258828080"</f>
        <v>+14258828080</v>
      </c>
      <c r="AS1906" t="s">
        <v>180</v>
      </c>
      <c r="AT1906" t="s">
        <v>102</v>
      </c>
      <c r="AU1906" t="str">
        <f>""</f>
        <v/>
      </c>
      <c r="AV1906" t="str">
        <f>""</f>
        <v/>
      </c>
      <c r="AW1906" t="str">
        <f>""</f>
        <v/>
      </c>
      <c r="AX1906" t="str">
        <f>""</f>
        <v/>
      </c>
      <c r="AY1906" t="str">
        <f>""</f>
        <v/>
      </c>
      <c r="AZ1906" t="str">
        <f>""</f>
        <v/>
      </c>
      <c r="BA1906" t="str">
        <f>""</f>
        <v/>
      </c>
      <c r="BC1906" t="str">
        <f>""</f>
        <v/>
      </c>
      <c r="BD1906" t="str">
        <f>""</f>
        <v/>
      </c>
      <c r="BE1906" t="str">
        <f>""</f>
        <v/>
      </c>
      <c r="BF1906" t="str">
        <f>""</f>
        <v/>
      </c>
      <c r="BG1906" t="str">
        <f>""</f>
        <v/>
      </c>
      <c r="BH1906" t="str">
        <f>""</f>
        <v/>
      </c>
      <c r="BI1906" t="str">
        <f>""</f>
        <v/>
      </c>
      <c r="BJ1906" t="str">
        <f>""</f>
        <v/>
      </c>
      <c r="BK1906">
        <v>1</v>
      </c>
      <c r="BL1906" t="s">
        <v>102</v>
      </c>
      <c r="BM1906" t="str">
        <f>""</f>
        <v/>
      </c>
      <c r="BN1906" t="s">
        <v>962</v>
      </c>
      <c r="BP1906" t="s">
        <v>175</v>
      </c>
      <c r="BQ1906" t="s">
        <v>183</v>
      </c>
      <c r="BR1906" t="s">
        <v>176</v>
      </c>
      <c r="BS1906" s="5">
        <v>98052</v>
      </c>
      <c r="BT1906" s="2">
        <v>161600</v>
      </c>
      <c r="BV1906" t="s">
        <v>105</v>
      </c>
      <c r="BW1906" s="2">
        <v>113110</v>
      </c>
      <c r="BX1906" t="s">
        <v>105</v>
      </c>
      <c r="BZ1906" t="s">
        <v>167</v>
      </c>
      <c r="CA1906" t="str">
        <f t="shared" si="155"/>
        <v>7/1/2020 - 6/30/2021</v>
      </c>
      <c r="CF1906">
        <v>1</v>
      </c>
      <c r="CG1906" t="s">
        <v>98</v>
      </c>
      <c r="CH1906" t="s">
        <v>206</v>
      </c>
      <c r="CI1906" t="s">
        <v>206</v>
      </c>
      <c r="CL1906" t="s">
        <v>108</v>
      </c>
      <c r="CM1906" t="s">
        <v>109</v>
      </c>
      <c r="CN1906" t="str">
        <f>"Kodishala"</f>
        <v>Kodishala</v>
      </c>
      <c r="CO1906" t="str">
        <f>"Suresh"</f>
        <v>Suresh</v>
      </c>
      <c r="CP1906" t="str">
        <f>"N/A"</f>
        <v>N/A</v>
      </c>
      <c r="CQ1906" t="str">
        <f>"INTEGREON MANAGED SOLUTIONS (INDIA) PVT LTD"</f>
        <v>INTEGREON MANAGED SOLUTIONS (INDIA) PVT LTD</v>
      </c>
      <c r="CR1906" t="s">
        <v>231</v>
      </c>
    </row>
    <row r="1907" spans="1:96" x14ac:dyDescent="0.2">
      <c r="A1907" t="s">
        <v>9471</v>
      </c>
      <c r="B1907" t="s">
        <v>96</v>
      </c>
      <c r="C1907" s="1">
        <v>44099</v>
      </c>
      <c r="D1907" s="1">
        <v>44106</v>
      </c>
      <c r="F1907" t="s">
        <v>97</v>
      </c>
      <c r="G1907" t="str">
        <f>"Software Developer"</f>
        <v>Software Developer</v>
      </c>
      <c r="H1907" t="s">
        <v>12169</v>
      </c>
      <c r="I1907" t="s">
        <v>124</v>
      </c>
      <c r="J1907" t="s">
        <v>98</v>
      </c>
      <c r="K1907" s="1">
        <v>44109</v>
      </c>
      <c r="L1907" s="1">
        <v>45203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 t="s">
        <v>9472</v>
      </c>
      <c r="U1907" t="str">
        <f>""</f>
        <v/>
      </c>
      <c r="V1907" t="s">
        <v>9473</v>
      </c>
      <c r="W1907" t="str">
        <f>"Suite 212"</f>
        <v>Suite 212</v>
      </c>
      <c r="X1907" t="s">
        <v>297</v>
      </c>
      <c r="Y1907" t="s">
        <v>114</v>
      </c>
      <c r="Z1907" s="3">
        <v>75074</v>
      </c>
      <c r="AA1907" t="s">
        <v>101</v>
      </c>
      <c r="AC1907" s="4" t="str">
        <f>"+12144271022"</f>
        <v>+12144271022</v>
      </c>
      <c r="AE1907" t="str">
        <f>"541511"</f>
        <v>541511</v>
      </c>
      <c r="AF1907" t="s">
        <v>9474</v>
      </c>
      <c r="AG1907" t="s">
        <v>5151</v>
      </c>
      <c r="AI1907" t="s">
        <v>2916</v>
      </c>
      <c r="AJ1907" t="s">
        <v>9473</v>
      </c>
      <c r="AK1907" t="str">
        <f>"Suite 212"</f>
        <v>Suite 212</v>
      </c>
      <c r="AL1907" t="s">
        <v>297</v>
      </c>
      <c r="AM1907" t="s">
        <v>114</v>
      </c>
      <c r="AN1907" s="3">
        <v>75074</v>
      </c>
      <c r="AO1907" t="s">
        <v>101</v>
      </c>
      <c r="AQ1907" t="str">
        <f>"+12144271022"</f>
        <v>+12144271022</v>
      </c>
      <c r="AS1907" t="s">
        <v>9475</v>
      </c>
      <c r="AT1907" t="s">
        <v>107</v>
      </c>
      <c r="AU1907" t="str">
        <f>"Kan"</f>
        <v>Kan</v>
      </c>
      <c r="AV1907" t="str">
        <f>"Grace"</f>
        <v>Grace</v>
      </c>
      <c r="AW1907" t="str">
        <f>"S."</f>
        <v>S.</v>
      </c>
      <c r="AX1907" t="str">
        <f>"1750 Valley View Lane"</f>
        <v>1750 Valley View Lane</v>
      </c>
      <c r="AY1907" t="str">
        <f>"Suite 339"</f>
        <v>Suite 339</v>
      </c>
      <c r="AZ1907" t="str">
        <f>"Farmers Branch"</f>
        <v>Farmers Branch</v>
      </c>
      <c r="BA1907" t="str">
        <f>"TX"</f>
        <v>TX</v>
      </c>
      <c r="BB1907" s="3">
        <v>75234</v>
      </c>
      <c r="BC1907" t="str">
        <f>"UNITED STATES OF AMERICA"</f>
        <v>UNITED STATES OF AMERICA</v>
      </c>
      <c r="BD1907" t="str">
        <f>""</f>
        <v/>
      </c>
      <c r="BE1907" t="str">
        <f>"+19722416445"</f>
        <v>+19722416445</v>
      </c>
      <c r="BF1907" t="str">
        <f>""</f>
        <v/>
      </c>
      <c r="BG1907" t="str">
        <f>"gkan@kanlaw.net"</f>
        <v>gkan@kanlaw.net</v>
      </c>
      <c r="BH1907" t="str">
        <f>"Kan Law, PC"</f>
        <v>Kan Law, PC</v>
      </c>
      <c r="BI1907" t="str">
        <f>"TX"</f>
        <v>TX</v>
      </c>
      <c r="BJ1907" t="str">
        <f>"Texas Supreme Court"</f>
        <v>Texas Supreme Court</v>
      </c>
      <c r="BK1907">
        <v>1</v>
      </c>
      <c r="BL1907" t="s">
        <v>107</v>
      </c>
      <c r="BM1907" t="str">
        <f>"First Citizens Bank"</f>
        <v>First Citizens Bank</v>
      </c>
      <c r="BN1907" t="s">
        <v>9476</v>
      </c>
      <c r="BP1907" t="s">
        <v>1066</v>
      </c>
      <c r="BQ1907" t="s">
        <v>1067</v>
      </c>
      <c r="BR1907" t="s">
        <v>122</v>
      </c>
      <c r="BS1907" s="5">
        <v>27603</v>
      </c>
      <c r="BT1907" s="2">
        <v>91291</v>
      </c>
      <c r="BV1907" t="s">
        <v>105</v>
      </c>
      <c r="BW1907" s="2">
        <v>91291</v>
      </c>
      <c r="BX1907" t="s">
        <v>105</v>
      </c>
      <c r="BZ1907" t="s">
        <v>167</v>
      </c>
      <c r="CA1907" t="str">
        <f t="shared" si="155"/>
        <v>7/1/2020 - 6/30/2021</v>
      </c>
      <c r="CF1907">
        <v>2</v>
      </c>
      <c r="CG1907" t="s">
        <v>98</v>
      </c>
      <c r="CH1907" t="s">
        <v>206</v>
      </c>
      <c r="CI1907" t="s">
        <v>206</v>
      </c>
      <c r="CL1907" t="s">
        <v>108</v>
      </c>
      <c r="CM1907" t="s">
        <v>109</v>
      </c>
      <c r="CN1907" t="str">
        <f>""</f>
        <v/>
      </c>
      <c r="CO1907" t="str">
        <f>""</f>
        <v/>
      </c>
      <c r="CP1907" t="str">
        <f>""</f>
        <v/>
      </c>
      <c r="CQ1907" t="str">
        <f>""</f>
        <v/>
      </c>
    </row>
    <row r="1908" spans="1:96" x14ac:dyDescent="0.2">
      <c r="A1908" t="s">
        <v>9496</v>
      </c>
      <c r="B1908" t="s">
        <v>96</v>
      </c>
      <c r="C1908" s="1">
        <v>44099</v>
      </c>
      <c r="D1908" s="1">
        <v>44106</v>
      </c>
      <c r="F1908" t="s">
        <v>97</v>
      </c>
      <c r="G1908" t="str">
        <f>"Team Leader, Data Science"</f>
        <v>Team Leader, Data Science</v>
      </c>
      <c r="H1908" t="s">
        <v>12180</v>
      </c>
      <c r="I1908" t="s">
        <v>390</v>
      </c>
      <c r="J1908" t="s">
        <v>98</v>
      </c>
      <c r="K1908" s="1">
        <v>44106</v>
      </c>
      <c r="L1908" s="1">
        <v>45200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5499</v>
      </c>
      <c r="U1908" t="str">
        <f>""</f>
        <v/>
      </c>
      <c r="V1908" t="s">
        <v>5500</v>
      </c>
      <c r="W1908" t="str">
        <f>""</f>
        <v/>
      </c>
      <c r="X1908" t="s">
        <v>1682</v>
      </c>
      <c r="Y1908" t="s">
        <v>265</v>
      </c>
      <c r="Z1908" s="3">
        <v>48226</v>
      </c>
      <c r="AA1908" t="s">
        <v>101</v>
      </c>
      <c r="AC1908" s="4" t="str">
        <f>"+13135455164"</f>
        <v>+13135455164</v>
      </c>
      <c r="AE1908" t="str">
        <f>"541611"</f>
        <v>541611</v>
      </c>
      <c r="AF1908" t="s">
        <v>1683</v>
      </c>
      <c r="AG1908" t="s">
        <v>1684</v>
      </c>
      <c r="AH1908" t="s">
        <v>1685</v>
      </c>
      <c r="AI1908" t="s">
        <v>1686</v>
      </c>
      <c r="AJ1908" t="s">
        <v>1681</v>
      </c>
      <c r="AK1908" t="str">
        <f>""</f>
        <v/>
      </c>
      <c r="AL1908" t="s">
        <v>1682</v>
      </c>
      <c r="AM1908" t="s">
        <v>265</v>
      </c>
      <c r="AN1908" s="3">
        <v>48226</v>
      </c>
      <c r="AO1908" t="s">
        <v>101</v>
      </c>
      <c r="AQ1908" t="str">
        <f>"+13135455164"</f>
        <v>+13135455164</v>
      </c>
      <c r="AS1908" t="s">
        <v>1687</v>
      </c>
      <c r="AT1908" t="s">
        <v>107</v>
      </c>
      <c r="AU1908" t="str">
        <f>"Allen"</f>
        <v>Allen</v>
      </c>
      <c r="AV1908" t="str">
        <f>"Christian"</f>
        <v>Christian</v>
      </c>
      <c r="AW1908" t="str">
        <f>"S."</f>
        <v>S.</v>
      </c>
      <c r="AX1908" t="str">
        <f>"2600 W. Big Beaver Rd., Ste. 300"</f>
        <v>2600 W. Big Beaver Rd., Ste. 300</v>
      </c>
      <c r="AY1908" t="str">
        <f>""</f>
        <v/>
      </c>
      <c r="AZ1908" t="str">
        <f>"Troy"</f>
        <v>Troy</v>
      </c>
      <c r="BA1908" t="str">
        <f>"MI"</f>
        <v>MI</v>
      </c>
      <c r="BB1908" s="3">
        <v>48084</v>
      </c>
      <c r="BC1908" t="str">
        <f>"UNITED STATES OF AMERICA"</f>
        <v>UNITED STATES OF AMERICA</v>
      </c>
      <c r="BD1908" t="str">
        <f>""</f>
        <v/>
      </c>
      <c r="BE1908" t="str">
        <f>"+12484337299"</f>
        <v>+12484337299</v>
      </c>
      <c r="BF1908" t="str">
        <f>""</f>
        <v/>
      </c>
      <c r="BG1908" t="str">
        <f>"callen@dickinsonwright.com"</f>
        <v>callen@dickinsonwright.com</v>
      </c>
      <c r="BH1908" t="str">
        <f>"Dickinson Wright, PLLC"</f>
        <v>Dickinson Wright, PLLC</v>
      </c>
      <c r="BI1908" t="str">
        <f>"MI"</f>
        <v>MI</v>
      </c>
      <c r="BJ1908" t="str">
        <f>"Supreme Court"</f>
        <v>Supreme Court</v>
      </c>
      <c r="BK1908">
        <v>1</v>
      </c>
      <c r="BL1908" t="s">
        <v>102</v>
      </c>
      <c r="BM1908" t="str">
        <f>""</f>
        <v/>
      </c>
      <c r="BN1908" t="s">
        <v>1681</v>
      </c>
      <c r="BP1908" t="s">
        <v>1682</v>
      </c>
      <c r="BQ1908" t="s">
        <v>533</v>
      </c>
      <c r="BR1908" t="s">
        <v>265</v>
      </c>
      <c r="BS1908" s="5">
        <v>48226</v>
      </c>
      <c r="BT1908" s="2">
        <v>110000</v>
      </c>
      <c r="BU1908" s="2">
        <v>120000</v>
      </c>
      <c r="BV1908" t="s">
        <v>105</v>
      </c>
      <c r="BW1908" s="2">
        <v>102274</v>
      </c>
      <c r="BX1908" t="s">
        <v>105</v>
      </c>
      <c r="BZ1908" t="s">
        <v>159</v>
      </c>
      <c r="CA1908" t="str">
        <f t="shared" si="155"/>
        <v>7/1/2020 - 6/30/2021</v>
      </c>
      <c r="CF1908">
        <v>2</v>
      </c>
      <c r="CG1908" t="s">
        <v>98</v>
      </c>
      <c r="CH1908" t="s">
        <v>206</v>
      </c>
      <c r="CI1908" t="s">
        <v>206</v>
      </c>
      <c r="CL1908" t="s">
        <v>108</v>
      </c>
      <c r="CM1908" t="s">
        <v>353</v>
      </c>
      <c r="CN1908" t="str">
        <f>""</f>
        <v/>
      </c>
      <c r="CO1908" t="str">
        <f>""</f>
        <v/>
      </c>
      <c r="CP1908" t="str">
        <f>""</f>
        <v/>
      </c>
      <c r="CQ1908" t="str">
        <f>""</f>
        <v/>
      </c>
    </row>
    <row r="1909" spans="1:96" x14ac:dyDescent="0.2">
      <c r="A1909" t="s">
        <v>9498</v>
      </c>
      <c r="B1909" t="s">
        <v>96</v>
      </c>
      <c r="C1909" s="1">
        <v>44099</v>
      </c>
      <c r="D1909" s="1">
        <v>44106</v>
      </c>
      <c r="F1909" t="s">
        <v>97</v>
      </c>
      <c r="G1909" t="str">
        <f>"Engineer"</f>
        <v>Engineer</v>
      </c>
      <c r="H1909" t="s">
        <v>12186</v>
      </c>
      <c r="I1909" t="s">
        <v>232</v>
      </c>
      <c r="J1909" t="s">
        <v>98</v>
      </c>
      <c r="K1909" s="1">
        <v>44105</v>
      </c>
      <c r="L1909" s="1">
        <v>45199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4973</v>
      </c>
      <c r="U1909" t="str">
        <f>""</f>
        <v/>
      </c>
      <c r="V1909" t="s">
        <v>4974</v>
      </c>
      <c r="W1909" t="str">
        <f>""</f>
        <v/>
      </c>
      <c r="X1909" t="s">
        <v>247</v>
      </c>
      <c r="Y1909" t="s">
        <v>141</v>
      </c>
      <c r="Z1909" s="3">
        <v>95054</v>
      </c>
      <c r="AA1909" t="s">
        <v>101</v>
      </c>
      <c r="AB1909" t="s">
        <v>141</v>
      </c>
      <c r="AC1909" s="4" t="str">
        <f>"+14082222500"</f>
        <v>+14082222500</v>
      </c>
      <c r="AE1909" t="str">
        <f>"334413"</f>
        <v>334413</v>
      </c>
      <c r="AF1909" t="s">
        <v>4975</v>
      </c>
      <c r="AG1909" t="s">
        <v>4976</v>
      </c>
      <c r="AI1909" t="s">
        <v>4977</v>
      </c>
      <c r="AJ1909" t="s">
        <v>4974</v>
      </c>
      <c r="AK1909" t="str">
        <f>""</f>
        <v/>
      </c>
      <c r="AL1909" t="s">
        <v>247</v>
      </c>
      <c r="AM1909" t="s">
        <v>141</v>
      </c>
      <c r="AN1909" s="3">
        <v>95054</v>
      </c>
      <c r="AO1909" t="s">
        <v>101</v>
      </c>
      <c r="AQ1909" t="str">
        <f>"+14082222500"</f>
        <v>+14082222500</v>
      </c>
      <c r="AS1909" t="s">
        <v>4978</v>
      </c>
      <c r="AT1909" t="s">
        <v>107</v>
      </c>
      <c r="AU1909" t="str">
        <f>"Im"</f>
        <v>Im</v>
      </c>
      <c r="AV1909" t="str">
        <f>"Jang"</f>
        <v>Jang</v>
      </c>
      <c r="AW1909" t="str">
        <f>"H."</f>
        <v>H.</v>
      </c>
      <c r="AX1909" t="str">
        <f>"655 Montgomery St, Ste.1150"</f>
        <v>655 Montgomery St, Ste.1150</v>
      </c>
      <c r="AY1909" t="str">
        <f>""</f>
        <v/>
      </c>
      <c r="AZ1909" t="str">
        <f>"San Francisco "</f>
        <v xml:space="preserve">San Francisco </v>
      </c>
      <c r="BA1909" t="str">
        <f>"CA"</f>
        <v>CA</v>
      </c>
      <c r="BB1909" s="3">
        <v>94111</v>
      </c>
      <c r="BC1909" t="str">
        <f>"UNITED STATES OF AMERICA"</f>
        <v>UNITED STATES OF AMERICA</v>
      </c>
      <c r="BD1909" t="str">
        <f>""</f>
        <v/>
      </c>
      <c r="BE1909" t="str">
        <f>"+14153983500"</f>
        <v>+14153983500</v>
      </c>
      <c r="BF1909" t="str">
        <f>""</f>
        <v/>
      </c>
      <c r="BG1909" t="str">
        <f>"JIm@ebglaw.com"</f>
        <v>JIm@ebglaw.com</v>
      </c>
      <c r="BH1909" t="str">
        <f>"Epstein Becker &amp; Green, P.C."</f>
        <v>Epstein Becker &amp; Green, P.C.</v>
      </c>
      <c r="BI1909" t="str">
        <f>"CA"</f>
        <v>CA</v>
      </c>
      <c r="BJ1909" t="str">
        <f>"California Supreme Court "</f>
        <v xml:space="preserve">California Supreme Court </v>
      </c>
      <c r="BK1909">
        <v>1</v>
      </c>
      <c r="BL1909" t="s">
        <v>102</v>
      </c>
      <c r="BM1909" t="str">
        <f>""</f>
        <v/>
      </c>
      <c r="BN1909" t="s">
        <v>9499</v>
      </c>
      <c r="BP1909" t="s">
        <v>940</v>
      </c>
      <c r="BQ1909" t="s">
        <v>941</v>
      </c>
      <c r="BR1909" t="s">
        <v>171</v>
      </c>
      <c r="BS1909" s="5">
        <v>1752</v>
      </c>
      <c r="BT1909" s="2">
        <v>104000</v>
      </c>
      <c r="BU1909" s="2">
        <v>122400</v>
      </c>
      <c r="BV1909" t="s">
        <v>105</v>
      </c>
      <c r="BW1909" s="2">
        <v>103064</v>
      </c>
      <c r="BX1909" t="s">
        <v>105</v>
      </c>
      <c r="BZ1909" t="s">
        <v>167</v>
      </c>
      <c r="CA1909" t="str">
        <f t="shared" si="155"/>
        <v>7/1/2020 - 6/30/2021</v>
      </c>
      <c r="CF1909">
        <v>2</v>
      </c>
      <c r="CG1909" t="s">
        <v>98</v>
      </c>
      <c r="CH1909" t="s">
        <v>206</v>
      </c>
      <c r="CI1909" t="s">
        <v>206</v>
      </c>
      <c r="CL1909" t="s">
        <v>108</v>
      </c>
      <c r="CM1909" t="s">
        <v>109</v>
      </c>
      <c r="CN1909" t="str">
        <f>"Li"</f>
        <v>Li</v>
      </c>
      <c r="CO1909" t="str">
        <f>"Hannah"</f>
        <v>Hannah</v>
      </c>
      <c r="CP1909" t="str">
        <f>"J"</f>
        <v>J</v>
      </c>
      <c r="CQ1909" t="str">
        <f>"Epstein Becker &amp; Green, PC"</f>
        <v>Epstein Becker &amp; Green, PC</v>
      </c>
      <c r="CR1909" t="s">
        <v>5035</v>
      </c>
    </row>
    <row r="1910" spans="1:96" x14ac:dyDescent="0.2">
      <c r="A1910" t="s">
        <v>9513</v>
      </c>
      <c r="B1910" t="s">
        <v>96</v>
      </c>
      <c r="C1910" s="1">
        <v>44099</v>
      </c>
      <c r="D1910" s="1">
        <v>44106</v>
      </c>
      <c r="F1910" t="s">
        <v>97</v>
      </c>
      <c r="G1910" t="str">
        <f>"EXTENSION EDUCATOR"</f>
        <v>EXTENSION EDUCATOR</v>
      </c>
      <c r="H1910" t="s">
        <v>12184</v>
      </c>
      <c r="I1910" t="s">
        <v>1475</v>
      </c>
      <c r="J1910" t="s">
        <v>98</v>
      </c>
      <c r="K1910" s="1">
        <v>44204</v>
      </c>
      <c r="L1910" s="1">
        <v>45298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5247</v>
      </c>
      <c r="U1910" t="str">
        <f>""</f>
        <v/>
      </c>
      <c r="V1910" t="s">
        <v>5248</v>
      </c>
      <c r="W1910" t="str">
        <f>"INTERNATIONAL CTR., OISS"</f>
        <v>INTERNATIONAL CTR., OISS</v>
      </c>
      <c r="X1910" t="s">
        <v>5249</v>
      </c>
      <c r="Y1910" t="s">
        <v>265</v>
      </c>
      <c r="Z1910" s="3">
        <v>48824</v>
      </c>
      <c r="AA1910" t="s">
        <v>101</v>
      </c>
      <c r="AC1910" s="4" t="str">
        <f>"+15173531720"</f>
        <v>+15173531720</v>
      </c>
      <c r="AE1910" t="str">
        <f>"611310"</f>
        <v>611310</v>
      </c>
      <c r="AF1910" t="s">
        <v>5250</v>
      </c>
      <c r="AG1910" t="s">
        <v>5251</v>
      </c>
      <c r="AI1910" t="s">
        <v>5252</v>
      </c>
      <c r="AJ1910" t="s">
        <v>5248</v>
      </c>
      <c r="AK1910" t="str">
        <f>"INTERNATIONAL CTR., OISS"</f>
        <v>INTERNATIONAL CTR., OISS</v>
      </c>
      <c r="AL1910" t="s">
        <v>5249</v>
      </c>
      <c r="AM1910" t="s">
        <v>265</v>
      </c>
      <c r="AN1910" s="3">
        <v>48824</v>
      </c>
      <c r="AO1910" t="s">
        <v>101</v>
      </c>
      <c r="AQ1910" t="str">
        <f>"+15173531720"</f>
        <v>+15173531720</v>
      </c>
      <c r="AS1910" t="s">
        <v>5253</v>
      </c>
      <c r="AT1910" t="s">
        <v>102</v>
      </c>
      <c r="AU1910" t="str">
        <f>""</f>
        <v/>
      </c>
      <c r="AV1910" t="str">
        <f>""</f>
        <v/>
      </c>
      <c r="AW1910" t="str">
        <f>""</f>
        <v/>
      </c>
      <c r="AX1910" t="str">
        <f>""</f>
        <v/>
      </c>
      <c r="AY1910" t="str">
        <f>""</f>
        <v/>
      </c>
      <c r="AZ1910" t="str">
        <f>""</f>
        <v/>
      </c>
      <c r="BA1910" t="str">
        <f>""</f>
        <v/>
      </c>
      <c r="BC1910" t="str">
        <f>""</f>
        <v/>
      </c>
      <c r="BD1910" t="str">
        <f>""</f>
        <v/>
      </c>
      <c r="BE1910" t="str">
        <f>""</f>
        <v/>
      </c>
      <c r="BF1910" t="str">
        <f>""</f>
        <v/>
      </c>
      <c r="BG1910" t="str">
        <f>""</f>
        <v/>
      </c>
      <c r="BH1910" t="str">
        <f>""</f>
        <v/>
      </c>
      <c r="BI1910" t="str">
        <f>""</f>
        <v/>
      </c>
      <c r="BJ1910" t="str">
        <f>""</f>
        <v/>
      </c>
      <c r="BK1910">
        <v>1</v>
      </c>
      <c r="BL1910" t="s">
        <v>102</v>
      </c>
      <c r="BM1910" t="str">
        <f>""</f>
        <v/>
      </c>
      <c r="BN1910" t="s">
        <v>9514</v>
      </c>
      <c r="BO1910" t="s">
        <v>9515</v>
      </c>
      <c r="BP1910" t="s">
        <v>9516</v>
      </c>
      <c r="BQ1910" t="s">
        <v>6002</v>
      </c>
      <c r="BR1910" t="s">
        <v>265</v>
      </c>
      <c r="BS1910" s="5">
        <v>49221</v>
      </c>
      <c r="BT1910" s="2">
        <v>48999.96</v>
      </c>
      <c r="BV1910" t="s">
        <v>105</v>
      </c>
      <c r="BW1910" s="2">
        <v>48714</v>
      </c>
      <c r="BX1910" t="s">
        <v>105</v>
      </c>
      <c r="BY1910" t="s">
        <v>9517</v>
      </c>
      <c r="CA1910" t="str">
        <f>""</f>
        <v/>
      </c>
      <c r="CF1910">
        <v>1</v>
      </c>
      <c r="CG1910" t="s">
        <v>98</v>
      </c>
      <c r="CH1910" t="s">
        <v>206</v>
      </c>
      <c r="CI1910" t="s">
        <v>206</v>
      </c>
      <c r="CL1910" t="s">
        <v>108</v>
      </c>
      <c r="CM1910" t="s">
        <v>109</v>
      </c>
      <c r="CN1910" t="str">
        <f>""</f>
        <v/>
      </c>
      <c r="CO1910" t="str">
        <f>""</f>
        <v/>
      </c>
      <c r="CP1910" t="str">
        <f>""</f>
        <v/>
      </c>
      <c r="CQ1910" t="str">
        <f>""</f>
        <v/>
      </c>
    </row>
    <row r="1911" spans="1:96" x14ac:dyDescent="0.2">
      <c r="A1911" t="s">
        <v>9531</v>
      </c>
      <c r="B1911" t="s">
        <v>96</v>
      </c>
      <c r="C1911" s="1">
        <v>44099</v>
      </c>
      <c r="D1911" s="1">
        <v>44106</v>
      </c>
      <c r="F1911" t="s">
        <v>97</v>
      </c>
      <c r="G1911" t="str">
        <f>"Molecular and Cell Biology Research Scientist I"</f>
        <v>Molecular and Cell Biology Research Scientist I</v>
      </c>
      <c r="H1911" t="s">
        <v>12172</v>
      </c>
      <c r="I1911" t="s">
        <v>279</v>
      </c>
      <c r="J1911" t="s">
        <v>98</v>
      </c>
      <c r="K1911" s="1">
        <v>44105</v>
      </c>
      <c r="L1911" s="1">
        <v>45199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 t="s">
        <v>9532</v>
      </c>
      <c r="U1911" t="str">
        <f>""</f>
        <v/>
      </c>
      <c r="V1911" t="s">
        <v>5531</v>
      </c>
      <c r="W1911" t="str">
        <f>""</f>
        <v/>
      </c>
      <c r="X1911" t="s">
        <v>951</v>
      </c>
      <c r="Y1911" t="s">
        <v>171</v>
      </c>
      <c r="Z1911" s="3">
        <v>2210</v>
      </c>
      <c r="AA1911" t="s">
        <v>101</v>
      </c>
      <c r="AB1911" t="s">
        <v>189</v>
      </c>
      <c r="AC1911" s="4" t="str">
        <f>"+16173416100"</f>
        <v>+16173416100</v>
      </c>
      <c r="AE1911" t="str">
        <f>"54171"</f>
        <v>54171</v>
      </c>
      <c r="AF1911" t="s">
        <v>2723</v>
      </c>
      <c r="AG1911" t="s">
        <v>2438</v>
      </c>
      <c r="AI1911" t="s">
        <v>4693</v>
      </c>
      <c r="AJ1911" t="s">
        <v>9533</v>
      </c>
      <c r="AK1911" t="str">
        <f>""</f>
        <v/>
      </c>
      <c r="AL1911" t="s">
        <v>951</v>
      </c>
      <c r="AM1911" t="s">
        <v>171</v>
      </c>
      <c r="AN1911" s="3">
        <v>2210</v>
      </c>
      <c r="AO1911" t="s">
        <v>101</v>
      </c>
      <c r="AQ1911" t="str">
        <f>"+16173416100"</f>
        <v>+16173416100</v>
      </c>
      <c r="AS1911" t="s">
        <v>9534</v>
      </c>
      <c r="AT1911" t="s">
        <v>107</v>
      </c>
      <c r="AU1911" t="str">
        <f>"Curtis"</f>
        <v>Curtis</v>
      </c>
      <c r="AV1911" t="str">
        <f>"Josiah"</f>
        <v>Josiah</v>
      </c>
      <c r="AW1911" t="str">
        <f>"James"</f>
        <v>James</v>
      </c>
      <c r="AX1911" t="str">
        <f>"265 Franklin Street"</f>
        <v>265 Franklin Street</v>
      </c>
      <c r="AY1911" t="str">
        <f>"Suite 502"</f>
        <v>Suite 502</v>
      </c>
      <c r="AZ1911" t="str">
        <f>"Boston"</f>
        <v>Boston</v>
      </c>
      <c r="BA1911" t="str">
        <f>"MA"</f>
        <v>MA</v>
      </c>
      <c r="BB1911" s="3">
        <v>2110</v>
      </c>
      <c r="BC1911" t="str">
        <f t="shared" ref="BC1911:BC1918" si="156">"UNITED STATES OF AMERICA"</f>
        <v>UNITED STATES OF AMERICA</v>
      </c>
      <c r="BD1911" t="str">
        <f>""</f>
        <v/>
      </c>
      <c r="BE1911" t="str">
        <f>"+14692909795"</f>
        <v>+14692909795</v>
      </c>
      <c r="BF1911" t="str">
        <f>""</f>
        <v/>
      </c>
      <c r="BG1911" t="str">
        <f>"SCBoston@balglobal.com"</f>
        <v>SCBoston@balglobal.com</v>
      </c>
      <c r="BH1911" t="str">
        <f>"Berry Appleman &amp; Leiden LLP"</f>
        <v>Berry Appleman &amp; Leiden LLP</v>
      </c>
      <c r="BI1911" t="str">
        <f>"MA"</f>
        <v>MA</v>
      </c>
      <c r="BJ1911" t="str">
        <f>"Massachusetts Supreme Judicial Court"</f>
        <v>Massachusetts Supreme Judicial Court</v>
      </c>
      <c r="BK1911">
        <v>1</v>
      </c>
      <c r="BL1911" t="s">
        <v>102</v>
      </c>
      <c r="BM1911" t="str">
        <f>""</f>
        <v/>
      </c>
      <c r="BN1911" t="s">
        <v>5531</v>
      </c>
      <c r="BP1911" t="s">
        <v>951</v>
      </c>
      <c r="BQ1911" t="s">
        <v>209</v>
      </c>
      <c r="BR1911" t="s">
        <v>171</v>
      </c>
      <c r="BS1911" s="5">
        <v>2210</v>
      </c>
      <c r="BT1911" s="2">
        <v>110000</v>
      </c>
      <c r="BV1911" t="s">
        <v>105</v>
      </c>
      <c r="BW1911" s="2">
        <v>101379</v>
      </c>
      <c r="BX1911" t="s">
        <v>105</v>
      </c>
      <c r="BZ1911" t="s">
        <v>123</v>
      </c>
      <c r="CA1911" t="str">
        <f>"7/1/2020 - 6/30/2021"</f>
        <v>7/1/2020 - 6/30/2021</v>
      </c>
      <c r="CF1911">
        <v>2</v>
      </c>
      <c r="CG1911" t="s">
        <v>98</v>
      </c>
      <c r="CH1911" t="s">
        <v>206</v>
      </c>
      <c r="CI1911" t="s">
        <v>206</v>
      </c>
      <c r="CL1911" t="s">
        <v>108</v>
      </c>
      <c r="CM1911" t="s">
        <v>109</v>
      </c>
      <c r="CN1911" t="str">
        <f>"BOWERS"</f>
        <v>BOWERS</v>
      </c>
      <c r="CO1911" t="str">
        <f>"ANDREW"</f>
        <v>ANDREW</v>
      </c>
      <c r="CP1911" t="str">
        <f>""</f>
        <v/>
      </c>
      <c r="CQ1911" t="str">
        <f>"BERRY APPLEMAN &amp; LEIDEN LLP"</f>
        <v>BERRY APPLEMAN &amp; LEIDEN LLP</v>
      </c>
      <c r="CR1911" t="s">
        <v>4157</v>
      </c>
    </row>
    <row r="1912" spans="1:96" x14ac:dyDescent="0.2">
      <c r="A1912" t="s">
        <v>9542</v>
      </c>
      <c r="B1912" t="s">
        <v>96</v>
      </c>
      <c r="C1912" s="1">
        <v>44099</v>
      </c>
      <c r="D1912" s="1">
        <v>44106</v>
      </c>
      <c r="F1912" t="s">
        <v>97</v>
      </c>
      <c r="G1912" t="str">
        <f>"Senior Platform Engineer"</f>
        <v>Senior Platform Engineer</v>
      </c>
      <c r="H1912" t="s">
        <v>12169</v>
      </c>
      <c r="I1912" t="s">
        <v>124</v>
      </c>
      <c r="J1912" t="s">
        <v>98</v>
      </c>
      <c r="K1912" s="1">
        <v>44109</v>
      </c>
      <c r="L1912" s="1">
        <v>45204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7563</v>
      </c>
      <c r="U1912" t="str">
        <f>""</f>
        <v/>
      </c>
      <c r="V1912" t="s">
        <v>9056</v>
      </c>
      <c r="W1912" t="str">
        <f>""</f>
        <v/>
      </c>
      <c r="X1912" t="s">
        <v>684</v>
      </c>
      <c r="Y1912" t="s">
        <v>100</v>
      </c>
      <c r="Z1912" s="3">
        <v>7068</v>
      </c>
      <c r="AA1912" t="s">
        <v>101</v>
      </c>
      <c r="AC1912" s="4" t="str">
        <f>"+19739745000"</f>
        <v>+19739745000</v>
      </c>
      <c r="AE1912" t="str">
        <f>"518210"</f>
        <v>518210</v>
      </c>
      <c r="AF1912" t="s">
        <v>2452</v>
      </c>
      <c r="AG1912" t="s">
        <v>1039</v>
      </c>
      <c r="AI1912" t="s">
        <v>2453</v>
      </c>
      <c r="AJ1912" t="s">
        <v>9056</v>
      </c>
      <c r="AK1912" t="str">
        <f>""</f>
        <v/>
      </c>
      <c r="AL1912" t="s">
        <v>684</v>
      </c>
      <c r="AM1912" t="s">
        <v>100</v>
      </c>
      <c r="AN1912" s="3">
        <v>7068</v>
      </c>
      <c r="AO1912" t="s">
        <v>101</v>
      </c>
      <c r="AQ1912" t="str">
        <f>"+19739745000"</f>
        <v>+19739745000</v>
      </c>
      <c r="AS1912" t="s">
        <v>2454</v>
      </c>
      <c r="AT1912" t="s">
        <v>107</v>
      </c>
      <c r="AU1912" t="str">
        <f>"SHUB"</f>
        <v>SHUB</v>
      </c>
      <c r="AV1912" t="str">
        <f>"MARINA"</f>
        <v>MARINA</v>
      </c>
      <c r="AW1912" t="str">
        <f>""</f>
        <v/>
      </c>
      <c r="AX1912" t="str">
        <f>"90 MATAWAN ROAD"</f>
        <v>90 MATAWAN ROAD</v>
      </c>
      <c r="AY1912" t="str">
        <f>"FLOOR 4"</f>
        <v>FLOOR 4</v>
      </c>
      <c r="AZ1912" t="str">
        <f>"MATAWAN"</f>
        <v>MATAWAN</v>
      </c>
      <c r="BA1912" t="str">
        <f>"NJ"</f>
        <v>NJ</v>
      </c>
      <c r="BB1912" s="3">
        <v>7747</v>
      </c>
      <c r="BC1912" t="str">
        <f t="shared" si="156"/>
        <v>UNITED STATES OF AMERICA</v>
      </c>
      <c r="BD1912" t="str">
        <f>""</f>
        <v/>
      </c>
      <c r="BE1912" t="str">
        <f>"+17328625000"</f>
        <v>+17328625000</v>
      </c>
      <c r="BF1912" t="str">
        <f>"5295"</f>
        <v>5295</v>
      </c>
      <c r="BG1912" t="str">
        <f>"KWALKER@FRAGOMEN.COM"</f>
        <v>KWALKER@FRAGOMEN.COM</v>
      </c>
      <c r="BH1912" t="str">
        <f>"FRAGOMEN, DEL REY, BERNSEN &amp; LOEWY, LLP"</f>
        <v>FRAGOMEN, DEL REY, BERNSEN &amp; LOEWY, LLP</v>
      </c>
      <c r="BI1912" t="str">
        <f>"NJ"</f>
        <v>NJ</v>
      </c>
      <c r="BJ1912" t="str">
        <f>"SUPREME COURT"</f>
        <v>SUPREME COURT</v>
      </c>
      <c r="BK1912">
        <v>1</v>
      </c>
      <c r="BL1912" t="s">
        <v>102</v>
      </c>
      <c r="BM1912" t="str">
        <f>""</f>
        <v/>
      </c>
      <c r="BN1912" t="s">
        <v>9543</v>
      </c>
      <c r="BP1912" t="s">
        <v>277</v>
      </c>
      <c r="BQ1912" t="s">
        <v>189</v>
      </c>
      <c r="BR1912" t="s">
        <v>190</v>
      </c>
      <c r="BS1912" s="5">
        <v>10001</v>
      </c>
      <c r="BT1912" s="2">
        <v>122221</v>
      </c>
      <c r="BU1912" s="2">
        <v>200160</v>
      </c>
      <c r="BV1912" t="s">
        <v>105</v>
      </c>
      <c r="BW1912" s="2">
        <v>122221</v>
      </c>
      <c r="BX1912" t="s">
        <v>105</v>
      </c>
      <c r="BZ1912" t="s">
        <v>123</v>
      </c>
      <c r="CA1912" t="str">
        <f>"7/1/2020 - 6/30/2021"</f>
        <v>7/1/2020 - 6/30/2021</v>
      </c>
      <c r="CF1912">
        <v>2</v>
      </c>
      <c r="CG1912" t="s">
        <v>98</v>
      </c>
      <c r="CH1912" t="s">
        <v>206</v>
      </c>
      <c r="CI1912" t="s">
        <v>206</v>
      </c>
      <c r="CL1912" t="s">
        <v>108</v>
      </c>
      <c r="CM1912" t="s">
        <v>109</v>
      </c>
      <c r="CN1912" t="str">
        <f>""</f>
        <v/>
      </c>
      <c r="CO1912" t="str">
        <f>""</f>
        <v/>
      </c>
      <c r="CP1912" t="str">
        <f>""</f>
        <v/>
      </c>
      <c r="CQ1912" t="str">
        <f>""</f>
        <v/>
      </c>
    </row>
    <row r="1913" spans="1:96" x14ac:dyDescent="0.2">
      <c r="A1913" t="s">
        <v>9552</v>
      </c>
      <c r="B1913" t="s">
        <v>96</v>
      </c>
      <c r="C1913" s="1">
        <v>44099</v>
      </c>
      <c r="D1913" s="1">
        <v>44106</v>
      </c>
      <c r="F1913" t="s">
        <v>97</v>
      </c>
      <c r="G1913" t="str">
        <f>"Software Engineer 1615.50820"</f>
        <v>Software Engineer 1615.50820</v>
      </c>
      <c r="H1913" t="s">
        <v>12169</v>
      </c>
      <c r="I1913" t="s">
        <v>124</v>
      </c>
      <c r="J1913" t="s">
        <v>98</v>
      </c>
      <c r="K1913" s="1">
        <v>44105</v>
      </c>
      <c r="L1913" s="1">
        <v>45199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289</v>
      </c>
      <c r="U1913" t="str">
        <f>""</f>
        <v/>
      </c>
      <c r="V1913" t="s">
        <v>290</v>
      </c>
      <c r="W1913" t="str">
        <f>""</f>
        <v/>
      </c>
      <c r="X1913" t="s">
        <v>155</v>
      </c>
      <c r="Y1913" t="s">
        <v>141</v>
      </c>
      <c r="Z1913" s="3">
        <v>94043</v>
      </c>
      <c r="AA1913" t="s">
        <v>101</v>
      </c>
      <c r="AC1913" s="4" t="str">
        <f>"+16502534513"</f>
        <v>+16502534513</v>
      </c>
      <c r="AE1913" t="str">
        <f>"541512"</f>
        <v>541512</v>
      </c>
      <c r="AF1913" t="s">
        <v>291</v>
      </c>
      <c r="AG1913" t="s">
        <v>6058</v>
      </c>
      <c r="AI1913" t="s">
        <v>3132</v>
      </c>
      <c r="AJ1913" t="s">
        <v>290</v>
      </c>
      <c r="AK1913" t="str">
        <f>""</f>
        <v/>
      </c>
      <c r="AL1913" t="s">
        <v>155</v>
      </c>
      <c r="AM1913" t="s">
        <v>141</v>
      </c>
      <c r="AN1913" s="3">
        <v>94043</v>
      </c>
      <c r="AO1913" t="s">
        <v>101</v>
      </c>
      <c r="AQ1913" t="str">
        <f>"+16502534513"</f>
        <v>+16502534513</v>
      </c>
      <c r="AS1913" t="s">
        <v>294</v>
      </c>
      <c r="AT1913" t="s">
        <v>107</v>
      </c>
      <c r="AU1913" t="str">
        <f>"Shim"</f>
        <v>Shim</v>
      </c>
      <c r="AV1913" t="str">
        <f>"Diana"</f>
        <v>Diana</v>
      </c>
      <c r="AW1913" t="str">
        <f>""</f>
        <v/>
      </c>
      <c r="AX1913" t="str">
        <f>"2400 N Glenville Dr, Building A"</f>
        <v>2400 N Glenville Dr, Building A</v>
      </c>
      <c r="AY1913" t="str">
        <f>"Suite 100"</f>
        <v>Suite 100</v>
      </c>
      <c r="AZ1913" t="str">
        <f>"Richardson"</f>
        <v>Richardson</v>
      </c>
      <c r="BA1913" t="str">
        <f>"TX"</f>
        <v>TX</v>
      </c>
      <c r="BB1913" s="3">
        <v>75082</v>
      </c>
      <c r="BC1913" t="str">
        <f t="shared" si="156"/>
        <v>UNITED STATES OF AMERICA</v>
      </c>
      <c r="BD1913" t="str">
        <f>""</f>
        <v/>
      </c>
      <c r="BE1913" t="str">
        <f>"+14695052766"</f>
        <v>+14695052766</v>
      </c>
      <c r="BF1913" t="str">
        <f>""</f>
        <v/>
      </c>
      <c r="BG1913" t="str">
        <f>"googledol@balglobal.com"</f>
        <v>googledol@balglobal.com</v>
      </c>
      <c r="BH1913" t="str">
        <f>"Berry Appleman &amp; Leiden LLP"</f>
        <v>Berry Appleman &amp; Leiden LLP</v>
      </c>
      <c r="BI1913" t="str">
        <f>"TX"</f>
        <v>TX</v>
      </c>
      <c r="BJ1913" t="str">
        <f>"Supreme Court of Texas"</f>
        <v>Supreme Court of Texas</v>
      </c>
      <c r="BK1913">
        <v>1</v>
      </c>
      <c r="BL1913" t="s">
        <v>102</v>
      </c>
      <c r="BM1913" t="str">
        <f>""</f>
        <v/>
      </c>
      <c r="BN1913" t="s">
        <v>1881</v>
      </c>
      <c r="BP1913" t="s">
        <v>2826</v>
      </c>
      <c r="BQ1913" t="s">
        <v>994</v>
      </c>
      <c r="BR1913" t="s">
        <v>141</v>
      </c>
      <c r="BS1913" s="5">
        <v>94066</v>
      </c>
      <c r="BT1913" s="2">
        <v>149000</v>
      </c>
      <c r="BV1913" t="s">
        <v>105</v>
      </c>
      <c r="BW1913" s="2">
        <v>120931</v>
      </c>
      <c r="BX1913" t="s">
        <v>105</v>
      </c>
      <c r="BZ1913" t="s">
        <v>167</v>
      </c>
      <c r="CA1913" t="str">
        <f>"7/1/2020 - 6/30/2021"</f>
        <v>7/1/2020 - 6/30/2021</v>
      </c>
      <c r="CF1913">
        <v>2</v>
      </c>
      <c r="CG1913" t="s">
        <v>98</v>
      </c>
      <c r="CH1913" t="s">
        <v>206</v>
      </c>
      <c r="CI1913" t="s">
        <v>206</v>
      </c>
      <c r="CL1913" t="s">
        <v>108</v>
      </c>
      <c r="CM1913" t="s">
        <v>109</v>
      </c>
      <c r="CN1913" t="str">
        <f>"Castillo"</f>
        <v>Castillo</v>
      </c>
      <c r="CO1913" t="str">
        <f>"Celia"</f>
        <v>Celia</v>
      </c>
      <c r="CP1913" t="str">
        <f>""</f>
        <v/>
      </c>
      <c r="CQ1913" t="str">
        <f>"Berry Appleman and Leiden LLP"</f>
        <v>Berry Appleman and Leiden LLP</v>
      </c>
      <c r="CR1913" t="s">
        <v>3379</v>
      </c>
    </row>
    <row r="1914" spans="1:96" x14ac:dyDescent="0.2">
      <c r="A1914" t="s">
        <v>9553</v>
      </c>
      <c r="B1914" t="s">
        <v>96</v>
      </c>
      <c r="C1914" s="1">
        <v>44099</v>
      </c>
      <c r="D1914" s="1">
        <v>44106</v>
      </c>
      <c r="F1914" t="s">
        <v>97</v>
      </c>
      <c r="G1914" t="str">
        <f>"Chief Architect"</f>
        <v>Chief Architect</v>
      </c>
      <c r="H1914" t="s">
        <v>12178</v>
      </c>
      <c r="I1914" t="s">
        <v>582</v>
      </c>
      <c r="J1914" t="s">
        <v>98</v>
      </c>
      <c r="K1914" s="1">
        <v>44204</v>
      </c>
      <c r="L1914" s="1">
        <v>45298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 t="s">
        <v>9554</v>
      </c>
      <c r="U1914" t="str">
        <f>""</f>
        <v/>
      </c>
      <c r="V1914" t="s">
        <v>2472</v>
      </c>
      <c r="W1914" t="str">
        <f>""</f>
        <v/>
      </c>
      <c r="X1914" t="s">
        <v>746</v>
      </c>
      <c r="Y1914" t="s">
        <v>374</v>
      </c>
      <c r="Z1914" s="3">
        <v>63131</v>
      </c>
      <c r="AA1914" t="s">
        <v>101</v>
      </c>
      <c r="AC1914" s="4" t="str">
        <f>"+13143949863"</f>
        <v>+13143949863</v>
      </c>
      <c r="AE1914" t="str">
        <f>"515210"</f>
        <v>515210</v>
      </c>
      <c r="AF1914" t="s">
        <v>2473</v>
      </c>
      <c r="AG1914" t="s">
        <v>278</v>
      </c>
      <c r="AI1914" t="s">
        <v>2474</v>
      </c>
      <c r="AJ1914" t="s">
        <v>2472</v>
      </c>
      <c r="AK1914" t="str">
        <f>""</f>
        <v/>
      </c>
      <c r="AL1914" t="s">
        <v>746</v>
      </c>
      <c r="AM1914" t="s">
        <v>374</v>
      </c>
      <c r="AN1914" s="3">
        <v>63131</v>
      </c>
      <c r="AO1914" t="s">
        <v>101</v>
      </c>
      <c r="AQ1914" t="str">
        <f>"+13143949863"</f>
        <v>+13143949863</v>
      </c>
      <c r="AS1914" t="s">
        <v>2475</v>
      </c>
      <c r="AT1914" t="s">
        <v>107</v>
      </c>
      <c r="AU1914" t="str">
        <f>"Madera"</f>
        <v>Madera</v>
      </c>
      <c r="AV1914" t="str">
        <f>"Michele"</f>
        <v>Michele</v>
      </c>
      <c r="AW1914" t="str">
        <f>"G."</f>
        <v>G.</v>
      </c>
      <c r="AX1914" t="str">
        <f>"1601 Market Street"</f>
        <v>1601 Market Street</v>
      </c>
      <c r="AY1914" t="str">
        <f>"Suite 2600"</f>
        <v>Suite 2600</v>
      </c>
      <c r="AZ1914" t="str">
        <f>"Philadelphia"</f>
        <v>Philadelphia</v>
      </c>
      <c r="BA1914" t="str">
        <f>"PA"</f>
        <v>PA</v>
      </c>
      <c r="BB1914" s="3">
        <v>19103</v>
      </c>
      <c r="BC1914" t="str">
        <f t="shared" si="156"/>
        <v>UNITED STATES OF AMERICA</v>
      </c>
      <c r="BD1914" t="str">
        <f>""</f>
        <v/>
      </c>
      <c r="BE1914" t="str">
        <f>"+12158258600"</f>
        <v>+12158258600</v>
      </c>
      <c r="BF1914" t="str">
        <f>""</f>
        <v/>
      </c>
      <c r="BG1914" t="str">
        <f>"sdavis@klaskolaw.com"</f>
        <v>sdavis@klaskolaw.com</v>
      </c>
      <c r="BH1914" t="str">
        <f>"Klasko Immigration Law Partners, LLP"</f>
        <v>Klasko Immigration Law Partners, LLP</v>
      </c>
      <c r="BI1914" t="str">
        <f>"NY"</f>
        <v>NY</v>
      </c>
      <c r="BJ1914" t="str">
        <f>"Supreme"</f>
        <v>Supreme</v>
      </c>
      <c r="BK1914">
        <v>1</v>
      </c>
      <c r="BL1914" t="s">
        <v>102</v>
      </c>
      <c r="BM1914" t="str">
        <f>""</f>
        <v/>
      </c>
      <c r="BN1914" t="s">
        <v>3020</v>
      </c>
      <c r="BP1914" t="s">
        <v>164</v>
      </c>
      <c r="BQ1914" t="s">
        <v>165</v>
      </c>
      <c r="BR1914" t="s">
        <v>166</v>
      </c>
      <c r="BS1914" s="5">
        <v>80111</v>
      </c>
      <c r="BT1914" s="2">
        <v>138875</v>
      </c>
      <c r="BU1914" s="2">
        <v>239500</v>
      </c>
      <c r="BV1914" t="s">
        <v>105</v>
      </c>
      <c r="BW1914" s="2">
        <v>138875</v>
      </c>
      <c r="BX1914" t="s">
        <v>105</v>
      </c>
      <c r="CA1914" t="str">
        <f>""</f>
        <v/>
      </c>
      <c r="CB1914" t="s">
        <v>244</v>
      </c>
      <c r="CC1914">
        <v>2020</v>
      </c>
      <c r="CD1914" t="s">
        <v>1616</v>
      </c>
      <c r="CE1914" t="s">
        <v>1617</v>
      </c>
      <c r="CF1914">
        <v>1</v>
      </c>
      <c r="CG1914" t="s">
        <v>98</v>
      </c>
      <c r="CH1914" t="s">
        <v>206</v>
      </c>
      <c r="CI1914" t="s">
        <v>206</v>
      </c>
      <c r="CL1914" t="s">
        <v>108</v>
      </c>
      <c r="CM1914" t="s">
        <v>109</v>
      </c>
      <c r="CN1914" t="str">
        <f>""</f>
        <v/>
      </c>
      <c r="CO1914" t="str">
        <f>""</f>
        <v/>
      </c>
      <c r="CP1914" t="str">
        <f>""</f>
        <v/>
      </c>
      <c r="CQ1914" t="str">
        <f>""</f>
        <v/>
      </c>
    </row>
    <row r="1915" spans="1:96" x14ac:dyDescent="0.2">
      <c r="A1915" t="s">
        <v>9570</v>
      </c>
      <c r="B1915" t="s">
        <v>96</v>
      </c>
      <c r="C1915" s="1">
        <v>44099</v>
      </c>
      <c r="D1915" s="1">
        <v>44106</v>
      </c>
      <c r="F1915" t="s">
        <v>97</v>
      </c>
      <c r="G1915" t="str">
        <f>"Senior Advisor Program Management - IT"</f>
        <v>Senior Advisor Program Management - IT</v>
      </c>
      <c r="H1915" t="s">
        <v>12168</v>
      </c>
      <c r="I1915" t="s">
        <v>367</v>
      </c>
      <c r="J1915" t="s">
        <v>98</v>
      </c>
      <c r="K1915" s="1">
        <v>44246</v>
      </c>
      <c r="L1915" s="1">
        <v>45340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 t="s">
        <v>1532</v>
      </c>
      <c r="U1915" t="str">
        <f>""</f>
        <v/>
      </c>
      <c r="V1915" t="s">
        <v>1533</v>
      </c>
      <c r="W1915" t="str">
        <f>""</f>
        <v/>
      </c>
      <c r="X1915" t="s">
        <v>1534</v>
      </c>
      <c r="Y1915" t="s">
        <v>114</v>
      </c>
      <c r="Z1915" s="3">
        <v>78682</v>
      </c>
      <c r="AA1915" t="s">
        <v>101</v>
      </c>
      <c r="AC1915" s="4" t="str">
        <f>"+15127281627"</f>
        <v>+15127281627</v>
      </c>
      <c r="AE1915" t="str">
        <f>"42343"</f>
        <v>42343</v>
      </c>
      <c r="AF1915" t="s">
        <v>1535</v>
      </c>
      <c r="AG1915" t="s">
        <v>9571</v>
      </c>
      <c r="AI1915" t="s">
        <v>1536</v>
      </c>
      <c r="AJ1915" t="s">
        <v>1533</v>
      </c>
      <c r="AK1915" t="str">
        <f>""</f>
        <v/>
      </c>
      <c r="AL1915" t="s">
        <v>1534</v>
      </c>
      <c r="AM1915" t="s">
        <v>114</v>
      </c>
      <c r="AN1915" s="3">
        <v>78682</v>
      </c>
      <c r="AO1915" t="s">
        <v>101</v>
      </c>
      <c r="AQ1915" t="str">
        <f>"+15127281627"</f>
        <v>+15127281627</v>
      </c>
      <c r="AS1915" t="s">
        <v>108</v>
      </c>
      <c r="AT1915" t="s">
        <v>107</v>
      </c>
      <c r="AU1915" t="str">
        <f>"Shepherd "</f>
        <v xml:space="preserve">Shepherd </v>
      </c>
      <c r="AV1915" t="str">
        <f>"Philip "</f>
        <v xml:space="preserve">Philip </v>
      </c>
      <c r="AW1915" t="str">
        <f>"A. "</f>
        <v xml:space="preserve">A. </v>
      </c>
      <c r="AX1915" t="str">
        <f>"191 Peachtree St NE"</f>
        <v>191 Peachtree St NE</v>
      </c>
      <c r="AY1915" t="str">
        <f>"Suite 4800"</f>
        <v>Suite 4800</v>
      </c>
      <c r="AZ1915" t="str">
        <f>"Atlanta"</f>
        <v>Atlanta</v>
      </c>
      <c r="BA1915" t="str">
        <f>"GA"</f>
        <v>GA</v>
      </c>
      <c r="BB1915" s="3" t="s">
        <v>12306</v>
      </c>
      <c r="BC1915" t="str">
        <f t="shared" si="156"/>
        <v>UNITED STATES OF AMERICA</v>
      </c>
      <c r="BD1915" t="str">
        <f>""</f>
        <v/>
      </c>
      <c r="BE1915" t="str">
        <f>"+14048811300"</f>
        <v>+14048811300</v>
      </c>
      <c r="BF1915" t="str">
        <f>""</f>
        <v/>
      </c>
      <c r="BG1915" t="str">
        <f>"kieya.bailey@ogletreedeakins.com"</f>
        <v>kieya.bailey@ogletreedeakins.com</v>
      </c>
      <c r="BH1915" t="str">
        <f>"Ogletree, Deakins, Nash, Smoak &amp; Stewart, P.C. "</f>
        <v xml:space="preserve">Ogletree, Deakins, Nash, Smoak &amp; Stewart, P.C. </v>
      </c>
      <c r="BI1915" t="str">
        <f>"GA"</f>
        <v>GA</v>
      </c>
      <c r="BJ1915" t="str">
        <f>"Georgia Supreme Court"</f>
        <v>Georgia Supreme Court</v>
      </c>
      <c r="BK1915">
        <v>1</v>
      </c>
      <c r="BL1915" t="s">
        <v>102</v>
      </c>
      <c r="BM1915" t="str">
        <f>""</f>
        <v/>
      </c>
      <c r="BN1915" t="s">
        <v>1533</v>
      </c>
      <c r="BP1915" t="s">
        <v>1534</v>
      </c>
      <c r="BQ1915" t="s">
        <v>668</v>
      </c>
      <c r="BR1915" t="s">
        <v>114</v>
      </c>
      <c r="BS1915" s="5">
        <v>78682</v>
      </c>
      <c r="BT1915" s="2">
        <v>111935</v>
      </c>
      <c r="BV1915" t="s">
        <v>105</v>
      </c>
      <c r="BW1915" s="2">
        <v>102606</v>
      </c>
      <c r="BX1915" t="s">
        <v>105</v>
      </c>
      <c r="BZ1915" t="s">
        <v>159</v>
      </c>
      <c r="CA1915" t="str">
        <f t="shared" ref="CA1915:CA1930" si="157">"7/1/2020 - 6/30/2021"</f>
        <v>7/1/2020 - 6/30/2021</v>
      </c>
      <c r="CF1915">
        <v>2</v>
      </c>
      <c r="CG1915" t="s">
        <v>98</v>
      </c>
      <c r="CH1915" t="s">
        <v>206</v>
      </c>
      <c r="CI1915" t="s">
        <v>206</v>
      </c>
      <c r="CL1915" t="s">
        <v>108</v>
      </c>
      <c r="CM1915" t="s">
        <v>109</v>
      </c>
      <c r="CN1915" t="str">
        <f>"Shepherd "</f>
        <v xml:space="preserve">Shepherd </v>
      </c>
      <c r="CO1915" t="str">
        <f>"Philip "</f>
        <v xml:space="preserve">Philip </v>
      </c>
      <c r="CP1915" t="str">
        <f>"A."</f>
        <v>A.</v>
      </c>
      <c r="CQ1915" t="str">
        <f>" Ogletree, Deakins, Nash, Smoak &amp; Stewart, P.C."</f>
        <v xml:space="preserve"> Ogletree, Deakins, Nash, Smoak &amp; Stewart, P.C.</v>
      </c>
      <c r="CR1915" t="s">
        <v>4648</v>
      </c>
    </row>
    <row r="1916" spans="1:96" x14ac:dyDescent="0.2">
      <c r="A1916" t="s">
        <v>9592</v>
      </c>
      <c r="B1916" t="s">
        <v>96</v>
      </c>
      <c r="C1916" s="1">
        <v>44099</v>
      </c>
      <c r="D1916" s="1">
        <v>44106</v>
      </c>
      <c r="F1916" t="s">
        <v>97</v>
      </c>
      <c r="G1916" t="str">
        <f>"Field Scientist"</f>
        <v>Field Scientist</v>
      </c>
      <c r="H1916" t="s">
        <v>12267</v>
      </c>
      <c r="I1916" t="s">
        <v>3457</v>
      </c>
      <c r="J1916" t="s">
        <v>98</v>
      </c>
      <c r="K1916" s="1">
        <v>44136</v>
      </c>
      <c r="L1916" s="1">
        <v>45231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6864</v>
      </c>
      <c r="U1916" t="str">
        <f>""</f>
        <v/>
      </c>
      <c r="V1916" t="s">
        <v>6865</v>
      </c>
      <c r="W1916" t="str">
        <f>"Ste. 1200"</f>
        <v>Ste. 1200</v>
      </c>
      <c r="X1916" t="s">
        <v>277</v>
      </c>
      <c r="Y1916" t="s">
        <v>190</v>
      </c>
      <c r="Z1916" s="3">
        <v>10018</v>
      </c>
      <c r="AA1916" t="s">
        <v>101</v>
      </c>
      <c r="AC1916" s="4" t="str">
        <f>"+12123804460"</f>
        <v>+12123804460</v>
      </c>
      <c r="AE1916" t="str">
        <f>"813212"</f>
        <v>813212</v>
      </c>
      <c r="AF1916" t="s">
        <v>6866</v>
      </c>
      <c r="AG1916" t="s">
        <v>2191</v>
      </c>
      <c r="AI1916" t="s">
        <v>425</v>
      </c>
      <c r="AJ1916" t="s">
        <v>6867</v>
      </c>
      <c r="AK1916" t="str">
        <f>"Ste. 1200"</f>
        <v>Ste. 1200</v>
      </c>
      <c r="AL1916" t="s">
        <v>189</v>
      </c>
      <c r="AM1916" t="s">
        <v>190</v>
      </c>
      <c r="AN1916" s="3">
        <v>10018</v>
      </c>
      <c r="AO1916" t="s">
        <v>101</v>
      </c>
      <c r="AQ1916" t="str">
        <f>"+12123804460"</f>
        <v>+12123804460</v>
      </c>
      <c r="AS1916" t="s">
        <v>6868</v>
      </c>
      <c r="AT1916" t="s">
        <v>107</v>
      </c>
      <c r="AU1916" t="str">
        <f>"NACHMAN"</f>
        <v>NACHMAN</v>
      </c>
      <c r="AV1916" t="str">
        <f>"DAVID"</f>
        <v>DAVID</v>
      </c>
      <c r="AW1916" t="str">
        <f>"HOWARD"</f>
        <v>HOWARD</v>
      </c>
      <c r="AX1916" t="str">
        <f>"487 GOFFLE ROAD"</f>
        <v>487 GOFFLE ROAD</v>
      </c>
      <c r="AY1916" t="str">
        <f>"VISASERVE PLAZA"</f>
        <v>VISASERVE PLAZA</v>
      </c>
      <c r="AZ1916" t="str">
        <f>"RIDGEWOOD"</f>
        <v>RIDGEWOOD</v>
      </c>
      <c r="BA1916" t="str">
        <f>"NJ"</f>
        <v>NJ</v>
      </c>
      <c r="BB1916" s="3">
        <v>7450</v>
      </c>
      <c r="BC1916" t="str">
        <f t="shared" si="156"/>
        <v>UNITED STATES OF AMERICA</v>
      </c>
      <c r="BD1916" t="str">
        <f>""</f>
        <v/>
      </c>
      <c r="BE1916" t="str">
        <f>"+12016700006"</f>
        <v>+12016700006</v>
      </c>
      <c r="BF1916" t="str">
        <f>"100"</f>
        <v>100</v>
      </c>
      <c r="BG1916" t="str">
        <f>"DAVID_NACHMAN@VISASERVE.COM"</f>
        <v>DAVID_NACHMAN@VISASERVE.COM</v>
      </c>
      <c r="BH1916" t="str">
        <f>"NPZ LAW GROUP, P.C."</f>
        <v>NPZ LAW GROUP, P.C.</v>
      </c>
      <c r="BI1916" t="str">
        <f>"NJ"</f>
        <v>NJ</v>
      </c>
      <c r="BJ1916" t="str">
        <f>"SUPREME COURT"</f>
        <v>SUPREME COURT</v>
      </c>
      <c r="BK1916">
        <v>1</v>
      </c>
      <c r="BL1916" t="s">
        <v>102</v>
      </c>
      <c r="BM1916" t="str">
        <f>""</f>
        <v/>
      </c>
      <c r="BN1916" t="s">
        <v>6865</v>
      </c>
      <c r="BO1916" t="s">
        <v>4415</v>
      </c>
      <c r="BP1916" t="s">
        <v>277</v>
      </c>
      <c r="BQ1916" t="s">
        <v>189</v>
      </c>
      <c r="BR1916" t="s">
        <v>190</v>
      </c>
      <c r="BS1916" s="5">
        <v>10018</v>
      </c>
      <c r="BT1916" s="2">
        <v>65000</v>
      </c>
      <c r="BV1916" t="s">
        <v>105</v>
      </c>
      <c r="BW1916" s="2">
        <v>61734</v>
      </c>
      <c r="BX1916" t="s">
        <v>105</v>
      </c>
      <c r="BZ1916" t="s">
        <v>191</v>
      </c>
      <c r="CA1916" t="str">
        <f t="shared" si="157"/>
        <v>7/1/2020 - 6/30/2021</v>
      </c>
      <c r="CF1916">
        <v>1</v>
      </c>
      <c r="CG1916" t="s">
        <v>98</v>
      </c>
      <c r="CH1916" t="s">
        <v>206</v>
      </c>
      <c r="CI1916" t="s">
        <v>206</v>
      </c>
      <c r="CL1916" t="s">
        <v>108</v>
      </c>
      <c r="CM1916" t="s">
        <v>109</v>
      </c>
      <c r="CN1916" t="str">
        <f>"Heikal"</f>
        <v>Heikal</v>
      </c>
      <c r="CO1916" t="str">
        <f>"Nourhan"</f>
        <v>Nourhan</v>
      </c>
      <c r="CP1916" t="str">
        <f>""</f>
        <v/>
      </c>
      <c r="CQ1916" t="str">
        <f>"NPZ Law Group, P.C."</f>
        <v>NPZ Law Group, P.C.</v>
      </c>
      <c r="CR1916" t="s">
        <v>6869</v>
      </c>
    </row>
    <row r="1917" spans="1:96" x14ac:dyDescent="0.2">
      <c r="A1917" t="s">
        <v>9596</v>
      </c>
      <c r="B1917" t="s">
        <v>96</v>
      </c>
      <c r="C1917" s="1">
        <v>44099</v>
      </c>
      <c r="D1917" s="1">
        <v>44106</v>
      </c>
      <c r="F1917" t="s">
        <v>97</v>
      </c>
      <c r="G1917" t="str">
        <f>"Business Strategy Manager (Statistician)"</f>
        <v>Business Strategy Manager (Statistician)</v>
      </c>
      <c r="H1917" t="s">
        <v>12180</v>
      </c>
      <c r="I1917" t="s">
        <v>390</v>
      </c>
      <c r="J1917" t="s">
        <v>98</v>
      </c>
      <c r="K1917" s="1">
        <v>44105</v>
      </c>
      <c r="L1917" s="1">
        <v>45199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1942</v>
      </c>
      <c r="U1917" t="str">
        <f>""</f>
        <v/>
      </c>
      <c r="V1917" t="s">
        <v>3927</v>
      </c>
      <c r="W1917" t="str">
        <f>""</f>
        <v/>
      </c>
      <c r="X1917" t="s">
        <v>394</v>
      </c>
      <c r="Y1917" t="s">
        <v>114</v>
      </c>
      <c r="Z1917" s="3">
        <v>77070</v>
      </c>
      <c r="AA1917" t="s">
        <v>101</v>
      </c>
      <c r="AC1917" s="4" t="str">
        <f>"+14698083039"</f>
        <v>+14698083039</v>
      </c>
      <c r="AE1917" t="str">
        <f>"54151"</f>
        <v>54151</v>
      </c>
      <c r="AF1917" t="s">
        <v>1943</v>
      </c>
      <c r="AG1917" t="s">
        <v>1944</v>
      </c>
      <c r="AI1917" t="s">
        <v>1945</v>
      </c>
      <c r="AJ1917" t="s">
        <v>1946</v>
      </c>
      <c r="AK1917" t="str">
        <f>""</f>
        <v/>
      </c>
      <c r="AL1917" t="s">
        <v>394</v>
      </c>
      <c r="AM1917" t="s">
        <v>114</v>
      </c>
      <c r="AN1917" s="3">
        <v>77070</v>
      </c>
      <c r="AO1917" t="s">
        <v>101</v>
      </c>
      <c r="AQ1917" t="str">
        <f>"+18323623389"</f>
        <v>+18323623389</v>
      </c>
      <c r="AS1917" t="s">
        <v>1947</v>
      </c>
      <c r="AT1917" t="s">
        <v>107</v>
      </c>
      <c r="AU1917" t="str">
        <f>"Espinal"</f>
        <v>Espinal</v>
      </c>
      <c r="AV1917" t="str">
        <f>"Margaret"</f>
        <v>Margaret</v>
      </c>
      <c r="AW1917" t="str">
        <f>""</f>
        <v/>
      </c>
      <c r="AX1917" t="str">
        <f>"2121 Tasman Drive"</f>
        <v>2121 Tasman Drive</v>
      </c>
      <c r="AY1917" t="str">
        <f>""</f>
        <v/>
      </c>
      <c r="AZ1917" t="str">
        <f>"Santa Clara"</f>
        <v>Santa Clara</v>
      </c>
      <c r="BA1917" t="str">
        <f>"CA"</f>
        <v>CA</v>
      </c>
      <c r="BB1917" s="3">
        <v>95054</v>
      </c>
      <c r="BC1917" t="str">
        <f t="shared" si="156"/>
        <v>UNITED STATES OF AMERICA</v>
      </c>
      <c r="BD1917" t="str">
        <f>""</f>
        <v/>
      </c>
      <c r="BE1917" t="str">
        <f>"+14089190600"</f>
        <v>+14089190600</v>
      </c>
      <c r="BF1917" t="str">
        <f>""</f>
        <v/>
      </c>
      <c r="BG1917" t="str">
        <f>"hpe@fragomen.com"</f>
        <v>hpe@fragomen.com</v>
      </c>
      <c r="BH1917" t="str">
        <f>"Fragomen, Del Rey, Bernsen &amp; Loewy, LLP"</f>
        <v>Fragomen, Del Rey, Bernsen &amp; Loewy, LLP</v>
      </c>
      <c r="BI1917" t="str">
        <f>"CA"</f>
        <v>CA</v>
      </c>
      <c r="BJ1917" t="str">
        <f>"Supreme Court of California"</f>
        <v>Supreme Court of California</v>
      </c>
      <c r="BK1917">
        <v>1</v>
      </c>
      <c r="BL1917" t="s">
        <v>102</v>
      </c>
      <c r="BM1917" t="str">
        <f>""</f>
        <v/>
      </c>
      <c r="BN1917" t="s">
        <v>9597</v>
      </c>
      <c r="BP1917" t="s">
        <v>585</v>
      </c>
      <c r="BQ1917" t="s">
        <v>230</v>
      </c>
      <c r="BR1917" t="s">
        <v>141</v>
      </c>
      <c r="BS1917" s="5">
        <v>95002</v>
      </c>
      <c r="BT1917" s="2">
        <v>105000</v>
      </c>
      <c r="BU1917" s="2">
        <v>121320</v>
      </c>
      <c r="BV1917" t="s">
        <v>105</v>
      </c>
      <c r="BW1917" s="2">
        <v>98342</v>
      </c>
      <c r="BX1917" t="s">
        <v>105</v>
      </c>
      <c r="BZ1917" t="s">
        <v>167</v>
      </c>
      <c r="CA1917" t="str">
        <f t="shared" si="157"/>
        <v>7/1/2020 - 6/30/2021</v>
      </c>
      <c r="CF1917">
        <v>2</v>
      </c>
      <c r="CG1917" t="s">
        <v>98</v>
      </c>
      <c r="CH1917" t="s">
        <v>206</v>
      </c>
      <c r="CI1917" t="s">
        <v>206</v>
      </c>
      <c r="CL1917" t="s">
        <v>108</v>
      </c>
      <c r="CM1917" t="s">
        <v>109</v>
      </c>
      <c r="CN1917" t="str">
        <f>"Reyes"</f>
        <v>Reyes</v>
      </c>
      <c r="CO1917" t="str">
        <f>"Rachel"</f>
        <v>Rachel</v>
      </c>
      <c r="CP1917" t="str">
        <f>""</f>
        <v/>
      </c>
      <c r="CQ1917" t="str">
        <f>"Fragomen, Del Rey, Bernsen &amp; Loewy, LLP."</f>
        <v>Fragomen, Del Rey, Bernsen &amp; Loewy, LLP.</v>
      </c>
      <c r="CR1917" t="s">
        <v>1948</v>
      </c>
    </row>
    <row r="1918" spans="1:96" x14ac:dyDescent="0.2">
      <c r="A1918" t="s">
        <v>9605</v>
      </c>
      <c r="B1918" t="s">
        <v>96</v>
      </c>
      <c r="C1918" s="1">
        <v>44099</v>
      </c>
      <c r="D1918" s="1">
        <v>44106</v>
      </c>
      <c r="F1918" t="s">
        <v>97</v>
      </c>
      <c r="G1918" t="str">
        <f>"QUALITY ASSURANCE ENGINEER"</f>
        <v>QUALITY ASSURANCE ENGINEER</v>
      </c>
      <c r="H1918" t="s">
        <v>12168</v>
      </c>
      <c r="I1918" t="s">
        <v>319</v>
      </c>
      <c r="J1918" t="s">
        <v>98</v>
      </c>
      <c r="K1918" s="1">
        <v>44130</v>
      </c>
      <c r="L1918" s="1">
        <v>45225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 t="s">
        <v>3458</v>
      </c>
      <c r="U1918" t="str">
        <f>"PREMIER, INC."</f>
        <v>PREMIER, INC.</v>
      </c>
      <c r="V1918" t="s">
        <v>3459</v>
      </c>
      <c r="W1918" t="str">
        <f>"N/A"</f>
        <v>N/A</v>
      </c>
      <c r="X1918" t="s">
        <v>998</v>
      </c>
      <c r="Y1918" t="s">
        <v>122</v>
      </c>
      <c r="Z1918" s="3">
        <v>28277</v>
      </c>
      <c r="AA1918" t="s">
        <v>101</v>
      </c>
      <c r="AC1918" s="4" t="str">
        <f>"+17048165477"</f>
        <v>+17048165477</v>
      </c>
      <c r="AE1918" t="str">
        <f>"54199"</f>
        <v>54199</v>
      </c>
      <c r="AF1918" t="s">
        <v>395</v>
      </c>
      <c r="AG1918" t="s">
        <v>4815</v>
      </c>
      <c r="AH1918" t="s">
        <v>666</v>
      </c>
      <c r="AI1918" t="s">
        <v>3460</v>
      </c>
      <c r="AJ1918" t="s">
        <v>3459</v>
      </c>
      <c r="AK1918" t="str">
        <f>"N/A"</f>
        <v>N/A</v>
      </c>
      <c r="AL1918" t="s">
        <v>998</v>
      </c>
      <c r="AM1918" t="s">
        <v>122</v>
      </c>
      <c r="AN1918" s="3">
        <v>28277</v>
      </c>
      <c r="AO1918" t="s">
        <v>101</v>
      </c>
      <c r="AQ1918" t="str">
        <f>"+17048165477"</f>
        <v>+17048165477</v>
      </c>
      <c r="AS1918" t="s">
        <v>9606</v>
      </c>
      <c r="AT1918" t="s">
        <v>107</v>
      </c>
      <c r="AU1918" t="str">
        <f>"BURTON"</f>
        <v>BURTON</v>
      </c>
      <c r="AV1918" t="str">
        <f>"LAURA"</f>
        <v>LAURA</v>
      </c>
      <c r="AW1918" t="str">
        <f>"DEDDISH"</f>
        <v>DEDDISH</v>
      </c>
      <c r="AX1918" t="str">
        <f>"230 N. ELM STREET, SUITE 1200"</f>
        <v>230 N. ELM STREET, SUITE 1200</v>
      </c>
      <c r="AY1918" t="str">
        <f>""</f>
        <v/>
      </c>
      <c r="AZ1918" t="str">
        <f>"GREENSBORO"</f>
        <v>GREENSBORO</v>
      </c>
      <c r="BA1918" t="str">
        <f>"NC"</f>
        <v>NC</v>
      </c>
      <c r="BB1918" s="3">
        <v>27401</v>
      </c>
      <c r="BC1918" t="str">
        <f t="shared" si="156"/>
        <v>UNITED STATES OF AMERICA</v>
      </c>
      <c r="BD1918" t="str">
        <f>""</f>
        <v/>
      </c>
      <c r="BE1918" t="str">
        <f>"+13363785566"</f>
        <v>+13363785566</v>
      </c>
      <c r="BF1918" t="str">
        <f>""</f>
        <v/>
      </c>
      <c r="BG1918" t="str">
        <f>"LBURTON@FOXROTHSCHILD.COM"</f>
        <v>LBURTON@FOXROTHSCHILD.COM</v>
      </c>
      <c r="BH1918" t="str">
        <f>"FOX ROTHSCHILD LLP"</f>
        <v>FOX ROTHSCHILD LLP</v>
      </c>
      <c r="BI1918" t="str">
        <f>"NC"</f>
        <v>NC</v>
      </c>
      <c r="BJ1918" t="str">
        <f>"4TH CIRCUIT COURT OF APPEALS"</f>
        <v>4TH CIRCUIT COURT OF APPEALS</v>
      </c>
      <c r="BK1918">
        <v>1</v>
      </c>
      <c r="BL1918" t="s">
        <v>102</v>
      </c>
      <c r="BM1918" t="str">
        <f>""</f>
        <v/>
      </c>
      <c r="BN1918" t="s">
        <v>3462</v>
      </c>
      <c r="BP1918" t="s">
        <v>604</v>
      </c>
      <c r="BQ1918" t="s">
        <v>121</v>
      </c>
      <c r="BR1918" t="s">
        <v>122</v>
      </c>
      <c r="BS1918" s="5">
        <v>28277</v>
      </c>
      <c r="BT1918" s="2">
        <v>95000</v>
      </c>
      <c r="BV1918" t="s">
        <v>105</v>
      </c>
      <c r="BW1918" s="2">
        <v>93413</v>
      </c>
      <c r="BX1918" t="s">
        <v>105</v>
      </c>
      <c r="BZ1918" t="s">
        <v>123</v>
      </c>
      <c r="CA1918" t="str">
        <f t="shared" si="157"/>
        <v>7/1/2020 - 6/30/2021</v>
      </c>
      <c r="CF1918">
        <v>2</v>
      </c>
      <c r="CG1918" t="s">
        <v>98</v>
      </c>
      <c r="CH1918" t="s">
        <v>206</v>
      </c>
      <c r="CI1918" t="s">
        <v>206</v>
      </c>
      <c r="CL1918" t="s">
        <v>108</v>
      </c>
      <c r="CM1918" t="s">
        <v>109</v>
      </c>
      <c r="CN1918" t="str">
        <f>"BURTON"</f>
        <v>BURTON</v>
      </c>
      <c r="CO1918" t="str">
        <f>"Laura"</f>
        <v>Laura</v>
      </c>
      <c r="CP1918" t="str">
        <f>"D"</f>
        <v>D</v>
      </c>
      <c r="CQ1918" t="str">
        <f>"FOX ROTHSCHILD LLP"</f>
        <v>FOX ROTHSCHILD LLP</v>
      </c>
      <c r="CR1918" t="s">
        <v>3463</v>
      </c>
    </row>
    <row r="1919" spans="1:96" x14ac:dyDescent="0.2">
      <c r="A1919" t="s">
        <v>9615</v>
      </c>
      <c r="B1919" t="s">
        <v>96</v>
      </c>
      <c r="C1919" s="1">
        <v>44099</v>
      </c>
      <c r="D1919" s="1">
        <v>44106</v>
      </c>
      <c r="F1919" t="s">
        <v>97</v>
      </c>
      <c r="G1919" t="str">
        <f>"Agile Project Manager"</f>
        <v>Agile Project Manager</v>
      </c>
      <c r="H1919" t="s">
        <v>12168</v>
      </c>
      <c r="I1919" t="s">
        <v>367</v>
      </c>
      <c r="J1919" t="s">
        <v>98</v>
      </c>
      <c r="K1919" s="1">
        <v>44119</v>
      </c>
      <c r="L1919" s="1">
        <v>44926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1601</v>
      </c>
      <c r="U1919" t="str">
        <f>"IBM CORPORATION"</f>
        <v>IBM CORPORATION</v>
      </c>
      <c r="V1919" t="s">
        <v>1602</v>
      </c>
      <c r="W1919" t="str">
        <f>"BUILDING 002 "</f>
        <v xml:space="preserve">BUILDING 002 </v>
      </c>
      <c r="X1919" t="s">
        <v>302</v>
      </c>
      <c r="Y1919" t="s">
        <v>122</v>
      </c>
      <c r="Z1919" s="3" t="s">
        <v>12292</v>
      </c>
      <c r="AA1919" t="s">
        <v>101</v>
      </c>
      <c r="AB1919" t="s">
        <v>122</v>
      </c>
      <c r="AC1919" s="4" t="str">
        <f>"+19195430507"</f>
        <v>+19195430507</v>
      </c>
      <c r="AE1919" t="str">
        <f>"54151"</f>
        <v>54151</v>
      </c>
      <c r="AF1919" t="s">
        <v>303</v>
      </c>
      <c r="AG1919" t="s">
        <v>304</v>
      </c>
      <c r="AI1919" t="s">
        <v>305</v>
      </c>
      <c r="AJ1919" t="s">
        <v>301</v>
      </c>
      <c r="AK1919" t="str">
        <f>""</f>
        <v/>
      </c>
      <c r="AL1919" t="s">
        <v>302</v>
      </c>
      <c r="AM1919" t="s">
        <v>122</v>
      </c>
      <c r="AN1919" s="3">
        <v>27709</v>
      </c>
      <c r="AO1919" t="s">
        <v>101</v>
      </c>
      <c r="AQ1919" t="str">
        <f>"+19192541817"</f>
        <v>+19192541817</v>
      </c>
      <c r="AS1919" t="s">
        <v>306</v>
      </c>
      <c r="AT1919" t="s">
        <v>102</v>
      </c>
      <c r="AU1919" t="str">
        <f>""</f>
        <v/>
      </c>
      <c r="AV1919" t="str">
        <f>""</f>
        <v/>
      </c>
      <c r="AW1919" t="str">
        <f>""</f>
        <v/>
      </c>
      <c r="AX1919" t="str">
        <f>""</f>
        <v/>
      </c>
      <c r="AY1919" t="str">
        <f>""</f>
        <v/>
      </c>
      <c r="AZ1919" t="str">
        <f>""</f>
        <v/>
      </c>
      <c r="BA1919" t="str">
        <f>""</f>
        <v/>
      </c>
      <c r="BC1919" t="str">
        <f>""</f>
        <v/>
      </c>
      <c r="BD1919" t="str">
        <f>""</f>
        <v/>
      </c>
      <c r="BE1919" t="str">
        <f>""</f>
        <v/>
      </c>
      <c r="BF1919" t="str">
        <f>""</f>
        <v/>
      </c>
      <c r="BG1919" t="str">
        <f>""</f>
        <v/>
      </c>
      <c r="BH1919" t="str">
        <f>""</f>
        <v/>
      </c>
      <c r="BI1919" t="str">
        <f>""</f>
        <v/>
      </c>
      <c r="BJ1919" t="str">
        <f>""</f>
        <v/>
      </c>
      <c r="BK1919">
        <v>1</v>
      </c>
      <c r="BL1919" t="s">
        <v>107</v>
      </c>
      <c r="BM1919" t="str">
        <f>"Wells Fargo &amp; Company"</f>
        <v>Wells Fargo &amp; Company</v>
      </c>
      <c r="BN1919" t="s">
        <v>5408</v>
      </c>
      <c r="BP1919" t="s">
        <v>604</v>
      </c>
      <c r="BQ1919" t="s">
        <v>121</v>
      </c>
      <c r="BR1919" t="s">
        <v>122</v>
      </c>
      <c r="BS1919" s="5">
        <v>28202</v>
      </c>
      <c r="BT1919" s="2">
        <v>100980</v>
      </c>
      <c r="BV1919" t="s">
        <v>105</v>
      </c>
      <c r="BW1919" s="2">
        <v>93413</v>
      </c>
      <c r="BX1919" t="s">
        <v>105</v>
      </c>
      <c r="BZ1919" t="s">
        <v>123</v>
      </c>
      <c r="CA1919" t="str">
        <f t="shared" si="157"/>
        <v>7/1/2020 - 6/30/2021</v>
      </c>
      <c r="CF1919">
        <v>1</v>
      </c>
      <c r="CG1919" t="s">
        <v>98</v>
      </c>
      <c r="CH1919" t="s">
        <v>206</v>
      </c>
      <c r="CI1919" t="s">
        <v>206</v>
      </c>
      <c r="CL1919" t="s">
        <v>108</v>
      </c>
      <c r="CM1919" t="s">
        <v>109</v>
      </c>
      <c r="CN1919" t="str">
        <f>""</f>
        <v/>
      </c>
      <c r="CO1919" t="str">
        <f>""</f>
        <v/>
      </c>
      <c r="CP1919" t="str">
        <f>""</f>
        <v/>
      </c>
      <c r="CQ1919" t="str">
        <f>""</f>
        <v/>
      </c>
    </row>
    <row r="1920" spans="1:96" x14ac:dyDescent="0.2">
      <c r="A1920" t="s">
        <v>9640</v>
      </c>
      <c r="B1920" t="s">
        <v>96</v>
      </c>
      <c r="C1920" s="1">
        <v>44099</v>
      </c>
      <c r="D1920" s="1">
        <v>44106</v>
      </c>
      <c r="F1920" t="s">
        <v>97</v>
      </c>
      <c r="G1920" t="str">
        <f>"Accountant"</f>
        <v>Accountant</v>
      </c>
      <c r="H1920" t="s">
        <v>12192</v>
      </c>
      <c r="I1920" t="s">
        <v>1156</v>
      </c>
      <c r="J1920" t="s">
        <v>98</v>
      </c>
      <c r="K1920" s="1">
        <v>44105</v>
      </c>
      <c r="L1920" s="1">
        <v>45199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9641</v>
      </c>
      <c r="U1920" t="str">
        <f>""</f>
        <v/>
      </c>
      <c r="V1920" t="s">
        <v>9642</v>
      </c>
      <c r="W1920" t="str">
        <f>"Suite 116"</f>
        <v>Suite 116</v>
      </c>
      <c r="X1920" t="s">
        <v>394</v>
      </c>
      <c r="Y1920" t="s">
        <v>114</v>
      </c>
      <c r="Z1920" s="3">
        <v>77036</v>
      </c>
      <c r="AA1920" t="s">
        <v>101</v>
      </c>
      <c r="AC1920" s="4" t="str">
        <f>"+18322138757"</f>
        <v>+18322138757</v>
      </c>
      <c r="AE1920" t="str">
        <f>"541213"</f>
        <v>541213</v>
      </c>
      <c r="AF1920" t="s">
        <v>6030</v>
      </c>
      <c r="AG1920" t="s">
        <v>9643</v>
      </c>
      <c r="AI1920" t="s">
        <v>4057</v>
      </c>
      <c r="AJ1920" t="s">
        <v>9642</v>
      </c>
      <c r="AK1920" t="str">
        <f>"Suite 116"</f>
        <v>Suite 116</v>
      </c>
      <c r="AL1920" t="s">
        <v>394</v>
      </c>
      <c r="AM1920" t="s">
        <v>114</v>
      </c>
      <c r="AN1920" s="3">
        <v>77036</v>
      </c>
      <c r="AO1920" t="s">
        <v>101</v>
      </c>
      <c r="AQ1920" t="str">
        <f>"+18322138757"</f>
        <v>+18322138757</v>
      </c>
      <c r="AS1920" t="s">
        <v>9644</v>
      </c>
      <c r="AT1920" t="s">
        <v>107</v>
      </c>
      <c r="AU1920" t="str">
        <f>"Zhang"</f>
        <v>Zhang</v>
      </c>
      <c r="AV1920" t="str">
        <f>"Daniel"</f>
        <v>Daniel</v>
      </c>
      <c r="AW1920" t="str">
        <f>""</f>
        <v/>
      </c>
      <c r="AX1920" t="str">
        <f>"5847 San Felipe"</f>
        <v>5847 San Felipe</v>
      </c>
      <c r="AY1920" t="str">
        <f>"Suite 2950"</f>
        <v>Suite 2950</v>
      </c>
      <c r="AZ1920" t="str">
        <f>"Houston"</f>
        <v>Houston</v>
      </c>
      <c r="BA1920" t="str">
        <f>"TX"</f>
        <v>TX</v>
      </c>
      <c r="BB1920" s="3">
        <v>77057</v>
      </c>
      <c r="BC1920" t="str">
        <f>"UNITED STATES OF AMERICA"</f>
        <v>UNITED STATES OF AMERICA</v>
      </c>
      <c r="BD1920" t="str">
        <f>""</f>
        <v/>
      </c>
      <c r="BE1920" t="str">
        <f>"+17137810071"</f>
        <v>+17137810071</v>
      </c>
      <c r="BF1920" t="str">
        <f>""</f>
        <v/>
      </c>
      <c r="BG1920" t="str">
        <f>"daniel.zhang@gzimmigration.com"</f>
        <v>daniel.zhang@gzimmigration.com</v>
      </c>
      <c r="BH1920" t="str">
        <f>"Gee &amp; Zhang LLP"</f>
        <v>Gee &amp; Zhang LLP</v>
      </c>
      <c r="BI1920" t="str">
        <f>"TX"</f>
        <v>TX</v>
      </c>
      <c r="BJ1920" t="str">
        <f>"Supreme Court of Texas"</f>
        <v>Supreme Court of Texas</v>
      </c>
      <c r="BK1920">
        <v>1</v>
      </c>
      <c r="BL1920" t="s">
        <v>102</v>
      </c>
      <c r="BM1920" t="str">
        <f>""</f>
        <v/>
      </c>
      <c r="BN1920" t="s">
        <v>9642</v>
      </c>
      <c r="BO1920" t="s">
        <v>9645</v>
      </c>
      <c r="BP1920" t="s">
        <v>394</v>
      </c>
      <c r="BQ1920" t="s">
        <v>395</v>
      </c>
      <c r="BR1920" t="s">
        <v>114</v>
      </c>
      <c r="BS1920" s="5">
        <v>77036</v>
      </c>
      <c r="BT1920" s="2">
        <v>55000</v>
      </c>
      <c r="BV1920" t="s">
        <v>105</v>
      </c>
      <c r="BW1920" s="2">
        <v>51771</v>
      </c>
      <c r="BX1920" t="s">
        <v>105</v>
      </c>
      <c r="BZ1920" t="s">
        <v>191</v>
      </c>
      <c r="CA1920" t="str">
        <f t="shared" si="157"/>
        <v>7/1/2020 - 6/30/2021</v>
      </c>
      <c r="CF1920">
        <v>2</v>
      </c>
      <c r="CG1920" t="s">
        <v>98</v>
      </c>
      <c r="CH1920" t="s">
        <v>206</v>
      </c>
      <c r="CI1920" t="s">
        <v>206</v>
      </c>
      <c r="CL1920" t="s">
        <v>108</v>
      </c>
      <c r="CM1920" t="s">
        <v>109</v>
      </c>
      <c r="CN1920" t="str">
        <f>"Xiao"</f>
        <v>Xiao</v>
      </c>
      <c r="CO1920" t="str">
        <f>"Meyer"</f>
        <v>Meyer</v>
      </c>
      <c r="CP1920" t="str">
        <f>""</f>
        <v/>
      </c>
      <c r="CQ1920" t="str">
        <f>"Gee &amp; Zhang LLP"</f>
        <v>Gee &amp; Zhang LLP</v>
      </c>
      <c r="CR1920" t="s">
        <v>6450</v>
      </c>
    </row>
    <row r="1921" spans="1:96" x14ac:dyDescent="0.2">
      <c r="A1921" t="s">
        <v>9652</v>
      </c>
      <c r="B1921" t="s">
        <v>96</v>
      </c>
      <c r="C1921" s="1">
        <v>44099</v>
      </c>
      <c r="D1921" s="1">
        <v>44106</v>
      </c>
      <c r="F1921" t="s">
        <v>97</v>
      </c>
      <c r="G1921" t="str">
        <f>"APPLICATIONS DEVELOPER"</f>
        <v>APPLICATIONS DEVELOPER</v>
      </c>
      <c r="H1921" t="s">
        <v>12169</v>
      </c>
      <c r="I1921" t="s">
        <v>124</v>
      </c>
      <c r="J1921" t="s">
        <v>98</v>
      </c>
      <c r="K1921" s="1">
        <v>44256</v>
      </c>
      <c r="L1921" s="1">
        <v>45350</v>
      </c>
      <c r="M1921">
        <v>20</v>
      </c>
      <c r="N1921">
        <v>4</v>
      </c>
      <c r="O1921">
        <v>4</v>
      </c>
      <c r="P1921">
        <v>4</v>
      </c>
      <c r="Q1921">
        <v>0</v>
      </c>
      <c r="R1921">
        <v>4</v>
      </c>
      <c r="S1921">
        <v>4</v>
      </c>
      <c r="T1921" t="s">
        <v>2172</v>
      </c>
      <c r="U1921" t="str">
        <f>""</f>
        <v/>
      </c>
      <c r="V1921" t="s">
        <v>2176</v>
      </c>
      <c r="W1921" t="str">
        <f>""</f>
        <v/>
      </c>
      <c r="X1921" t="s">
        <v>2177</v>
      </c>
      <c r="Y1921" t="s">
        <v>141</v>
      </c>
      <c r="Z1921" s="3">
        <v>94065</v>
      </c>
      <c r="AA1921" t="s">
        <v>101</v>
      </c>
      <c r="AC1921" s="4" t="str">
        <f>"+16505067000"</f>
        <v>+16505067000</v>
      </c>
      <c r="AE1921" t="str">
        <f>"511210"</f>
        <v>511210</v>
      </c>
      <c r="AF1921" t="s">
        <v>2173</v>
      </c>
      <c r="AG1921" t="s">
        <v>2174</v>
      </c>
      <c r="AI1921" t="s">
        <v>2175</v>
      </c>
      <c r="AJ1921" t="s">
        <v>2176</v>
      </c>
      <c r="AK1921" t="str">
        <f>""</f>
        <v/>
      </c>
      <c r="AL1921" t="s">
        <v>2177</v>
      </c>
      <c r="AM1921" t="s">
        <v>141</v>
      </c>
      <c r="AN1921" s="3">
        <v>94065</v>
      </c>
      <c r="AO1921" t="s">
        <v>101</v>
      </c>
      <c r="AQ1921" t="str">
        <f>"+16505067000"</f>
        <v>+16505067000</v>
      </c>
      <c r="AS1921" t="s">
        <v>2178</v>
      </c>
      <c r="AT1921" t="s">
        <v>107</v>
      </c>
      <c r="AU1921" t="str">
        <f>"Oye"</f>
        <v>Oye</v>
      </c>
      <c r="AV1921" t="str">
        <f>"Ronald"</f>
        <v>Ronald</v>
      </c>
      <c r="AW1921" t="str">
        <f>""</f>
        <v/>
      </c>
      <c r="AX1921" t="str">
        <f>"100 Pringle Avenue"</f>
        <v>100 Pringle Avenue</v>
      </c>
      <c r="AY1921" t="str">
        <f>"Suite 300"</f>
        <v>Suite 300</v>
      </c>
      <c r="AZ1921" t="str">
        <f>"Walnut Creek"</f>
        <v>Walnut Creek</v>
      </c>
      <c r="BA1921" t="str">
        <f>"CA"</f>
        <v>CA</v>
      </c>
      <c r="BB1921" s="3">
        <v>94596</v>
      </c>
      <c r="BC1921" t="str">
        <f>"UNITED STATES OF AMERICA"</f>
        <v>UNITED STATES OF AMERICA</v>
      </c>
      <c r="BD1921" t="str">
        <f>"California"</f>
        <v>California</v>
      </c>
      <c r="BE1921" t="str">
        <f>"+14153981800"</f>
        <v>+14153981800</v>
      </c>
      <c r="BF1921" t="str">
        <f>""</f>
        <v/>
      </c>
      <c r="BG1921" t="str">
        <f>"roye@balglobal.com"</f>
        <v>roye@balglobal.com</v>
      </c>
      <c r="BH1921" t="str">
        <f>"Berry Appleman &amp; Leiden LLP"</f>
        <v>Berry Appleman &amp; Leiden LLP</v>
      </c>
      <c r="BI1921" t="str">
        <f>"CA"</f>
        <v>CA</v>
      </c>
      <c r="BJ1921" t="str">
        <f>"Supreme Court"</f>
        <v>Supreme Court</v>
      </c>
      <c r="BK1921">
        <v>20</v>
      </c>
      <c r="BL1921" t="s">
        <v>102</v>
      </c>
      <c r="BM1921" t="str">
        <f>""</f>
        <v/>
      </c>
      <c r="BN1921" t="s">
        <v>9653</v>
      </c>
      <c r="BO1921" t="s">
        <v>7753</v>
      </c>
      <c r="BP1921" t="s">
        <v>2220</v>
      </c>
      <c r="BQ1921" t="s">
        <v>377</v>
      </c>
      <c r="BR1921" t="s">
        <v>141</v>
      </c>
      <c r="BS1921" s="5">
        <v>92614</v>
      </c>
      <c r="BT1921" s="2">
        <v>142667</v>
      </c>
      <c r="BU1921" s="2">
        <v>211674</v>
      </c>
      <c r="BV1921" t="s">
        <v>105</v>
      </c>
      <c r="BW1921" s="2">
        <v>142667</v>
      </c>
      <c r="BX1921" t="s">
        <v>105</v>
      </c>
      <c r="BZ1921" t="s">
        <v>159</v>
      </c>
      <c r="CA1921" t="str">
        <f t="shared" si="157"/>
        <v>7/1/2020 - 6/30/2021</v>
      </c>
      <c r="CF1921">
        <v>1</v>
      </c>
      <c r="CG1921" t="s">
        <v>98</v>
      </c>
      <c r="CH1921" t="s">
        <v>206</v>
      </c>
      <c r="CI1921" t="s">
        <v>206</v>
      </c>
      <c r="CL1921" t="s">
        <v>108</v>
      </c>
      <c r="CM1921" t="s">
        <v>109</v>
      </c>
      <c r="CN1921" t="str">
        <f>""</f>
        <v/>
      </c>
      <c r="CO1921" t="str">
        <f>""</f>
        <v/>
      </c>
      <c r="CP1921" t="str">
        <f>""</f>
        <v/>
      </c>
      <c r="CQ1921" t="str">
        <f>""</f>
        <v/>
      </c>
    </row>
    <row r="1922" spans="1:96" x14ac:dyDescent="0.2">
      <c r="A1922" t="s">
        <v>9654</v>
      </c>
      <c r="B1922" t="s">
        <v>96</v>
      </c>
      <c r="C1922" s="1">
        <v>44099</v>
      </c>
      <c r="D1922" s="1">
        <v>44106</v>
      </c>
      <c r="F1922" t="s">
        <v>97</v>
      </c>
      <c r="G1922" t="str">
        <f>"Senior Design Researcher"</f>
        <v>Senior Design Researcher</v>
      </c>
      <c r="H1922" t="s">
        <v>12191</v>
      </c>
      <c r="I1922" t="s">
        <v>649</v>
      </c>
      <c r="J1922" t="s">
        <v>98</v>
      </c>
      <c r="K1922" s="1">
        <v>44281</v>
      </c>
      <c r="L1922" s="1">
        <v>45376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 t="s">
        <v>173</v>
      </c>
      <c r="U1922" t="str">
        <f>""</f>
        <v/>
      </c>
      <c r="V1922" t="s">
        <v>174</v>
      </c>
      <c r="W1922" t="str">
        <f>"N/A"</f>
        <v>N/A</v>
      </c>
      <c r="X1922" t="s">
        <v>175</v>
      </c>
      <c r="Y1922" t="s">
        <v>176</v>
      </c>
      <c r="Z1922" s="3">
        <v>98052</v>
      </c>
      <c r="AA1922" t="s">
        <v>101</v>
      </c>
      <c r="AC1922" s="4" t="str">
        <f>"+14258828080"</f>
        <v>+14258828080</v>
      </c>
      <c r="AE1922" t="str">
        <f>"51121"</f>
        <v>51121</v>
      </c>
      <c r="AF1922" t="s">
        <v>177</v>
      </c>
      <c r="AG1922" t="s">
        <v>178</v>
      </c>
      <c r="AI1922" t="s">
        <v>179</v>
      </c>
      <c r="AJ1922" t="s">
        <v>174</v>
      </c>
      <c r="AK1922" t="str">
        <f>""</f>
        <v/>
      </c>
      <c r="AL1922" t="s">
        <v>175</v>
      </c>
      <c r="AM1922" t="s">
        <v>176</v>
      </c>
      <c r="AN1922" s="3">
        <v>98052</v>
      </c>
      <c r="AO1922" t="s">
        <v>101</v>
      </c>
      <c r="AQ1922" t="str">
        <f>"+14258828080"</f>
        <v>+14258828080</v>
      </c>
      <c r="AS1922" t="s">
        <v>180</v>
      </c>
      <c r="AT1922" t="s">
        <v>102</v>
      </c>
      <c r="AU1922" t="str">
        <f>""</f>
        <v/>
      </c>
      <c r="AV1922" t="str">
        <f>""</f>
        <v/>
      </c>
      <c r="AW1922" t="str">
        <f>""</f>
        <v/>
      </c>
      <c r="AX1922" t="str">
        <f>""</f>
        <v/>
      </c>
      <c r="AY1922" t="str">
        <f>""</f>
        <v/>
      </c>
      <c r="AZ1922" t="str">
        <f>""</f>
        <v/>
      </c>
      <c r="BA1922" t="str">
        <f>""</f>
        <v/>
      </c>
      <c r="BC1922" t="str">
        <f>""</f>
        <v/>
      </c>
      <c r="BD1922" t="str">
        <f>""</f>
        <v/>
      </c>
      <c r="BE1922" t="str">
        <f>""</f>
        <v/>
      </c>
      <c r="BF1922" t="str">
        <f>""</f>
        <v/>
      </c>
      <c r="BG1922" t="str">
        <f>""</f>
        <v/>
      </c>
      <c r="BH1922" t="str">
        <f>""</f>
        <v/>
      </c>
      <c r="BI1922" t="str">
        <f>""</f>
        <v/>
      </c>
      <c r="BJ1922" t="str">
        <f>""</f>
        <v/>
      </c>
      <c r="BK1922">
        <v>1</v>
      </c>
      <c r="BL1922" t="s">
        <v>102</v>
      </c>
      <c r="BM1922" t="str">
        <f>""</f>
        <v/>
      </c>
      <c r="BN1922" t="s">
        <v>5323</v>
      </c>
      <c r="BP1922" t="s">
        <v>197</v>
      </c>
      <c r="BQ1922" t="s">
        <v>183</v>
      </c>
      <c r="BR1922" t="s">
        <v>176</v>
      </c>
      <c r="BS1922" s="5">
        <v>98008</v>
      </c>
      <c r="BT1922" s="2">
        <v>179600</v>
      </c>
      <c r="BV1922" t="s">
        <v>105</v>
      </c>
      <c r="BW1922" s="2">
        <v>139880</v>
      </c>
      <c r="BX1922" t="s">
        <v>105</v>
      </c>
      <c r="BZ1922" t="s">
        <v>123</v>
      </c>
      <c r="CA1922" t="str">
        <f t="shared" si="157"/>
        <v>7/1/2020 - 6/30/2021</v>
      </c>
      <c r="CF1922">
        <v>1</v>
      </c>
      <c r="CG1922" t="s">
        <v>98</v>
      </c>
      <c r="CH1922" t="s">
        <v>206</v>
      </c>
      <c r="CI1922" t="s">
        <v>206</v>
      </c>
      <c r="CL1922" t="s">
        <v>108</v>
      </c>
      <c r="CM1922" t="s">
        <v>109</v>
      </c>
      <c r="CN1922" t="str">
        <f>"Kodishala"</f>
        <v>Kodishala</v>
      </c>
      <c r="CO1922" t="str">
        <f>"Suresh"</f>
        <v>Suresh</v>
      </c>
      <c r="CP1922" t="str">
        <f>"N/A"</f>
        <v>N/A</v>
      </c>
      <c r="CQ1922" t="str">
        <f>"INTEGREON MANAGED SOLUTIONS (INDIA) PVT LTD"</f>
        <v>INTEGREON MANAGED SOLUTIONS (INDIA) PVT LTD</v>
      </c>
      <c r="CR1922" t="s">
        <v>231</v>
      </c>
    </row>
    <row r="1923" spans="1:96" x14ac:dyDescent="0.2">
      <c r="A1923" t="s">
        <v>9669</v>
      </c>
      <c r="B1923" t="s">
        <v>96</v>
      </c>
      <c r="C1923" s="1">
        <v>44099</v>
      </c>
      <c r="D1923" s="1">
        <v>44106</v>
      </c>
      <c r="F1923" t="s">
        <v>97</v>
      </c>
      <c r="G1923" t="str">
        <f>"Software Engineer (UR)"</f>
        <v>Software Engineer (UR)</v>
      </c>
      <c r="H1923" t="s">
        <v>12169</v>
      </c>
      <c r="I1923" t="s">
        <v>124</v>
      </c>
      <c r="J1923" t="s">
        <v>98</v>
      </c>
      <c r="K1923" s="1">
        <v>44267</v>
      </c>
      <c r="L1923" s="1">
        <v>45362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 t="s">
        <v>8354</v>
      </c>
      <c r="U1923" t="str">
        <f>""</f>
        <v/>
      </c>
      <c r="V1923" t="s">
        <v>676</v>
      </c>
      <c r="W1923" t="str">
        <f>""</f>
        <v/>
      </c>
      <c r="X1923" t="s">
        <v>677</v>
      </c>
      <c r="Y1923" t="s">
        <v>171</v>
      </c>
      <c r="Z1923" s="3">
        <v>1864</v>
      </c>
      <c r="AA1923" t="s">
        <v>101</v>
      </c>
      <c r="AC1923" s="4" t="str">
        <f>"+14084565000"</f>
        <v>+14084565000</v>
      </c>
      <c r="AE1923" t="str">
        <f>"33441"</f>
        <v>33441</v>
      </c>
      <c r="AF1923" t="s">
        <v>9306</v>
      </c>
      <c r="AG1923" t="s">
        <v>1064</v>
      </c>
      <c r="AI1923" t="s">
        <v>910</v>
      </c>
      <c r="AJ1923" t="s">
        <v>676</v>
      </c>
      <c r="AK1923" t="str">
        <f>""</f>
        <v/>
      </c>
      <c r="AL1923" t="s">
        <v>9307</v>
      </c>
      <c r="AM1923" t="s">
        <v>171</v>
      </c>
      <c r="AN1923" s="3">
        <v>1864</v>
      </c>
      <c r="AO1923" t="s">
        <v>101</v>
      </c>
      <c r="AQ1923" t="str">
        <f>"+14084565000"</f>
        <v>+14084565000</v>
      </c>
      <c r="AS1923" t="s">
        <v>8355</v>
      </c>
      <c r="AT1923" t="s">
        <v>107</v>
      </c>
      <c r="AU1923" t="str">
        <f>"Mendez"</f>
        <v>Mendez</v>
      </c>
      <c r="AV1923" t="str">
        <f>"Jordan"</f>
        <v>Jordan</v>
      </c>
      <c r="AW1923" t="str">
        <f>""</f>
        <v/>
      </c>
      <c r="AX1923" t="str">
        <f>"230 W Monroe Street"</f>
        <v>230 W Monroe Street</v>
      </c>
      <c r="AY1923" t="str">
        <f>"Suite 2800"</f>
        <v>Suite 2800</v>
      </c>
      <c r="AZ1923" t="str">
        <f>"Chicago"</f>
        <v>Chicago</v>
      </c>
      <c r="BA1923" t="str">
        <f>"IL"</f>
        <v>IL</v>
      </c>
      <c r="BB1923" s="3">
        <v>60606</v>
      </c>
      <c r="BC1923" t="str">
        <f>"UNITED STATES OF AMERICA"</f>
        <v>UNITED STATES OF AMERICA</v>
      </c>
      <c r="BD1923" t="str">
        <f>""</f>
        <v/>
      </c>
      <c r="BE1923" t="str">
        <f>"+13127226300"</f>
        <v>+13127226300</v>
      </c>
      <c r="BF1923" t="str">
        <f>""</f>
        <v/>
      </c>
      <c r="BG1923" t="str">
        <f>"gov@giafirm.com"</f>
        <v>gov@giafirm.com</v>
      </c>
      <c r="BH1923" t="str">
        <f>"Global Immigration Associates, P.C."</f>
        <v>Global Immigration Associates, P.C.</v>
      </c>
      <c r="BI1923" t="str">
        <f>"NC"</f>
        <v>NC</v>
      </c>
      <c r="BJ1923" t="str">
        <f>"Supreme Court"</f>
        <v>Supreme Court</v>
      </c>
      <c r="BK1923">
        <v>1</v>
      </c>
      <c r="BL1923" t="s">
        <v>102</v>
      </c>
      <c r="BM1923" t="str">
        <f>""</f>
        <v/>
      </c>
      <c r="BN1923" t="s">
        <v>9308</v>
      </c>
      <c r="BP1923" t="s">
        <v>207</v>
      </c>
      <c r="BQ1923" t="s">
        <v>209</v>
      </c>
      <c r="BR1923" t="s">
        <v>171</v>
      </c>
      <c r="BS1923" s="5">
        <v>2210</v>
      </c>
      <c r="BT1923" s="2">
        <v>131757.6</v>
      </c>
      <c r="BV1923" t="s">
        <v>105</v>
      </c>
      <c r="BW1923" s="2">
        <v>115939</v>
      </c>
      <c r="BX1923" t="s">
        <v>105</v>
      </c>
      <c r="BZ1923" t="s">
        <v>123</v>
      </c>
      <c r="CA1923" t="str">
        <f t="shared" si="157"/>
        <v>7/1/2020 - 6/30/2021</v>
      </c>
      <c r="CF1923">
        <v>2</v>
      </c>
      <c r="CG1923" t="s">
        <v>98</v>
      </c>
      <c r="CH1923" t="s">
        <v>206</v>
      </c>
      <c r="CI1923" t="s">
        <v>206</v>
      </c>
      <c r="CL1923" t="s">
        <v>108</v>
      </c>
      <c r="CM1923" t="s">
        <v>109</v>
      </c>
      <c r="CN1923" t="str">
        <f>""</f>
        <v/>
      </c>
      <c r="CO1923" t="str">
        <f>""</f>
        <v/>
      </c>
      <c r="CP1923" t="str">
        <f>""</f>
        <v/>
      </c>
      <c r="CQ1923" t="str">
        <f>""</f>
        <v/>
      </c>
    </row>
    <row r="1924" spans="1:96" x14ac:dyDescent="0.2">
      <c r="A1924" t="s">
        <v>9674</v>
      </c>
      <c r="B1924" t="s">
        <v>96</v>
      </c>
      <c r="C1924" s="1">
        <v>44099</v>
      </c>
      <c r="D1924" s="1">
        <v>44106</v>
      </c>
      <c r="F1924" t="s">
        <v>97</v>
      </c>
      <c r="G1924" t="str">
        <f>"Software Development Engineer in Test"</f>
        <v>Software Development Engineer in Test</v>
      </c>
      <c r="H1924" t="s">
        <v>12169</v>
      </c>
      <c r="I1924" t="s">
        <v>124</v>
      </c>
      <c r="J1924" t="s">
        <v>98</v>
      </c>
      <c r="K1924" s="1">
        <v>44109</v>
      </c>
      <c r="L1924" s="1">
        <v>45203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6323</v>
      </c>
      <c r="U1924" t="str">
        <f>""</f>
        <v/>
      </c>
      <c r="V1924" t="s">
        <v>6324</v>
      </c>
      <c r="W1924" t="str">
        <f>"SUITE # 102 C"</f>
        <v>SUITE # 102 C</v>
      </c>
      <c r="X1924" t="s">
        <v>211</v>
      </c>
      <c r="Y1924" t="s">
        <v>100</v>
      </c>
      <c r="Z1924" s="3">
        <v>8817</v>
      </c>
      <c r="AA1924" t="s">
        <v>101</v>
      </c>
      <c r="AC1924" s="4" t="str">
        <f>"+19088947799"</f>
        <v>+19088947799</v>
      </c>
      <c r="AE1924" t="str">
        <f>"541511"</f>
        <v>541511</v>
      </c>
      <c r="AF1924" t="s">
        <v>2395</v>
      </c>
      <c r="AG1924" t="s">
        <v>6325</v>
      </c>
      <c r="AI1924" t="s">
        <v>1586</v>
      </c>
      <c r="AJ1924" t="s">
        <v>6326</v>
      </c>
      <c r="AK1924" t="str">
        <f>"SUITE #102C"</f>
        <v>SUITE #102C</v>
      </c>
      <c r="AL1924" t="s">
        <v>211</v>
      </c>
      <c r="AM1924" t="s">
        <v>100</v>
      </c>
      <c r="AN1924" s="3">
        <v>8817</v>
      </c>
      <c r="AO1924" t="s">
        <v>101</v>
      </c>
      <c r="AQ1924" t="str">
        <f>"+19088947799"</f>
        <v>+19088947799</v>
      </c>
      <c r="AS1924" t="s">
        <v>6327</v>
      </c>
      <c r="AT1924" t="s">
        <v>102</v>
      </c>
      <c r="AU1924" t="str">
        <f>""</f>
        <v/>
      </c>
      <c r="AV1924" t="str">
        <f>""</f>
        <v/>
      </c>
      <c r="AW1924" t="str">
        <f>""</f>
        <v/>
      </c>
      <c r="AX1924" t="str">
        <f>""</f>
        <v/>
      </c>
      <c r="AY1924" t="str">
        <f>""</f>
        <v/>
      </c>
      <c r="AZ1924" t="str">
        <f>""</f>
        <v/>
      </c>
      <c r="BA1924" t="str">
        <f>""</f>
        <v/>
      </c>
      <c r="BC1924" t="str">
        <f>""</f>
        <v/>
      </c>
      <c r="BD1924" t="str">
        <f>""</f>
        <v/>
      </c>
      <c r="BE1924" t="str">
        <f>""</f>
        <v/>
      </c>
      <c r="BF1924" t="str">
        <f>""</f>
        <v/>
      </c>
      <c r="BG1924" t="str">
        <f>""</f>
        <v/>
      </c>
      <c r="BH1924" t="str">
        <f>""</f>
        <v/>
      </c>
      <c r="BI1924" t="str">
        <f>""</f>
        <v/>
      </c>
      <c r="BJ1924" t="str">
        <f>""</f>
        <v/>
      </c>
      <c r="BK1924">
        <v>1</v>
      </c>
      <c r="BL1924" t="s">
        <v>107</v>
      </c>
      <c r="BM1924" t="str">
        <f>"Healthequity, Inc."</f>
        <v>Healthequity, Inc.</v>
      </c>
      <c r="BN1924" t="s">
        <v>9675</v>
      </c>
      <c r="BP1924" t="s">
        <v>595</v>
      </c>
      <c r="BQ1924" t="s">
        <v>484</v>
      </c>
      <c r="BR1924" t="s">
        <v>114</v>
      </c>
      <c r="BS1924" s="5">
        <v>75063</v>
      </c>
      <c r="BT1924" s="2">
        <v>93600</v>
      </c>
      <c r="BV1924" t="s">
        <v>105</v>
      </c>
      <c r="BW1924" s="2">
        <v>93558</v>
      </c>
      <c r="BX1924" t="s">
        <v>105</v>
      </c>
      <c r="BZ1924" t="s">
        <v>167</v>
      </c>
      <c r="CA1924" t="str">
        <f t="shared" si="157"/>
        <v>7/1/2020 - 6/30/2021</v>
      </c>
      <c r="CF1924">
        <v>1</v>
      </c>
      <c r="CG1924" t="s">
        <v>98</v>
      </c>
      <c r="CH1924" t="s">
        <v>206</v>
      </c>
      <c r="CI1924" t="s">
        <v>206</v>
      </c>
      <c r="CL1924" t="s">
        <v>108</v>
      </c>
      <c r="CM1924" t="s">
        <v>109</v>
      </c>
      <c r="CN1924" t="str">
        <f>""</f>
        <v/>
      </c>
      <c r="CO1924" t="str">
        <f>""</f>
        <v/>
      </c>
      <c r="CP1924" t="str">
        <f>""</f>
        <v/>
      </c>
      <c r="CQ1924" t="str">
        <f>""</f>
        <v/>
      </c>
    </row>
    <row r="1925" spans="1:96" x14ac:dyDescent="0.2">
      <c r="A1925" t="s">
        <v>9676</v>
      </c>
      <c r="B1925" t="s">
        <v>96</v>
      </c>
      <c r="C1925" s="1">
        <v>44099</v>
      </c>
      <c r="D1925" s="1">
        <v>44106</v>
      </c>
      <c r="F1925" t="s">
        <v>97</v>
      </c>
      <c r="G1925" t="str">
        <f>"Lead Data Scientist"</f>
        <v>Lead Data Scientist</v>
      </c>
      <c r="H1925" t="s">
        <v>12225</v>
      </c>
      <c r="I1925" t="s">
        <v>628</v>
      </c>
      <c r="J1925" t="s">
        <v>98</v>
      </c>
      <c r="K1925" s="1">
        <v>44278</v>
      </c>
      <c r="L1925" s="1">
        <v>45373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 t="s">
        <v>2106</v>
      </c>
      <c r="U1925" t="str">
        <f>""</f>
        <v/>
      </c>
      <c r="V1925" t="s">
        <v>987</v>
      </c>
      <c r="W1925" t="str">
        <f>""</f>
        <v/>
      </c>
      <c r="X1925" t="s">
        <v>988</v>
      </c>
      <c r="Y1925" t="s">
        <v>141</v>
      </c>
      <c r="Z1925" s="3">
        <v>94404</v>
      </c>
      <c r="AA1925" t="s">
        <v>101</v>
      </c>
      <c r="AC1925" s="4" t="str">
        <f>"+16504328837"</f>
        <v>+16504328837</v>
      </c>
      <c r="AE1925" t="str">
        <f>"522320"</f>
        <v>522320</v>
      </c>
      <c r="AF1925" t="s">
        <v>989</v>
      </c>
      <c r="AG1925" t="s">
        <v>990</v>
      </c>
      <c r="AI1925" t="s">
        <v>460</v>
      </c>
      <c r="AJ1925" t="s">
        <v>992</v>
      </c>
      <c r="AK1925" t="str">
        <f>""</f>
        <v/>
      </c>
      <c r="AL1925" t="s">
        <v>988</v>
      </c>
      <c r="AM1925" t="s">
        <v>141</v>
      </c>
      <c r="AN1925" s="3">
        <v>94404</v>
      </c>
      <c r="AO1925" t="s">
        <v>101</v>
      </c>
      <c r="AQ1925" t="str">
        <f>"+16504328837"</f>
        <v>+16504328837</v>
      </c>
      <c r="AS1925" t="s">
        <v>993</v>
      </c>
      <c r="AT1925" t="s">
        <v>107</v>
      </c>
      <c r="AU1925" t="str">
        <f>"Lighter"</f>
        <v>Lighter</v>
      </c>
      <c r="AV1925" t="str">
        <f>"Amy"</f>
        <v>Amy</v>
      </c>
      <c r="AW1925" t="str">
        <f>""</f>
        <v/>
      </c>
      <c r="AX1925" t="str">
        <f>"100 Pringle Avenue"</f>
        <v>100 Pringle Avenue</v>
      </c>
      <c r="AY1925" t="str">
        <f>"Suite 300"</f>
        <v>Suite 300</v>
      </c>
      <c r="AZ1925" t="str">
        <f>"Walnut Creek"</f>
        <v>Walnut Creek</v>
      </c>
      <c r="BA1925" t="str">
        <f>"CA"</f>
        <v>CA</v>
      </c>
      <c r="BB1925" s="3">
        <v>94596</v>
      </c>
      <c r="BC1925" t="str">
        <f>"UNITED STATES OF AMERICA"</f>
        <v>UNITED STATES OF AMERICA</v>
      </c>
      <c r="BD1925" t="str">
        <f>""</f>
        <v/>
      </c>
      <c r="BE1925" t="str">
        <f>"+19253786391"</f>
        <v>+19253786391</v>
      </c>
      <c r="BF1925" t="str">
        <f>""</f>
        <v/>
      </c>
      <c r="BG1925" t="str">
        <f>"alighter@balglobal.com"</f>
        <v>alighter@balglobal.com</v>
      </c>
      <c r="BH1925" t="str">
        <f>"Berry Appleman &amp; Leiden LLP"</f>
        <v>Berry Appleman &amp; Leiden LLP</v>
      </c>
      <c r="BI1925" t="str">
        <f>"TN"</f>
        <v>TN</v>
      </c>
      <c r="BJ1925" t="str">
        <f>"Tennessee Supreme Court"</f>
        <v>Tennessee Supreme Court</v>
      </c>
      <c r="BK1925">
        <v>1</v>
      </c>
      <c r="BL1925" t="s">
        <v>102</v>
      </c>
      <c r="BM1925" t="str">
        <f>""</f>
        <v/>
      </c>
      <c r="BN1925" t="s">
        <v>6964</v>
      </c>
      <c r="BO1925" t="s">
        <v>6965</v>
      </c>
      <c r="BP1925" t="s">
        <v>765</v>
      </c>
      <c r="BQ1925" t="s">
        <v>721</v>
      </c>
      <c r="BR1925" t="s">
        <v>114</v>
      </c>
      <c r="BS1925" s="5">
        <v>78759</v>
      </c>
      <c r="BT1925" s="2">
        <v>131248</v>
      </c>
      <c r="BU1925" s="2">
        <v>204000</v>
      </c>
      <c r="BV1925" t="s">
        <v>105</v>
      </c>
      <c r="BW1925" s="2">
        <v>131248</v>
      </c>
      <c r="BX1925" t="s">
        <v>105</v>
      </c>
      <c r="BZ1925" t="s">
        <v>159</v>
      </c>
      <c r="CA1925" t="str">
        <f t="shared" si="157"/>
        <v>7/1/2020 - 6/30/2021</v>
      </c>
      <c r="CF1925">
        <v>1</v>
      </c>
      <c r="CG1925" t="s">
        <v>98</v>
      </c>
      <c r="CH1925" t="s">
        <v>206</v>
      </c>
      <c r="CI1925" t="s">
        <v>206</v>
      </c>
      <c r="CL1925" t="s">
        <v>108</v>
      </c>
      <c r="CM1925" t="s">
        <v>109</v>
      </c>
      <c r="CN1925" t="str">
        <f>"Lighter"</f>
        <v>Lighter</v>
      </c>
      <c r="CO1925" t="str">
        <f>"Amy"</f>
        <v>Amy</v>
      </c>
      <c r="CP1925" t="str">
        <f>""</f>
        <v/>
      </c>
      <c r="CQ1925" t="str">
        <f>"Berry Appleman &amp; Leiden LLP"</f>
        <v>Berry Appleman &amp; Leiden LLP</v>
      </c>
      <c r="CR1925" t="s">
        <v>4456</v>
      </c>
    </row>
    <row r="1926" spans="1:96" x14ac:dyDescent="0.2">
      <c r="A1926" t="s">
        <v>9682</v>
      </c>
      <c r="B1926" t="s">
        <v>96</v>
      </c>
      <c r="C1926" s="1">
        <v>44099</v>
      </c>
      <c r="D1926" s="1">
        <v>44106</v>
      </c>
      <c r="F1926" t="s">
        <v>97</v>
      </c>
      <c r="G1926" t="str">
        <f>"Computer Programmer / Configurer 2"</f>
        <v>Computer Programmer / Configurer 2</v>
      </c>
      <c r="H1926" t="s">
        <v>12239</v>
      </c>
      <c r="I1926" t="s">
        <v>378</v>
      </c>
      <c r="J1926" t="s">
        <v>98</v>
      </c>
      <c r="K1926" s="1">
        <v>44105</v>
      </c>
      <c r="L1926" s="1">
        <v>45199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 t="s">
        <v>838</v>
      </c>
      <c r="U1926" t="str">
        <f>""</f>
        <v/>
      </c>
      <c r="V1926" t="s">
        <v>839</v>
      </c>
      <c r="W1926" t="str">
        <f>""</f>
        <v/>
      </c>
      <c r="X1926" t="s">
        <v>833</v>
      </c>
      <c r="Y1926" t="s">
        <v>345</v>
      </c>
      <c r="Z1926" s="3">
        <v>60601</v>
      </c>
      <c r="AA1926" t="s">
        <v>101</v>
      </c>
      <c r="AC1926" s="4" t="str">
        <f>"+13126930161"</f>
        <v>+13126930161</v>
      </c>
      <c r="AE1926" t="str">
        <f>"5416"</f>
        <v>5416</v>
      </c>
      <c r="AF1926" t="s">
        <v>840</v>
      </c>
      <c r="AG1926" t="s">
        <v>841</v>
      </c>
      <c r="AI1926" t="s">
        <v>417</v>
      </c>
      <c r="AJ1926" t="s">
        <v>842</v>
      </c>
      <c r="AK1926" t="str">
        <f>""</f>
        <v/>
      </c>
      <c r="AL1926" t="s">
        <v>843</v>
      </c>
      <c r="AM1926" t="s">
        <v>345</v>
      </c>
      <c r="AN1926" s="3">
        <v>60601</v>
      </c>
      <c r="AO1926" t="s">
        <v>101</v>
      </c>
      <c r="AQ1926" t="str">
        <f>"+13126932825"</f>
        <v>+13126932825</v>
      </c>
      <c r="AS1926" t="s">
        <v>844</v>
      </c>
      <c r="AT1926" t="s">
        <v>102</v>
      </c>
      <c r="AU1926" t="str">
        <f>""</f>
        <v/>
      </c>
      <c r="AV1926" t="str">
        <f>""</f>
        <v/>
      </c>
      <c r="AW1926" t="str">
        <f>""</f>
        <v/>
      </c>
      <c r="AX1926" t="str">
        <f>""</f>
        <v/>
      </c>
      <c r="AY1926" t="str">
        <f>""</f>
        <v/>
      </c>
      <c r="AZ1926" t="str">
        <f>""</f>
        <v/>
      </c>
      <c r="BA1926" t="str">
        <f>""</f>
        <v/>
      </c>
      <c r="BC1926" t="str">
        <f>""</f>
        <v/>
      </c>
      <c r="BD1926" t="str">
        <f>""</f>
        <v/>
      </c>
      <c r="BE1926" t="str">
        <f>""</f>
        <v/>
      </c>
      <c r="BF1926" t="str">
        <f>""</f>
        <v/>
      </c>
      <c r="BG1926" t="str">
        <f>""</f>
        <v/>
      </c>
      <c r="BH1926" t="str">
        <f>""</f>
        <v/>
      </c>
      <c r="BI1926" t="str">
        <f>""</f>
        <v/>
      </c>
      <c r="BJ1926" t="str">
        <f>""</f>
        <v/>
      </c>
      <c r="BK1926">
        <v>1</v>
      </c>
      <c r="BL1926" t="s">
        <v>107</v>
      </c>
      <c r="BM1926" t="str">
        <f>"Disney Worldwide Services"</f>
        <v>Disney Worldwide Services</v>
      </c>
      <c r="BN1926" t="s">
        <v>5575</v>
      </c>
      <c r="BO1926" t="s">
        <v>1141</v>
      </c>
      <c r="BP1926" t="s">
        <v>936</v>
      </c>
      <c r="BQ1926" t="s">
        <v>365</v>
      </c>
      <c r="BR1926" t="s">
        <v>141</v>
      </c>
      <c r="BS1926" s="5">
        <v>91502</v>
      </c>
      <c r="BT1926" s="2">
        <v>80662</v>
      </c>
      <c r="BU1926" s="2">
        <v>141500</v>
      </c>
      <c r="BV1926" t="s">
        <v>105</v>
      </c>
      <c r="BW1926" s="2">
        <v>80662</v>
      </c>
      <c r="BX1926" t="s">
        <v>105</v>
      </c>
      <c r="BZ1926" t="s">
        <v>167</v>
      </c>
      <c r="CA1926" t="str">
        <f t="shared" si="157"/>
        <v>7/1/2020 - 6/30/2021</v>
      </c>
      <c r="CF1926">
        <v>2</v>
      </c>
      <c r="CG1926" t="s">
        <v>98</v>
      </c>
      <c r="CH1926" t="s">
        <v>206</v>
      </c>
      <c r="CI1926" t="s">
        <v>206</v>
      </c>
      <c r="CL1926" t="s">
        <v>108</v>
      </c>
      <c r="CM1926" t="s">
        <v>109</v>
      </c>
      <c r="CN1926" t="str">
        <f>""</f>
        <v/>
      </c>
      <c r="CO1926" t="str">
        <f>""</f>
        <v/>
      </c>
      <c r="CP1926" t="str">
        <f>""</f>
        <v/>
      </c>
      <c r="CQ1926" t="str">
        <f>""</f>
        <v/>
      </c>
    </row>
    <row r="1927" spans="1:96" x14ac:dyDescent="0.2">
      <c r="A1927" t="s">
        <v>9687</v>
      </c>
      <c r="B1927" t="s">
        <v>96</v>
      </c>
      <c r="C1927" s="1">
        <v>44099</v>
      </c>
      <c r="D1927" s="1">
        <v>44106</v>
      </c>
      <c r="F1927" t="s">
        <v>97</v>
      </c>
      <c r="G1927" t="str">
        <f>"Principal Research Software Development Engineer"</f>
        <v>Principal Research Software Development Engineer</v>
      </c>
      <c r="H1927" t="s">
        <v>12191</v>
      </c>
      <c r="I1927" t="s">
        <v>649</v>
      </c>
      <c r="J1927" t="s">
        <v>98</v>
      </c>
      <c r="K1927" s="1">
        <v>44279</v>
      </c>
      <c r="L1927" s="1">
        <v>45374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 t="s">
        <v>173</v>
      </c>
      <c r="U1927" t="str">
        <f>""</f>
        <v/>
      </c>
      <c r="V1927" t="s">
        <v>174</v>
      </c>
      <c r="W1927" t="str">
        <f>"N/A"</f>
        <v>N/A</v>
      </c>
      <c r="X1927" t="s">
        <v>175</v>
      </c>
      <c r="Y1927" t="s">
        <v>176</v>
      </c>
      <c r="Z1927" s="3">
        <v>98052</v>
      </c>
      <c r="AA1927" t="s">
        <v>101</v>
      </c>
      <c r="AC1927" s="4" t="str">
        <f>"+14258828080"</f>
        <v>+14258828080</v>
      </c>
      <c r="AE1927" t="str">
        <f>"51121"</f>
        <v>51121</v>
      </c>
      <c r="AF1927" t="s">
        <v>177</v>
      </c>
      <c r="AG1927" t="s">
        <v>178</v>
      </c>
      <c r="AI1927" t="s">
        <v>179</v>
      </c>
      <c r="AJ1927" t="s">
        <v>174</v>
      </c>
      <c r="AK1927" t="str">
        <f>""</f>
        <v/>
      </c>
      <c r="AL1927" t="s">
        <v>175</v>
      </c>
      <c r="AM1927" t="s">
        <v>176</v>
      </c>
      <c r="AN1927" s="3">
        <v>98052</v>
      </c>
      <c r="AO1927" t="s">
        <v>101</v>
      </c>
      <c r="AQ1927" t="str">
        <f>"+14258828080"</f>
        <v>+14258828080</v>
      </c>
      <c r="AS1927" t="s">
        <v>180</v>
      </c>
      <c r="AT1927" t="s">
        <v>102</v>
      </c>
      <c r="AU1927" t="str">
        <f>""</f>
        <v/>
      </c>
      <c r="AV1927" t="str">
        <f>""</f>
        <v/>
      </c>
      <c r="AW1927" t="str">
        <f>""</f>
        <v/>
      </c>
      <c r="AX1927" t="str">
        <f>""</f>
        <v/>
      </c>
      <c r="AY1927" t="str">
        <f>""</f>
        <v/>
      </c>
      <c r="AZ1927" t="str">
        <f>""</f>
        <v/>
      </c>
      <c r="BA1927" t="str">
        <f>""</f>
        <v/>
      </c>
      <c r="BC1927" t="str">
        <f>""</f>
        <v/>
      </c>
      <c r="BD1927" t="str">
        <f>""</f>
        <v/>
      </c>
      <c r="BE1927" t="str">
        <f>""</f>
        <v/>
      </c>
      <c r="BF1927" t="str">
        <f>""</f>
        <v/>
      </c>
      <c r="BG1927" t="str">
        <f>""</f>
        <v/>
      </c>
      <c r="BH1927" t="str">
        <f>""</f>
        <v/>
      </c>
      <c r="BI1927" t="str">
        <f>""</f>
        <v/>
      </c>
      <c r="BJ1927" t="str">
        <f>""</f>
        <v/>
      </c>
      <c r="BK1927">
        <v>1</v>
      </c>
      <c r="BL1927" t="s">
        <v>102</v>
      </c>
      <c r="BM1927" t="str">
        <f>""</f>
        <v/>
      </c>
      <c r="BN1927" t="s">
        <v>9688</v>
      </c>
      <c r="BP1927" t="s">
        <v>671</v>
      </c>
      <c r="BQ1927" t="s">
        <v>230</v>
      </c>
      <c r="BR1927" t="s">
        <v>141</v>
      </c>
      <c r="BS1927" s="5">
        <v>94089</v>
      </c>
      <c r="BT1927" s="2">
        <v>217478</v>
      </c>
      <c r="BV1927" t="s">
        <v>105</v>
      </c>
      <c r="BW1927" s="2">
        <v>198203</v>
      </c>
      <c r="BX1927" t="s">
        <v>105</v>
      </c>
      <c r="BZ1927" t="s">
        <v>159</v>
      </c>
      <c r="CA1927" t="str">
        <f t="shared" si="157"/>
        <v>7/1/2020 - 6/30/2021</v>
      </c>
      <c r="CF1927">
        <v>1</v>
      </c>
      <c r="CG1927" t="s">
        <v>98</v>
      </c>
      <c r="CH1927" t="s">
        <v>206</v>
      </c>
      <c r="CI1927" t="s">
        <v>206</v>
      </c>
      <c r="CL1927" t="s">
        <v>108</v>
      </c>
      <c r="CM1927" t="s">
        <v>109</v>
      </c>
      <c r="CN1927" t="str">
        <f>"Kodishala"</f>
        <v>Kodishala</v>
      </c>
      <c r="CO1927" t="str">
        <f>"Suresh"</f>
        <v>Suresh</v>
      </c>
      <c r="CP1927" t="str">
        <f>"N/A"</f>
        <v>N/A</v>
      </c>
      <c r="CQ1927" t="str">
        <f>"INTEGREON MANAGED SOLUTIONS (INDIA) PVT LTD"</f>
        <v>INTEGREON MANAGED SOLUTIONS (INDIA) PVT LTD</v>
      </c>
      <c r="CR1927" t="s">
        <v>231</v>
      </c>
    </row>
    <row r="1928" spans="1:96" x14ac:dyDescent="0.2">
      <c r="A1928" t="s">
        <v>9714</v>
      </c>
      <c r="B1928" t="s">
        <v>96</v>
      </c>
      <c r="C1928" s="1">
        <v>44099</v>
      </c>
      <c r="D1928" s="1">
        <v>44106</v>
      </c>
      <c r="F1928" t="s">
        <v>97</v>
      </c>
      <c r="G1928" t="str">
        <f>"Assistant Professor of Marketing"</f>
        <v>Assistant Professor of Marketing</v>
      </c>
      <c r="H1928" t="s">
        <v>12243</v>
      </c>
      <c r="I1928" t="s">
        <v>3296</v>
      </c>
      <c r="J1928" t="s">
        <v>98</v>
      </c>
      <c r="K1928" s="1">
        <v>44120</v>
      </c>
      <c r="L1928" s="1">
        <v>45214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 t="s">
        <v>6074</v>
      </c>
      <c r="U1928" t="str">
        <f>"Ohio University"</f>
        <v>Ohio University</v>
      </c>
      <c r="V1928" t="s">
        <v>6075</v>
      </c>
      <c r="W1928" t="str">
        <f>"160 W. Union St., #150"</f>
        <v>160 W. Union St., #150</v>
      </c>
      <c r="X1928" t="s">
        <v>2325</v>
      </c>
      <c r="Y1928" t="s">
        <v>225</v>
      </c>
      <c r="Z1928" s="3">
        <v>45701</v>
      </c>
      <c r="AA1928" t="s">
        <v>101</v>
      </c>
      <c r="AC1928" s="4" t="str">
        <f>"+17405932626"</f>
        <v>+17405932626</v>
      </c>
      <c r="AE1928" t="str">
        <f>"611310"</f>
        <v>611310</v>
      </c>
      <c r="AF1928" t="s">
        <v>6076</v>
      </c>
      <c r="AG1928" t="s">
        <v>1958</v>
      </c>
      <c r="AH1928" t="s">
        <v>2367</v>
      </c>
      <c r="AI1928" t="s">
        <v>2605</v>
      </c>
      <c r="AJ1928" t="s">
        <v>6077</v>
      </c>
      <c r="AK1928" t="str">
        <f>""</f>
        <v/>
      </c>
      <c r="AL1928" t="s">
        <v>2325</v>
      </c>
      <c r="AM1928" t="s">
        <v>225</v>
      </c>
      <c r="AN1928" s="3">
        <v>45701</v>
      </c>
      <c r="AO1928" t="s">
        <v>101</v>
      </c>
      <c r="AQ1928" t="str">
        <f>"+17405932626"</f>
        <v>+17405932626</v>
      </c>
      <c r="AS1928" t="s">
        <v>6078</v>
      </c>
      <c r="AT1928" t="s">
        <v>102</v>
      </c>
      <c r="AU1928" t="str">
        <f>""</f>
        <v/>
      </c>
      <c r="AV1928" t="str">
        <f>""</f>
        <v/>
      </c>
      <c r="AW1928" t="str">
        <f>""</f>
        <v/>
      </c>
      <c r="AX1928" t="str">
        <f>""</f>
        <v/>
      </c>
      <c r="AY1928" t="str">
        <f>""</f>
        <v/>
      </c>
      <c r="AZ1928" t="str">
        <f>""</f>
        <v/>
      </c>
      <c r="BA1928" t="str">
        <f>""</f>
        <v/>
      </c>
      <c r="BC1928" t="str">
        <f>""</f>
        <v/>
      </c>
      <c r="BD1928" t="str">
        <f>""</f>
        <v/>
      </c>
      <c r="BE1928" t="str">
        <f>""</f>
        <v/>
      </c>
      <c r="BF1928" t="str">
        <f>""</f>
        <v/>
      </c>
      <c r="BG1928" t="str">
        <f>""</f>
        <v/>
      </c>
      <c r="BH1928" t="str">
        <f>""</f>
        <v/>
      </c>
      <c r="BI1928" t="str">
        <f>""</f>
        <v/>
      </c>
      <c r="BJ1928" t="str">
        <f>""</f>
        <v/>
      </c>
      <c r="BK1928">
        <v>1</v>
      </c>
      <c r="BL1928" t="s">
        <v>102</v>
      </c>
      <c r="BM1928" t="str">
        <f>""</f>
        <v/>
      </c>
      <c r="BN1928" t="s">
        <v>6075</v>
      </c>
      <c r="BO1928" t="s">
        <v>6079</v>
      </c>
      <c r="BP1928" t="s">
        <v>2325</v>
      </c>
      <c r="BQ1928" t="s">
        <v>4808</v>
      </c>
      <c r="BR1928" t="s">
        <v>225</v>
      </c>
      <c r="BS1928" s="5">
        <v>45701</v>
      </c>
      <c r="BT1928" s="2">
        <v>125240</v>
      </c>
      <c r="BV1928" t="s">
        <v>105</v>
      </c>
      <c r="BW1928" s="2">
        <v>79223</v>
      </c>
      <c r="BX1928" t="s">
        <v>105</v>
      </c>
      <c r="BZ1928" t="s">
        <v>167</v>
      </c>
      <c r="CA1928" t="str">
        <f t="shared" si="157"/>
        <v>7/1/2020 - 6/30/2021</v>
      </c>
      <c r="CF1928">
        <v>2</v>
      </c>
      <c r="CG1928" t="s">
        <v>98</v>
      </c>
      <c r="CH1928" t="s">
        <v>206</v>
      </c>
      <c r="CI1928" t="s">
        <v>206</v>
      </c>
      <c r="CL1928" t="s">
        <v>108</v>
      </c>
      <c r="CM1928" t="s">
        <v>109</v>
      </c>
      <c r="CN1928" t="str">
        <f>""</f>
        <v/>
      </c>
      <c r="CO1928" t="str">
        <f>""</f>
        <v/>
      </c>
      <c r="CP1928" t="str">
        <f>""</f>
        <v/>
      </c>
      <c r="CQ1928" t="str">
        <f>""</f>
        <v/>
      </c>
    </row>
    <row r="1929" spans="1:96" x14ac:dyDescent="0.2">
      <c r="A1929" t="s">
        <v>9715</v>
      </c>
      <c r="B1929" t="s">
        <v>96</v>
      </c>
      <c r="C1929" s="1">
        <v>44099</v>
      </c>
      <c r="D1929" s="1">
        <v>44106</v>
      </c>
      <c r="F1929" t="s">
        <v>97</v>
      </c>
      <c r="G1929" t="str">
        <f>"Application Analyst "</f>
        <v xml:space="preserve">Application Analyst </v>
      </c>
      <c r="H1929" t="s">
        <v>12169</v>
      </c>
      <c r="I1929" t="s">
        <v>124</v>
      </c>
      <c r="J1929" t="s">
        <v>98</v>
      </c>
      <c r="K1929" s="1">
        <v>44105</v>
      </c>
      <c r="L1929" s="1">
        <v>45199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4677</v>
      </c>
      <c r="U1929" t="str">
        <f>""</f>
        <v/>
      </c>
      <c r="V1929" t="s">
        <v>1037</v>
      </c>
      <c r="W1929" t="str">
        <f>""</f>
        <v/>
      </c>
      <c r="X1929" t="s">
        <v>1015</v>
      </c>
      <c r="Y1929" t="s">
        <v>330</v>
      </c>
      <c r="Z1929" s="3">
        <v>53045</v>
      </c>
      <c r="AA1929" t="s">
        <v>101</v>
      </c>
      <c r="AC1929" s="4" t="str">
        <f>"+12628795000"</f>
        <v>+12628795000</v>
      </c>
      <c r="AE1929" t="str">
        <f>"522320"</f>
        <v>522320</v>
      </c>
      <c r="AF1929" t="s">
        <v>1324</v>
      </c>
      <c r="AG1929" t="s">
        <v>927</v>
      </c>
      <c r="AI1929" t="s">
        <v>1325</v>
      </c>
      <c r="AJ1929" t="s">
        <v>1037</v>
      </c>
      <c r="AK1929" t="str">
        <f>""</f>
        <v/>
      </c>
      <c r="AL1929" t="s">
        <v>1015</v>
      </c>
      <c r="AM1929" t="s">
        <v>330</v>
      </c>
      <c r="AN1929" s="3">
        <v>53045</v>
      </c>
      <c r="AO1929" t="s">
        <v>101</v>
      </c>
      <c r="AQ1929" t="str">
        <f>"+12628795000"</f>
        <v>+12628795000</v>
      </c>
      <c r="AS1929" t="s">
        <v>1043</v>
      </c>
      <c r="AT1929" t="s">
        <v>107</v>
      </c>
      <c r="AU1929" t="str">
        <f>"OLIVER"</f>
        <v>OLIVER</v>
      </c>
      <c r="AV1929" t="str">
        <f>"BRENDA"</f>
        <v>BRENDA</v>
      </c>
      <c r="AW1929" t="str">
        <f>"J"</f>
        <v>J</v>
      </c>
      <c r="AX1929" t="str">
        <f>"1101 15TH STREET, NW"</f>
        <v>1101 15TH STREET, NW</v>
      </c>
      <c r="AY1929" t="str">
        <f>"SUITE 700"</f>
        <v>SUITE 700</v>
      </c>
      <c r="AZ1929" t="str">
        <f>"Washington"</f>
        <v>Washington</v>
      </c>
      <c r="BA1929" t="str">
        <f>"DC"</f>
        <v>DC</v>
      </c>
      <c r="BB1929" s="3">
        <v>20005</v>
      </c>
      <c r="BC1929" t="str">
        <f>"UNITED STATES OF AMERICA"</f>
        <v>UNITED STATES OF AMERICA</v>
      </c>
      <c r="BD1929" t="str">
        <f>""</f>
        <v/>
      </c>
      <c r="BE1929" t="str">
        <f>"+12022235515"</f>
        <v>+12022235515</v>
      </c>
      <c r="BF1929" t="str">
        <f>""</f>
        <v/>
      </c>
      <c r="BG1929" t="str">
        <f>"LCATeamPham@Fragomen.com"</f>
        <v>LCATeamPham@Fragomen.com</v>
      </c>
      <c r="BH1929" t="str">
        <f>"Fragomen, Del Rey, Bernsen &amp; Loewy, LLP"</f>
        <v>Fragomen, Del Rey, Bernsen &amp; Loewy, LLP</v>
      </c>
      <c r="BI1929" t="str">
        <f>"DC"</f>
        <v>DC</v>
      </c>
      <c r="BJ1929" t="str">
        <f>"COURT OF APPEALS"</f>
        <v>COURT OF APPEALS</v>
      </c>
      <c r="BK1929">
        <v>1</v>
      </c>
      <c r="BL1929" t="s">
        <v>102</v>
      </c>
      <c r="BM1929" t="str">
        <f>""</f>
        <v/>
      </c>
      <c r="BN1929" t="s">
        <v>5529</v>
      </c>
      <c r="BP1929" t="s">
        <v>847</v>
      </c>
      <c r="BQ1929" t="s">
        <v>214</v>
      </c>
      <c r="BR1929" t="s">
        <v>215</v>
      </c>
      <c r="BS1929" s="5">
        <v>30004</v>
      </c>
      <c r="BT1929" s="2">
        <v>121139</v>
      </c>
      <c r="BU1929" s="2">
        <v>127600</v>
      </c>
      <c r="BV1929" t="s">
        <v>105</v>
      </c>
      <c r="BW1929" s="2">
        <v>121139</v>
      </c>
      <c r="BX1929" t="s">
        <v>105</v>
      </c>
      <c r="BZ1929" t="s">
        <v>159</v>
      </c>
      <c r="CA1929" t="str">
        <f t="shared" si="157"/>
        <v>7/1/2020 - 6/30/2021</v>
      </c>
      <c r="CF1929">
        <v>2</v>
      </c>
      <c r="CG1929" t="s">
        <v>98</v>
      </c>
      <c r="CH1929" t="s">
        <v>206</v>
      </c>
      <c r="CI1929" t="s">
        <v>206</v>
      </c>
      <c r="CL1929" t="s">
        <v>108</v>
      </c>
      <c r="CM1929" t="s">
        <v>109</v>
      </c>
      <c r="CN1929" t="str">
        <f>"Cronin"</f>
        <v>Cronin</v>
      </c>
      <c r="CO1929" t="str">
        <f>"Emma"</f>
        <v>Emma</v>
      </c>
      <c r="CP1929" t="str">
        <f>""</f>
        <v/>
      </c>
      <c r="CQ1929" t="str">
        <f>"Fragomen, Del Rey, Bernsen &amp; Loewy, LLP"</f>
        <v>Fragomen, Del Rey, Bernsen &amp; Loewy, LLP</v>
      </c>
      <c r="CR1929" t="s">
        <v>1046</v>
      </c>
    </row>
    <row r="1930" spans="1:96" x14ac:dyDescent="0.2">
      <c r="A1930" t="s">
        <v>9719</v>
      </c>
      <c r="B1930" t="s">
        <v>96</v>
      </c>
      <c r="C1930" s="1">
        <v>44099</v>
      </c>
      <c r="D1930" s="1">
        <v>44106</v>
      </c>
      <c r="F1930" t="s">
        <v>97</v>
      </c>
      <c r="G1930" t="str">
        <f>"Marketing Analytics Manager"</f>
        <v>Marketing Analytics Manager</v>
      </c>
      <c r="H1930" t="s">
        <v>12174</v>
      </c>
      <c r="I1930" t="s">
        <v>1795</v>
      </c>
      <c r="J1930" t="s">
        <v>98</v>
      </c>
      <c r="K1930" s="1">
        <v>44105</v>
      </c>
      <c r="L1930" s="1">
        <v>45199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9720</v>
      </c>
      <c r="U1930" t="str">
        <f>""</f>
        <v/>
      </c>
      <c r="V1930" t="s">
        <v>9716</v>
      </c>
      <c r="W1930" t="str">
        <f>"Suite 450"</f>
        <v>Suite 450</v>
      </c>
      <c r="X1930" t="s">
        <v>277</v>
      </c>
      <c r="Y1930" t="s">
        <v>190</v>
      </c>
      <c r="Z1930" s="3">
        <v>10038</v>
      </c>
      <c r="AA1930" t="s">
        <v>101</v>
      </c>
      <c r="AC1930" s="4" t="str">
        <f>"+15733552624"</f>
        <v>+15733552624</v>
      </c>
      <c r="AE1930" t="str">
        <f>"541511"</f>
        <v>541511</v>
      </c>
      <c r="AF1930" t="s">
        <v>4121</v>
      </c>
      <c r="AG1930" t="s">
        <v>3070</v>
      </c>
      <c r="AI1930" t="s">
        <v>9721</v>
      </c>
      <c r="AJ1930" t="s">
        <v>9722</v>
      </c>
      <c r="AK1930" t="str">
        <f>"Suite 450"</f>
        <v>Suite 450</v>
      </c>
      <c r="AL1930" t="s">
        <v>277</v>
      </c>
      <c r="AM1930" t="s">
        <v>190</v>
      </c>
      <c r="AN1930" s="3">
        <v>10038</v>
      </c>
      <c r="AO1930" t="s">
        <v>101</v>
      </c>
      <c r="AQ1930" t="str">
        <f>"+15733552624"</f>
        <v>+15733552624</v>
      </c>
      <c r="AS1930" t="s">
        <v>9723</v>
      </c>
      <c r="AT1930" t="s">
        <v>107</v>
      </c>
      <c r="AU1930" t="str">
        <f>"Kolodziej"</f>
        <v>Kolodziej</v>
      </c>
      <c r="AV1930" t="str">
        <f>"Matthew"</f>
        <v>Matthew</v>
      </c>
      <c r="AW1930" t="str">
        <f>""</f>
        <v/>
      </c>
      <c r="AX1930" t="str">
        <f>"136-20 38th Avenue"</f>
        <v>136-20 38th Avenue</v>
      </c>
      <c r="AY1930" t="str">
        <f>"Suite 3B"</f>
        <v>Suite 3B</v>
      </c>
      <c r="AZ1930" t="str">
        <f>"Flushing"</f>
        <v>Flushing</v>
      </c>
      <c r="BA1930" t="str">
        <f>"NY"</f>
        <v>NY</v>
      </c>
      <c r="BB1930" s="3">
        <v>11354</v>
      </c>
      <c r="BC1930" t="str">
        <f>"UNITED STATES OF AMERICA"</f>
        <v>UNITED STATES OF AMERICA</v>
      </c>
      <c r="BD1930" t="str">
        <f>""</f>
        <v/>
      </c>
      <c r="BE1930" t="str">
        <f>"+13478976199"</f>
        <v>+13478976199</v>
      </c>
      <c r="BF1930" t="str">
        <f>""</f>
        <v/>
      </c>
      <c r="BG1930" t="str">
        <f>"matthew.kolodziej@jiaesq.com"</f>
        <v>matthew.kolodziej@jiaesq.com</v>
      </c>
      <c r="BH1930" t="str">
        <f>"Jia Law Group"</f>
        <v>Jia Law Group</v>
      </c>
      <c r="BI1930" t="str">
        <f>"NY"</f>
        <v>NY</v>
      </c>
      <c r="BJ1930" t="str">
        <f>"Court of Appeals"</f>
        <v>Court of Appeals</v>
      </c>
      <c r="BK1930">
        <v>1</v>
      </c>
      <c r="BL1930" t="s">
        <v>102</v>
      </c>
      <c r="BM1930" t="str">
        <f>""</f>
        <v/>
      </c>
      <c r="BN1930" t="s">
        <v>9716</v>
      </c>
      <c r="BO1930" t="s">
        <v>3957</v>
      </c>
      <c r="BP1930" t="s">
        <v>277</v>
      </c>
      <c r="BQ1930" t="s">
        <v>189</v>
      </c>
      <c r="BR1930" t="s">
        <v>190</v>
      </c>
      <c r="BS1930" s="5">
        <v>10038</v>
      </c>
      <c r="BT1930" s="2">
        <v>75000</v>
      </c>
      <c r="BV1930" t="s">
        <v>105</v>
      </c>
      <c r="BW1930" s="2">
        <v>65499</v>
      </c>
      <c r="BX1930" t="s">
        <v>105</v>
      </c>
      <c r="BZ1930" t="s">
        <v>167</v>
      </c>
      <c r="CA1930" t="str">
        <f t="shared" si="157"/>
        <v>7/1/2020 - 6/30/2021</v>
      </c>
      <c r="CF1930">
        <v>1</v>
      </c>
      <c r="CG1930" t="s">
        <v>98</v>
      </c>
      <c r="CH1930" t="s">
        <v>206</v>
      </c>
      <c r="CI1930" t="s">
        <v>206</v>
      </c>
      <c r="CL1930" t="s">
        <v>108</v>
      </c>
      <c r="CM1930" t="s">
        <v>109</v>
      </c>
      <c r="CN1930" t="str">
        <f>"Meyer"</f>
        <v>Meyer</v>
      </c>
      <c r="CO1930" t="str">
        <f>"Zachary"</f>
        <v>Zachary</v>
      </c>
      <c r="CP1930" t="str">
        <f>""</f>
        <v/>
      </c>
      <c r="CQ1930" t="str">
        <f>"Jia Law Group"</f>
        <v>Jia Law Group</v>
      </c>
      <c r="CR1930" t="s">
        <v>9724</v>
      </c>
    </row>
    <row r="1931" spans="1:96" x14ac:dyDescent="0.2">
      <c r="A1931" t="s">
        <v>9728</v>
      </c>
      <c r="B1931" t="s">
        <v>96</v>
      </c>
      <c r="C1931" s="1">
        <v>44099</v>
      </c>
      <c r="D1931" s="1">
        <v>44106</v>
      </c>
      <c r="F1931" t="s">
        <v>97</v>
      </c>
      <c r="G1931" t="str">
        <f>"Associate Professor"</f>
        <v>Associate Professor</v>
      </c>
      <c r="H1931" t="s">
        <v>12232</v>
      </c>
      <c r="I1931" t="s">
        <v>3103</v>
      </c>
      <c r="J1931" t="s">
        <v>98</v>
      </c>
      <c r="K1931" s="1">
        <v>44197</v>
      </c>
      <c r="L1931" s="1">
        <v>45291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 t="s">
        <v>2046</v>
      </c>
      <c r="U1931" t="str">
        <f>""</f>
        <v/>
      </c>
      <c r="V1931" t="s">
        <v>3704</v>
      </c>
      <c r="W1931" t="str">
        <f>"515 E. Jefferson Street, 1500 SAB"</f>
        <v>515 E. Jefferson Street, 1500 SAB</v>
      </c>
      <c r="X1931" t="s">
        <v>2047</v>
      </c>
      <c r="Y1931" t="s">
        <v>265</v>
      </c>
      <c r="Z1931" s="3">
        <v>48109</v>
      </c>
      <c r="AA1931" t="s">
        <v>101</v>
      </c>
      <c r="AC1931" s="4" t="str">
        <f>"+17347634081"</f>
        <v>+17347634081</v>
      </c>
      <c r="AE1931" t="str">
        <f>"611310"</f>
        <v>611310</v>
      </c>
      <c r="AF1931" t="s">
        <v>6584</v>
      </c>
      <c r="AG1931" t="s">
        <v>1958</v>
      </c>
      <c r="AI1931" t="s">
        <v>6585</v>
      </c>
      <c r="AJ1931" t="s">
        <v>2046</v>
      </c>
      <c r="AK1931" t="str">
        <f>"515 E. Jefferson, 1500 SAB"</f>
        <v>515 E. Jefferson, 1500 SAB</v>
      </c>
      <c r="AL1931" t="s">
        <v>2047</v>
      </c>
      <c r="AM1931" t="s">
        <v>265</v>
      </c>
      <c r="AN1931" s="3">
        <v>48109</v>
      </c>
      <c r="AO1931" t="s">
        <v>101</v>
      </c>
      <c r="AQ1931" t="str">
        <f>"+17347634081"</f>
        <v>+17347634081</v>
      </c>
      <c r="AS1931" t="s">
        <v>2049</v>
      </c>
      <c r="AT1931" t="s">
        <v>102</v>
      </c>
      <c r="AU1931" t="str">
        <f>""</f>
        <v/>
      </c>
      <c r="AV1931" t="str">
        <f>""</f>
        <v/>
      </c>
      <c r="AW1931" t="str">
        <f>""</f>
        <v/>
      </c>
      <c r="AX1931" t="str">
        <f>""</f>
        <v/>
      </c>
      <c r="AY1931" t="str">
        <f>""</f>
        <v/>
      </c>
      <c r="AZ1931" t="str">
        <f>""</f>
        <v/>
      </c>
      <c r="BA1931" t="str">
        <f>""</f>
        <v/>
      </c>
      <c r="BC1931" t="str">
        <f>""</f>
        <v/>
      </c>
      <c r="BD1931" t="str">
        <f>""</f>
        <v/>
      </c>
      <c r="BE1931" t="str">
        <f>""</f>
        <v/>
      </c>
      <c r="BF1931" t="str">
        <f>""</f>
        <v/>
      </c>
      <c r="BG1931" t="str">
        <f>""</f>
        <v/>
      </c>
      <c r="BH1931" t="str">
        <f>""</f>
        <v/>
      </c>
      <c r="BI1931" t="str">
        <f>""</f>
        <v/>
      </c>
      <c r="BJ1931" t="str">
        <f>""</f>
        <v/>
      </c>
      <c r="BK1931">
        <v>1</v>
      </c>
      <c r="BL1931" t="s">
        <v>102</v>
      </c>
      <c r="BM1931" t="str">
        <f>""</f>
        <v/>
      </c>
      <c r="BN1931" t="s">
        <v>4271</v>
      </c>
      <c r="BP1931" t="s">
        <v>2047</v>
      </c>
      <c r="BQ1931" t="s">
        <v>2050</v>
      </c>
      <c r="BR1931" t="s">
        <v>265</v>
      </c>
      <c r="BS1931" s="5">
        <v>48109</v>
      </c>
      <c r="BT1931" s="2">
        <v>102300</v>
      </c>
      <c r="BV1931" t="s">
        <v>105</v>
      </c>
      <c r="BW1931" s="2">
        <v>80200</v>
      </c>
      <c r="BX1931" t="s">
        <v>105</v>
      </c>
      <c r="CA1931" t="str">
        <f>""</f>
        <v/>
      </c>
      <c r="CB1931" t="s">
        <v>244</v>
      </c>
      <c r="CC1931">
        <v>2020</v>
      </c>
      <c r="CD1931" t="s">
        <v>784</v>
      </c>
      <c r="CE1931" t="s">
        <v>1061</v>
      </c>
      <c r="CF1931">
        <v>1</v>
      </c>
      <c r="CG1931" t="s">
        <v>98</v>
      </c>
      <c r="CH1931" t="s">
        <v>206</v>
      </c>
      <c r="CI1931" t="s">
        <v>206</v>
      </c>
      <c r="CL1931" t="s">
        <v>108</v>
      </c>
      <c r="CM1931" t="s">
        <v>109</v>
      </c>
      <c r="CN1931" t="str">
        <f>""</f>
        <v/>
      </c>
      <c r="CO1931" t="str">
        <f>""</f>
        <v/>
      </c>
      <c r="CP1931" t="str">
        <f>""</f>
        <v/>
      </c>
      <c r="CQ1931" t="str">
        <f>""</f>
        <v/>
      </c>
    </row>
    <row r="1932" spans="1:96" x14ac:dyDescent="0.2">
      <c r="A1932" t="s">
        <v>9730</v>
      </c>
      <c r="B1932" t="s">
        <v>96</v>
      </c>
      <c r="C1932" s="1">
        <v>44099</v>
      </c>
      <c r="D1932" s="1">
        <v>44106</v>
      </c>
      <c r="F1932" t="s">
        <v>97</v>
      </c>
      <c r="G1932" t="str">
        <f>"Cloud Support Engineer II"</f>
        <v>Cloud Support Engineer II</v>
      </c>
      <c r="H1932" t="s">
        <v>12169</v>
      </c>
      <c r="I1932" t="s">
        <v>124</v>
      </c>
      <c r="J1932" t="s">
        <v>98</v>
      </c>
      <c r="K1932" s="1">
        <v>44105</v>
      </c>
      <c r="L1932" s="1">
        <v>45199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 t="s">
        <v>2682</v>
      </c>
      <c r="U1932" t="str">
        <f>""</f>
        <v/>
      </c>
      <c r="V1932" t="s">
        <v>1959</v>
      </c>
      <c r="W1932" t="str">
        <f>""</f>
        <v/>
      </c>
      <c r="X1932" t="s">
        <v>261</v>
      </c>
      <c r="Y1932" t="s">
        <v>176</v>
      </c>
      <c r="Z1932" s="3">
        <v>98109</v>
      </c>
      <c r="AA1932" t="s">
        <v>101</v>
      </c>
      <c r="AC1932" s="4" t="str">
        <f>"+12062661000"</f>
        <v>+12062661000</v>
      </c>
      <c r="AE1932" t="str">
        <f>"518210"</f>
        <v>518210</v>
      </c>
      <c r="AF1932" t="s">
        <v>2661</v>
      </c>
      <c r="AG1932" t="s">
        <v>2662</v>
      </c>
      <c r="AH1932" t="s">
        <v>108</v>
      </c>
      <c r="AI1932" t="s">
        <v>1553</v>
      </c>
      <c r="AJ1932" t="s">
        <v>1959</v>
      </c>
      <c r="AK1932" t="str">
        <f>""</f>
        <v/>
      </c>
      <c r="AL1932" t="s">
        <v>261</v>
      </c>
      <c r="AM1932" t="s">
        <v>176</v>
      </c>
      <c r="AN1932" s="3">
        <v>98109</v>
      </c>
      <c r="AO1932" t="s">
        <v>101</v>
      </c>
      <c r="AQ1932" t="str">
        <f>"+12062661000"</f>
        <v>+12062661000</v>
      </c>
      <c r="AS1932" t="s">
        <v>2663</v>
      </c>
      <c r="AT1932" t="s">
        <v>102</v>
      </c>
      <c r="AU1932" t="str">
        <f>""</f>
        <v/>
      </c>
      <c r="AV1932" t="str">
        <f>""</f>
        <v/>
      </c>
      <c r="AW1932" t="str">
        <f>""</f>
        <v/>
      </c>
      <c r="AX1932" t="str">
        <f>""</f>
        <v/>
      </c>
      <c r="AY1932" t="str">
        <f>""</f>
        <v/>
      </c>
      <c r="AZ1932" t="str">
        <f>""</f>
        <v/>
      </c>
      <c r="BA1932" t="str">
        <f>""</f>
        <v/>
      </c>
      <c r="BC1932" t="str">
        <f>""</f>
        <v/>
      </c>
      <c r="BD1932" t="str">
        <f>""</f>
        <v/>
      </c>
      <c r="BE1932" t="str">
        <f>""</f>
        <v/>
      </c>
      <c r="BF1932" t="str">
        <f>""</f>
        <v/>
      </c>
      <c r="BG1932" t="str">
        <f>""</f>
        <v/>
      </c>
      <c r="BH1932" t="str">
        <f>""</f>
        <v/>
      </c>
      <c r="BI1932" t="str">
        <f>""</f>
        <v/>
      </c>
      <c r="BJ1932" t="str">
        <f>""</f>
        <v/>
      </c>
      <c r="BK1932">
        <v>1</v>
      </c>
      <c r="BL1932" t="s">
        <v>102</v>
      </c>
      <c r="BM1932" t="str">
        <f>""</f>
        <v/>
      </c>
      <c r="BN1932" t="s">
        <v>5936</v>
      </c>
      <c r="BP1932" t="s">
        <v>2880</v>
      </c>
      <c r="BQ1932" t="s">
        <v>2769</v>
      </c>
      <c r="BR1932" t="s">
        <v>814</v>
      </c>
      <c r="BS1932" s="5">
        <v>97201</v>
      </c>
      <c r="BT1932" s="2">
        <v>108000</v>
      </c>
      <c r="BV1932" t="s">
        <v>105</v>
      </c>
      <c r="BW1932" s="2">
        <v>90979</v>
      </c>
      <c r="BX1932" t="s">
        <v>105</v>
      </c>
      <c r="BZ1932" t="s">
        <v>167</v>
      </c>
      <c r="CA1932" t="str">
        <f t="shared" ref="CA1932:CA1937" si="158">"7/1/2020 - 6/30/2021"</f>
        <v>7/1/2020 - 6/30/2021</v>
      </c>
      <c r="CF1932">
        <v>2</v>
      </c>
      <c r="CG1932" t="s">
        <v>98</v>
      </c>
      <c r="CH1932" t="s">
        <v>206</v>
      </c>
      <c r="CI1932" t="s">
        <v>206</v>
      </c>
      <c r="CL1932" t="s">
        <v>108</v>
      </c>
      <c r="CM1932" t="s">
        <v>109</v>
      </c>
      <c r="CN1932" t="str">
        <f>"Zai"</f>
        <v>Zai</v>
      </c>
      <c r="CO1932" t="str">
        <f>"Christopher"</f>
        <v>Christopher</v>
      </c>
      <c r="CP1932" t="str">
        <f>"N/A"</f>
        <v>N/A</v>
      </c>
      <c r="CQ1932" t="str">
        <f>"de Lint LLP"</f>
        <v>de Lint LLP</v>
      </c>
      <c r="CR1932" t="s">
        <v>2664</v>
      </c>
    </row>
    <row r="1933" spans="1:96" x14ac:dyDescent="0.2">
      <c r="A1933" t="s">
        <v>9740</v>
      </c>
      <c r="B1933" t="s">
        <v>96</v>
      </c>
      <c r="C1933" s="1">
        <v>44099</v>
      </c>
      <c r="D1933" s="1">
        <v>44106</v>
      </c>
      <c r="F1933" t="s">
        <v>97</v>
      </c>
      <c r="G1933" t="str">
        <f>"Project Manager"</f>
        <v>Project Manager</v>
      </c>
      <c r="H1933" t="s">
        <v>12185</v>
      </c>
      <c r="I1933" t="s">
        <v>810</v>
      </c>
      <c r="J1933" t="s">
        <v>98</v>
      </c>
      <c r="K1933" s="1">
        <v>44105</v>
      </c>
      <c r="L1933" s="1">
        <v>45199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9741</v>
      </c>
      <c r="U1933" t="str">
        <f>""</f>
        <v/>
      </c>
      <c r="V1933" t="s">
        <v>9742</v>
      </c>
      <c r="W1933" t="str">
        <f>"15th Floor "</f>
        <v xml:space="preserve">15th Floor </v>
      </c>
      <c r="X1933" t="s">
        <v>277</v>
      </c>
      <c r="Y1933" t="s">
        <v>190</v>
      </c>
      <c r="Z1933" s="3">
        <v>10022</v>
      </c>
      <c r="AA1933" t="s">
        <v>101</v>
      </c>
      <c r="AC1933" s="4" t="str">
        <f>"+16465595732"</f>
        <v>+16465595732</v>
      </c>
      <c r="AE1933" t="str">
        <f>"53139"</f>
        <v>53139</v>
      </c>
      <c r="AF1933" t="s">
        <v>9743</v>
      </c>
      <c r="AG1933" t="s">
        <v>9744</v>
      </c>
      <c r="AI1933" t="s">
        <v>9745</v>
      </c>
      <c r="AJ1933" t="s">
        <v>9746</v>
      </c>
      <c r="AK1933" t="str">
        <f>"15th Floor"</f>
        <v>15th Floor</v>
      </c>
      <c r="AL1933" t="s">
        <v>277</v>
      </c>
      <c r="AM1933" t="s">
        <v>190</v>
      </c>
      <c r="AN1933" s="3">
        <v>10022</v>
      </c>
      <c r="AO1933" t="s">
        <v>101</v>
      </c>
      <c r="AQ1933" t="str">
        <f>"+16465595732"</f>
        <v>+16465595732</v>
      </c>
      <c r="AR1933">
        <v>108</v>
      </c>
      <c r="AS1933" t="s">
        <v>9747</v>
      </c>
      <c r="AT1933" t="s">
        <v>107</v>
      </c>
      <c r="AU1933" t="str">
        <f>"Weinrib"</f>
        <v>Weinrib</v>
      </c>
      <c r="AV1933" t="str">
        <f>"Neil"</f>
        <v>Neil</v>
      </c>
      <c r="AW1933" t="str">
        <f>"A"</f>
        <v>A</v>
      </c>
      <c r="AX1933" t="str">
        <f>"291 Broadway"</f>
        <v>291 Broadway</v>
      </c>
      <c r="AY1933" t="str">
        <f>"17th Floor"</f>
        <v>17th Floor</v>
      </c>
      <c r="AZ1933" t="str">
        <f>"New York"</f>
        <v>New York</v>
      </c>
      <c r="BA1933" t="str">
        <f>"NY"</f>
        <v>NY</v>
      </c>
      <c r="BB1933" s="3">
        <v>10007</v>
      </c>
      <c r="BC1933" t="str">
        <f>"UNITED STATES OF AMERICA"</f>
        <v>UNITED STATES OF AMERICA</v>
      </c>
      <c r="BD1933" t="str">
        <f>""</f>
        <v/>
      </c>
      <c r="BE1933" t="str">
        <f>"+12129649282"</f>
        <v>+12129649282</v>
      </c>
      <c r="BF1933" t="str">
        <f>""</f>
        <v/>
      </c>
      <c r="BG1933" t="str">
        <f>"Neil@nawlaw.com"</f>
        <v>Neil@nawlaw.com</v>
      </c>
      <c r="BH1933" t="str">
        <f>"Neil A Weinrib and Associates"</f>
        <v>Neil A Weinrib and Associates</v>
      </c>
      <c r="BI1933" t="str">
        <f>"NY"</f>
        <v>NY</v>
      </c>
      <c r="BJ1933" t="str">
        <f>"New York Appellate Division 2nd Dept."</f>
        <v>New York Appellate Division 2nd Dept.</v>
      </c>
      <c r="BK1933">
        <v>1</v>
      </c>
      <c r="BL1933" t="s">
        <v>102</v>
      </c>
      <c r="BM1933" t="str">
        <f>""</f>
        <v/>
      </c>
      <c r="BN1933" t="s">
        <v>9746</v>
      </c>
      <c r="BO1933" t="s">
        <v>3312</v>
      </c>
      <c r="BP1933" t="s">
        <v>277</v>
      </c>
      <c r="BQ1933" t="s">
        <v>189</v>
      </c>
      <c r="BR1933" t="s">
        <v>190</v>
      </c>
      <c r="BS1933" s="5">
        <v>10022</v>
      </c>
      <c r="BT1933" s="2">
        <v>41.76</v>
      </c>
      <c r="BV1933" t="s">
        <v>210</v>
      </c>
      <c r="BW1933" s="2">
        <v>41.76</v>
      </c>
      <c r="BX1933" t="s">
        <v>210</v>
      </c>
      <c r="BZ1933" t="s">
        <v>191</v>
      </c>
      <c r="CA1933" t="str">
        <f t="shared" si="158"/>
        <v>7/1/2020 - 6/30/2021</v>
      </c>
      <c r="CF1933">
        <v>1</v>
      </c>
      <c r="CG1933" t="s">
        <v>98</v>
      </c>
      <c r="CH1933" t="s">
        <v>206</v>
      </c>
      <c r="CI1933" t="s">
        <v>206</v>
      </c>
      <c r="CL1933" t="s">
        <v>108</v>
      </c>
      <c r="CM1933" t="s">
        <v>109</v>
      </c>
      <c r="CN1933" t="str">
        <f>"Taouil"</f>
        <v>Taouil</v>
      </c>
      <c r="CO1933" t="str">
        <f>"Khadija"</f>
        <v>Khadija</v>
      </c>
      <c r="CP1933" t="str">
        <f>""</f>
        <v/>
      </c>
      <c r="CQ1933" t="str">
        <f>"Neil A. Weinrib &amp; Associates"</f>
        <v>Neil A. Weinrib &amp; Associates</v>
      </c>
      <c r="CR1933" t="s">
        <v>7474</v>
      </c>
    </row>
    <row r="1934" spans="1:96" x14ac:dyDescent="0.2">
      <c r="A1934" t="s">
        <v>9774</v>
      </c>
      <c r="B1934" t="s">
        <v>96</v>
      </c>
      <c r="C1934" s="1">
        <v>44099</v>
      </c>
      <c r="D1934" s="1">
        <v>44106</v>
      </c>
      <c r="F1934" t="s">
        <v>97</v>
      </c>
      <c r="G1934" t="str">
        <f>"Investment Banking Analyst"</f>
        <v>Investment Banking Analyst</v>
      </c>
      <c r="H1934" t="s">
        <v>12182</v>
      </c>
      <c r="I1934" t="s">
        <v>168</v>
      </c>
      <c r="J1934" t="s">
        <v>98</v>
      </c>
      <c r="K1934" s="1">
        <v>44105</v>
      </c>
      <c r="L1934" s="1">
        <v>45199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9775</v>
      </c>
      <c r="U1934" t="str">
        <f>"Bryan Garnier"</f>
        <v>Bryan Garnier</v>
      </c>
      <c r="V1934" t="s">
        <v>9776</v>
      </c>
      <c r="W1934" t="str">
        <f>"16th Floor"</f>
        <v>16th Floor</v>
      </c>
      <c r="X1934" t="s">
        <v>277</v>
      </c>
      <c r="Y1934" t="s">
        <v>190</v>
      </c>
      <c r="Z1934" s="3">
        <v>10022</v>
      </c>
      <c r="AA1934" t="s">
        <v>101</v>
      </c>
      <c r="AC1934" s="4" t="str">
        <f>"+12123377000"</f>
        <v>+12123377000</v>
      </c>
      <c r="AE1934" t="str">
        <f>"523120"</f>
        <v>523120</v>
      </c>
      <c r="AF1934" t="s">
        <v>657</v>
      </c>
      <c r="AG1934" t="s">
        <v>3901</v>
      </c>
      <c r="AI1934" t="s">
        <v>790</v>
      </c>
      <c r="AJ1934" t="s">
        <v>9776</v>
      </c>
      <c r="AK1934" t="str">
        <f>"16th Floor"</f>
        <v>16th Floor</v>
      </c>
      <c r="AL1934" t="s">
        <v>277</v>
      </c>
      <c r="AM1934" t="s">
        <v>190</v>
      </c>
      <c r="AN1934" s="3">
        <v>10022</v>
      </c>
      <c r="AO1934" t="s">
        <v>101</v>
      </c>
      <c r="AQ1934" t="str">
        <f>"+12123377000"</f>
        <v>+12123377000</v>
      </c>
      <c r="AS1934" t="s">
        <v>9777</v>
      </c>
      <c r="AT1934" t="s">
        <v>107</v>
      </c>
      <c r="AU1934" t="str">
        <f>"Levine"</f>
        <v>Levine</v>
      </c>
      <c r="AV1934" t="str">
        <f>"Roxanne"</f>
        <v>Roxanne</v>
      </c>
      <c r="AW1934" t="str">
        <f>"Helen"</f>
        <v>Helen</v>
      </c>
      <c r="AX1934" t="str">
        <f>"1350 Broadway"</f>
        <v>1350 Broadway</v>
      </c>
      <c r="AY1934" t="str">
        <f>"11th Floor"</f>
        <v>11th Floor</v>
      </c>
      <c r="AZ1934" t="str">
        <f>"New York"</f>
        <v>New York</v>
      </c>
      <c r="BA1934" t="str">
        <f>"NY"</f>
        <v>NY</v>
      </c>
      <c r="BB1934" s="3">
        <v>10018</v>
      </c>
      <c r="BC1934" t="str">
        <f>"UNITED STATES OF AMERICA"</f>
        <v>UNITED STATES OF AMERICA</v>
      </c>
      <c r="BD1934" t="str">
        <f>""</f>
        <v/>
      </c>
      <c r="BE1934" t="str">
        <f>"+12122161122"</f>
        <v>+12122161122</v>
      </c>
      <c r="BF1934" t="str">
        <f>""</f>
        <v/>
      </c>
      <c r="BG1934" t="str">
        <f>"rlevine@tarterkrinsky.com"</f>
        <v>rlevine@tarterkrinsky.com</v>
      </c>
      <c r="BH1934" t="str">
        <f>"Tarter Krinsky and Drogin LLP"</f>
        <v>Tarter Krinsky and Drogin LLP</v>
      </c>
      <c r="BI1934" t="str">
        <f>"NY"</f>
        <v>NY</v>
      </c>
      <c r="BJ1934" t="str">
        <f>"Court of Appeals"</f>
        <v>Court of Appeals</v>
      </c>
      <c r="BK1934">
        <v>1</v>
      </c>
      <c r="BL1934" t="s">
        <v>102</v>
      </c>
      <c r="BM1934" t="str">
        <f>""</f>
        <v/>
      </c>
      <c r="BN1934" t="s">
        <v>9776</v>
      </c>
      <c r="BO1934" t="s">
        <v>5353</v>
      </c>
      <c r="BP1934" t="s">
        <v>277</v>
      </c>
      <c r="BQ1934" t="s">
        <v>189</v>
      </c>
      <c r="BR1934" t="s">
        <v>190</v>
      </c>
      <c r="BS1934" s="5">
        <v>10022</v>
      </c>
      <c r="BT1934" s="2">
        <v>70000</v>
      </c>
      <c r="BV1934" t="s">
        <v>105</v>
      </c>
      <c r="BW1934" s="2">
        <v>62920</v>
      </c>
      <c r="BX1934" t="s">
        <v>105</v>
      </c>
      <c r="BZ1934" t="s">
        <v>191</v>
      </c>
      <c r="CA1934" t="str">
        <f t="shared" si="158"/>
        <v>7/1/2020 - 6/30/2021</v>
      </c>
      <c r="CF1934">
        <v>1</v>
      </c>
      <c r="CG1934" t="s">
        <v>98</v>
      </c>
      <c r="CH1934" t="s">
        <v>206</v>
      </c>
      <c r="CI1934" t="s">
        <v>206</v>
      </c>
      <c r="CL1934" t="s">
        <v>108</v>
      </c>
      <c r="CM1934" t="s">
        <v>109</v>
      </c>
      <c r="CN1934" t="str">
        <f>"Gaines"</f>
        <v>Gaines</v>
      </c>
      <c r="CO1934" t="str">
        <f>"Gwendolyn"</f>
        <v>Gwendolyn</v>
      </c>
      <c r="CP1934" t="str">
        <f>"L"</f>
        <v>L</v>
      </c>
      <c r="CQ1934" t="str">
        <f>"Tarter Krinsky &amp; Drogin LLP"</f>
        <v>Tarter Krinsky &amp; Drogin LLP</v>
      </c>
      <c r="CR1934" t="s">
        <v>2934</v>
      </c>
    </row>
    <row r="1935" spans="1:96" x14ac:dyDescent="0.2">
      <c r="A1935" t="s">
        <v>9778</v>
      </c>
      <c r="B1935" t="s">
        <v>96</v>
      </c>
      <c r="C1935" s="1">
        <v>44099</v>
      </c>
      <c r="D1935" s="1">
        <v>44106</v>
      </c>
      <c r="F1935" t="s">
        <v>97</v>
      </c>
      <c r="G1935" t="str">
        <f>"Engineering Manager"</f>
        <v>Engineering Manager</v>
      </c>
      <c r="H1935" t="s">
        <v>12169</v>
      </c>
      <c r="I1935" t="s">
        <v>124</v>
      </c>
      <c r="J1935" t="s">
        <v>98</v>
      </c>
      <c r="K1935" s="1">
        <v>44109</v>
      </c>
      <c r="L1935" s="1">
        <v>45203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 t="s">
        <v>9779</v>
      </c>
      <c r="U1935" t="str">
        <f>"Handshake"</f>
        <v>Handshake</v>
      </c>
      <c r="V1935" t="s">
        <v>3926</v>
      </c>
      <c r="W1935" t="str">
        <f>"Floor 12"</f>
        <v>Floor 12</v>
      </c>
      <c r="X1935" t="s">
        <v>140</v>
      </c>
      <c r="Y1935" t="s">
        <v>141</v>
      </c>
      <c r="Z1935" s="3">
        <v>94104</v>
      </c>
      <c r="AA1935" t="s">
        <v>101</v>
      </c>
      <c r="AC1935" s="4" t="str">
        <f>"+14153141886"</f>
        <v>+14153141886</v>
      </c>
      <c r="AE1935" t="str">
        <f>"518210"</f>
        <v>518210</v>
      </c>
      <c r="AF1935" t="s">
        <v>9780</v>
      </c>
      <c r="AG1935" t="s">
        <v>2306</v>
      </c>
      <c r="AI1935" t="s">
        <v>7823</v>
      </c>
      <c r="AJ1935" t="s">
        <v>3926</v>
      </c>
      <c r="AK1935" t="str">
        <f>"12th Floor"</f>
        <v>12th Floor</v>
      </c>
      <c r="AL1935" t="s">
        <v>140</v>
      </c>
      <c r="AM1935" t="s">
        <v>141</v>
      </c>
      <c r="AN1935" s="3">
        <v>94104</v>
      </c>
      <c r="AO1935" t="s">
        <v>101</v>
      </c>
      <c r="AQ1935" t="str">
        <f>"+14153141886"</f>
        <v>+14153141886</v>
      </c>
      <c r="AS1935" t="s">
        <v>9781</v>
      </c>
      <c r="AT1935" t="s">
        <v>107</v>
      </c>
      <c r="AU1935" t="str">
        <f>"Kumar"</f>
        <v>Kumar</v>
      </c>
      <c r="AV1935" t="str">
        <f>"Sheila"</f>
        <v>Sheila</v>
      </c>
      <c r="AW1935" t="str">
        <f>"Rajan"</f>
        <v>Rajan</v>
      </c>
      <c r="AX1935" t="str">
        <f>"211 S Clark St"</f>
        <v>211 S Clark St</v>
      </c>
      <c r="AY1935" t="str">
        <f>"#735"</f>
        <v>#735</v>
      </c>
      <c r="AZ1935" t="str">
        <f>"Chicago"</f>
        <v>Chicago</v>
      </c>
      <c r="BA1935" t="str">
        <f>"IL"</f>
        <v>IL</v>
      </c>
      <c r="BB1935" s="3">
        <v>60690</v>
      </c>
      <c r="BC1935" t="str">
        <f>"UNITED STATES OF AMERICA"</f>
        <v>UNITED STATES OF AMERICA</v>
      </c>
      <c r="BD1935" t="str">
        <f>""</f>
        <v/>
      </c>
      <c r="BE1935" t="str">
        <f>"+13126516100"</f>
        <v>+13126516100</v>
      </c>
      <c r="BF1935" t="str">
        <f>""</f>
        <v/>
      </c>
      <c r="BG1935" t="str">
        <f>"gov@meltzerhellrung.com"</f>
        <v>gov@meltzerhellrung.com</v>
      </c>
      <c r="BH1935" t="str">
        <f>"Meltzer Hellrung LLC"</f>
        <v>Meltzer Hellrung LLC</v>
      </c>
      <c r="BI1935" t="str">
        <f>"MI"</f>
        <v>MI</v>
      </c>
      <c r="BJ1935" t="str">
        <f>"Michigan Supreme Court"</f>
        <v>Michigan Supreme Court</v>
      </c>
      <c r="BK1935">
        <v>1</v>
      </c>
      <c r="BL1935" t="s">
        <v>102</v>
      </c>
      <c r="BM1935" t="str">
        <f>""</f>
        <v/>
      </c>
      <c r="BN1935" t="s">
        <v>9782</v>
      </c>
      <c r="BP1935" t="s">
        <v>157</v>
      </c>
      <c r="BQ1935" t="s">
        <v>158</v>
      </c>
      <c r="BR1935" t="s">
        <v>141</v>
      </c>
      <c r="BS1935" s="5">
        <v>92101</v>
      </c>
      <c r="BT1935" s="2">
        <v>160000</v>
      </c>
      <c r="BV1935" t="s">
        <v>105</v>
      </c>
      <c r="BW1935" s="2">
        <v>135429</v>
      </c>
      <c r="BX1935" t="s">
        <v>105</v>
      </c>
      <c r="BZ1935" t="s">
        <v>159</v>
      </c>
      <c r="CA1935" t="str">
        <f t="shared" si="158"/>
        <v>7/1/2020 - 6/30/2021</v>
      </c>
      <c r="CF1935">
        <v>1</v>
      </c>
      <c r="CG1935" t="s">
        <v>98</v>
      </c>
      <c r="CH1935" t="s">
        <v>206</v>
      </c>
      <c r="CI1935" t="s">
        <v>206</v>
      </c>
      <c r="CL1935" t="s">
        <v>108</v>
      </c>
      <c r="CM1935" t="s">
        <v>109</v>
      </c>
      <c r="CN1935" t="str">
        <f>"Kellar"</f>
        <v>Kellar</v>
      </c>
      <c r="CO1935" t="str">
        <f>"Kristen"</f>
        <v>Kristen</v>
      </c>
      <c r="CP1935" t="str">
        <f>""</f>
        <v/>
      </c>
      <c r="CQ1935" t="str">
        <f>"Meltzer Hellrung LLC"</f>
        <v>Meltzer Hellrung LLC</v>
      </c>
      <c r="CR1935" t="s">
        <v>5947</v>
      </c>
    </row>
    <row r="1936" spans="1:96" x14ac:dyDescent="0.2">
      <c r="A1936" t="s">
        <v>9812</v>
      </c>
      <c r="B1936" t="s">
        <v>96</v>
      </c>
      <c r="C1936" s="1">
        <v>44099</v>
      </c>
      <c r="D1936" s="1">
        <v>44106</v>
      </c>
      <c r="F1936" t="s">
        <v>97</v>
      </c>
      <c r="G1936" t="str">
        <f>"Software Engineer 1615.59426"</f>
        <v>Software Engineer 1615.59426</v>
      </c>
      <c r="H1936" t="s">
        <v>12169</v>
      </c>
      <c r="I1936" t="s">
        <v>124</v>
      </c>
      <c r="J1936" t="s">
        <v>98</v>
      </c>
      <c r="K1936" s="1">
        <v>44106</v>
      </c>
      <c r="L1936" s="1">
        <v>45200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 t="s">
        <v>890</v>
      </c>
      <c r="U1936" t="str">
        <f>""</f>
        <v/>
      </c>
      <c r="V1936" t="s">
        <v>290</v>
      </c>
      <c r="W1936" t="str">
        <f>""</f>
        <v/>
      </c>
      <c r="X1936" t="s">
        <v>155</v>
      </c>
      <c r="Y1936" t="s">
        <v>141</v>
      </c>
      <c r="Z1936" s="3">
        <v>94043</v>
      </c>
      <c r="AA1936" t="s">
        <v>101</v>
      </c>
      <c r="AC1936" s="4" t="str">
        <f>"+16502534513"</f>
        <v>+16502534513</v>
      </c>
      <c r="AE1936" t="str">
        <f>"541512"</f>
        <v>541512</v>
      </c>
      <c r="AF1936" t="s">
        <v>891</v>
      </c>
      <c r="AG1936" t="s">
        <v>892</v>
      </c>
      <c r="AI1936" t="s">
        <v>893</v>
      </c>
      <c r="AJ1936" t="s">
        <v>290</v>
      </c>
      <c r="AK1936" t="str">
        <f>""</f>
        <v/>
      </c>
      <c r="AL1936" t="s">
        <v>155</v>
      </c>
      <c r="AM1936" t="s">
        <v>141</v>
      </c>
      <c r="AN1936" s="3">
        <v>94043</v>
      </c>
      <c r="AO1936" t="s">
        <v>101</v>
      </c>
      <c r="AQ1936" t="str">
        <f>"+16502534513"</f>
        <v>+16502534513</v>
      </c>
      <c r="AS1936" t="s">
        <v>429</v>
      </c>
      <c r="AT1936" t="s">
        <v>107</v>
      </c>
      <c r="AU1936" t="str">
        <f>"LOPEZ"</f>
        <v>LOPEZ</v>
      </c>
      <c r="AV1936" t="str">
        <f>"FRANCISCO"</f>
        <v>FRANCISCO</v>
      </c>
      <c r="AW1936" t="str">
        <f>"JAVIER"</f>
        <v>JAVIER</v>
      </c>
      <c r="AX1936" t="str">
        <f>"2400 N GLENVILLE DRIVE"</f>
        <v>2400 N GLENVILLE DRIVE</v>
      </c>
      <c r="AY1936" t="str">
        <f>"BUILDING A, SUITE 100"</f>
        <v>BUILDING A, SUITE 100</v>
      </c>
      <c r="AZ1936" t="str">
        <f>"RICHARDSON"</f>
        <v>RICHARDSON</v>
      </c>
      <c r="BA1936" t="str">
        <f>"TX"</f>
        <v>TX</v>
      </c>
      <c r="BB1936" s="3">
        <v>75082</v>
      </c>
      <c r="BC1936" t="str">
        <f>"UNITED STATES OF AMERICA"</f>
        <v>UNITED STATES OF AMERICA</v>
      </c>
      <c r="BD1936" t="str">
        <f>""</f>
        <v/>
      </c>
      <c r="BE1936" t="str">
        <f>"+14695052647"</f>
        <v>+14695052647</v>
      </c>
      <c r="BF1936" t="str">
        <f>""</f>
        <v/>
      </c>
      <c r="BG1936" t="str">
        <f>"GOOGLEDOL@BALGLOBAL.COM"</f>
        <v>GOOGLEDOL@BALGLOBAL.COM</v>
      </c>
      <c r="BH1936" t="str">
        <f>"BERRY APPLEMAN &amp; LEIDEN LLP"</f>
        <v>BERRY APPLEMAN &amp; LEIDEN LLP</v>
      </c>
      <c r="BI1936" t="str">
        <f>"DC"</f>
        <v>DC</v>
      </c>
      <c r="BJ1936" t="str">
        <f>"COURT OF APPEALS"</f>
        <v>COURT OF APPEALS</v>
      </c>
      <c r="BK1936">
        <v>1</v>
      </c>
      <c r="BL1936" t="s">
        <v>102</v>
      </c>
      <c r="BM1936" t="str">
        <f>""</f>
        <v/>
      </c>
      <c r="BN1936" t="s">
        <v>2749</v>
      </c>
      <c r="BP1936" t="s">
        <v>229</v>
      </c>
      <c r="BQ1936" t="s">
        <v>230</v>
      </c>
      <c r="BR1936" t="s">
        <v>141</v>
      </c>
      <c r="BS1936" s="5">
        <v>94089</v>
      </c>
      <c r="BT1936" s="2">
        <v>160000</v>
      </c>
      <c r="BV1936" t="s">
        <v>105</v>
      </c>
      <c r="BW1936" s="2">
        <v>120578</v>
      </c>
      <c r="BX1936" t="s">
        <v>105</v>
      </c>
      <c r="BZ1936" t="s">
        <v>167</v>
      </c>
      <c r="CA1936" t="str">
        <f t="shared" si="158"/>
        <v>7/1/2020 - 6/30/2021</v>
      </c>
      <c r="CF1936">
        <v>2</v>
      </c>
      <c r="CG1936" t="s">
        <v>98</v>
      </c>
      <c r="CH1936" t="s">
        <v>206</v>
      </c>
      <c r="CI1936" t="s">
        <v>206</v>
      </c>
      <c r="CL1936" t="s">
        <v>108</v>
      </c>
      <c r="CM1936" t="s">
        <v>109</v>
      </c>
      <c r="CN1936" t="str">
        <f>"GALVEZ"</f>
        <v>GALVEZ</v>
      </c>
      <c r="CO1936" t="str">
        <f>"ADRIAN"</f>
        <v>ADRIAN</v>
      </c>
      <c r="CP1936" t="str">
        <f>""</f>
        <v/>
      </c>
      <c r="CQ1936" t="str">
        <f>"BERRY APPLEMAN &amp; LEIDEN LLP"</f>
        <v>BERRY APPLEMAN &amp; LEIDEN LLP</v>
      </c>
      <c r="CR1936" t="s">
        <v>896</v>
      </c>
    </row>
    <row r="1937" spans="1:96" x14ac:dyDescent="0.2">
      <c r="A1937" t="s">
        <v>9813</v>
      </c>
      <c r="B1937" t="s">
        <v>96</v>
      </c>
      <c r="C1937" s="1">
        <v>44099</v>
      </c>
      <c r="D1937" s="1">
        <v>44106</v>
      </c>
      <c r="F1937" t="s">
        <v>97</v>
      </c>
      <c r="G1937" t="str">
        <f>"SR. SOFTWARE ENGINEER - BUSINESS INTELLIGENCE "</f>
        <v xml:space="preserve">SR. SOFTWARE ENGINEER - BUSINESS INTELLIGENCE </v>
      </c>
      <c r="H1937" t="s">
        <v>12169</v>
      </c>
      <c r="I1937" t="s">
        <v>124</v>
      </c>
      <c r="J1937" t="s">
        <v>98</v>
      </c>
      <c r="K1937" s="1">
        <v>44196</v>
      </c>
      <c r="L1937" s="1">
        <v>45290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 t="s">
        <v>9814</v>
      </c>
      <c r="U1937" t="str">
        <f>""</f>
        <v/>
      </c>
      <c r="V1937" t="s">
        <v>9815</v>
      </c>
      <c r="W1937" t="str">
        <f>"STE 102"</f>
        <v>STE 102</v>
      </c>
      <c r="X1937" t="s">
        <v>2701</v>
      </c>
      <c r="Y1937" t="s">
        <v>345</v>
      </c>
      <c r="Z1937" s="3">
        <v>60563</v>
      </c>
      <c r="AA1937" t="s">
        <v>101</v>
      </c>
      <c r="AC1937" s="4" t="str">
        <f>"+16302069511"</f>
        <v>+16302069511</v>
      </c>
      <c r="AE1937" t="str">
        <f>"541511"</f>
        <v>541511</v>
      </c>
      <c r="AF1937" t="s">
        <v>9816</v>
      </c>
      <c r="AG1937" t="s">
        <v>1516</v>
      </c>
      <c r="AI1937" t="s">
        <v>4107</v>
      </c>
      <c r="AJ1937" t="s">
        <v>9815</v>
      </c>
      <c r="AK1937" t="str">
        <f>"SUITE 102"</f>
        <v>SUITE 102</v>
      </c>
      <c r="AL1937" t="s">
        <v>2701</v>
      </c>
      <c r="AM1937" t="s">
        <v>345</v>
      </c>
      <c r="AN1937" s="3">
        <v>60563</v>
      </c>
      <c r="AO1937" t="s">
        <v>101</v>
      </c>
      <c r="AQ1937" t="str">
        <f>"+16302069511"</f>
        <v>+16302069511</v>
      </c>
      <c r="AS1937" t="s">
        <v>9817</v>
      </c>
      <c r="AT1937" t="s">
        <v>102</v>
      </c>
      <c r="AU1937" t="str">
        <f>""</f>
        <v/>
      </c>
      <c r="AV1937" t="str">
        <f>""</f>
        <v/>
      </c>
      <c r="AW1937" t="str">
        <f>""</f>
        <v/>
      </c>
      <c r="AX1937" t="str">
        <f>""</f>
        <v/>
      </c>
      <c r="AY1937" t="str">
        <f>""</f>
        <v/>
      </c>
      <c r="AZ1937" t="str">
        <f>""</f>
        <v/>
      </c>
      <c r="BA1937" t="str">
        <f>""</f>
        <v/>
      </c>
      <c r="BC1937" t="str">
        <f>""</f>
        <v/>
      </c>
      <c r="BD1937" t="str">
        <f>""</f>
        <v/>
      </c>
      <c r="BE1937" t="str">
        <f>""</f>
        <v/>
      </c>
      <c r="BF1937" t="str">
        <f>""</f>
        <v/>
      </c>
      <c r="BG1937" t="str">
        <f>""</f>
        <v/>
      </c>
      <c r="BH1937" t="str">
        <f>""</f>
        <v/>
      </c>
      <c r="BI1937" t="str">
        <f>""</f>
        <v/>
      </c>
      <c r="BJ1937" t="str">
        <f>""</f>
        <v/>
      </c>
      <c r="BK1937">
        <v>1</v>
      </c>
      <c r="BL1937" t="s">
        <v>107</v>
      </c>
      <c r="BM1937" t="str">
        <f>"INVISIO CORPORATION"</f>
        <v>INVISIO CORPORATION</v>
      </c>
      <c r="BN1937" t="s">
        <v>9818</v>
      </c>
      <c r="BP1937" t="s">
        <v>197</v>
      </c>
      <c r="BQ1937" t="s">
        <v>183</v>
      </c>
      <c r="BR1937" t="s">
        <v>176</v>
      </c>
      <c r="BS1937" s="5">
        <v>98004</v>
      </c>
      <c r="BT1937" s="2">
        <v>120000</v>
      </c>
      <c r="BV1937" t="s">
        <v>105</v>
      </c>
      <c r="BW1937" s="2">
        <v>113110</v>
      </c>
      <c r="BX1937" t="s">
        <v>105</v>
      </c>
      <c r="BZ1937" t="s">
        <v>167</v>
      </c>
      <c r="CA1937" t="str">
        <f t="shared" si="158"/>
        <v>7/1/2020 - 6/30/2021</v>
      </c>
      <c r="CF1937">
        <v>1</v>
      </c>
      <c r="CG1937" t="s">
        <v>98</v>
      </c>
      <c r="CH1937" t="s">
        <v>206</v>
      </c>
      <c r="CI1937" t="s">
        <v>206</v>
      </c>
      <c r="CL1937" t="s">
        <v>108</v>
      </c>
      <c r="CM1937" t="s">
        <v>109</v>
      </c>
      <c r="CN1937" t="str">
        <f>""</f>
        <v/>
      </c>
      <c r="CO1937" t="str">
        <f>""</f>
        <v/>
      </c>
      <c r="CP1937" t="str">
        <f>""</f>
        <v/>
      </c>
      <c r="CQ1937" t="str">
        <f>""</f>
        <v/>
      </c>
    </row>
    <row r="1938" spans="1:96" x14ac:dyDescent="0.2">
      <c r="A1938" t="s">
        <v>9829</v>
      </c>
      <c r="B1938" t="s">
        <v>96</v>
      </c>
      <c r="C1938" s="1">
        <v>44099</v>
      </c>
      <c r="D1938" s="1">
        <v>44106</v>
      </c>
      <c r="F1938" t="s">
        <v>97</v>
      </c>
      <c r="G1938" t="str">
        <f>"Senior Software Engineer"</f>
        <v>Senior Software Engineer</v>
      </c>
      <c r="H1938" t="s">
        <v>12169</v>
      </c>
      <c r="I1938" t="s">
        <v>124</v>
      </c>
      <c r="J1938" t="s">
        <v>98</v>
      </c>
      <c r="K1938" s="1">
        <v>44116</v>
      </c>
      <c r="L1938" s="1">
        <v>45210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7992</v>
      </c>
      <c r="U1938" t="str">
        <f>""</f>
        <v/>
      </c>
      <c r="V1938" t="s">
        <v>3433</v>
      </c>
      <c r="W1938" t="str">
        <f>""</f>
        <v/>
      </c>
      <c r="X1938" t="s">
        <v>847</v>
      </c>
      <c r="Y1938" t="s">
        <v>215</v>
      </c>
      <c r="Z1938" s="3">
        <v>30005</v>
      </c>
      <c r="AA1938" t="s">
        <v>101</v>
      </c>
      <c r="AC1938" s="4" t="str">
        <f>"+16786946873"</f>
        <v>+16786946873</v>
      </c>
      <c r="AE1938" t="str">
        <f>"51119"</f>
        <v>51119</v>
      </c>
      <c r="AF1938" t="s">
        <v>3434</v>
      </c>
      <c r="AG1938" t="s">
        <v>3435</v>
      </c>
      <c r="AI1938" t="s">
        <v>3436</v>
      </c>
      <c r="AJ1938" t="s">
        <v>3433</v>
      </c>
      <c r="AK1938" t="str">
        <f>""</f>
        <v/>
      </c>
      <c r="AL1938" t="s">
        <v>847</v>
      </c>
      <c r="AM1938" t="s">
        <v>215</v>
      </c>
      <c r="AN1938" s="3">
        <v>30005</v>
      </c>
      <c r="AO1938" t="s">
        <v>101</v>
      </c>
      <c r="AQ1938" t="str">
        <f>"+16786946873"</f>
        <v>+16786946873</v>
      </c>
      <c r="AS1938" t="s">
        <v>3437</v>
      </c>
      <c r="AT1938" t="s">
        <v>107</v>
      </c>
      <c r="AU1938" t="str">
        <f>"Hoops"</f>
        <v>Hoops</v>
      </c>
      <c r="AV1938" t="str">
        <f>"Michael"</f>
        <v>Michael</v>
      </c>
      <c r="AW1938" t="str">
        <f>"William"</f>
        <v>William</v>
      </c>
      <c r="AX1938" t="str">
        <f>"1540 Broadway"</f>
        <v>1540 Broadway</v>
      </c>
      <c r="AY1938" t="str">
        <f>""</f>
        <v/>
      </c>
      <c r="AZ1938" t="str">
        <f>"New York"</f>
        <v>New York</v>
      </c>
      <c r="BA1938" t="str">
        <f>"NY"</f>
        <v>NY</v>
      </c>
      <c r="BB1938" s="3">
        <v>10036</v>
      </c>
      <c r="BC1938" t="str">
        <f>"UNITED STATES OF AMERICA"</f>
        <v>UNITED STATES OF AMERICA</v>
      </c>
      <c r="BD1938" t="str">
        <f>""</f>
        <v/>
      </c>
      <c r="BE1938" t="str">
        <f>"+12124711846"</f>
        <v>+12124711846</v>
      </c>
      <c r="BF1938" t="str">
        <f>""</f>
        <v/>
      </c>
      <c r="BG1938" t="str">
        <f>"mwhoops@duanemorris.com"</f>
        <v>mwhoops@duanemorris.com</v>
      </c>
      <c r="BH1938" t="str">
        <f>"Duane Morris LLP"</f>
        <v>Duane Morris LLP</v>
      </c>
      <c r="BI1938" t="str">
        <f>"NY"</f>
        <v>NY</v>
      </c>
      <c r="BJ1938" t="str">
        <f>"Second Appellate Division"</f>
        <v>Second Appellate Division</v>
      </c>
      <c r="BK1938">
        <v>1</v>
      </c>
      <c r="BL1938" t="s">
        <v>102</v>
      </c>
      <c r="BM1938" t="str">
        <f>""</f>
        <v/>
      </c>
      <c r="BN1938" t="s">
        <v>9830</v>
      </c>
      <c r="BP1938" t="s">
        <v>175</v>
      </c>
      <c r="BQ1938" t="s">
        <v>183</v>
      </c>
      <c r="BR1938" t="s">
        <v>176</v>
      </c>
      <c r="BS1938" s="5">
        <v>98052</v>
      </c>
      <c r="BT1938" s="2">
        <v>106265</v>
      </c>
      <c r="BV1938" t="s">
        <v>105</v>
      </c>
      <c r="BW1938" s="2">
        <v>106265</v>
      </c>
      <c r="BX1938" t="s">
        <v>105</v>
      </c>
      <c r="CA1938" t="str">
        <f>""</f>
        <v/>
      </c>
      <c r="CB1938" t="s">
        <v>244</v>
      </c>
      <c r="CC1938">
        <v>2019</v>
      </c>
      <c r="CD1938" t="s">
        <v>245</v>
      </c>
      <c r="CE1938" t="s">
        <v>5365</v>
      </c>
      <c r="CF1938">
        <v>1</v>
      </c>
      <c r="CG1938" t="s">
        <v>98</v>
      </c>
      <c r="CH1938" t="s">
        <v>206</v>
      </c>
      <c r="CI1938" t="s">
        <v>206</v>
      </c>
      <c r="CL1938" t="s">
        <v>108</v>
      </c>
      <c r="CM1938" t="s">
        <v>109</v>
      </c>
      <c r="CN1938" t="str">
        <f>""</f>
        <v/>
      </c>
      <c r="CO1938" t="str">
        <f>""</f>
        <v/>
      </c>
      <c r="CP1938" t="str">
        <f>""</f>
        <v/>
      </c>
      <c r="CQ1938" t="str">
        <f>""</f>
        <v/>
      </c>
    </row>
    <row r="1939" spans="1:96" x14ac:dyDescent="0.2">
      <c r="A1939" t="s">
        <v>9847</v>
      </c>
      <c r="B1939" t="s">
        <v>96</v>
      </c>
      <c r="C1939" s="1">
        <v>44099</v>
      </c>
      <c r="D1939" s="1">
        <v>44106</v>
      </c>
      <c r="F1939" t="s">
        <v>97</v>
      </c>
      <c r="G1939" t="str">
        <f>"LEO Intermittent Lecturer"</f>
        <v>LEO Intermittent Lecturer</v>
      </c>
      <c r="H1939" t="s">
        <v>12243</v>
      </c>
      <c r="I1939" t="s">
        <v>3296</v>
      </c>
      <c r="J1939" t="s">
        <v>98</v>
      </c>
      <c r="K1939" s="1">
        <v>44123</v>
      </c>
      <c r="L1939" s="1">
        <v>44183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 t="s">
        <v>2046</v>
      </c>
      <c r="U1939" t="str">
        <f>""</f>
        <v/>
      </c>
      <c r="V1939" t="s">
        <v>3704</v>
      </c>
      <c r="W1939" t="str">
        <f>"515 E. Jefferson Street, 1500 SAB"</f>
        <v>515 E. Jefferson Street, 1500 SAB</v>
      </c>
      <c r="X1939" t="s">
        <v>2047</v>
      </c>
      <c r="Y1939" t="s">
        <v>265</v>
      </c>
      <c r="Z1939" s="3">
        <v>48109</v>
      </c>
      <c r="AA1939" t="s">
        <v>101</v>
      </c>
      <c r="AC1939" s="4" t="str">
        <f>"+17347634081"</f>
        <v>+17347634081</v>
      </c>
      <c r="AE1939" t="str">
        <f>"611310"</f>
        <v>611310</v>
      </c>
      <c r="AF1939" t="s">
        <v>3705</v>
      </c>
      <c r="AG1939" t="s">
        <v>3706</v>
      </c>
      <c r="AH1939" t="s">
        <v>3707</v>
      </c>
      <c r="AI1939" t="s">
        <v>3708</v>
      </c>
      <c r="AJ1939" t="s">
        <v>3704</v>
      </c>
      <c r="AK1939" t="str">
        <f>"515 E. Jefferson Street, 1500 SAB"</f>
        <v>515 E. Jefferson Street, 1500 SAB</v>
      </c>
      <c r="AL1939" t="s">
        <v>2047</v>
      </c>
      <c r="AM1939" t="s">
        <v>265</v>
      </c>
      <c r="AN1939" s="3">
        <v>48109</v>
      </c>
      <c r="AO1939" t="s">
        <v>101</v>
      </c>
      <c r="AQ1939" t="str">
        <f>"+17347634081"</f>
        <v>+17347634081</v>
      </c>
      <c r="AS1939" t="s">
        <v>3709</v>
      </c>
      <c r="AT1939" t="s">
        <v>102</v>
      </c>
      <c r="AU1939" t="str">
        <f>""</f>
        <v/>
      </c>
      <c r="AV1939" t="str">
        <f>""</f>
        <v/>
      </c>
      <c r="AW1939" t="str">
        <f>""</f>
        <v/>
      </c>
      <c r="AX1939" t="str">
        <f>""</f>
        <v/>
      </c>
      <c r="AY1939" t="str">
        <f>""</f>
        <v/>
      </c>
      <c r="AZ1939" t="str">
        <f>""</f>
        <v/>
      </c>
      <c r="BA1939" t="str">
        <f>""</f>
        <v/>
      </c>
      <c r="BC1939" t="str">
        <f>""</f>
        <v/>
      </c>
      <c r="BD1939" t="str">
        <f>""</f>
        <v/>
      </c>
      <c r="BE1939" t="str">
        <f>""</f>
        <v/>
      </c>
      <c r="BF1939" t="str">
        <f>""</f>
        <v/>
      </c>
      <c r="BG1939" t="str">
        <f>""</f>
        <v/>
      </c>
      <c r="BH1939" t="str">
        <f>""</f>
        <v/>
      </c>
      <c r="BI1939" t="str">
        <f>""</f>
        <v/>
      </c>
      <c r="BJ1939" t="str">
        <f>""</f>
        <v/>
      </c>
      <c r="BK1939">
        <v>1</v>
      </c>
      <c r="BL1939" t="s">
        <v>102</v>
      </c>
      <c r="BM1939" t="str">
        <f>""</f>
        <v/>
      </c>
      <c r="BN1939" t="s">
        <v>9848</v>
      </c>
      <c r="BO1939" t="s">
        <v>9849</v>
      </c>
      <c r="BP1939" t="s">
        <v>277</v>
      </c>
      <c r="BQ1939" t="s">
        <v>189</v>
      </c>
      <c r="BR1939" t="s">
        <v>190</v>
      </c>
      <c r="BS1939" s="5">
        <v>10014</v>
      </c>
      <c r="BT1939" s="2">
        <v>230700</v>
      </c>
      <c r="BV1939" t="s">
        <v>105</v>
      </c>
      <c r="BW1939" s="2">
        <v>51000</v>
      </c>
      <c r="BX1939" t="s">
        <v>105</v>
      </c>
      <c r="CA1939" t="str">
        <f>""</f>
        <v/>
      </c>
      <c r="CB1939" t="s">
        <v>106</v>
      </c>
      <c r="CC1939">
        <v>2020</v>
      </c>
      <c r="CF1939">
        <v>1</v>
      </c>
      <c r="CG1939" t="s">
        <v>98</v>
      </c>
      <c r="CH1939" t="s">
        <v>206</v>
      </c>
      <c r="CI1939" t="s">
        <v>206</v>
      </c>
      <c r="CL1939" t="s">
        <v>108</v>
      </c>
      <c r="CM1939" t="s">
        <v>109</v>
      </c>
      <c r="CN1939" t="str">
        <f>""</f>
        <v/>
      </c>
      <c r="CO1939" t="str">
        <f>""</f>
        <v/>
      </c>
      <c r="CP1939" t="str">
        <f>""</f>
        <v/>
      </c>
      <c r="CQ1939" t="str">
        <f>""</f>
        <v/>
      </c>
    </row>
    <row r="1940" spans="1:96" x14ac:dyDescent="0.2">
      <c r="A1940" t="s">
        <v>9867</v>
      </c>
      <c r="B1940" t="s">
        <v>96</v>
      </c>
      <c r="C1940" s="1">
        <v>44099</v>
      </c>
      <c r="D1940" s="1">
        <v>44106</v>
      </c>
      <c r="F1940" t="s">
        <v>97</v>
      </c>
      <c r="G1940" t="str">
        <f>"Data Analyst"</f>
        <v>Data Analyst</v>
      </c>
      <c r="H1940" t="s">
        <v>12174</v>
      </c>
      <c r="I1940" t="s">
        <v>1795</v>
      </c>
      <c r="J1940" t="s">
        <v>98</v>
      </c>
      <c r="K1940" s="1">
        <v>44105</v>
      </c>
      <c r="L1940" s="1">
        <v>45199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9868</v>
      </c>
      <c r="U1940" t="str">
        <f>""</f>
        <v/>
      </c>
      <c r="V1940" t="s">
        <v>9869</v>
      </c>
      <c r="W1940" t="str">
        <f>"Apt 4G"</f>
        <v>Apt 4G</v>
      </c>
      <c r="X1940" t="s">
        <v>1791</v>
      </c>
      <c r="Y1940" t="s">
        <v>190</v>
      </c>
      <c r="Z1940" s="3">
        <v>11249</v>
      </c>
      <c r="AA1940" t="s">
        <v>101</v>
      </c>
      <c r="AC1940" s="4" t="str">
        <f>"+19293555134"</f>
        <v>+19293555134</v>
      </c>
      <c r="AE1940" t="str">
        <f>"523910"</f>
        <v>523910</v>
      </c>
      <c r="AF1940" t="s">
        <v>1834</v>
      </c>
      <c r="AG1940" t="s">
        <v>9870</v>
      </c>
      <c r="AI1940" t="s">
        <v>4923</v>
      </c>
      <c r="AJ1940" t="s">
        <v>9869</v>
      </c>
      <c r="AK1940" t="str">
        <f>"Apt 4G"</f>
        <v>Apt 4G</v>
      </c>
      <c r="AL1940" t="s">
        <v>1791</v>
      </c>
      <c r="AM1940" t="s">
        <v>190</v>
      </c>
      <c r="AN1940" s="3">
        <v>11249</v>
      </c>
      <c r="AO1940" t="s">
        <v>101</v>
      </c>
      <c r="AQ1940" t="str">
        <f>"+19293555134"</f>
        <v>+19293555134</v>
      </c>
      <c r="AS1940" t="s">
        <v>9871</v>
      </c>
      <c r="AT1940" t="s">
        <v>107</v>
      </c>
      <c r="AU1940" t="str">
        <f>"Lockhart"</f>
        <v>Lockhart</v>
      </c>
      <c r="AV1940" t="str">
        <f>"Dorothea"</f>
        <v>Dorothea</v>
      </c>
      <c r="AW1940" t="str">
        <f>""</f>
        <v/>
      </c>
      <c r="AX1940" t="str">
        <f>"1 Rockefeller Plaza"</f>
        <v>1 Rockefeller Plaza</v>
      </c>
      <c r="AY1940" t="str">
        <f>"Suite 1060"</f>
        <v>Suite 1060</v>
      </c>
      <c r="AZ1940" t="str">
        <f>"New York"</f>
        <v>New York</v>
      </c>
      <c r="BA1940" t="str">
        <f>"NY"</f>
        <v>NY</v>
      </c>
      <c r="BB1940" s="3">
        <v>10020</v>
      </c>
      <c r="BC1940" t="str">
        <f t="shared" ref="BC1940:BC1948" si="159">"UNITED STATES OF AMERICA"</f>
        <v>UNITED STATES OF AMERICA</v>
      </c>
      <c r="BD1940" t="str">
        <f>""</f>
        <v/>
      </c>
      <c r="BE1940" t="str">
        <f>"+19176336860"</f>
        <v>+19176336860</v>
      </c>
      <c r="BF1940" t="str">
        <f>""</f>
        <v/>
      </c>
      <c r="BG1940" t="str">
        <f>"dlockhart@dgwllp.com"</f>
        <v>dlockhart@dgwllp.com</v>
      </c>
      <c r="BH1940" t="str">
        <f>"DGW Kramer LLP"</f>
        <v>DGW Kramer LLP</v>
      </c>
      <c r="BI1940" t="str">
        <f>"NY"</f>
        <v>NY</v>
      </c>
      <c r="BJ1940" t="str">
        <f>"Court of Appeals"</f>
        <v>Court of Appeals</v>
      </c>
      <c r="BK1940">
        <v>1</v>
      </c>
      <c r="BL1940" t="s">
        <v>102</v>
      </c>
      <c r="BM1940" t="str">
        <f>""</f>
        <v/>
      </c>
      <c r="BN1940" t="s">
        <v>9872</v>
      </c>
      <c r="BP1940" t="s">
        <v>1791</v>
      </c>
      <c r="BQ1940" t="s">
        <v>1792</v>
      </c>
      <c r="BR1940" t="s">
        <v>190</v>
      </c>
      <c r="BS1940" s="5">
        <v>11249</v>
      </c>
      <c r="BT1940" s="2">
        <v>23</v>
      </c>
      <c r="BV1940" t="s">
        <v>210</v>
      </c>
      <c r="BW1940" s="2">
        <v>22.88</v>
      </c>
      <c r="BX1940" t="s">
        <v>210</v>
      </c>
      <c r="BZ1940" t="s">
        <v>191</v>
      </c>
      <c r="CA1940" t="str">
        <f t="shared" ref="CA1940:CA1967" si="160">"7/1/2020 - 6/30/2021"</f>
        <v>7/1/2020 - 6/30/2021</v>
      </c>
      <c r="CF1940">
        <v>1</v>
      </c>
      <c r="CG1940" t="s">
        <v>98</v>
      </c>
      <c r="CH1940" t="s">
        <v>206</v>
      </c>
      <c r="CI1940" t="s">
        <v>206</v>
      </c>
      <c r="CL1940" t="s">
        <v>108</v>
      </c>
      <c r="CM1940" t="s">
        <v>109</v>
      </c>
      <c r="CN1940" t="str">
        <f>""</f>
        <v/>
      </c>
      <c r="CO1940" t="str">
        <f>""</f>
        <v/>
      </c>
      <c r="CP1940" t="str">
        <f>""</f>
        <v/>
      </c>
      <c r="CQ1940" t="str">
        <f>""</f>
        <v/>
      </c>
    </row>
    <row r="1941" spans="1:96" x14ac:dyDescent="0.2">
      <c r="A1941" t="s">
        <v>9889</v>
      </c>
      <c r="B1941" t="s">
        <v>96</v>
      </c>
      <c r="C1941" s="1">
        <v>44099</v>
      </c>
      <c r="D1941" s="1">
        <v>44106</v>
      </c>
      <c r="F1941" t="s">
        <v>97</v>
      </c>
      <c r="G1941" t="str">
        <f>"Engineer III"</f>
        <v>Engineer III</v>
      </c>
      <c r="H1941" t="s">
        <v>12169</v>
      </c>
      <c r="I1941" t="s">
        <v>124</v>
      </c>
      <c r="J1941" t="s">
        <v>98</v>
      </c>
      <c r="K1941" s="1">
        <v>44281</v>
      </c>
      <c r="L1941" s="1">
        <v>45376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 t="s">
        <v>3092</v>
      </c>
      <c r="U1941" t="str">
        <f>""</f>
        <v/>
      </c>
      <c r="V1941" t="s">
        <v>3093</v>
      </c>
      <c r="W1941" t="str">
        <f>""</f>
        <v/>
      </c>
      <c r="X1941" t="s">
        <v>794</v>
      </c>
      <c r="Y1941" t="s">
        <v>352</v>
      </c>
      <c r="Z1941" s="3">
        <v>46204</v>
      </c>
      <c r="AA1941" t="s">
        <v>101</v>
      </c>
      <c r="AC1941" s="4" t="str">
        <f>"+12124761343"</f>
        <v>+12124761343</v>
      </c>
      <c r="AE1941" t="str">
        <f>"524114"</f>
        <v>524114</v>
      </c>
      <c r="AF1941" t="s">
        <v>3094</v>
      </c>
      <c r="AG1941" t="s">
        <v>3095</v>
      </c>
      <c r="AH1941" t="s">
        <v>320</v>
      </c>
      <c r="AI1941" t="s">
        <v>3096</v>
      </c>
      <c r="AJ1941" t="s">
        <v>3097</v>
      </c>
      <c r="AK1941" t="str">
        <f>"Suite 200"</f>
        <v>Suite 200</v>
      </c>
      <c r="AL1941" t="s">
        <v>1775</v>
      </c>
      <c r="AM1941" t="s">
        <v>1776</v>
      </c>
      <c r="AN1941" s="3">
        <v>19801</v>
      </c>
      <c r="AO1941" t="s">
        <v>101</v>
      </c>
      <c r="AQ1941" t="str">
        <f>"+12124761343"</f>
        <v>+12124761343</v>
      </c>
      <c r="AS1941" t="s">
        <v>3098</v>
      </c>
      <c r="AT1941" t="s">
        <v>107</v>
      </c>
      <c r="AU1941" t="str">
        <f>"Love"</f>
        <v>Love</v>
      </c>
      <c r="AV1941" t="str">
        <f>"Ian"</f>
        <v>Ian</v>
      </c>
      <c r="AW1941" t="str">
        <f>"M."</f>
        <v>M.</v>
      </c>
      <c r="AX1941" t="str">
        <f>"230 W. Monroe St."</f>
        <v>230 W. Monroe St.</v>
      </c>
      <c r="AY1941" t="str">
        <f>"Suite 2800"</f>
        <v>Suite 2800</v>
      </c>
      <c r="AZ1941" t="str">
        <f>"Chicago"</f>
        <v>Chicago</v>
      </c>
      <c r="BA1941" t="str">
        <f>"IL"</f>
        <v>IL</v>
      </c>
      <c r="BB1941" s="3">
        <v>60606</v>
      </c>
      <c r="BC1941" t="str">
        <f t="shared" si="159"/>
        <v>UNITED STATES OF AMERICA</v>
      </c>
      <c r="BD1941" t="str">
        <f>""</f>
        <v/>
      </c>
      <c r="BE1941" t="str">
        <f>"+13127226300"</f>
        <v>+13127226300</v>
      </c>
      <c r="BF1941" t="str">
        <f>""</f>
        <v/>
      </c>
      <c r="BG1941" t="str">
        <f>"gov@giafirm.com"</f>
        <v>gov@giafirm.com</v>
      </c>
      <c r="BH1941" t="str">
        <f>"Global Immigration Associates, P.C."</f>
        <v>Global Immigration Associates, P.C.</v>
      </c>
      <c r="BI1941" t="str">
        <f>"IL"</f>
        <v>IL</v>
      </c>
      <c r="BJ1941" t="str">
        <f>"Supreme Court"</f>
        <v>Supreme Court</v>
      </c>
      <c r="BK1941">
        <v>1</v>
      </c>
      <c r="BL1941" t="s">
        <v>102</v>
      </c>
      <c r="BM1941" t="str">
        <f>""</f>
        <v/>
      </c>
      <c r="BN1941" t="s">
        <v>3386</v>
      </c>
      <c r="BP1941" t="s">
        <v>213</v>
      </c>
      <c r="BQ1941" t="s">
        <v>214</v>
      </c>
      <c r="BR1941" t="s">
        <v>215</v>
      </c>
      <c r="BS1941" s="5">
        <v>30308</v>
      </c>
      <c r="BT1941" s="2">
        <v>85842</v>
      </c>
      <c r="BU1941" s="2">
        <v>102452.75</v>
      </c>
      <c r="BV1941" t="s">
        <v>105</v>
      </c>
      <c r="BW1941" s="2">
        <v>85842</v>
      </c>
      <c r="BX1941" t="s">
        <v>105</v>
      </c>
      <c r="BZ1941" t="s">
        <v>167</v>
      </c>
      <c r="CA1941" t="str">
        <f t="shared" si="160"/>
        <v>7/1/2020 - 6/30/2021</v>
      </c>
      <c r="CF1941">
        <v>2</v>
      </c>
      <c r="CG1941" t="s">
        <v>98</v>
      </c>
      <c r="CH1941" t="s">
        <v>206</v>
      </c>
      <c r="CI1941" t="s">
        <v>206</v>
      </c>
      <c r="CL1941" t="s">
        <v>108</v>
      </c>
      <c r="CM1941" t="s">
        <v>353</v>
      </c>
      <c r="CN1941" t="str">
        <f>""</f>
        <v/>
      </c>
      <c r="CO1941" t="str">
        <f>""</f>
        <v/>
      </c>
      <c r="CP1941" t="str">
        <f>""</f>
        <v/>
      </c>
      <c r="CQ1941" t="str">
        <f>""</f>
        <v/>
      </c>
    </row>
    <row r="1942" spans="1:96" x14ac:dyDescent="0.2">
      <c r="A1942" t="s">
        <v>9908</v>
      </c>
      <c r="B1942" t="s">
        <v>96</v>
      </c>
      <c r="C1942" s="1">
        <v>44099</v>
      </c>
      <c r="D1942" s="1">
        <v>44106</v>
      </c>
      <c r="F1942" t="s">
        <v>97</v>
      </c>
      <c r="G1942" t="str">
        <f>"Statistical Scientist"</f>
        <v>Statistical Scientist</v>
      </c>
      <c r="H1942" t="s">
        <v>12180</v>
      </c>
      <c r="I1942" t="s">
        <v>390</v>
      </c>
      <c r="J1942" t="s">
        <v>98</v>
      </c>
      <c r="K1942" s="1">
        <v>44105</v>
      </c>
      <c r="L1942" s="1">
        <v>45199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3380</v>
      </c>
      <c r="U1942" t="str">
        <f>""</f>
        <v/>
      </c>
      <c r="V1942" t="s">
        <v>3381</v>
      </c>
      <c r="W1942" t="str">
        <f>"310 DNA Way, Bldg 31"</f>
        <v>310 DNA Way, Bldg 31</v>
      </c>
      <c r="X1942" t="s">
        <v>888</v>
      </c>
      <c r="Y1942" t="s">
        <v>141</v>
      </c>
      <c r="Z1942" s="3">
        <v>94080</v>
      </c>
      <c r="AA1942" t="s">
        <v>101</v>
      </c>
      <c r="AC1942" s="4" t="str">
        <f>"+16502251000"</f>
        <v>+16502251000</v>
      </c>
      <c r="AD1942">
        <v>0</v>
      </c>
      <c r="AE1942" t="str">
        <f>"54171"</f>
        <v>54171</v>
      </c>
      <c r="AF1942" t="s">
        <v>3122</v>
      </c>
      <c r="AG1942" t="s">
        <v>3123</v>
      </c>
      <c r="AI1942" t="s">
        <v>3124</v>
      </c>
      <c r="AJ1942" t="s">
        <v>3125</v>
      </c>
      <c r="AK1942" t="str">
        <f>"310 DNA WAY, BLDG. 31"</f>
        <v>310 DNA WAY, BLDG. 31</v>
      </c>
      <c r="AL1942" t="s">
        <v>3126</v>
      </c>
      <c r="AM1942" t="s">
        <v>141</v>
      </c>
      <c r="AN1942" s="3">
        <v>94080</v>
      </c>
      <c r="AO1942" t="s">
        <v>101</v>
      </c>
      <c r="AQ1942" t="str">
        <f>"+16504674302"</f>
        <v>+16504674302</v>
      </c>
      <c r="AR1942">
        <v>0</v>
      </c>
      <c r="AS1942" t="s">
        <v>3127</v>
      </c>
      <c r="AT1942" t="s">
        <v>107</v>
      </c>
      <c r="AU1942" t="str">
        <f>"Rivolta"</f>
        <v>Rivolta</v>
      </c>
      <c r="AV1942" t="str">
        <f>"Nicolo"</f>
        <v>Nicolo</v>
      </c>
      <c r="AW1942" t="str">
        <f>""</f>
        <v/>
      </c>
      <c r="AX1942" t="str">
        <f>"220 Montgomery Street"</f>
        <v>220 Montgomery Street</v>
      </c>
      <c r="AY1942" t="str">
        <f>"Suite 810"</f>
        <v>Suite 810</v>
      </c>
      <c r="AZ1942" t="str">
        <f>"San Francisco"</f>
        <v>San Francisco</v>
      </c>
      <c r="BA1942" t="str">
        <f>"CA"</f>
        <v>CA</v>
      </c>
      <c r="BB1942" s="3">
        <v>94104</v>
      </c>
      <c r="BC1942" t="str">
        <f t="shared" si="159"/>
        <v>UNITED STATES OF AMERICA</v>
      </c>
      <c r="BD1942" t="str">
        <f>""</f>
        <v/>
      </c>
      <c r="BE1942" t="str">
        <f>"+14159012270"</f>
        <v>+14159012270</v>
      </c>
      <c r="BF1942" t="str">
        <f>"000"</f>
        <v>000</v>
      </c>
      <c r="BG1942" t="str">
        <f>"nrivolta@gibney.com"</f>
        <v>nrivolta@gibney.com</v>
      </c>
      <c r="BH1942" t="str">
        <f>"Gibney, Anthony &amp; Flaherty LLP"</f>
        <v>Gibney, Anthony &amp; Flaherty LLP</v>
      </c>
      <c r="BI1942" t="str">
        <f>"CA"</f>
        <v>CA</v>
      </c>
      <c r="BJ1942" t="str">
        <f>"Supreme Court"</f>
        <v>Supreme Court</v>
      </c>
      <c r="BK1942">
        <v>1</v>
      </c>
      <c r="BL1942" t="s">
        <v>102</v>
      </c>
      <c r="BM1942" t="str">
        <f>""</f>
        <v/>
      </c>
      <c r="BN1942" t="s">
        <v>8078</v>
      </c>
      <c r="BO1942" t="s">
        <v>8079</v>
      </c>
      <c r="BP1942" t="s">
        <v>888</v>
      </c>
      <c r="BQ1942" t="s">
        <v>994</v>
      </c>
      <c r="BR1942" t="s">
        <v>141</v>
      </c>
      <c r="BS1942" s="5">
        <v>94080</v>
      </c>
      <c r="BT1942" s="2">
        <v>125965</v>
      </c>
      <c r="BU1942" s="2">
        <v>234600</v>
      </c>
      <c r="BV1942" t="s">
        <v>105</v>
      </c>
      <c r="BW1942" s="2">
        <v>125965</v>
      </c>
      <c r="BX1942" t="s">
        <v>105</v>
      </c>
      <c r="BZ1942" t="s">
        <v>123</v>
      </c>
      <c r="CA1942" t="str">
        <f t="shared" si="160"/>
        <v>7/1/2020 - 6/30/2021</v>
      </c>
      <c r="CF1942">
        <v>2</v>
      </c>
      <c r="CG1942" t="s">
        <v>98</v>
      </c>
      <c r="CH1942" t="s">
        <v>206</v>
      </c>
      <c r="CI1942" t="s">
        <v>206</v>
      </c>
      <c r="CL1942" t="s">
        <v>108</v>
      </c>
      <c r="CM1942" t="s">
        <v>109</v>
      </c>
      <c r="CN1942" t="str">
        <f>"Hayes (13004-01724-010/841A)"</f>
        <v>Hayes (13004-01724-010/841A)</v>
      </c>
      <c r="CO1942" t="str">
        <f>"Gabrielle"</f>
        <v>Gabrielle</v>
      </c>
      <c r="CP1942" t="str">
        <f>""</f>
        <v/>
      </c>
      <c r="CQ1942" t="str">
        <f>"Gibney, Anthony &amp; Flaherty, LLP"</f>
        <v>Gibney, Anthony &amp; Flaherty, LLP</v>
      </c>
      <c r="CR1942" t="s">
        <v>4279</v>
      </c>
    </row>
    <row r="1943" spans="1:96" x14ac:dyDescent="0.2">
      <c r="A1943" t="s">
        <v>9915</v>
      </c>
      <c r="B1943" t="s">
        <v>96</v>
      </c>
      <c r="C1943" s="1">
        <v>44099</v>
      </c>
      <c r="D1943" s="1">
        <v>44106</v>
      </c>
      <c r="F1943" t="s">
        <v>97</v>
      </c>
      <c r="G1943" t="str">
        <f>"Monitoring Consultant"</f>
        <v>Monitoring Consultant</v>
      </c>
      <c r="H1943" t="s">
        <v>12169</v>
      </c>
      <c r="I1943" t="s">
        <v>124</v>
      </c>
      <c r="J1943" t="s">
        <v>98</v>
      </c>
      <c r="K1943" s="1">
        <v>44109</v>
      </c>
      <c r="L1943" s="1">
        <v>45203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 t="s">
        <v>9916</v>
      </c>
      <c r="U1943" t="str">
        <f>""</f>
        <v/>
      </c>
      <c r="V1943" t="s">
        <v>9917</v>
      </c>
      <c r="W1943" t="str">
        <f>""</f>
        <v/>
      </c>
      <c r="X1943" t="s">
        <v>381</v>
      </c>
      <c r="Y1943" t="s">
        <v>195</v>
      </c>
      <c r="Z1943" s="3">
        <v>20850</v>
      </c>
      <c r="AA1943" t="s">
        <v>101</v>
      </c>
      <c r="AC1943" s="4" t="str">
        <f>"+19198934896"</f>
        <v>+19198934896</v>
      </c>
      <c r="AE1943" t="str">
        <f>"541511"</f>
        <v>541511</v>
      </c>
      <c r="AF1943" t="s">
        <v>9918</v>
      </c>
      <c r="AG1943" t="s">
        <v>9919</v>
      </c>
      <c r="AI1943" t="s">
        <v>508</v>
      </c>
      <c r="AJ1943" t="s">
        <v>9917</v>
      </c>
      <c r="AK1943" t="str">
        <f>""</f>
        <v/>
      </c>
      <c r="AL1943" t="s">
        <v>381</v>
      </c>
      <c r="AM1943" t="s">
        <v>195</v>
      </c>
      <c r="AN1943" s="3">
        <v>20850</v>
      </c>
      <c r="AO1943" t="s">
        <v>101</v>
      </c>
      <c r="AQ1943" t="str">
        <f>"+19198934896"</f>
        <v>+19198934896</v>
      </c>
      <c r="AS1943" t="s">
        <v>9920</v>
      </c>
      <c r="AT1943" t="s">
        <v>107</v>
      </c>
      <c r="AU1943" t="str">
        <f>"Uhrmacher, Esq."</f>
        <v>Uhrmacher, Esq.</v>
      </c>
      <c r="AV1943" t="str">
        <f>"Natalie"</f>
        <v>Natalie</v>
      </c>
      <c r="AW1943" t="str">
        <f>"Marie"</f>
        <v>Marie</v>
      </c>
      <c r="AX1943" t="str">
        <f>"7606 Transit Road, Suite 200"</f>
        <v>7606 Transit Road, Suite 200</v>
      </c>
      <c r="AY1943" t="str">
        <f>""</f>
        <v/>
      </c>
      <c r="AZ1943" t="str">
        <f>"Buffalo"</f>
        <v>Buffalo</v>
      </c>
      <c r="BA1943" t="str">
        <f>"NY"</f>
        <v>NY</v>
      </c>
      <c r="BB1943" s="3">
        <v>14221</v>
      </c>
      <c r="BC1943" t="str">
        <f t="shared" si="159"/>
        <v>UNITED STATES OF AMERICA</v>
      </c>
      <c r="BD1943" t="str">
        <f>""</f>
        <v/>
      </c>
      <c r="BE1943" t="str">
        <f>"+17166897770"</f>
        <v>+17166897770</v>
      </c>
      <c r="BF1943" t="str">
        <f>"106"</f>
        <v>106</v>
      </c>
      <c r="BG1943" t="str">
        <f>"nuhrmacher@malikpopiel.com"</f>
        <v>nuhrmacher@malikpopiel.com</v>
      </c>
      <c r="BH1943" t="str">
        <f>"Malik &amp; Popiel, P.C."</f>
        <v>Malik &amp; Popiel, P.C.</v>
      </c>
      <c r="BI1943" t="str">
        <f>"NY"</f>
        <v>NY</v>
      </c>
      <c r="BJ1943" t="str">
        <f>"NYS Supreme Court"</f>
        <v>NYS Supreme Court</v>
      </c>
      <c r="BK1943">
        <v>1</v>
      </c>
      <c r="BL1943" t="s">
        <v>107</v>
      </c>
      <c r="BM1943" t="str">
        <f>"Mastercard"</f>
        <v>Mastercard</v>
      </c>
      <c r="BN1943" t="s">
        <v>2845</v>
      </c>
      <c r="BP1943" t="s">
        <v>2846</v>
      </c>
      <c r="BQ1943" t="s">
        <v>373</v>
      </c>
      <c r="BR1943" t="s">
        <v>374</v>
      </c>
      <c r="BS1943" s="5">
        <v>63368</v>
      </c>
      <c r="BT1943" s="2">
        <v>100000</v>
      </c>
      <c r="BV1943" t="s">
        <v>105</v>
      </c>
      <c r="BW1943" s="2">
        <v>83637</v>
      </c>
      <c r="BX1943" t="s">
        <v>105</v>
      </c>
      <c r="BZ1943" t="s">
        <v>167</v>
      </c>
      <c r="CA1943" t="str">
        <f t="shared" si="160"/>
        <v>7/1/2020 - 6/30/2021</v>
      </c>
      <c r="CF1943">
        <v>2</v>
      </c>
      <c r="CG1943" t="s">
        <v>98</v>
      </c>
      <c r="CH1943" t="s">
        <v>206</v>
      </c>
      <c r="CI1943" t="s">
        <v>206</v>
      </c>
      <c r="CL1943" t="s">
        <v>108</v>
      </c>
      <c r="CM1943" t="s">
        <v>109</v>
      </c>
      <c r="CN1943" t="str">
        <f>"Uhrmacher"</f>
        <v>Uhrmacher</v>
      </c>
      <c r="CO1943" t="str">
        <f>"Natalie"</f>
        <v>Natalie</v>
      </c>
      <c r="CP1943" t="str">
        <f>"M"</f>
        <v>M</v>
      </c>
      <c r="CQ1943" t="str">
        <f>"Malik &amp; Popiel, P.C."</f>
        <v>Malik &amp; Popiel, P.C.</v>
      </c>
      <c r="CR1943" t="s">
        <v>8144</v>
      </c>
    </row>
    <row r="1944" spans="1:96" x14ac:dyDescent="0.2">
      <c r="A1944" t="s">
        <v>9925</v>
      </c>
      <c r="B1944" t="s">
        <v>96</v>
      </c>
      <c r="C1944" s="1">
        <v>44099</v>
      </c>
      <c r="D1944" s="1">
        <v>44106</v>
      </c>
      <c r="F1944" t="s">
        <v>97</v>
      </c>
      <c r="G1944" t="str">
        <f>"Research Scientist"</f>
        <v>Research Scientist</v>
      </c>
      <c r="H1944" t="s">
        <v>12290</v>
      </c>
      <c r="I1944" t="s">
        <v>2553</v>
      </c>
      <c r="J1944" t="s">
        <v>98</v>
      </c>
      <c r="K1944" s="1">
        <v>44105</v>
      </c>
      <c r="L1944" s="1">
        <v>45199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4230</v>
      </c>
      <c r="U1944" t="str">
        <f>""</f>
        <v/>
      </c>
      <c r="V1944" t="s">
        <v>4231</v>
      </c>
      <c r="W1944" t="str">
        <f>""</f>
        <v/>
      </c>
      <c r="X1944" t="s">
        <v>843</v>
      </c>
      <c r="Y1944" t="s">
        <v>345</v>
      </c>
      <c r="Z1944" s="3">
        <v>60607</v>
      </c>
      <c r="AA1944" t="s">
        <v>101</v>
      </c>
      <c r="AC1944" s="4" t="str">
        <f>"+13126249444"</f>
        <v>+13126249444</v>
      </c>
      <c r="AE1944" t="str">
        <f>"311511"</f>
        <v>311511</v>
      </c>
      <c r="AF1944" t="s">
        <v>4232</v>
      </c>
      <c r="AG1944" t="s">
        <v>1417</v>
      </c>
      <c r="AI1944" t="s">
        <v>298</v>
      </c>
      <c r="AJ1944" t="s">
        <v>4233</v>
      </c>
      <c r="AK1944" t="str">
        <f>""</f>
        <v/>
      </c>
      <c r="AL1944" t="s">
        <v>833</v>
      </c>
      <c r="AM1944" t="s">
        <v>345</v>
      </c>
      <c r="AN1944" s="3">
        <v>60607</v>
      </c>
      <c r="AO1944" t="s">
        <v>101</v>
      </c>
      <c r="AQ1944" t="str">
        <f>"+17245164225"</f>
        <v>+17245164225</v>
      </c>
      <c r="AS1944" t="s">
        <v>4234</v>
      </c>
      <c r="AT1944" t="s">
        <v>107</v>
      </c>
      <c r="AU1944" t="str">
        <f>"ZAROU"</f>
        <v>ZAROU</v>
      </c>
      <c r="AV1944" t="str">
        <f>"MECHELLE"</f>
        <v>MECHELLE</v>
      </c>
      <c r="AW1944" t="str">
        <f>""</f>
        <v/>
      </c>
      <c r="AX1944" t="str">
        <f>"1000 JACKSON STREET"</f>
        <v>1000 JACKSON STREET</v>
      </c>
      <c r="AY1944" t="str">
        <f>"NORTH COURTHOUSE SQUARE"</f>
        <v>NORTH COURTHOUSE SQUARE</v>
      </c>
      <c r="AZ1944" t="str">
        <f>"TOLEDO"</f>
        <v>TOLEDO</v>
      </c>
      <c r="BA1944" t="str">
        <f>"OH"</f>
        <v>OH</v>
      </c>
      <c r="BB1944" s="3">
        <v>43604</v>
      </c>
      <c r="BC1944" t="str">
        <f t="shared" si="159"/>
        <v>UNITED STATES OF AMERICA</v>
      </c>
      <c r="BD1944" t="str">
        <f>""</f>
        <v/>
      </c>
      <c r="BE1944" t="str">
        <f>"+14193211460"</f>
        <v>+14193211460</v>
      </c>
      <c r="BF1944" t="str">
        <f>""</f>
        <v/>
      </c>
      <c r="BG1944" t="str">
        <f>"mzarou@shumaker.com"</f>
        <v>mzarou@shumaker.com</v>
      </c>
      <c r="BH1944" t="str">
        <f>"Shumaker, Loop &amp; Kendrick, LLP"</f>
        <v>Shumaker, Loop &amp; Kendrick, LLP</v>
      </c>
      <c r="BI1944" t="str">
        <f>"OH"</f>
        <v>OH</v>
      </c>
      <c r="BJ1944" t="str">
        <f>"OHIO SUPREME COURT"</f>
        <v>OHIO SUPREME COURT</v>
      </c>
      <c r="BK1944">
        <v>1</v>
      </c>
      <c r="BL1944" t="s">
        <v>102</v>
      </c>
      <c r="BM1944" t="str">
        <f>""</f>
        <v/>
      </c>
      <c r="BN1944" t="s">
        <v>9926</v>
      </c>
      <c r="BP1944" t="s">
        <v>833</v>
      </c>
      <c r="BQ1944" t="s">
        <v>788</v>
      </c>
      <c r="BR1944" t="s">
        <v>345</v>
      </c>
      <c r="BS1944" s="5">
        <v>60607</v>
      </c>
      <c r="BT1944" s="2">
        <v>80000</v>
      </c>
      <c r="BU1944" s="2">
        <v>100000</v>
      </c>
      <c r="BV1944" t="s">
        <v>105</v>
      </c>
      <c r="BW1944" s="2">
        <v>57075</v>
      </c>
      <c r="BX1944" t="s">
        <v>105</v>
      </c>
      <c r="BZ1944" t="s">
        <v>167</v>
      </c>
      <c r="CA1944" t="str">
        <f t="shared" si="160"/>
        <v>7/1/2020 - 6/30/2021</v>
      </c>
      <c r="CF1944">
        <v>5</v>
      </c>
      <c r="CG1944" t="s">
        <v>98</v>
      </c>
      <c r="CH1944" t="s">
        <v>206</v>
      </c>
      <c r="CI1944" t="s">
        <v>206</v>
      </c>
      <c r="CL1944" t="s">
        <v>108</v>
      </c>
      <c r="CM1944" t="s">
        <v>109</v>
      </c>
      <c r="CN1944" t="str">
        <f>"Zarou"</f>
        <v>Zarou</v>
      </c>
      <c r="CO1944" t="str">
        <f>"Mechelle"</f>
        <v>Mechelle</v>
      </c>
      <c r="CP1944" t="str">
        <f>""</f>
        <v/>
      </c>
      <c r="CQ1944" t="str">
        <f>"Shumaker, Loop &amp; Kendrick, LLP"</f>
        <v>Shumaker, Loop &amp; Kendrick, LLP</v>
      </c>
      <c r="CR1944" t="s">
        <v>4235</v>
      </c>
    </row>
    <row r="1945" spans="1:96" x14ac:dyDescent="0.2">
      <c r="A1945" t="s">
        <v>9927</v>
      </c>
      <c r="B1945" t="s">
        <v>96</v>
      </c>
      <c r="C1945" s="1">
        <v>44099</v>
      </c>
      <c r="D1945" s="1">
        <v>44106</v>
      </c>
      <c r="F1945" t="s">
        <v>97</v>
      </c>
      <c r="G1945" t="str">
        <f>"Software Engineer II"</f>
        <v>Software Engineer II</v>
      </c>
      <c r="H1945" t="s">
        <v>12176</v>
      </c>
      <c r="I1945" t="s">
        <v>246</v>
      </c>
      <c r="J1945" t="s">
        <v>98</v>
      </c>
      <c r="K1945" s="1">
        <v>44109</v>
      </c>
      <c r="L1945" s="1">
        <v>45203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 t="s">
        <v>5751</v>
      </c>
      <c r="U1945" t="str">
        <f>""</f>
        <v/>
      </c>
      <c r="V1945" t="s">
        <v>9928</v>
      </c>
      <c r="W1945" t="str">
        <f>""</f>
        <v/>
      </c>
      <c r="X1945" t="s">
        <v>4780</v>
      </c>
      <c r="Y1945" t="s">
        <v>169</v>
      </c>
      <c r="Z1945" s="3">
        <v>84604</v>
      </c>
      <c r="AA1945" t="s">
        <v>101</v>
      </c>
      <c r="AC1945" s="4" t="str">
        <f>"+18018509736"</f>
        <v>+18018509736</v>
      </c>
      <c r="AE1945" t="str">
        <f>"541511"</f>
        <v>541511</v>
      </c>
      <c r="AF1945" t="s">
        <v>5752</v>
      </c>
      <c r="AG1945" t="s">
        <v>281</v>
      </c>
      <c r="AI1945" t="s">
        <v>1543</v>
      </c>
      <c r="AJ1945" t="s">
        <v>9928</v>
      </c>
      <c r="AK1945" t="str">
        <f>""</f>
        <v/>
      </c>
      <c r="AL1945" t="s">
        <v>4780</v>
      </c>
      <c r="AM1945" t="s">
        <v>169</v>
      </c>
      <c r="AN1945" s="3">
        <v>84604</v>
      </c>
      <c r="AO1945" t="s">
        <v>101</v>
      </c>
      <c r="AQ1945" t="str">
        <f>"+18018509736"</f>
        <v>+18018509736</v>
      </c>
      <c r="AS1945" t="s">
        <v>5753</v>
      </c>
      <c r="AT1945" t="s">
        <v>107</v>
      </c>
      <c r="AU1945" t="str">
        <f>"Mahmud"</f>
        <v>Mahmud</v>
      </c>
      <c r="AV1945" t="str">
        <f>"Myra"</f>
        <v>Myra</v>
      </c>
      <c r="AW1945" t="str">
        <f>"Iman"</f>
        <v>Iman</v>
      </c>
      <c r="AX1945" t="str">
        <f>"230 W Monroe Street [210136]"</f>
        <v>230 W Monroe Street [210136]</v>
      </c>
      <c r="AY1945" t="str">
        <f>"Suite 2800"</f>
        <v>Suite 2800</v>
      </c>
      <c r="AZ1945" t="str">
        <f>"Chicago"</f>
        <v>Chicago</v>
      </c>
      <c r="BA1945" t="str">
        <f>"IL"</f>
        <v>IL</v>
      </c>
      <c r="BB1945" s="3">
        <v>60606</v>
      </c>
      <c r="BC1945" t="str">
        <f t="shared" si="159"/>
        <v>UNITED STATES OF AMERICA</v>
      </c>
      <c r="BD1945" t="str">
        <f>""</f>
        <v/>
      </c>
      <c r="BE1945" t="str">
        <f>"+13127226300"</f>
        <v>+13127226300</v>
      </c>
      <c r="BF1945" t="str">
        <f>""</f>
        <v/>
      </c>
      <c r="BG1945" t="str">
        <f>"gov@giafirm.com"</f>
        <v>gov@giafirm.com</v>
      </c>
      <c r="BH1945" t="str">
        <f>"Global Immigration Associates, P.C."</f>
        <v>Global Immigration Associates, P.C.</v>
      </c>
      <c r="BI1945" t="str">
        <f>"NY"</f>
        <v>NY</v>
      </c>
      <c r="BJ1945" t="str">
        <f>"Court of Appeals"</f>
        <v>Court of Appeals</v>
      </c>
      <c r="BK1945">
        <v>1</v>
      </c>
      <c r="BL1945" t="s">
        <v>102</v>
      </c>
      <c r="BM1945" t="str">
        <f>""</f>
        <v/>
      </c>
      <c r="BN1945" t="s">
        <v>3307</v>
      </c>
      <c r="BO1945" t="s">
        <v>836</v>
      </c>
      <c r="BP1945" t="s">
        <v>261</v>
      </c>
      <c r="BQ1945" t="s">
        <v>183</v>
      </c>
      <c r="BR1945" t="s">
        <v>176</v>
      </c>
      <c r="BS1945" s="5">
        <v>98104</v>
      </c>
      <c r="BT1945" s="2">
        <v>191500</v>
      </c>
      <c r="BV1945" t="s">
        <v>105</v>
      </c>
      <c r="BW1945" s="2">
        <v>155106</v>
      </c>
      <c r="BX1945" t="s">
        <v>105</v>
      </c>
      <c r="BZ1945" t="s">
        <v>159</v>
      </c>
      <c r="CA1945" t="str">
        <f t="shared" si="160"/>
        <v>7/1/2020 - 6/30/2021</v>
      </c>
      <c r="CF1945">
        <v>2</v>
      </c>
      <c r="CG1945" t="s">
        <v>98</v>
      </c>
      <c r="CH1945" t="s">
        <v>206</v>
      </c>
      <c r="CI1945" t="s">
        <v>206</v>
      </c>
      <c r="CL1945" t="s">
        <v>108</v>
      </c>
      <c r="CM1945" t="s">
        <v>109</v>
      </c>
      <c r="CN1945" t="str">
        <f>""</f>
        <v/>
      </c>
      <c r="CO1945" t="str">
        <f>""</f>
        <v/>
      </c>
      <c r="CP1945" t="str">
        <f>""</f>
        <v/>
      </c>
      <c r="CQ1945" t="str">
        <f>""</f>
        <v/>
      </c>
    </row>
    <row r="1946" spans="1:96" x14ac:dyDescent="0.2">
      <c r="A1946" t="s">
        <v>9933</v>
      </c>
      <c r="B1946" t="s">
        <v>96</v>
      </c>
      <c r="C1946" s="1">
        <v>44099</v>
      </c>
      <c r="D1946" s="1">
        <v>44106</v>
      </c>
      <c r="F1946" t="s">
        <v>97</v>
      </c>
      <c r="G1946" t="str">
        <f>"Manager, Information Delivery"</f>
        <v>Manager, Information Delivery</v>
      </c>
      <c r="H1946" t="s">
        <v>12169</v>
      </c>
      <c r="I1946" t="s">
        <v>124</v>
      </c>
      <c r="J1946" t="s">
        <v>98</v>
      </c>
      <c r="K1946" s="1">
        <v>44240</v>
      </c>
      <c r="L1946" s="1">
        <v>45334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 t="s">
        <v>7894</v>
      </c>
      <c r="U1946" t="str">
        <f>""</f>
        <v/>
      </c>
      <c r="V1946" t="s">
        <v>3580</v>
      </c>
      <c r="W1946" t="str">
        <f>""</f>
        <v/>
      </c>
      <c r="X1946" t="s">
        <v>1142</v>
      </c>
      <c r="Y1946" t="s">
        <v>280</v>
      </c>
      <c r="Z1946" s="3">
        <v>6183</v>
      </c>
      <c r="AA1946" t="s">
        <v>101</v>
      </c>
      <c r="AC1946" s="4" t="str">
        <f>"+18609543335"</f>
        <v>+18609543335</v>
      </c>
      <c r="AE1946" t="str">
        <f>"524126"</f>
        <v>524126</v>
      </c>
      <c r="AF1946" t="s">
        <v>7895</v>
      </c>
      <c r="AG1946" t="s">
        <v>4844</v>
      </c>
      <c r="AI1946" t="s">
        <v>2256</v>
      </c>
      <c r="AJ1946" t="s">
        <v>3580</v>
      </c>
      <c r="AK1946" t="str">
        <f>""</f>
        <v/>
      </c>
      <c r="AL1946" t="s">
        <v>1142</v>
      </c>
      <c r="AM1946" t="s">
        <v>280</v>
      </c>
      <c r="AN1946" s="3">
        <v>6183</v>
      </c>
      <c r="AO1946" t="s">
        <v>101</v>
      </c>
      <c r="AQ1946" t="str">
        <f>"+18609543335"</f>
        <v>+18609543335</v>
      </c>
      <c r="AS1946" t="s">
        <v>7896</v>
      </c>
      <c r="AT1946" t="s">
        <v>107</v>
      </c>
      <c r="AU1946" t="str">
        <f>"Naughton"</f>
        <v>Naughton</v>
      </c>
      <c r="AV1946" t="str">
        <f>"Megan"</f>
        <v>Megan</v>
      </c>
      <c r="AW1946" t="str">
        <f>"R."</f>
        <v>R.</v>
      </c>
      <c r="AX1946" t="str">
        <f>"Robinson &amp; Cole LLP, 280 Trumbull Street"</f>
        <v>Robinson &amp; Cole LLP, 280 Trumbull Street</v>
      </c>
      <c r="AY1946" t="str">
        <f>"Floor 28"</f>
        <v>Floor 28</v>
      </c>
      <c r="AZ1946" t="str">
        <f>"Hartford"</f>
        <v>Hartford</v>
      </c>
      <c r="BA1946" t="str">
        <f>"CT"</f>
        <v>CT</v>
      </c>
      <c r="BB1946" s="3">
        <v>6103</v>
      </c>
      <c r="BC1946" t="str">
        <f t="shared" si="159"/>
        <v>UNITED STATES OF AMERICA</v>
      </c>
      <c r="BD1946" t="str">
        <f>""</f>
        <v/>
      </c>
      <c r="BE1946" t="str">
        <f>"+18602758263"</f>
        <v>+18602758263</v>
      </c>
      <c r="BF1946" t="str">
        <f>""</f>
        <v/>
      </c>
      <c r="BG1946" t="str">
        <f>"mnaughton@rc.com"</f>
        <v>mnaughton@rc.com</v>
      </c>
      <c r="BH1946" t="str">
        <f>"Robinson &amp; Cole LLP"</f>
        <v>Robinson &amp; Cole LLP</v>
      </c>
      <c r="BI1946" t="str">
        <f>"CT"</f>
        <v>CT</v>
      </c>
      <c r="BJ1946" t="str">
        <f>"Connecticut Superior Court"</f>
        <v>Connecticut Superior Court</v>
      </c>
      <c r="BK1946">
        <v>1</v>
      </c>
      <c r="BL1946" t="s">
        <v>102</v>
      </c>
      <c r="BM1946" t="str">
        <f>""</f>
        <v/>
      </c>
      <c r="BN1946" t="s">
        <v>3580</v>
      </c>
      <c r="BP1946" t="s">
        <v>1142</v>
      </c>
      <c r="BQ1946" t="s">
        <v>547</v>
      </c>
      <c r="BR1946" t="s">
        <v>280</v>
      </c>
      <c r="BS1946" s="5">
        <v>6183</v>
      </c>
      <c r="BT1946" s="2">
        <v>101296</v>
      </c>
      <c r="BU1946" s="2">
        <v>105000</v>
      </c>
      <c r="BV1946" t="s">
        <v>105</v>
      </c>
      <c r="BW1946" s="2">
        <v>101296</v>
      </c>
      <c r="BX1946" t="s">
        <v>105</v>
      </c>
      <c r="BZ1946" t="s">
        <v>123</v>
      </c>
      <c r="CA1946" t="str">
        <f t="shared" si="160"/>
        <v>7/1/2020 - 6/30/2021</v>
      </c>
      <c r="CF1946">
        <v>1</v>
      </c>
      <c r="CG1946" t="s">
        <v>98</v>
      </c>
      <c r="CH1946" t="s">
        <v>206</v>
      </c>
      <c r="CI1946" t="s">
        <v>206</v>
      </c>
      <c r="CL1946" t="s">
        <v>108</v>
      </c>
      <c r="CM1946" t="s">
        <v>109</v>
      </c>
      <c r="CN1946" t="str">
        <f>""</f>
        <v/>
      </c>
      <c r="CO1946" t="str">
        <f>""</f>
        <v/>
      </c>
      <c r="CP1946" t="str">
        <f>""</f>
        <v/>
      </c>
      <c r="CQ1946" t="str">
        <f>""</f>
        <v/>
      </c>
    </row>
    <row r="1947" spans="1:96" x14ac:dyDescent="0.2">
      <c r="A1947" t="s">
        <v>9938</v>
      </c>
      <c r="B1947" t="s">
        <v>96</v>
      </c>
      <c r="C1947" s="1">
        <v>44099</v>
      </c>
      <c r="D1947" s="1">
        <v>44106</v>
      </c>
      <c r="F1947" t="s">
        <v>97</v>
      </c>
      <c r="G1947" t="str">
        <f>"Senior Accountant"</f>
        <v>Senior Accountant</v>
      </c>
      <c r="H1947" t="s">
        <v>12192</v>
      </c>
      <c r="I1947" t="s">
        <v>855</v>
      </c>
      <c r="J1947" t="s">
        <v>98</v>
      </c>
      <c r="K1947" s="1">
        <v>44113</v>
      </c>
      <c r="L1947" s="1">
        <v>45207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 t="s">
        <v>2488</v>
      </c>
      <c r="U1947" t="str">
        <f>""</f>
        <v/>
      </c>
      <c r="V1947" t="s">
        <v>2489</v>
      </c>
      <c r="W1947" t="str">
        <f>""</f>
        <v/>
      </c>
      <c r="X1947" t="s">
        <v>140</v>
      </c>
      <c r="Y1947" t="s">
        <v>141</v>
      </c>
      <c r="Z1947" s="3">
        <v>94107</v>
      </c>
      <c r="AA1947" t="s">
        <v>101</v>
      </c>
      <c r="AC1947" s="4" t="str">
        <f>"+14158488400"</f>
        <v>+14158488400</v>
      </c>
      <c r="AE1947" t="str">
        <f>"518210"</f>
        <v>518210</v>
      </c>
      <c r="AF1947" t="s">
        <v>2490</v>
      </c>
      <c r="AG1947" t="s">
        <v>2491</v>
      </c>
      <c r="AI1947" t="s">
        <v>2492</v>
      </c>
      <c r="AJ1947" t="s">
        <v>2489</v>
      </c>
      <c r="AK1947" t="str">
        <f>""</f>
        <v/>
      </c>
      <c r="AL1947" t="s">
        <v>140</v>
      </c>
      <c r="AM1947" t="s">
        <v>141</v>
      </c>
      <c r="AN1947" s="3">
        <v>94107</v>
      </c>
      <c r="AO1947" t="s">
        <v>101</v>
      </c>
      <c r="AQ1947" t="str">
        <f>"+14158488400"</f>
        <v>+14158488400</v>
      </c>
      <c r="AS1947" t="s">
        <v>2493</v>
      </c>
      <c r="AT1947" t="s">
        <v>107</v>
      </c>
      <c r="AU1947" t="str">
        <f>"Atkins"</f>
        <v>Atkins</v>
      </c>
      <c r="AV1947" t="str">
        <f>"Lisa"</f>
        <v>Lisa</v>
      </c>
      <c r="AW1947" t="str">
        <f>"G"</f>
        <v>G</v>
      </c>
      <c r="AX1947" t="str">
        <f>"90 New Montgomery St"</f>
        <v>90 New Montgomery St</v>
      </c>
      <c r="AY1947" t="str">
        <f>"8th Floor"</f>
        <v>8th Floor</v>
      </c>
      <c r="AZ1947" t="str">
        <f>"San Francisco"</f>
        <v>San Francisco</v>
      </c>
      <c r="BA1947" t="str">
        <f>"CA"</f>
        <v>CA</v>
      </c>
      <c r="BB1947" s="3">
        <v>94105</v>
      </c>
      <c r="BC1947" t="str">
        <f t="shared" si="159"/>
        <v>UNITED STATES OF AMERICA</v>
      </c>
      <c r="BD1947" t="str">
        <f>""</f>
        <v/>
      </c>
      <c r="BE1947" t="str">
        <f>"+14153443619"</f>
        <v>+14153443619</v>
      </c>
      <c r="BF1947" t="str">
        <f>""</f>
        <v/>
      </c>
      <c r="BG1947" t="str">
        <f>"flag-sf2@tsmimmigration.com"</f>
        <v>flag-sf2@tsmimmigration.com</v>
      </c>
      <c r="BH1947" t="str">
        <f>"Tafapolsky Smith Mehlman LLP"</f>
        <v>Tafapolsky Smith Mehlman LLP</v>
      </c>
      <c r="BI1947" t="str">
        <f>"DC"</f>
        <v>DC</v>
      </c>
      <c r="BJ1947" t="str">
        <f>"Supreme Court"</f>
        <v>Supreme Court</v>
      </c>
      <c r="BK1947">
        <v>1</v>
      </c>
      <c r="BL1947" t="s">
        <v>102</v>
      </c>
      <c r="BM1947" t="str">
        <f>""</f>
        <v/>
      </c>
      <c r="BN1947" t="s">
        <v>2494</v>
      </c>
      <c r="BP1947" t="s">
        <v>585</v>
      </c>
      <c r="BQ1947" t="s">
        <v>230</v>
      </c>
      <c r="BR1947" t="s">
        <v>141</v>
      </c>
      <c r="BS1947" s="5">
        <v>95128</v>
      </c>
      <c r="BT1947" s="2">
        <v>117000</v>
      </c>
      <c r="BU1947" s="2">
        <v>137000</v>
      </c>
      <c r="BV1947" t="s">
        <v>105</v>
      </c>
      <c r="BW1947" s="2">
        <v>104978</v>
      </c>
      <c r="BX1947" t="s">
        <v>105</v>
      </c>
      <c r="BZ1947" t="s">
        <v>159</v>
      </c>
      <c r="CA1947" t="str">
        <f t="shared" si="160"/>
        <v>7/1/2020 - 6/30/2021</v>
      </c>
      <c r="CF1947">
        <v>2</v>
      </c>
      <c r="CG1947" t="s">
        <v>98</v>
      </c>
      <c r="CH1947" t="s">
        <v>206</v>
      </c>
      <c r="CI1947" t="s">
        <v>206</v>
      </c>
      <c r="CL1947" t="s">
        <v>108</v>
      </c>
      <c r="CM1947" t="s">
        <v>109</v>
      </c>
      <c r="CN1947" t="str">
        <f>"Rossignol"</f>
        <v>Rossignol</v>
      </c>
      <c r="CO1947" t="str">
        <f>"Daniel"</f>
        <v>Daniel</v>
      </c>
      <c r="CP1947" t="str">
        <f>"K"</f>
        <v>K</v>
      </c>
      <c r="CQ1947" t="str">
        <f>"Tafapolsky Smith Mehlman LLP"</f>
        <v>Tafapolsky Smith Mehlman LLP</v>
      </c>
      <c r="CR1947" t="s">
        <v>7161</v>
      </c>
    </row>
    <row r="1948" spans="1:96" x14ac:dyDescent="0.2">
      <c r="A1948" t="s">
        <v>9947</v>
      </c>
      <c r="B1948" t="s">
        <v>96</v>
      </c>
      <c r="C1948" s="1">
        <v>44099</v>
      </c>
      <c r="D1948" s="1">
        <v>44106</v>
      </c>
      <c r="F1948" t="s">
        <v>97</v>
      </c>
      <c r="G1948" t="str">
        <f>"Solutions Architect"</f>
        <v>Solutions Architect</v>
      </c>
      <c r="H1948" t="s">
        <v>12168</v>
      </c>
      <c r="I1948" t="s">
        <v>160</v>
      </c>
      <c r="J1948" t="s">
        <v>98</v>
      </c>
      <c r="K1948" s="1">
        <v>44109</v>
      </c>
      <c r="L1948" s="1">
        <v>45203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 t="s">
        <v>2802</v>
      </c>
      <c r="U1948" t="str">
        <f>""</f>
        <v/>
      </c>
      <c r="V1948" t="s">
        <v>2803</v>
      </c>
      <c r="W1948" t="str">
        <f>""</f>
        <v/>
      </c>
      <c r="X1948" t="s">
        <v>297</v>
      </c>
      <c r="Y1948" t="s">
        <v>114</v>
      </c>
      <c r="Z1948" s="3">
        <v>75024</v>
      </c>
      <c r="AA1948" t="s">
        <v>101</v>
      </c>
      <c r="AC1948" s="4" t="str">
        <f>"+14692663038"</f>
        <v>+14692663038</v>
      </c>
      <c r="AE1948" t="str">
        <f>"33422"</f>
        <v>33422</v>
      </c>
      <c r="AF1948" t="s">
        <v>1272</v>
      </c>
      <c r="AG1948" t="s">
        <v>2804</v>
      </c>
      <c r="AI1948" t="s">
        <v>2805</v>
      </c>
      <c r="AJ1948" t="s">
        <v>2803</v>
      </c>
      <c r="AK1948" t="str">
        <f>""</f>
        <v/>
      </c>
      <c r="AL1948" t="s">
        <v>297</v>
      </c>
      <c r="AM1948" t="s">
        <v>114</v>
      </c>
      <c r="AN1948" s="3">
        <v>75024</v>
      </c>
      <c r="AO1948" t="s">
        <v>101</v>
      </c>
      <c r="AQ1948" t="str">
        <f>"+14692663038"</f>
        <v>+14692663038</v>
      </c>
      <c r="AS1948" t="s">
        <v>2806</v>
      </c>
      <c r="AT1948" t="s">
        <v>107</v>
      </c>
      <c r="AU1948" t="str">
        <f>"Steger"</f>
        <v>Steger</v>
      </c>
      <c r="AV1948" t="str">
        <f>"Susan"</f>
        <v>Susan</v>
      </c>
      <c r="AW1948" t="str">
        <f>"Z. "</f>
        <v xml:space="preserve">Z. </v>
      </c>
      <c r="AX1948" t="str">
        <f>"5080 Spectrum Drive"</f>
        <v>5080 Spectrum Drive</v>
      </c>
      <c r="AY1948" t="str">
        <f>"Suite 850W"</f>
        <v>Suite 850W</v>
      </c>
      <c r="AZ1948" t="str">
        <f>"Addison"</f>
        <v>Addison</v>
      </c>
      <c r="BA1948" t="str">
        <f>"TX"</f>
        <v>TX</v>
      </c>
      <c r="BB1948" s="3">
        <v>75001</v>
      </c>
      <c r="BC1948" t="str">
        <f t="shared" si="159"/>
        <v>UNITED STATES OF AMERICA</v>
      </c>
      <c r="BD1948" t="str">
        <f>""</f>
        <v/>
      </c>
      <c r="BE1948" t="str">
        <f>"+19722336646"</f>
        <v>+19722336646</v>
      </c>
      <c r="BF1948" t="str">
        <f>""</f>
        <v/>
      </c>
      <c r="BG1948" t="str">
        <f>"chamyra.davis@fragomen.com"</f>
        <v>chamyra.davis@fragomen.com</v>
      </c>
      <c r="BH1948" t="str">
        <f>"Fragomen, Del Rey, Bernsen &amp; Loewy, LLP"</f>
        <v>Fragomen, Del Rey, Bernsen &amp; Loewy, LLP</v>
      </c>
      <c r="BI1948" t="str">
        <f>"TX"</f>
        <v>TX</v>
      </c>
      <c r="BJ1948" t="str">
        <f>"SUPREME COURT OF TEXAS"</f>
        <v>SUPREME COURT OF TEXAS</v>
      </c>
      <c r="BK1948">
        <v>1</v>
      </c>
      <c r="BL1948" t="s">
        <v>102</v>
      </c>
      <c r="BM1948" t="str">
        <f>""</f>
        <v/>
      </c>
      <c r="BN1948" t="s">
        <v>9948</v>
      </c>
      <c r="BP1948" t="s">
        <v>103</v>
      </c>
      <c r="BQ1948" t="s">
        <v>104</v>
      </c>
      <c r="BR1948" t="s">
        <v>100</v>
      </c>
      <c r="BS1948" s="5">
        <v>8854</v>
      </c>
      <c r="BT1948" s="2">
        <v>114962</v>
      </c>
      <c r="BU1948" s="2">
        <v>150000</v>
      </c>
      <c r="BV1948" t="s">
        <v>105</v>
      </c>
      <c r="BW1948" s="2">
        <v>114962</v>
      </c>
      <c r="BX1948" t="s">
        <v>105</v>
      </c>
      <c r="BZ1948" t="s">
        <v>159</v>
      </c>
      <c r="CA1948" t="str">
        <f t="shared" si="160"/>
        <v>7/1/2020 - 6/30/2021</v>
      </c>
      <c r="CF1948">
        <v>2</v>
      </c>
      <c r="CG1948" t="s">
        <v>98</v>
      </c>
      <c r="CH1948" t="s">
        <v>206</v>
      </c>
      <c r="CI1948" t="s">
        <v>206</v>
      </c>
      <c r="CL1948" t="s">
        <v>108</v>
      </c>
      <c r="CM1948" t="s">
        <v>109</v>
      </c>
      <c r="CN1948" t="str">
        <f>""</f>
        <v/>
      </c>
      <c r="CO1948" t="str">
        <f>""</f>
        <v/>
      </c>
      <c r="CP1948" t="str">
        <f>""</f>
        <v/>
      </c>
      <c r="CQ1948" t="str">
        <f>""</f>
        <v/>
      </c>
    </row>
    <row r="1949" spans="1:96" x14ac:dyDescent="0.2">
      <c r="A1949" t="s">
        <v>9964</v>
      </c>
      <c r="B1949" t="s">
        <v>96</v>
      </c>
      <c r="C1949" s="1">
        <v>44099</v>
      </c>
      <c r="D1949" s="1">
        <v>44106</v>
      </c>
      <c r="F1949" t="s">
        <v>97</v>
      </c>
      <c r="G1949" t="str">
        <f>"Backend Software Engineer - KBGFJG119655-1"</f>
        <v>Backend Software Engineer - KBGFJG119655-1</v>
      </c>
      <c r="H1949" t="s">
        <v>12169</v>
      </c>
      <c r="I1949" t="s">
        <v>124</v>
      </c>
      <c r="J1949" t="s">
        <v>98</v>
      </c>
      <c r="K1949" s="1">
        <v>44110</v>
      </c>
      <c r="L1949" s="1">
        <v>45204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 t="s">
        <v>9965</v>
      </c>
      <c r="U1949" t="str">
        <f>""</f>
        <v/>
      </c>
      <c r="V1949" t="s">
        <v>9966</v>
      </c>
      <c r="W1949" t="str">
        <f>""</f>
        <v/>
      </c>
      <c r="X1949" t="s">
        <v>3850</v>
      </c>
      <c r="Y1949" t="s">
        <v>545</v>
      </c>
      <c r="Z1949" s="3">
        <v>38116</v>
      </c>
      <c r="AA1949" t="s">
        <v>101</v>
      </c>
      <c r="AC1949" s="4" t="str">
        <f>"+19013996044"</f>
        <v>+19013996044</v>
      </c>
      <c r="AE1949" t="str">
        <f>"33911"</f>
        <v>33911</v>
      </c>
      <c r="AF1949" t="s">
        <v>1018</v>
      </c>
      <c r="AG1949" t="s">
        <v>3606</v>
      </c>
      <c r="AI1949" t="s">
        <v>9967</v>
      </c>
      <c r="AJ1949" t="s">
        <v>9966</v>
      </c>
      <c r="AK1949" t="str">
        <f>""</f>
        <v/>
      </c>
      <c r="AL1949" t="s">
        <v>3850</v>
      </c>
      <c r="AM1949" t="s">
        <v>545</v>
      </c>
      <c r="AN1949" s="3">
        <v>38116</v>
      </c>
      <c r="AO1949" t="s">
        <v>101</v>
      </c>
      <c r="AQ1949" t="str">
        <f>"+19013996044"</f>
        <v>+19013996044</v>
      </c>
      <c r="AS1949" t="s">
        <v>9968</v>
      </c>
      <c r="AT1949" t="s">
        <v>102</v>
      </c>
      <c r="AU1949" t="str">
        <f>""</f>
        <v/>
      </c>
      <c r="AV1949" t="str">
        <f>""</f>
        <v/>
      </c>
      <c r="AW1949" t="str">
        <f>""</f>
        <v/>
      </c>
      <c r="AX1949" t="str">
        <f>""</f>
        <v/>
      </c>
      <c r="AY1949" t="str">
        <f>""</f>
        <v/>
      </c>
      <c r="AZ1949" t="str">
        <f>""</f>
        <v/>
      </c>
      <c r="BA1949" t="str">
        <f>""</f>
        <v/>
      </c>
      <c r="BC1949" t="str">
        <f>""</f>
        <v/>
      </c>
      <c r="BD1949" t="str">
        <f>""</f>
        <v/>
      </c>
      <c r="BE1949" t="str">
        <f>""</f>
        <v/>
      </c>
      <c r="BF1949" t="str">
        <f>""</f>
        <v/>
      </c>
      <c r="BG1949" t="str">
        <f>""</f>
        <v/>
      </c>
      <c r="BH1949" t="str">
        <f>""</f>
        <v/>
      </c>
      <c r="BI1949" t="str">
        <f>""</f>
        <v/>
      </c>
      <c r="BJ1949" t="str">
        <f>""</f>
        <v/>
      </c>
      <c r="BK1949">
        <v>1</v>
      </c>
      <c r="BL1949" t="s">
        <v>102</v>
      </c>
      <c r="BM1949" t="str">
        <f>""</f>
        <v/>
      </c>
      <c r="BN1949" t="s">
        <v>9969</v>
      </c>
      <c r="BP1949" t="s">
        <v>333</v>
      </c>
      <c r="BQ1949" t="s">
        <v>861</v>
      </c>
      <c r="BR1949" t="s">
        <v>127</v>
      </c>
      <c r="BS1949" s="5">
        <v>15222</v>
      </c>
      <c r="BT1949" s="2">
        <v>106000</v>
      </c>
      <c r="BV1949" t="s">
        <v>105</v>
      </c>
      <c r="BW1949" s="2">
        <v>80142</v>
      </c>
      <c r="BX1949" t="s">
        <v>105</v>
      </c>
      <c r="BZ1949" t="s">
        <v>167</v>
      </c>
      <c r="CA1949" t="str">
        <f t="shared" si="160"/>
        <v>7/1/2020 - 6/30/2021</v>
      </c>
      <c r="CF1949">
        <v>2</v>
      </c>
      <c r="CG1949" t="s">
        <v>98</v>
      </c>
      <c r="CH1949" t="s">
        <v>206</v>
      </c>
      <c r="CI1949" t="s">
        <v>206</v>
      </c>
      <c r="CL1949" t="s">
        <v>108</v>
      </c>
      <c r="CM1949" t="s">
        <v>109</v>
      </c>
      <c r="CN1949" t="str">
        <f>"Rahmani"</f>
        <v>Rahmani</v>
      </c>
      <c r="CO1949" t="str">
        <f>"Sonya "</f>
        <v xml:space="preserve">Sonya </v>
      </c>
      <c r="CP1949" t="str">
        <f>""</f>
        <v/>
      </c>
      <c r="CQ1949" t="str">
        <f>"EY Law LLP"</f>
        <v>EY Law LLP</v>
      </c>
      <c r="CR1949" t="s">
        <v>9970</v>
      </c>
    </row>
    <row r="1950" spans="1:96" x14ac:dyDescent="0.2">
      <c r="A1950" t="s">
        <v>9973</v>
      </c>
      <c r="B1950" t="s">
        <v>96</v>
      </c>
      <c r="C1950" s="1">
        <v>44099</v>
      </c>
      <c r="D1950" s="1">
        <v>44106</v>
      </c>
      <c r="F1950" t="s">
        <v>97</v>
      </c>
      <c r="G1950" t="str">
        <f>"SOFTWARE DEVELOPER"</f>
        <v>SOFTWARE DEVELOPER</v>
      </c>
      <c r="H1950" t="s">
        <v>12176</v>
      </c>
      <c r="I1950" t="s">
        <v>246</v>
      </c>
      <c r="J1950" t="s">
        <v>98</v>
      </c>
      <c r="K1950" s="1">
        <v>44256</v>
      </c>
      <c r="L1950" s="1">
        <v>45350</v>
      </c>
      <c r="M1950">
        <v>10</v>
      </c>
      <c r="N1950">
        <v>2</v>
      </c>
      <c r="O1950">
        <v>2</v>
      </c>
      <c r="P1950">
        <v>2</v>
      </c>
      <c r="Q1950">
        <v>0</v>
      </c>
      <c r="R1950">
        <v>2</v>
      </c>
      <c r="S1950">
        <v>2</v>
      </c>
      <c r="T1950" t="s">
        <v>2172</v>
      </c>
      <c r="U1950" t="str">
        <f>""</f>
        <v/>
      </c>
      <c r="V1950" t="s">
        <v>2176</v>
      </c>
      <c r="W1950" t="str">
        <f>""</f>
        <v/>
      </c>
      <c r="X1950" t="s">
        <v>2177</v>
      </c>
      <c r="Y1950" t="s">
        <v>141</v>
      </c>
      <c r="Z1950" s="3">
        <v>94065</v>
      </c>
      <c r="AA1950" t="s">
        <v>101</v>
      </c>
      <c r="AC1950" s="4" t="str">
        <f>"+16505067000"</f>
        <v>+16505067000</v>
      </c>
      <c r="AE1950" t="str">
        <f>"511210"</f>
        <v>511210</v>
      </c>
      <c r="AF1950" t="s">
        <v>2173</v>
      </c>
      <c r="AG1950" t="s">
        <v>2174</v>
      </c>
      <c r="AI1950" t="s">
        <v>2175</v>
      </c>
      <c r="AJ1950" t="s">
        <v>2176</v>
      </c>
      <c r="AK1950" t="str">
        <f>""</f>
        <v/>
      </c>
      <c r="AL1950" t="s">
        <v>2177</v>
      </c>
      <c r="AM1950" t="s">
        <v>141</v>
      </c>
      <c r="AN1950" s="3">
        <v>94065</v>
      </c>
      <c r="AO1950" t="s">
        <v>101</v>
      </c>
      <c r="AQ1950" t="str">
        <f>"+16505067000"</f>
        <v>+16505067000</v>
      </c>
      <c r="AS1950" t="s">
        <v>2178</v>
      </c>
      <c r="AT1950" t="s">
        <v>107</v>
      </c>
      <c r="AU1950" t="str">
        <f>"Oye"</f>
        <v>Oye</v>
      </c>
      <c r="AV1950" t="str">
        <f>"Ronald"</f>
        <v>Ronald</v>
      </c>
      <c r="AW1950" t="str">
        <f>""</f>
        <v/>
      </c>
      <c r="AX1950" t="str">
        <f>"100 Pringle Avenue"</f>
        <v>100 Pringle Avenue</v>
      </c>
      <c r="AY1950" t="str">
        <f>"Suite 300"</f>
        <v>Suite 300</v>
      </c>
      <c r="AZ1950" t="str">
        <f>"Walnut Creek"</f>
        <v>Walnut Creek</v>
      </c>
      <c r="BA1950" t="str">
        <f>"CA"</f>
        <v>CA</v>
      </c>
      <c r="BB1950" s="3">
        <v>94596</v>
      </c>
      <c r="BC1950" t="str">
        <f>"UNITED STATES OF AMERICA"</f>
        <v>UNITED STATES OF AMERICA</v>
      </c>
      <c r="BD1950" t="str">
        <f>"California"</f>
        <v>California</v>
      </c>
      <c r="BE1950" t="str">
        <f>"+14153981800"</f>
        <v>+14153981800</v>
      </c>
      <c r="BF1950" t="str">
        <f>""</f>
        <v/>
      </c>
      <c r="BG1950" t="str">
        <f>"roye@balglobal.com"</f>
        <v>roye@balglobal.com</v>
      </c>
      <c r="BH1950" t="str">
        <f>"Berry Appleman &amp; Leiden LLP"</f>
        <v>Berry Appleman &amp; Leiden LLP</v>
      </c>
      <c r="BI1950" t="str">
        <f>"CA"</f>
        <v>CA</v>
      </c>
      <c r="BJ1950" t="str">
        <f>"Supreme Court"</f>
        <v>Supreme Court</v>
      </c>
      <c r="BK1950">
        <v>10</v>
      </c>
      <c r="BL1950" t="s">
        <v>102</v>
      </c>
      <c r="BM1950" t="str">
        <f>""</f>
        <v/>
      </c>
      <c r="BN1950" t="s">
        <v>8359</v>
      </c>
      <c r="BP1950" t="s">
        <v>2928</v>
      </c>
      <c r="BQ1950" t="s">
        <v>377</v>
      </c>
      <c r="BR1950" t="s">
        <v>577</v>
      </c>
      <c r="BS1950" s="5">
        <v>32822</v>
      </c>
      <c r="BT1950" s="2">
        <v>121285</v>
      </c>
      <c r="BU1950" s="2">
        <v>212120</v>
      </c>
      <c r="BV1950" t="s">
        <v>105</v>
      </c>
      <c r="BW1950" s="2">
        <v>121285</v>
      </c>
      <c r="BX1950" t="s">
        <v>105</v>
      </c>
      <c r="BZ1950" t="s">
        <v>159</v>
      </c>
      <c r="CA1950" t="str">
        <f t="shared" si="160"/>
        <v>7/1/2020 - 6/30/2021</v>
      </c>
      <c r="CF1950">
        <v>1</v>
      </c>
      <c r="CG1950" t="s">
        <v>98</v>
      </c>
      <c r="CH1950" t="s">
        <v>206</v>
      </c>
      <c r="CI1950" t="s">
        <v>206</v>
      </c>
      <c r="CL1950" t="s">
        <v>108</v>
      </c>
      <c r="CM1950" t="s">
        <v>109</v>
      </c>
      <c r="CN1950" t="str">
        <f>""</f>
        <v/>
      </c>
      <c r="CO1950" t="str">
        <f>""</f>
        <v/>
      </c>
      <c r="CP1950" t="str">
        <f>""</f>
        <v/>
      </c>
      <c r="CQ1950" t="str">
        <f>""</f>
        <v/>
      </c>
    </row>
    <row r="1951" spans="1:96" x14ac:dyDescent="0.2">
      <c r="A1951" t="s">
        <v>9976</v>
      </c>
      <c r="B1951" t="s">
        <v>96</v>
      </c>
      <c r="C1951" s="1">
        <v>44099</v>
      </c>
      <c r="D1951" s="1">
        <v>44106</v>
      </c>
      <c r="F1951" t="s">
        <v>97</v>
      </c>
      <c r="G1951" t="str">
        <f>"Senior Technical Program Manager, Infrastructure"</f>
        <v>Senior Technical Program Manager, Infrastructure</v>
      </c>
      <c r="H1951" t="s">
        <v>12178</v>
      </c>
      <c r="I1951" t="s">
        <v>582</v>
      </c>
      <c r="J1951" t="s">
        <v>98</v>
      </c>
      <c r="K1951" s="1">
        <v>44117</v>
      </c>
      <c r="L1951" s="1">
        <v>45211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 t="s">
        <v>4150</v>
      </c>
      <c r="U1951" t="str">
        <f>""</f>
        <v/>
      </c>
      <c r="V1951" t="s">
        <v>4151</v>
      </c>
      <c r="W1951" t="str">
        <f>""</f>
        <v/>
      </c>
      <c r="X1951" t="s">
        <v>468</v>
      </c>
      <c r="Y1951" t="s">
        <v>141</v>
      </c>
      <c r="Z1951" s="3">
        <v>94025</v>
      </c>
      <c r="AA1951" t="s">
        <v>101</v>
      </c>
      <c r="AB1951" t="s">
        <v>4245</v>
      </c>
      <c r="AC1951" s="4" t="str">
        <f>"+16504601700"</f>
        <v>+16504601700</v>
      </c>
      <c r="AE1951" t="str">
        <f>"523120"</f>
        <v>523120</v>
      </c>
      <c r="AF1951" t="s">
        <v>4152</v>
      </c>
      <c r="AG1951" t="s">
        <v>220</v>
      </c>
      <c r="AH1951" t="s">
        <v>108</v>
      </c>
      <c r="AI1951" t="s">
        <v>4153</v>
      </c>
      <c r="AJ1951" t="s">
        <v>4151</v>
      </c>
      <c r="AK1951" t="str">
        <f>""</f>
        <v/>
      </c>
      <c r="AL1951" t="s">
        <v>468</v>
      </c>
      <c r="AM1951" t="s">
        <v>141</v>
      </c>
      <c r="AN1951" s="3">
        <v>94025</v>
      </c>
      <c r="AO1951" t="s">
        <v>101</v>
      </c>
      <c r="AQ1951" t="str">
        <f>"+16502739734"</f>
        <v>+16502739734</v>
      </c>
      <c r="AS1951" t="s">
        <v>4154</v>
      </c>
      <c r="AT1951" t="s">
        <v>107</v>
      </c>
      <c r="AU1951" t="str">
        <f>"Gillespie"</f>
        <v>Gillespie</v>
      </c>
      <c r="AV1951" t="str">
        <f>"Catherine"</f>
        <v>Catherine</v>
      </c>
      <c r="AW1951" t="str">
        <f>""</f>
        <v/>
      </c>
      <c r="AX1951" t="str">
        <f>"465 California Street"</f>
        <v>465 California Street</v>
      </c>
      <c r="AY1951" t="str">
        <f>"Suite 700"</f>
        <v>Suite 700</v>
      </c>
      <c r="AZ1951" t="str">
        <f>"San Francisco"</f>
        <v>San Francisco</v>
      </c>
      <c r="BA1951" t="str">
        <f>"CA"</f>
        <v>CA</v>
      </c>
      <c r="BB1951" s="3">
        <v>94104</v>
      </c>
      <c r="BC1951" t="str">
        <f>"UNITED STATES OF AMERICA"</f>
        <v>UNITED STATES OF AMERICA</v>
      </c>
      <c r="BD1951" t="str">
        <f>""</f>
        <v/>
      </c>
      <c r="BE1951" t="str">
        <f>"+14157717500"</f>
        <v>+14157717500</v>
      </c>
      <c r="BF1951" t="str">
        <f>""</f>
        <v/>
      </c>
      <c r="BG1951" t="str">
        <f>"robinhood@pearllawgroup.com"</f>
        <v>robinhood@pearllawgroup.com</v>
      </c>
      <c r="BH1951" t="str">
        <f>"Pearl Law Group"</f>
        <v>Pearl Law Group</v>
      </c>
      <c r="BI1951" t="str">
        <f>"CA"</f>
        <v>CA</v>
      </c>
      <c r="BJ1951" t="str">
        <f>"Supreme Court"</f>
        <v>Supreme Court</v>
      </c>
      <c r="BK1951">
        <v>1</v>
      </c>
      <c r="BL1951" t="s">
        <v>102</v>
      </c>
      <c r="BM1951" t="str">
        <f>""</f>
        <v/>
      </c>
      <c r="BN1951" t="s">
        <v>4151</v>
      </c>
      <c r="BP1951" t="s">
        <v>468</v>
      </c>
      <c r="BQ1951" t="s">
        <v>994</v>
      </c>
      <c r="BR1951" t="s">
        <v>141</v>
      </c>
      <c r="BS1951" s="5">
        <v>94025</v>
      </c>
      <c r="BT1951" s="2">
        <v>167000</v>
      </c>
      <c r="BU1951" s="2">
        <v>190000</v>
      </c>
      <c r="BV1951" t="s">
        <v>105</v>
      </c>
      <c r="BW1951" s="2">
        <v>166754</v>
      </c>
      <c r="BX1951" t="s">
        <v>105</v>
      </c>
      <c r="BZ1951" t="s">
        <v>167</v>
      </c>
      <c r="CA1951" t="str">
        <f t="shared" si="160"/>
        <v>7/1/2020 - 6/30/2021</v>
      </c>
      <c r="CF1951">
        <v>1</v>
      </c>
      <c r="CG1951" t="s">
        <v>98</v>
      </c>
      <c r="CH1951" t="s">
        <v>206</v>
      </c>
      <c r="CI1951" t="s">
        <v>206</v>
      </c>
      <c r="CL1951" t="s">
        <v>108</v>
      </c>
      <c r="CM1951" t="s">
        <v>109</v>
      </c>
      <c r="CN1951" t="str">
        <f>""</f>
        <v/>
      </c>
      <c r="CO1951" t="str">
        <f>""</f>
        <v/>
      </c>
      <c r="CP1951" t="str">
        <f>""</f>
        <v/>
      </c>
      <c r="CQ1951" t="str">
        <f>""</f>
        <v/>
      </c>
    </row>
    <row r="1952" spans="1:96" x14ac:dyDescent="0.2">
      <c r="A1952" t="s">
        <v>9979</v>
      </c>
      <c r="B1952" t="s">
        <v>96</v>
      </c>
      <c r="C1952" s="1">
        <v>44099</v>
      </c>
      <c r="D1952" s="1">
        <v>44106</v>
      </c>
      <c r="F1952" t="s">
        <v>97</v>
      </c>
      <c r="G1952" t="str">
        <f>"Enterprise Software Architect"</f>
        <v>Enterprise Software Architect</v>
      </c>
      <c r="H1952" t="s">
        <v>12176</v>
      </c>
      <c r="I1952" t="s">
        <v>246</v>
      </c>
      <c r="J1952" t="s">
        <v>98</v>
      </c>
      <c r="K1952" s="1">
        <v>44105</v>
      </c>
      <c r="L1952" s="1">
        <v>45200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 t="s">
        <v>4767</v>
      </c>
      <c r="U1952" t="str">
        <f>""</f>
        <v/>
      </c>
      <c r="V1952" t="s">
        <v>4768</v>
      </c>
      <c r="W1952" t="str">
        <f>""</f>
        <v/>
      </c>
      <c r="X1952" t="s">
        <v>4769</v>
      </c>
      <c r="Y1952" t="s">
        <v>171</v>
      </c>
      <c r="Z1952" s="3">
        <v>1701</v>
      </c>
      <c r="AA1952" t="s">
        <v>101</v>
      </c>
      <c r="AC1952" s="4" t="str">
        <f>"+18883074107"</f>
        <v>+18883074107</v>
      </c>
      <c r="AE1952" t="str">
        <f>"511210"</f>
        <v>511210</v>
      </c>
      <c r="AF1952" t="s">
        <v>4770</v>
      </c>
      <c r="AG1952" t="s">
        <v>4771</v>
      </c>
      <c r="AI1952" t="s">
        <v>860</v>
      </c>
      <c r="AJ1952" t="s">
        <v>4768</v>
      </c>
      <c r="AK1952" t="str">
        <f>""</f>
        <v/>
      </c>
      <c r="AL1952" t="s">
        <v>4769</v>
      </c>
      <c r="AM1952" t="s">
        <v>171</v>
      </c>
      <c r="AN1952" s="3">
        <v>1701</v>
      </c>
      <c r="AO1952" t="s">
        <v>101</v>
      </c>
      <c r="AQ1952" t="str">
        <f>"+18883074107"</f>
        <v>+18883074107</v>
      </c>
      <c r="AS1952" t="s">
        <v>4772</v>
      </c>
      <c r="AT1952" t="s">
        <v>107</v>
      </c>
      <c r="AU1952" t="str">
        <f>"Rost"</f>
        <v>Rost</v>
      </c>
      <c r="AV1952" t="str">
        <f>"Kristina"</f>
        <v>Kristina</v>
      </c>
      <c r="AW1952" t="str">
        <f>"Kes"</f>
        <v>Kes</v>
      </c>
      <c r="AX1952" t="str">
        <f>"92 State Street"</f>
        <v>92 State Street</v>
      </c>
      <c r="AY1952" t="str">
        <f>"7th Floor"</f>
        <v>7th Floor</v>
      </c>
      <c r="AZ1952" t="str">
        <f>"Boston"</f>
        <v>Boston</v>
      </c>
      <c r="BA1952" t="str">
        <f>"MA"</f>
        <v>MA</v>
      </c>
      <c r="BB1952" s="3">
        <v>2109</v>
      </c>
      <c r="BC1952" t="str">
        <f>"UNITED STATES OF AMERICA"</f>
        <v>UNITED STATES OF AMERICA</v>
      </c>
      <c r="BD1952" t="str">
        <f>""</f>
        <v/>
      </c>
      <c r="BE1952" t="str">
        <f>"+16177205577"</f>
        <v>+16177205577</v>
      </c>
      <c r="BF1952" t="str">
        <f>""</f>
        <v/>
      </c>
      <c r="BG1952" t="str">
        <f>"rost@magedrost.com"</f>
        <v>rost@magedrost.com</v>
      </c>
      <c r="BH1952" t="str">
        <f>"Maged &amp; Rost, PC"</f>
        <v>Maged &amp; Rost, PC</v>
      </c>
      <c r="BI1952" t="str">
        <f>"MA"</f>
        <v>MA</v>
      </c>
      <c r="BJ1952" t="str">
        <f>"Supreme Judicial Court"</f>
        <v>Supreme Judicial Court</v>
      </c>
      <c r="BK1952">
        <v>1</v>
      </c>
      <c r="BL1952" t="s">
        <v>102</v>
      </c>
      <c r="BM1952" t="str">
        <f>""</f>
        <v/>
      </c>
      <c r="BN1952" t="s">
        <v>4768</v>
      </c>
      <c r="BP1952" t="s">
        <v>4769</v>
      </c>
      <c r="BQ1952" t="s">
        <v>170</v>
      </c>
      <c r="BR1952" t="s">
        <v>171</v>
      </c>
      <c r="BS1952" s="5">
        <v>1701</v>
      </c>
      <c r="BT1952" s="2">
        <v>165000</v>
      </c>
      <c r="BV1952" t="s">
        <v>105</v>
      </c>
      <c r="BW1952" s="2">
        <v>135658</v>
      </c>
      <c r="BX1952" t="s">
        <v>105</v>
      </c>
      <c r="BZ1952" t="s">
        <v>159</v>
      </c>
      <c r="CA1952" t="str">
        <f t="shared" si="160"/>
        <v>7/1/2020 - 6/30/2021</v>
      </c>
      <c r="CF1952">
        <v>1</v>
      </c>
      <c r="CG1952" t="s">
        <v>98</v>
      </c>
      <c r="CH1952" t="s">
        <v>206</v>
      </c>
      <c r="CI1952" t="s">
        <v>206</v>
      </c>
      <c r="CL1952" t="s">
        <v>108</v>
      </c>
      <c r="CM1952" t="s">
        <v>109</v>
      </c>
      <c r="CN1952" t="str">
        <f>""</f>
        <v/>
      </c>
      <c r="CO1952" t="str">
        <f>""</f>
        <v/>
      </c>
      <c r="CP1952" t="str">
        <f>""</f>
        <v/>
      </c>
      <c r="CQ1952" t="str">
        <f>""</f>
        <v/>
      </c>
    </row>
    <row r="1953" spans="1:96" x14ac:dyDescent="0.2">
      <c r="A1953" t="s">
        <v>9980</v>
      </c>
      <c r="B1953" t="s">
        <v>96</v>
      </c>
      <c r="C1953" s="1">
        <v>44099</v>
      </c>
      <c r="D1953" s="1">
        <v>44106</v>
      </c>
      <c r="F1953" t="s">
        <v>97</v>
      </c>
      <c r="G1953" t="str">
        <f>"MANAGER III, PRODUCT MANAGEMENT - TECHNICAL"</f>
        <v>MANAGER III, PRODUCT MANAGEMENT - TECHNICAL</v>
      </c>
      <c r="H1953" t="s">
        <v>12182</v>
      </c>
      <c r="I1953" t="s">
        <v>168</v>
      </c>
      <c r="J1953" t="s">
        <v>98</v>
      </c>
      <c r="K1953" s="1">
        <v>44275</v>
      </c>
      <c r="L1953" s="1">
        <v>45370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 t="s">
        <v>440</v>
      </c>
      <c r="U1953" t="str">
        <f>""</f>
        <v/>
      </c>
      <c r="V1953" t="s">
        <v>809</v>
      </c>
      <c r="W1953" t="str">
        <f>"SUITE 500"</f>
        <v>SUITE 500</v>
      </c>
      <c r="X1953" t="s">
        <v>433</v>
      </c>
      <c r="Y1953" t="s">
        <v>176</v>
      </c>
      <c r="Z1953" s="3">
        <v>98121</v>
      </c>
      <c r="AA1953" t="s">
        <v>101</v>
      </c>
      <c r="AC1953" s="4" t="str">
        <f>"+12062661000"</f>
        <v>+12062661000</v>
      </c>
      <c r="AE1953" t="str">
        <f>"454110"</f>
        <v>454110</v>
      </c>
      <c r="AF1953" t="s">
        <v>442</v>
      </c>
      <c r="AG1953" t="s">
        <v>443</v>
      </c>
      <c r="AH1953" t="s">
        <v>108</v>
      </c>
      <c r="AI1953" t="s">
        <v>434</v>
      </c>
      <c r="AJ1953" t="s">
        <v>809</v>
      </c>
      <c r="AK1953" t="str">
        <f>"SUITE 500"</f>
        <v>SUITE 500</v>
      </c>
      <c r="AL1953" t="s">
        <v>433</v>
      </c>
      <c r="AM1953" t="s">
        <v>176</v>
      </c>
      <c r="AN1953" s="3">
        <v>98121</v>
      </c>
      <c r="AO1953" t="s">
        <v>101</v>
      </c>
      <c r="AQ1953" t="str">
        <f>"+12062661000"</f>
        <v>+12062661000</v>
      </c>
      <c r="AS1953" t="s">
        <v>263</v>
      </c>
      <c r="AT1953" t="s">
        <v>107</v>
      </c>
      <c r="AU1953" t="str">
        <f>"MARANCI"</f>
        <v>MARANCI</v>
      </c>
      <c r="AV1953" t="str">
        <f>"DANIEL"</f>
        <v>DANIEL</v>
      </c>
      <c r="AW1953" t="str">
        <f>"N/A"</f>
        <v>N/A</v>
      </c>
      <c r="AX1953" t="str">
        <f>"100 HIGH STREET"</f>
        <v>100 HIGH STREET</v>
      </c>
      <c r="AY1953" t="str">
        <f>"3RD FLOOR C#5277404"</f>
        <v>3RD FLOOR C#5277404</v>
      </c>
      <c r="AZ1953" t="str">
        <f>"BOSTON"</f>
        <v>BOSTON</v>
      </c>
      <c r="BA1953" t="str">
        <f>"MA"</f>
        <v>MA</v>
      </c>
      <c r="BB1953" s="3">
        <v>2110</v>
      </c>
      <c r="BC1953" t="str">
        <f>"UNITED STATES OF AMERICA"</f>
        <v>UNITED STATES OF AMERICA</v>
      </c>
      <c r="BD1953" t="str">
        <f>""</f>
        <v/>
      </c>
      <c r="BE1953" t="str">
        <f>"+16175740400"</f>
        <v>+16175740400</v>
      </c>
      <c r="BF1953" t="str">
        <f>""</f>
        <v/>
      </c>
      <c r="BG1953" t="str">
        <f>"AMAZONINDIA@FRAGOMEN.COM"</f>
        <v>AMAZONINDIA@FRAGOMEN.COM</v>
      </c>
      <c r="BH1953" t="str">
        <f>"FRAGOMEN, DEL REY, BERNSEN &amp; LOEWY, LLP"</f>
        <v>FRAGOMEN, DEL REY, BERNSEN &amp; LOEWY, LLP</v>
      </c>
      <c r="BI1953" t="str">
        <f>"MA"</f>
        <v>MA</v>
      </c>
      <c r="BJ1953" t="str">
        <f>"SUPREME JUDICIAL COURT"</f>
        <v>SUPREME JUDICIAL COURT</v>
      </c>
      <c r="BK1953">
        <v>1</v>
      </c>
      <c r="BL1953" t="s">
        <v>102</v>
      </c>
      <c r="BM1953" t="str">
        <f>""</f>
        <v/>
      </c>
      <c r="BN1953" t="s">
        <v>5653</v>
      </c>
      <c r="BO1953" t="s">
        <v>2738</v>
      </c>
      <c r="BP1953" t="s">
        <v>5643</v>
      </c>
      <c r="BQ1953" t="s">
        <v>994</v>
      </c>
      <c r="BR1953" t="s">
        <v>141</v>
      </c>
      <c r="BS1953" s="5">
        <v>94303</v>
      </c>
      <c r="BT1953" s="2">
        <v>167700</v>
      </c>
      <c r="BV1953" t="s">
        <v>105</v>
      </c>
      <c r="BW1953" s="2">
        <v>116917</v>
      </c>
      <c r="BX1953" t="s">
        <v>105</v>
      </c>
      <c r="BZ1953" t="s">
        <v>123</v>
      </c>
      <c r="CA1953" t="str">
        <f t="shared" si="160"/>
        <v>7/1/2020 - 6/30/2021</v>
      </c>
      <c r="CF1953">
        <v>2</v>
      </c>
      <c r="CG1953" t="s">
        <v>98</v>
      </c>
      <c r="CH1953" t="s">
        <v>206</v>
      </c>
      <c r="CI1953" t="s">
        <v>206</v>
      </c>
      <c r="CL1953" t="s">
        <v>108</v>
      </c>
      <c r="CM1953" t="s">
        <v>109</v>
      </c>
      <c r="CN1953" t="str">
        <f>"SUNNY"</f>
        <v>SUNNY</v>
      </c>
      <c r="CO1953" t="str">
        <f>"JASMIN"</f>
        <v>JASMIN</v>
      </c>
      <c r="CP1953" t="str">
        <f>"N/A"</f>
        <v>N/A</v>
      </c>
      <c r="CQ1953" t="str">
        <f>"FRAGOMEN, DEL REY, BERNSEN &amp; LOEWY, LLP"</f>
        <v>FRAGOMEN, DEL REY, BERNSEN &amp; LOEWY, LLP</v>
      </c>
      <c r="CR1953" t="s">
        <v>650</v>
      </c>
    </row>
    <row r="1954" spans="1:96" x14ac:dyDescent="0.2">
      <c r="A1954" t="s">
        <v>9990</v>
      </c>
      <c r="B1954" t="s">
        <v>96</v>
      </c>
      <c r="C1954" s="1">
        <v>44099</v>
      </c>
      <c r="D1954" s="1">
        <v>44106</v>
      </c>
      <c r="F1954" t="s">
        <v>97</v>
      </c>
      <c r="G1954" t="str">
        <f>"Data Analyst"</f>
        <v>Data Analyst</v>
      </c>
      <c r="H1954" t="s">
        <v>12168</v>
      </c>
      <c r="I1954" t="s">
        <v>1844</v>
      </c>
      <c r="J1954" t="s">
        <v>98</v>
      </c>
      <c r="K1954" s="1">
        <v>44105</v>
      </c>
      <c r="L1954" s="1">
        <v>44979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 t="s">
        <v>300</v>
      </c>
      <c r="U1954" t="str">
        <f>""</f>
        <v/>
      </c>
      <c r="V1954" t="s">
        <v>301</v>
      </c>
      <c r="W1954" t="str">
        <f>"BUILDING 002 "</f>
        <v xml:space="preserve">BUILDING 002 </v>
      </c>
      <c r="X1954" t="s">
        <v>302</v>
      </c>
      <c r="Y1954" t="s">
        <v>122</v>
      </c>
      <c r="Z1954" s="3" t="s">
        <v>12292</v>
      </c>
      <c r="AA1954" t="s">
        <v>101</v>
      </c>
      <c r="AB1954" t="s">
        <v>122</v>
      </c>
      <c r="AC1954" s="4" t="str">
        <f>"+19195430507"</f>
        <v>+19195430507</v>
      </c>
      <c r="AE1954" t="str">
        <f>"54151"</f>
        <v>54151</v>
      </c>
      <c r="AF1954" t="s">
        <v>303</v>
      </c>
      <c r="AG1954" t="s">
        <v>304</v>
      </c>
      <c r="AI1954" t="s">
        <v>305</v>
      </c>
      <c r="AJ1954" t="s">
        <v>301</v>
      </c>
      <c r="AK1954" t="str">
        <f>""</f>
        <v/>
      </c>
      <c r="AL1954" t="s">
        <v>302</v>
      </c>
      <c r="AM1954" t="s">
        <v>122</v>
      </c>
      <c r="AN1954" s="3">
        <v>27709</v>
      </c>
      <c r="AO1954" t="s">
        <v>101</v>
      </c>
      <c r="AQ1954" t="str">
        <f>"+19192541817"</f>
        <v>+19192541817</v>
      </c>
      <c r="AS1954" t="s">
        <v>306</v>
      </c>
      <c r="AT1954" t="s">
        <v>102</v>
      </c>
      <c r="AU1954" t="str">
        <f>""</f>
        <v/>
      </c>
      <c r="AV1954" t="str">
        <f>""</f>
        <v/>
      </c>
      <c r="AW1954" t="str">
        <f>""</f>
        <v/>
      </c>
      <c r="AX1954" t="str">
        <f>""</f>
        <v/>
      </c>
      <c r="AY1954" t="str">
        <f>""</f>
        <v/>
      </c>
      <c r="AZ1954" t="str">
        <f>""</f>
        <v/>
      </c>
      <c r="BA1954" t="str">
        <f>""</f>
        <v/>
      </c>
      <c r="BC1954" t="str">
        <f>""</f>
        <v/>
      </c>
      <c r="BD1954" t="str">
        <f>""</f>
        <v/>
      </c>
      <c r="BE1954" t="str">
        <f>""</f>
        <v/>
      </c>
      <c r="BF1954" t="str">
        <f>""</f>
        <v/>
      </c>
      <c r="BG1954" t="str">
        <f>""</f>
        <v/>
      </c>
      <c r="BH1954" t="str">
        <f>""</f>
        <v/>
      </c>
      <c r="BI1954" t="str">
        <f>""</f>
        <v/>
      </c>
      <c r="BJ1954" t="str">
        <f>""</f>
        <v/>
      </c>
      <c r="BK1954">
        <v>1</v>
      </c>
      <c r="BL1954" t="s">
        <v>107</v>
      </c>
      <c r="BM1954" t="str">
        <f>"Standard Insurance Company"</f>
        <v>Standard Insurance Company</v>
      </c>
      <c r="BN1954" t="s">
        <v>5507</v>
      </c>
      <c r="BP1954" t="s">
        <v>2880</v>
      </c>
      <c r="BQ1954" t="s">
        <v>2769</v>
      </c>
      <c r="BR1954" t="s">
        <v>814</v>
      </c>
      <c r="BS1954" s="5">
        <v>97204</v>
      </c>
      <c r="BT1954" s="2">
        <v>85821</v>
      </c>
      <c r="BU1954" s="2">
        <v>114231</v>
      </c>
      <c r="BV1954" t="s">
        <v>105</v>
      </c>
      <c r="BW1954" s="2">
        <v>85821</v>
      </c>
      <c r="BX1954" t="s">
        <v>105</v>
      </c>
      <c r="BZ1954" t="s">
        <v>123</v>
      </c>
      <c r="CA1954" t="str">
        <f t="shared" si="160"/>
        <v>7/1/2020 - 6/30/2021</v>
      </c>
      <c r="CF1954">
        <v>1</v>
      </c>
      <c r="CG1954" t="s">
        <v>98</v>
      </c>
      <c r="CH1954" t="s">
        <v>206</v>
      </c>
      <c r="CI1954" t="s">
        <v>206</v>
      </c>
      <c r="CL1954" t="s">
        <v>108</v>
      </c>
      <c r="CM1954" t="s">
        <v>109</v>
      </c>
      <c r="CN1954" t="str">
        <f>""</f>
        <v/>
      </c>
      <c r="CO1954" t="str">
        <f>""</f>
        <v/>
      </c>
      <c r="CP1954" t="str">
        <f>""</f>
        <v/>
      </c>
      <c r="CQ1954" t="str">
        <f>""</f>
        <v/>
      </c>
    </row>
    <row r="1955" spans="1:96" x14ac:dyDescent="0.2">
      <c r="A1955" t="s">
        <v>10003</v>
      </c>
      <c r="B1955" t="s">
        <v>96</v>
      </c>
      <c r="C1955" s="1">
        <v>44099</v>
      </c>
      <c r="D1955" s="1">
        <v>44106</v>
      </c>
      <c r="F1955" t="s">
        <v>97</v>
      </c>
      <c r="G1955" t="str">
        <f>"SOFTWARE DEVELOPMENT ENGINEER II"</f>
        <v>SOFTWARE DEVELOPMENT ENGINEER II</v>
      </c>
      <c r="H1955" t="s">
        <v>12169</v>
      </c>
      <c r="I1955" t="s">
        <v>124</v>
      </c>
      <c r="J1955" t="s">
        <v>98</v>
      </c>
      <c r="K1955" s="1">
        <v>44279</v>
      </c>
      <c r="L1955" s="1">
        <v>45374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 t="s">
        <v>440</v>
      </c>
      <c r="U1955" t="str">
        <f>""</f>
        <v/>
      </c>
      <c r="V1955" t="s">
        <v>809</v>
      </c>
      <c r="W1955" t="str">
        <f>"SUITE 500"</f>
        <v>SUITE 500</v>
      </c>
      <c r="X1955" t="s">
        <v>433</v>
      </c>
      <c r="Y1955" t="s">
        <v>176</v>
      </c>
      <c r="Z1955" s="3">
        <v>98121</v>
      </c>
      <c r="AA1955" t="s">
        <v>101</v>
      </c>
      <c r="AC1955" s="4" t="str">
        <f>"+12062661000"</f>
        <v>+12062661000</v>
      </c>
      <c r="AE1955" t="str">
        <f>"454110"</f>
        <v>454110</v>
      </c>
      <c r="AF1955" t="s">
        <v>442</v>
      </c>
      <c r="AG1955" t="s">
        <v>443</v>
      </c>
      <c r="AH1955" t="s">
        <v>108</v>
      </c>
      <c r="AI1955" t="s">
        <v>434</v>
      </c>
      <c r="AJ1955" t="s">
        <v>809</v>
      </c>
      <c r="AK1955" t="str">
        <f>"SUITE 500"</f>
        <v>SUITE 500</v>
      </c>
      <c r="AL1955" t="s">
        <v>433</v>
      </c>
      <c r="AM1955" t="s">
        <v>176</v>
      </c>
      <c r="AN1955" s="3">
        <v>98121</v>
      </c>
      <c r="AO1955" t="s">
        <v>101</v>
      </c>
      <c r="AQ1955" t="str">
        <f>"+12062661000"</f>
        <v>+12062661000</v>
      </c>
      <c r="AS1955" t="s">
        <v>263</v>
      </c>
      <c r="AT1955" t="s">
        <v>107</v>
      </c>
      <c r="AU1955" t="str">
        <f>"MARANCI"</f>
        <v>MARANCI</v>
      </c>
      <c r="AV1955" t="str">
        <f>"DANIEL"</f>
        <v>DANIEL</v>
      </c>
      <c r="AW1955" t="str">
        <f>"N/A"</f>
        <v>N/A</v>
      </c>
      <c r="AX1955" t="str">
        <f>"100 HIGH STREET"</f>
        <v>100 HIGH STREET</v>
      </c>
      <c r="AY1955" t="str">
        <f>"3RD FLOOR C#5311313"</f>
        <v>3RD FLOOR C#5311313</v>
      </c>
      <c r="AZ1955" t="str">
        <f>"BOSTON"</f>
        <v>BOSTON</v>
      </c>
      <c r="BA1955" t="str">
        <f>"MA"</f>
        <v>MA</v>
      </c>
      <c r="BB1955" s="3">
        <v>2110</v>
      </c>
      <c r="BC1955" t="str">
        <f t="shared" ref="BC1955:BC1962" si="161">"UNITED STATES OF AMERICA"</f>
        <v>UNITED STATES OF AMERICA</v>
      </c>
      <c r="BD1955" t="str">
        <f>""</f>
        <v/>
      </c>
      <c r="BE1955" t="str">
        <f>"+16175740400"</f>
        <v>+16175740400</v>
      </c>
      <c r="BF1955" t="str">
        <f>""</f>
        <v/>
      </c>
      <c r="BG1955" t="str">
        <f>"AMAZONINDIA@FRAGOMEN.COM"</f>
        <v>AMAZONINDIA@FRAGOMEN.COM</v>
      </c>
      <c r="BH1955" t="str">
        <f>"FRAGOMEN, DEL REY, BERNSEN &amp; LOEWY, LLP"</f>
        <v>FRAGOMEN, DEL REY, BERNSEN &amp; LOEWY, LLP</v>
      </c>
      <c r="BI1955" t="str">
        <f>"MA"</f>
        <v>MA</v>
      </c>
      <c r="BJ1955" t="str">
        <f>"SUPREME JUDICIAL COURT"</f>
        <v>SUPREME JUDICIAL COURT</v>
      </c>
      <c r="BK1955">
        <v>1</v>
      </c>
      <c r="BL1955" t="s">
        <v>102</v>
      </c>
      <c r="BM1955" t="str">
        <f>""</f>
        <v/>
      </c>
      <c r="BN1955" t="s">
        <v>4176</v>
      </c>
      <c r="BP1955" t="s">
        <v>433</v>
      </c>
      <c r="BQ1955" t="s">
        <v>183</v>
      </c>
      <c r="BR1955" t="s">
        <v>176</v>
      </c>
      <c r="BS1955" s="5">
        <v>98121</v>
      </c>
      <c r="BT1955" s="2">
        <v>134900</v>
      </c>
      <c r="BV1955" t="s">
        <v>105</v>
      </c>
      <c r="BW1955" s="2">
        <v>113110</v>
      </c>
      <c r="BX1955" t="s">
        <v>105</v>
      </c>
      <c r="BZ1955" t="s">
        <v>167</v>
      </c>
      <c r="CA1955" t="str">
        <f t="shared" si="160"/>
        <v>7/1/2020 - 6/30/2021</v>
      </c>
      <c r="CF1955">
        <v>1</v>
      </c>
      <c r="CG1955" t="s">
        <v>98</v>
      </c>
      <c r="CH1955" t="s">
        <v>206</v>
      </c>
      <c r="CI1955" t="s">
        <v>206</v>
      </c>
      <c r="CL1955" t="s">
        <v>108</v>
      </c>
      <c r="CM1955" t="s">
        <v>109</v>
      </c>
      <c r="CN1955" t="str">
        <f>"SUNNY"</f>
        <v>SUNNY</v>
      </c>
      <c r="CO1955" t="str">
        <f>"JASMIN"</f>
        <v>JASMIN</v>
      </c>
      <c r="CP1955" t="str">
        <f>"N/A"</f>
        <v>N/A</v>
      </c>
      <c r="CQ1955" t="str">
        <f>"FRAGOMEN, DEL REY, BERNSEN &amp; LOEWY, LLP"</f>
        <v>FRAGOMEN, DEL REY, BERNSEN &amp; LOEWY, LLP</v>
      </c>
      <c r="CR1955" t="s">
        <v>650</v>
      </c>
    </row>
    <row r="1956" spans="1:96" x14ac:dyDescent="0.2">
      <c r="A1956" t="s">
        <v>10004</v>
      </c>
      <c r="B1956" t="s">
        <v>96</v>
      </c>
      <c r="C1956" s="1">
        <v>44099</v>
      </c>
      <c r="D1956" s="1">
        <v>44106</v>
      </c>
      <c r="F1956" t="s">
        <v>97</v>
      </c>
      <c r="G1956" t="str">
        <f>"Software Developer"</f>
        <v>Software Developer</v>
      </c>
      <c r="H1956" t="s">
        <v>12169</v>
      </c>
      <c r="I1956" t="s">
        <v>124</v>
      </c>
      <c r="J1956" t="s">
        <v>98</v>
      </c>
      <c r="K1956" s="1">
        <v>44105</v>
      </c>
      <c r="L1956" s="1">
        <v>45199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10005</v>
      </c>
      <c r="U1956" t="str">
        <f>""</f>
        <v/>
      </c>
      <c r="V1956" t="s">
        <v>10006</v>
      </c>
      <c r="W1956" t="str">
        <f>""</f>
        <v/>
      </c>
      <c r="X1956" t="s">
        <v>2220</v>
      </c>
      <c r="Y1956" t="s">
        <v>141</v>
      </c>
      <c r="Z1956" s="3">
        <v>92612</v>
      </c>
      <c r="AA1956" t="s">
        <v>101</v>
      </c>
      <c r="AC1956" s="4" t="str">
        <f>"+19492080074"</f>
        <v>+19492080074</v>
      </c>
      <c r="AE1956" t="str">
        <f>"541511"</f>
        <v>541511</v>
      </c>
      <c r="AF1956" t="s">
        <v>10007</v>
      </c>
      <c r="AG1956" t="s">
        <v>5603</v>
      </c>
      <c r="AI1956" t="s">
        <v>508</v>
      </c>
      <c r="AJ1956" t="s">
        <v>10008</v>
      </c>
      <c r="AK1956" t="str">
        <f>"Suite 300"</f>
        <v>Suite 300</v>
      </c>
      <c r="AL1956" t="s">
        <v>2078</v>
      </c>
      <c r="AM1956" t="s">
        <v>141</v>
      </c>
      <c r="AN1956" s="3">
        <v>92612</v>
      </c>
      <c r="AO1956" t="s">
        <v>101</v>
      </c>
      <c r="AQ1956" t="str">
        <f>"+19492080074"</f>
        <v>+19492080074</v>
      </c>
      <c r="AS1956" t="s">
        <v>10009</v>
      </c>
      <c r="AT1956" t="s">
        <v>107</v>
      </c>
      <c r="AU1956" t="str">
        <f>"Chugh"</f>
        <v>Chugh</v>
      </c>
      <c r="AV1956" t="str">
        <f>"Navneet"</f>
        <v>Navneet</v>
      </c>
      <c r="AW1956" t="str">
        <f>"Singh"</f>
        <v>Singh</v>
      </c>
      <c r="AX1956" t="str">
        <f>"15925 Carmenita Road"</f>
        <v>15925 Carmenita Road</v>
      </c>
      <c r="AY1956" t="str">
        <f>""</f>
        <v/>
      </c>
      <c r="AZ1956" t="str">
        <f>"Cerritos"</f>
        <v>Cerritos</v>
      </c>
      <c r="BA1956" t="str">
        <f>"CA"</f>
        <v>CA</v>
      </c>
      <c r="BB1956" s="3">
        <v>90703</v>
      </c>
      <c r="BC1956" t="str">
        <f t="shared" si="161"/>
        <v>UNITED STATES OF AMERICA</v>
      </c>
      <c r="BD1956" t="str">
        <f>""</f>
        <v/>
      </c>
      <c r="BE1956" t="str">
        <f>"+15622291220"</f>
        <v>+15622291220</v>
      </c>
      <c r="BF1956" t="str">
        <f>""</f>
        <v/>
      </c>
      <c r="BG1956" t="str">
        <f>"BALWEEN.KAUR@CHUGH.COM"</f>
        <v>BALWEEN.KAUR@CHUGH.COM</v>
      </c>
      <c r="BH1956" t="str">
        <f>"Chugh, LLP"</f>
        <v>Chugh, LLP</v>
      </c>
      <c r="BI1956" t="str">
        <f>"CA"</f>
        <v>CA</v>
      </c>
      <c r="BJ1956" t="str">
        <f>"Supreme Court"</f>
        <v>Supreme Court</v>
      </c>
      <c r="BK1956">
        <v>1</v>
      </c>
      <c r="BL1956" t="s">
        <v>107</v>
      </c>
      <c r="BM1956" t="str">
        <f>"OPTUM TECHNOLOGY"</f>
        <v>OPTUM TECHNOLOGY</v>
      </c>
      <c r="BN1956" t="s">
        <v>9034</v>
      </c>
      <c r="BP1956" t="s">
        <v>2673</v>
      </c>
      <c r="BQ1956" t="s">
        <v>185</v>
      </c>
      <c r="BR1956" t="s">
        <v>186</v>
      </c>
      <c r="BS1956" s="5">
        <v>55344</v>
      </c>
      <c r="BT1956" s="2">
        <v>78750</v>
      </c>
      <c r="BV1956" t="s">
        <v>105</v>
      </c>
      <c r="BW1956" s="2">
        <v>71698</v>
      </c>
      <c r="BX1956" t="s">
        <v>105</v>
      </c>
      <c r="BZ1956" t="s">
        <v>191</v>
      </c>
      <c r="CA1956" t="str">
        <f t="shared" si="160"/>
        <v>7/1/2020 - 6/30/2021</v>
      </c>
      <c r="CF1956">
        <v>1</v>
      </c>
      <c r="CG1956" t="s">
        <v>98</v>
      </c>
      <c r="CH1956" t="s">
        <v>206</v>
      </c>
      <c r="CI1956" t="s">
        <v>206</v>
      </c>
      <c r="CL1956" t="s">
        <v>108</v>
      </c>
      <c r="CM1956" t="s">
        <v>109</v>
      </c>
      <c r="CN1956" t="str">
        <f>"KAUR"</f>
        <v>KAUR</v>
      </c>
      <c r="CO1956" t="str">
        <f>"BALWEEN"</f>
        <v>BALWEEN</v>
      </c>
      <c r="CP1956" t="str">
        <f>""</f>
        <v/>
      </c>
      <c r="CQ1956" t="str">
        <f>"CHUGH, LLP"</f>
        <v>CHUGH, LLP</v>
      </c>
      <c r="CR1956" t="s">
        <v>10010</v>
      </c>
    </row>
    <row r="1957" spans="1:96" x14ac:dyDescent="0.2">
      <c r="A1957" t="s">
        <v>10015</v>
      </c>
      <c r="B1957" t="s">
        <v>96</v>
      </c>
      <c r="C1957" s="1">
        <v>44099</v>
      </c>
      <c r="D1957" s="1">
        <v>44106</v>
      </c>
      <c r="F1957" t="s">
        <v>97</v>
      </c>
      <c r="G1957" t="str">
        <f>"Developer II Angular"</f>
        <v>Developer II Angular</v>
      </c>
      <c r="H1957" t="s">
        <v>12169</v>
      </c>
      <c r="I1957" t="s">
        <v>124</v>
      </c>
      <c r="J1957" t="s">
        <v>98</v>
      </c>
      <c r="K1957" s="1">
        <v>44130</v>
      </c>
      <c r="L1957" s="1">
        <v>45225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6520</v>
      </c>
      <c r="U1957" t="str">
        <f>""</f>
        <v/>
      </c>
      <c r="V1957" t="s">
        <v>2350</v>
      </c>
      <c r="W1957" t="str">
        <f>""</f>
        <v/>
      </c>
      <c r="X1957" t="s">
        <v>2351</v>
      </c>
      <c r="Y1957" t="s">
        <v>545</v>
      </c>
      <c r="Z1957" s="3">
        <v>37909</v>
      </c>
      <c r="AA1957" t="s">
        <v>101</v>
      </c>
      <c r="AC1957" s="4" t="str">
        <f>"+18654742619"</f>
        <v>+18654742619</v>
      </c>
      <c r="AE1957" t="str">
        <f>"447110"</f>
        <v>447110</v>
      </c>
      <c r="AF1957" t="s">
        <v>2352</v>
      </c>
      <c r="AG1957" t="s">
        <v>2353</v>
      </c>
      <c r="AH1957" t="s">
        <v>2354</v>
      </c>
      <c r="AI1957" t="s">
        <v>2355</v>
      </c>
      <c r="AJ1957" t="s">
        <v>2350</v>
      </c>
      <c r="AK1957" t="str">
        <f>""</f>
        <v/>
      </c>
      <c r="AL1957" t="s">
        <v>2351</v>
      </c>
      <c r="AM1957" t="s">
        <v>545</v>
      </c>
      <c r="AN1957" s="3">
        <v>37909</v>
      </c>
      <c r="AO1957" t="s">
        <v>101</v>
      </c>
      <c r="AQ1957" t="str">
        <f>"+18654742619"</f>
        <v>+18654742619</v>
      </c>
      <c r="AS1957" t="s">
        <v>2356</v>
      </c>
      <c r="AT1957" t="s">
        <v>107</v>
      </c>
      <c r="AU1957" t="str">
        <f>"CARRASCO"</f>
        <v>CARRASCO</v>
      </c>
      <c r="AV1957" t="str">
        <f>"Melissa"</f>
        <v>Melissa</v>
      </c>
      <c r="AW1957" t="str">
        <f>""</f>
        <v/>
      </c>
      <c r="AX1957" t="str">
        <f>"900 S GAY ST # 1400"</f>
        <v>900 S GAY ST # 1400</v>
      </c>
      <c r="AY1957" t="str">
        <f>""</f>
        <v/>
      </c>
      <c r="AZ1957" t="str">
        <f>"KNOXVILLE "</f>
        <v xml:space="preserve">KNOXVILLE </v>
      </c>
      <c r="BA1957" t="str">
        <f>"TN"</f>
        <v>TN</v>
      </c>
      <c r="BB1957" s="3">
        <v>37902</v>
      </c>
      <c r="BC1957" t="str">
        <f t="shared" si="161"/>
        <v>UNITED STATES OF AMERICA</v>
      </c>
      <c r="BD1957" t="str">
        <f>""</f>
        <v/>
      </c>
      <c r="BE1957" t="str">
        <f>"+18655460500"</f>
        <v>+18655460500</v>
      </c>
      <c r="BF1957" t="str">
        <f>""</f>
        <v/>
      </c>
      <c r="BG1957" t="str">
        <f>"mcarrasco@emlaw.com"</f>
        <v>mcarrasco@emlaw.com</v>
      </c>
      <c r="BH1957" t="str">
        <f>"EGERTON, MCAFEE, ARMISTEAD &amp; DAVIS, PC "</f>
        <v xml:space="preserve">EGERTON, MCAFEE, ARMISTEAD &amp; DAVIS, PC </v>
      </c>
      <c r="BI1957" t="str">
        <f>"TN"</f>
        <v>TN</v>
      </c>
      <c r="BJ1957" t="str">
        <f>"TENNESSEE SUPREME COURT"</f>
        <v>TENNESSEE SUPREME COURT</v>
      </c>
      <c r="BK1957">
        <v>1</v>
      </c>
      <c r="BL1957" t="s">
        <v>102</v>
      </c>
      <c r="BM1957" t="str">
        <f>""</f>
        <v/>
      </c>
      <c r="BN1957" t="s">
        <v>10016</v>
      </c>
      <c r="BO1957" t="s">
        <v>3737</v>
      </c>
      <c r="BP1957" t="s">
        <v>3971</v>
      </c>
      <c r="BQ1957" t="s">
        <v>4438</v>
      </c>
      <c r="BR1957" t="s">
        <v>545</v>
      </c>
      <c r="BS1957" s="5">
        <v>37939</v>
      </c>
      <c r="BT1957" s="2">
        <v>95500</v>
      </c>
      <c r="BU1957" s="2">
        <v>105050</v>
      </c>
      <c r="BV1957" t="s">
        <v>105</v>
      </c>
      <c r="BW1957" s="2">
        <v>69909</v>
      </c>
      <c r="BX1957" t="s">
        <v>105</v>
      </c>
      <c r="BZ1957" t="s">
        <v>167</v>
      </c>
      <c r="CA1957" t="str">
        <f t="shared" si="160"/>
        <v>7/1/2020 - 6/30/2021</v>
      </c>
      <c r="CF1957">
        <v>1</v>
      </c>
      <c r="CG1957" t="s">
        <v>98</v>
      </c>
      <c r="CH1957" t="s">
        <v>206</v>
      </c>
      <c r="CI1957" t="s">
        <v>206</v>
      </c>
      <c r="CL1957" t="s">
        <v>108</v>
      </c>
      <c r="CM1957" t="s">
        <v>109</v>
      </c>
      <c r="CN1957" t="str">
        <f>""</f>
        <v/>
      </c>
      <c r="CO1957" t="str">
        <f>""</f>
        <v/>
      </c>
      <c r="CP1957" t="str">
        <f>""</f>
        <v/>
      </c>
      <c r="CQ1957" t="str">
        <f>""</f>
        <v/>
      </c>
    </row>
    <row r="1958" spans="1:96" x14ac:dyDescent="0.2">
      <c r="A1958" t="s">
        <v>10023</v>
      </c>
      <c r="B1958" t="s">
        <v>96</v>
      </c>
      <c r="C1958" s="1">
        <v>44099</v>
      </c>
      <c r="D1958" s="1">
        <v>44106</v>
      </c>
      <c r="F1958" t="s">
        <v>97</v>
      </c>
      <c r="G1958" t="str">
        <f>"SOFTWARE DEVELOPMENT ENGINEER I"</f>
        <v>SOFTWARE DEVELOPMENT ENGINEER I</v>
      </c>
      <c r="H1958" t="s">
        <v>12169</v>
      </c>
      <c r="I1958" t="s">
        <v>124</v>
      </c>
      <c r="J1958" t="s">
        <v>98</v>
      </c>
      <c r="K1958" s="1">
        <v>44105</v>
      </c>
      <c r="L1958" s="1">
        <v>45199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 t="s">
        <v>440</v>
      </c>
      <c r="U1958" t="str">
        <f>""</f>
        <v/>
      </c>
      <c r="V1958" t="s">
        <v>809</v>
      </c>
      <c r="W1958" t="str">
        <f>"SUITE 500"</f>
        <v>SUITE 500</v>
      </c>
      <c r="X1958" t="s">
        <v>433</v>
      </c>
      <c r="Y1958" t="s">
        <v>176</v>
      </c>
      <c r="Z1958" s="3">
        <v>98121</v>
      </c>
      <c r="AA1958" t="s">
        <v>101</v>
      </c>
      <c r="AC1958" s="4" t="str">
        <f>"+12062661000"</f>
        <v>+12062661000</v>
      </c>
      <c r="AE1958" t="str">
        <f>"454110"</f>
        <v>454110</v>
      </c>
      <c r="AF1958" t="s">
        <v>442</v>
      </c>
      <c r="AG1958" t="s">
        <v>443</v>
      </c>
      <c r="AH1958" t="s">
        <v>108</v>
      </c>
      <c r="AI1958" t="s">
        <v>434</v>
      </c>
      <c r="AJ1958" t="s">
        <v>809</v>
      </c>
      <c r="AK1958" t="str">
        <f>"SUITE 500"</f>
        <v>SUITE 500</v>
      </c>
      <c r="AL1958" t="s">
        <v>433</v>
      </c>
      <c r="AM1958" t="s">
        <v>176</v>
      </c>
      <c r="AN1958" s="3">
        <v>98121</v>
      </c>
      <c r="AO1958" t="s">
        <v>101</v>
      </c>
      <c r="AQ1958" t="str">
        <f>"+12062661000"</f>
        <v>+12062661000</v>
      </c>
      <c r="AS1958" t="s">
        <v>263</v>
      </c>
      <c r="AT1958" t="s">
        <v>107</v>
      </c>
      <c r="AU1958" t="str">
        <f>"MARANCI"</f>
        <v>MARANCI</v>
      </c>
      <c r="AV1958" t="str">
        <f>"DANIEL"</f>
        <v>DANIEL</v>
      </c>
      <c r="AW1958" t="str">
        <f>"N/A"</f>
        <v>N/A</v>
      </c>
      <c r="AX1958" t="str">
        <f>"100 HIGH STREET"</f>
        <v>100 HIGH STREET</v>
      </c>
      <c r="AY1958" t="str">
        <f>"3RD FLOOR C#5288716"</f>
        <v>3RD FLOOR C#5288716</v>
      </c>
      <c r="AZ1958" t="str">
        <f>"BOSTON"</f>
        <v>BOSTON</v>
      </c>
      <c r="BA1958" t="str">
        <f>"MA"</f>
        <v>MA</v>
      </c>
      <c r="BB1958" s="3">
        <v>2110</v>
      </c>
      <c r="BC1958" t="str">
        <f t="shared" si="161"/>
        <v>UNITED STATES OF AMERICA</v>
      </c>
      <c r="BD1958" t="str">
        <f>""</f>
        <v/>
      </c>
      <c r="BE1958" t="str">
        <f>"+16175740400"</f>
        <v>+16175740400</v>
      </c>
      <c r="BF1958" t="str">
        <f>""</f>
        <v/>
      </c>
      <c r="BG1958" t="str">
        <f>"AMAZONINDIA@FRAGOMEN.COM"</f>
        <v>AMAZONINDIA@FRAGOMEN.COM</v>
      </c>
      <c r="BH1958" t="str">
        <f>"FRAGOMEN, DEL REY, BERNSEN &amp; LOEWY, LLP"</f>
        <v>FRAGOMEN, DEL REY, BERNSEN &amp; LOEWY, LLP</v>
      </c>
      <c r="BI1958" t="str">
        <f>"MA"</f>
        <v>MA</v>
      </c>
      <c r="BJ1958" t="str">
        <f>"SUPREME JUDICIAL COURT"</f>
        <v>SUPREME JUDICIAL COURT</v>
      </c>
      <c r="BK1958">
        <v>1</v>
      </c>
      <c r="BL1958" t="s">
        <v>102</v>
      </c>
      <c r="BM1958" t="str">
        <f>""</f>
        <v/>
      </c>
      <c r="BN1958" t="s">
        <v>809</v>
      </c>
      <c r="BO1958" t="s">
        <v>3744</v>
      </c>
      <c r="BP1958" t="s">
        <v>433</v>
      </c>
      <c r="BQ1958" t="s">
        <v>183</v>
      </c>
      <c r="BR1958" t="s">
        <v>176</v>
      </c>
      <c r="BS1958" s="5">
        <v>98121</v>
      </c>
      <c r="BT1958" s="2">
        <v>126200</v>
      </c>
      <c r="BV1958" t="s">
        <v>105</v>
      </c>
      <c r="BW1958" s="2">
        <v>92102</v>
      </c>
      <c r="BX1958" t="s">
        <v>105</v>
      </c>
      <c r="BZ1958" t="s">
        <v>191</v>
      </c>
      <c r="CA1958" t="str">
        <f t="shared" si="160"/>
        <v>7/1/2020 - 6/30/2021</v>
      </c>
      <c r="CF1958">
        <v>2</v>
      </c>
      <c r="CG1958" t="s">
        <v>98</v>
      </c>
      <c r="CH1958" t="s">
        <v>206</v>
      </c>
      <c r="CI1958" t="s">
        <v>206</v>
      </c>
      <c r="CL1958" t="s">
        <v>108</v>
      </c>
      <c r="CM1958" t="s">
        <v>109</v>
      </c>
      <c r="CN1958" t="str">
        <f>"SUNNY"</f>
        <v>SUNNY</v>
      </c>
      <c r="CO1958" t="str">
        <f>"JASMIN"</f>
        <v>JASMIN</v>
      </c>
      <c r="CP1958" t="str">
        <f>"N/A"</f>
        <v>N/A</v>
      </c>
      <c r="CQ1958" t="str">
        <f>"FRAGOMEN, DEL REY, BERNSEN &amp; LOEWY, LLP"</f>
        <v>FRAGOMEN, DEL REY, BERNSEN &amp; LOEWY, LLP</v>
      </c>
      <c r="CR1958" t="s">
        <v>650</v>
      </c>
    </row>
    <row r="1959" spans="1:96" x14ac:dyDescent="0.2">
      <c r="A1959" t="s">
        <v>10024</v>
      </c>
      <c r="B1959" t="s">
        <v>96</v>
      </c>
      <c r="C1959" s="1">
        <v>44099</v>
      </c>
      <c r="D1959" s="1">
        <v>44106</v>
      </c>
      <c r="F1959" t="s">
        <v>97</v>
      </c>
      <c r="G1959" t="str">
        <f>"International Business Development Analyst (APAC-SE ASIA)"</f>
        <v>International Business Development Analyst (APAC-SE ASIA)</v>
      </c>
      <c r="H1959" t="s">
        <v>12174</v>
      </c>
      <c r="I1959" t="s">
        <v>1795</v>
      </c>
      <c r="J1959" t="s">
        <v>206</v>
      </c>
      <c r="K1959" s="1">
        <v>44105</v>
      </c>
      <c r="L1959" s="1">
        <v>45199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 t="s">
        <v>10025</v>
      </c>
      <c r="U1959" t="str">
        <f>""</f>
        <v/>
      </c>
      <c r="V1959" t="s">
        <v>10026</v>
      </c>
      <c r="W1959" t="str">
        <f>""</f>
        <v/>
      </c>
      <c r="X1959" t="s">
        <v>229</v>
      </c>
      <c r="Y1959" t="s">
        <v>141</v>
      </c>
      <c r="Z1959" s="3">
        <v>94085</v>
      </c>
      <c r="AA1959" t="s">
        <v>101</v>
      </c>
      <c r="AC1959" s="4" t="str">
        <f>"+14085241452"</f>
        <v>+14085241452</v>
      </c>
      <c r="AE1959" t="str">
        <f>"561439"</f>
        <v>561439</v>
      </c>
      <c r="AF1959" t="s">
        <v>2418</v>
      </c>
      <c r="AG1959" t="s">
        <v>1459</v>
      </c>
      <c r="AI1959" t="s">
        <v>396</v>
      </c>
      <c r="AJ1959" t="s">
        <v>10026</v>
      </c>
      <c r="AK1959" t="str">
        <f>""</f>
        <v/>
      </c>
      <c r="AL1959" t="s">
        <v>229</v>
      </c>
      <c r="AM1959" t="s">
        <v>141</v>
      </c>
      <c r="AN1959" s="3">
        <v>94085</v>
      </c>
      <c r="AO1959" t="s">
        <v>101</v>
      </c>
      <c r="AQ1959" t="str">
        <f>"+14085241452"</f>
        <v>+14085241452</v>
      </c>
      <c r="AS1959" t="s">
        <v>10027</v>
      </c>
      <c r="AT1959" t="s">
        <v>107</v>
      </c>
      <c r="AU1959" t="str">
        <f>"WOO"</f>
        <v>WOO</v>
      </c>
      <c r="AV1959" t="str">
        <f>"WARREN"</f>
        <v>WARREN</v>
      </c>
      <c r="AW1959" t="str">
        <f>""</f>
        <v/>
      </c>
      <c r="AX1959" t="str">
        <f>"340 LORTON AVE"</f>
        <v>340 LORTON AVE</v>
      </c>
      <c r="AY1959" t="str">
        <f>"Suite 214"</f>
        <v>Suite 214</v>
      </c>
      <c r="AZ1959" t="str">
        <f>"BURLINGAME"</f>
        <v>BURLINGAME</v>
      </c>
      <c r="BA1959" t="str">
        <f>"CA"</f>
        <v>CA</v>
      </c>
      <c r="BB1959" s="3">
        <v>94010</v>
      </c>
      <c r="BC1959" t="str">
        <f t="shared" si="161"/>
        <v>UNITED STATES OF AMERICA</v>
      </c>
      <c r="BD1959" t="str">
        <f>""</f>
        <v/>
      </c>
      <c r="BE1959" t="str">
        <f>"+16504017633"</f>
        <v>+16504017633</v>
      </c>
      <c r="BF1959" t="str">
        <f>""</f>
        <v/>
      </c>
      <c r="BG1959" t="str">
        <f>"warrenwoo@wkwlawyer.com"</f>
        <v>warrenwoo@wkwlawyer.com</v>
      </c>
      <c r="BH1959" t="str">
        <f>"Warren K. Woo, Attorney at Law"</f>
        <v>Warren K. Woo, Attorney at Law</v>
      </c>
      <c r="BI1959" t="str">
        <f>"CA"</f>
        <v>CA</v>
      </c>
      <c r="BJ1959" t="str">
        <f>"California Supreme Court"</f>
        <v>California Supreme Court</v>
      </c>
      <c r="BK1959">
        <v>1</v>
      </c>
      <c r="BL1959" t="s">
        <v>102</v>
      </c>
      <c r="BM1959" t="str">
        <f>""</f>
        <v/>
      </c>
      <c r="BN1959" t="s">
        <v>10028</v>
      </c>
      <c r="BP1959" t="s">
        <v>229</v>
      </c>
      <c r="BQ1959" t="s">
        <v>230</v>
      </c>
      <c r="BR1959" t="s">
        <v>141</v>
      </c>
      <c r="BS1959" s="5">
        <v>94085</v>
      </c>
      <c r="BT1959" s="2">
        <v>36.159999999999997</v>
      </c>
      <c r="BU1959" s="2">
        <v>37</v>
      </c>
      <c r="BV1959" t="s">
        <v>210</v>
      </c>
      <c r="BW1959" s="2">
        <v>34.89</v>
      </c>
      <c r="BX1959" t="s">
        <v>210</v>
      </c>
      <c r="BZ1959" t="s">
        <v>167</v>
      </c>
      <c r="CA1959" t="str">
        <f t="shared" si="160"/>
        <v>7/1/2020 - 6/30/2021</v>
      </c>
      <c r="CF1959">
        <v>1</v>
      </c>
      <c r="CG1959" t="s">
        <v>98</v>
      </c>
      <c r="CH1959" t="s">
        <v>206</v>
      </c>
      <c r="CI1959" t="s">
        <v>206</v>
      </c>
      <c r="CL1959" t="s">
        <v>108</v>
      </c>
      <c r="CM1959" t="s">
        <v>109</v>
      </c>
      <c r="CN1959" t="str">
        <f>""</f>
        <v/>
      </c>
      <c r="CO1959" t="str">
        <f>""</f>
        <v/>
      </c>
      <c r="CP1959" t="str">
        <f>""</f>
        <v/>
      </c>
      <c r="CQ1959" t="str">
        <f>""</f>
        <v/>
      </c>
    </row>
    <row r="1960" spans="1:96" x14ac:dyDescent="0.2">
      <c r="A1960" t="s">
        <v>10031</v>
      </c>
      <c r="B1960" t="s">
        <v>96</v>
      </c>
      <c r="C1960" s="1">
        <v>44099</v>
      </c>
      <c r="D1960" s="1">
        <v>44106</v>
      </c>
      <c r="F1960" t="s">
        <v>97</v>
      </c>
      <c r="G1960" t="str">
        <f>"Android Software Engineer"</f>
        <v>Android Software Engineer</v>
      </c>
      <c r="H1960" t="s">
        <v>12169</v>
      </c>
      <c r="I1960" t="s">
        <v>124</v>
      </c>
      <c r="J1960" t="s">
        <v>98</v>
      </c>
      <c r="K1960" s="1">
        <v>44116</v>
      </c>
      <c r="L1960" s="1">
        <v>45210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 t="s">
        <v>3059</v>
      </c>
      <c r="U1960" t="str">
        <f>""</f>
        <v/>
      </c>
      <c r="V1960" t="s">
        <v>3060</v>
      </c>
      <c r="W1960" t="str">
        <f>"Suite 600"</f>
        <v>Suite 600</v>
      </c>
      <c r="X1960" t="s">
        <v>140</v>
      </c>
      <c r="Y1960" t="s">
        <v>141</v>
      </c>
      <c r="Z1960" s="3">
        <v>94103</v>
      </c>
      <c r="AA1960" t="s">
        <v>101</v>
      </c>
      <c r="AC1960" s="4" t="str">
        <f>"+14153753176"</f>
        <v>+14153753176</v>
      </c>
      <c r="AD1960">
        <v>0</v>
      </c>
      <c r="AE1960" t="str">
        <f>"511210"</f>
        <v>511210</v>
      </c>
      <c r="AF1960" t="s">
        <v>3061</v>
      </c>
      <c r="AG1960" t="s">
        <v>3062</v>
      </c>
      <c r="AI1960" t="s">
        <v>3063</v>
      </c>
      <c r="AJ1960" t="s">
        <v>3064</v>
      </c>
      <c r="AK1960" t="str">
        <f>"Suite 600"</f>
        <v>Suite 600</v>
      </c>
      <c r="AL1960" t="s">
        <v>140</v>
      </c>
      <c r="AM1960" t="s">
        <v>141</v>
      </c>
      <c r="AN1960" s="3">
        <v>94103</v>
      </c>
      <c r="AO1960" t="s">
        <v>101</v>
      </c>
      <c r="AQ1960" t="str">
        <f>"+14153753176"</f>
        <v>+14153753176</v>
      </c>
      <c r="AR1960">
        <v>0</v>
      </c>
      <c r="AS1960" t="s">
        <v>3065</v>
      </c>
      <c r="AT1960" t="s">
        <v>107</v>
      </c>
      <c r="AU1960" t="str">
        <f>"Kirst"</f>
        <v>Kirst</v>
      </c>
      <c r="AV1960" t="str">
        <f>"Krystal"</f>
        <v>Krystal</v>
      </c>
      <c r="AW1960" t="str">
        <f>"S."</f>
        <v>S.</v>
      </c>
      <c r="AX1960" t="str">
        <f>"2101 Wilson Blvd."</f>
        <v>2101 Wilson Blvd.</v>
      </c>
      <c r="AY1960" t="str">
        <f>"Suite 1100"</f>
        <v>Suite 1100</v>
      </c>
      <c r="AZ1960" t="str">
        <f>"Arlington"</f>
        <v>Arlington</v>
      </c>
      <c r="BA1960" t="str">
        <f>"VA"</f>
        <v>VA</v>
      </c>
      <c r="BB1960" s="3">
        <v>22201</v>
      </c>
      <c r="BC1960" t="str">
        <f t="shared" si="161"/>
        <v>UNITED STATES OF AMERICA</v>
      </c>
      <c r="BD1960" t="str">
        <f>""</f>
        <v/>
      </c>
      <c r="BE1960" t="str">
        <f>"+17036784000"</f>
        <v>+17036784000</v>
      </c>
      <c r="BF1960" t="str">
        <f>""</f>
        <v/>
      </c>
      <c r="BG1960" t="str">
        <f>"krystal@eiglaw.com"</f>
        <v>krystal@eiglaw.com</v>
      </c>
      <c r="BH1960" t="str">
        <f>"Erickson Immigration Group"</f>
        <v>Erickson Immigration Group</v>
      </c>
      <c r="BI1960" t="str">
        <f>"VA"</f>
        <v>VA</v>
      </c>
      <c r="BJ1960" t="str">
        <f>"Supreme Court"</f>
        <v>Supreme Court</v>
      </c>
      <c r="BK1960">
        <v>1</v>
      </c>
      <c r="BL1960" t="s">
        <v>102</v>
      </c>
      <c r="BM1960" t="str">
        <f>""</f>
        <v/>
      </c>
      <c r="BN1960" t="s">
        <v>10032</v>
      </c>
      <c r="BO1960" t="s">
        <v>4379</v>
      </c>
      <c r="BP1960" t="s">
        <v>213</v>
      </c>
      <c r="BQ1960" t="s">
        <v>214</v>
      </c>
      <c r="BR1960" t="s">
        <v>215</v>
      </c>
      <c r="BS1960" s="5">
        <v>30363</v>
      </c>
      <c r="BT1960" s="2">
        <v>150000</v>
      </c>
      <c r="BV1960" t="s">
        <v>105</v>
      </c>
      <c r="BW1960" s="2">
        <v>103501</v>
      </c>
      <c r="BX1960" t="s">
        <v>105</v>
      </c>
      <c r="BZ1960" t="s">
        <v>123</v>
      </c>
      <c r="CA1960" t="str">
        <f t="shared" si="160"/>
        <v>7/1/2020 - 6/30/2021</v>
      </c>
      <c r="CF1960">
        <v>2</v>
      </c>
      <c r="CG1960" t="s">
        <v>98</v>
      </c>
      <c r="CH1960" t="s">
        <v>206</v>
      </c>
      <c r="CI1960" t="s">
        <v>206</v>
      </c>
      <c r="CL1960" t="s">
        <v>108</v>
      </c>
      <c r="CM1960" t="s">
        <v>109</v>
      </c>
      <c r="CN1960" t="str">
        <f>"Jou"</f>
        <v>Jou</v>
      </c>
      <c r="CO1960" t="str">
        <f>"Jennifer"</f>
        <v>Jennifer</v>
      </c>
      <c r="CP1960" t="str">
        <f>"N/A"</f>
        <v>N/A</v>
      </c>
      <c r="CQ1960" t="str">
        <f>"Erickson Immigration Group"</f>
        <v>Erickson Immigration Group</v>
      </c>
      <c r="CR1960" t="s">
        <v>3728</v>
      </c>
    </row>
    <row r="1961" spans="1:96" x14ac:dyDescent="0.2">
      <c r="A1961" t="s">
        <v>10059</v>
      </c>
      <c r="B1961" t="s">
        <v>96</v>
      </c>
      <c r="C1961" s="1">
        <v>44099</v>
      </c>
      <c r="D1961" s="1">
        <v>44106</v>
      </c>
      <c r="F1961" t="s">
        <v>97</v>
      </c>
      <c r="G1961" t="str">
        <f>"Senior Software Engineer"</f>
        <v>Senior Software Engineer</v>
      </c>
      <c r="H1961" t="s">
        <v>12169</v>
      </c>
      <c r="I1961" t="s">
        <v>124</v>
      </c>
      <c r="J1961" t="s">
        <v>98</v>
      </c>
      <c r="K1961" s="1">
        <v>44116</v>
      </c>
      <c r="L1961" s="1">
        <v>45210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 t="s">
        <v>10060</v>
      </c>
      <c r="U1961" t="str">
        <f>""</f>
        <v/>
      </c>
      <c r="V1961" t="s">
        <v>10061</v>
      </c>
      <c r="W1961" t="str">
        <f>""</f>
        <v/>
      </c>
      <c r="X1961" t="s">
        <v>158</v>
      </c>
      <c r="Y1961" t="s">
        <v>141</v>
      </c>
      <c r="Z1961" s="3">
        <v>92130</v>
      </c>
      <c r="AA1961" t="s">
        <v>101</v>
      </c>
      <c r="AB1961" t="s">
        <v>1246</v>
      </c>
      <c r="AC1961" s="4" t="str">
        <f>"+18554668748"</f>
        <v>+18554668748</v>
      </c>
      <c r="AE1961" t="str">
        <f>"541511"</f>
        <v>541511</v>
      </c>
      <c r="AF1961" t="s">
        <v>10062</v>
      </c>
      <c r="AG1961" t="s">
        <v>2574</v>
      </c>
      <c r="AI1961" t="s">
        <v>2878</v>
      </c>
      <c r="AJ1961" t="s">
        <v>10061</v>
      </c>
      <c r="AK1961" t="str">
        <f>""</f>
        <v/>
      </c>
      <c r="AL1961" t="s">
        <v>158</v>
      </c>
      <c r="AM1961" t="s">
        <v>141</v>
      </c>
      <c r="AN1961" s="3">
        <v>92130</v>
      </c>
      <c r="AO1961" t="s">
        <v>101</v>
      </c>
      <c r="AQ1961" t="str">
        <f>"+18554668748"</f>
        <v>+18554668748</v>
      </c>
      <c r="AS1961" t="s">
        <v>10063</v>
      </c>
      <c r="AT1961" t="s">
        <v>107</v>
      </c>
      <c r="AU1961" t="str">
        <f>"Sheppard"</f>
        <v>Sheppard</v>
      </c>
      <c r="AV1961" t="str">
        <f>"Donald"</f>
        <v>Donald</v>
      </c>
      <c r="AW1961" t="str">
        <f>"Kyle"</f>
        <v>Kyle</v>
      </c>
      <c r="AX1961" t="str">
        <f>"401 West A Street "</f>
        <v xml:space="preserve">401 West A Street </v>
      </c>
      <c r="AY1961" t="str">
        <f>"Suite 2600"</f>
        <v>Suite 2600</v>
      </c>
      <c r="AZ1961" t="str">
        <f>"San Diego"</f>
        <v>San Diego</v>
      </c>
      <c r="BA1961" t="str">
        <f>"CA"</f>
        <v>CA</v>
      </c>
      <c r="BB1961" s="3">
        <v>92101</v>
      </c>
      <c r="BC1961" t="str">
        <f t="shared" si="161"/>
        <v>UNITED STATES OF AMERICA</v>
      </c>
      <c r="BD1961" t="str">
        <f>"CA"</f>
        <v>CA</v>
      </c>
      <c r="BE1961" t="str">
        <f>"+16195954243"</f>
        <v>+16195954243</v>
      </c>
      <c r="BF1961" t="str">
        <f>""</f>
        <v/>
      </c>
      <c r="BG1961" t="str">
        <f>"dsheppard@higgslaw.com"</f>
        <v>dsheppard@higgslaw.com</v>
      </c>
      <c r="BH1961" t="str">
        <f>"Higgs Fletcher and Mack LLP"</f>
        <v>Higgs Fletcher and Mack LLP</v>
      </c>
      <c r="BI1961" t="str">
        <f>"CA"</f>
        <v>CA</v>
      </c>
      <c r="BJ1961" t="str">
        <f>"Supreme Court"</f>
        <v>Supreme Court</v>
      </c>
      <c r="BK1961">
        <v>1</v>
      </c>
      <c r="BL1961" t="s">
        <v>102</v>
      </c>
      <c r="BM1961" t="str">
        <f>""</f>
        <v/>
      </c>
      <c r="BN1961" t="s">
        <v>10064</v>
      </c>
      <c r="BP1961" t="s">
        <v>140</v>
      </c>
      <c r="BQ1961" t="s">
        <v>147</v>
      </c>
      <c r="BR1961" t="s">
        <v>141</v>
      </c>
      <c r="BS1961" s="5">
        <v>94105</v>
      </c>
      <c r="BT1961" s="2">
        <v>155000</v>
      </c>
      <c r="BV1961" t="s">
        <v>105</v>
      </c>
      <c r="BW1961" s="2">
        <v>145246</v>
      </c>
      <c r="BX1961" t="s">
        <v>105</v>
      </c>
      <c r="BZ1961" t="s">
        <v>123</v>
      </c>
      <c r="CA1961" t="str">
        <f t="shared" si="160"/>
        <v>7/1/2020 - 6/30/2021</v>
      </c>
      <c r="CF1961">
        <v>1</v>
      </c>
      <c r="CG1961" t="s">
        <v>98</v>
      </c>
      <c r="CH1961" t="s">
        <v>206</v>
      </c>
      <c r="CI1961" t="s">
        <v>206</v>
      </c>
      <c r="CL1961" t="s">
        <v>108</v>
      </c>
      <c r="CM1961" t="s">
        <v>109</v>
      </c>
      <c r="CN1961" t="str">
        <f>""</f>
        <v/>
      </c>
      <c r="CO1961" t="str">
        <f>""</f>
        <v/>
      </c>
      <c r="CP1961" t="str">
        <f>""</f>
        <v/>
      </c>
      <c r="CQ1961" t="str">
        <f>""</f>
        <v/>
      </c>
    </row>
    <row r="1962" spans="1:96" x14ac:dyDescent="0.2">
      <c r="A1962" t="s">
        <v>10065</v>
      </c>
      <c r="B1962" t="s">
        <v>96</v>
      </c>
      <c r="C1962" s="1">
        <v>44099</v>
      </c>
      <c r="D1962" s="1">
        <v>44106</v>
      </c>
      <c r="F1962" t="s">
        <v>97</v>
      </c>
      <c r="G1962" t="str">
        <f>"Software Engineer - Integration "</f>
        <v xml:space="preserve">Software Engineer - Integration </v>
      </c>
      <c r="H1962" t="s">
        <v>12168</v>
      </c>
      <c r="I1962" t="s">
        <v>160</v>
      </c>
      <c r="J1962" t="s">
        <v>98</v>
      </c>
      <c r="K1962" s="1">
        <v>44240</v>
      </c>
      <c r="L1962" s="1">
        <v>45334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 t="s">
        <v>10066</v>
      </c>
      <c r="U1962" t="str">
        <f>""</f>
        <v/>
      </c>
      <c r="V1962" t="s">
        <v>10067</v>
      </c>
      <c r="W1962" t="str">
        <f>""</f>
        <v/>
      </c>
      <c r="X1962" t="s">
        <v>394</v>
      </c>
      <c r="Y1962" t="s">
        <v>114</v>
      </c>
      <c r="Z1962" s="3">
        <v>77058</v>
      </c>
      <c r="AA1962" t="s">
        <v>101</v>
      </c>
      <c r="AC1962" s="4" t="str">
        <f>"+12814801121"</f>
        <v>+12814801121</v>
      </c>
      <c r="AE1962" t="str">
        <f>"541611"</f>
        <v>541611</v>
      </c>
      <c r="AF1962" t="s">
        <v>3479</v>
      </c>
      <c r="AG1962" t="s">
        <v>2418</v>
      </c>
      <c r="AI1962" t="s">
        <v>10068</v>
      </c>
      <c r="AJ1962" t="s">
        <v>10069</v>
      </c>
      <c r="AK1962" t="str">
        <f>""</f>
        <v/>
      </c>
      <c r="AL1962" t="s">
        <v>394</v>
      </c>
      <c r="AM1962" t="s">
        <v>114</v>
      </c>
      <c r="AN1962" s="3">
        <v>77058</v>
      </c>
      <c r="AO1962" t="s">
        <v>101</v>
      </c>
      <c r="AQ1962" t="str">
        <f>"+12814801121"</f>
        <v>+12814801121</v>
      </c>
      <c r="AS1962" t="s">
        <v>10070</v>
      </c>
      <c r="AT1962" t="s">
        <v>107</v>
      </c>
      <c r="AU1962" t="str">
        <f>"Reardon"</f>
        <v>Reardon</v>
      </c>
      <c r="AV1962" t="str">
        <f>"Brian"</f>
        <v>Brian</v>
      </c>
      <c r="AW1962" t="str">
        <f>""</f>
        <v/>
      </c>
      <c r="AX1962" t="str">
        <f>"230 W Monroe Street"</f>
        <v>230 W Monroe Street</v>
      </c>
      <c r="AY1962" t="str">
        <f>"Suite 2800 "</f>
        <v xml:space="preserve">Suite 2800 </v>
      </c>
      <c r="AZ1962" t="str">
        <f>"Chicago"</f>
        <v>Chicago</v>
      </c>
      <c r="BA1962" t="str">
        <f>"IL"</f>
        <v>IL</v>
      </c>
      <c r="BB1962" s="3">
        <v>60606</v>
      </c>
      <c r="BC1962" t="str">
        <f t="shared" si="161"/>
        <v>UNITED STATES OF AMERICA</v>
      </c>
      <c r="BD1962" t="str">
        <f>""</f>
        <v/>
      </c>
      <c r="BE1962" t="str">
        <f>"+13127226300"</f>
        <v>+13127226300</v>
      </c>
      <c r="BF1962" t="str">
        <f>""</f>
        <v/>
      </c>
      <c r="BG1962" t="str">
        <f>"gov@giafirm.com"</f>
        <v>gov@giafirm.com</v>
      </c>
      <c r="BH1962" t="str">
        <f>"Global Immigration Associates, P.C. "</f>
        <v xml:space="preserve">Global Immigration Associates, P.C. </v>
      </c>
      <c r="BI1962" t="str">
        <f>"IL"</f>
        <v>IL</v>
      </c>
      <c r="BJ1962" t="str">
        <f>"Supreme Court "</f>
        <v xml:space="preserve">Supreme Court </v>
      </c>
      <c r="BK1962">
        <v>1</v>
      </c>
      <c r="BL1962" t="s">
        <v>102</v>
      </c>
      <c r="BM1962" t="str">
        <f>""</f>
        <v/>
      </c>
      <c r="BN1962" t="s">
        <v>10067</v>
      </c>
      <c r="BP1962" t="s">
        <v>394</v>
      </c>
      <c r="BQ1962" t="s">
        <v>395</v>
      </c>
      <c r="BR1962" t="s">
        <v>114</v>
      </c>
      <c r="BS1962" s="5">
        <v>77058</v>
      </c>
      <c r="BT1962" s="2">
        <v>53000</v>
      </c>
      <c r="BV1962" t="s">
        <v>105</v>
      </c>
      <c r="BW1962" s="2">
        <v>49858</v>
      </c>
      <c r="BX1962" t="s">
        <v>105</v>
      </c>
      <c r="BZ1962" t="s">
        <v>191</v>
      </c>
      <c r="CA1962" t="str">
        <f t="shared" si="160"/>
        <v>7/1/2020 - 6/30/2021</v>
      </c>
      <c r="CF1962">
        <v>2</v>
      </c>
      <c r="CG1962" t="s">
        <v>98</v>
      </c>
      <c r="CH1962" t="s">
        <v>206</v>
      </c>
      <c r="CI1962" t="s">
        <v>206</v>
      </c>
      <c r="CL1962" t="s">
        <v>108</v>
      </c>
      <c r="CM1962" t="s">
        <v>109</v>
      </c>
      <c r="CN1962" t="str">
        <f>""</f>
        <v/>
      </c>
      <c r="CO1962" t="str">
        <f>""</f>
        <v/>
      </c>
      <c r="CP1962" t="str">
        <f>""</f>
        <v/>
      </c>
      <c r="CQ1962" t="str">
        <f>""</f>
        <v/>
      </c>
    </row>
    <row r="1963" spans="1:96" x14ac:dyDescent="0.2">
      <c r="A1963" t="s">
        <v>10085</v>
      </c>
      <c r="B1963" t="s">
        <v>96</v>
      </c>
      <c r="C1963" s="1">
        <v>44099</v>
      </c>
      <c r="D1963" s="1">
        <v>44106</v>
      </c>
      <c r="F1963" t="s">
        <v>97</v>
      </c>
      <c r="G1963" t="str">
        <f>"Post-Doctoral Associate"</f>
        <v>Post-Doctoral Associate</v>
      </c>
      <c r="H1963" t="s">
        <v>12168</v>
      </c>
      <c r="I1963" t="s">
        <v>3387</v>
      </c>
      <c r="J1963" t="s">
        <v>98</v>
      </c>
      <c r="K1963" s="1">
        <v>44203</v>
      </c>
      <c r="L1963" s="1">
        <v>45297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 t="s">
        <v>6158</v>
      </c>
      <c r="U1963" t="str">
        <f>""</f>
        <v/>
      </c>
      <c r="V1963" t="s">
        <v>9766</v>
      </c>
      <c r="W1963" t="str">
        <f>""</f>
        <v/>
      </c>
      <c r="X1963" t="s">
        <v>5056</v>
      </c>
      <c r="Y1963" t="s">
        <v>195</v>
      </c>
      <c r="Z1963" s="3">
        <v>20742</v>
      </c>
      <c r="AA1963" t="s">
        <v>101</v>
      </c>
      <c r="AC1963" s="4" t="str">
        <f>"+13013145823"</f>
        <v>+13013145823</v>
      </c>
      <c r="AE1963" t="str">
        <f>"611310"</f>
        <v>611310</v>
      </c>
      <c r="AF1963" t="s">
        <v>6159</v>
      </c>
      <c r="AG1963" t="s">
        <v>1676</v>
      </c>
      <c r="AH1963" t="s">
        <v>339</v>
      </c>
      <c r="AI1963" t="s">
        <v>6160</v>
      </c>
      <c r="AJ1963" t="s">
        <v>9766</v>
      </c>
      <c r="AK1963" t="str">
        <f>""</f>
        <v/>
      </c>
      <c r="AL1963" t="s">
        <v>5056</v>
      </c>
      <c r="AM1963" t="s">
        <v>195</v>
      </c>
      <c r="AN1963" s="3">
        <v>20742</v>
      </c>
      <c r="AO1963" t="s">
        <v>101</v>
      </c>
      <c r="AQ1963" t="str">
        <f>"+13013145823"</f>
        <v>+13013145823</v>
      </c>
      <c r="AS1963" t="s">
        <v>6161</v>
      </c>
      <c r="AT1963" t="s">
        <v>102</v>
      </c>
      <c r="AU1963" t="str">
        <f>""</f>
        <v/>
      </c>
      <c r="AV1963" t="str">
        <f>""</f>
        <v/>
      </c>
      <c r="AW1963" t="str">
        <f>""</f>
        <v/>
      </c>
      <c r="AX1963" t="str">
        <f>""</f>
        <v/>
      </c>
      <c r="AY1963" t="str">
        <f>""</f>
        <v/>
      </c>
      <c r="AZ1963" t="str">
        <f>""</f>
        <v/>
      </c>
      <c r="BA1963" t="str">
        <f>""</f>
        <v/>
      </c>
      <c r="BC1963" t="str">
        <f>""</f>
        <v/>
      </c>
      <c r="BD1963" t="str">
        <f>""</f>
        <v/>
      </c>
      <c r="BE1963" t="str">
        <f>""</f>
        <v/>
      </c>
      <c r="BF1963" t="str">
        <f>""</f>
        <v/>
      </c>
      <c r="BG1963" t="str">
        <f>""</f>
        <v/>
      </c>
      <c r="BH1963" t="str">
        <f>""</f>
        <v/>
      </c>
      <c r="BI1963" t="str">
        <f>""</f>
        <v/>
      </c>
      <c r="BJ1963" t="str">
        <f>""</f>
        <v/>
      </c>
      <c r="BK1963">
        <v>1</v>
      </c>
      <c r="BL1963" t="s">
        <v>102</v>
      </c>
      <c r="BM1963" t="str">
        <f>""</f>
        <v/>
      </c>
      <c r="BN1963" t="s">
        <v>10086</v>
      </c>
      <c r="BO1963" t="s">
        <v>6158</v>
      </c>
      <c r="BP1963" t="s">
        <v>5056</v>
      </c>
      <c r="BQ1963" t="s">
        <v>3111</v>
      </c>
      <c r="BR1963" t="s">
        <v>195</v>
      </c>
      <c r="BS1963" s="5">
        <v>20742</v>
      </c>
      <c r="BT1963" s="2">
        <v>65055.8</v>
      </c>
      <c r="BV1963" t="s">
        <v>105</v>
      </c>
      <c r="BW1963" s="2">
        <v>58053</v>
      </c>
      <c r="BX1963" t="s">
        <v>105</v>
      </c>
      <c r="BZ1963" t="s">
        <v>191</v>
      </c>
      <c r="CA1963" t="str">
        <f t="shared" si="160"/>
        <v>7/1/2020 - 6/30/2021</v>
      </c>
      <c r="CF1963">
        <v>2</v>
      </c>
      <c r="CG1963" t="s">
        <v>98</v>
      </c>
      <c r="CH1963" t="s">
        <v>206</v>
      </c>
      <c r="CI1963" t="s">
        <v>206</v>
      </c>
      <c r="CL1963" t="s">
        <v>108</v>
      </c>
      <c r="CM1963" t="s">
        <v>109</v>
      </c>
      <c r="CN1963" t="str">
        <f>"Song"</f>
        <v>Song</v>
      </c>
      <c r="CO1963" t="str">
        <f>"Elaine"</f>
        <v>Elaine</v>
      </c>
      <c r="CP1963" t="str">
        <f>"H"</f>
        <v>H</v>
      </c>
      <c r="CQ1963" t="str">
        <f>"University of Maryland College Park"</f>
        <v>University of Maryland College Park</v>
      </c>
      <c r="CR1963" t="s">
        <v>9767</v>
      </c>
    </row>
    <row r="1964" spans="1:96" x14ac:dyDescent="0.2">
      <c r="A1964" t="s">
        <v>10087</v>
      </c>
      <c r="B1964" t="s">
        <v>96</v>
      </c>
      <c r="C1964" s="1">
        <v>44099</v>
      </c>
      <c r="D1964" s="1">
        <v>44106</v>
      </c>
      <c r="F1964" t="s">
        <v>97</v>
      </c>
      <c r="G1964" t="str">
        <f>"SOFTWARE DEVELOPMENT ENGINEER II"</f>
        <v>SOFTWARE DEVELOPMENT ENGINEER II</v>
      </c>
      <c r="H1964" t="s">
        <v>12169</v>
      </c>
      <c r="I1964" t="s">
        <v>124</v>
      </c>
      <c r="J1964" t="s">
        <v>98</v>
      </c>
      <c r="K1964" s="1">
        <v>44103</v>
      </c>
      <c r="L1964" s="1">
        <v>45197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 t="s">
        <v>440</v>
      </c>
      <c r="U1964" t="str">
        <f>""</f>
        <v/>
      </c>
      <c r="V1964" t="s">
        <v>809</v>
      </c>
      <c r="W1964" t="str">
        <f>"SUITE 500"</f>
        <v>SUITE 500</v>
      </c>
      <c r="X1964" t="s">
        <v>433</v>
      </c>
      <c r="Y1964" t="s">
        <v>176</v>
      </c>
      <c r="Z1964" s="3">
        <v>98121</v>
      </c>
      <c r="AA1964" t="s">
        <v>101</v>
      </c>
      <c r="AC1964" s="4" t="str">
        <f>"+12062661000"</f>
        <v>+12062661000</v>
      </c>
      <c r="AE1964" t="str">
        <f>"454110"</f>
        <v>454110</v>
      </c>
      <c r="AF1964" t="s">
        <v>442</v>
      </c>
      <c r="AG1964" t="s">
        <v>443</v>
      </c>
      <c r="AH1964" t="s">
        <v>108</v>
      </c>
      <c r="AI1964" t="s">
        <v>434</v>
      </c>
      <c r="AJ1964" t="s">
        <v>809</v>
      </c>
      <c r="AK1964" t="str">
        <f>"SUITE 500"</f>
        <v>SUITE 500</v>
      </c>
      <c r="AL1964" t="s">
        <v>433</v>
      </c>
      <c r="AM1964" t="s">
        <v>176</v>
      </c>
      <c r="AN1964" s="3">
        <v>98121</v>
      </c>
      <c r="AO1964" t="s">
        <v>101</v>
      </c>
      <c r="AQ1964" t="str">
        <f>"+12062661000"</f>
        <v>+12062661000</v>
      </c>
      <c r="AS1964" t="s">
        <v>263</v>
      </c>
      <c r="AT1964" t="s">
        <v>107</v>
      </c>
      <c r="AU1964" t="str">
        <f>"MARANCI"</f>
        <v>MARANCI</v>
      </c>
      <c r="AV1964" t="str">
        <f>"DANIEL"</f>
        <v>DANIEL</v>
      </c>
      <c r="AW1964" t="str">
        <f>"N/A"</f>
        <v>N/A</v>
      </c>
      <c r="AX1964" t="str">
        <f>"100 HIGH STREET"</f>
        <v>100 HIGH STREET</v>
      </c>
      <c r="AY1964" t="str">
        <f>"3RD FLOOR C#5315134"</f>
        <v>3RD FLOOR C#5315134</v>
      </c>
      <c r="AZ1964" t="str">
        <f>"BOSTON"</f>
        <v>BOSTON</v>
      </c>
      <c r="BA1964" t="str">
        <f>"MA"</f>
        <v>MA</v>
      </c>
      <c r="BB1964" s="3">
        <v>2110</v>
      </c>
      <c r="BC1964" t="str">
        <f>"UNITED STATES OF AMERICA"</f>
        <v>UNITED STATES OF AMERICA</v>
      </c>
      <c r="BD1964" t="str">
        <f>""</f>
        <v/>
      </c>
      <c r="BE1964" t="str">
        <f>"+16175740400"</f>
        <v>+16175740400</v>
      </c>
      <c r="BF1964" t="str">
        <f>""</f>
        <v/>
      </c>
      <c r="BG1964" t="str">
        <f>"AMAZONINDIA@FRAGOMEN.COM"</f>
        <v>AMAZONINDIA@FRAGOMEN.COM</v>
      </c>
      <c r="BH1964" t="str">
        <f>"FRAGOMEN, DEL REY, BERNSEN &amp; LOEWY, LLP"</f>
        <v>FRAGOMEN, DEL REY, BERNSEN &amp; LOEWY, LLP</v>
      </c>
      <c r="BI1964" t="str">
        <f>"MA"</f>
        <v>MA</v>
      </c>
      <c r="BJ1964" t="str">
        <f>"SUPREME JUDICIAL COURT"</f>
        <v>SUPREME JUDICIAL COURT</v>
      </c>
      <c r="BK1964">
        <v>1</v>
      </c>
      <c r="BL1964" t="s">
        <v>102</v>
      </c>
      <c r="BM1964" t="str">
        <f>""</f>
        <v/>
      </c>
      <c r="BN1964" t="s">
        <v>4073</v>
      </c>
      <c r="BP1964" t="s">
        <v>433</v>
      </c>
      <c r="BQ1964" t="s">
        <v>183</v>
      </c>
      <c r="BR1964" t="s">
        <v>176</v>
      </c>
      <c r="BS1964" s="5">
        <v>98121</v>
      </c>
      <c r="BT1964" s="2">
        <v>144800</v>
      </c>
      <c r="BV1964" t="s">
        <v>105</v>
      </c>
      <c r="BW1964" s="2">
        <v>113110</v>
      </c>
      <c r="BX1964" t="s">
        <v>105</v>
      </c>
      <c r="BZ1964" t="s">
        <v>167</v>
      </c>
      <c r="CA1964" t="str">
        <f t="shared" si="160"/>
        <v>7/1/2020 - 6/30/2021</v>
      </c>
      <c r="CF1964">
        <v>2</v>
      </c>
      <c r="CG1964" t="s">
        <v>98</v>
      </c>
      <c r="CH1964" t="s">
        <v>206</v>
      </c>
      <c r="CI1964" t="s">
        <v>206</v>
      </c>
      <c r="CL1964" t="s">
        <v>108</v>
      </c>
      <c r="CM1964" t="s">
        <v>109</v>
      </c>
      <c r="CN1964" t="str">
        <f>"SUNNY"</f>
        <v>SUNNY</v>
      </c>
      <c r="CO1964" t="str">
        <f>"JASMIN"</f>
        <v>JASMIN</v>
      </c>
      <c r="CP1964" t="str">
        <f>"N/A"</f>
        <v>N/A</v>
      </c>
      <c r="CQ1964" t="str">
        <f>"FRAGOMEN, DEL REY, BERNSEN &amp; LOEWY, LLP"</f>
        <v>FRAGOMEN, DEL REY, BERNSEN &amp; LOEWY, LLP</v>
      </c>
      <c r="CR1964" t="s">
        <v>650</v>
      </c>
    </row>
    <row r="1965" spans="1:96" x14ac:dyDescent="0.2">
      <c r="A1965" t="s">
        <v>10091</v>
      </c>
      <c r="B1965" t="s">
        <v>96</v>
      </c>
      <c r="C1965" s="1">
        <v>44099</v>
      </c>
      <c r="D1965" s="1">
        <v>44106</v>
      </c>
      <c r="F1965" t="s">
        <v>97</v>
      </c>
      <c r="G1965" t="str">
        <f>"SOFTWARE DEVELOPMENT ENGINEER I"</f>
        <v>SOFTWARE DEVELOPMENT ENGINEER I</v>
      </c>
      <c r="H1965" t="s">
        <v>12169</v>
      </c>
      <c r="I1965" t="s">
        <v>124</v>
      </c>
      <c r="J1965" t="s">
        <v>98</v>
      </c>
      <c r="K1965" s="1">
        <v>44204</v>
      </c>
      <c r="L1965" s="1">
        <v>45298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 t="s">
        <v>440</v>
      </c>
      <c r="U1965" t="str">
        <f>""</f>
        <v/>
      </c>
      <c r="V1965" t="s">
        <v>809</v>
      </c>
      <c r="W1965" t="str">
        <f>"SUITE 500"</f>
        <v>SUITE 500</v>
      </c>
      <c r="X1965" t="s">
        <v>433</v>
      </c>
      <c r="Y1965" t="s">
        <v>176</v>
      </c>
      <c r="Z1965" s="3">
        <v>98121</v>
      </c>
      <c r="AA1965" t="s">
        <v>101</v>
      </c>
      <c r="AC1965" s="4" t="str">
        <f>"+12062661000"</f>
        <v>+12062661000</v>
      </c>
      <c r="AE1965" t="str">
        <f>"454110"</f>
        <v>454110</v>
      </c>
      <c r="AF1965" t="s">
        <v>442</v>
      </c>
      <c r="AG1965" t="s">
        <v>443</v>
      </c>
      <c r="AH1965" t="s">
        <v>108</v>
      </c>
      <c r="AI1965" t="s">
        <v>434</v>
      </c>
      <c r="AJ1965" t="s">
        <v>809</v>
      </c>
      <c r="AK1965" t="str">
        <f>"SUITE 500"</f>
        <v>SUITE 500</v>
      </c>
      <c r="AL1965" t="s">
        <v>433</v>
      </c>
      <c r="AM1965" t="s">
        <v>176</v>
      </c>
      <c r="AN1965" s="3">
        <v>98121</v>
      </c>
      <c r="AO1965" t="s">
        <v>101</v>
      </c>
      <c r="AQ1965" t="str">
        <f>"+12062661000"</f>
        <v>+12062661000</v>
      </c>
      <c r="AS1965" t="s">
        <v>263</v>
      </c>
      <c r="AT1965" t="s">
        <v>107</v>
      </c>
      <c r="AU1965" t="str">
        <f>"MARANCI"</f>
        <v>MARANCI</v>
      </c>
      <c r="AV1965" t="str">
        <f>"DANIEL"</f>
        <v>DANIEL</v>
      </c>
      <c r="AW1965" t="str">
        <f>"N/A"</f>
        <v>N/A</v>
      </c>
      <c r="AX1965" t="str">
        <f>"100 HIGH STREET"</f>
        <v>100 HIGH STREET</v>
      </c>
      <c r="AY1965" t="str">
        <f>"3RD FLOOR C#5133190"</f>
        <v>3RD FLOOR C#5133190</v>
      </c>
      <c r="AZ1965" t="str">
        <f>"BOSTON"</f>
        <v>BOSTON</v>
      </c>
      <c r="BA1965" t="str">
        <f>"MA"</f>
        <v>MA</v>
      </c>
      <c r="BB1965" s="3">
        <v>2110</v>
      </c>
      <c r="BC1965" t="str">
        <f>"UNITED STATES OF AMERICA"</f>
        <v>UNITED STATES OF AMERICA</v>
      </c>
      <c r="BD1965" t="str">
        <f>""</f>
        <v/>
      </c>
      <c r="BE1965" t="str">
        <f>"+16175740400"</f>
        <v>+16175740400</v>
      </c>
      <c r="BF1965" t="str">
        <f>""</f>
        <v/>
      </c>
      <c r="BG1965" t="str">
        <f>"AMAZONINDIA@FRAGOMEN.COM"</f>
        <v>AMAZONINDIA@FRAGOMEN.COM</v>
      </c>
      <c r="BH1965" t="str">
        <f>"FRAGOMEN, DEL REY, BERNSEN &amp; LOEWY, LLP"</f>
        <v>FRAGOMEN, DEL REY, BERNSEN &amp; LOEWY, LLP</v>
      </c>
      <c r="BI1965" t="str">
        <f>"MA"</f>
        <v>MA</v>
      </c>
      <c r="BJ1965" t="str">
        <f>"SUPREME JUDICIAL COURT"</f>
        <v>SUPREME JUDICIAL COURT</v>
      </c>
      <c r="BK1965">
        <v>1</v>
      </c>
      <c r="BL1965" t="s">
        <v>102</v>
      </c>
      <c r="BM1965" t="str">
        <f>""</f>
        <v/>
      </c>
      <c r="BN1965" t="s">
        <v>7850</v>
      </c>
      <c r="BP1965" t="s">
        <v>433</v>
      </c>
      <c r="BQ1965" t="s">
        <v>183</v>
      </c>
      <c r="BR1965" t="s">
        <v>176</v>
      </c>
      <c r="BS1965" s="5">
        <v>98109</v>
      </c>
      <c r="BT1965" s="2">
        <v>122300</v>
      </c>
      <c r="BV1965" t="s">
        <v>105</v>
      </c>
      <c r="BW1965" s="2">
        <v>92102</v>
      </c>
      <c r="BX1965" t="s">
        <v>105</v>
      </c>
      <c r="BZ1965" t="s">
        <v>191</v>
      </c>
      <c r="CA1965" t="str">
        <f t="shared" si="160"/>
        <v>7/1/2020 - 6/30/2021</v>
      </c>
      <c r="CF1965">
        <v>1</v>
      </c>
      <c r="CG1965" t="s">
        <v>98</v>
      </c>
      <c r="CH1965" t="s">
        <v>206</v>
      </c>
      <c r="CI1965" t="s">
        <v>206</v>
      </c>
      <c r="CL1965" t="s">
        <v>108</v>
      </c>
      <c r="CM1965" t="s">
        <v>109</v>
      </c>
      <c r="CN1965" t="str">
        <f>"SUNNY"</f>
        <v>SUNNY</v>
      </c>
      <c r="CO1965" t="str">
        <f>"JASMIN"</f>
        <v>JASMIN</v>
      </c>
      <c r="CP1965" t="str">
        <f>"N/A"</f>
        <v>N/A</v>
      </c>
      <c r="CQ1965" t="str">
        <f>"FRAGOMEN, DEL REY, BERNSEN &amp; LOEWY, LLP"</f>
        <v>FRAGOMEN, DEL REY, BERNSEN &amp; LOEWY, LLP</v>
      </c>
      <c r="CR1965" t="s">
        <v>650</v>
      </c>
    </row>
    <row r="1966" spans="1:96" x14ac:dyDescent="0.2">
      <c r="A1966" t="s">
        <v>10092</v>
      </c>
      <c r="B1966" t="s">
        <v>96</v>
      </c>
      <c r="C1966" s="1">
        <v>44099</v>
      </c>
      <c r="D1966" s="1">
        <v>44106</v>
      </c>
      <c r="F1966" t="s">
        <v>97</v>
      </c>
      <c r="G1966" t="str">
        <f>"Senior Software Engineer (20012.4116)"</f>
        <v>Senior Software Engineer (20012.4116)</v>
      </c>
      <c r="H1966" t="s">
        <v>12169</v>
      </c>
      <c r="I1966" t="s">
        <v>124</v>
      </c>
      <c r="J1966" t="s">
        <v>98</v>
      </c>
      <c r="K1966" s="1">
        <v>44109</v>
      </c>
      <c r="L1966" s="1">
        <v>45203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 t="s">
        <v>3801</v>
      </c>
      <c r="U1966" t="str">
        <f>""</f>
        <v/>
      </c>
      <c r="V1966" t="s">
        <v>3802</v>
      </c>
      <c r="W1966" t="str">
        <f>""</f>
        <v/>
      </c>
      <c r="X1966" t="s">
        <v>184</v>
      </c>
      <c r="Y1966" t="s">
        <v>186</v>
      </c>
      <c r="Z1966" s="3">
        <v>55344</v>
      </c>
      <c r="AA1966" t="s">
        <v>101</v>
      </c>
      <c r="AC1966" s="4" t="str">
        <f>"+19529361616"</f>
        <v>+19529361616</v>
      </c>
      <c r="AE1966" t="str">
        <f>"541512"</f>
        <v>541512</v>
      </c>
      <c r="AF1966" t="s">
        <v>3135</v>
      </c>
      <c r="AG1966" t="s">
        <v>3136</v>
      </c>
      <c r="AI1966" t="s">
        <v>3137</v>
      </c>
      <c r="AJ1966" t="s">
        <v>3138</v>
      </c>
      <c r="AK1966" t="str">
        <f>""</f>
        <v/>
      </c>
      <c r="AL1966" t="s">
        <v>3139</v>
      </c>
      <c r="AM1966" t="s">
        <v>186</v>
      </c>
      <c r="AN1966" s="3">
        <v>55343</v>
      </c>
      <c r="AO1966" t="s">
        <v>101</v>
      </c>
      <c r="AQ1966" t="str">
        <f>"+19529361616"</f>
        <v>+19529361616</v>
      </c>
      <c r="AS1966" t="s">
        <v>3140</v>
      </c>
      <c r="AT1966" t="s">
        <v>107</v>
      </c>
      <c r="AU1966" t="str">
        <f>"Petzold"</f>
        <v>Petzold</v>
      </c>
      <c r="AV1966" t="str">
        <f>"Rick"</f>
        <v>Rick</v>
      </c>
      <c r="AW1966" t="str">
        <f>""</f>
        <v/>
      </c>
      <c r="AX1966" t="str">
        <f>"2400 N. Glenville Drive, Building A"</f>
        <v>2400 N. Glenville Drive, Building A</v>
      </c>
      <c r="AY1966" t="str">
        <f>"Suite 100"</f>
        <v>Suite 100</v>
      </c>
      <c r="AZ1966" t="str">
        <f>"Richardson"</f>
        <v>Richardson</v>
      </c>
      <c r="BA1966" t="str">
        <f>"TX"</f>
        <v>TX</v>
      </c>
      <c r="BB1966" s="3">
        <v>75082</v>
      </c>
      <c r="BC1966" t="str">
        <f>"UNITED STATES OF AMERICA"</f>
        <v>UNITED STATES OF AMERICA</v>
      </c>
      <c r="BD1966" t="str">
        <f>""</f>
        <v/>
      </c>
      <c r="BE1966" t="str">
        <f>"+19727296094"</f>
        <v>+19727296094</v>
      </c>
      <c r="BF1966" t="str">
        <f>""</f>
        <v/>
      </c>
      <c r="BG1966" t="str">
        <f>"asnedden@balglobal.com"</f>
        <v>asnedden@balglobal.com</v>
      </c>
      <c r="BH1966" t="str">
        <f>"Berry Appleman &amp; Leiden LLP"</f>
        <v>Berry Appleman &amp; Leiden LLP</v>
      </c>
      <c r="BI1966" t="str">
        <f>"NJ"</f>
        <v>NJ</v>
      </c>
      <c r="BJ1966" t="str">
        <f>"New Jersey Supreme Court"</f>
        <v>New Jersey Supreme Court</v>
      </c>
      <c r="BK1966">
        <v>1</v>
      </c>
      <c r="BL1966" t="s">
        <v>102</v>
      </c>
      <c r="BM1966" t="str">
        <f>""</f>
        <v/>
      </c>
      <c r="BN1966" t="s">
        <v>4477</v>
      </c>
      <c r="BP1966" t="s">
        <v>184</v>
      </c>
      <c r="BQ1966" t="s">
        <v>185</v>
      </c>
      <c r="BR1966" t="s">
        <v>186</v>
      </c>
      <c r="BS1966" s="5">
        <v>55344</v>
      </c>
      <c r="BT1966" s="2">
        <v>105726</v>
      </c>
      <c r="BU1966" s="2">
        <v>140000</v>
      </c>
      <c r="BV1966" t="s">
        <v>105</v>
      </c>
      <c r="BW1966" s="2">
        <v>105726</v>
      </c>
      <c r="BX1966" t="s">
        <v>105</v>
      </c>
      <c r="BZ1966" t="s">
        <v>123</v>
      </c>
      <c r="CA1966" t="str">
        <f t="shared" si="160"/>
        <v>7/1/2020 - 6/30/2021</v>
      </c>
      <c r="CF1966">
        <v>2</v>
      </c>
      <c r="CG1966" t="s">
        <v>98</v>
      </c>
      <c r="CH1966" t="s">
        <v>206</v>
      </c>
      <c r="CI1966" t="s">
        <v>206</v>
      </c>
      <c r="CL1966" t="s">
        <v>108</v>
      </c>
      <c r="CM1966" t="s">
        <v>109</v>
      </c>
      <c r="CN1966" t="str">
        <f>"Snedden"</f>
        <v>Snedden</v>
      </c>
      <c r="CO1966" t="str">
        <f>"Anna "</f>
        <v xml:space="preserve">Anna </v>
      </c>
      <c r="CP1966" t="str">
        <f>""</f>
        <v/>
      </c>
      <c r="CQ1966" t="str">
        <f>"Berry Appleman &amp; Leiden, LLP"</f>
        <v>Berry Appleman &amp; Leiden, LLP</v>
      </c>
      <c r="CR1966" t="s">
        <v>3803</v>
      </c>
    </row>
    <row r="1967" spans="1:96" x14ac:dyDescent="0.2">
      <c r="A1967" t="s">
        <v>10107</v>
      </c>
      <c r="B1967" t="s">
        <v>96</v>
      </c>
      <c r="C1967" s="1">
        <v>44099</v>
      </c>
      <c r="D1967" s="1">
        <v>44106</v>
      </c>
      <c r="F1967" t="s">
        <v>97</v>
      </c>
      <c r="G1967" t="str">
        <f>"Service Dellivery Director"</f>
        <v>Service Dellivery Director</v>
      </c>
      <c r="H1967" t="s">
        <v>12178</v>
      </c>
      <c r="I1967" t="s">
        <v>582</v>
      </c>
      <c r="J1967" t="s">
        <v>98</v>
      </c>
      <c r="K1967" s="1">
        <v>44105</v>
      </c>
      <c r="L1967" s="1">
        <v>45199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 t="s">
        <v>838</v>
      </c>
      <c r="U1967" t="str">
        <f>""</f>
        <v/>
      </c>
      <c r="V1967" t="s">
        <v>839</v>
      </c>
      <c r="W1967" t="str">
        <f>""</f>
        <v/>
      </c>
      <c r="X1967" t="s">
        <v>833</v>
      </c>
      <c r="Y1967" t="s">
        <v>345</v>
      </c>
      <c r="Z1967" s="3">
        <v>60601</v>
      </c>
      <c r="AA1967" t="s">
        <v>101</v>
      </c>
      <c r="AC1967" s="4" t="str">
        <f>"+13126930161"</f>
        <v>+13126930161</v>
      </c>
      <c r="AE1967" t="str">
        <f>"5416"</f>
        <v>5416</v>
      </c>
      <c r="AF1967" t="s">
        <v>840</v>
      </c>
      <c r="AG1967" t="s">
        <v>841</v>
      </c>
      <c r="AI1967" t="s">
        <v>417</v>
      </c>
      <c r="AJ1967" t="s">
        <v>842</v>
      </c>
      <c r="AK1967" t="str">
        <f>""</f>
        <v/>
      </c>
      <c r="AL1967" t="s">
        <v>843</v>
      </c>
      <c r="AM1967" t="s">
        <v>345</v>
      </c>
      <c r="AN1967" s="3">
        <v>60601</v>
      </c>
      <c r="AO1967" t="s">
        <v>101</v>
      </c>
      <c r="AQ1967" t="str">
        <f>"+13126932825"</f>
        <v>+13126932825</v>
      </c>
      <c r="AS1967" t="s">
        <v>844</v>
      </c>
      <c r="AT1967" t="s">
        <v>102</v>
      </c>
      <c r="AU1967" t="str">
        <f>""</f>
        <v/>
      </c>
      <c r="AV1967" t="str">
        <f>""</f>
        <v/>
      </c>
      <c r="AW1967" t="str">
        <f>""</f>
        <v/>
      </c>
      <c r="AX1967" t="str">
        <f>""</f>
        <v/>
      </c>
      <c r="AY1967" t="str">
        <f>""</f>
        <v/>
      </c>
      <c r="AZ1967" t="str">
        <f>""</f>
        <v/>
      </c>
      <c r="BA1967" t="str">
        <f>""</f>
        <v/>
      </c>
      <c r="BC1967" t="str">
        <f>""</f>
        <v/>
      </c>
      <c r="BD1967" t="str">
        <f>""</f>
        <v/>
      </c>
      <c r="BE1967" t="str">
        <f>""</f>
        <v/>
      </c>
      <c r="BF1967" t="str">
        <f>""</f>
        <v/>
      </c>
      <c r="BG1967" t="str">
        <f>""</f>
        <v/>
      </c>
      <c r="BH1967" t="str">
        <f>""</f>
        <v/>
      </c>
      <c r="BI1967" t="str">
        <f>""</f>
        <v/>
      </c>
      <c r="BJ1967" t="str">
        <f>""</f>
        <v/>
      </c>
      <c r="BK1967">
        <v>1</v>
      </c>
      <c r="BL1967" t="s">
        <v>107</v>
      </c>
      <c r="BM1967" t="str">
        <f>"Takeda Pharmaceuticals"</f>
        <v>Takeda Pharmaceuticals</v>
      </c>
      <c r="BN1967" t="s">
        <v>7526</v>
      </c>
      <c r="BP1967" t="s">
        <v>4550</v>
      </c>
      <c r="BQ1967" t="s">
        <v>691</v>
      </c>
      <c r="BR1967" t="s">
        <v>345</v>
      </c>
      <c r="BS1967" s="5">
        <v>60015</v>
      </c>
      <c r="BT1967" s="2">
        <v>151715</v>
      </c>
      <c r="BU1967" s="2">
        <v>235500</v>
      </c>
      <c r="BV1967" t="s">
        <v>105</v>
      </c>
      <c r="BW1967" s="2">
        <v>151715</v>
      </c>
      <c r="BX1967" t="s">
        <v>105</v>
      </c>
      <c r="BZ1967" t="s">
        <v>123</v>
      </c>
      <c r="CA1967" t="str">
        <f t="shared" si="160"/>
        <v>7/1/2020 - 6/30/2021</v>
      </c>
      <c r="CF1967">
        <v>2</v>
      </c>
      <c r="CG1967" t="s">
        <v>98</v>
      </c>
      <c r="CH1967" t="s">
        <v>206</v>
      </c>
      <c r="CI1967" t="s">
        <v>206</v>
      </c>
      <c r="CL1967" t="s">
        <v>108</v>
      </c>
      <c r="CM1967" t="s">
        <v>109</v>
      </c>
      <c r="CN1967" t="str">
        <f>""</f>
        <v/>
      </c>
      <c r="CO1967" t="str">
        <f>""</f>
        <v/>
      </c>
      <c r="CP1967" t="str">
        <f>""</f>
        <v/>
      </c>
      <c r="CQ1967" t="str">
        <f>""</f>
        <v/>
      </c>
    </row>
    <row r="1968" spans="1:96" x14ac:dyDescent="0.2">
      <c r="A1968" t="s">
        <v>10108</v>
      </c>
      <c r="B1968" t="s">
        <v>96</v>
      </c>
      <c r="C1968" s="1">
        <v>44099</v>
      </c>
      <c r="D1968" s="1">
        <v>44106</v>
      </c>
      <c r="F1968" t="s">
        <v>97</v>
      </c>
      <c r="G1968" t="str">
        <f>"Application Management Senior Specialist"</f>
        <v>Application Management Senior Specialist</v>
      </c>
      <c r="H1968" t="s">
        <v>12168</v>
      </c>
      <c r="I1968" t="s">
        <v>319</v>
      </c>
      <c r="J1968" t="s">
        <v>98</v>
      </c>
      <c r="K1968" s="1">
        <v>44158</v>
      </c>
      <c r="L1968" s="1">
        <v>45252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 t="s">
        <v>1360</v>
      </c>
      <c r="U1968" t="str">
        <f>""</f>
        <v/>
      </c>
      <c r="V1968" t="s">
        <v>1361</v>
      </c>
      <c r="W1968" t="str">
        <f>""</f>
        <v/>
      </c>
      <c r="X1968" t="s">
        <v>207</v>
      </c>
      <c r="Y1968" t="s">
        <v>171</v>
      </c>
      <c r="Z1968" s="3">
        <v>2129</v>
      </c>
      <c r="AA1968" t="s">
        <v>101</v>
      </c>
      <c r="AC1968" s="4" t="str">
        <f>"+16175171483"</f>
        <v>+16175171483</v>
      </c>
      <c r="AE1968" t="str">
        <f>"541511"</f>
        <v>541511</v>
      </c>
      <c r="AF1968" t="s">
        <v>1362</v>
      </c>
      <c r="AG1968" t="s">
        <v>1363</v>
      </c>
      <c r="AI1968" t="s">
        <v>1364</v>
      </c>
      <c r="AJ1968" t="s">
        <v>1361</v>
      </c>
      <c r="AK1968" t="str">
        <f>""</f>
        <v/>
      </c>
      <c r="AL1968" t="s">
        <v>207</v>
      </c>
      <c r="AM1968" t="s">
        <v>171</v>
      </c>
      <c r="AN1968" s="3">
        <v>2129</v>
      </c>
      <c r="AO1968" t="s">
        <v>101</v>
      </c>
      <c r="AQ1968" t="str">
        <f>"+16175171483"</f>
        <v>+16175171483</v>
      </c>
      <c r="AS1968" t="s">
        <v>1365</v>
      </c>
      <c r="AT1968" t="s">
        <v>107</v>
      </c>
      <c r="AU1968" t="str">
        <f>"Drozdowski"</f>
        <v>Drozdowski</v>
      </c>
      <c r="AV1968" t="str">
        <f>"Andrew"</f>
        <v>Andrew</v>
      </c>
      <c r="AW1968" t="str">
        <f>"G."</f>
        <v>G.</v>
      </c>
      <c r="AX1968" t="str">
        <f>"P.O. Box 31608"</f>
        <v>P.O. Box 31608</v>
      </c>
      <c r="AY1968" t="str">
        <f>""</f>
        <v/>
      </c>
      <c r="AZ1968" t="str">
        <f>"Raleigh"</f>
        <v>Raleigh</v>
      </c>
      <c r="BA1968" t="str">
        <f>"NC"</f>
        <v>NC</v>
      </c>
      <c r="BB1968" s="3">
        <v>27622</v>
      </c>
      <c r="BC1968" t="str">
        <f>"UNITED STATES OF AMERICA"</f>
        <v>UNITED STATES OF AMERICA</v>
      </c>
      <c r="BD1968" t="str">
        <f>""</f>
        <v/>
      </c>
      <c r="BE1968" t="str">
        <f>"+19197879700"</f>
        <v>+19197879700</v>
      </c>
      <c r="BF1968" t="str">
        <f>""</f>
        <v/>
      </c>
      <c r="BG1968" t="str">
        <f>"torrance.smith@odnss.com"</f>
        <v>torrance.smith@odnss.com</v>
      </c>
      <c r="BH1968" t="str">
        <f>"Ogletree, Deakins, Nash, Smoak &amp; Stewart, P.c."</f>
        <v>Ogletree, Deakins, Nash, Smoak &amp; Stewart, P.c.</v>
      </c>
      <c r="BI1968" t="str">
        <f>"NY"</f>
        <v>NY</v>
      </c>
      <c r="BJ1968" t="str">
        <f>"NY Supreme Court"</f>
        <v>NY Supreme Court</v>
      </c>
      <c r="BK1968">
        <v>1</v>
      </c>
      <c r="BL1968" t="s">
        <v>107</v>
      </c>
      <c r="BM1968" t="str">
        <f>"Teacher's Insurance and Annuity Association of America"</f>
        <v>Teacher's Insurance and Annuity Association of America</v>
      </c>
      <c r="BN1968" t="s">
        <v>8616</v>
      </c>
      <c r="BP1968" t="s">
        <v>604</v>
      </c>
      <c r="BQ1968" t="s">
        <v>121</v>
      </c>
      <c r="BR1968" t="s">
        <v>122</v>
      </c>
      <c r="BS1968" s="5">
        <v>28262</v>
      </c>
      <c r="BT1968" s="2">
        <v>89744</v>
      </c>
      <c r="BU1968" s="2">
        <v>119744</v>
      </c>
      <c r="BV1968" t="s">
        <v>105</v>
      </c>
      <c r="BW1968" s="2">
        <v>89744</v>
      </c>
      <c r="BX1968" t="s">
        <v>105</v>
      </c>
      <c r="CA1968" t="str">
        <f>""</f>
        <v/>
      </c>
      <c r="CB1968" t="s">
        <v>244</v>
      </c>
      <c r="CC1968">
        <v>2020</v>
      </c>
      <c r="CD1968" t="s">
        <v>569</v>
      </c>
      <c r="CE1968" t="s">
        <v>1366</v>
      </c>
      <c r="CF1968">
        <v>2</v>
      </c>
      <c r="CG1968" t="s">
        <v>98</v>
      </c>
      <c r="CH1968" t="s">
        <v>206</v>
      </c>
      <c r="CI1968" t="s">
        <v>206</v>
      </c>
      <c r="CL1968" t="s">
        <v>108</v>
      </c>
      <c r="CM1968" t="s">
        <v>109</v>
      </c>
      <c r="CN1968" t="str">
        <f>"Drozdowski"</f>
        <v>Drozdowski</v>
      </c>
      <c r="CO1968" t="str">
        <f>"Andrew"</f>
        <v>Andrew</v>
      </c>
      <c r="CP1968" t="str">
        <f>"G."</f>
        <v>G.</v>
      </c>
      <c r="CQ1968" t="str">
        <f>"Ogletree, Deakins, Nash, Smoak &amp; Stewart, P.C."</f>
        <v>Ogletree, Deakins, Nash, Smoak &amp; Stewart, P.C.</v>
      </c>
      <c r="CR1968" t="s">
        <v>1367</v>
      </c>
    </row>
    <row r="1969" spans="1:96" x14ac:dyDescent="0.2">
      <c r="A1969" t="s">
        <v>10114</v>
      </c>
      <c r="B1969" t="s">
        <v>96</v>
      </c>
      <c r="C1969" s="1">
        <v>44099</v>
      </c>
      <c r="D1969" s="1">
        <v>44106</v>
      </c>
      <c r="F1969" t="s">
        <v>97</v>
      </c>
      <c r="G1969" t="str">
        <f>"Computer Systems Analyst 3"</f>
        <v>Computer Systems Analyst 3</v>
      </c>
      <c r="H1969" t="s">
        <v>12181</v>
      </c>
      <c r="I1969" t="s">
        <v>110</v>
      </c>
      <c r="J1969" t="s">
        <v>98</v>
      </c>
      <c r="K1969" s="1">
        <v>44105</v>
      </c>
      <c r="L1969" s="1">
        <v>45199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 t="s">
        <v>838</v>
      </c>
      <c r="U1969" t="str">
        <f>""</f>
        <v/>
      </c>
      <c r="V1969" t="s">
        <v>839</v>
      </c>
      <c r="W1969" t="str">
        <f>""</f>
        <v/>
      </c>
      <c r="X1969" t="s">
        <v>833</v>
      </c>
      <c r="Y1969" t="s">
        <v>345</v>
      </c>
      <c r="Z1969" s="3">
        <v>60601</v>
      </c>
      <c r="AA1969" t="s">
        <v>101</v>
      </c>
      <c r="AC1969" s="4" t="str">
        <f>"+13126930161"</f>
        <v>+13126930161</v>
      </c>
      <c r="AE1969" t="str">
        <f>"5416"</f>
        <v>5416</v>
      </c>
      <c r="AF1969" t="s">
        <v>840</v>
      </c>
      <c r="AG1969" t="s">
        <v>841</v>
      </c>
      <c r="AI1969" t="s">
        <v>417</v>
      </c>
      <c r="AJ1969" t="s">
        <v>842</v>
      </c>
      <c r="AK1969" t="str">
        <f>""</f>
        <v/>
      </c>
      <c r="AL1969" t="s">
        <v>843</v>
      </c>
      <c r="AM1969" t="s">
        <v>345</v>
      </c>
      <c r="AN1969" s="3">
        <v>60601</v>
      </c>
      <c r="AO1969" t="s">
        <v>101</v>
      </c>
      <c r="AQ1969" t="str">
        <f>"+13126932825"</f>
        <v>+13126932825</v>
      </c>
      <c r="AS1969" t="s">
        <v>844</v>
      </c>
      <c r="AT1969" t="s">
        <v>102</v>
      </c>
      <c r="AU1969" t="str">
        <f>""</f>
        <v/>
      </c>
      <c r="AV1969" t="str">
        <f>""</f>
        <v/>
      </c>
      <c r="AW1969" t="str">
        <f>""</f>
        <v/>
      </c>
      <c r="AX1969" t="str">
        <f>""</f>
        <v/>
      </c>
      <c r="AY1969" t="str">
        <f>""</f>
        <v/>
      </c>
      <c r="AZ1969" t="str">
        <f>""</f>
        <v/>
      </c>
      <c r="BA1969" t="str">
        <f>""</f>
        <v/>
      </c>
      <c r="BC1969" t="str">
        <f>""</f>
        <v/>
      </c>
      <c r="BD1969" t="str">
        <f>""</f>
        <v/>
      </c>
      <c r="BE1969" t="str">
        <f>""</f>
        <v/>
      </c>
      <c r="BF1969" t="str">
        <f>""</f>
        <v/>
      </c>
      <c r="BG1969" t="str">
        <f>""</f>
        <v/>
      </c>
      <c r="BH1969" t="str">
        <f>""</f>
        <v/>
      </c>
      <c r="BI1969" t="str">
        <f>""</f>
        <v/>
      </c>
      <c r="BJ1969" t="str">
        <f>""</f>
        <v/>
      </c>
      <c r="BK1969">
        <v>1</v>
      </c>
      <c r="BL1969" t="s">
        <v>107</v>
      </c>
      <c r="BM1969" t="str">
        <f>"Dow Chemicals"</f>
        <v>Dow Chemicals</v>
      </c>
      <c r="BN1969" t="s">
        <v>7979</v>
      </c>
      <c r="BO1969" t="s">
        <v>1141</v>
      </c>
      <c r="BP1969" t="s">
        <v>2059</v>
      </c>
      <c r="BQ1969" t="s">
        <v>7980</v>
      </c>
      <c r="BR1969" t="s">
        <v>265</v>
      </c>
      <c r="BS1969" s="5">
        <v>48611</v>
      </c>
      <c r="BT1969" s="2">
        <v>97400</v>
      </c>
      <c r="BU1969" s="2">
        <v>172400</v>
      </c>
      <c r="BV1969" t="s">
        <v>105</v>
      </c>
      <c r="BW1969" s="2">
        <v>77667</v>
      </c>
      <c r="BX1969" t="s">
        <v>105</v>
      </c>
      <c r="BZ1969" t="s">
        <v>123</v>
      </c>
      <c r="CA1969" t="str">
        <f>"7/1/2020 - 6/30/2021"</f>
        <v>7/1/2020 - 6/30/2021</v>
      </c>
      <c r="CF1969">
        <v>1</v>
      </c>
      <c r="CG1969" t="s">
        <v>98</v>
      </c>
      <c r="CH1969" t="s">
        <v>206</v>
      </c>
      <c r="CI1969" t="s">
        <v>206</v>
      </c>
      <c r="CL1969" t="s">
        <v>108</v>
      </c>
      <c r="CM1969" t="s">
        <v>109</v>
      </c>
      <c r="CN1969" t="str">
        <f>""</f>
        <v/>
      </c>
      <c r="CO1969" t="str">
        <f>""</f>
        <v/>
      </c>
      <c r="CP1969" t="str">
        <f>""</f>
        <v/>
      </c>
      <c r="CQ1969" t="str">
        <f>""</f>
        <v/>
      </c>
    </row>
    <row r="1970" spans="1:96" x14ac:dyDescent="0.2">
      <c r="A1970" t="s">
        <v>10118</v>
      </c>
      <c r="B1970" t="s">
        <v>96</v>
      </c>
      <c r="C1970" s="1">
        <v>44099</v>
      </c>
      <c r="D1970" s="1">
        <v>44106</v>
      </c>
      <c r="F1970" t="s">
        <v>97</v>
      </c>
      <c r="G1970" t="str">
        <f>"SMTS Silicon Design Engineer "</f>
        <v xml:space="preserve">SMTS Silicon Design Engineer </v>
      </c>
      <c r="H1970" t="s">
        <v>12186</v>
      </c>
      <c r="I1970" t="s">
        <v>232</v>
      </c>
      <c r="J1970" t="s">
        <v>98</v>
      </c>
      <c r="K1970" s="1">
        <v>44137</v>
      </c>
      <c r="L1970" s="1">
        <v>45231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 t="s">
        <v>2899</v>
      </c>
      <c r="U1970" t="str">
        <f>""</f>
        <v/>
      </c>
      <c r="V1970" t="s">
        <v>2900</v>
      </c>
      <c r="W1970" t="str">
        <f>"N/A"</f>
        <v>N/A</v>
      </c>
      <c r="X1970" t="s">
        <v>247</v>
      </c>
      <c r="Y1970" t="s">
        <v>141</v>
      </c>
      <c r="Z1970" s="3">
        <v>95054</v>
      </c>
      <c r="AA1970" t="s">
        <v>101</v>
      </c>
      <c r="AB1970" t="s">
        <v>108</v>
      </c>
      <c r="AC1970" s="4" t="str">
        <f>"+14087493699"</f>
        <v>+14087493699</v>
      </c>
      <c r="AE1970" t="str">
        <f>"334413"</f>
        <v>334413</v>
      </c>
      <c r="AF1970" t="s">
        <v>2901</v>
      </c>
      <c r="AG1970" t="s">
        <v>2902</v>
      </c>
      <c r="AI1970" t="s">
        <v>2903</v>
      </c>
      <c r="AJ1970" t="s">
        <v>2900</v>
      </c>
      <c r="AK1970" t="str">
        <f>""</f>
        <v/>
      </c>
      <c r="AL1970" t="s">
        <v>247</v>
      </c>
      <c r="AM1970" t="s">
        <v>141</v>
      </c>
      <c r="AN1970" s="3">
        <v>95054</v>
      </c>
      <c r="AO1970" t="s">
        <v>101</v>
      </c>
      <c r="AQ1970" t="str">
        <f>"+14087493699"</f>
        <v>+14087493699</v>
      </c>
      <c r="AS1970" t="s">
        <v>2904</v>
      </c>
      <c r="AT1970" t="s">
        <v>107</v>
      </c>
      <c r="AU1970" t="str">
        <f>"Wu"</f>
        <v>Wu</v>
      </c>
      <c r="AV1970" t="str">
        <f>"Mark"</f>
        <v>Mark</v>
      </c>
      <c r="AW1970" t="str">
        <f>""</f>
        <v/>
      </c>
      <c r="AX1970" t="str">
        <f>"301 Congress Avenue"</f>
        <v>301 Congress Avenue</v>
      </c>
      <c r="AY1970" t="str">
        <f>"Suite 1150"</f>
        <v>Suite 1150</v>
      </c>
      <c r="AZ1970" t="str">
        <f>"Austin"</f>
        <v>Austin</v>
      </c>
      <c r="BA1970" t="str">
        <f>"TX"</f>
        <v>TX</v>
      </c>
      <c r="BB1970" s="3">
        <v>78701</v>
      </c>
      <c r="BC1970" t="str">
        <f t="shared" ref="BC1970:BC1979" si="162">"UNITED STATES OF AMERICA"</f>
        <v>UNITED STATES OF AMERICA</v>
      </c>
      <c r="BD1970" t="str">
        <f>""</f>
        <v/>
      </c>
      <c r="BE1970" t="str">
        <f>"+15123444707"</f>
        <v>+15123444707</v>
      </c>
      <c r="BF1970" t="str">
        <f>""</f>
        <v/>
      </c>
      <c r="BG1970" t="str">
        <f>"diego.alvarez-lorant@ogletreedeakins.com"</f>
        <v>diego.alvarez-lorant@ogletreedeakins.com</v>
      </c>
      <c r="BH1970" t="str">
        <f>"Ogletree, Deakins, Nash, Smoak &amp; Stewart, P.C."</f>
        <v>Ogletree, Deakins, Nash, Smoak &amp; Stewart, P.C.</v>
      </c>
      <c r="BI1970" t="str">
        <f>"GA"</f>
        <v>GA</v>
      </c>
      <c r="BJ1970" t="str">
        <f>"Georgia Superior Court"</f>
        <v>Georgia Superior Court</v>
      </c>
      <c r="BK1970">
        <v>1</v>
      </c>
      <c r="BL1970" t="s">
        <v>102</v>
      </c>
      <c r="BM1970" t="str">
        <f>""</f>
        <v/>
      </c>
      <c r="BN1970" t="s">
        <v>2900</v>
      </c>
      <c r="BP1970" t="s">
        <v>3283</v>
      </c>
      <c r="BQ1970" t="s">
        <v>230</v>
      </c>
      <c r="BR1970" t="s">
        <v>141</v>
      </c>
      <c r="BS1970" s="5">
        <v>95054</v>
      </c>
      <c r="BT1970" s="2">
        <v>195000</v>
      </c>
      <c r="BV1970" t="s">
        <v>105</v>
      </c>
      <c r="BW1970" s="2">
        <v>166026</v>
      </c>
      <c r="BX1970" t="s">
        <v>105</v>
      </c>
      <c r="BZ1970" t="s">
        <v>159</v>
      </c>
      <c r="CA1970" t="str">
        <f>"7/1/2020 - 6/30/2021"</f>
        <v>7/1/2020 - 6/30/2021</v>
      </c>
      <c r="CF1970">
        <v>2</v>
      </c>
      <c r="CG1970" t="s">
        <v>98</v>
      </c>
      <c r="CH1970" t="s">
        <v>206</v>
      </c>
      <c r="CI1970" t="s">
        <v>206</v>
      </c>
      <c r="CL1970" t="s">
        <v>108</v>
      </c>
      <c r="CM1970" t="s">
        <v>109</v>
      </c>
      <c r="CN1970" t="str">
        <f>"Alvarez Lorant "</f>
        <v xml:space="preserve">Alvarez Lorant </v>
      </c>
      <c r="CO1970" t="str">
        <f>"Diego "</f>
        <v xml:space="preserve">Diego </v>
      </c>
      <c r="CP1970" t="str">
        <f>"E"</f>
        <v>E</v>
      </c>
      <c r="CQ1970" t="str">
        <f>"Ogletree, Deakins, Nash, Smoak &amp; Stewart, P.C."</f>
        <v>Ogletree, Deakins, Nash, Smoak &amp; Stewart, P.C.</v>
      </c>
      <c r="CR1970" t="s">
        <v>2905</v>
      </c>
    </row>
    <row r="1971" spans="1:96" x14ac:dyDescent="0.2">
      <c r="A1971" t="s">
        <v>10128</v>
      </c>
      <c r="B1971" t="s">
        <v>96</v>
      </c>
      <c r="C1971" s="1">
        <v>44099</v>
      </c>
      <c r="D1971" s="1">
        <v>44106</v>
      </c>
      <c r="F1971" t="s">
        <v>97</v>
      </c>
      <c r="G1971" t="str">
        <f>"Senior Information Security Engineer (IAM)"</f>
        <v>Senior Information Security Engineer (IAM)</v>
      </c>
      <c r="H1971" t="s">
        <v>12169</v>
      </c>
      <c r="I1971" t="s">
        <v>124</v>
      </c>
      <c r="J1971" t="s">
        <v>98</v>
      </c>
      <c r="K1971" s="1">
        <v>44109</v>
      </c>
      <c r="L1971" s="1">
        <v>45203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3476</v>
      </c>
      <c r="U1971" t="str">
        <f>""</f>
        <v/>
      </c>
      <c r="V1971" t="s">
        <v>3477</v>
      </c>
      <c r="W1971" t="str">
        <f>""</f>
        <v/>
      </c>
      <c r="X1971" t="s">
        <v>847</v>
      </c>
      <c r="Y1971" t="s">
        <v>215</v>
      </c>
      <c r="Z1971" s="3">
        <v>30005</v>
      </c>
      <c r="AA1971" t="s">
        <v>101</v>
      </c>
      <c r="AC1971" s="4" t="str">
        <f>"+19199170927"</f>
        <v>+19199170927</v>
      </c>
      <c r="AE1971" t="str">
        <f>"5419"</f>
        <v>5419</v>
      </c>
      <c r="AF1971" t="s">
        <v>4691</v>
      </c>
      <c r="AG1971" t="s">
        <v>4692</v>
      </c>
      <c r="AI1971" t="s">
        <v>4693</v>
      </c>
      <c r="AJ1971" t="s">
        <v>3477</v>
      </c>
      <c r="AK1971" t="str">
        <f>""</f>
        <v/>
      </c>
      <c r="AL1971" t="s">
        <v>847</v>
      </c>
      <c r="AM1971" t="s">
        <v>215</v>
      </c>
      <c r="AN1971" s="3">
        <v>30005</v>
      </c>
      <c r="AO1971" t="s">
        <v>101</v>
      </c>
      <c r="AQ1971" t="str">
        <f>"+19199170927"</f>
        <v>+19199170927</v>
      </c>
      <c r="AS1971" t="s">
        <v>108</v>
      </c>
      <c r="AT1971" t="s">
        <v>107</v>
      </c>
      <c r="AU1971" t="str">
        <f>"Villalobos"</f>
        <v>Villalobos</v>
      </c>
      <c r="AV1971" t="str">
        <f>"Melina"</f>
        <v>Melina</v>
      </c>
      <c r="AW1971" t="str">
        <f>""</f>
        <v/>
      </c>
      <c r="AX1971" t="str">
        <f>"P.O. Box 31608"</f>
        <v>P.O. Box 31608</v>
      </c>
      <c r="AY1971" t="str">
        <f>""</f>
        <v/>
      </c>
      <c r="AZ1971" t="str">
        <f>"Raleigh"</f>
        <v>Raleigh</v>
      </c>
      <c r="BA1971" t="str">
        <f>"NC"</f>
        <v>NC</v>
      </c>
      <c r="BB1971" s="3">
        <v>27622</v>
      </c>
      <c r="BC1971" t="str">
        <f t="shared" si="162"/>
        <v>UNITED STATES OF AMERICA</v>
      </c>
      <c r="BD1971" t="str">
        <f>""</f>
        <v/>
      </c>
      <c r="BE1971" t="str">
        <f>"+12023709656"</f>
        <v>+12023709656</v>
      </c>
      <c r="BF1971" t="str">
        <f>""</f>
        <v/>
      </c>
      <c r="BG1971" t="str">
        <f>"will.jacobs-perez@ogletreedeakins.com"</f>
        <v>will.jacobs-perez@ogletreedeakins.com</v>
      </c>
      <c r="BH1971" t="str">
        <f>"Ogletree, Deakins, Nash, Smoak &amp; Stewart, P.C."</f>
        <v>Ogletree, Deakins, Nash, Smoak &amp; Stewart, P.C.</v>
      </c>
      <c r="BI1971" t="str">
        <f>"IN"</f>
        <v>IN</v>
      </c>
      <c r="BJ1971" t="str">
        <f>"Supreme Court of Indiana"</f>
        <v>Supreme Court of Indiana</v>
      </c>
      <c r="BK1971">
        <v>1</v>
      </c>
      <c r="BL1971" t="s">
        <v>102</v>
      </c>
      <c r="BM1971" t="str">
        <f>""</f>
        <v/>
      </c>
      <c r="BN1971" t="s">
        <v>10129</v>
      </c>
      <c r="BP1971" t="s">
        <v>1368</v>
      </c>
      <c r="BQ1971" t="s">
        <v>1664</v>
      </c>
      <c r="BR1971" t="s">
        <v>545</v>
      </c>
      <c r="BS1971" s="5">
        <v>37217</v>
      </c>
      <c r="BT1971" s="2">
        <v>100000</v>
      </c>
      <c r="BU1971" s="2">
        <v>115000</v>
      </c>
      <c r="BV1971" t="s">
        <v>105</v>
      </c>
      <c r="BW1971" s="2">
        <v>95368</v>
      </c>
      <c r="BX1971" t="s">
        <v>105</v>
      </c>
      <c r="BZ1971" t="s">
        <v>123</v>
      </c>
      <c r="CA1971" t="str">
        <f>"7/1/2020 - 6/30/2021"</f>
        <v>7/1/2020 - 6/30/2021</v>
      </c>
      <c r="CF1971">
        <v>2</v>
      </c>
      <c r="CG1971" t="s">
        <v>98</v>
      </c>
      <c r="CH1971" t="s">
        <v>206</v>
      </c>
      <c r="CI1971" t="s">
        <v>206</v>
      </c>
      <c r="CL1971" t="s">
        <v>108</v>
      </c>
      <c r="CM1971" t="s">
        <v>109</v>
      </c>
      <c r="CN1971" t="str">
        <f>""</f>
        <v/>
      </c>
      <c r="CO1971" t="str">
        <f>""</f>
        <v/>
      </c>
      <c r="CP1971" t="str">
        <f>""</f>
        <v/>
      </c>
      <c r="CQ1971" t="str">
        <f>""</f>
        <v/>
      </c>
    </row>
    <row r="1972" spans="1:96" x14ac:dyDescent="0.2">
      <c r="A1972" t="s">
        <v>10137</v>
      </c>
      <c r="B1972" t="s">
        <v>96</v>
      </c>
      <c r="C1972" s="1">
        <v>44099</v>
      </c>
      <c r="D1972" s="1">
        <v>44106</v>
      </c>
      <c r="F1972" t="s">
        <v>97</v>
      </c>
      <c r="G1972" t="str">
        <f>"SOFTWARE DEVELOPMENT ENGINEER I"</f>
        <v>SOFTWARE DEVELOPMENT ENGINEER I</v>
      </c>
      <c r="H1972" t="s">
        <v>12169</v>
      </c>
      <c r="I1972" t="s">
        <v>124</v>
      </c>
      <c r="J1972" t="s">
        <v>98</v>
      </c>
      <c r="K1972" s="1">
        <v>44109</v>
      </c>
      <c r="L1972" s="1">
        <v>45203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3960</v>
      </c>
      <c r="U1972" t="str">
        <f>""</f>
        <v/>
      </c>
      <c r="V1972" t="s">
        <v>809</v>
      </c>
      <c r="W1972" t="str">
        <f>"SUITE 500"</f>
        <v>SUITE 500</v>
      </c>
      <c r="X1972" t="s">
        <v>433</v>
      </c>
      <c r="Y1972" t="s">
        <v>176</v>
      </c>
      <c r="Z1972" s="3">
        <v>98121</v>
      </c>
      <c r="AA1972" t="s">
        <v>101</v>
      </c>
      <c r="AC1972" s="4" t="str">
        <f>"+12062661000"</f>
        <v>+12062661000</v>
      </c>
      <c r="AE1972" t="str">
        <f>"454110"</f>
        <v>454110</v>
      </c>
      <c r="AF1972" t="s">
        <v>442</v>
      </c>
      <c r="AG1972" t="s">
        <v>443</v>
      </c>
      <c r="AH1972" t="s">
        <v>108</v>
      </c>
      <c r="AI1972" t="s">
        <v>434</v>
      </c>
      <c r="AJ1972" t="s">
        <v>809</v>
      </c>
      <c r="AK1972" t="str">
        <f>"SUITE 500"</f>
        <v>SUITE 500</v>
      </c>
      <c r="AL1972" t="s">
        <v>433</v>
      </c>
      <c r="AM1972" t="s">
        <v>176</v>
      </c>
      <c r="AN1972" s="3">
        <v>98121</v>
      </c>
      <c r="AO1972" t="s">
        <v>101</v>
      </c>
      <c r="AQ1972" t="str">
        <f>"+12062661000"</f>
        <v>+12062661000</v>
      </c>
      <c r="AS1972" t="s">
        <v>263</v>
      </c>
      <c r="AT1972" t="s">
        <v>107</v>
      </c>
      <c r="AU1972" t="str">
        <f>"MARANCI"</f>
        <v>MARANCI</v>
      </c>
      <c r="AV1972" t="str">
        <f>"DANIEL"</f>
        <v>DANIEL</v>
      </c>
      <c r="AW1972" t="str">
        <f>"N/A"</f>
        <v>N/A</v>
      </c>
      <c r="AX1972" t="str">
        <f>"100 HIGH STREET"</f>
        <v>100 HIGH STREET</v>
      </c>
      <c r="AY1972" t="str">
        <f>"3RD FLOOR C#5318161"</f>
        <v>3RD FLOOR C#5318161</v>
      </c>
      <c r="AZ1972" t="str">
        <f>"BOSTON"</f>
        <v>BOSTON</v>
      </c>
      <c r="BA1972" t="str">
        <f>"MA"</f>
        <v>MA</v>
      </c>
      <c r="BB1972" s="3">
        <v>2110</v>
      </c>
      <c r="BC1972" t="str">
        <f t="shared" si="162"/>
        <v>UNITED STATES OF AMERICA</v>
      </c>
      <c r="BD1972" t="str">
        <f>""</f>
        <v/>
      </c>
      <c r="BE1972" t="str">
        <f>"+16175740400"</f>
        <v>+16175740400</v>
      </c>
      <c r="BF1972" t="str">
        <f>""</f>
        <v/>
      </c>
      <c r="BG1972" t="str">
        <f>"AMAZONINDIA@FRAGOMEN.COM"</f>
        <v>AMAZONINDIA@FRAGOMEN.COM</v>
      </c>
      <c r="BH1972" t="str">
        <f>"FRAGOMEN, DEL REY, BERNSEN &amp; LOEWY, LLP"</f>
        <v>FRAGOMEN, DEL REY, BERNSEN &amp; LOEWY, LLP</v>
      </c>
      <c r="BI1972" t="str">
        <f>"MA"</f>
        <v>MA</v>
      </c>
      <c r="BJ1972" t="str">
        <f>"SUPREME JUDICIAL COURT"</f>
        <v>SUPREME JUDICIAL COURT</v>
      </c>
      <c r="BK1972">
        <v>1</v>
      </c>
      <c r="BL1972" t="s">
        <v>102</v>
      </c>
      <c r="BM1972" t="str">
        <f>""</f>
        <v/>
      </c>
      <c r="BN1972" t="s">
        <v>3100</v>
      </c>
      <c r="BP1972" t="s">
        <v>240</v>
      </c>
      <c r="BQ1972" t="s">
        <v>230</v>
      </c>
      <c r="BR1972" t="s">
        <v>141</v>
      </c>
      <c r="BS1972" s="5">
        <v>95014</v>
      </c>
      <c r="BT1972" s="2">
        <v>148300</v>
      </c>
      <c r="BV1972" t="s">
        <v>105</v>
      </c>
      <c r="BW1972" s="2">
        <v>95430</v>
      </c>
      <c r="BX1972" t="s">
        <v>105</v>
      </c>
      <c r="BZ1972" t="s">
        <v>191</v>
      </c>
      <c r="CA1972" t="str">
        <f>"7/1/2020 - 6/30/2021"</f>
        <v>7/1/2020 - 6/30/2021</v>
      </c>
      <c r="CF1972">
        <v>1</v>
      </c>
      <c r="CG1972" t="s">
        <v>98</v>
      </c>
      <c r="CH1972" t="s">
        <v>206</v>
      </c>
      <c r="CI1972" t="s">
        <v>206</v>
      </c>
      <c r="CL1972" t="s">
        <v>108</v>
      </c>
      <c r="CM1972" t="s">
        <v>109</v>
      </c>
      <c r="CN1972" t="str">
        <f>"SUNNY"</f>
        <v>SUNNY</v>
      </c>
      <c r="CO1972" t="str">
        <f>"JASMIN"</f>
        <v>JASMIN</v>
      </c>
      <c r="CP1972" t="str">
        <f>"N/A"</f>
        <v>N/A</v>
      </c>
      <c r="CQ1972" t="str">
        <f>"FRAGOMEN, DEL REY, BERNSEN &amp; LOEWY, LLP"</f>
        <v>FRAGOMEN, DEL REY, BERNSEN &amp; LOEWY, LLP</v>
      </c>
      <c r="CR1972" t="s">
        <v>650</v>
      </c>
    </row>
    <row r="1973" spans="1:96" x14ac:dyDescent="0.2">
      <c r="A1973" t="s">
        <v>10138</v>
      </c>
      <c r="B1973" t="s">
        <v>96</v>
      </c>
      <c r="C1973" s="1">
        <v>44099</v>
      </c>
      <c r="D1973" s="1">
        <v>44106</v>
      </c>
      <c r="F1973" t="s">
        <v>97</v>
      </c>
      <c r="G1973" t="str">
        <f>"HOSPITALIST"</f>
        <v>HOSPITALIST</v>
      </c>
      <c r="H1973" t="s">
        <v>12207</v>
      </c>
      <c r="I1973" t="s">
        <v>997</v>
      </c>
      <c r="J1973" t="s">
        <v>98</v>
      </c>
      <c r="K1973" s="1">
        <v>44211</v>
      </c>
      <c r="L1973" s="1">
        <v>45305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 t="s">
        <v>10139</v>
      </c>
      <c r="U1973" t="str">
        <f>"MARYLAND INPATIENT CARE SPECIALISTS"</f>
        <v>MARYLAND INPATIENT CARE SPECIALISTS</v>
      </c>
      <c r="V1973" t="s">
        <v>10140</v>
      </c>
      <c r="W1973" t="str">
        <f>"SUITE 500"</f>
        <v>SUITE 500</v>
      </c>
      <c r="X1973" t="s">
        <v>3628</v>
      </c>
      <c r="Y1973" t="s">
        <v>195</v>
      </c>
      <c r="Z1973" s="3">
        <v>21076</v>
      </c>
      <c r="AA1973" t="s">
        <v>101</v>
      </c>
      <c r="AC1973" s="4" t="str">
        <f>"+14439490814"</f>
        <v>+14439490814</v>
      </c>
      <c r="AE1973" t="str">
        <f>"62111"</f>
        <v>62111</v>
      </c>
      <c r="AF1973" t="s">
        <v>10141</v>
      </c>
      <c r="AG1973" t="s">
        <v>4965</v>
      </c>
      <c r="AI1973" t="s">
        <v>2283</v>
      </c>
      <c r="AJ1973" t="s">
        <v>10140</v>
      </c>
      <c r="AK1973" t="str">
        <f>"SUITE 500"</f>
        <v>SUITE 500</v>
      </c>
      <c r="AL1973" t="s">
        <v>3628</v>
      </c>
      <c r="AM1973" t="s">
        <v>195</v>
      </c>
      <c r="AN1973" s="3">
        <v>21076</v>
      </c>
      <c r="AO1973" t="s">
        <v>101</v>
      </c>
      <c r="AQ1973" t="str">
        <f>"+14109991132"</f>
        <v>+14109991132</v>
      </c>
      <c r="AS1973" t="s">
        <v>10142</v>
      </c>
      <c r="AT1973" t="s">
        <v>107</v>
      </c>
      <c r="AU1973" t="str">
        <f>"PEDERSON"</f>
        <v>PEDERSON</v>
      </c>
      <c r="AV1973" t="str">
        <f>"Jan"</f>
        <v>Jan</v>
      </c>
      <c r="AW1973" t="str">
        <f>"M"</f>
        <v>M</v>
      </c>
      <c r="AX1973" t="str">
        <f>"1800 MASSACHUSETTS AVE., NW"</f>
        <v>1800 MASSACHUSETTS AVE., NW</v>
      </c>
      <c r="AY1973" t="str">
        <f>"Suite 300"</f>
        <v>Suite 300</v>
      </c>
      <c r="AZ1973" t="str">
        <f>"WASHINGTON"</f>
        <v>WASHINGTON</v>
      </c>
      <c r="BA1973" t="str">
        <f>"DC"</f>
        <v>DC</v>
      </c>
      <c r="BB1973" s="3">
        <v>20036</v>
      </c>
      <c r="BC1973" t="str">
        <f t="shared" si="162"/>
        <v>UNITED STATES OF AMERICA</v>
      </c>
      <c r="BD1973" t="str">
        <f>""</f>
        <v/>
      </c>
      <c r="BE1973" t="str">
        <f>"+12024830053"</f>
        <v>+12024830053</v>
      </c>
      <c r="BF1973" t="str">
        <f>"104"</f>
        <v>104</v>
      </c>
      <c r="BG1973" t="str">
        <f>"jan@maggio-kattar.com"</f>
        <v>jan@maggio-kattar.com</v>
      </c>
      <c r="BH1973" t="str">
        <f>"MAGGIO KATTAR"</f>
        <v>MAGGIO KATTAR</v>
      </c>
      <c r="BI1973" t="str">
        <f>"DC"</f>
        <v>DC</v>
      </c>
      <c r="BJ1973" t="str">
        <f>"SUPREME COURT OF THE UNITED STATES"</f>
        <v>SUPREME COURT OF THE UNITED STATES</v>
      </c>
      <c r="BK1973">
        <v>1</v>
      </c>
      <c r="BL1973" t="s">
        <v>102</v>
      </c>
      <c r="BM1973" t="str">
        <f>""</f>
        <v/>
      </c>
      <c r="BN1973" t="s">
        <v>10143</v>
      </c>
      <c r="BP1973" t="s">
        <v>10144</v>
      </c>
      <c r="BQ1973" t="s">
        <v>6384</v>
      </c>
      <c r="BR1973" t="s">
        <v>195</v>
      </c>
      <c r="BS1973" s="5">
        <v>20678</v>
      </c>
      <c r="BT1973" s="2">
        <v>195000</v>
      </c>
      <c r="BV1973" t="s">
        <v>105</v>
      </c>
      <c r="BW1973" s="2">
        <v>141315</v>
      </c>
      <c r="BX1973" t="s">
        <v>105</v>
      </c>
      <c r="BZ1973" t="s">
        <v>167</v>
      </c>
      <c r="CA1973" t="str">
        <f>"7/1/2020 - 6/30/2021"</f>
        <v>7/1/2020 - 6/30/2021</v>
      </c>
      <c r="CF1973">
        <v>1</v>
      </c>
      <c r="CG1973" t="s">
        <v>98</v>
      </c>
      <c r="CH1973" t="s">
        <v>206</v>
      </c>
      <c r="CI1973" t="s">
        <v>206</v>
      </c>
      <c r="CL1973" t="s">
        <v>108</v>
      </c>
      <c r="CM1973" t="s">
        <v>109</v>
      </c>
      <c r="CN1973" t="str">
        <f>""</f>
        <v/>
      </c>
      <c r="CO1973" t="str">
        <f>""</f>
        <v/>
      </c>
      <c r="CP1973" t="str">
        <f>""</f>
        <v/>
      </c>
      <c r="CQ1973" t="str">
        <f>""</f>
        <v/>
      </c>
    </row>
    <row r="1974" spans="1:96" x14ac:dyDescent="0.2">
      <c r="A1974" t="s">
        <v>10147</v>
      </c>
      <c r="B1974" t="s">
        <v>96</v>
      </c>
      <c r="C1974" s="1">
        <v>44099</v>
      </c>
      <c r="D1974" s="1">
        <v>44106</v>
      </c>
      <c r="F1974" t="s">
        <v>97</v>
      </c>
      <c r="G1974" t="str">
        <f>"Software Engineer"</f>
        <v>Software Engineer</v>
      </c>
      <c r="H1974" t="s">
        <v>12169</v>
      </c>
      <c r="I1974" t="s">
        <v>124</v>
      </c>
      <c r="J1974" t="s">
        <v>98</v>
      </c>
      <c r="K1974" s="1">
        <v>44109</v>
      </c>
      <c r="L1974" s="1">
        <v>44803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 t="s">
        <v>9118</v>
      </c>
      <c r="U1974" t="str">
        <f>"EBSCO Information Services"</f>
        <v>EBSCO Information Services</v>
      </c>
      <c r="V1974" t="s">
        <v>9389</v>
      </c>
      <c r="W1974" t="str">
        <f>""</f>
        <v/>
      </c>
      <c r="X1974" t="s">
        <v>9119</v>
      </c>
      <c r="Y1974" t="s">
        <v>171</v>
      </c>
      <c r="Z1974" s="3">
        <v>1938</v>
      </c>
      <c r="AA1974" t="s">
        <v>101</v>
      </c>
      <c r="AC1974" s="4" t="str">
        <f>"+19783566500"</f>
        <v>+19783566500</v>
      </c>
      <c r="AE1974" t="str">
        <f>"541511"</f>
        <v>541511</v>
      </c>
      <c r="AF1974" t="s">
        <v>9120</v>
      </c>
      <c r="AG1974" t="s">
        <v>3305</v>
      </c>
      <c r="AI1974" t="s">
        <v>9121</v>
      </c>
      <c r="AJ1974" t="s">
        <v>9389</v>
      </c>
      <c r="AK1974" t="str">
        <f>""</f>
        <v/>
      </c>
      <c r="AL1974" t="s">
        <v>9119</v>
      </c>
      <c r="AM1974" t="s">
        <v>171</v>
      </c>
      <c r="AN1974" s="3">
        <v>1938</v>
      </c>
      <c r="AO1974" t="s">
        <v>101</v>
      </c>
      <c r="AQ1974" t="str">
        <f>"+19783566500"</f>
        <v>+19783566500</v>
      </c>
      <c r="AS1974" t="s">
        <v>9122</v>
      </c>
      <c r="AT1974" t="s">
        <v>107</v>
      </c>
      <c r="AU1974" t="str">
        <f>"Bay"</f>
        <v>Bay</v>
      </c>
      <c r="AV1974" t="str">
        <f>"Ryan"</f>
        <v>Ryan</v>
      </c>
      <c r="AW1974" t="str">
        <f>"Howell"</f>
        <v>Howell</v>
      </c>
      <c r="AX1974" t="str">
        <f>"230 W. Monroe Street"</f>
        <v>230 W. Monroe Street</v>
      </c>
      <c r="AY1974" t="str">
        <f>"Suite 2800"</f>
        <v>Suite 2800</v>
      </c>
      <c r="AZ1974" t="str">
        <f>"Chicago"</f>
        <v>Chicago</v>
      </c>
      <c r="BA1974" t="str">
        <f>"IL"</f>
        <v>IL</v>
      </c>
      <c r="BB1974" s="3">
        <v>60606</v>
      </c>
      <c r="BC1974" t="str">
        <f t="shared" si="162"/>
        <v>UNITED STATES OF AMERICA</v>
      </c>
      <c r="BD1974" t="str">
        <f>""</f>
        <v/>
      </c>
      <c r="BE1974" t="str">
        <f>"+13127226300"</f>
        <v>+13127226300</v>
      </c>
      <c r="BF1974" t="str">
        <f>""</f>
        <v/>
      </c>
      <c r="BG1974" t="str">
        <f>"gov@giafirm.com"</f>
        <v>gov@giafirm.com</v>
      </c>
      <c r="BH1974" t="str">
        <f>"Global Immigration Associates, P.C."</f>
        <v>Global Immigration Associates, P.C.</v>
      </c>
      <c r="BI1974" t="str">
        <f>"IL"</f>
        <v>IL</v>
      </c>
      <c r="BJ1974" t="str">
        <f>"Supreme Court"</f>
        <v>Supreme Court</v>
      </c>
      <c r="BK1974">
        <v>1</v>
      </c>
      <c r="BL1974" t="s">
        <v>102</v>
      </c>
      <c r="BM1974" t="str">
        <f>""</f>
        <v/>
      </c>
      <c r="BN1974" t="s">
        <v>9389</v>
      </c>
      <c r="BP1974" t="s">
        <v>9119</v>
      </c>
      <c r="BQ1974" t="s">
        <v>309</v>
      </c>
      <c r="BR1974" t="s">
        <v>171</v>
      </c>
      <c r="BS1974" s="5">
        <v>1938</v>
      </c>
      <c r="BT1974" s="2">
        <v>89037</v>
      </c>
      <c r="BV1974" t="s">
        <v>105</v>
      </c>
      <c r="BW1974" s="2">
        <v>89037</v>
      </c>
      <c r="BX1974" t="s">
        <v>105</v>
      </c>
      <c r="CA1974" t="str">
        <f>""</f>
        <v/>
      </c>
      <c r="CB1974" t="s">
        <v>244</v>
      </c>
      <c r="CC1974">
        <v>2020</v>
      </c>
      <c r="CD1974" t="s">
        <v>1616</v>
      </c>
      <c r="CE1974" t="s">
        <v>1617</v>
      </c>
      <c r="CF1974">
        <v>2</v>
      </c>
      <c r="CG1974" t="s">
        <v>98</v>
      </c>
      <c r="CH1974" t="s">
        <v>206</v>
      </c>
      <c r="CI1974" t="s">
        <v>206</v>
      </c>
      <c r="CL1974" t="s">
        <v>108</v>
      </c>
      <c r="CM1974" t="s">
        <v>109</v>
      </c>
      <c r="CN1974" t="str">
        <f>""</f>
        <v/>
      </c>
      <c r="CO1974" t="str">
        <f>""</f>
        <v/>
      </c>
      <c r="CP1974" t="str">
        <f>""</f>
        <v/>
      </c>
      <c r="CQ1974" t="str">
        <f>""</f>
        <v/>
      </c>
    </row>
    <row r="1975" spans="1:96" x14ac:dyDescent="0.2">
      <c r="A1975" t="s">
        <v>10151</v>
      </c>
      <c r="B1975" t="s">
        <v>96</v>
      </c>
      <c r="C1975" s="1">
        <v>44099</v>
      </c>
      <c r="D1975" s="1">
        <v>44106</v>
      </c>
      <c r="F1975" t="s">
        <v>97</v>
      </c>
      <c r="G1975" t="str">
        <f>"Senior Service Delivery Advisor"</f>
        <v>Senior Service Delivery Advisor</v>
      </c>
      <c r="H1975" t="s">
        <v>12197</v>
      </c>
      <c r="I1975" t="s">
        <v>137</v>
      </c>
      <c r="J1975" t="s">
        <v>98</v>
      </c>
      <c r="K1975" s="1">
        <v>44104</v>
      </c>
      <c r="L1975" s="1">
        <v>45198</v>
      </c>
      <c r="M1975">
        <v>3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 t="s">
        <v>216</v>
      </c>
      <c r="U1975" t="str">
        <f>""</f>
        <v/>
      </c>
      <c r="V1975" t="s">
        <v>217</v>
      </c>
      <c r="W1975" t="str">
        <f>""</f>
        <v/>
      </c>
      <c r="X1975" t="s">
        <v>218</v>
      </c>
      <c r="Y1975" t="s">
        <v>127</v>
      </c>
      <c r="Z1975" s="3">
        <v>19103</v>
      </c>
      <c r="AA1975" t="s">
        <v>101</v>
      </c>
      <c r="AC1975" s="4" t="str">
        <f>"+16179608170"</f>
        <v>+16179608170</v>
      </c>
      <c r="AE1975" t="str">
        <f>"54121"</f>
        <v>54121</v>
      </c>
      <c r="AF1975" t="s">
        <v>219</v>
      </c>
      <c r="AG1975" t="s">
        <v>220</v>
      </c>
      <c r="AI1975" t="s">
        <v>221</v>
      </c>
      <c r="AJ1975" t="s">
        <v>217</v>
      </c>
      <c r="AK1975" t="str">
        <f>""</f>
        <v/>
      </c>
      <c r="AL1975" t="s">
        <v>218</v>
      </c>
      <c r="AM1975" t="s">
        <v>127</v>
      </c>
      <c r="AN1975" s="3">
        <v>19103</v>
      </c>
      <c r="AO1975" t="s">
        <v>101</v>
      </c>
      <c r="AQ1975" t="str">
        <f>"+16179608170"</f>
        <v>+16179608170</v>
      </c>
      <c r="AS1975" t="s">
        <v>222</v>
      </c>
      <c r="AT1975" t="s">
        <v>107</v>
      </c>
      <c r="AU1975" t="str">
        <f>"Cook"</f>
        <v>Cook</v>
      </c>
      <c r="AV1975" t="str">
        <f>"Sharon"</f>
        <v>Sharon</v>
      </c>
      <c r="AW1975" t="str">
        <f>"Lynn"</f>
        <v>Lynn</v>
      </c>
      <c r="AX1975" t="str">
        <f>"1075 Peachtree Street NE"</f>
        <v>1075 Peachtree Street NE</v>
      </c>
      <c r="AY1975" t="str">
        <f>"Suite 2500"</f>
        <v>Suite 2500</v>
      </c>
      <c r="AZ1975" t="str">
        <f>"Atlanta"</f>
        <v>Atlanta</v>
      </c>
      <c r="BA1975" t="str">
        <f>"GA"</f>
        <v>GA</v>
      </c>
      <c r="BB1975" s="3">
        <v>30309</v>
      </c>
      <c r="BC1975" t="str">
        <f t="shared" si="162"/>
        <v>UNITED STATES OF AMERICA</v>
      </c>
      <c r="BD1975" t="str">
        <f>""</f>
        <v/>
      </c>
      <c r="BE1975" t="str">
        <f>"+14048856754"</f>
        <v>+14048856754</v>
      </c>
      <c r="BF1975" t="str">
        <f>""</f>
        <v/>
      </c>
      <c r="BG1975" t="str">
        <f>"rdenham@seyfarth.com"</f>
        <v>rdenham@seyfarth.com</v>
      </c>
      <c r="BH1975" t="str">
        <f>"Seyfarth Shaw LLP"</f>
        <v>Seyfarth Shaw LLP</v>
      </c>
      <c r="BI1975" t="str">
        <f>"GA"</f>
        <v>GA</v>
      </c>
      <c r="BJ1975" t="str">
        <f>"Supreme Court"</f>
        <v>Supreme Court</v>
      </c>
      <c r="BK1975">
        <v>3</v>
      </c>
      <c r="BL1975" t="s">
        <v>102</v>
      </c>
      <c r="BM1975" t="str">
        <f>""</f>
        <v/>
      </c>
      <c r="BN1975" t="s">
        <v>2958</v>
      </c>
      <c r="BO1975" t="s">
        <v>1056</v>
      </c>
      <c r="BP1975" t="s">
        <v>595</v>
      </c>
      <c r="BQ1975" t="s">
        <v>484</v>
      </c>
      <c r="BR1975" t="s">
        <v>114</v>
      </c>
      <c r="BS1975" s="5">
        <v>75201</v>
      </c>
      <c r="BT1975" s="2">
        <v>103961</v>
      </c>
      <c r="BV1975" t="s">
        <v>105</v>
      </c>
      <c r="BW1975" s="2">
        <v>103961</v>
      </c>
      <c r="BX1975" t="s">
        <v>105</v>
      </c>
      <c r="CA1975" t="str">
        <f>""</f>
        <v/>
      </c>
      <c r="CB1975" t="s">
        <v>244</v>
      </c>
      <c r="CC1975">
        <v>2020</v>
      </c>
      <c r="CD1975" t="s">
        <v>245</v>
      </c>
      <c r="CE1975" t="s">
        <v>4837</v>
      </c>
      <c r="CF1975">
        <v>2</v>
      </c>
      <c r="CG1975" t="s">
        <v>98</v>
      </c>
      <c r="CH1975" t="s">
        <v>206</v>
      </c>
      <c r="CI1975" t="s">
        <v>206</v>
      </c>
      <c r="CL1975" t="s">
        <v>108</v>
      </c>
      <c r="CM1975" t="s">
        <v>109</v>
      </c>
      <c r="CN1975" t="str">
        <f>"Denham"</f>
        <v>Denham</v>
      </c>
      <c r="CO1975" t="str">
        <f>"Rachel"</f>
        <v>Rachel</v>
      </c>
      <c r="CP1975" t="str">
        <f>""</f>
        <v/>
      </c>
      <c r="CQ1975" t="str">
        <f>"Seyfarth Shaw LLP"</f>
        <v>Seyfarth Shaw LLP</v>
      </c>
      <c r="CR1975" t="s">
        <v>4838</v>
      </c>
    </row>
    <row r="1976" spans="1:96" x14ac:dyDescent="0.2">
      <c r="A1976" t="s">
        <v>10152</v>
      </c>
      <c r="B1976" t="s">
        <v>96</v>
      </c>
      <c r="C1976" s="1">
        <v>44099</v>
      </c>
      <c r="D1976" s="1">
        <v>44106</v>
      </c>
      <c r="F1976" t="s">
        <v>97</v>
      </c>
      <c r="G1976" t="str">
        <f>"User Experience Designer"</f>
        <v>User Experience Designer</v>
      </c>
      <c r="H1976" t="s">
        <v>12222</v>
      </c>
      <c r="I1976" t="s">
        <v>694</v>
      </c>
      <c r="J1976" t="s">
        <v>98</v>
      </c>
      <c r="K1976" s="1">
        <v>44105</v>
      </c>
      <c r="L1976" s="1">
        <v>45199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 t="s">
        <v>1062</v>
      </c>
      <c r="U1976" t="str">
        <f>""</f>
        <v/>
      </c>
      <c r="V1976" t="s">
        <v>1063</v>
      </c>
      <c r="W1976" t="str">
        <f>""</f>
        <v/>
      </c>
      <c r="X1976" t="s">
        <v>651</v>
      </c>
      <c r="Y1976" t="s">
        <v>141</v>
      </c>
      <c r="Z1976" s="3">
        <v>95110</v>
      </c>
      <c r="AA1976" t="s">
        <v>101</v>
      </c>
      <c r="AC1976" s="4" t="str">
        <f>"+14085365856"</f>
        <v>+14085365856</v>
      </c>
      <c r="AE1976" t="str">
        <f>"541512"</f>
        <v>541512</v>
      </c>
      <c r="AF1976" t="s">
        <v>2309</v>
      </c>
      <c r="AG1976" t="s">
        <v>2310</v>
      </c>
      <c r="AI1976" t="s">
        <v>2311</v>
      </c>
      <c r="AJ1976" t="s">
        <v>2312</v>
      </c>
      <c r="AK1976" t="str">
        <f>""</f>
        <v/>
      </c>
      <c r="AL1976" t="s">
        <v>651</v>
      </c>
      <c r="AM1976" t="s">
        <v>141</v>
      </c>
      <c r="AN1976" s="3">
        <v>95110</v>
      </c>
      <c r="AO1976" t="s">
        <v>101</v>
      </c>
      <c r="AQ1976" t="str">
        <f>"+14085365856"</f>
        <v>+14085365856</v>
      </c>
      <c r="AS1976" t="s">
        <v>2313</v>
      </c>
      <c r="AT1976" t="s">
        <v>107</v>
      </c>
      <c r="AU1976" t="str">
        <f>"EMRALINO"</f>
        <v>EMRALINO</v>
      </c>
      <c r="AV1976" t="str">
        <f>"JESTHERLYNN"</f>
        <v>JESTHERLYNN</v>
      </c>
      <c r="AW1976" t="str">
        <f>"CATOERA"</f>
        <v>CATOERA</v>
      </c>
      <c r="AX1976" t="str">
        <f>"2121 TASMAN DRIVE"</f>
        <v>2121 TASMAN DRIVE</v>
      </c>
      <c r="AY1976" t="str">
        <f>""</f>
        <v/>
      </c>
      <c r="AZ1976" t="str">
        <f>"SANTA CLARA"</f>
        <v>SANTA CLARA</v>
      </c>
      <c r="BA1976" t="str">
        <f>"CA"</f>
        <v>CA</v>
      </c>
      <c r="BB1976" s="3">
        <v>95054</v>
      </c>
      <c r="BC1976" t="str">
        <f t="shared" si="162"/>
        <v>UNITED STATES OF AMERICA</v>
      </c>
      <c r="BD1976" t="str">
        <f>""</f>
        <v/>
      </c>
      <c r="BE1976" t="str">
        <f>"+14082353574"</f>
        <v>+14082353574</v>
      </c>
      <c r="BF1976" t="str">
        <f>""</f>
        <v/>
      </c>
      <c r="BG1976" t="str">
        <f>"ADOBE@FRAGOMEN.COM"</f>
        <v>ADOBE@FRAGOMEN.COM</v>
      </c>
      <c r="BH1976" t="str">
        <f>"FRAGOMEN, DEL REY, BERNSEN &amp; LOEWY"</f>
        <v>FRAGOMEN, DEL REY, BERNSEN &amp; LOEWY</v>
      </c>
      <c r="BI1976" t="str">
        <f>"NJ"</f>
        <v>NJ</v>
      </c>
      <c r="BJ1976" t="str">
        <f>"SUPREME COURT"</f>
        <v>SUPREME COURT</v>
      </c>
      <c r="BK1976">
        <v>1</v>
      </c>
      <c r="BL1976" t="s">
        <v>102</v>
      </c>
      <c r="BM1976" t="str">
        <f>""</f>
        <v/>
      </c>
      <c r="BN1976" t="s">
        <v>3879</v>
      </c>
      <c r="BP1976" t="s">
        <v>140</v>
      </c>
      <c r="BQ1976" t="s">
        <v>147</v>
      </c>
      <c r="BR1976" t="s">
        <v>141</v>
      </c>
      <c r="BS1976" s="5">
        <v>94103</v>
      </c>
      <c r="BT1976" s="2">
        <v>90438</v>
      </c>
      <c r="BV1976" t="s">
        <v>105</v>
      </c>
      <c r="BW1976" s="2">
        <v>90438</v>
      </c>
      <c r="BX1976" t="s">
        <v>105</v>
      </c>
      <c r="BZ1976" t="s">
        <v>159</v>
      </c>
      <c r="CA1976" t="str">
        <f t="shared" ref="CA1976:CA1990" si="163">"7/1/2020 - 6/30/2021"</f>
        <v>7/1/2020 - 6/30/2021</v>
      </c>
      <c r="CF1976">
        <v>2</v>
      </c>
      <c r="CG1976" t="s">
        <v>98</v>
      </c>
      <c r="CH1976" t="s">
        <v>206</v>
      </c>
      <c r="CI1976" t="s">
        <v>206</v>
      </c>
      <c r="CL1976" t="s">
        <v>108</v>
      </c>
      <c r="CM1976" t="s">
        <v>109</v>
      </c>
      <c r="CN1976" t="str">
        <f>""</f>
        <v/>
      </c>
      <c r="CO1976" t="str">
        <f>""</f>
        <v/>
      </c>
      <c r="CP1976" t="str">
        <f>""</f>
        <v/>
      </c>
      <c r="CQ1976" t="str">
        <f>""</f>
        <v/>
      </c>
    </row>
    <row r="1977" spans="1:96" x14ac:dyDescent="0.2">
      <c r="A1977" t="s">
        <v>10157</v>
      </c>
      <c r="B1977" t="s">
        <v>96</v>
      </c>
      <c r="C1977" s="1">
        <v>44099</v>
      </c>
      <c r="D1977" s="1">
        <v>44106</v>
      </c>
      <c r="F1977" t="s">
        <v>97</v>
      </c>
      <c r="G1977" t="str">
        <f>"Studio Director"</f>
        <v>Studio Director</v>
      </c>
      <c r="H1977" t="s">
        <v>12205</v>
      </c>
      <c r="I1977" t="s">
        <v>665</v>
      </c>
      <c r="J1977" t="s">
        <v>98</v>
      </c>
      <c r="K1977" s="1">
        <v>44105</v>
      </c>
      <c r="L1977" s="1">
        <v>45199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10158</v>
      </c>
      <c r="U1977" t="str">
        <f>"Prefab Logic, LLC"</f>
        <v>Prefab Logic, LLC</v>
      </c>
      <c r="V1977" t="s">
        <v>10159</v>
      </c>
      <c r="W1977" t="str">
        <f>"Ste 200"</f>
        <v>Ste 200</v>
      </c>
      <c r="X1977" t="s">
        <v>10160</v>
      </c>
      <c r="Y1977" t="s">
        <v>2548</v>
      </c>
      <c r="Z1977" s="3">
        <v>83687</v>
      </c>
      <c r="AA1977" t="s">
        <v>101</v>
      </c>
      <c r="AC1977" s="4" t="str">
        <f>"+12088908734"</f>
        <v>+12088908734</v>
      </c>
      <c r="AE1977" t="str">
        <f>"541330"</f>
        <v>541330</v>
      </c>
      <c r="AF1977" t="s">
        <v>10161</v>
      </c>
      <c r="AG1977" t="s">
        <v>3413</v>
      </c>
      <c r="AI1977" t="s">
        <v>9497</v>
      </c>
      <c r="AJ1977" t="s">
        <v>10159</v>
      </c>
      <c r="AK1977" t="str">
        <f>"Ste 200"</f>
        <v>Ste 200</v>
      </c>
      <c r="AL1977" t="s">
        <v>10160</v>
      </c>
      <c r="AM1977" t="s">
        <v>2548</v>
      </c>
      <c r="AN1977" s="3">
        <v>83687</v>
      </c>
      <c r="AO1977" t="s">
        <v>101</v>
      </c>
      <c r="AQ1977" t="str">
        <f>"+12088908734"</f>
        <v>+12088908734</v>
      </c>
      <c r="AS1977" t="s">
        <v>10162</v>
      </c>
      <c r="AT1977" t="s">
        <v>107</v>
      </c>
      <c r="AU1977" t="str">
        <f>"Schaefer"</f>
        <v>Schaefer</v>
      </c>
      <c r="AV1977" t="str">
        <f>"Kimberley"</f>
        <v>Kimberley</v>
      </c>
      <c r="AW1977" t="str">
        <f>""</f>
        <v/>
      </c>
      <c r="AX1977" t="str">
        <f>"8030 W Emerald Street"</f>
        <v>8030 W Emerald Street</v>
      </c>
      <c r="AY1977" t="str">
        <f>"Ste 185"</f>
        <v>Ste 185</v>
      </c>
      <c r="AZ1977" t="str">
        <f>"Boise"</f>
        <v>Boise</v>
      </c>
      <c r="BA1977" t="str">
        <f>"ID"</f>
        <v>ID</v>
      </c>
      <c r="BB1977" s="3">
        <v>83704</v>
      </c>
      <c r="BC1977" t="str">
        <f t="shared" si="162"/>
        <v>UNITED STATES OF AMERICA</v>
      </c>
      <c r="BD1977" t="str">
        <f>""</f>
        <v/>
      </c>
      <c r="BE1977" t="str">
        <f>"+12088104850"</f>
        <v>+12088104850</v>
      </c>
      <c r="BF1977" t="str">
        <f>""</f>
        <v/>
      </c>
      <c r="BG1977" t="str">
        <f>"kims@immigrationidaho.com"</f>
        <v>kims@immigrationidaho.com</v>
      </c>
      <c r="BH1977" t="str">
        <f>"Schaefer Law Firm"</f>
        <v>Schaefer Law Firm</v>
      </c>
      <c r="BI1977" t="str">
        <f>"DC"</f>
        <v>DC</v>
      </c>
      <c r="BJ1977" t="str">
        <f>"Superior Court of the District of Columbia"</f>
        <v>Superior Court of the District of Columbia</v>
      </c>
      <c r="BK1977">
        <v>1</v>
      </c>
      <c r="BL1977" t="s">
        <v>102</v>
      </c>
      <c r="BM1977" t="str">
        <f>""</f>
        <v/>
      </c>
      <c r="BN1977" t="s">
        <v>10159</v>
      </c>
      <c r="BO1977" t="s">
        <v>5733</v>
      </c>
      <c r="BP1977" t="s">
        <v>10160</v>
      </c>
      <c r="BQ1977" t="s">
        <v>9000</v>
      </c>
      <c r="BR1977" t="s">
        <v>2548</v>
      </c>
      <c r="BS1977" s="5">
        <v>83687</v>
      </c>
      <c r="BT1977" s="2">
        <v>100000</v>
      </c>
      <c r="BV1977" t="s">
        <v>105</v>
      </c>
      <c r="BW1977" s="2">
        <v>85176</v>
      </c>
      <c r="BX1977" t="s">
        <v>105</v>
      </c>
      <c r="BZ1977" t="s">
        <v>123</v>
      </c>
      <c r="CA1977" t="str">
        <f t="shared" si="163"/>
        <v>7/1/2020 - 6/30/2021</v>
      </c>
      <c r="CF1977">
        <v>1</v>
      </c>
      <c r="CG1977" t="s">
        <v>98</v>
      </c>
      <c r="CH1977" t="s">
        <v>206</v>
      </c>
      <c r="CI1977" t="s">
        <v>206</v>
      </c>
      <c r="CL1977" t="s">
        <v>108</v>
      </c>
      <c r="CM1977" t="s">
        <v>109</v>
      </c>
      <c r="CN1977" t="str">
        <f>"Schaefer"</f>
        <v>Schaefer</v>
      </c>
      <c r="CO1977" t="str">
        <f>"Kimberley"</f>
        <v>Kimberley</v>
      </c>
      <c r="CP1977" t="str">
        <f>""</f>
        <v/>
      </c>
      <c r="CQ1977" t="str">
        <f>"Schaefer Law Firm"</f>
        <v>Schaefer Law Firm</v>
      </c>
      <c r="CR1977" t="s">
        <v>10163</v>
      </c>
    </row>
    <row r="1978" spans="1:96" x14ac:dyDescent="0.2">
      <c r="A1978" t="s">
        <v>10174</v>
      </c>
      <c r="B1978" t="s">
        <v>96</v>
      </c>
      <c r="C1978" s="1">
        <v>44099</v>
      </c>
      <c r="D1978" s="1">
        <v>44106</v>
      </c>
      <c r="F1978" t="s">
        <v>97</v>
      </c>
      <c r="G1978" t="str">
        <f>"Senior Systems Programmer Analyst"</f>
        <v>Senior Systems Programmer Analyst</v>
      </c>
      <c r="H1978" t="s">
        <v>12169</v>
      </c>
      <c r="I1978" t="s">
        <v>124</v>
      </c>
      <c r="J1978" t="s">
        <v>98</v>
      </c>
      <c r="K1978" s="1">
        <v>44272</v>
      </c>
      <c r="L1978" s="1">
        <v>45367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 t="s">
        <v>9352</v>
      </c>
      <c r="U1978" t="str">
        <f>""</f>
        <v/>
      </c>
      <c r="V1978" t="s">
        <v>5261</v>
      </c>
      <c r="W1978" t="str">
        <f>""</f>
        <v/>
      </c>
      <c r="X1978" t="s">
        <v>277</v>
      </c>
      <c r="Y1978" t="s">
        <v>190</v>
      </c>
      <c r="Z1978" s="3">
        <v>10005</v>
      </c>
      <c r="AA1978" t="s">
        <v>101</v>
      </c>
      <c r="AC1978" s="4" t="str">
        <f>"+12124934889"</f>
        <v>+12124934889</v>
      </c>
      <c r="AE1978" t="str">
        <f>"522110"</f>
        <v>522110</v>
      </c>
      <c r="AF1978" t="s">
        <v>10175</v>
      </c>
      <c r="AG1978" t="s">
        <v>2485</v>
      </c>
      <c r="AI1978" t="s">
        <v>10176</v>
      </c>
      <c r="AJ1978" t="s">
        <v>5261</v>
      </c>
      <c r="AK1978" t="str">
        <f>""</f>
        <v/>
      </c>
      <c r="AL1978" t="s">
        <v>189</v>
      </c>
      <c r="AM1978" t="s">
        <v>190</v>
      </c>
      <c r="AN1978" s="3">
        <v>10005</v>
      </c>
      <c r="AO1978" t="s">
        <v>101</v>
      </c>
      <c r="AQ1978" t="str">
        <f>"+12124934889"</f>
        <v>+12124934889</v>
      </c>
      <c r="AS1978" t="s">
        <v>9353</v>
      </c>
      <c r="AT1978" t="s">
        <v>107</v>
      </c>
      <c r="AU1978" t="str">
        <f>"Berman"</f>
        <v>Berman</v>
      </c>
      <c r="AV1978" t="str">
        <f>"Elise"</f>
        <v>Elise</v>
      </c>
      <c r="AW1978" t="str">
        <f>""</f>
        <v/>
      </c>
      <c r="AX1978" t="str">
        <f>"230 Park Avenue"</f>
        <v>230 Park Avenue</v>
      </c>
      <c r="AY1978" t="str">
        <f>"Suite 1130"</f>
        <v>Suite 1130</v>
      </c>
      <c r="AZ1978" t="str">
        <f>"New York"</f>
        <v>New York</v>
      </c>
      <c r="BA1978" t="str">
        <f>"NY"</f>
        <v>NY</v>
      </c>
      <c r="BB1978" s="3">
        <v>10169</v>
      </c>
      <c r="BC1978" t="str">
        <f t="shared" si="162"/>
        <v>UNITED STATES OF AMERICA</v>
      </c>
      <c r="BD1978" t="str">
        <f>""</f>
        <v/>
      </c>
      <c r="BE1978" t="str">
        <f>"+12128189200"</f>
        <v>+12128189200</v>
      </c>
      <c r="BF1978" t="str">
        <f>"8705"</f>
        <v>8705</v>
      </c>
      <c r="BG1978" t="str">
        <f>"RDSingh@duanemorris.com"</f>
        <v>RDSingh@duanemorris.com</v>
      </c>
      <c r="BH1978" t="str">
        <f>"Duane Morris LLP"</f>
        <v>Duane Morris LLP</v>
      </c>
      <c r="BI1978" t="str">
        <f>"NY"</f>
        <v>NY</v>
      </c>
      <c r="BJ1978" t="str">
        <f>"New York Court of Appeals"</f>
        <v>New York Court of Appeals</v>
      </c>
      <c r="BK1978">
        <v>1</v>
      </c>
      <c r="BL1978" t="s">
        <v>102</v>
      </c>
      <c r="BM1978" t="str">
        <f>""</f>
        <v/>
      </c>
      <c r="BN1978" t="s">
        <v>10177</v>
      </c>
      <c r="BP1978" t="s">
        <v>277</v>
      </c>
      <c r="BQ1978" t="s">
        <v>189</v>
      </c>
      <c r="BR1978" t="s">
        <v>190</v>
      </c>
      <c r="BS1978" s="5">
        <v>10005</v>
      </c>
      <c r="BT1978" s="2">
        <v>151141.46</v>
      </c>
      <c r="BV1978" t="s">
        <v>105</v>
      </c>
      <c r="BW1978" s="2">
        <v>143936</v>
      </c>
      <c r="BX1978" t="s">
        <v>105</v>
      </c>
      <c r="BZ1978" t="s">
        <v>159</v>
      </c>
      <c r="CA1978" t="str">
        <f t="shared" si="163"/>
        <v>7/1/2020 - 6/30/2021</v>
      </c>
      <c r="CF1978">
        <v>2</v>
      </c>
      <c r="CG1978" t="s">
        <v>98</v>
      </c>
      <c r="CH1978" t="s">
        <v>206</v>
      </c>
      <c r="CI1978" t="s">
        <v>206</v>
      </c>
      <c r="CL1978" t="s">
        <v>108</v>
      </c>
      <c r="CM1978" t="s">
        <v>109</v>
      </c>
      <c r="CN1978" t="str">
        <f>""</f>
        <v/>
      </c>
      <c r="CO1978" t="str">
        <f>""</f>
        <v/>
      </c>
      <c r="CP1978" t="str">
        <f>""</f>
        <v/>
      </c>
      <c r="CQ1978" t="str">
        <f>""</f>
        <v/>
      </c>
    </row>
    <row r="1979" spans="1:96" x14ac:dyDescent="0.2">
      <c r="A1979" t="s">
        <v>10183</v>
      </c>
      <c r="B1979" t="s">
        <v>96</v>
      </c>
      <c r="C1979" s="1">
        <v>44099</v>
      </c>
      <c r="D1979" s="1">
        <v>44106</v>
      </c>
      <c r="F1979" t="s">
        <v>97</v>
      </c>
      <c r="G1979" t="str">
        <f>"ETL Developer"</f>
        <v>ETL Developer</v>
      </c>
      <c r="H1979" t="s">
        <v>12168</v>
      </c>
      <c r="I1979" t="s">
        <v>1844</v>
      </c>
      <c r="J1979" t="s">
        <v>98</v>
      </c>
      <c r="K1979" s="1">
        <v>44223</v>
      </c>
      <c r="L1979" s="1">
        <v>45317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 t="s">
        <v>9230</v>
      </c>
      <c r="U1979" t="str">
        <f>""</f>
        <v/>
      </c>
      <c r="V1979" t="s">
        <v>9231</v>
      </c>
      <c r="W1979" t="str">
        <f>"16th Floor"</f>
        <v>16th Floor</v>
      </c>
      <c r="X1979" t="s">
        <v>277</v>
      </c>
      <c r="Y1979" t="s">
        <v>190</v>
      </c>
      <c r="Z1979" s="3">
        <v>10014</v>
      </c>
      <c r="AA1979" t="s">
        <v>101</v>
      </c>
      <c r="AC1979" s="4" t="str">
        <f>"+16467289687"</f>
        <v>+16467289687</v>
      </c>
      <c r="AE1979" t="str">
        <f>"519130"</f>
        <v>519130</v>
      </c>
      <c r="AF1979" t="s">
        <v>3645</v>
      </c>
      <c r="AG1979" t="s">
        <v>610</v>
      </c>
      <c r="AI1979" t="s">
        <v>201</v>
      </c>
      <c r="AJ1979" t="s">
        <v>8309</v>
      </c>
      <c r="AK1979" t="str">
        <f>"16th Floor"</f>
        <v>16th Floor</v>
      </c>
      <c r="AL1979" t="s">
        <v>277</v>
      </c>
      <c r="AM1979" t="s">
        <v>190</v>
      </c>
      <c r="AN1979" s="3">
        <v>10014</v>
      </c>
      <c r="AO1979" t="s">
        <v>101</v>
      </c>
      <c r="AQ1979" t="str">
        <f>"+16467289687"</f>
        <v>+16467289687</v>
      </c>
      <c r="AS1979" t="s">
        <v>3646</v>
      </c>
      <c r="AT1979" t="s">
        <v>107</v>
      </c>
      <c r="AU1979" t="str">
        <f>"Lee"</f>
        <v>Lee</v>
      </c>
      <c r="AV1979" t="str">
        <f>"Jane"</f>
        <v>Jane</v>
      </c>
      <c r="AW1979" t="str">
        <f>""</f>
        <v/>
      </c>
      <c r="AX1979" t="str">
        <f>"641 Lexington Avenue"</f>
        <v>641 Lexington Avenue</v>
      </c>
      <c r="AY1979" t="str">
        <f>"15th Floor"</f>
        <v>15th Floor</v>
      </c>
      <c r="AZ1979" t="str">
        <f>"New York"</f>
        <v>New York</v>
      </c>
      <c r="BA1979" t="str">
        <f>"NY"</f>
        <v>NY</v>
      </c>
      <c r="BB1979" s="3">
        <v>10022</v>
      </c>
      <c r="BC1979" t="str">
        <f t="shared" si="162"/>
        <v>UNITED STATES OF AMERICA</v>
      </c>
      <c r="BD1979" t="str">
        <f>""</f>
        <v/>
      </c>
      <c r="BE1979" t="str">
        <f>"+12122714873"</f>
        <v>+12122714873</v>
      </c>
      <c r="BF1979" t="str">
        <f>""</f>
        <v/>
      </c>
      <c r="BG1979" t="str">
        <f>"JLee@wolfsdorf.com"</f>
        <v>JLee@wolfsdorf.com</v>
      </c>
      <c r="BH1979" t="str">
        <f>"Wolfsdorf Rosenthal LLP"</f>
        <v>Wolfsdorf Rosenthal LLP</v>
      </c>
      <c r="BI1979" t="str">
        <f>"NY"</f>
        <v>NY</v>
      </c>
      <c r="BJ1979" t="str">
        <f>"New York Court of Appeals"</f>
        <v>New York Court of Appeals</v>
      </c>
      <c r="BK1979">
        <v>1</v>
      </c>
      <c r="BL1979" t="s">
        <v>102</v>
      </c>
      <c r="BM1979" t="str">
        <f>""</f>
        <v/>
      </c>
      <c r="BN1979" t="s">
        <v>8309</v>
      </c>
      <c r="BO1979" t="s">
        <v>5353</v>
      </c>
      <c r="BP1979" t="s">
        <v>277</v>
      </c>
      <c r="BQ1979" t="s">
        <v>189</v>
      </c>
      <c r="BR1979" t="s">
        <v>190</v>
      </c>
      <c r="BS1979" s="5">
        <v>10014</v>
      </c>
      <c r="BT1979" s="2">
        <v>124800</v>
      </c>
      <c r="BV1979" t="s">
        <v>105</v>
      </c>
      <c r="BW1979" s="2">
        <v>91374</v>
      </c>
      <c r="BX1979" t="s">
        <v>105</v>
      </c>
      <c r="BZ1979" t="s">
        <v>123</v>
      </c>
      <c r="CA1979" t="str">
        <f t="shared" si="163"/>
        <v>7/1/2020 - 6/30/2021</v>
      </c>
      <c r="CF1979">
        <v>2</v>
      </c>
      <c r="CG1979" t="s">
        <v>98</v>
      </c>
      <c r="CH1979" t="s">
        <v>206</v>
      </c>
      <c r="CI1979" t="s">
        <v>206</v>
      </c>
      <c r="CL1979" t="s">
        <v>108</v>
      </c>
      <c r="CM1979" t="s">
        <v>109</v>
      </c>
      <c r="CN1979" t="str">
        <f>"Gonzales"</f>
        <v>Gonzales</v>
      </c>
      <c r="CO1979" t="str">
        <f>"Jesse"</f>
        <v>Jesse</v>
      </c>
      <c r="CP1979" t="str">
        <f>""</f>
        <v/>
      </c>
      <c r="CQ1979" t="str">
        <f>"Wolfsdorf Rosenthal LLP"</f>
        <v>Wolfsdorf Rosenthal LLP</v>
      </c>
      <c r="CR1979" t="s">
        <v>3647</v>
      </c>
    </row>
    <row r="1980" spans="1:96" x14ac:dyDescent="0.2">
      <c r="A1980" t="s">
        <v>10188</v>
      </c>
      <c r="B1980" t="s">
        <v>96</v>
      </c>
      <c r="C1980" s="1">
        <v>44099</v>
      </c>
      <c r="D1980" s="1">
        <v>44106</v>
      </c>
      <c r="F1980" t="s">
        <v>97</v>
      </c>
      <c r="G1980" t="str">
        <f>"Assistant Professor"</f>
        <v>Assistant Professor</v>
      </c>
      <c r="H1980" t="s">
        <v>12190</v>
      </c>
      <c r="I1980" t="s">
        <v>1072</v>
      </c>
      <c r="J1980" t="s">
        <v>98</v>
      </c>
      <c r="K1980" s="1">
        <v>44137</v>
      </c>
      <c r="L1980" s="1">
        <v>45231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4639</v>
      </c>
      <c r="U1980" t="str">
        <f>""</f>
        <v/>
      </c>
      <c r="V1980" t="s">
        <v>4640</v>
      </c>
      <c r="W1980" t="str">
        <f>""</f>
        <v/>
      </c>
      <c r="X1980" t="s">
        <v>394</v>
      </c>
      <c r="Y1980" t="s">
        <v>114</v>
      </c>
      <c r="Z1980" s="3">
        <v>77030</v>
      </c>
      <c r="AA1980" t="s">
        <v>101</v>
      </c>
      <c r="AC1980" s="4" t="str">
        <f>"+17137981054"</f>
        <v>+17137981054</v>
      </c>
      <c r="AE1980" t="str">
        <f>"611310"</f>
        <v>611310</v>
      </c>
      <c r="AF1980" t="s">
        <v>4641</v>
      </c>
      <c r="AG1980" t="s">
        <v>4642</v>
      </c>
      <c r="AH1980" t="s">
        <v>1039</v>
      </c>
      <c r="AI1980" t="s">
        <v>4643</v>
      </c>
      <c r="AJ1980" t="s">
        <v>4644</v>
      </c>
      <c r="AK1980" t="str">
        <f>""</f>
        <v/>
      </c>
      <c r="AL1980" t="s">
        <v>394</v>
      </c>
      <c r="AM1980" t="s">
        <v>114</v>
      </c>
      <c r="AN1980" s="3">
        <v>77030</v>
      </c>
      <c r="AO1980" t="s">
        <v>101</v>
      </c>
      <c r="AQ1980" t="str">
        <f>"+17137981054"</f>
        <v>+17137981054</v>
      </c>
      <c r="AS1980" t="s">
        <v>4645</v>
      </c>
      <c r="AT1980" t="s">
        <v>102</v>
      </c>
      <c r="AU1980" t="str">
        <f>""</f>
        <v/>
      </c>
      <c r="AV1980" t="str">
        <f>""</f>
        <v/>
      </c>
      <c r="AW1980" t="str">
        <f>""</f>
        <v/>
      </c>
      <c r="AX1980" t="str">
        <f>""</f>
        <v/>
      </c>
      <c r="AY1980" t="str">
        <f>""</f>
        <v/>
      </c>
      <c r="AZ1980" t="str">
        <f>""</f>
        <v/>
      </c>
      <c r="BA1980" t="str">
        <f>""</f>
        <v/>
      </c>
      <c r="BC1980" t="str">
        <f>""</f>
        <v/>
      </c>
      <c r="BD1980" t="str">
        <f>""</f>
        <v/>
      </c>
      <c r="BE1980" t="str">
        <f>""</f>
        <v/>
      </c>
      <c r="BF1980" t="str">
        <f>""</f>
        <v/>
      </c>
      <c r="BG1980" t="str">
        <f>""</f>
        <v/>
      </c>
      <c r="BH1980" t="str">
        <f>""</f>
        <v/>
      </c>
      <c r="BI1980" t="str">
        <f>""</f>
        <v/>
      </c>
      <c r="BJ1980" t="str">
        <f>""</f>
        <v/>
      </c>
      <c r="BK1980">
        <v>1</v>
      </c>
      <c r="BL1980" t="s">
        <v>102</v>
      </c>
      <c r="BM1980" t="str">
        <f>""</f>
        <v/>
      </c>
      <c r="BN1980" t="s">
        <v>4640</v>
      </c>
      <c r="BO1980" t="s">
        <v>4646</v>
      </c>
      <c r="BP1980" t="s">
        <v>394</v>
      </c>
      <c r="BQ1980" t="s">
        <v>395</v>
      </c>
      <c r="BR1980" t="s">
        <v>114</v>
      </c>
      <c r="BS1980" s="5">
        <v>77030</v>
      </c>
      <c r="BT1980" s="2">
        <v>120000</v>
      </c>
      <c r="BV1980" t="s">
        <v>105</v>
      </c>
      <c r="BW1980" s="2">
        <v>41683</v>
      </c>
      <c r="BX1980" t="s">
        <v>105</v>
      </c>
      <c r="BZ1980" t="s">
        <v>167</v>
      </c>
      <c r="CA1980" t="str">
        <f t="shared" si="163"/>
        <v>7/1/2020 - 6/30/2021</v>
      </c>
      <c r="CF1980">
        <v>1</v>
      </c>
      <c r="CG1980" t="s">
        <v>98</v>
      </c>
      <c r="CH1980" t="s">
        <v>206</v>
      </c>
      <c r="CI1980" t="s">
        <v>206</v>
      </c>
      <c r="CL1980" t="s">
        <v>108</v>
      </c>
      <c r="CM1980" t="s">
        <v>109</v>
      </c>
      <c r="CN1980" t="str">
        <f>""</f>
        <v/>
      </c>
      <c r="CO1980" t="str">
        <f>""</f>
        <v/>
      </c>
      <c r="CP1980" t="str">
        <f>""</f>
        <v/>
      </c>
      <c r="CQ1980" t="str">
        <f>""</f>
        <v/>
      </c>
    </row>
    <row r="1981" spans="1:96" x14ac:dyDescent="0.2">
      <c r="A1981" t="s">
        <v>10190</v>
      </c>
      <c r="B1981" t="s">
        <v>96</v>
      </c>
      <c r="C1981" s="1">
        <v>44099</v>
      </c>
      <c r="D1981" s="1">
        <v>44106</v>
      </c>
      <c r="F1981" t="s">
        <v>97</v>
      </c>
      <c r="G1981" t="str">
        <f>"Database Administrator Lead"</f>
        <v>Database Administrator Lead</v>
      </c>
      <c r="H1981" t="s">
        <v>12225</v>
      </c>
      <c r="I1981" t="s">
        <v>628</v>
      </c>
      <c r="J1981" t="s">
        <v>98</v>
      </c>
      <c r="K1981" s="1">
        <v>44264</v>
      </c>
      <c r="L1981" s="1">
        <v>45359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 t="s">
        <v>4093</v>
      </c>
      <c r="U1981" t="str">
        <f>""</f>
        <v/>
      </c>
      <c r="V1981" t="s">
        <v>4094</v>
      </c>
      <c r="W1981" t="str">
        <f>""</f>
        <v/>
      </c>
      <c r="X1981" t="s">
        <v>1385</v>
      </c>
      <c r="Y1981" t="s">
        <v>114</v>
      </c>
      <c r="Z1981" s="3">
        <v>76574</v>
      </c>
      <c r="AA1981" t="s">
        <v>101</v>
      </c>
      <c r="AC1981" s="4" t="str">
        <f>"+15122483000"</f>
        <v>+15122483000</v>
      </c>
      <c r="AE1981" t="str">
        <f>"221121"</f>
        <v>221121</v>
      </c>
      <c r="AF1981" t="s">
        <v>4095</v>
      </c>
      <c r="AG1981" t="s">
        <v>3311</v>
      </c>
      <c r="AI1981" t="s">
        <v>4096</v>
      </c>
      <c r="AJ1981" t="s">
        <v>4097</v>
      </c>
      <c r="AK1981" t="str">
        <f>""</f>
        <v/>
      </c>
      <c r="AL1981" t="s">
        <v>1385</v>
      </c>
      <c r="AM1981" t="s">
        <v>114</v>
      </c>
      <c r="AN1981" s="3">
        <v>76574</v>
      </c>
      <c r="AO1981" t="s">
        <v>101</v>
      </c>
      <c r="AQ1981" t="str">
        <f>"+15122486499"</f>
        <v>+15122486499</v>
      </c>
      <c r="AS1981" t="s">
        <v>4098</v>
      </c>
      <c r="AT1981" t="s">
        <v>107</v>
      </c>
      <c r="AU1981" t="str">
        <f>"Bressler"</f>
        <v>Bressler</v>
      </c>
      <c r="AV1981" t="str">
        <f>"Delisa"</f>
        <v>Delisa</v>
      </c>
      <c r="AW1981" t="str">
        <f>"Joy Futch"</f>
        <v>Joy Futch</v>
      </c>
      <c r="AX1981" t="str">
        <f>"912 S Capital of Texas Hwy"</f>
        <v>912 S Capital of Texas Hwy</v>
      </c>
      <c r="AY1981" t="str">
        <f>"Suite 450"</f>
        <v>Suite 450</v>
      </c>
      <c r="AZ1981" t="str">
        <f>"West Lake Hills"</f>
        <v>West Lake Hills</v>
      </c>
      <c r="BA1981" t="str">
        <f>"TX"</f>
        <v>TX</v>
      </c>
      <c r="BB1981" s="3">
        <v>78746</v>
      </c>
      <c r="BC1981" t="str">
        <f t="shared" ref="BC1981:BC1997" si="164">"UNITED STATES OF AMERICA"</f>
        <v>UNITED STATES OF AMERICA</v>
      </c>
      <c r="BD1981" t="str">
        <f>""</f>
        <v/>
      </c>
      <c r="BE1981" t="str">
        <f>"+15128524175"</f>
        <v>+15128524175</v>
      </c>
      <c r="BF1981" t="str">
        <f>""</f>
        <v/>
      </c>
      <c r="BG1981" t="str">
        <f>"dbressler@fosterglobal.com"</f>
        <v>dbressler@fosterglobal.com</v>
      </c>
      <c r="BH1981" t="str">
        <f>"Foster LLP"</f>
        <v>Foster LLP</v>
      </c>
      <c r="BI1981" t="str">
        <f>"TX"</f>
        <v>TX</v>
      </c>
      <c r="BJ1981" t="str">
        <f>"Supreme Court"</f>
        <v>Supreme Court</v>
      </c>
      <c r="BK1981">
        <v>1</v>
      </c>
      <c r="BL1981" t="s">
        <v>102</v>
      </c>
      <c r="BM1981" t="str">
        <f>""</f>
        <v/>
      </c>
      <c r="BN1981" t="s">
        <v>4099</v>
      </c>
      <c r="BP1981" t="s">
        <v>1385</v>
      </c>
      <c r="BQ1981" t="s">
        <v>668</v>
      </c>
      <c r="BR1981" t="s">
        <v>114</v>
      </c>
      <c r="BS1981" s="5">
        <v>76574</v>
      </c>
      <c r="BT1981" s="2">
        <v>160000</v>
      </c>
      <c r="BU1981" s="2">
        <v>165000</v>
      </c>
      <c r="BV1981" t="s">
        <v>105</v>
      </c>
      <c r="BW1981" s="2">
        <v>131248</v>
      </c>
      <c r="BX1981" t="s">
        <v>105</v>
      </c>
      <c r="BZ1981" t="s">
        <v>159</v>
      </c>
      <c r="CA1981" t="str">
        <f t="shared" si="163"/>
        <v>7/1/2020 - 6/30/2021</v>
      </c>
      <c r="CF1981">
        <v>1</v>
      </c>
      <c r="CG1981" t="s">
        <v>98</v>
      </c>
      <c r="CH1981" t="s">
        <v>206</v>
      </c>
      <c r="CI1981" t="s">
        <v>206</v>
      </c>
      <c r="CL1981" t="s">
        <v>108</v>
      </c>
      <c r="CM1981" t="s">
        <v>109</v>
      </c>
      <c r="CN1981" t="str">
        <f>""</f>
        <v/>
      </c>
      <c r="CO1981" t="str">
        <f>""</f>
        <v/>
      </c>
      <c r="CP1981" t="str">
        <f>""</f>
        <v/>
      </c>
      <c r="CQ1981" t="str">
        <f>""</f>
        <v/>
      </c>
    </row>
    <row r="1982" spans="1:96" x14ac:dyDescent="0.2">
      <c r="A1982" t="s">
        <v>10205</v>
      </c>
      <c r="B1982" t="s">
        <v>96</v>
      </c>
      <c r="C1982" s="1">
        <v>44099</v>
      </c>
      <c r="D1982" s="1">
        <v>44106</v>
      </c>
      <c r="F1982" t="s">
        <v>97</v>
      </c>
      <c r="G1982" t="str">
        <f>"Senior Systems Engineer"</f>
        <v>Senior Systems Engineer</v>
      </c>
      <c r="H1982" t="s">
        <v>12176</v>
      </c>
      <c r="I1982" t="s">
        <v>246</v>
      </c>
      <c r="J1982" t="s">
        <v>98</v>
      </c>
      <c r="K1982" s="1">
        <v>44245</v>
      </c>
      <c r="L1982" s="1">
        <v>45339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 t="s">
        <v>2623</v>
      </c>
      <c r="U1982" t="str">
        <f>""</f>
        <v/>
      </c>
      <c r="V1982" t="s">
        <v>2624</v>
      </c>
      <c r="W1982" t="str">
        <f>""</f>
        <v/>
      </c>
      <c r="X1982" t="s">
        <v>436</v>
      </c>
      <c r="Y1982" t="s">
        <v>171</v>
      </c>
      <c r="Z1982" s="3">
        <v>2142</v>
      </c>
      <c r="AA1982" t="s">
        <v>101</v>
      </c>
      <c r="AC1982" s="4" t="str">
        <f>"+16172747153"</f>
        <v>+16172747153</v>
      </c>
      <c r="AE1982" t="str">
        <f>"541990"</f>
        <v>541990</v>
      </c>
      <c r="AF1982" t="s">
        <v>2625</v>
      </c>
      <c r="AG1982" t="s">
        <v>464</v>
      </c>
      <c r="AH1982" t="s">
        <v>1126</v>
      </c>
      <c r="AI1982" t="s">
        <v>2626</v>
      </c>
      <c r="AJ1982" t="s">
        <v>2624</v>
      </c>
      <c r="AK1982" t="str">
        <f>""</f>
        <v/>
      </c>
      <c r="AL1982" t="s">
        <v>436</v>
      </c>
      <c r="AM1982" t="s">
        <v>171</v>
      </c>
      <c r="AN1982" s="3">
        <v>2142</v>
      </c>
      <c r="AO1982" t="s">
        <v>101</v>
      </c>
      <c r="AQ1982" t="str">
        <f>"+16172747153"</f>
        <v>+16172747153</v>
      </c>
      <c r="AS1982" t="s">
        <v>2627</v>
      </c>
      <c r="AT1982" t="s">
        <v>107</v>
      </c>
      <c r="AU1982" t="str">
        <f>"Lee"</f>
        <v>Lee</v>
      </c>
      <c r="AV1982" t="str">
        <f>"Shannon"</f>
        <v>Shannon</v>
      </c>
      <c r="AW1982" t="str">
        <f>"N."</f>
        <v>N.</v>
      </c>
      <c r="AX1982" t="str">
        <f>"100 High Street"</f>
        <v>100 High Street</v>
      </c>
      <c r="AY1982" t="str">
        <f>"Suite 1300"</f>
        <v>Suite 1300</v>
      </c>
      <c r="AZ1982" t="str">
        <f>"Boston"</f>
        <v>Boston</v>
      </c>
      <c r="BA1982" t="str">
        <f>"MA"</f>
        <v>MA</v>
      </c>
      <c r="BB1982" s="3">
        <v>2110</v>
      </c>
      <c r="BC1982" t="str">
        <f t="shared" si="164"/>
        <v>UNITED STATES OF AMERICA</v>
      </c>
      <c r="BD1982" t="str">
        <f>""</f>
        <v/>
      </c>
      <c r="BE1982" t="str">
        <f>"+16174821775"</f>
        <v>+16174821775</v>
      </c>
      <c r="BF1982" t="str">
        <f>""</f>
        <v/>
      </c>
      <c r="BG1982" t="str">
        <f>"slee@chincurtis.com"</f>
        <v>slee@chincurtis.com</v>
      </c>
      <c r="BH1982" t="str">
        <f>"Chin &amp; Curtis, LLP"</f>
        <v>Chin &amp; Curtis, LLP</v>
      </c>
      <c r="BI1982" t="str">
        <f>"MA"</f>
        <v>MA</v>
      </c>
      <c r="BJ1982" t="str">
        <f>"Supreme Judicial Court"</f>
        <v>Supreme Judicial Court</v>
      </c>
      <c r="BK1982">
        <v>1</v>
      </c>
      <c r="BL1982" t="s">
        <v>102</v>
      </c>
      <c r="BM1982" t="str">
        <f>""</f>
        <v/>
      </c>
      <c r="BN1982" t="s">
        <v>10206</v>
      </c>
      <c r="BP1982" t="s">
        <v>247</v>
      </c>
      <c r="BQ1982" t="s">
        <v>230</v>
      </c>
      <c r="BR1982" t="s">
        <v>141</v>
      </c>
      <c r="BS1982" s="5">
        <v>95054</v>
      </c>
      <c r="BT1982" s="2">
        <v>171000</v>
      </c>
      <c r="BU1982" s="2">
        <v>214400</v>
      </c>
      <c r="BV1982" t="s">
        <v>105</v>
      </c>
      <c r="BW1982" s="2">
        <v>170872</v>
      </c>
      <c r="BX1982" t="s">
        <v>105</v>
      </c>
      <c r="BZ1982" t="s">
        <v>159</v>
      </c>
      <c r="CA1982" t="str">
        <f t="shared" si="163"/>
        <v>7/1/2020 - 6/30/2021</v>
      </c>
      <c r="CF1982">
        <v>1</v>
      </c>
      <c r="CG1982" t="s">
        <v>98</v>
      </c>
      <c r="CH1982" t="s">
        <v>206</v>
      </c>
      <c r="CI1982" t="s">
        <v>206</v>
      </c>
      <c r="CL1982" t="s">
        <v>108</v>
      </c>
      <c r="CM1982" t="s">
        <v>109</v>
      </c>
      <c r="CN1982" t="str">
        <f>""</f>
        <v/>
      </c>
      <c r="CO1982" t="str">
        <f>""</f>
        <v/>
      </c>
      <c r="CP1982" t="str">
        <f>""</f>
        <v/>
      </c>
      <c r="CQ1982" t="str">
        <f>""</f>
        <v/>
      </c>
    </row>
    <row r="1983" spans="1:96" x14ac:dyDescent="0.2">
      <c r="A1983" t="s">
        <v>10207</v>
      </c>
      <c r="B1983" t="s">
        <v>96</v>
      </c>
      <c r="C1983" s="1">
        <v>44099</v>
      </c>
      <c r="D1983" s="1">
        <v>44106</v>
      </c>
      <c r="F1983" t="s">
        <v>97</v>
      </c>
      <c r="G1983" t="str">
        <f>"Software Developer"</f>
        <v>Software Developer</v>
      </c>
      <c r="H1983" t="s">
        <v>12169</v>
      </c>
      <c r="I1983" t="s">
        <v>124</v>
      </c>
      <c r="J1983" t="s">
        <v>98</v>
      </c>
      <c r="K1983" s="1">
        <v>44116</v>
      </c>
      <c r="L1983" s="1">
        <v>45210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1522</v>
      </c>
      <c r="U1983" t="str">
        <f>""</f>
        <v/>
      </c>
      <c r="V1983" t="s">
        <v>1281</v>
      </c>
      <c r="W1983" t="str">
        <f>""</f>
        <v/>
      </c>
      <c r="X1983" t="s">
        <v>538</v>
      </c>
      <c r="Y1983" t="s">
        <v>135</v>
      </c>
      <c r="Z1983" s="3">
        <v>22030</v>
      </c>
      <c r="AA1983" t="s">
        <v>101</v>
      </c>
      <c r="AC1983" s="4" t="str">
        <f>"+17032678000"</f>
        <v>+17032678000</v>
      </c>
      <c r="AD1983">
        <v>0</v>
      </c>
      <c r="AE1983" t="str">
        <f>"541512"</f>
        <v>541512</v>
      </c>
      <c r="AF1983" t="s">
        <v>1282</v>
      </c>
      <c r="AG1983" t="s">
        <v>1283</v>
      </c>
      <c r="AI1983" t="s">
        <v>1284</v>
      </c>
      <c r="AJ1983" t="s">
        <v>1281</v>
      </c>
      <c r="AK1983" t="str">
        <f>""</f>
        <v/>
      </c>
      <c r="AL1983" t="s">
        <v>538</v>
      </c>
      <c r="AM1983" t="s">
        <v>135</v>
      </c>
      <c r="AN1983" s="3">
        <v>22030</v>
      </c>
      <c r="AO1983" t="s">
        <v>101</v>
      </c>
      <c r="AQ1983" t="str">
        <f>"+17324282390"</f>
        <v>+17324282390</v>
      </c>
      <c r="AS1983" t="s">
        <v>1285</v>
      </c>
      <c r="AT1983" t="s">
        <v>107</v>
      </c>
      <c r="AU1983" t="str">
        <f>"SMITH"</f>
        <v>SMITH</v>
      </c>
      <c r="AV1983" t="str">
        <f>"MICHAEL"</f>
        <v>MICHAEL</v>
      </c>
      <c r="AW1983" t="str">
        <f>"FRANCIS"</f>
        <v>FRANCIS</v>
      </c>
      <c r="AX1983" t="str">
        <f>"1101 15TH STREET, NW"</f>
        <v>1101 15TH STREET, NW</v>
      </c>
      <c r="AY1983" t="str">
        <f>"SUITE 700"</f>
        <v>SUITE 700</v>
      </c>
      <c r="AZ1983" t="str">
        <f>"WASHINGTON"</f>
        <v>WASHINGTON</v>
      </c>
      <c r="BA1983" t="str">
        <f>"DC"</f>
        <v>DC</v>
      </c>
      <c r="BB1983" s="3">
        <v>20005</v>
      </c>
      <c r="BC1983" t="str">
        <f t="shared" si="164"/>
        <v>UNITED STATES OF AMERICA</v>
      </c>
      <c r="BD1983" t="str">
        <f>""</f>
        <v/>
      </c>
      <c r="BE1983" t="str">
        <f>"+12022235515"</f>
        <v>+12022235515</v>
      </c>
      <c r="BF1983" t="str">
        <f>""</f>
        <v/>
      </c>
      <c r="BG1983" t="str">
        <f>"LCATeamPham@Fragomen.com"</f>
        <v>LCATeamPham@Fragomen.com</v>
      </c>
      <c r="BH1983" t="str">
        <f>"Fragomen, Del Rey, Bernsen &amp; Loewy, LLP"</f>
        <v>Fragomen, Del Rey, Bernsen &amp; Loewy, LLP</v>
      </c>
      <c r="BI1983" t="str">
        <f>"DC"</f>
        <v>DC</v>
      </c>
      <c r="BJ1983" t="str">
        <f>"DISTRICT OF COLUMBIA COURT OF APPEALS"</f>
        <v>DISTRICT OF COLUMBIA COURT OF APPEALS</v>
      </c>
      <c r="BK1983">
        <v>1</v>
      </c>
      <c r="BL1983" t="s">
        <v>107</v>
      </c>
      <c r="BM1983" t="str">
        <f>"The PNC Financial Services Group, Inc."</f>
        <v>The PNC Financial Services Group, Inc.</v>
      </c>
      <c r="BN1983" t="s">
        <v>3787</v>
      </c>
      <c r="BP1983" t="s">
        <v>333</v>
      </c>
      <c r="BQ1983" t="s">
        <v>861</v>
      </c>
      <c r="BR1983" t="s">
        <v>127</v>
      </c>
      <c r="BS1983" s="5">
        <v>15222</v>
      </c>
      <c r="BT1983" s="2">
        <v>114000</v>
      </c>
      <c r="BV1983" t="s">
        <v>105</v>
      </c>
      <c r="BW1983" s="2">
        <v>80142</v>
      </c>
      <c r="BX1983" t="s">
        <v>105</v>
      </c>
      <c r="BZ1983" t="s">
        <v>167</v>
      </c>
      <c r="CA1983" t="str">
        <f t="shared" si="163"/>
        <v>7/1/2020 - 6/30/2021</v>
      </c>
      <c r="CF1983">
        <v>2</v>
      </c>
      <c r="CG1983" t="s">
        <v>98</v>
      </c>
      <c r="CH1983" t="s">
        <v>206</v>
      </c>
      <c r="CI1983" t="s">
        <v>206</v>
      </c>
      <c r="CL1983" t="s">
        <v>108</v>
      </c>
      <c r="CM1983" t="s">
        <v>109</v>
      </c>
      <c r="CN1983" t="str">
        <f>"ALI"</f>
        <v>ALI</v>
      </c>
      <c r="CO1983" t="str">
        <f>"ADAM"</f>
        <v>ADAM</v>
      </c>
      <c r="CP1983" t="str">
        <f>"P"</f>
        <v>P</v>
      </c>
      <c r="CQ1983" t="str">
        <f>"Fragomen, Del Rey, Bernsen &amp; Loewy, LLP"</f>
        <v>Fragomen, Del Rey, Bernsen &amp; Loewy, LLP</v>
      </c>
      <c r="CR1983" t="s">
        <v>4452</v>
      </c>
    </row>
    <row r="1984" spans="1:96" x14ac:dyDescent="0.2">
      <c r="A1984" t="s">
        <v>10217</v>
      </c>
      <c r="B1984" t="s">
        <v>96</v>
      </c>
      <c r="C1984" s="1">
        <v>44099</v>
      </c>
      <c r="D1984" s="1">
        <v>44106</v>
      </c>
      <c r="F1984" t="s">
        <v>97</v>
      </c>
      <c r="G1984" t="str">
        <f>"Product Software Engineer IV"</f>
        <v>Product Software Engineer IV</v>
      </c>
      <c r="H1984" t="s">
        <v>12169</v>
      </c>
      <c r="I1984" t="s">
        <v>124</v>
      </c>
      <c r="J1984" t="s">
        <v>98</v>
      </c>
      <c r="K1984" s="1">
        <v>44197</v>
      </c>
      <c r="L1984" s="1">
        <v>45291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 t="s">
        <v>4517</v>
      </c>
      <c r="U1984" t="str">
        <f>""</f>
        <v/>
      </c>
      <c r="V1984" t="s">
        <v>4518</v>
      </c>
      <c r="W1984" t="str">
        <f>""</f>
        <v/>
      </c>
      <c r="X1984" t="s">
        <v>4519</v>
      </c>
      <c r="Y1984" t="s">
        <v>345</v>
      </c>
      <c r="Z1984" s="3">
        <v>60015</v>
      </c>
      <c r="AA1984" t="s">
        <v>101</v>
      </c>
      <c r="AC1984" s="4" t="str">
        <f>"+17738663937"</f>
        <v>+17738663937</v>
      </c>
      <c r="AE1984" t="str">
        <f>"511210"</f>
        <v>511210</v>
      </c>
      <c r="AF1984" t="s">
        <v>4520</v>
      </c>
      <c r="AG1984" t="s">
        <v>4521</v>
      </c>
      <c r="AI1984" t="s">
        <v>262</v>
      </c>
      <c r="AJ1984" t="s">
        <v>4518</v>
      </c>
      <c r="AK1984" t="str">
        <f>""</f>
        <v/>
      </c>
      <c r="AL1984" t="s">
        <v>4519</v>
      </c>
      <c r="AM1984" t="s">
        <v>345</v>
      </c>
      <c r="AN1984" s="3">
        <v>60015</v>
      </c>
      <c r="AO1984" t="s">
        <v>101</v>
      </c>
      <c r="AQ1984" t="str">
        <f>"+17738663937"</f>
        <v>+17738663937</v>
      </c>
      <c r="AS1984" t="s">
        <v>4522</v>
      </c>
      <c r="AT1984" t="s">
        <v>107</v>
      </c>
      <c r="AU1984" t="str">
        <f>"Massard"</f>
        <v>Massard</v>
      </c>
      <c r="AV1984" t="str">
        <f>"Louis"</f>
        <v>Louis</v>
      </c>
      <c r="AW1984" t="str">
        <f>"Felix"</f>
        <v>Felix</v>
      </c>
      <c r="AX1984" t="str">
        <f>"230 W. Monroe St. "</f>
        <v xml:space="preserve">230 W. Monroe St. </v>
      </c>
      <c r="AY1984" t="str">
        <f>"Suite 2800"</f>
        <v>Suite 2800</v>
      </c>
      <c r="AZ1984" t="str">
        <f>"Chicago"</f>
        <v>Chicago</v>
      </c>
      <c r="BA1984" t="str">
        <f>"IL"</f>
        <v>IL</v>
      </c>
      <c r="BB1984" s="3">
        <v>60606</v>
      </c>
      <c r="BC1984" t="str">
        <f t="shared" si="164"/>
        <v>UNITED STATES OF AMERICA</v>
      </c>
      <c r="BD1984" t="str">
        <f>""</f>
        <v/>
      </c>
      <c r="BE1984" t="str">
        <f>"+13127226300"</f>
        <v>+13127226300</v>
      </c>
      <c r="BF1984" t="str">
        <f>""</f>
        <v/>
      </c>
      <c r="BG1984" t="str">
        <f>"gov@giafirm.com"</f>
        <v>gov@giafirm.com</v>
      </c>
      <c r="BH1984" t="str">
        <f>"Global Immigration Associates, P.C."</f>
        <v>Global Immigration Associates, P.C.</v>
      </c>
      <c r="BI1984" t="str">
        <f>"NC"</f>
        <v>NC</v>
      </c>
      <c r="BJ1984" t="str">
        <f>"Supreme Court"</f>
        <v>Supreme Court</v>
      </c>
      <c r="BK1984">
        <v>1</v>
      </c>
      <c r="BL1984" t="s">
        <v>102</v>
      </c>
      <c r="BM1984" t="str">
        <f>""</f>
        <v/>
      </c>
      <c r="BN1984" t="s">
        <v>10218</v>
      </c>
      <c r="BO1984" t="s">
        <v>3567</v>
      </c>
      <c r="BP1984" t="s">
        <v>1018</v>
      </c>
      <c r="BQ1984" t="s">
        <v>1019</v>
      </c>
      <c r="BR1984" t="s">
        <v>330</v>
      </c>
      <c r="BS1984" s="5">
        <v>53717</v>
      </c>
      <c r="BT1984" s="2">
        <v>116283</v>
      </c>
      <c r="BV1984" t="s">
        <v>105</v>
      </c>
      <c r="BW1984" s="2">
        <v>108202</v>
      </c>
      <c r="BX1984" t="s">
        <v>105</v>
      </c>
      <c r="BZ1984" t="s">
        <v>159</v>
      </c>
      <c r="CA1984" t="str">
        <f t="shared" si="163"/>
        <v>7/1/2020 - 6/30/2021</v>
      </c>
      <c r="CF1984">
        <v>2</v>
      </c>
      <c r="CG1984" t="s">
        <v>98</v>
      </c>
      <c r="CH1984" t="s">
        <v>206</v>
      </c>
      <c r="CI1984" t="s">
        <v>206</v>
      </c>
      <c r="CL1984" t="s">
        <v>108</v>
      </c>
      <c r="CM1984" t="s">
        <v>109</v>
      </c>
      <c r="CN1984" t="str">
        <f>""</f>
        <v/>
      </c>
      <c r="CO1984" t="str">
        <f>""</f>
        <v/>
      </c>
      <c r="CP1984" t="str">
        <f>""</f>
        <v/>
      </c>
      <c r="CQ1984" t="str">
        <f>""</f>
        <v/>
      </c>
    </row>
    <row r="1985" spans="1:96" x14ac:dyDescent="0.2">
      <c r="A1985" t="s">
        <v>10220</v>
      </c>
      <c r="B1985" t="s">
        <v>96</v>
      </c>
      <c r="C1985" s="1">
        <v>44099</v>
      </c>
      <c r="D1985" s="1">
        <v>44106</v>
      </c>
      <c r="F1985" t="s">
        <v>97</v>
      </c>
      <c r="G1985" t="str">
        <f>"SAP HANA Database Administrator"</f>
        <v>SAP HANA Database Administrator</v>
      </c>
      <c r="H1985" t="s">
        <v>12225</v>
      </c>
      <c r="I1985" t="s">
        <v>628</v>
      </c>
      <c r="J1985" t="s">
        <v>98</v>
      </c>
      <c r="K1985" s="1">
        <v>44116</v>
      </c>
      <c r="L1985" s="1">
        <v>45210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 t="s">
        <v>3203</v>
      </c>
      <c r="U1985" t="str">
        <f>""</f>
        <v/>
      </c>
      <c r="V1985" t="s">
        <v>3204</v>
      </c>
      <c r="W1985" t="str">
        <f>""</f>
        <v/>
      </c>
      <c r="X1985" t="s">
        <v>3205</v>
      </c>
      <c r="Y1985" t="s">
        <v>345</v>
      </c>
      <c r="Z1985" s="3">
        <v>60093</v>
      </c>
      <c r="AA1985" t="s">
        <v>101</v>
      </c>
      <c r="AC1985" s="4" t="str">
        <f>"+12249317656"</f>
        <v>+12249317656</v>
      </c>
      <c r="AE1985" t="str">
        <f>"339112"</f>
        <v>339112</v>
      </c>
      <c r="AF1985" t="s">
        <v>3206</v>
      </c>
      <c r="AG1985" t="s">
        <v>3207</v>
      </c>
      <c r="AH1985" t="s">
        <v>1126</v>
      </c>
      <c r="AI1985" t="s">
        <v>254</v>
      </c>
      <c r="AJ1985" t="s">
        <v>3204</v>
      </c>
      <c r="AK1985" t="str">
        <f>""</f>
        <v/>
      </c>
      <c r="AL1985" t="s">
        <v>3205</v>
      </c>
      <c r="AM1985" t="s">
        <v>345</v>
      </c>
      <c r="AN1985" s="3">
        <v>60093</v>
      </c>
      <c r="AO1985" t="s">
        <v>101</v>
      </c>
      <c r="AQ1985" t="str">
        <f>"+12249317656"</f>
        <v>+12249317656</v>
      </c>
      <c r="AS1985" t="s">
        <v>3208</v>
      </c>
      <c r="AT1985" t="s">
        <v>107</v>
      </c>
      <c r="AU1985" t="str">
        <f>"Gotcher"</f>
        <v>Gotcher</v>
      </c>
      <c r="AV1985" t="str">
        <f>"James"</f>
        <v>James</v>
      </c>
      <c r="AW1985" t="str">
        <f>"K."</f>
        <v>K.</v>
      </c>
      <c r="AX1985" t="str">
        <f>"30300 Agoura Road"</f>
        <v>30300 Agoura Road</v>
      </c>
      <c r="AY1985" t="str">
        <f>"Ste. B100"</f>
        <v>Ste. B100</v>
      </c>
      <c r="AZ1985" t="str">
        <f>"Agoura Hills"</f>
        <v>Agoura Hills</v>
      </c>
      <c r="BA1985" t="str">
        <f>"CA"</f>
        <v>CA</v>
      </c>
      <c r="BB1985" s="3">
        <v>91301</v>
      </c>
      <c r="BC1985" t="str">
        <f t="shared" si="164"/>
        <v>UNITED STATES OF AMERICA</v>
      </c>
      <c r="BD1985" t="str">
        <f>""</f>
        <v/>
      </c>
      <c r="BE1985" t="str">
        <f>"+18189146482"</f>
        <v>+18189146482</v>
      </c>
      <c r="BF1985" t="str">
        <f>""</f>
        <v/>
      </c>
      <c r="BG1985" t="str">
        <f>"Admin@gotcherlaw.com"</f>
        <v>Admin@gotcherlaw.com</v>
      </c>
      <c r="BH1985" t="str">
        <f>"Global Immigration Partners, Inc"</f>
        <v>Global Immigration Partners, Inc</v>
      </c>
      <c r="BI1985" t="str">
        <f>"CA"</f>
        <v>CA</v>
      </c>
      <c r="BJ1985" t="str">
        <f>"Supreme Court"</f>
        <v>Supreme Court</v>
      </c>
      <c r="BK1985">
        <v>1</v>
      </c>
      <c r="BL1985" t="s">
        <v>102</v>
      </c>
      <c r="BM1985" t="str">
        <f>""</f>
        <v/>
      </c>
      <c r="BN1985" t="s">
        <v>3209</v>
      </c>
      <c r="BP1985" t="s">
        <v>3210</v>
      </c>
      <c r="BQ1985" t="s">
        <v>691</v>
      </c>
      <c r="BR1985" t="s">
        <v>345</v>
      </c>
      <c r="BS1985" s="5">
        <v>60060</v>
      </c>
      <c r="BT1985" s="2">
        <v>107000</v>
      </c>
      <c r="BV1985" t="s">
        <v>105</v>
      </c>
      <c r="BW1985" s="2">
        <v>78853</v>
      </c>
      <c r="BX1985" t="s">
        <v>105</v>
      </c>
      <c r="BZ1985" t="s">
        <v>167</v>
      </c>
      <c r="CA1985" t="str">
        <f t="shared" si="163"/>
        <v>7/1/2020 - 6/30/2021</v>
      </c>
      <c r="CF1985">
        <v>2</v>
      </c>
      <c r="CG1985" t="s">
        <v>98</v>
      </c>
      <c r="CH1985" t="s">
        <v>206</v>
      </c>
      <c r="CI1985" t="s">
        <v>206</v>
      </c>
      <c r="CL1985" t="s">
        <v>108</v>
      </c>
      <c r="CM1985" t="s">
        <v>109</v>
      </c>
      <c r="CN1985" t="str">
        <f>"Gotcher"</f>
        <v>Gotcher</v>
      </c>
      <c r="CO1985" t="str">
        <f>"James"</f>
        <v>James</v>
      </c>
      <c r="CP1985" t="str">
        <f>"K."</f>
        <v>K.</v>
      </c>
      <c r="CQ1985" t="str">
        <f>"Global Immigration Partners, Inc"</f>
        <v>Global Immigration Partners, Inc</v>
      </c>
      <c r="CR1985" t="s">
        <v>1275</v>
      </c>
    </row>
    <row r="1986" spans="1:96" x14ac:dyDescent="0.2">
      <c r="A1986" t="s">
        <v>10221</v>
      </c>
      <c r="B1986" t="s">
        <v>96</v>
      </c>
      <c r="C1986" s="1">
        <v>44099</v>
      </c>
      <c r="D1986" s="1">
        <v>44106</v>
      </c>
      <c r="F1986" t="s">
        <v>97</v>
      </c>
      <c r="G1986" t="str">
        <f>"Vice President, Principal Developer"</f>
        <v>Vice President, Principal Developer</v>
      </c>
      <c r="H1986" t="s">
        <v>12169</v>
      </c>
      <c r="I1986" t="s">
        <v>124</v>
      </c>
      <c r="J1986" t="s">
        <v>98</v>
      </c>
      <c r="K1986" s="1">
        <v>44245</v>
      </c>
      <c r="L1986" s="1">
        <v>45339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 t="s">
        <v>5545</v>
      </c>
      <c r="U1986" t="str">
        <f>""</f>
        <v/>
      </c>
      <c r="V1986" t="s">
        <v>5546</v>
      </c>
      <c r="W1986" t="str">
        <f>""</f>
        <v/>
      </c>
      <c r="X1986" t="s">
        <v>277</v>
      </c>
      <c r="Y1986" t="s">
        <v>190</v>
      </c>
      <c r="Z1986" s="3">
        <v>10019</v>
      </c>
      <c r="AA1986" t="s">
        <v>101</v>
      </c>
      <c r="AC1986" s="4" t="str">
        <f>"+12126679793"</f>
        <v>+12126679793</v>
      </c>
      <c r="AE1986" t="str">
        <f>"54151"</f>
        <v>54151</v>
      </c>
      <c r="AF1986" t="s">
        <v>5547</v>
      </c>
      <c r="AG1986" t="s">
        <v>1767</v>
      </c>
      <c r="AI1986" t="s">
        <v>5548</v>
      </c>
      <c r="AJ1986" t="s">
        <v>5546</v>
      </c>
      <c r="AK1986" t="str">
        <f>""</f>
        <v/>
      </c>
      <c r="AL1986" t="s">
        <v>277</v>
      </c>
      <c r="AM1986" t="s">
        <v>190</v>
      </c>
      <c r="AN1986" s="3">
        <v>10019</v>
      </c>
      <c r="AO1986" t="s">
        <v>101</v>
      </c>
      <c r="AQ1986" t="str">
        <f>"+12126679793"</f>
        <v>+12126679793</v>
      </c>
      <c r="AS1986" t="s">
        <v>5549</v>
      </c>
      <c r="AT1986" t="s">
        <v>107</v>
      </c>
      <c r="AU1986" t="str">
        <f>"Dunn"</f>
        <v>Dunn</v>
      </c>
      <c r="AV1986" t="str">
        <f>"Matthew"</f>
        <v>Matthew</v>
      </c>
      <c r="AW1986" t="str">
        <f>"S."</f>
        <v>S.</v>
      </c>
      <c r="AX1986" t="str">
        <f>"1177 Avenue of the Americas"</f>
        <v>1177 Avenue of the Americas</v>
      </c>
      <c r="AY1986" t="str">
        <f>""</f>
        <v/>
      </c>
      <c r="AZ1986" t="str">
        <f>"New York"</f>
        <v>New York</v>
      </c>
      <c r="BA1986" t="str">
        <f>"NY"</f>
        <v>NY</v>
      </c>
      <c r="BB1986" s="3">
        <v>10036</v>
      </c>
      <c r="BC1986" t="str">
        <f t="shared" si="164"/>
        <v>UNITED STATES OF AMERICA</v>
      </c>
      <c r="BD1986" t="str">
        <f>""</f>
        <v/>
      </c>
      <c r="BE1986" t="str">
        <f>"+12127159408"</f>
        <v>+12127159408</v>
      </c>
      <c r="BF1986" t="str">
        <f>""</f>
        <v/>
      </c>
      <c r="BG1986" t="str">
        <f>"bmichaels@kramerlevin.com"</f>
        <v>bmichaels@kramerlevin.com</v>
      </c>
      <c r="BH1986" t="str">
        <f>"Kramer Levin Naftalis &amp; Frankel LLP"</f>
        <v>Kramer Levin Naftalis &amp; Frankel LLP</v>
      </c>
      <c r="BI1986" t="str">
        <f>"NY"</f>
        <v>NY</v>
      </c>
      <c r="BJ1986" t="str">
        <f>"Court of Appeals"</f>
        <v>Court of Appeals</v>
      </c>
      <c r="BK1986">
        <v>1</v>
      </c>
      <c r="BL1986" t="s">
        <v>102</v>
      </c>
      <c r="BM1986" t="str">
        <f>""</f>
        <v/>
      </c>
      <c r="BN1986" t="s">
        <v>5546</v>
      </c>
      <c r="BP1986" t="s">
        <v>277</v>
      </c>
      <c r="BQ1986" t="s">
        <v>189</v>
      </c>
      <c r="BR1986" t="s">
        <v>190</v>
      </c>
      <c r="BS1986" s="5">
        <v>10019</v>
      </c>
      <c r="BT1986" s="2">
        <v>150000</v>
      </c>
      <c r="BU1986" s="2">
        <v>170000</v>
      </c>
      <c r="BV1986" t="s">
        <v>105</v>
      </c>
      <c r="BW1986" s="2">
        <v>143936</v>
      </c>
      <c r="BX1986" t="s">
        <v>105</v>
      </c>
      <c r="BZ1986" t="s">
        <v>159</v>
      </c>
      <c r="CA1986" t="str">
        <f t="shared" si="163"/>
        <v>7/1/2020 - 6/30/2021</v>
      </c>
      <c r="CF1986">
        <v>2</v>
      </c>
      <c r="CG1986" t="s">
        <v>98</v>
      </c>
      <c r="CH1986" t="s">
        <v>206</v>
      </c>
      <c r="CI1986" t="s">
        <v>206</v>
      </c>
      <c r="CL1986" t="s">
        <v>108</v>
      </c>
      <c r="CM1986" t="s">
        <v>109</v>
      </c>
      <c r="CN1986" t="str">
        <f>"Michaels"</f>
        <v>Michaels</v>
      </c>
      <c r="CO1986" t="str">
        <f>"Beth"</f>
        <v>Beth</v>
      </c>
      <c r="CP1986" t="str">
        <f>""</f>
        <v/>
      </c>
      <c r="CQ1986" t="str">
        <f>"Kramer Levin Naftalis &amp; Frankel LLP"</f>
        <v>Kramer Levin Naftalis &amp; Frankel LLP</v>
      </c>
      <c r="CR1986" t="s">
        <v>5550</v>
      </c>
    </row>
    <row r="1987" spans="1:96" x14ac:dyDescent="0.2">
      <c r="A1987" t="s">
        <v>10229</v>
      </c>
      <c r="B1987" t="s">
        <v>96</v>
      </c>
      <c r="C1987" s="1">
        <v>44099</v>
      </c>
      <c r="D1987" s="1">
        <v>44106</v>
      </c>
      <c r="F1987" t="s">
        <v>97</v>
      </c>
      <c r="G1987" t="str">
        <f>"Systems Analyst Senior"</f>
        <v>Systems Analyst Senior</v>
      </c>
      <c r="H1987" t="s">
        <v>12181</v>
      </c>
      <c r="I1987" t="s">
        <v>110</v>
      </c>
      <c r="J1987" t="s">
        <v>98</v>
      </c>
      <c r="K1987" s="1">
        <v>44282</v>
      </c>
      <c r="L1987" s="1">
        <v>45377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 t="s">
        <v>3092</v>
      </c>
      <c r="U1987" t="str">
        <f>""</f>
        <v/>
      </c>
      <c r="V1987" t="s">
        <v>3093</v>
      </c>
      <c r="W1987" t="str">
        <f>""</f>
        <v/>
      </c>
      <c r="X1987" t="s">
        <v>794</v>
      </c>
      <c r="Y1987" t="s">
        <v>352</v>
      </c>
      <c r="Z1987" s="3">
        <v>46204</v>
      </c>
      <c r="AA1987" t="s">
        <v>101</v>
      </c>
      <c r="AC1987" s="4" t="str">
        <f>"+12124761343"</f>
        <v>+12124761343</v>
      </c>
      <c r="AE1987" t="str">
        <f>"524114"</f>
        <v>524114</v>
      </c>
      <c r="AF1987" t="s">
        <v>3094</v>
      </c>
      <c r="AG1987" t="s">
        <v>3095</v>
      </c>
      <c r="AH1987" t="s">
        <v>320</v>
      </c>
      <c r="AI1987" t="s">
        <v>3096</v>
      </c>
      <c r="AJ1987" t="s">
        <v>7343</v>
      </c>
      <c r="AK1987" t="str">
        <f>"Suite 200"</f>
        <v>Suite 200</v>
      </c>
      <c r="AL1987" t="s">
        <v>1775</v>
      </c>
      <c r="AM1987" t="s">
        <v>1776</v>
      </c>
      <c r="AN1987" s="3">
        <v>19801</v>
      </c>
      <c r="AO1987" t="s">
        <v>101</v>
      </c>
      <c r="AQ1987" t="str">
        <f>"+12124761343"</f>
        <v>+12124761343</v>
      </c>
      <c r="AS1987" t="s">
        <v>3098</v>
      </c>
      <c r="AT1987" t="s">
        <v>107</v>
      </c>
      <c r="AU1987" t="str">
        <f>"Reardon"</f>
        <v>Reardon</v>
      </c>
      <c r="AV1987" t="str">
        <f>"Brian"</f>
        <v>Brian</v>
      </c>
      <c r="AW1987" t="str">
        <f>"Thomas"</f>
        <v>Thomas</v>
      </c>
      <c r="AX1987" t="str">
        <f>"230 W. Monroe Street"</f>
        <v>230 W. Monroe Street</v>
      </c>
      <c r="AY1987" t="str">
        <f>"Suite 2800"</f>
        <v>Suite 2800</v>
      </c>
      <c r="AZ1987" t="str">
        <f>"Chicago"</f>
        <v>Chicago</v>
      </c>
      <c r="BA1987" t="str">
        <f>"IL"</f>
        <v>IL</v>
      </c>
      <c r="BB1987" s="3">
        <v>60606</v>
      </c>
      <c r="BC1987" t="str">
        <f t="shared" si="164"/>
        <v>UNITED STATES OF AMERICA</v>
      </c>
      <c r="BD1987" t="str">
        <f>""</f>
        <v/>
      </c>
      <c r="BE1987" t="str">
        <f>"+13127226300"</f>
        <v>+13127226300</v>
      </c>
      <c r="BF1987" t="str">
        <f>""</f>
        <v/>
      </c>
      <c r="BG1987" t="str">
        <f>"gov@giafirm.com"</f>
        <v>gov@giafirm.com</v>
      </c>
      <c r="BH1987" t="str">
        <f>"Global Immigration Associates, P.C."</f>
        <v>Global Immigration Associates, P.C.</v>
      </c>
      <c r="BI1987" t="str">
        <f>"IL"</f>
        <v>IL</v>
      </c>
      <c r="BJ1987" t="str">
        <f>"Supreme Court"</f>
        <v>Supreme Court</v>
      </c>
      <c r="BK1987">
        <v>1</v>
      </c>
      <c r="BL1987" t="s">
        <v>102</v>
      </c>
      <c r="BM1987" t="str">
        <f>""</f>
        <v/>
      </c>
      <c r="BN1987" t="s">
        <v>10230</v>
      </c>
      <c r="BP1987" t="s">
        <v>213</v>
      </c>
      <c r="BQ1987" t="s">
        <v>214</v>
      </c>
      <c r="BR1987" t="s">
        <v>215</v>
      </c>
      <c r="BS1987" s="5">
        <v>30308</v>
      </c>
      <c r="BT1987" s="2">
        <v>77730</v>
      </c>
      <c r="BU1987" s="2">
        <v>98464.59</v>
      </c>
      <c r="BV1987" t="s">
        <v>105</v>
      </c>
      <c r="BW1987" s="2">
        <v>77730</v>
      </c>
      <c r="BX1987" t="s">
        <v>105</v>
      </c>
      <c r="BZ1987" t="s">
        <v>167</v>
      </c>
      <c r="CA1987" t="str">
        <f t="shared" si="163"/>
        <v>7/1/2020 - 6/30/2021</v>
      </c>
      <c r="CF1987">
        <v>2</v>
      </c>
      <c r="CG1987" t="s">
        <v>98</v>
      </c>
      <c r="CH1987" t="s">
        <v>206</v>
      </c>
      <c r="CI1987" t="s">
        <v>206</v>
      </c>
      <c r="CL1987" t="s">
        <v>108</v>
      </c>
      <c r="CM1987" t="s">
        <v>353</v>
      </c>
      <c r="CN1987" t="str">
        <f>""</f>
        <v/>
      </c>
      <c r="CO1987" t="str">
        <f>""</f>
        <v/>
      </c>
      <c r="CP1987" t="str">
        <f>""</f>
        <v/>
      </c>
      <c r="CQ1987" t="str">
        <f>""</f>
        <v/>
      </c>
    </row>
    <row r="1988" spans="1:96" x14ac:dyDescent="0.2">
      <c r="A1988" t="s">
        <v>10231</v>
      </c>
      <c r="B1988" t="s">
        <v>96</v>
      </c>
      <c r="C1988" s="1">
        <v>44099</v>
      </c>
      <c r="D1988" s="1">
        <v>44106</v>
      </c>
      <c r="F1988" t="s">
        <v>97</v>
      </c>
      <c r="G1988" t="str">
        <f>"SOFTWARE DEVELOPMENT MANAGER"</f>
        <v>SOFTWARE DEVELOPMENT MANAGER</v>
      </c>
      <c r="H1988" t="s">
        <v>12176</v>
      </c>
      <c r="I1988" t="s">
        <v>246</v>
      </c>
      <c r="J1988" t="s">
        <v>98</v>
      </c>
      <c r="K1988" s="1">
        <v>44256</v>
      </c>
      <c r="L1988" s="1">
        <v>45350</v>
      </c>
      <c r="M1988">
        <v>10</v>
      </c>
      <c r="N1988">
        <v>2</v>
      </c>
      <c r="O1988">
        <v>2</v>
      </c>
      <c r="P1988">
        <v>2</v>
      </c>
      <c r="Q1988">
        <v>0</v>
      </c>
      <c r="R1988">
        <v>2</v>
      </c>
      <c r="S1988">
        <v>2</v>
      </c>
      <c r="T1988" t="s">
        <v>2172</v>
      </c>
      <c r="U1988" t="str">
        <f>""</f>
        <v/>
      </c>
      <c r="V1988" t="s">
        <v>2176</v>
      </c>
      <c r="W1988" t="str">
        <f>""</f>
        <v/>
      </c>
      <c r="X1988" t="s">
        <v>2177</v>
      </c>
      <c r="Y1988" t="s">
        <v>141</v>
      </c>
      <c r="Z1988" s="3">
        <v>94065</v>
      </c>
      <c r="AA1988" t="s">
        <v>101</v>
      </c>
      <c r="AC1988" s="4" t="str">
        <f>"+16505067000"</f>
        <v>+16505067000</v>
      </c>
      <c r="AE1988" t="str">
        <f>"511210"</f>
        <v>511210</v>
      </c>
      <c r="AF1988" t="s">
        <v>2173</v>
      </c>
      <c r="AG1988" t="s">
        <v>2174</v>
      </c>
      <c r="AI1988" t="s">
        <v>2175</v>
      </c>
      <c r="AJ1988" t="s">
        <v>2176</v>
      </c>
      <c r="AK1988" t="str">
        <f>""</f>
        <v/>
      </c>
      <c r="AL1988" t="s">
        <v>2177</v>
      </c>
      <c r="AM1988" t="s">
        <v>141</v>
      </c>
      <c r="AN1988" s="3">
        <v>94065</v>
      </c>
      <c r="AO1988" t="s">
        <v>101</v>
      </c>
      <c r="AQ1988" t="str">
        <f>"+16505067000"</f>
        <v>+16505067000</v>
      </c>
      <c r="AS1988" t="s">
        <v>2178</v>
      </c>
      <c r="AT1988" t="s">
        <v>107</v>
      </c>
      <c r="AU1988" t="str">
        <f>"Oye"</f>
        <v>Oye</v>
      </c>
      <c r="AV1988" t="str">
        <f>"Ronald"</f>
        <v>Ronald</v>
      </c>
      <c r="AW1988" t="str">
        <f>""</f>
        <v/>
      </c>
      <c r="AX1988" t="str">
        <f>"100 Pringle Avenue"</f>
        <v>100 Pringle Avenue</v>
      </c>
      <c r="AY1988" t="str">
        <f>"Suite 300"</f>
        <v>Suite 300</v>
      </c>
      <c r="AZ1988" t="str">
        <f>"Walnut Creek"</f>
        <v>Walnut Creek</v>
      </c>
      <c r="BA1988" t="str">
        <f>"CA"</f>
        <v>CA</v>
      </c>
      <c r="BB1988" s="3">
        <v>94596</v>
      </c>
      <c r="BC1988" t="str">
        <f t="shared" si="164"/>
        <v>UNITED STATES OF AMERICA</v>
      </c>
      <c r="BD1988" t="str">
        <f>"California"</f>
        <v>California</v>
      </c>
      <c r="BE1988" t="str">
        <f>"+14153981800"</f>
        <v>+14153981800</v>
      </c>
      <c r="BF1988" t="str">
        <f>""</f>
        <v/>
      </c>
      <c r="BG1988" t="str">
        <f>"roye@balglobal.com"</f>
        <v>roye@balglobal.com</v>
      </c>
      <c r="BH1988" t="str">
        <f>"Berry Appleman &amp; Leiden LLP"</f>
        <v>Berry Appleman &amp; Leiden LLP</v>
      </c>
      <c r="BI1988" t="str">
        <f>"CA"</f>
        <v>CA</v>
      </c>
      <c r="BJ1988" t="str">
        <f>"Supreme Court"</f>
        <v>Supreme Court</v>
      </c>
      <c r="BK1988">
        <v>10</v>
      </c>
      <c r="BL1988" t="s">
        <v>102</v>
      </c>
      <c r="BM1988" t="str">
        <f>""</f>
        <v/>
      </c>
      <c r="BN1988" t="s">
        <v>6753</v>
      </c>
      <c r="BO1988" t="s">
        <v>2738</v>
      </c>
      <c r="BP1988" t="s">
        <v>4164</v>
      </c>
      <c r="BQ1988" t="s">
        <v>529</v>
      </c>
      <c r="BR1988" t="s">
        <v>127</v>
      </c>
      <c r="BS1988" s="5">
        <v>19428</v>
      </c>
      <c r="BT1988" s="2">
        <v>121909</v>
      </c>
      <c r="BU1988" s="2">
        <v>200534</v>
      </c>
      <c r="BV1988" t="s">
        <v>105</v>
      </c>
      <c r="BW1988" s="2">
        <v>121909</v>
      </c>
      <c r="BX1988" t="s">
        <v>105</v>
      </c>
      <c r="BZ1988" t="s">
        <v>159</v>
      </c>
      <c r="CA1988" t="str">
        <f t="shared" si="163"/>
        <v>7/1/2020 - 6/30/2021</v>
      </c>
      <c r="CF1988">
        <v>1</v>
      </c>
      <c r="CG1988" t="s">
        <v>98</v>
      </c>
      <c r="CH1988" t="s">
        <v>206</v>
      </c>
      <c r="CI1988" t="s">
        <v>206</v>
      </c>
      <c r="CL1988" t="s">
        <v>108</v>
      </c>
      <c r="CM1988" t="s">
        <v>109</v>
      </c>
      <c r="CN1988" t="str">
        <f>""</f>
        <v/>
      </c>
      <c r="CO1988" t="str">
        <f>""</f>
        <v/>
      </c>
      <c r="CP1988" t="str">
        <f>""</f>
        <v/>
      </c>
      <c r="CQ1988" t="str">
        <f>""</f>
        <v/>
      </c>
    </row>
    <row r="1989" spans="1:96" x14ac:dyDescent="0.2">
      <c r="A1989" t="s">
        <v>10232</v>
      </c>
      <c r="B1989" t="s">
        <v>96</v>
      </c>
      <c r="C1989" s="1">
        <v>44099</v>
      </c>
      <c r="D1989" s="1">
        <v>44106</v>
      </c>
      <c r="F1989" t="s">
        <v>97</v>
      </c>
      <c r="G1989" t="str">
        <f>"Software Engineer"</f>
        <v>Software Engineer</v>
      </c>
      <c r="H1989" t="s">
        <v>12176</v>
      </c>
      <c r="I1989" t="s">
        <v>246</v>
      </c>
      <c r="J1989" t="s">
        <v>98</v>
      </c>
      <c r="K1989" s="1">
        <v>44130</v>
      </c>
      <c r="L1989" s="1">
        <v>45224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 t="s">
        <v>522</v>
      </c>
      <c r="U1989" t="str">
        <f>""</f>
        <v/>
      </c>
      <c r="V1989" t="s">
        <v>523</v>
      </c>
      <c r="W1989" t="str">
        <f>""</f>
        <v/>
      </c>
      <c r="X1989" t="s">
        <v>146</v>
      </c>
      <c r="Y1989" t="s">
        <v>141</v>
      </c>
      <c r="Z1989" s="3">
        <v>94105</v>
      </c>
      <c r="AA1989" t="s">
        <v>101</v>
      </c>
      <c r="AC1989" s="4" t="str">
        <f>"+18663300121"</f>
        <v>+18663300121</v>
      </c>
      <c r="AE1989" t="str">
        <f>"54151"</f>
        <v>54151</v>
      </c>
      <c r="AF1989" t="s">
        <v>1541</v>
      </c>
      <c r="AG1989" t="s">
        <v>1542</v>
      </c>
      <c r="AI1989" t="s">
        <v>1543</v>
      </c>
      <c r="AJ1989" t="s">
        <v>3902</v>
      </c>
      <c r="AK1989" t="str">
        <f>""</f>
        <v/>
      </c>
      <c r="AL1989" t="s">
        <v>277</v>
      </c>
      <c r="AM1989" t="s">
        <v>190</v>
      </c>
      <c r="AN1989" s="3">
        <v>10013</v>
      </c>
      <c r="AO1989" t="s">
        <v>101</v>
      </c>
      <c r="AQ1989" t="str">
        <f>"+12126575580"</f>
        <v>+12126575580</v>
      </c>
      <c r="AS1989" t="s">
        <v>1545</v>
      </c>
      <c r="AT1989" t="s">
        <v>107</v>
      </c>
      <c r="AU1989" t="str">
        <f>"Li"</f>
        <v>Li</v>
      </c>
      <c r="AV1989" t="str">
        <f>"Tao"</f>
        <v>Tao</v>
      </c>
      <c r="AW1989" t="str">
        <f>""</f>
        <v/>
      </c>
      <c r="AX1989" t="str">
        <f>"665 FIFTH AVENUE"</f>
        <v>665 FIFTH AVENUE</v>
      </c>
      <c r="AY1989" t="str">
        <f>""</f>
        <v/>
      </c>
      <c r="AZ1989" t="str">
        <f>"NEW YORK"</f>
        <v>NEW YORK</v>
      </c>
      <c r="BA1989" t="str">
        <f>"NY"</f>
        <v>NY</v>
      </c>
      <c r="BB1989" s="3">
        <v>10022</v>
      </c>
      <c r="BC1989" t="str">
        <f t="shared" si="164"/>
        <v>UNITED STATES OF AMERICA</v>
      </c>
      <c r="BD1989" t="str">
        <f>""</f>
        <v/>
      </c>
      <c r="BE1989" t="str">
        <f>"+12126885151"</f>
        <v>+12126885151</v>
      </c>
      <c r="BF1989" t="str">
        <f>""</f>
        <v/>
      </c>
      <c r="BG1989" t="str">
        <f>"TLI@GIBNEY.COM"</f>
        <v>TLI@GIBNEY.COM</v>
      </c>
      <c r="BH1989" t="str">
        <f>"Gibney, Anthony &amp; Flaherty LLP"</f>
        <v>Gibney, Anthony &amp; Flaherty LLP</v>
      </c>
      <c r="BI1989" t="str">
        <f>"NY"</f>
        <v>NY</v>
      </c>
      <c r="BJ1989" t="str">
        <f>"Court of Appeals"</f>
        <v>Court of Appeals</v>
      </c>
      <c r="BK1989">
        <v>1</v>
      </c>
      <c r="BL1989" t="s">
        <v>102</v>
      </c>
      <c r="BM1989" t="str">
        <f>""</f>
        <v/>
      </c>
      <c r="BN1989" t="s">
        <v>3275</v>
      </c>
      <c r="BP1989" t="s">
        <v>140</v>
      </c>
      <c r="BQ1989" t="s">
        <v>147</v>
      </c>
      <c r="BR1989" t="s">
        <v>141</v>
      </c>
      <c r="BS1989" s="5">
        <v>94105</v>
      </c>
      <c r="BT1989" s="2">
        <v>168500</v>
      </c>
      <c r="BV1989" t="s">
        <v>105</v>
      </c>
      <c r="BW1989" s="2">
        <v>145246</v>
      </c>
      <c r="BX1989" t="s">
        <v>105</v>
      </c>
      <c r="BZ1989" t="s">
        <v>123</v>
      </c>
      <c r="CA1989" t="str">
        <f t="shared" si="163"/>
        <v>7/1/2020 - 6/30/2021</v>
      </c>
      <c r="CF1989">
        <v>2</v>
      </c>
      <c r="CG1989" t="s">
        <v>98</v>
      </c>
      <c r="CH1989" t="s">
        <v>206</v>
      </c>
      <c r="CI1989" t="s">
        <v>206</v>
      </c>
      <c r="CL1989" t="s">
        <v>108</v>
      </c>
      <c r="CM1989" t="s">
        <v>109</v>
      </c>
      <c r="CN1989" t="str">
        <f>"LION/215"</f>
        <v>LION/215</v>
      </c>
      <c r="CO1989" t="str">
        <f>"ANNE MARIE"</f>
        <v>ANNE MARIE</v>
      </c>
      <c r="CP1989" t="str">
        <f>""</f>
        <v/>
      </c>
      <c r="CQ1989" t="str">
        <f>"GIBNEY, ANTHONY &amp; FLAHERTY, LLP "</f>
        <v xml:space="preserve">GIBNEY, ANTHONY &amp; FLAHERTY, LLP </v>
      </c>
      <c r="CR1989" t="s">
        <v>10233</v>
      </c>
    </row>
    <row r="1990" spans="1:96" x14ac:dyDescent="0.2">
      <c r="A1990" t="s">
        <v>10234</v>
      </c>
      <c r="B1990" t="s">
        <v>96</v>
      </c>
      <c r="C1990" s="1">
        <v>44099</v>
      </c>
      <c r="D1990" s="1">
        <v>44106</v>
      </c>
      <c r="F1990" t="s">
        <v>97</v>
      </c>
      <c r="G1990" t="str">
        <f>"Professional Services II"</f>
        <v>Professional Services II</v>
      </c>
      <c r="H1990" t="s">
        <v>12176</v>
      </c>
      <c r="I1990" t="s">
        <v>246</v>
      </c>
      <c r="J1990" t="s">
        <v>98</v>
      </c>
      <c r="K1990" s="1">
        <v>44109</v>
      </c>
      <c r="L1990" s="1">
        <v>45203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 t="s">
        <v>260</v>
      </c>
      <c r="U1990" t="str">
        <f>""</f>
        <v/>
      </c>
      <c r="V1990" t="s">
        <v>968</v>
      </c>
      <c r="W1990" t="str">
        <f>"N/A"</f>
        <v>N/A</v>
      </c>
      <c r="X1990" t="s">
        <v>261</v>
      </c>
      <c r="Y1990" t="s">
        <v>176</v>
      </c>
      <c r="Z1990" s="3">
        <v>98121</v>
      </c>
      <c r="AA1990" t="s">
        <v>101</v>
      </c>
      <c r="AC1990" s="4" t="str">
        <f>"+12062661000"</f>
        <v>+12062661000</v>
      </c>
      <c r="AE1990" t="str">
        <f>"51821"</f>
        <v>51821</v>
      </c>
      <c r="AF1990" t="s">
        <v>4134</v>
      </c>
      <c r="AG1990" t="s">
        <v>4135</v>
      </c>
      <c r="AI1990" t="s">
        <v>262</v>
      </c>
      <c r="AJ1990" t="s">
        <v>432</v>
      </c>
      <c r="AK1990" t="str">
        <f>""</f>
        <v/>
      </c>
      <c r="AL1990" t="s">
        <v>261</v>
      </c>
      <c r="AM1990" t="s">
        <v>176</v>
      </c>
      <c r="AN1990" s="3">
        <v>98121</v>
      </c>
      <c r="AO1990" t="s">
        <v>101</v>
      </c>
      <c r="AQ1990" t="str">
        <f>"+12062661000"</f>
        <v>+12062661000</v>
      </c>
      <c r="AS1990" t="s">
        <v>263</v>
      </c>
      <c r="AT1990" t="s">
        <v>107</v>
      </c>
      <c r="AU1990" t="str">
        <f>"George "</f>
        <v xml:space="preserve">George </v>
      </c>
      <c r="AV1990" t="str">
        <f>"Asha Sairah"</f>
        <v>Asha Sairah</v>
      </c>
      <c r="AW1990" t="str">
        <f>""</f>
        <v/>
      </c>
      <c r="AX1990" t="str">
        <f>"11 Times Square "</f>
        <v xml:space="preserve">11 Times Square </v>
      </c>
      <c r="AY1990" t="str">
        <f>"11th Floor "</f>
        <v xml:space="preserve">11th Floor </v>
      </c>
      <c r="AZ1990" t="str">
        <f>"New York"</f>
        <v>New York</v>
      </c>
      <c r="BA1990" t="str">
        <f>"NY"</f>
        <v>NY</v>
      </c>
      <c r="BB1990" s="3">
        <v>10036</v>
      </c>
      <c r="BC1990" t="str">
        <f t="shared" si="164"/>
        <v>UNITED STATES OF AMERICA</v>
      </c>
      <c r="BD1990" t="str">
        <f>""</f>
        <v/>
      </c>
      <c r="BE1990" t="str">
        <f>"+16469812194"</f>
        <v>+16469812194</v>
      </c>
      <c r="BF1990" t="str">
        <f>""</f>
        <v/>
      </c>
      <c r="BG1990" t="str">
        <f>"lrodriguez@balglobal.com"</f>
        <v>lrodriguez@balglobal.com</v>
      </c>
      <c r="BH1990" t="str">
        <f>"Berry Appleman and Leiden LLP"</f>
        <v>Berry Appleman and Leiden LLP</v>
      </c>
      <c r="BI1990" t="str">
        <f>"NY"</f>
        <v>NY</v>
      </c>
      <c r="BJ1990" t="str">
        <f>"Court of Appeals"</f>
        <v>Court of Appeals</v>
      </c>
      <c r="BK1990">
        <v>1</v>
      </c>
      <c r="BL1990" t="s">
        <v>102</v>
      </c>
      <c r="BM1990" t="str">
        <f>""</f>
        <v/>
      </c>
      <c r="BN1990" t="s">
        <v>3101</v>
      </c>
      <c r="BP1990" t="s">
        <v>277</v>
      </c>
      <c r="BQ1990" t="s">
        <v>189</v>
      </c>
      <c r="BR1990" t="s">
        <v>190</v>
      </c>
      <c r="BS1990" s="5">
        <v>10001</v>
      </c>
      <c r="BT1990" s="2">
        <v>164100</v>
      </c>
      <c r="BV1990" t="s">
        <v>105</v>
      </c>
      <c r="BW1990" s="2">
        <v>100526</v>
      </c>
      <c r="BX1990" t="s">
        <v>105</v>
      </c>
      <c r="BZ1990" t="s">
        <v>167</v>
      </c>
      <c r="CA1990" t="str">
        <f t="shared" si="163"/>
        <v>7/1/2020 - 6/30/2021</v>
      </c>
      <c r="CF1990">
        <v>2</v>
      </c>
      <c r="CG1990" t="s">
        <v>98</v>
      </c>
      <c r="CH1990" t="s">
        <v>206</v>
      </c>
      <c r="CI1990" t="s">
        <v>206</v>
      </c>
      <c r="CL1990" t="s">
        <v>108</v>
      </c>
      <c r="CM1990" t="s">
        <v>109</v>
      </c>
      <c r="CN1990" t="str">
        <f>""</f>
        <v/>
      </c>
      <c r="CO1990" t="str">
        <f>""</f>
        <v/>
      </c>
      <c r="CP1990" t="str">
        <f>""</f>
        <v/>
      </c>
      <c r="CQ1990" t="str">
        <f>""</f>
        <v/>
      </c>
    </row>
    <row r="1991" spans="1:96" x14ac:dyDescent="0.2">
      <c r="A1991" t="s">
        <v>10255</v>
      </c>
      <c r="B1991" t="s">
        <v>96</v>
      </c>
      <c r="C1991" s="1">
        <v>44099</v>
      </c>
      <c r="D1991" s="1">
        <v>44106</v>
      </c>
      <c r="F1991" t="s">
        <v>97</v>
      </c>
      <c r="G1991" t="str">
        <f>"Software Engineer I"</f>
        <v>Software Engineer I</v>
      </c>
      <c r="H1991" t="s">
        <v>12179</v>
      </c>
      <c r="I1991" t="s">
        <v>1357</v>
      </c>
      <c r="J1991" t="s">
        <v>98</v>
      </c>
      <c r="K1991" s="1">
        <v>44105</v>
      </c>
      <c r="L1991" s="1">
        <v>45199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6278</v>
      </c>
      <c r="U1991" t="str">
        <f>""</f>
        <v/>
      </c>
      <c r="V1991" t="s">
        <v>6279</v>
      </c>
      <c r="W1991" t="str">
        <f>""</f>
        <v/>
      </c>
      <c r="X1991" t="s">
        <v>2262</v>
      </c>
      <c r="Y1991" t="s">
        <v>225</v>
      </c>
      <c r="Z1991" s="3">
        <v>45040</v>
      </c>
      <c r="AA1991" t="s">
        <v>101</v>
      </c>
      <c r="AC1991" s="4" t="str">
        <f>"+18669367300"</f>
        <v>+18669367300</v>
      </c>
      <c r="AE1991" t="str">
        <f>"541330"</f>
        <v>541330</v>
      </c>
      <c r="AF1991" t="s">
        <v>3670</v>
      </c>
      <c r="AG1991" t="s">
        <v>2098</v>
      </c>
      <c r="AH1991" t="s">
        <v>782</v>
      </c>
      <c r="AI1991" t="s">
        <v>3671</v>
      </c>
      <c r="AJ1991" t="s">
        <v>3672</v>
      </c>
      <c r="AK1991" t="str">
        <f>"12th Floor"</f>
        <v>12th Floor</v>
      </c>
      <c r="AL1991" t="s">
        <v>604</v>
      </c>
      <c r="AM1991" t="s">
        <v>122</v>
      </c>
      <c r="AN1991" s="3">
        <v>28202</v>
      </c>
      <c r="AO1991" t="s">
        <v>101</v>
      </c>
      <c r="AQ1991" t="str">
        <f>"+19802794119"</f>
        <v>+19802794119</v>
      </c>
      <c r="AS1991" t="s">
        <v>3673</v>
      </c>
      <c r="AT1991" t="s">
        <v>107</v>
      </c>
      <c r="AU1991" t="str">
        <f>"Nelson"</f>
        <v>Nelson</v>
      </c>
      <c r="AV1991" t="str">
        <f>"Timothy"</f>
        <v>Timothy</v>
      </c>
      <c r="AW1991" t="str">
        <f>""</f>
        <v/>
      </c>
      <c r="AX1991" t="str">
        <f>"90 Matawan Road"</f>
        <v>90 Matawan Road</v>
      </c>
      <c r="AY1991" t="str">
        <f>"4th Floor"</f>
        <v>4th Floor</v>
      </c>
      <c r="AZ1991" t="str">
        <f>"Matawan"</f>
        <v>Matawan</v>
      </c>
      <c r="BA1991" t="str">
        <f>"NJ"</f>
        <v>NJ</v>
      </c>
      <c r="BB1991" s="3">
        <v>7747</v>
      </c>
      <c r="BC1991" t="str">
        <f t="shared" si="164"/>
        <v>UNITED STATES OF AMERICA</v>
      </c>
      <c r="BD1991" t="str">
        <f>"NJ"</f>
        <v>NJ</v>
      </c>
      <c r="BE1991" t="str">
        <f>"+17328625000"</f>
        <v>+17328625000</v>
      </c>
      <c r="BF1991" t="str">
        <f>""</f>
        <v/>
      </c>
      <c r="BG1991" t="str">
        <f>"MyraOrillaza@fragomen.com"</f>
        <v>MyraOrillaza@fragomen.com</v>
      </c>
      <c r="BH1991" t="str">
        <f>"Fragomen, Del Rey, Bernsen &amp; Loewy, LLP"</f>
        <v>Fragomen, Del Rey, Bernsen &amp; Loewy, LLP</v>
      </c>
      <c r="BI1991" t="str">
        <f>"NJ"</f>
        <v>NJ</v>
      </c>
      <c r="BJ1991" t="str">
        <f>"STATE SUPREME COURT"</f>
        <v>STATE SUPREME COURT</v>
      </c>
      <c r="BK1991">
        <v>1</v>
      </c>
      <c r="BL1991" t="s">
        <v>102</v>
      </c>
      <c r="BM1991" t="str">
        <f>""</f>
        <v/>
      </c>
      <c r="BN1991" t="s">
        <v>10256</v>
      </c>
      <c r="BP1991" t="s">
        <v>2262</v>
      </c>
      <c r="BQ1991" t="s">
        <v>1145</v>
      </c>
      <c r="BR1991" t="s">
        <v>225</v>
      </c>
      <c r="BS1991" s="5">
        <v>45040</v>
      </c>
      <c r="BT1991" s="2">
        <v>70000</v>
      </c>
      <c r="BV1991" t="s">
        <v>105</v>
      </c>
      <c r="BW1991" s="2">
        <v>63726</v>
      </c>
      <c r="BX1991" t="s">
        <v>105</v>
      </c>
      <c r="CA1991" t="str">
        <f>""</f>
        <v/>
      </c>
      <c r="CB1991" t="s">
        <v>244</v>
      </c>
      <c r="CC1991">
        <v>2020</v>
      </c>
      <c r="CD1991" t="s">
        <v>4817</v>
      </c>
      <c r="CE1991" t="s">
        <v>5351</v>
      </c>
      <c r="CF1991">
        <v>1</v>
      </c>
      <c r="CG1991" t="s">
        <v>98</v>
      </c>
      <c r="CH1991" t="s">
        <v>206</v>
      </c>
      <c r="CI1991" t="s">
        <v>206</v>
      </c>
      <c r="CL1991" t="s">
        <v>108</v>
      </c>
      <c r="CM1991" t="s">
        <v>109</v>
      </c>
      <c r="CN1991" t="str">
        <f>"ORILLAZA"</f>
        <v>ORILLAZA</v>
      </c>
      <c r="CO1991" t="str">
        <f>"MYRA"</f>
        <v>MYRA</v>
      </c>
      <c r="CP1991" t="str">
        <f>"I"</f>
        <v>I</v>
      </c>
      <c r="CQ1991" t="str">
        <f>"FRAGOMEN, DEL REY, BERNSEN &amp; LOEWY, LLP"</f>
        <v>FRAGOMEN, DEL REY, BERNSEN &amp; LOEWY, LLP</v>
      </c>
      <c r="CR1991" t="s">
        <v>3674</v>
      </c>
    </row>
    <row r="1992" spans="1:96" x14ac:dyDescent="0.2">
      <c r="A1992" t="s">
        <v>10260</v>
      </c>
      <c r="B1992" t="s">
        <v>96</v>
      </c>
      <c r="C1992" s="1">
        <v>44099</v>
      </c>
      <c r="D1992" s="1">
        <v>44106</v>
      </c>
      <c r="F1992" t="s">
        <v>97</v>
      </c>
      <c r="G1992" t="str">
        <f>"Software Engineer (1615.50689)"</f>
        <v>Software Engineer (1615.50689)</v>
      </c>
      <c r="H1992" t="s">
        <v>12169</v>
      </c>
      <c r="I1992" t="s">
        <v>124</v>
      </c>
      <c r="J1992" t="s">
        <v>98</v>
      </c>
      <c r="K1992" s="1">
        <v>44105</v>
      </c>
      <c r="L1992" s="1">
        <v>45199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289</v>
      </c>
      <c r="U1992" t="str">
        <f>""</f>
        <v/>
      </c>
      <c r="V1992" t="s">
        <v>290</v>
      </c>
      <c r="W1992" t="str">
        <f>""</f>
        <v/>
      </c>
      <c r="X1992" t="s">
        <v>155</v>
      </c>
      <c r="Y1992" t="s">
        <v>141</v>
      </c>
      <c r="Z1992" s="3">
        <v>94043</v>
      </c>
      <c r="AA1992" t="s">
        <v>101</v>
      </c>
      <c r="AC1992" s="4" t="str">
        <f>"+16502534513"</f>
        <v>+16502534513</v>
      </c>
      <c r="AE1992" t="str">
        <f>"541512"</f>
        <v>541512</v>
      </c>
      <c r="AF1992" t="s">
        <v>291</v>
      </c>
      <c r="AG1992" t="s">
        <v>6058</v>
      </c>
      <c r="AI1992" t="s">
        <v>3132</v>
      </c>
      <c r="AJ1992" t="s">
        <v>290</v>
      </c>
      <c r="AK1992" t="str">
        <f>""</f>
        <v/>
      </c>
      <c r="AL1992" t="s">
        <v>155</v>
      </c>
      <c r="AM1992" t="s">
        <v>141</v>
      </c>
      <c r="AN1992" s="3">
        <v>94043</v>
      </c>
      <c r="AO1992" t="s">
        <v>101</v>
      </c>
      <c r="AQ1992" t="str">
        <f>"+16502534513"</f>
        <v>+16502534513</v>
      </c>
      <c r="AS1992" t="s">
        <v>294</v>
      </c>
      <c r="AT1992" t="s">
        <v>107</v>
      </c>
      <c r="AU1992" t="str">
        <f>"Shim"</f>
        <v>Shim</v>
      </c>
      <c r="AV1992" t="str">
        <f>"Diana"</f>
        <v>Diana</v>
      </c>
      <c r="AW1992" t="str">
        <f>""</f>
        <v/>
      </c>
      <c r="AX1992" t="str">
        <f>"2400 N Glenville Dr, Building A"</f>
        <v>2400 N Glenville Dr, Building A</v>
      </c>
      <c r="AY1992" t="str">
        <f>"Suite 100"</f>
        <v>Suite 100</v>
      </c>
      <c r="AZ1992" t="str">
        <f>"Richardson"</f>
        <v>Richardson</v>
      </c>
      <c r="BA1992" t="str">
        <f>"TX"</f>
        <v>TX</v>
      </c>
      <c r="BB1992" s="3">
        <v>75082</v>
      </c>
      <c r="BC1992" t="str">
        <f t="shared" si="164"/>
        <v>UNITED STATES OF AMERICA</v>
      </c>
      <c r="BD1992" t="str">
        <f>""</f>
        <v/>
      </c>
      <c r="BE1992" t="str">
        <f>"+14695052766"</f>
        <v>+14695052766</v>
      </c>
      <c r="BF1992" t="str">
        <f>""</f>
        <v/>
      </c>
      <c r="BG1992" t="str">
        <f>"googledol@balglobal.com"</f>
        <v>googledol@balglobal.com</v>
      </c>
      <c r="BH1992" t="str">
        <f>"Berry Appleman &amp; Leiden LLP"</f>
        <v>Berry Appleman &amp; Leiden LLP</v>
      </c>
      <c r="BI1992" t="str">
        <f>"TX"</f>
        <v>TX</v>
      </c>
      <c r="BJ1992" t="str">
        <f>"Supreme Court of Texas"</f>
        <v>Supreme Court of Texas</v>
      </c>
      <c r="BK1992">
        <v>1</v>
      </c>
      <c r="BL1992" t="s">
        <v>102</v>
      </c>
      <c r="BM1992" t="str">
        <f>""</f>
        <v/>
      </c>
      <c r="BN1992" t="s">
        <v>5574</v>
      </c>
      <c r="BP1992" t="s">
        <v>568</v>
      </c>
      <c r="BQ1992" t="s">
        <v>230</v>
      </c>
      <c r="BR1992" t="s">
        <v>141</v>
      </c>
      <c r="BS1992" s="5">
        <v>94304</v>
      </c>
      <c r="BT1992" s="2">
        <v>149000</v>
      </c>
      <c r="BV1992" t="s">
        <v>105</v>
      </c>
      <c r="BW1992" s="2">
        <v>145725</v>
      </c>
      <c r="BX1992" t="s">
        <v>105</v>
      </c>
      <c r="BZ1992" t="s">
        <v>123</v>
      </c>
      <c r="CA1992" t="str">
        <f t="shared" ref="CA1992:CA2032" si="165">"7/1/2020 - 6/30/2021"</f>
        <v>7/1/2020 - 6/30/2021</v>
      </c>
      <c r="CF1992">
        <v>2</v>
      </c>
      <c r="CG1992" t="s">
        <v>98</v>
      </c>
      <c r="CH1992" t="s">
        <v>206</v>
      </c>
      <c r="CI1992" t="s">
        <v>206</v>
      </c>
      <c r="CL1992" t="s">
        <v>108</v>
      </c>
      <c r="CM1992" t="s">
        <v>109</v>
      </c>
      <c r="CN1992" t="str">
        <f>"Mata"</f>
        <v>Mata</v>
      </c>
      <c r="CO1992" t="str">
        <f>"Juan"</f>
        <v>Juan</v>
      </c>
      <c r="CP1992" t="str">
        <f>""</f>
        <v/>
      </c>
      <c r="CQ1992" t="str">
        <f>"Berry Appleman &amp; Leiden LLP"</f>
        <v>Berry Appleman &amp; Leiden LLP</v>
      </c>
      <c r="CR1992" t="s">
        <v>6059</v>
      </c>
    </row>
    <row r="1993" spans="1:96" x14ac:dyDescent="0.2">
      <c r="A1993" t="s">
        <v>10271</v>
      </c>
      <c r="B1993" t="s">
        <v>96</v>
      </c>
      <c r="C1993" s="1">
        <v>44099</v>
      </c>
      <c r="D1993" s="1">
        <v>44106</v>
      </c>
      <c r="F1993" t="s">
        <v>97</v>
      </c>
      <c r="G1993" t="str">
        <f>"Software Engineer 1615.59390"</f>
        <v>Software Engineer 1615.59390</v>
      </c>
      <c r="H1993" t="s">
        <v>12169</v>
      </c>
      <c r="I1993" t="s">
        <v>124</v>
      </c>
      <c r="J1993" t="s">
        <v>98</v>
      </c>
      <c r="K1993" s="1">
        <v>44103</v>
      </c>
      <c r="L1993" s="1">
        <v>45197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 t="s">
        <v>289</v>
      </c>
      <c r="U1993" t="str">
        <f>""</f>
        <v/>
      </c>
      <c r="V1993" t="s">
        <v>290</v>
      </c>
      <c r="W1993" t="str">
        <f>""</f>
        <v/>
      </c>
      <c r="X1993" t="s">
        <v>155</v>
      </c>
      <c r="Y1993" t="s">
        <v>141</v>
      </c>
      <c r="Z1993" s="3">
        <v>94043</v>
      </c>
      <c r="AA1993" t="s">
        <v>101</v>
      </c>
      <c r="AC1993" s="4" t="str">
        <f>"+16502534513"</f>
        <v>+16502534513</v>
      </c>
      <c r="AE1993" t="str">
        <f>"541512"</f>
        <v>541512</v>
      </c>
      <c r="AF1993" t="s">
        <v>291</v>
      </c>
      <c r="AG1993" t="s">
        <v>6058</v>
      </c>
      <c r="AI1993" t="s">
        <v>3132</v>
      </c>
      <c r="AJ1993" t="s">
        <v>290</v>
      </c>
      <c r="AK1993" t="str">
        <f>""</f>
        <v/>
      </c>
      <c r="AL1993" t="s">
        <v>155</v>
      </c>
      <c r="AM1993" t="s">
        <v>141</v>
      </c>
      <c r="AN1993" s="3">
        <v>94043</v>
      </c>
      <c r="AO1993" t="s">
        <v>101</v>
      </c>
      <c r="AQ1993" t="str">
        <f>"+16502534513"</f>
        <v>+16502534513</v>
      </c>
      <c r="AS1993" t="s">
        <v>294</v>
      </c>
      <c r="AT1993" t="s">
        <v>107</v>
      </c>
      <c r="AU1993" t="str">
        <f>"Shim"</f>
        <v>Shim</v>
      </c>
      <c r="AV1993" t="str">
        <f>"Diana"</f>
        <v>Diana</v>
      </c>
      <c r="AW1993" t="str">
        <f>""</f>
        <v/>
      </c>
      <c r="AX1993" t="str">
        <f>"2400 N Glenville Dr, Building A"</f>
        <v>2400 N Glenville Dr, Building A</v>
      </c>
      <c r="AY1993" t="str">
        <f>"Suite 100"</f>
        <v>Suite 100</v>
      </c>
      <c r="AZ1993" t="str">
        <f>"Richardson"</f>
        <v>Richardson</v>
      </c>
      <c r="BA1993" t="str">
        <f>"TX"</f>
        <v>TX</v>
      </c>
      <c r="BB1993" s="3">
        <v>75082</v>
      </c>
      <c r="BC1993" t="str">
        <f t="shared" si="164"/>
        <v>UNITED STATES OF AMERICA</v>
      </c>
      <c r="BD1993" t="str">
        <f>""</f>
        <v/>
      </c>
      <c r="BE1993" t="str">
        <f>"+14695052766"</f>
        <v>+14695052766</v>
      </c>
      <c r="BF1993" t="str">
        <f>""</f>
        <v/>
      </c>
      <c r="BG1993" t="str">
        <f>"googledol@balglobal.com"</f>
        <v>googledol@balglobal.com</v>
      </c>
      <c r="BH1993" t="str">
        <f>"Berry Appleman &amp; Leiden LLP"</f>
        <v>Berry Appleman &amp; Leiden LLP</v>
      </c>
      <c r="BI1993" t="str">
        <f>"TX"</f>
        <v>TX</v>
      </c>
      <c r="BJ1993" t="str">
        <f>"Supreme Court of Texas"</f>
        <v>Supreme Court of Texas</v>
      </c>
      <c r="BK1993">
        <v>1</v>
      </c>
      <c r="BL1993" t="s">
        <v>102</v>
      </c>
      <c r="BM1993" t="str">
        <f>""</f>
        <v/>
      </c>
      <c r="BN1993" t="s">
        <v>290</v>
      </c>
      <c r="BP1993" t="s">
        <v>155</v>
      </c>
      <c r="BQ1993" t="s">
        <v>230</v>
      </c>
      <c r="BR1993" t="s">
        <v>141</v>
      </c>
      <c r="BS1993" s="5">
        <v>94043</v>
      </c>
      <c r="BT1993" s="2">
        <v>135000</v>
      </c>
      <c r="BV1993" t="s">
        <v>105</v>
      </c>
      <c r="BW1993" s="2">
        <v>120578</v>
      </c>
      <c r="BX1993" t="s">
        <v>105</v>
      </c>
      <c r="BZ1993" t="s">
        <v>167</v>
      </c>
      <c r="CA1993" t="str">
        <f t="shared" si="165"/>
        <v>7/1/2020 - 6/30/2021</v>
      </c>
      <c r="CF1993">
        <v>2</v>
      </c>
      <c r="CG1993" t="s">
        <v>98</v>
      </c>
      <c r="CH1993" t="s">
        <v>206</v>
      </c>
      <c r="CI1993" t="s">
        <v>206</v>
      </c>
      <c r="CL1993" t="s">
        <v>108</v>
      </c>
      <c r="CM1993" t="s">
        <v>109</v>
      </c>
      <c r="CN1993" t="str">
        <f>"Castillo"</f>
        <v>Castillo</v>
      </c>
      <c r="CO1993" t="str">
        <f>"Celia"</f>
        <v>Celia</v>
      </c>
      <c r="CP1993" t="str">
        <f>""</f>
        <v/>
      </c>
      <c r="CQ1993" t="str">
        <f>"Berry Appleman and Leiden LLP"</f>
        <v>Berry Appleman and Leiden LLP</v>
      </c>
      <c r="CR1993" t="s">
        <v>3379</v>
      </c>
    </row>
    <row r="1994" spans="1:96" x14ac:dyDescent="0.2">
      <c r="A1994" t="s">
        <v>10274</v>
      </c>
      <c r="B1994" t="s">
        <v>96</v>
      </c>
      <c r="C1994" s="1">
        <v>44099</v>
      </c>
      <c r="D1994" s="1">
        <v>44106</v>
      </c>
      <c r="F1994" t="s">
        <v>97</v>
      </c>
      <c r="G1994" t="str">
        <f>"Senior Data Engineer (20012.2075)"</f>
        <v>Senior Data Engineer (20012.2075)</v>
      </c>
      <c r="H1994" t="s">
        <v>12169</v>
      </c>
      <c r="I1994" t="s">
        <v>124</v>
      </c>
      <c r="J1994" t="s">
        <v>98</v>
      </c>
      <c r="K1994" s="1">
        <v>44274</v>
      </c>
      <c r="L1994" s="1">
        <v>45369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 t="s">
        <v>3801</v>
      </c>
      <c r="U1994" t="str">
        <f>""</f>
        <v/>
      </c>
      <c r="V1994" t="s">
        <v>3802</v>
      </c>
      <c r="W1994" t="str">
        <f>""</f>
        <v/>
      </c>
      <c r="X1994" t="s">
        <v>184</v>
      </c>
      <c r="Y1994" t="s">
        <v>186</v>
      </c>
      <c r="Z1994" s="3">
        <v>55344</v>
      </c>
      <c r="AA1994" t="s">
        <v>101</v>
      </c>
      <c r="AC1994" s="4" t="str">
        <f>"+19529361616"</f>
        <v>+19529361616</v>
      </c>
      <c r="AE1994" t="str">
        <f>"541512"</f>
        <v>541512</v>
      </c>
      <c r="AF1994" t="s">
        <v>3135</v>
      </c>
      <c r="AG1994" t="s">
        <v>3136</v>
      </c>
      <c r="AI1994" t="s">
        <v>3137</v>
      </c>
      <c r="AJ1994" t="s">
        <v>3138</v>
      </c>
      <c r="AK1994" t="str">
        <f>""</f>
        <v/>
      </c>
      <c r="AL1994" t="s">
        <v>3139</v>
      </c>
      <c r="AM1994" t="s">
        <v>186</v>
      </c>
      <c r="AN1994" s="3">
        <v>55343</v>
      </c>
      <c r="AO1994" t="s">
        <v>101</v>
      </c>
      <c r="AQ1994" t="str">
        <f>"+19529361616"</f>
        <v>+19529361616</v>
      </c>
      <c r="AS1994" t="s">
        <v>3140</v>
      </c>
      <c r="AT1994" t="s">
        <v>107</v>
      </c>
      <c r="AU1994" t="str">
        <f>"Petzold"</f>
        <v>Petzold</v>
      </c>
      <c r="AV1994" t="str">
        <f>"Rick"</f>
        <v>Rick</v>
      </c>
      <c r="AW1994" t="str">
        <f>""</f>
        <v/>
      </c>
      <c r="AX1994" t="str">
        <f>"2400 N. Glenville Drive, Building A"</f>
        <v>2400 N. Glenville Drive, Building A</v>
      </c>
      <c r="AY1994" t="str">
        <f>"Suite 100"</f>
        <v>Suite 100</v>
      </c>
      <c r="AZ1994" t="str">
        <f>"Richardson"</f>
        <v>Richardson</v>
      </c>
      <c r="BA1994" t="str">
        <f>"TX"</f>
        <v>TX</v>
      </c>
      <c r="BB1994" s="3">
        <v>75082</v>
      </c>
      <c r="BC1994" t="str">
        <f t="shared" si="164"/>
        <v>UNITED STATES OF AMERICA</v>
      </c>
      <c r="BD1994" t="str">
        <f>""</f>
        <v/>
      </c>
      <c r="BE1994" t="str">
        <f>"+19727296094"</f>
        <v>+19727296094</v>
      </c>
      <c r="BF1994" t="str">
        <f>""</f>
        <v/>
      </c>
      <c r="BG1994" t="str">
        <f>"asnedden@balglobal.com"</f>
        <v>asnedden@balglobal.com</v>
      </c>
      <c r="BH1994" t="str">
        <f>"Berry Appleman &amp; Leiden LLP"</f>
        <v>Berry Appleman &amp; Leiden LLP</v>
      </c>
      <c r="BI1994" t="str">
        <f>"NJ"</f>
        <v>NJ</v>
      </c>
      <c r="BJ1994" t="str">
        <f>"New Jersey Supreme Court"</f>
        <v>New Jersey Supreme Court</v>
      </c>
      <c r="BK1994">
        <v>1</v>
      </c>
      <c r="BL1994" t="s">
        <v>102</v>
      </c>
      <c r="BM1994" t="str">
        <f>""</f>
        <v/>
      </c>
      <c r="BN1994" t="s">
        <v>4477</v>
      </c>
      <c r="BP1994" t="s">
        <v>184</v>
      </c>
      <c r="BQ1994" t="s">
        <v>185</v>
      </c>
      <c r="BR1994" t="s">
        <v>186</v>
      </c>
      <c r="BS1994" s="5">
        <v>55344</v>
      </c>
      <c r="BT1994" s="2">
        <v>105726</v>
      </c>
      <c r="BU1994" s="2">
        <v>130000</v>
      </c>
      <c r="BV1994" t="s">
        <v>105</v>
      </c>
      <c r="BW1994" s="2">
        <v>105726</v>
      </c>
      <c r="BX1994" t="s">
        <v>105</v>
      </c>
      <c r="BZ1994" t="s">
        <v>123</v>
      </c>
      <c r="CA1994" t="str">
        <f t="shared" si="165"/>
        <v>7/1/2020 - 6/30/2021</v>
      </c>
      <c r="CF1994">
        <v>2</v>
      </c>
      <c r="CG1994" t="s">
        <v>98</v>
      </c>
      <c r="CH1994" t="s">
        <v>206</v>
      </c>
      <c r="CI1994" t="s">
        <v>206</v>
      </c>
      <c r="CL1994" t="s">
        <v>108</v>
      </c>
      <c r="CM1994" t="s">
        <v>109</v>
      </c>
      <c r="CN1994" t="str">
        <f>"Snedden"</f>
        <v>Snedden</v>
      </c>
      <c r="CO1994" t="str">
        <f>"Anna"</f>
        <v>Anna</v>
      </c>
      <c r="CP1994" t="str">
        <f>""</f>
        <v/>
      </c>
      <c r="CQ1994" t="str">
        <f>"Berry Appleman &amp; Leiden, LLP"</f>
        <v>Berry Appleman &amp; Leiden, LLP</v>
      </c>
      <c r="CR1994" t="s">
        <v>3803</v>
      </c>
    </row>
    <row r="1995" spans="1:96" x14ac:dyDescent="0.2">
      <c r="A1995" t="s">
        <v>10275</v>
      </c>
      <c r="B1995" t="s">
        <v>96</v>
      </c>
      <c r="C1995" s="1">
        <v>44099</v>
      </c>
      <c r="D1995" s="1">
        <v>44106</v>
      </c>
      <c r="F1995" t="s">
        <v>97</v>
      </c>
      <c r="G1995" t="str">
        <f>"Market Research Analyst"</f>
        <v>Market Research Analyst</v>
      </c>
      <c r="H1995" t="s">
        <v>12174</v>
      </c>
      <c r="I1995" t="s">
        <v>1795</v>
      </c>
      <c r="J1995" t="s">
        <v>98</v>
      </c>
      <c r="K1995" s="1">
        <v>44105</v>
      </c>
      <c r="L1995" s="1">
        <v>45199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10276</v>
      </c>
      <c r="U1995" t="str">
        <f>""</f>
        <v/>
      </c>
      <c r="V1995" t="s">
        <v>10277</v>
      </c>
      <c r="W1995" t="str">
        <f>"Suite B216"</f>
        <v>Suite B216</v>
      </c>
      <c r="X1995" t="s">
        <v>7525</v>
      </c>
      <c r="Y1995" t="s">
        <v>345</v>
      </c>
      <c r="Z1995" s="3">
        <v>61606</v>
      </c>
      <c r="AA1995" t="s">
        <v>101</v>
      </c>
      <c r="AC1995" s="4" t="str">
        <f>"+13094957325"</f>
        <v>+13094957325</v>
      </c>
      <c r="AE1995" t="str">
        <f>"541512"</f>
        <v>541512</v>
      </c>
      <c r="AF1995" t="s">
        <v>2163</v>
      </c>
      <c r="AG1995" t="s">
        <v>1003</v>
      </c>
      <c r="AI1995" t="s">
        <v>646</v>
      </c>
      <c r="AJ1995" t="s">
        <v>6442</v>
      </c>
      <c r="AK1995" t="str">
        <f>" Suite B216"</f>
        <v xml:space="preserve"> Suite B216</v>
      </c>
      <c r="AL1995" t="s">
        <v>1636</v>
      </c>
      <c r="AM1995" t="s">
        <v>345</v>
      </c>
      <c r="AN1995" s="3">
        <v>61606</v>
      </c>
      <c r="AO1995" t="s">
        <v>101</v>
      </c>
      <c r="AQ1995" t="str">
        <f>"+13094957325"</f>
        <v>+13094957325</v>
      </c>
      <c r="AS1995" t="s">
        <v>10278</v>
      </c>
      <c r="AT1995" t="s">
        <v>107</v>
      </c>
      <c r="AU1995" t="str">
        <f>"Verma"</f>
        <v>Verma</v>
      </c>
      <c r="AV1995" t="str">
        <f>"Arjun"</f>
        <v>Arjun</v>
      </c>
      <c r="AW1995" t="str">
        <f>""</f>
        <v/>
      </c>
      <c r="AX1995" t="str">
        <f>"1754 Technology Drive"</f>
        <v>1754 Technology Drive</v>
      </c>
      <c r="AY1995" t="str">
        <f>"Suite 214"</f>
        <v>Suite 214</v>
      </c>
      <c r="AZ1995" t="str">
        <f>"San Jose"</f>
        <v>San Jose</v>
      </c>
      <c r="BA1995" t="str">
        <f>"CA"</f>
        <v>CA</v>
      </c>
      <c r="BB1995" s="3">
        <v>95110</v>
      </c>
      <c r="BC1995" t="str">
        <f t="shared" si="164"/>
        <v>UNITED STATES OF AMERICA</v>
      </c>
      <c r="BD1995" t="str">
        <f>""</f>
        <v/>
      </c>
      <c r="BE1995" t="str">
        <f>"+14084361010"</f>
        <v>+14084361010</v>
      </c>
      <c r="BF1995" t="str">
        <f>""</f>
        <v/>
      </c>
      <c r="BG1995" t="str">
        <f>"office@vermafirm.com"</f>
        <v>office@vermafirm.com</v>
      </c>
      <c r="BH1995" t="str">
        <f>"Verma Law Firm"</f>
        <v>Verma Law Firm</v>
      </c>
      <c r="BI1995" t="str">
        <f>"CA"</f>
        <v>CA</v>
      </c>
      <c r="BJ1995" t="str">
        <f>"Supreme Court of California"</f>
        <v>Supreme Court of California</v>
      </c>
      <c r="BK1995">
        <v>1</v>
      </c>
      <c r="BL1995" t="s">
        <v>102</v>
      </c>
      <c r="BM1995" t="str">
        <f>""</f>
        <v/>
      </c>
      <c r="BN1995" t="s">
        <v>10277</v>
      </c>
      <c r="BO1995" t="s">
        <v>10279</v>
      </c>
      <c r="BP1995" t="s">
        <v>1636</v>
      </c>
      <c r="BQ1995" t="s">
        <v>1637</v>
      </c>
      <c r="BR1995" t="s">
        <v>345</v>
      </c>
      <c r="BS1995" s="5">
        <v>61606</v>
      </c>
      <c r="BT1995" s="2">
        <v>55827</v>
      </c>
      <c r="BU1995" s="2">
        <v>77042</v>
      </c>
      <c r="BV1995" t="s">
        <v>105</v>
      </c>
      <c r="BW1995" s="2">
        <v>55827</v>
      </c>
      <c r="BX1995" t="s">
        <v>105</v>
      </c>
      <c r="BZ1995" t="s">
        <v>167</v>
      </c>
      <c r="CA1995" t="str">
        <f t="shared" si="165"/>
        <v>7/1/2020 - 6/30/2021</v>
      </c>
      <c r="CF1995">
        <v>1</v>
      </c>
      <c r="CG1995" t="s">
        <v>98</v>
      </c>
      <c r="CH1995" t="s">
        <v>206</v>
      </c>
      <c r="CI1995" t="s">
        <v>206</v>
      </c>
      <c r="CL1995" t="s">
        <v>108</v>
      </c>
      <c r="CM1995" t="s">
        <v>109</v>
      </c>
      <c r="CN1995" t="str">
        <f>"VERMA"</f>
        <v>VERMA</v>
      </c>
      <c r="CO1995" t="str">
        <f>"ARJUN"</f>
        <v>ARJUN</v>
      </c>
      <c r="CP1995" t="str">
        <f>""</f>
        <v/>
      </c>
      <c r="CQ1995" t="str">
        <f>"VERMA LAW FIRM"</f>
        <v>VERMA LAW FIRM</v>
      </c>
      <c r="CR1995" t="s">
        <v>3014</v>
      </c>
    </row>
    <row r="1996" spans="1:96" x14ac:dyDescent="0.2">
      <c r="A1996" t="s">
        <v>10280</v>
      </c>
      <c r="B1996" t="s">
        <v>96</v>
      </c>
      <c r="C1996" s="1">
        <v>44099</v>
      </c>
      <c r="D1996" s="1">
        <v>44106</v>
      </c>
      <c r="F1996" t="s">
        <v>97</v>
      </c>
      <c r="G1996" t="str">
        <f>"Vice President, Quantitative Analyst"</f>
        <v>Vice President, Quantitative Analyst</v>
      </c>
      <c r="H1996" t="s">
        <v>12220</v>
      </c>
      <c r="I1996" t="s">
        <v>963</v>
      </c>
      <c r="J1996" t="s">
        <v>98</v>
      </c>
      <c r="K1996" s="1">
        <v>44105</v>
      </c>
      <c r="L1996" s="1">
        <v>45199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10281</v>
      </c>
      <c r="U1996" t="str">
        <f>""</f>
        <v/>
      </c>
      <c r="V1996" t="s">
        <v>10282</v>
      </c>
      <c r="W1996" t="str">
        <f>"Suite 100"</f>
        <v>Suite 100</v>
      </c>
      <c r="X1996" t="s">
        <v>468</v>
      </c>
      <c r="Y1996" t="s">
        <v>141</v>
      </c>
      <c r="Z1996" s="3">
        <v>94025</v>
      </c>
      <c r="AA1996" t="s">
        <v>101</v>
      </c>
      <c r="AC1996" s="4" t="str">
        <f>"+18173330098"</f>
        <v>+18173330098</v>
      </c>
      <c r="AE1996" t="str">
        <f>"523930"</f>
        <v>523930</v>
      </c>
      <c r="AF1996" t="s">
        <v>9792</v>
      </c>
      <c r="AG1996" t="s">
        <v>1956</v>
      </c>
      <c r="AI1996" t="s">
        <v>860</v>
      </c>
      <c r="AJ1996" t="s">
        <v>7081</v>
      </c>
      <c r="AK1996" t="str">
        <f>"Suite 1000"</f>
        <v>Suite 1000</v>
      </c>
      <c r="AL1996" t="s">
        <v>1001</v>
      </c>
      <c r="AM1996" t="s">
        <v>114</v>
      </c>
      <c r="AN1996" s="3">
        <v>76102</v>
      </c>
      <c r="AO1996" t="s">
        <v>101</v>
      </c>
      <c r="AQ1996" t="str">
        <f>"+18173330098"</f>
        <v>+18173330098</v>
      </c>
      <c r="AS1996" t="s">
        <v>108</v>
      </c>
      <c r="AT1996" t="s">
        <v>107</v>
      </c>
      <c r="AU1996" t="str">
        <f>"Schaefer"</f>
        <v>Schaefer</v>
      </c>
      <c r="AV1996" t="str">
        <f>"Scott"</f>
        <v>Scott</v>
      </c>
      <c r="AW1996" t="str">
        <f>"Hahn"</f>
        <v>Hahn</v>
      </c>
      <c r="AX1996" t="str">
        <f>"1400 Broadway"</f>
        <v>1400 Broadway</v>
      </c>
      <c r="AY1996" t="str">
        <f>"9th Floor"</f>
        <v>9th Floor</v>
      </c>
      <c r="AZ1996" t="str">
        <f>"New York"</f>
        <v>New York</v>
      </c>
      <c r="BA1996" t="str">
        <f>"NY"</f>
        <v>NY</v>
      </c>
      <c r="BB1996" s="3">
        <v>10018</v>
      </c>
      <c r="BC1996" t="str">
        <f t="shared" si="164"/>
        <v>UNITED STATES OF AMERICA</v>
      </c>
      <c r="BD1996" t="str">
        <f>""</f>
        <v/>
      </c>
      <c r="BE1996" t="str">
        <f>"+12126888555"</f>
        <v>+12126888555</v>
      </c>
      <c r="BF1996" t="str">
        <f>""</f>
        <v/>
      </c>
      <c r="BG1996" t="str">
        <f>"ScottSchaefer@fragomen.com"</f>
        <v>ScottSchaefer@fragomen.com</v>
      </c>
      <c r="BH1996" t="str">
        <f>"Fragomen, Del Rey, Bernsen &amp; Loewy, LLP"</f>
        <v>Fragomen, Del Rey, Bernsen &amp; Loewy, LLP</v>
      </c>
      <c r="BI1996" t="str">
        <f>"DC"</f>
        <v>DC</v>
      </c>
      <c r="BJ1996" t="str">
        <f>"D.C. Court of Appeals"</f>
        <v>D.C. Court of Appeals</v>
      </c>
      <c r="BK1996">
        <v>1</v>
      </c>
      <c r="BL1996" t="s">
        <v>102</v>
      </c>
      <c r="BM1996" t="str">
        <f>""</f>
        <v/>
      </c>
      <c r="BN1996" t="s">
        <v>10282</v>
      </c>
      <c r="BO1996" t="s">
        <v>667</v>
      </c>
      <c r="BP1996" t="s">
        <v>468</v>
      </c>
      <c r="BQ1996" t="s">
        <v>994</v>
      </c>
      <c r="BR1996" t="s">
        <v>141</v>
      </c>
      <c r="BS1996" s="5">
        <v>94025</v>
      </c>
      <c r="BT1996" s="2">
        <v>150000</v>
      </c>
      <c r="BV1996" t="s">
        <v>105</v>
      </c>
      <c r="BW1996" s="2">
        <v>94390</v>
      </c>
      <c r="BX1996" t="s">
        <v>105</v>
      </c>
      <c r="BZ1996" t="s">
        <v>167</v>
      </c>
      <c r="CA1996" t="str">
        <f t="shared" si="165"/>
        <v>7/1/2020 - 6/30/2021</v>
      </c>
      <c r="CF1996">
        <v>2</v>
      </c>
      <c r="CG1996" t="s">
        <v>98</v>
      </c>
      <c r="CH1996" t="s">
        <v>206</v>
      </c>
      <c r="CI1996" t="s">
        <v>206</v>
      </c>
      <c r="CL1996" t="s">
        <v>108</v>
      </c>
      <c r="CM1996" t="s">
        <v>109</v>
      </c>
      <c r="CN1996" t="str">
        <f>""</f>
        <v/>
      </c>
      <c r="CO1996" t="str">
        <f>""</f>
        <v/>
      </c>
      <c r="CP1996" t="str">
        <f>""</f>
        <v/>
      </c>
      <c r="CQ1996" t="str">
        <f>""</f>
        <v/>
      </c>
    </row>
    <row r="1997" spans="1:96" x14ac:dyDescent="0.2">
      <c r="A1997" t="s">
        <v>10305</v>
      </c>
      <c r="B1997" t="s">
        <v>96</v>
      </c>
      <c r="C1997" s="1">
        <v>44099</v>
      </c>
      <c r="D1997" s="1">
        <v>44106</v>
      </c>
      <c r="F1997" t="s">
        <v>97</v>
      </c>
      <c r="G1997" t="str">
        <f>"VETERINARIAN"</f>
        <v>VETERINARIAN</v>
      </c>
      <c r="H1997" t="s">
        <v>12211</v>
      </c>
      <c r="I1997" t="s">
        <v>3846</v>
      </c>
      <c r="J1997" t="s">
        <v>98</v>
      </c>
      <c r="K1997" s="1">
        <v>44116</v>
      </c>
      <c r="L1997" s="1">
        <v>45210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10130</v>
      </c>
      <c r="U1997" t="str">
        <f>"SARATOGA VETERINARY HOSPITAL "</f>
        <v xml:space="preserve">SARATOGA VETERINARY HOSPITAL </v>
      </c>
      <c r="V1997" t="s">
        <v>10131</v>
      </c>
      <c r="W1997" t="str">
        <f>"SUITE 100"</f>
        <v>SUITE 100</v>
      </c>
      <c r="X1997" t="s">
        <v>2210</v>
      </c>
      <c r="Y1997" t="s">
        <v>141</v>
      </c>
      <c r="Z1997" s="3">
        <v>95070</v>
      </c>
      <c r="AA1997" t="s">
        <v>101</v>
      </c>
      <c r="AC1997" s="4" t="str">
        <f>"+14082525252"</f>
        <v>+14082525252</v>
      </c>
      <c r="AE1997" t="str">
        <f>"541940"</f>
        <v>541940</v>
      </c>
      <c r="AF1997" t="s">
        <v>10132</v>
      </c>
      <c r="AG1997" t="s">
        <v>10133</v>
      </c>
      <c r="AH1997" t="s">
        <v>3489</v>
      </c>
      <c r="AI1997" t="s">
        <v>1789</v>
      </c>
      <c r="AJ1997" t="s">
        <v>10131</v>
      </c>
      <c r="AK1997" t="str">
        <f>"SUITE 100"</f>
        <v>SUITE 100</v>
      </c>
      <c r="AL1997" t="s">
        <v>2210</v>
      </c>
      <c r="AM1997" t="s">
        <v>141</v>
      </c>
      <c r="AN1997" s="3">
        <v>95070</v>
      </c>
      <c r="AO1997" t="s">
        <v>101</v>
      </c>
      <c r="AQ1997" t="str">
        <f>"+14082525252"</f>
        <v>+14082525252</v>
      </c>
      <c r="AS1997" t="s">
        <v>5390</v>
      </c>
      <c r="AT1997" t="s">
        <v>107</v>
      </c>
      <c r="AU1997" t="str">
        <f>"NELISSE"</f>
        <v>NELISSE</v>
      </c>
      <c r="AV1997" t="str">
        <f>"DANIELLE"</f>
        <v>DANIELLE</v>
      </c>
      <c r="AW1997" t="str">
        <f>"N/A"</f>
        <v>N/A</v>
      </c>
      <c r="AX1997" t="str">
        <f>"1325 S. KIHEI ROAD"</f>
        <v>1325 S. KIHEI ROAD</v>
      </c>
      <c r="AY1997" t="str">
        <f>"SUITE 224"</f>
        <v>SUITE 224</v>
      </c>
      <c r="AZ1997" t="str">
        <f>"KIHEI"</f>
        <v>KIHEI</v>
      </c>
      <c r="BA1997" t="str">
        <f>"HI"</f>
        <v>HI</v>
      </c>
      <c r="BB1997" s="3">
        <v>96753</v>
      </c>
      <c r="BC1997" t="str">
        <f t="shared" si="164"/>
        <v>UNITED STATES OF AMERICA</v>
      </c>
      <c r="BD1997" t="str">
        <f>""</f>
        <v/>
      </c>
      <c r="BE1997" t="str">
        <f>"+16192358811"</f>
        <v>+16192358811</v>
      </c>
      <c r="BF1997" t="str">
        <f>""</f>
        <v/>
      </c>
      <c r="BG1997" t="str">
        <f>"danielle@immigrationworkvisa.com"</f>
        <v>danielle@immigrationworkvisa.com</v>
      </c>
      <c r="BH1997" t="str">
        <f>"LAW OFFICES OF DANIELLE NELISSE"</f>
        <v>LAW OFFICES OF DANIELLE NELISSE</v>
      </c>
      <c r="BI1997" t="str">
        <f>"DC"</f>
        <v>DC</v>
      </c>
      <c r="BJ1997" t="str">
        <f>"DISTRICT OF COLUMBIA COURT OF APPEALS"</f>
        <v>DISTRICT OF COLUMBIA COURT OF APPEALS</v>
      </c>
      <c r="BK1997">
        <v>1</v>
      </c>
      <c r="BL1997" t="s">
        <v>102</v>
      </c>
      <c r="BM1997" t="str">
        <f>""</f>
        <v/>
      </c>
      <c r="BN1997" t="s">
        <v>10131</v>
      </c>
      <c r="BO1997" t="s">
        <v>2933</v>
      </c>
      <c r="BP1997" t="s">
        <v>2210</v>
      </c>
      <c r="BQ1997" t="s">
        <v>230</v>
      </c>
      <c r="BR1997" t="s">
        <v>141</v>
      </c>
      <c r="BS1997" s="5">
        <v>95070</v>
      </c>
      <c r="BT1997" s="2">
        <v>120000</v>
      </c>
      <c r="BV1997" t="s">
        <v>105</v>
      </c>
      <c r="BW1997" s="2">
        <v>103230</v>
      </c>
      <c r="BX1997" t="s">
        <v>105</v>
      </c>
      <c r="BZ1997" t="s">
        <v>123</v>
      </c>
      <c r="CA1997" t="str">
        <f t="shared" si="165"/>
        <v>7/1/2020 - 6/30/2021</v>
      </c>
      <c r="CF1997">
        <v>1</v>
      </c>
      <c r="CG1997" t="s">
        <v>98</v>
      </c>
      <c r="CH1997" t="s">
        <v>206</v>
      </c>
      <c r="CI1997" t="s">
        <v>206</v>
      </c>
      <c r="CL1997" t="s">
        <v>108</v>
      </c>
      <c r="CM1997" t="s">
        <v>353</v>
      </c>
      <c r="CN1997" t="str">
        <f>""</f>
        <v/>
      </c>
      <c r="CO1997" t="str">
        <f>""</f>
        <v/>
      </c>
      <c r="CP1997" t="str">
        <f>""</f>
        <v/>
      </c>
      <c r="CQ1997" t="str">
        <f>""</f>
        <v/>
      </c>
    </row>
    <row r="1998" spans="1:96" x14ac:dyDescent="0.2">
      <c r="A1998" t="s">
        <v>10324</v>
      </c>
      <c r="B1998" t="s">
        <v>96</v>
      </c>
      <c r="C1998" s="1">
        <v>44099</v>
      </c>
      <c r="D1998" s="1">
        <v>44106</v>
      </c>
      <c r="F1998" t="s">
        <v>97</v>
      </c>
      <c r="G1998" t="str">
        <f>"ASSOCIATE LEAD SOFTWARE ENGINEER"</f>
        <v>ASSOCIATE LEAD SOFTWARE ENGINEER</v>
      </c>
      <c r="H1998" t="s">
        <v>12169</v>
      </c>
      <c r="I1998" t="s">
        <v>124</v>
      </c>
      <c r="J1998" t="s">
        <v>98</v>
      </c>
      <c r="K1998" s="1">
        <v>44263</v>
      </c>
      <c r="L1998" s="1">
        <v>45358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 t="s">
        <v>1258</v>
      </c>
      <c r="U1998" t="str">
        <f>"CERNER CORPORATION"</f>
        <v>CERNER CORPORATION</v>
      </c>
      <c r="V1998" t="s">
        <v>1259</v>
      </c>
      <c r="W1998" t="str">
        <f>""</f>
        <v/>
      </c>
      <c r="X1998" t="s">
        <v>1260</v>
      </c>
      <c r="Y1998" t="s">
        <v>374</v>
      </c>
      <c r="Z1998" s="3">
        <v>64117</v>
      </c>
      <c r="AA1998" t="s">
        <v>101</v>
      </c>
      <c r="AC1998" s="4" t="str">
        <f>"+18162011024"</f>
        <v>+18162011024</v>
      </c>
      <c r="AE1998" t="str">
        <f>"541512"</f>
        <v>541512</v>
      </c>
      <c r="AF1998" t="s">
        <v>1261</v>
      </c>
      <c r="AG1998" t="s">
        <v>1262</v>
      </c>
      <c r="AH1998" t="s">
        <v>627</v>
      </c>
      <c r="AI1998" t="s">
        <v>1263</v>
      </c>
      <c r="AJ1998" t="s">
        <v>1259</v>
      </c>
      <c r="AK1998" t="str">
        <f>""</f>
        <v/>
      </c>
      <c r="AL1998" t="s">
        <v>1260</v>
      </c>
      <c r="AM1998" t="s">
        <v>374</v>
      </c>
      <c r="AN1998" s="3">
        <v>64117</v>
      </c>
      <c r="AO1998" t="s">
        <v>101</v>
      </c>
      <c r="AQ1998" t="str">
        <f>"+18162015122"</f>
        <v>+18162015122</v>
      </c>
      <c r="AS1998" t="s">
        <v>1264</v>
      </c>
      <c r="AT1998" t="s">
        <v>102</v>
      </c>
      <c r="AU1998" t="str">
        <f>""</f>
        <v/>
      </c>
      <c r="AV1998" t="str">
        <f>""</f>
        <v/>
      </c>
      <c r="AW1998" t="str">
        <f>""</f>
        <v/>
      </c>
      <c r="AX1998" t="str">
        <f>""</f>
        <v/>
      </c>
      <c r="AY1998" t="str">
        <f>""</f>
        <v/>
      </c>
      <c r="AZ1998" t="str">
        <f>""</f>
        <v/>
      </c>
      <c r="BA1998" t="str">
        <f>""</f>
        <v/>
      </c>
      <c r="BC1998" t="str">
        <f>""</f>
        <v/>
      </c>
      <c r="BD1998" t="str">
        <f>""</f>
        <v/>
      </c>
      <c r="BE1998" t="str">
        <f>""</f>
        <v/>
      </c>
      <c r="BF1998" t="str">
        <f>""</f>
        <v/>
      </c>
      <c r="BG1998" t="str">
        <f>""</f>
        <v/>
      </c>
      <c r="BH1998" t="str">
        <f>""</f>
        <v/>
      </c>
      <c r="BI1998" t="str">
        <f>""</f>
        <v/>
      </c>
      <c r="BJ1998" t="str">
        <f>""</f>
        <v/>
      </c>
      <c r="BK1998">
        <v>1</v>
      </c>
      <c r="BL1998" t="s">
        <v>102</v>
      </c>
      <c r="BM1998" t="str">
        <f>""</f>
        <v/>
      </c>
      <c r="BN1998" t="s">
        <v>3249</v>
      </c>
      <c r="BO1998" t="s">
        <v>2940</v>
      </c>
      <c r="BP1998" t="s">
        <v>2588</v>
      </c>
      <c r="BQ1998" t="s">
        <v>2941</v>
      </c>
      <c r="BR1998" t="s">
        <v>374</v>
      </c>
      <c r="BS1998" s="5">
        <v>64137</v>
      </c>
      <c r="BT1998" s="2">
        <v>138276.6</v>
      </c>
      <c r="BV1998" t="s">
        <v>105</v>
      </c>
      <c r="BW1998" s="2">
        <v>92539</v>
      </c>
      <c r="BX1998" t="s">
        <v>105</v>
      </c>
      <c r="BZ1998" t="s">
        <v>123</v>
      </c>
      <c r="CA1998" t="str">
        <f t="shared" si="165"/>
        <v>7/1/2020 - 6/30/2021</v>
      </c>
      <c r="CF1998">
        <v>3</v>
      </c>
      <c r="CG1998" t="s">
        <v>98</v>
      </c>
      <c r="CH1998" t="s">
        <v>206</v>
      </c>
      <c r="CI1998" t="s">
        <v>206</v>
      </c>
      <c r="CL1998" t="s">
        <v>108</v>
      </c>
      <c r="CM1998" t="s">
        <v>109</v>
      </c>
      <c r="CN1998" t="str">
        <f>"SHARMA"</f>
        <v>SHARMA</v>
      </c>
      <c r="CO1998" t="str">
        <f>"NAMITA"</f>
        <v>NAMITA</v>
      </c>
      <c r="CP1998" t="str">
        <f>""</f>
        <v/>
      </c>
      <c r="CQ1998" t="str">
        <f>"CERNER CORPORATION"</f>
        <v>CERNER CORPORATION</v>
      </c>
      <c r="CR1998" t="s">
        <v>1264</v>
      </c>
    </row>
    <row r="1999" spans="1:96" x14ac:dyDescent="0.2">
      <c r="A1999" t="s">
        <v>10326</v>
      </c>
      <c r="B1999" t="s">
        <v>96</v>
      </c>
      <c r="C1999" s="1">
        <v>44099</v>
      </c>
      <c r="D1999" s="1">
        <v>44106</v>
      </c>
      <c r="F1999" t="s">
        <v>97</v>
      </c>
      <c r="G1999" t="str">
        <f>"Engineering Manager "</f>
        <v xml:space="preserve">Engineering Manager </v>
      </c>
      <c r="H1999" t="s">
        <v>12171</v>
      </c>
      <c r="I1999" t="s">
        <v>2140</v>
      </c>
      <c r="J1999" t="s">
        <v>98</v>
      </c>
      <c r="K1999" s="1">
        <v>44281</v>
      </c>
      <c r="L1999" s="1">
        <v>45376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 t="s">
        <v>3562</v>
      </c>
      <c r="U1999" t="str">
        <f>""</f>
        <v/>
      </c>
      <c r="V1999" t="s">
        <v>3563</v>
      </c>
      <c r="W1999" t="str">
        <f>"Suite 5000"</f>
        <v>Suite 5000</v>
      </c>
      <c r="X1999" t="s">
        <v>140</v>
      </c>
      <c r="Y1999" t="s">
        <v>141</v>
      </c>
      <c r="Z1999" s="3">
        <v>94107</v>
      </c>
      <c r="AA1999" t="s">
        <v>101</v>
      </c>
      <c r="AC1999" s="4" t="str">
        <f>"+14154845589"</f>
        <v>+14154845589</v>
      </c>
      <c r="AE1999" t="str">
        <f>"541511"</f>
        <v>541511</v>
      </c>
      <c r="AF1999" t="s">
        <v>3564</v>
      </c>
      <c r="AG1999" t="s">
        <v>1538</v>
      </c>
      <c r="AI1999" t="s">
        <v>3565</v>
      </c>
      <c r="AJ1999" t="s">
        <v>3563</v>
      </c>
      <c r="AK1999" t="str">
        <f>"Suite 5000"</f>
        <v>Suite 5000</v>
      </c>
      <c r="AL1999" t="s">
        <v>140</v>
      </c>
      <c r="AM1999" t="s">
        <v>141</v>
      </c>
      <c r="AN1999" s="3">
        <v>94107</v>
      </c>
      <c r="AO1999" t="s">
        <v>101</v>
      </c>
      <c r="AQ1999" t="str">
        <f>"+14154845589"</f>
        <v>+14154845589</v>
      </c>
      <c r="AS1999" t="s">
        <v>3566</v>
      </c>
      <c r="AT1999" t="s">
        <v>107</v>
      </c>
      <c r="AU1999" t="str">
        <f>"Sheppard"</f>
        <v>Sheppard</v>
      </c>
      <c r="AV1999" t="str">
        <f>"Donald"</f>
        <v>Donald</v>
      </c>
      <c r="AW1999" t="str">
        <f>"Kyle"</f>
        <v>Kyle</v>
      </c>
      <c r="AX1999" t="str">
        <f>"401 West A Street "</f>
        <v xml:space="preserve">401 West A Street </v>
      </c>
      <c r="AY1999" t="str">
        <f>"Suite 2600"</f>
        <v>Suite 2600</v>
      </c>
      <c r="AZ1999" t="str">
        <f>"San Diego"</f>
        <v>San Diego</v>
      </c>
      <c r="BA1999" t="str">
        <f>"CA"</f>
        <v>CA</v>
      </c>
      <c r="BB1999" s="3">
        <v>92101</v>
      </c>
      <c r="BC1999" t="str">
        <f t="shared" ref="BC1999:BC2007" si="166">"UNITED STATES OF AMERICA"</f>
        <v>UNITED STATES OF AMERICA</v>
      </c>
      <c r="BD1999" t="str">
        <f>""</f>
        <v/>
      </c>
      <c r="BE1999" t="str">
        <f>"+16195954243"</f>
        <v>+16195954243</v>
      </c>
      <c r="BF1999" t="str">
        <f>""</f>
        <v/>
      </c>
      <c r="BG1999" t="str">
        <f>"dsheppard@higgslaw.com"</f>
        <v>dsheppard@higgslaw.com</v>
      </c>
      <c r="BH1999" t="str">
        <f>"Higgs Fletcher and Mack LLP"</f>
        <v>Higgs Fletcher and Mack LLP</v>
      </c>
      <c r="BI1999" t="str">
        <f>"CA"</f>
        <v>CA</v>
      </c>
      <c r="BJ1999" t="str">
        <f>"Supreme Court "</f>
        <v xml:space="preserve">Supreme Court </v>
      </c>
      <c r="BK1999">
        <v>1</v>
      </c>
      <c r="BL1999" t="s">
        <v>102</v>
      </c>
      <c r="BM1999" t="str">
        <f>""</f>
        <v/>
      </c>
      <c r="BN1999" t="s">
        <v>3563</v>
      </c>
      <c r="BO1999" t="s">
        <v>3567</v>
      </c>
      <c r="BP1999" t="s">
        <v>140</v>
      </c>
      <c r="BQ1999" t="s">
        <v>147</v>
      </c>
      <c r="BR1999" t="s">
        <v>141</v>
      </c>
      <c r="BS1999" s="5">
        <v>94107</v>
      </c>
      <c r="BT1999" s="2">
        <v>242000</v>
      </c>
      <c r="BV1999" t="s">
        <v>105</v>
      </c>
      <c r="BW1999" s="2">
        <v>186493</v>
      </c>
      <c r="BX1999" t="s">
        <v>105</v>
      </c>
      <c r="BZ1999" t="s">
        <v>123</v>
      </c>
      <c r="CA1999" t="str">
        <f t="shared" si="165"/>
        <v>7/1/2020 - 6/30/2021</v>
      </c>
      <c r="CF1999">
        <v>1</v>
      </c>
      <c r="CG1999" t="s">
        <v>98</v>
      </c>
      <c r="CH1999" t="s">
        <v>206</v>
      </c>
      <c r="CI1999" t="s">
        <v>206</v>
      </c>
      <c r="CL1999" t="s">
        <v>108</v>
      </c>
      <c r="CM1999" t="s">
        <v>109</v>
      </c>
      <c r="CN1999" t="str">
        <f>""</f>
        <v/>
      </c>
      <c r="CO1999" t="str">
        <f>""</f>
        <v/>
      </c>
      <c r="CP1999" t="str">
        <f>""</f>
        <v/>
      </c>
      <c r="CQ1999" t="str">
        <f>""</f>
        <v/>
      </c>
    </row>
    <row r="2000" spans="1:96" x14ac:dyDescent="0.2">
      <c r="A2000" t="s">
        <v>10330</v>
      </c>
      <c r="B2000" t="s">
        <v>96</v>
      </c>
      <c r="C2000" s="1">
        <v>44099</v>
      </c>
      <c r="D2000" s="1">
        <v>44106</v>
      </c>
      <c r="F2000" t="s">
        <v>97</v>
      </c>
      <c r="G2000" t="str">
        <f>"PROCESS ENGINEER"</f>
        <v>PROCESS ENGINEER</v>
      </c>
      <c r="H2000" t="s">
        <v>12168</v>
      </c>
      <c r="I2000" t="s">
        <v>249</v>
      </c>
      <c r="J2000" t="s">
        <v>98</v>
      </c>
      <c r="K2000" s="1">
        <v>44109</v>
      </c>
      <c r="L2000" s="1">
        <v>45203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 t="s">
        <v>10331</v>
      </c>
      <c r="U2000" t="str">
        <f>""</f>
        <v/>
      </c>
      <c r="V2000" t="s">
        <v>10332</v>
      </c>
      <c r="W2000" t="str">
        <f>"SUITE 15-137"</f>
        <v>SUITE 15-137</v>
      </c>
      <c r="X2000" t="s">
        <v>2877</v>
      </c>
      <c r="Y2000" t="s">
        <v>258</v>
      </c>
      <c r="Z2000" s="3">
        <v>85226</v>
      </c>
      <c r="AA2000" t="s">
        <v>101</v>
      </c>
      <c r="AC2000" s="4" t="str">
        <f>"+16025399546"</f>
        <v>+16025399546</v>
      </c>
      <c r="AE2000" t="str">
        <f>"541990"</f>
        <v>541990</v>
      </c>
      <c r="AF2000" t="s">
        <v>1358</v>
      </c>
      <c r="AG2000" t="s">
        <v>4921</v>
      </c>
      <c r="AI2000" t="s">
        <v>7102</v>
      </c>
      <c r="AJ2000" t="s">
        <v>10332</v>
      </c>
      <c r="AK2000" t="str">
        <f>"SUITE 15-137"</f>
        <v>SUITE 15-137</v>
      </c>
      <c r="AL2000" t="s">
        <v>2877</v>
      </c>
      <c r="AM2000" t="s">
        <v>258</v>
      </c>
      <c r="AN2000" s="3">
        <v>85226</v>
      </c>
      <c r="AO2000" t="s">
        <v>101</v>
      </c>
      <c r="AQ2000" t="str">
        <f>"+16025399546"</f>
        <v>+16025399546</v>
      </c>
      <c r="AS2000" t="s">
        <v>10333</v>
      </c>
      <c r="AT2000" t="s">
        <v>107</v>
      </c>
      <c r="AU2000" t="str">
        <f>"ALLEN"</f>
        <v>ALLEN</v>
      </c>
      <c r="AV2000" t="str">
        <f>"THOMAS"</f>
        <v>THOMAS</v>
      </c>
      <c r="AW2000" t="str">
        <f>"V."</f>
        <v>V.</v>
      </c>
      <c r="AX2000" t="str">
        <f>"50 CRAGWOOD ROAD"</f>
        <v>50 CRAGWOOD ROAD</v>
      </c>
      <c r="AY2000" t="str">
        <f>"SUITE 100"</f>
        <v>SUITE 100</v>
      </c>
      <c r="AZ2000" t="str">
        <f>"SOUTH PLAINFIELD"</f>
        <v>SOUTH PLAINFIELD</v>
      </c>
      <c r="BA2000" t="str">
        <f>"NJ"</f>
        <v>NJ</v>
      </c>
      <c r="BB2000" s="3">
        <v>7080</v>
      </c>
      <c r="BC2000" t="str">
        <f t="shared" si="166"/>
        <v>UNITED STATES OF AMERICA</v>
      </c>
      <c r="BD2000" t="str">
        <f>""</f>
        <v/>
      </c>
      <c r="BE2000" t="str">
        <f>"+17328327978"</f>
        <v>+17328327978</v>
      </c>
      <c r="BF2000" t="str">
        <f>""</f>
        <v/>
      </c>
      <c r="BG2000" t="str">
        <f>"ICERT@THOMASVALLEN.COM"</f>
        <v>ICERT@THOMASVALLEN.COM</v>
      </c>
      <c r="BH2000" t="str">
        <f>"LAW OFFICE OF THOMAS V. ALLEN PLLC"</f>
        <v>LAW OFFICE OF THOMAS V. ALLEN PLLC</v>
      </c>
      <c r="BI2000" t="str">
        <f>"NY"</f>
        <v>NY</v>
      </c>
      <c r="BJ2000" t="str">
        <f>"APPELLATE COURT"</f>
        <v>APPELLATE COURT</v>
      </c>
      <c r="BK2000">
        <v>1</v>
      </c>
      <c r="BL2000" t="s">
        <v>107</v>
      </c>
      <c r="BM2000" t="str">
        <f>"USAA (UNITED SERVICES AUTOMOBILE ASSOCIATION)"</f>
        <v>USAA (UNITED SERVICES AUTOMOBILE ASSOCIATION)</v>
      </c>
      <c r="BN2000" t="s">
        <v>5822</v>
      </c>
      <c r="BP2000" t="s">
        <v>3985</v>
      </c>
      <c r="BQ2000" t="s">
        <v>1513</v>
      </c>
      <c r="BR2000" t="s">
        <v>114</v>
      </c>
      <c r="BS2000" s="5">
        <v>78229</v>
      </c>
      <c r="BT2000" s="2">
        <v>33.81</v>
      </c>
      <c r="BV2000" t="s">
        <v>210</v>
      </c>
      <c r="BW2000" s="2">
        <v>33.81</v>
      </c>
      <c r="BX2000" t="s">
        <v>210</v>
      </c>
      <c r="BZ2000" t="s">
        <v>167</v>
      </c>
      <c r="CA2000" t="str">
        <f t="shared" si="165"/>
        <v>7/1/2020 - 6/30/2021</v>
      </c>
      <c r="CF2000">
        <v>2</v>
      </c>
      <c r="CG2000" t="s">
        <v>98</v>
      </c>
      <c r="CH2000" t="s">
        <v>206</v>
      </c>
      <c r="CI2000" t="s">
        <v>206</v>
      </c>
      <c r="CL2000" t="s">
        <v>108</v>
      </c>
      <c r="CM2000" t="s">
        <v>109</v>
      </c>
      <c r="CN2000" t="str">
        <f>""</f>
        <v/>
      </c>
      <c r="CO2000" t="str">
        <f>""</f>
        <v/>
      </c>
      <c r="CP2000" t="str">
        <f>""</f>
        <v/>
      </c>
      <c r="CQ2000" t="str">
        <f>""</f>
        <v/>
      </c>
    </row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  <row r="2999" customFormat="1" x14ac:dyDescent="0.2"/>
    <row r="3000" customFormat="1" x14ac:dyDescent="0.2"/>
    <row r="3001" customFormat="1" x14ac:dyDescent="0.2"/>
    <row r="3002" customFormat="1" x14ac:dyDescent="0.2"/>
    <row r="3003" customFormat="1" x14ac:dyDescent="0.2"/>
    <row r="3004" customFormat="1" x14ac:dyDescent="0.2"/>
    <row r="3005" customFormat="1" x14ac:dyDescent="0.2"/>
    <row r="3006" customFormat="1" x14ac:dyDescent="0.2"/>
    <row r="3007" customFormat="1" x14ac:dyDescent="0.2"/>
    <row r="3008" customFormat="1" x14ac:dyDescent="0.2"/>
    <row r="3009" customFormat="1" x14ac:dyDescent="0.2"/>
    <row r="3010" customFormat="1" x14ac:dyDescent="0.2"/>
    <row r="3011" customFormat="1" x14ac:dyDescent="0.2"/>
    <row r="3012" customFormat="1" x14ac:dyDescent="0.2"/>
    <row r="3013" customFormat="1" x14ac:dyDescent="0.2"/>
    <row r="3014" customFormat="1" x14ac:dyDescent="0.2"/>
    <row r="3015" customFormat="1" x14ac:dyDescent="0.2"/>
    <row r="3016" customFormat="1" x14ac:dyDescent="0.2"/>
    <row r="3017" customFormat="1" x14ac:dyDescent="0.2"/>
    <row r="3018" customFormat="1" x14ac:dyDescent="0.2"/>
    <row r="3019" customFormat="1" x14ac:dyDescent="0.2"/>
    <row r="3020" customFormat="1" x14ac:dyDescent="0.2"/>
    <row r="3021" customFormat="1" x14ac:dyDescent="0.2"/>
    <row r="3022" customFormat="1" x14ac:dyDescent="0.2"/>
    <row r="3023" customFormat="1" x14ac:dyDescent="0.2"/>
    <row r="3024" customFormat="1" x14ac:dyDescent="0.2"/>
    <row r="3025" customFormat="1" x14ac:dyDescent="0.2"/>
    <row r="3026" customFormat="1" x14ac:dyDescent="0.2"/>
    <row r="3027" customFormat="1" x14ac:dyDescent="0.2"/>
    <row r="3028" customFormat="1" x14ac:dyDescent="0.2"/>
    <row r="3029" customFormat="1" x14ac:dyDescent="0.2"/>
    <row r="3030" customFormat="1" x14ac:dyDescent="0.2"/>
    <row r="3031" customFormat="1" x14ac:dyDescent="0.2"/>
    <row r="3032" customFormat="1" x14ac:dyDescent="0.2"/>
    <row r="3033" customFormat="1" x14ac:dyDescent="0.2"/>
    <row r="3034" customFormat="1" x14ac:dyDescent="0.2"/>
    <row r="3035" customFormat="1" x14ac:dyDescent="0.2"/>
    <row r="3036" customFormat="1" x14ac:dyDescent="0.2"/>
    <row r="3037" customFormat="1" x14ac:dyDescent="0.2"/>
    <row r="3038" customFormat="1" x14ac:dyDescent="0.2"/>
    <row r="3039" customFormat="1" x14ac:dyDescent="0.2"/>
    <row r="3040" customFormat="1" x14ac:dyDescent="0.2"/>
    <row r="3041" customFormat="1" x14ac:dyDescent="0.2"/>
    <row r="3042" customFormat="1" x14ac:dyDescent="0.2"/>
    <row r="3043" customFormat="1" x14ac:dyDescent="0.2"/>
    <row r="3044" customFormat="1" x14ac:dyDescent="0.2"/>
    <row r="3045" customFormat="1" x14ac:dyDescent="0.2"/>
    <row r="3046" customFormat="1" x14ac:dyDescent="0.2"/>
    <row r="3047" customFormat="1" x14ac:dyDescent="0.2"/>
    <row r="3048" customFormat="1" x14ac:dyDescent="0.2"/>
    <row r="3049" customFormat="1" x14ac:dyDescent="0.2"/>
    <row r="3050" customFormat="1" x14ac:dyDescent="0.2"/>
    <row r="3051" customFormat="1" x14ac:dyDescent="0.2"/>
    <row r="3052" customFormat="1" x14ac:dyDescent="0.2"/>
    <row r="3053" customFormat="1" x14ac:dyDescent="0.2"/>
    <row r="3054" customFormat="1" x14ac:dyDescent="0.2"/>
    <row r="3055" customFormat="1" x14ac:dyDescent="0.2"/>
    <row r="3056" customFormat="1" x14ac:dyDescent="0.2"/>
    <row r="3057" customFormat="1" x14ac:dyDescent="0.2"/>
    <row r="3058" customFormat="1" x14ac:dyDescent="0.2"/>
    <row r="3059" customFormat="1" x14ac:dyDescent="0.2"/>
    <row r="3060" customFormat="1" x14ac:dyDescent="0.2"/>
    <row r="3061" customFormat="1" x14ac:dyDescent="0.2"/>
    <row r="3062" customFormat="1" x14ac:dyDescent="0.2"/>
    <row r="3063" customFormat="1" x14ac:dyDescent="0.2"/>
    <row r="3064" customFormat="1" x14ac:dyDescent="0.2"/>
    <row r="3065" customFormat="1" x14ac:dyDescent="0.2"/>
    <row r="3066" customFormat="1" x14ac:dyDescent="0.2"/>
    <row r="3067" customFormat="1" x14ac:dyDescent="0.2"/>
    <row r="3068" customFormat="1" x14ac:dyDescent="0.2"/>
    <row r="3069" customFormat="1" x14ac:dyDescent="0.2"/>
    <row r="3070" customFormat="1" x14ac:dyDescent="0.2"/>
    <row r="3071" customFormat="1" x14ac:dyDescent="0.2"/>
    <row r="3072" customFormat="1" x14ac:dyDescent="0.2"/>
    <row r="3073" customFormat="1" x14ac:dyDescent="0.2"/>
    <row r="3074" customFormat="1" x14ac:dyDescent="0.2"/>
    <row r="3075" customFormat="1" x14ac:dyDescent="0.2"/>
    <row r="3076" customFormat="1" x14ac:dyDescent="0.2"/>
    <row r="3077" customFormat="1" x14ac:dyDescent="0.2"/>
    <row r="3078" customFormat="1" x14ac:dyDescent="0.2"/>
    <row r="3079" customFormat="1" x14ac:dyDescent="0.2"/>
    <row r="3080" customFormat="1" x14ac:dyDescent="0.2"/>
    <row r="3081" customFormat="1" x14ac:dyDescent="0.2"/>
    <row r="3082" customFormat="1" x14ac:dyDescent="0.2"/>
    <row r="3083" customFormat="1" x14ac:dyDescent="0.2"/>
    <row r="3084" customFormat="1" x14ac:dyDescent="0.2"/>
    <row r="3085" customFormat="1" x14ac:dyDescent="0.2"/>
    <row r="3086" customFormat="1" x14ac:dyDescent="0.2"/>
    <row r="3087" customFormat="1" x14ac:dyDescent="0.2"/>
    <row r="3088" customFormat="1" x14ac:dyDescent="0.2"/>
    <row r="3089" customFormat="1" x14ac:dyDescent="0.2"/>
    <row r="3090" customFormat="1" x14ac:dyDescent="0.2"/>
    <row r="3091" customFormat="1" x14ac:dyDescent="0.2"/>
    <row r="3092" customFormat="1" x14ac:dyDescent="0.2"/>
    <row r="3093" customFormat="1" x14ac:dyDescent="0.2"/>
    <row r="3094" customFormat="1" x14ac:dyDescent="0.2"/>
    <row r="3095" customFormat="1" x14ac:dyDescent="0.2"/>
    <row r="3096" customFormat="1" x14ac:dyDescent="0.2"/>
    <row r="3097" customFormat="1" x14ac:dyDescent="0.2"/>
    <row r="3098" customFormat="1" x14ac:dyDescent="0.2"/>
    <row r="3099" customFormat="1" x14ac:dyDescent="0.2"/>
    <row r="3100" customFormat="1" x14ac:dyDescent="0.2"/>
    <row r="3101" customFormat="1" x14ac:dyDescent="0.2"/>
    <row r="3102" customFormat="1" x14ac:dyDescent="0.2"/>
    <row r="3103" customFormat="1" x14ac:dyDescent="0.2"/>
    <row r="3104" customFormat="1" x14ac:dyDescent="0.2"/>
    <row r="3105" customFormat="1" x14ac:dyDescent="0.2"/>
    <row r="3106" customFormat="1" x14ac:dyDescent="0.2"/>
    <row r="3107" customFormat="1" x14ac:dyDescent="0.2"/>
    <row r="3108" customFormat="1" x14ac:dyDescent="0.2"/>
    <row r="3109" customFormat="1" x14ac:dyDescent="0.2"/>
    <row r="3110" customFormat="1" x14ac:dyDescent="0.2"/>
    <row r="3111" customFormat="1" x14ac:dyDescent="0.2"/>
    <row r="3112" customFormat="1" x14ac:dyDescent="0.2"/>
    <row r="3113" customFormat="1" x14ac:dyDescent="0.2"/>
    <row r="3114" customFormat="1" x14ac:dyDescent="0.2"/>
    <row r="3115" customFormat="1" x14ac:dyDescent="0.2"/>
    <row r="3116" customFormat="1" x14ac:dyDescent="0.2"/>
    <row r="3117" customFormat="1" x14ac:dyDescent="0.2"/>
    <row r="3118" customFormat="1" x14ac:dyDescent="0.2"/>
    <row r="3119" customFormat="1" x14ac:dyDescent="0.2"/>
    <row r="3120" customFormat="1" x14ac:dyDescent="0.2"/>
    <row r="3121" customFormat="1" x14ac:dyDescent="0.2"/>
    <row r="3122" customFormat="1" x14ac:dyDescent="0.2"/>
    <row r="3123" customFormat="1" x14ac:dyDescent="0.2"/>
    <row r="3124" customFormat="1" x14ac:dyDescent="0.2"/>
    <row r="3125" customFormat="1" x14ac:dyDescent="0.2"/>
    <row r="3126" customFormat="1" x14ac:dyDescent="0.2"/>
    <row r="3127" customFormat="1" x14ac:dyDescent="0.2"/>
    <row r="3128" customFormat="1" x14ac:dyDescent="0.2"/>
    <row r="3129" customFormat="1" x14ac:dyDescent="0.2"/>
    <row r="3130" customFormat="1" x14ac:dyDescent="0.2"/>
    <row r="3131" customFormat="1" x14ac:dyDescent="0.2"/>
    <row r="3132" customFormat="1" x14ac:dyDescent="0.2"/>
    <row r="3133" customFormat="1" x14ac:dyDescent="0.2"/>
    <row r="3134" customFormat="1" x14ac:dyDescent="0.2"/>
    <row r="3135" customFormat="1" x14ac:dyDescent="0.2"/>
    <row r="3136" customFormat="1" x14ac:dyDescent="0.2"/>
    <row r="3137" customFormat="1" x14ac:dyDescent="0.2"/>
    <row r="3138" customFormat="1" x14ac:dyDescent="0.2"/>
    <row r="3139" customFormat="1" x14ac:dyDescent="0.2"/>
    <row r="3140" customFormat="1" x14ac:dyDescent="0.2"/>
    <row r="3141" customFormat="1" x14ac:dyDescent="0.2"/>
    <row r="3142" customFormat="1" x14ac:dyDescent="0.2"/>
    <row r="3143" customFormat="1" x14ac:dyDescent="0.2"/>
    <row r="3144" customFormat="1" x14ac:dyDescent="0.2"/>
    <row r="3145" customFormat="1" x14ac:dyDescent="0.2"/>
    <row r="3146" customFormat="1" x14ac:dyDescent="0.2"/>
    <row r="3147" customFormat="1" x14ac:dyDescent="0.2"/>
    <row r="3148" customFormat="1" x14ac:dyDescent="0.2"/>
    <row r="3149" customFormat="1" x14ac:dyDescent="0.2"/>
    <row r="3150" customFormat="1" x14ac:dyDescent="0.2"/>
    <row r="3151" customFormat="1" x14ac:dyDescent="0.2"/>
    <row r="3152" customFormat="1" x14ac:dyDescent="0.2"/>
    <row r="3153" customFormat="1" x14ac:dyDescent="0.2"/>
    <row r="3154" customFormat="1" x14ac:dyDescent="0.2"/>
    <row r="3155" customFormat="1" x14ac:dyDescent="0.2"/>
    <row r="3156" customFormat="1" x14ac:dyDescent="0.2"/>
    <row r="3157" customFormat="1" x14ac:dyDescent="0.2"/>
    <row r="3158" customFormat="1" x14ac:dyDescent="0.2"/>
    <row r="3159" customFormat="1" x14ac:dyDescent="0.2"/>
    <row r="3160" customFormat="1" x14ac:dyDescent="0.2"/>
    <row r="3161" customFormat="1" x14ac:dyDescent="0.2"/>
    <row r="3162" customFormat="1" x14ac:dyDescent="0.2"/>
    <row r="3163" customFormat="1" x14ac:dyDescent="0.2"/>
    <row r="3164" customFormat="1" x14ac:dyDescent="0.2"/>
    <row r="3165" customFormat="1" x14ac:dyDescent="0.2"/>
    <row r="3166" customFormat="1" x14ac:dyDescent="0.2"/>
    <row r="3167" customFormat="1" x14ac:dyDescent="0.2"/>
    <row r="3168" customFormat="1" x14ac:dyDescent="0.2"/>
    <row r="3169" customFormat="1" x14ac:dyDescent="0.2"/>
    <row r="3170" customFormat="1" x14ac:dyDescent="0.2"/>
    <row r="3171" customFormat="1" x14ac:dyDescent="0.2"/>
    <row r="3172" customFormat="1" x14ac:dyDescent="0.2"/>
    <row r="3173" customFormat="1" x14ac:dyDescent="0.2"/>
    <row r="3174" customFormat="1" x14ac:dyDescent="0.2"/>
    <row r="3175" customFormat="1" x14ac:dyDescent="0.2"/>
    <row r="3176" customFormat="1" x14ac:dyDescent="0.2"/>
    <row r="3177" customFormat="1" x14ac:dyDescent="0.2"/>
    <row r="3178" customFormat="1" x14ac:dyDescent="0.2"/>
    <row r="3179" customFormat="1" x14ac:dyDescent="0.2"/>
    <row r="3180" customFormat="1" x14ac:dyDescent="0.2"/>
    <row r="3181" customFormat="1" x14ac:dyDescent="0.2"/>
    <row r="3182" customFormat="1" x14ac:dyDescent="0.2"/>
    <row r="3183" customFormat="1" x14ac:dyDescent="0.2"/>
    <row r="3184" customFormat="1" x14ac:dyDescent="0.2"/>
    <row r="3185" customFormat="1" x14ac:dyDescent="0.2"/>
    <row r="3186" customFormat="1" x14ac:dyDescent="0.2"/>
    <row r="3187" customFormat="1" x14ac:dyDescent="0.2"/>
    <row r="3188" customFormat="1" x14ac:dyDescent="0.2"/>
    <row r="3189" customFormat="1" x14ac:dyDescent="0.2"/>
    <row r="3190" customFormat="1" x14ac:dyDescent="0.2"/>
    <row r="3191" customFormat="1" x14ac:dyDescent="0.2"/>
    <row r="3192" customFormat="1" x14ac:dyDescent="0.2"/>
    <row r="3193" customFormat="1" x14ac:dyDescent="0.2"/>
    <row r="3194" customFormat="1" x14ac:dyDescent="0.2"/>
    <row r="3195" customFormat="1" x14ac:dyDescent="0.2"/>
    <row r="3196" customFormat="1" x14ac:dyDescent="0.2"/>
    <row r="3197" customFormat="1" x14ac:dyDescent="0.2"/>
    <row r="3198" customFormat="1" x14ac:dyDescent="0.2"/>
    <row r="3199" customFormat="1" x14ac:dyDescent="0.2"/>
    <row r="3200" customFormat="1" x14ac:dyDescent="0.2"/>
    <row r="3201" customFormat="1" x14ac:dyDescent="0.2"/>
    <row r="3202" customFormat="1" x14ac:dyDescent="0.2"/>
    <row r="3203" customFormat="1" x14ac:dyDescent="0.2"/>
    <row r="3204" customFormat="1" x14ac:dyDescent="0.2"/>
    <row r="3205" customFormat="1" x14ac:dyDescent="0.2"/>
    <row r="3206" customFormat="1" x14ac:dyDescent="0.2"/>
    <row r="3207" customFormat="1" x14ac:dyDescent="0.2"/>
    <row r="3208" customFormat="1" x14ac:dyDescent="0.2"/>
    <row r="3209" customFormat="1" x14ac:dyDescent="0.2"/>
    <row r="3210" customFormat="1" x14ac:dyDescent="0.2"/>
    <row r="3211" customFormat="1" x14ac:dyDescent="0.2"/>
    <row r="3212" customFormat="1" x14ac:dyDescent="0.2"/>
    <row r="3213" customFormat="1" x14ac:dyDescent="0.2"/>
    <row r="3214" customFormat="1" x14ac:dyDescent="0.2"/>
    <row r="3215" customFormat="1" x14ac:dyDescent="0.2"/>
    <row r="3216" customFormat="1" x14ac:dyDescent="0.2"/>
    <row r="3217" customFormat="1" x14ac:dyDescent="0.2"/>
    <row r="3218" customFormat="1" x14ac:dyDescent="0.2"/>
    <row r="3219" customFormat="1" x14ac:dyDescent="0.2"/>
    <row r="3220" customFormat="1" x14ac:dyDescent="0.2"/>
    <row r="3221" customFormat="1" x14ac:dyDescent="0.2"/>
    <row r="3222" customFormat="1" x14ac:dyDescent="0.2"/>
    <row r="3223" customFormat="1" x14ac:dyDescent="0.2"/>
    <row r="3224" customFormat="1" x14ac:dyDescent="0.2"/>
    <row r="3225" customFormat="1" x14ac:dyDescent="0.2"/>
    <row r="3226" customFormat="1" x14ac:dyDescent="0.2"/>
    <row r="3227" customFormat="1" x14ac:dyDescent="0.2"/>
    <row r="3228" customFormat="1" x14ac:dyDescent="0.2"/>
    <row r="3229" customFormat="1" x14ac:dyDescent="0.2"/>
    <row r="3230" customFormat="1" x14ac:dyDescent="0.2"/>
    <row r="3231" customFormat="1" x14ac:dyDescent="0.2"/>
    <row r="3232" customFormat="1" x14ac:dyDescent="0.2"/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customFormat="1" x14ac:dyDescent="0.2"/>
    <row r="35682" customFormat="1" x14ac:dyDescent="0.2"/>
    <row r="35683" customFormat="1" x14ac:dyDescent="0.2"/>
    <row r="35684" customFormat="1" x14ac:dyDescent="0.2"/>
    <row r="35685" customFormat="1" x14ac:dyDescent="0.2"/>
    <row r="35686" customFormat="1" x14ac:dyDescent="0.2"/>
    <row r="35687" customFormat="1" x14ac:dyDescent="0.2"/>
    <row r="35688" customFormat="1" x14ac:dyDescent="0.2"/>
    <row r="35689" customFormat="1" x14ac:dyDescent="0.2"/>
    <row r="35690" customFormat="1" x14ac:dyDescent="0.2"/>
    <row r="35691" customFormat="1" x14ac:dyDescent="0.2"/>
    <row r="35692" customFormat="1" x14ac:dyDescent="0.2"/>
    <row r="35693" customFormat="1" x14ac:dyDescent="0.2"/>
    <row r="35694" customFormat="1" x14ac:dyDescent="0.2"/>
    <row r="35695" customFormat="1" x14ac:dyDescent="0.2"/>
    <row r="35696" customFormat="1" x14ac:dyDescent="0.2"/>
    <row r="35697" customFormat="1" x14ac:dyDescent="0.2"/>
    <row r="35698" customFormat="1" x14ac:dyDescent="0.2"/>
    <row r="35699" customFormat="1" x14ac:dyDescent="0.2"/>
    <row r="35700" customFormat="1" x14ac:dyDescent="0.2"/>
    <row r="35701" customFormat="1" x14ac:dyDescent="0.2"/>
    <row r="35702" customFormat="1" x14ac:dyDescent="0.2"/>
    <row r="35703" customFormat="1" x14ac:dyDescent="0.2"/>
    <row r="35704" customFormat="1" x14ac:dyDescent="0.2"/>
    <row r="35705" customFormat="1" x14ac:dyDescent="0.2"/>
    <row r="35706" customFormat="1" x14ac:dyDescent="0.2"/>
    <row r="35707" customFormat="1" x14ac:dyDescent="0.2"/>
    <row r="35708" customFormat="1" x14ac:dyDescent="0.2"/>
    <row r="35709" customFormat="1" x14ac:dyDescent="0.2"/>
    <row r="35710" customFormat="1" x14ac:dyDescent="0.2"/>
    <row r="35711" customFormat="1" x14ac:dyDescent="0.2"/>
    <row r="35712" customFormat="1" x14ac:dyDescent="0.2"/>
    <row r="35713" customFormat="1" x14ac:dyDescent="0.2"/>
    <row r="35714" customFormat="1" x14ac:dyDescent="0.2"/>
    <row r="35715" customFormat="1" x14ac:dyDescent="0.2"/>
    <row r="35716" customFormat="1" x14ac:dyDescent="0.2"/>
    <row r="35717" customFormat="1" x14ac:dyDescent="0.2"/>
    <row r="35718" customFormat="1" x14ac:dyDescent="0.2"/>
    <row r="35719" customFormat="1" x14ac:dyDescent="0.2"/>
    <row r="35720" customFormat="1" x14ac:dyDescent="0.2"/>
    <row r="35721" customFormat="1" x14ac:dyDescent="0.2"/>
    <row r="35722" customFormat="1" x14ac:dyDescent="0.2"/>
    <row r="35723" customFormat="1" x14ac:dyDescent="0.2"/>
    <row r="35724" customFormat="1" x14ac:dyDescent="0.2"/>
    <row r="35725" customFormat="1" x14ac:dyDescent="0.2"/>
    <row r="35726" customFormat="1" x14ac:dyDescent="0.2"/>
    <row r="35727" customFormat="1" x14ac:dyDescent="0.2"/>
    <row r="35728" customFormat="1" x14ac:dyDescent="0.2"/>
    <row r="35729" customFormat="1" x14ac:dyDescent="0.2"/>
    <row r="35730" customFormat="1" x14ac:dyDescent="0.2"/>
    <row r="35731" customFormat="1" x14ac:dyDescent="0.2"/>
    <row r="35732" customFormat="1" x14ac:dyDescent="0.2"/>
    <row r="35733" customFormat="1" x14ac:dyDescent="0.2"/>
    <row r="35734" customFormat="1" x14ac:dyDescent="0.2"/>
    <row r="35735" customFormat="1" x14ac:dyDescent="0.2"/>
    <row r="35736" customFormat="1" x14ac:dyDescent="0.2"/>
    <row r="35737" customFormat="1" x14ac:dyDescent="0.2"/>
    <row r="35738" customFormat="1" x14ac:dyDescent="0.2"/>
    <row r="35739" customFormat="1" x14ac:dyDescent="0.2"/>
    <row r="35740" customFormat="1" x14ac:dyDescent="0.2"/>
    <row r="35741" customFormat="1" x14ac:dyDescent="0.2"/>
    <row r="35742" customFormat="1" x14ac:dyDescent="0.2"/>
    <row r="35743" customFormat="1" x14ac:dyDescent="0.2"/>
    <row r="35744" customFormat="1" x14ac:dyDescent="0.2"/>
    <row r="35745" customFormat="1" x14ac:dyDescent="0.2"/>
    <row r="35746" customFormat="1" x14ac:dyDescent="0.2"/>
    <row r="35747" customFormat="1" x14ac:dyDescent="0.2"/>
    <row r="35748" customFormat="1" x14ac:dyDescent="0.2"/>
    <row r="35749" customFormat="1" x14ac:dyDescent="0.2"/>
    <row r="35750" customFormat="1" x14ac:dyDescent="0.2"/>
    <row r="35751" customFormat="1" x14ac:dyDescent="0.2"/>
    <row r="35752" customFormat="1" x14ac:dyDescent="0.2"/>
    <row r="35753" customFormat="1" x14ac:dyDescent="0.2"/>
    <row r="35754" customFormat="1" x14ac:dyDescent="0.2"/>
    <row r="35755" customFormat="1" x14ac:dyDescent="0.2"/>
    <row r="35756" customFormat="1" x14ac:dyDescent="0.2"/>
    <row r="35757" customFormat="1" x14ac:dyDescent="0.2"/>
    <row r="35758" customFormat="1" x14ac:dyDescent="0.2"/>
    <row r="35759" customFormat="1" x14ac:dyDescent="0.2"/>
    <row r="35760" customFormat="1" x14ac:dyDescent="0.2"/>
    <row r="35761" customFormat="1" x14ac:dyDescent="0.2"/>
    <row r="35762" customFormat="1" x14ac:dyDescent="0.2"/>
    <row r="35763" customFormat="1" x14ac:dyDescent="0.2"/>
    <row r="35764" customFormat="1" x14ac:dyDescent="0.2"/>
    <row r="35765" customFormat="1" x14ac:dyDescent="0.2"/>
    <row r="35766" customFormat="1" x14ac:dyDescent="0.2"/>
    <row r="35767" customFormat="1" x14ac:dyDescent="0.2"/>
    <row r="35768" customFormat="1" x14ac:dyDescent="0.2"/>
    <row r="35769" customFormat="1" x14ac:dyDescent="0.2"/>
    <row r="35770" customFormat="1" x14ac:dyDescent="0.2"/>
    <row r="35771" customFormat="1" x14ac:dyDescent="0.2"/>
    <row r="35772" customFormat="1" x14ac:dyDescent="0.2"/>
    <row r="35773" customFormat="1" x14ac:dyDescent="0.2"/>
    <row r="35774" customFormat="1" x14ac:dyDescent="0.2"/>
    <row r="35775" customFormat="1" x14ac:dyDescent="0.2"/>
    <row r="35776" customFormat="1" x14ac:dyDescent="0.2"/>
    <row r="35777" customFormat="1" x14ac:dyDescent="0.2"/>
    <row r="35778" customFormat="1" x14ac:dyDescent="0.2"/>
    <row r="35779" customFormat="1" x14ac:dyDescent="0.2"/>
    <row r="35780" customFormat="1" x14ac:dyDescent="0.2"/>
    <row r="35781" customFormat="1" x14ac:dyDescent="0.2"/>
    <row r="35782" customFormat="1" x14ac:dyDescent="0.2"/>
    <row r="35783" customFormat="1" x14ac:dyDescent="0.2"/>
    <row r="35784" customFormat="1" x14ac:dyDescent="0.2"/>
    <row r="35785" customFormat="1" x14ac:dyDescent="0.2"/>
    <row r="35786" customFormat="1" x14ac:dyDescent="0.2"/>
    <row r="35787" customFormat="1" x14ac:dyDescent="0.2"/>
    <row r="35788" customFormat="1" x14ac:dyDescent="0.2"/>
    <row r="35789" customFormat="1" x14ac:dyDescent="0.2"/>
    <row r="35790" customFormat="1" x14ac:dyDescent="0.2"/>
    <row r="35791" customFormat="1" x14ac:dyDescent="0.2"/>
    <row r="35792" customFormat="1" x14ac:dyDescent="0.2"/>
    <row r="35793" customFormat="1" x14ac:dyDescent="0.2"/>
    <row r="35794" customFormat="1" x14ac:dyDescent="0.2"/>
    <row r="35795" customFormat="1" x14ac:dyDescent="0.2"/>
    <row r="35796" customFormat="1" x14ac:dyDescent="0.2"/>
    <row r="35797" customFormat="1" x14ac:dyDescent="0.2"/>
    <row r="35798" customFormat="1" x14ac:dyDescent="0.2"/>
    <row r="35799" customFormat="1" x14ac:dyDescent="0.2"/>
    <row r="35800" customFormat="1" x14ac:dyDescent="0.2"/>
    <row r="35801" customFormat="1" x14ac:dyDescent="0.2"/>
    <row r="35802" customFormat="1" x14ac:dyDescent="0.2"/>
    <row r="35803" customFormat="1" x14ac:dyDescent="0.2"/>
    <row r="35804" customFormat="1" x14ac:dyDescent="0.2"/>
    <row r="35805" customFormat="1" x14ac:dyDescent="0.2"/>
    <row r="35806" customFormat="1" x14ac:dyDescent="0.2"/>
    <row r="35807" customFormat="1" x14ac:dyDescent="0.2"/>
    <row r="35808" customFormat="1" x14ac:dyDescent="0.2"/>
    <row r="35809" customFormat="1" x14ac:dyDescent="0.2"/>
    <row r="35810" customFormat="1" x14ac:dyDescent="0.2"/>
    <row r="35811" customFormat="1" x14ac:dyDescent="0.2"/>
    <row r="35812" customFormat="1" x14ac:dyDescent="0.2"/>
    <row r="35813" customFormat="1" x14ac:dyDescent="0.2"/>
    <row r="35814" customFormat="1" x14ac:dyDescent="0.2"/>
    <row r="35815" customFormat="1" x14ac:dyDescent="0.2"/>
    <row r="35816" customFormat="1" x14ac:dyDescent="0.2"/>
    <row r="35817" customFormat="1" x14ac:dyDescent="0.2"/>
    <row r="35818" customFormat="1" x14ac:dyDescent="0.2"/>
    <row r="35819" customFormat="1" x14ac:dyDescent="0.2"/>
    <row r="35820" customFormat="1" x14ac:dyDescent="0.2"/>
    <row r="35821" customFormat="1" x14ac:dyDescent="0.2"/>
    <row r="35822" customFormat="1" x14ac:dyDescent="0.2"/>
    <row r="35823" customFormat="1" x14ac:dyDescent="0.2"/>
    <row r="35824" customFormat="1" x14ac:dyDescent="0.2"/>
    <row r="35825" customFormat="1" x14ac:dyDescent="0.2"/>
    <row r="35826" customFormat="1" x14ac:dyDescent="0.2"/>
    <row r="35827" customFormat="1" x14ac:dyDescent="0.2"/>
    <row r="35828" customFormat="1" x14ac:dyDescent="0.2"/>
    <row r="35829" customFormat="1" x14ac:dyDescent="0.2"/>
    <row r="35830" customFormat="1" x14ac:dyDescent="0.2"/>
    <row r="35831" customFormat="1" x14ac:dyDescent="0.2"/>
    <row r="35832" customFormat="1" x14ac:dyDescent="0.2"/>
    <row r="35833" customFormat="1" x14ac:dyDescent="0.2"/>
    <row r="35834" customFormat="1" x14ac:dyDescent="0.2"/>
    <row r="35835" customFormat="1" x14ac:dyDescent="0.2"/>
    <row r="35836" customFormat="1" x14ac:dyDescent="0.2"/>
    <row r="35837" customFormat="1" x14ac:dyDescent="0.2"/>
    <row r="35838" customFormat="1" x14ac:dyDescent="0.2"/>
    <row r="35839" customFormat="1" x14ac:dyDescent="0.2"/>
    <row r="35840" customFormat="1" x14ac:dyDescent="0.2"/>
    <row r="35841" customFormat="1" x14ac:dyDescent="0.2"/>
    <row r="35842" customFormat="1" x14ac:dyDescent="0.2"/>
    <row r="35843" customFormat="1" x14ac:dyDescent="0.2"/>
    <row r="35844" customFormat="1" x14ac:dyDescent="0.2"/>
    <row r="35845" customFormat="1" x14ac:dyDescent="0.2"/>
    <row r="35846" customFormat="1" x14ac:dyDescent="0.2"/>
    <row r="35847" customFormat="1" x14ac:dyDescent="0.2"/>
    <row r="35848" customFormat="1" x14ac:dyDescent="0.2"/>
    <row r="35849" customFormat="1" x14ac:dyDescent="0.2"/>
    <row r="35850" customFormat="1" x14ac:dyDescent="0.2"/>
    <row r="35851" customFormat="1" x14ac:dyDescent="0.2"/>
    <row r="35852" customFormat="1" x14ac:dyDescent="0.2"/>
    <row r="35853" customFormat="1" x14ac:dyDescent="0.2"/>
    <row r="35854" customFormat="1" x14ac:dyDescent="0.2"/>
    <row r="35855" customFormat="1" x14ac:dyDescent="0.2"/>
    <row r="35856" customFormat="1" x14ac:dyDescent="0.2"/>
    <row r="35857" customFormat="1" x14ac:dyDescent="0.2"/>
    <row r="35858" customFormat="1" x14ac:dyDescent="0.2"/>
    <row r="35859" customFormat="1" x14ac:dyDescent="0.2"/>
    <row r="35860" customFormat="1" x14ac:dyDescent="0.2"/>
    <row r="35861" customFormat="1" x14ac:dyDescent="0.2"/>
    <row r="35862" customFormat="1" x14ac:dyDescent="0.2"/>
    <row r="35863" customFormat="1" x14ac:dyDescent="0.2"/>
    <row r="35864" customFormat="1" x14ac:dyDescent="0.2"/>
    <row r="35865" customFormat="1" x14ac:dyDescent="0.2"/>
    <row r="35866" customFormat="1" x14ac:dyDescent="0.2"/>
    <row r="35867" customFormat="1" x14ac:dyDescent="0.2"/>
    <row r="35868" customFormat="1" x14ac:dyDescent="0.2"/>
    <row r="35869" customFormat="1" x14ac:dyDescent="0.2"/>
    <row r="35870" customFormat="1" x14ac:dyDescent="0.2"/>
    <row r="35871" customFormat="1" x14ac:dyDescent="0.2"/>
    <row r="35872" customFormat="1" x14ac:dyDescent="0.2"/>
    <row r="35873" customFormat="1" x14ac:dyDescent="0.2"/>
    <row r="35874" customFormat="1" x14ac:dyDescent="0.2"/>
    <row r="35875" customFormat="1" x14ac:dyDescent="0.2"/>
    <row r="35876" customFormat="1" x14ac:dyDescent="0.2"/>
    <row r="35877" customFormat="1" x14ac:dyDescent="0.2"/>
    <row r="35878" customFormat="1" x14ac:dyDescent="0.2"/>
    <row r="35879" customFormat="1" x14ac:dyDescent="0.2"/>
    <row r="35880" customFormat="1" x14ac:dyDescent="0.2"/>
    <row r="35881" customFormat="1" x14ac:dyDescent="0.2"/>
    <row r="35882" customFormat="1" x14ac:dyDescent="0.2"/>
    <row r="35883" customFormat="1" x14ac:dyDescent="0.2"/>
    <row r="35884" customFormat="1" x14ac:dyDescent="0.2"/>
    <row r="35885" customFormat="1" x14ac:dyDescent="0.2"/>
    <row r="35886" customFormat="1" x14ac:dyDescent="0.2"/>
    <row r="35887" customFormat="1" x14ac:dyDescent="0.2"/>
    <row r="35888" customFormat="1" x14ac:dyDescent="0.2"/>
    <row r="35889" customFormat="1" x14ac:dyDescent="0.2"/>
    <row r="35890" customFormat="1" x14ac:dyDescent="0.2"/>
    <row r="35891" customFormat="1" x14ac:dyDescent="0.2"/>
    <row r="35892" customFormat="1" x14ac:dyDescent="0.2"/>
    <row r="35893" customFormat="1" x14ac:dyDescent="0.2"/>
    <row r="35894" customFormat="1" x14ac:dyDescent="0.2"/>
    <row r="35895" customFormat="1" x14ac:dyDescent="0.2"/>
    <row r="35896" customFormat="1" x14ac:dyDescent="0.2"/>
    <row r="35897" customFormat="1" x14ac:dyDescent="0.2"/>
    <row r="35898" customFormat="1" x14ac:dyDescent="0.2"/>
    <row r="35899" customFormat="1" x14ac:dyDescent="0.2"/>
    <row r="35900" customFormat="1" x14ac:dyDescent="0.2"/>
    <row r="35901" customFormat="1" x14ac:dyDescent="0.2"/>
    <row r="35902" customFormat="1" x14ac:dyDescent="0.2"/>
    <row r="35903" customFormat="1" x14ac:dyDescent="0.2"/>
    <row r="35904" customFormat="1" x14ac:dyDescent="0.2"/>
    <row r="35905" customFormat="1" x14ac:dyDescent="0.2"/>
    <row r="35906" customFormat="1" x14ac:dyDescent="0.2"/>
    <row r="35907" customFormat="1" x14ac:dyDescent="0.2"/>
    <row r="35908" customFormat="1" x14ac:dyDescent="0.2"/>
    <row r="35909" customFormat="1" x14ac:dyDescent="0.2"/>
    <row r="35910" customFormat="1" x14ac:dyDescent="0.2"/>
    <row r="35911" customFormat="1" x14ac:dyDescent="0.2"/>
    <row r="35912" customFormat="1" x14ac:dyDescent="0.2"/>
    <row r="35913" customFormat="1" x14ac:dyDescent="0.2"/>
    <row r="35914" customFormat="1" x14ac:dyDescent="0.2"/>
    <row r="35915" customFormat="1" x14ac:dyDescent="0.2"/>
    <row r="35916" customFormat="1" x14ac:dyDescent="0.2"/>
    <row r="35917" customFormat="1" x14ac:dyDescent="0.2"/>
    <row r="35918" customFormat="1" x14ac:dyDescent="0.2"/>
    <row r="35919" customFormat="1" x14ac:dyDescent="0.2"/>
    <row r="35920" customFormat="1" x14ac:dyDescent="0.2"/>
    <row r="35921" customFormat="1" x14ac:dyDescent="0.2"/>
    <row r="35922" customFormat="1" x14ac:dyDescent="0.2"/>
    <row r="35923" customFormat="1" x14ac:dyDescent="0.2"/>
    <row r="35924" customFormat="1" x14ac:dyDescent="0.2"/>
    <row r="35925" customFormat="1" x14ac:dyDescent="0.2"/>
    <row r="35926" customFormat="1" x14ac:dyDescent="0.2"/>
    <row r="35927" customFormat="1" x14ac:dyDescent="0.2"/>
    <row r="35928" customFormat="1" x14ac:dyDescent="0.2"/>
    <row r="35929" customFormat="1" x14ac:dyDescent="0.2"/>
    <row r="35930" customFormat="1" x14ac:dyDescent="0.2"/>
    <row r="35931" customFormat="1" x14ac:dyDescent="0.2"/>
    <row r="35932" customFormat="1" x14ac:dyDescent="0.2"/>
    <row r="35933" customFormat="1" x14ac:dyDescent="0.2"/>
    <row r="35934" customFormat="1" x14ac:dyDescent="0.2"/>
    <row r="35935" customFormat="1" x14ac:dyDescent="0.2"/>
    <row r="35936" customFormat="1" x14ac:dyDescent="0.2"/>
    <row r="35937" customFormat="1" x14ac:dyDescent="0.2"/>
    <row r="35938" customFormat="1" x14ac:dyDescent="0.2"/>
    <row r="35939" customFormat="1" x14ac:dyDescent="0.2"/>
    <row r="35940" customFormat="1" x14ac:dyDescent="0.2"/>
    <row r="35941" customFormat="1" x14ac:dyDescent="0.2"/>
    <row r="35942" customFormat="1" x14ac:dyDescent="0.2"/>
    <row r="35943" customFormat="1" x14ac:dyDescent="0.2"/>
    <row r="35944" customFormat="1" x14ac:dyDescent="0.2"/>
    <row r="35945" customFormat="1" x14ac:dyDescent="0.2"/>
    <row r="35946" customFormat="1" x14ac:dyDescent="0.2"/>
    <row r="35947" customFormat="1" x14ac:dyDescent="0.2"/>
    <row r="35948" customFormat="1" x14ac:dyDescent="0.2"/>
    <row r="35949" customFormat="1" x14ac:dyDescent="0.2"/>
    <row r="35950" customFormat="1" x14ac:dyDescent="0.2"/>
    <row r="35951" customFormat="1" x14ac:dyDescent="0.2"/>
    <row r="35952" customFormat="1" x14ac:dyDescent="0.2"/>
    <row r="35953" customFormat="1" x14ac:dyDescent="0.2"/>
    <row r="35954" customFormat="1" x14ac:dyDescent="0.2"/>
    <row r="35955" customFormat="1" x14ac:dyDescent="0.2"/>
    <row r="35956" customFormat="1" x14ac:dyDescent="0.2"/>
    <row r="35957" customFormat="1" x14ac:dyDescent="0.2"/>
    <row r="35958" customFormat="1" x14ac:dyDescent="0.2"/>
    <row r="35959" customFormat="1" x14ac:dyDescent="0.2"/>
    <row r="35960" customFormat="1" x14ac:dyDescent="0.2"/>
    <row r="35961" customFormat="1" x14ac:dyDescent="0.2"/>
    <row r="35962" customFormat="1" x14ac:dyDescent="0.2"/>
    <row r="35963" customFormat="1" x14ac:dyDescent="0.2"/>
    <row r="35964" customFormat="1" x14ac:dyDescent="0.2"/>
    <row r="35965" customFormat="1" x14ac:dyDescent="0.2"/>
    <row r="35966" customFormat="1" x14ac:dyDescent="0.2"/>
    <row r="35967" customFormat="1" x14ac:dyDescent="0.2"/>
    <row r="35968" customFormat="1" x14ac:dyDescent="0.2"/>
    <row r="35969" customFormat="1" x14ac:dyDescent="0.2"/>
    <row r="35970" customFormat="1" x14ac:dyDescent="0.2"/>
    <row r="35971" customFormat="1" x14ac:dyDescent="0.2"/>
    <row r="35972" customFormat="1" x14ac:dyDescent="0.2"/>
    <row r="35973" customFormat="1" x14ac:dyDescent="0.2"/>
    <row r="35974" customFormat="1" x14ac:dyDescent="0.2"/>
    <row r="35975" customFormat="1" x14ac:dyDescent="0.2"/>
    <row r="35976" customFormat="1" x14ac:dyDescent="0.2"/>
    <row r="35977" customFormat="1" x14ac:dyDescent="0.2"/>
    <row r="35978" customFormat="1" x14ac:dyDescent="0.2"/>
    <row r="35979" customFormat="1" x14ac:dyDescent="0.2"/>
    <row r="35980" customFormat="1" x14ac:dyDescent="0.2"/>
    <row r="35981" customFormat="1" x14ac:dyDescent="0.2"/>
    <row r="35982" customFormat="1" x14ac:dyDescent="0.2"/>
    <row r="35983" customFormat="1" x14ac:dyDescent="0.2"/>
    <row r="35984" customFormat="1" x14ac:dyDescent="0.2"/>
    <row r="35985" customFormat="1" x14ac:dyDescent="0.2"/>
    <row r="35986" customFormat="1" x14ac:dyDescent="0.2"/>
    <row r="35987" customFormat="1" x14ac:dyDescent="0.2"/>
    <row r="35988" customFormat="1" x14ac:dyDescent="0.2"/>
    <row r="35989" customFormat="1" x14ac:dyDescent="0.2"/>
    <row r="35990" customFormat="1" x14ac:dyDescent="0.2"/>
    <row r="35991" customFormat="1" x14ac:dyDescent="0.2"/>
    <row r="35992" customFormat="1" x14ac:dyDescent="0.2"/>
    <row r="35993" customFormat="1" x14ac:dyDescent="0.2"/>
    <row r="35994" customFormat="1" x14ac:dyDescent="0.2"/>
    <row r="35995" customFormat="1" x14ac:dyDescent="0.2"/>
    <row r="35996" customFormat="1" x14ac:dyDescent="0.2"/>
    <row r="35997" customFormat="1" x14ac:dyDescent="0.2"/>
    <row r="35998" customFormat="1" x14ac:dyDescent="0.2"/>
    <row r="35999" customFormat="1" x14ac:dyDescent="0.2"/>
    <row r="36000" customFormat="1" x14ac:dyDescent="0.2"/>
    <row r="36001" customFormat="1" x14ac:dyDescent="0.2"/>
    <row r="36002" customFormat="1" x14ac:dyDescent="0.2"/>
    <row r="36003" customFormat="1" x14ac:dyDescent="0.2"/>
    <row r="36004" customFormat="1" x14ac:dyDescent="0.2"/>
    <row r="36005" customFormat="1" x14ac:dyDescent="0.2"/>
    <row r="36006" customFormat="1" x14ac:dyDescent="0.2"/>
    <row r="36007" customFormat="1" x14ac:dyDescent="0.2"/>
    <row r="36008" customFormat="1" x14ac:dyDescent="0.2"/>
    <row r="36009" customFormat="1" x14ac:dyDescent="0.2"/>
    <row r="36010" customFormat="1" x14ac:dyDescent="0.2"/>
    <row r="36011" customFormat="1" x14ac:dyDescent="0.2"/>
    <row r="36012" customFormat="1" x14ac:dyDescent="0.2"/>
    <row r="36013" customFormat="1" x14ac:dyDescent="0.2"/>
    <row r="36014" customFormat="1" x14ac:dyDescent="0.2"/>
    <row r="36015" customFormat="1" x14ac:dyDescent="0.2"/>
    <row r="36016" customFormat="1" x14ac:dyDescent="0.2"/>
    <row r="36017" customFormat="1" x14ac:dyDescent="0.2"/>
    <row r="36018" customFormat="1" x14ac:dyDescent="0.2"/>
    <row r="36019" customFormat="1" x14ac:dyDescent="0.2"/>
    <row r="36020" customFormat="1" x14ac:dyDescent="0.2"/>
    <row r="36021" customFormat="1" x14ac:dyDescent="0.2"/>
    <row r="36022" customFormat="1" x14ac:dyDescent="0.2"/>
    <row r="36023" customFormat="1" x14ac:dyDescent="0.2"/>
    <row r="36024" customFormat="1" x14ac:dyDescent="0.2"/>
    <row r="36025" customFormat="1" x14ac:dyDescent="0.2"/>
    <row r="36026" customFormat="1" x14ac:dyDescent="0.2"/>
    <row r="36027" customFormat="1" x14ac:dyDescent="0.2"/>
    <row r="36028" customFormat="1" x14ac:dyDescent="0.2"/>
    <row r="36029" customFormat="1" x14ac:dyDescent="0.2"/>
    <row r="36030" customFormat="1" x14ac:dyDescent="0.2"/>
    <row r="36031" customFormat="1" x14ac:dyDescent="0.2"/>
    <row r="36032" customFormat="1" x14ac:dyDescent="0.2"/>
    <row r="36033" customFormat="1" x14ac:dyDescent="0.2"/>
    <row r="36034" customFormat="1" x14ac:dyDescent="0.2"/>
    <row r="36035" customFormat="1" x14ac:dyDescent="0.2"/>
    <row r="36036" customFormat="1" x14ac:dyDescent="0.2"/>
    <row r="36037" customFormat="1" x14ac:dyDescent="0.2"/>
    <row r="36038" customFormat="1" x14ac:dyDescent="0.2"/>
    <row r="36039" customFormat="1" x14ac:dyDescent="0.2"/>
    <row r="36040" customFormat="1" x14ac:dyDescent="0.2"/>
    <row r="36041" customFormat="1" x14ac:dyDescent="0.2"/>
    <row r="36042" customFormat="1" x14ac:dyDescent="0.2"/>
    <row r="36043" customFormat="1" x14ac:dyDescent="0.2"/>
    <row r="36044" customFormat="1" x14ac:dyDescent="0.2"/>
    <row r="36045" customFormat="1" x14ac:dyDescent="0.2"/>
    <row r="36046" customFormat="1" x14ac:dyDescent="0.2"/>
    <row r="36047" customFormat="1" x14ac:dyDescent="0.2"/>
    <row r="36048" customFormat="1" x14ac:dyDescent="0.2"/>
    <row r="36049" customFormat="1" x14ac:dyDescent="0.2"/>
    <row r="36050" customFormat="1" x14ac:dyDescent="0.2"/>
    <row r="36051" customFormat="1" x14ac:dyDescent="0.2"/>
    <row r="36052" customFormat="1" x14ac:dyDescent="0.2"/>
    <row r="36053" customFormat="1" x14ac:dyDescent="0.2"/>
    <row r="36054" customFormat="1" x14ac:dyDescent="0.2"/>
    <row r="36055" customFormat="1" x14ac:dyDescent="0.2"/>
    <row r="36056" customFormat="1" x14ac:dyDescent="0.2"/>
    <row r="36057" customFormat="1" x14ac:dyDescent="0.2"/>
    <row r="36058" customFormat="1" x14ac:dyDescent="0.2"/>
    <row r="36059" customFormat="1" x14ac:dyDescent="0.2"/>
    <row r="36060" customFormat="1" x14ac:dyDescent="0.2"/>
    <row r="36061" customFormat="1" x14ac:dyDescent="0.2"/>
    <row r="36062" customFormat="1" x14ac:dyDescent="0.2"/>
    <row r="36063" customFormat="1" x14ac:dyDescent="0.2"/>
    <row r="36064" customFormat="1" x14ac:dyDescent="0.2"/>
    <row r="36065" customFormat="1" x14ac:dyDescent="0.2"/>
    <row r="36066" customFormat="1" x14ac:dyDescent="0.2"/>
    <row r="36067" customFormat="1" x14ac:dyDescent="0.2"/>
    <row r="36068" customFormat="1" x14ac:dyDescent="0.2"/>
    <row r="36069" customFormat="1" x14ac:dyDescent="0.2"/>
    <row r="36070" customFormat="1" x14ac:dyDescent="0.2"/>
    <row r="36071" customFormat="1" x14ac:dyDescent="0.2"/>
    <row r="36072" customFormat="1" x14ac:dyDescent="0.2"/>
    <row r="36073" customFormat="1" x14ac:dyDescent="0.2"/>
    <row r="36074" customFormat="1" x14ac:dyDescent="0.2"/>
    <row r="36075" customFormat="1" x14ac:dyDescent="0.2"/>
    <row r="36076" customFormat="1" x14ac:dyDescent="0.2"/>
    <row r="36077" customFormat="1" x14ac:dyDescent="0.2"/>
    <row r="36078" customFormat="1" x14ac:dyDescent="0.2"/>
    <row r="36079" customFormat="1" x14ac:dyDescent="0.2"/>
    <row r="36080" customFormat="1" x14ac:dyDescent="0.2"/>
    <row r="36081" customFormat="1" x14ac:dyDescent="0.2"/>
    <row r="36082" customFormat="1" x14ac:dyDescent="0.2"/>
    <row r="36083" customFormat="1" x14ac:dyDescent="0.2"/>
    <row r="36084" customFormat="1" x14ac:dyDescent="0.2"/>
    <row r="36085" customFormat="1" x14ac:dyDescent="0.2"/>
    <row r="36086" customFormat="1" x14ac:dyDescent="0.2"/>
    <row r="36087" customFormat="1" x14ac:dyDescent="0.2"/>
    <row r="36088" customFormat="1" x14ac:dyDescent="0.2"/>
    <row r="36089" customFormat="1" x14ac:dyDescent="0.2"/>
    <row r="36090" customFormat="1" x14ac:dyDescent="0.2"/>
    <row r="36091" customFormat="1" x14ac:dyDescent="0.2"/>
    <row r="36092" customFormat="1" x14ac:dyDescent="0.2"/>
    <row r="36093" customFormat="1" x14ac:dyDescent="0.2"/>
    <row r="36094" customFormat="1" x14ac:dyDescent="0.2"/>
    <row r="36095" customFormat="1" x14ac:dyDescent="0.2"/>
    <row r="36096" customFormat="1" x14ac:dyDescent="0.2"/>
    <row r="36097" customFormat="1" x14ac:dyDescent="0.2"/>
    <row r="36098" customFormat="1" x14ac:dyDescent="0.2"/>
    <row r="36099" customFormat="1" x14ac:dyDescent="0.2"/>
    <row r="36100" customFormat="1" x14ac:dyDescent="0.2"/>
    <row r="36101" customFormat="1" x14ac:dyDescent="0.2"/>
    <row r="36102" customFormat="1" x14ac:dyDescent="0.2"/>
    <row r="36103" customFormat="1" x14ac:dyDescent="0.2"/>
    <row r="36104" customFormat="1" x14ac:dyDescent="0.2"/>
    <row r="36105" customFormat="1" x14ac:dyDescent="0.2"/>
    <row r="36106" customFormat="1" x14ac:dyDescent="0.2"/>
    <row r="36107" customFormat="1" x14ac:dyDescent="0.2"/>
    <row r="36108" customFormat="1" x14ac:dyDescent="0.2"/>
    <row r="36109" customFormat="1" x14ac:dyDescent="0.2"/>
    <row r="36110" customFormat="1" x14ac:dyDescent="0.2"/>
    <row r="36111" customFormat="1" x14ac:dyDescent="0.2"/>
    <row r="36112" customFormat="1" x14ac:dyDescent="0.2"/>
    <row r="36113" customFormat="1" x14ac:dyDescent="0.2"/>
    <row r="36114" customFormat="1" x14ac:dyDescent="0.2"/>
    <row r="36115" customFormat="1" x14ac:dyDescent="0.2"/>
    <row r="36116" customFormat="1" x14ac:dyDescent="0.2"/>
    <row r="36117" customFormat="1" x14ac:dyDescent="0.2"/>
    <row r="36118" customFormat="1" x14ac:dyDescent="0.2"/>
    <row r="36119" customFormat="1" x14ac:dyDescent="0.2"/>
    <row r="36120" customFormat="1" x14ac:dyDescent="0.2"/>
    <row r="36121" customFormat="1" x14ac:dyDescent="0.2"/>
    <row r="36122" customFormat="1" x14ac:dyDescent="0.2"/>
    <row r="36123" customFormat="1" x14ac:dyDescent="0.2"/>
    <row r="36124" customFormat="1" x14ac:dyDescent="0.2"/>
    <row r="36125" customFormat="1" x14ac:dyDescent="0.2"/>
    <row r="36126" customFormat="1" x14ac:dyDescent="0.2"/>
    <row r="36127" customFormat="1" x14ac:dyDescent="0.2"/>
    <row r="36128" customFormat="1" x14ac:dyDescent="0.2"/>
    <row r="36129" customFormat="1" x14ac:dyDescent="0.2"/>
    <row r="36130" customFormat="1" x14ac:dyDescent="0.2"/>
    <row r="36131" customFormat="1" x14ac:dyDescent="0.2"/>
    <row r="36132" customFormat="1" x14ac:dyDescent="0.2"/>
    <row r="36133" customFormat="1" x14ac:dyDescent="0.2"/>
    <row r="36134" customFormat="1" x14ac:dyDescent="0.2"/>
    <row r="36135" customFormat="1" x14ac:dyDescent="0.2"/>
    <row r="36136" customFormat="1" x14ac:dyDescent="0.2"/>
    <row r="36137" customFormat="1" x14ac:dyDescent="0.2"/>
    <row r="36138" customFormat="1" x14ac:dyDescent="0.2"/>
    <row r="36139" customFormat="1" x14ac:dyDescent="0.2"/>
    <row r="36140" customFormat="1" x14ac:dyDescent="0.2"/>
    <row r="36141" customFormat="1" x14ac:dyDescent="0.2"/>
    <row r="36142" customFormat="1" x14ac:dyDescent="0.2"/>
    <row r="36143" customFormat="1" x14ac:dyDescent="0.2"/>
    <row r="36144" customFormat="1" x14ac:dyDescent="0.2"/>
    <row r="36145" customFormat="1" x14ac:dyDescent="0.2"/>
    <row r="36146" customFormat="1" x14ac:dyDescent="0.2"/>
    <row r="36147" customFormat="1" x14ac:dyDescent="0.2"/>
    <row r="36148" customFormat="1" x14ac:dyDescent="0.2"/>
    <row r="36149" customFormat="1" x14ac:dyDescent="0.2"/>
    <row r="36150" customFormat="1" x14ac:dyDescent="0.2"/>
    <row r="36151" customFormat="1" x14ac:dyDescent="0.2"/>
    <row r="36152" customFormat="1" x14ac:dyDescent="0.2"/>
    <row r="36153" customFormat="1" x14ac:dyDescent="0.2"/>
    <row r="36154" customFormat="1" x14ac:dyDescent="0.2"/>
    <row r="36155" customFormat="1" x14ac:dyDescent="0.2"/>
    <row r="36156" customFormat="1" x14ac:dyDescent="0.2"/>
    <row r="36157" customFormat="1" x14ac:dyDescent="0.2"/>
    <row r="36158" customFormat="1" x14ac:dyDescent="0.2"/>
    <row r="36159" customFormat="1" x14ac:dyDescent="0.2"/>
    <row r="36160" customFormat="1" x14ac:dyDescent="0.2"/>
    <row r="36161" customFormat="1" x14ac:dyDescent="0.2"/>
    <row r="36162" customFormat="1" x14ac:dyDescent="0.2"/>
    <row r="36163" customFormat="1" x14ac:dyDescent="0.2"/>
    <row r="36164" customFormat="1" x14ac:dyDescent="0.2"/>
    <row r="36165" customFormat="1" x14ac:dyDescent="0.2"/>
    <row r="36166" customFormat="1" x14ac:dyDescent="0.2"/>
    <row r="36167" customFormat="1" x14ac:dyDescent="0.2"/>
    <row r="36168" customFormat="1" x14ac:dyDescent="0.2"/>
    <row r="36169" customFormat="1" x14ac:dyDescent="0.2"/>
    <row r="36170" customFormat="1" x14ac:dyDescent="0.2"/>
    <row r="36171" customFormat="1" x14ac:dyDescent="0.2"/>
    <row r="36172" customFormat="1" x14ac:dyDescent="0.2"/>
    <row r="36173" customFormat="1" x14ac:dyDescent="0.2"/>
    <row r="36174" customFormat="1" x14ac:dyDescent="0.2"/>
    <row r="36175" customFormat="1" x14ac:dyDescent="0.2"/>
    <row r="36176" customFormat="1" x14ac:dyDescent="0.2"/>
    <row r="36177" customFormat="1" x14ac:dyDescent="0.2"/>
    <row r="36178" customFormat="1" x14ac:dyDescent="0.2"/>
    <row r="36179" customFormat="1" x14ac:dyDescent="0.2"/>
    <row r="36180" customFormat="1" x14ac:dyDescent="0.2"/>
    <row r="36181" customFormat="1" x14ac:dyDescent="0.2"/>
    <row r="36182" customFormat="1" x14ac:dyDescent="0.2"/>
    <row r="36183" customFormat="1" x14ac:dyDescent="0.2"/>
    <row r="36184" customFormat="1" x14ac:dyDescent="0.2"/>
    <row r="36185" customFormat="1" x14ac:dyDescent="0.2"/>
    <row r="36186" customFormat="1" x14ac:dyDescent="0.2"/>
    <row r="36187" customFormat="1" x14ac:dyDescent="0.2"/>
    <row r="36188" customFormat="1" x14ac:dyDescent="0.2"/>
    <row r="36189" customFormat="1" x14ac:dyDescent="0.2"/>
    <row r="36190" customFormat="1" x14ac:dyDescent="0.2"/>
    <row r="36191" customFormat="1" x14ac:dyDescent="0.2"/>
    <row r="36192" customFormat="1" x14ac:dyDescent="0.2"/>
    <row r="36193" customFormat="1" x14ac:dyDescent="0.2"/>
    <row r="36194" customFormat="1" x14ac:dyDescent="0.2"/>
    <row r="36195" customFormat="1" x14ac:dyDescent="0.2"/>
    <row r="36196" customFormat="1" x14ac:dyDescent="0.2"/>
    <row r="36197" customFormat="1" x14ac:dyDescent="0.2"/>
    <row r="36198" customFormat="1" x14ac:dyDescent="0.2"/>
    <row r="36199" customFormat="1" x14ac:dyDescent="0.2"/>
    <row r="36200" customFormat="1" x14ac:dyDescent="0.2"/>
    <row r="36201" customFormat="1" x14ac:dyDescent="0.2"/>
    <row r="36202" customFormat="1" x14ac:dyDescent="0.2"/>
    <row r="36203" customFormat="1" x14ac:dyDescent="0.2"/>
    <row r="36204" customFormat="1" x14ac:dyDescent="0.2"/>
    <row r="36205" customFormat="1" x14ac:dyDescent="0.2"/>
    <row r="36206" customFormat="1" x14ac:dyDescent="0.2"/>
    <row r="36207" customFormat="1" x14ac:dyDescent="0.2"/>
    <row r="36208" customFormat="1" x14ac:dyDescent="0.2"/>
    <row r="36209" customFormat="1" x14ac:dyDescent="0.2"/>
    <row r="36210" customFormat="1" x14ac:dyDescent="0.2"/>
    <row r="36211" customFormat="1" x14ac:dyDescent="0.2"/>
    <row r="36212" customFormat="1" x14ac:dyDescent="0.2"/>
    <row r="36213" customFormat="1" x14ac:dyDescent="0.2"/>
    <row r="36214" customFormat="1" x14ac:dyDescent="0.2"/>
    <row r="36215" customFormat="1" x14ac:dyDescent="0.2"/>
    <row r="36216" customFormat="1" x14ac:dyDescent="0.2"/>
    <row r="36217" customFormat="1" x14ac:dyDescent="0.2"/>
    <row r="36218" customFormat="1" x14ac:dyDescent="0.2"/>
    <row r="36219" customFormat="1" x14ac:dyDescent="0.2"/>
    <row r="36220" customFormat="1" x14ac:dyDescent="0.2"/>
    <row r="36221" customFormat="1" x14ac:dyDescent="0.2"/>
    <row r="36222" customFormat="1" x14ac:dyDescent="0.2"/>
    <row r="36223" customFormat="1" x14ac:dyDescent="0.2"/>
    <row r="36224" customFormat="1" x14ac:dyDescent="0.2"/>
    <row r="36225" customFormat="1" x14ac:dyDescent="0.2"/>
    <row r="36226" customFormat="1" x14ac:dyDescent="0.2"/>
    <row r="36227" customFormat="1" x14ac:dyDescent="0.2"/>
    <row r="36228" customFormat="1" x14ac:dyDescent="0.2"/>
    <row r="36229" customFormat="1" x14ac:dyDescent="0.2"/>
    <row r="36230" customFormat="1" x14ac:dyDescent="0.2"/>
    <row r="36231" customFormat="1" x14ac:dyDescent="0.2"/>
    <row r="36232" customFormat="1" x14ac:dyDescent="0.2"/>
    <row r="36233" customFormat="1" x14ac:dyDescent="0.2"/>
    <row r="36234" customFormat="1" x14ac:dyDescent="0.2"/>
    <row r="36235" customFormat="1" x14ac:dyDescent="0.2"/>
    <row r="36236" customFormat="1" x14ac:dyDescent="0.2"/>
    <row r="36237" customFormat="1" x14ac:dyDescent="0.2"/>
    <row r="36238" customFormat="1" x14ac:dyDescent="0.2"/>
    <row r="36239" customFormat="1" x14ac:dyDescent="0.2"/>
    <row r="36240" customFormat="1" x14ac:dyDescent="0.2"/>
    <row r="36241" customFormat="1" x14ac:dyDescent="0.2"/>
    <row r="36242" customFormat="1" x14ac:dyDescent="0.2"/>
    <row r="36243" customFormat="1" x14ac:dyDescent="0.2"/>
    <row r="36244" customFormat="1" x14ac:dyDescent="0.2"/>
    <row r="36245" customFormat="1" x14ac:dyDescent="0.2"/>
    <row r="36246" customFormat="1" x14ac:dyDescent="0.2"/>
    <row r="36247" customFormat="1" x14ac:dyDescent="0.2"/>
    <row r="36248" customFormat="1" x14ac:dyDescent="0.2"/>
    <row r="36249" customFormat="1" x14ac:dyDescent="0.2"/>
    <row r="36250" customFormat="1" x14ac:dyDescent="0.2"/>
    <row r="36251" customFormat="1" x14ac:dyDescent="0.2"/>
    <row r="36252" customFormat="1" x14ac:dyDescent="0.2"/>
    <row r="36253" customFormat="1" x14ac:dyDescent="0.2"/>
    <row r="36254" customFormat="1" x14ac:dyDescent="0.2"/>
    <row r="36255" customFormat="1" x14ac:dyDescent="0.2"/>
    <row r="36256" customFormat="1" x14ac:dyDescent="0.2"/>
    <row r="36257" customFormat="1" x14ac:dyDescent="0.2"/>
    <row r="36258" customFormat="1" x14ac:dyDescent="0.2"/>
    <row r="36259" customFormat="1" x14ac:dyDescent="0.2"/>
    <row r="36260" customFormat="1" x14ac:dyDescent="0.2"/>
    <row r="36261" customFormat="1" x14ac:dyDescent="0.2"/>
    <row r="36262" customFormat="1" x14ac:dyDescent="0.2"/>
    <row r="36263" customFormat="1" x14ac:dyDescent="0.2"/>
    <row r="36264" customFormat="1" x14ac:dyDescent="0.2"/>
    <row r="36265" customFormat="1" x14ac:dyDescent="0.2"/>
    <row r="36266" customFormat="1" x14ac:dyDescent="0.2"/>
    <row r="36267" customFormat="1" x14ac:dyDescent="0.2"/>
    <row r="36268" customFormat="1" x14ac:dyDescent="0.2"/>
    <row r="36269" customFormat="1" x14ac:dyDescent="0.2"/>
    <row r="36270" customFormat="1" x14ac:dyDescent="0.2"/>
    <row r="36271" customFormat="1" x14ac:dyDescent="0.2"/>
    <row r="36272" customFormat="1" x14ac:dyDescent="0.2"/>
    <row r="36273" customFormat="1" x14ac:dyDescent="0.2"/>
    <row r="36274" customFormat="1" x14ac:dyDescent="0.2"/>
    <row r="36275" customFormat="1" x14ac:dyDescent="0.2"/>
    <row r="36276" customFormat="1" x14ac:dyDescent="0.2"/>
    <row r="36277" customFormat="1" x14ac:dyDescent="0.2"/>
    <row r="36278" customFormat="1" x14ac:dyDescent="0.2"/>
    <row r="36279" customFormat="1" x14ac:dyDescent="0.2"/>
    <row r="36280" customFormat="1" x14ac:dyDescent="0.2"/>
    <row r="36281" customFormat="1" x14ac:dyDescent="0.2"/>
    <row r="36282" customFormat="1" x14ac:dyDescent="0.2"/>
    <row r="36283" customFormat="1" x14ac:dyDescent="0.2"/>
    <row r="36284" customFormat="1" x14ac:dyDescent="0.2"/>
    <row r="36285" customFormat="1" x14ac:dyDescent="0.2"/>
    <row r="36286" customFormat="1" x14ac:dyDescent="0.2"/>
    <row r="36287" customFormat="1" x14ac:dyDescent="0.2"/>
    <row r="36288" customFormat="1" x14ac:dyDescent="0.2"/>
    <row r="36289" customFormat="1" x14ac:dyDescent="0.2"/>
    <row r="36290" customFormat="1" x14ac:dyDescent="0.2"/>
    <row r="36291" customFormat="1" x14ac:dyDescent="0.2"/>
    <row r="36292" customFormat="1" x14ac:dyDescent="0.2"/>
    <row r="36293" customFormat="1" x14ac:dyDescent="0.2"/>
    <row r="36294" customFormat="1" x14ac:dyDescent="0.2"/>
    <row r="36295" customFormat="1" x14ac:dyDescent="0.2"/>
    <row r="36296" customFormat="1" x14ac:dyDescent="0.2"/>
    <row r="36297" customFormat="1" x14ac:dyDescent="0.2"/>
    <row r="36298" customFormat="1" x14ac:dyDescent="0.2"/>
    <row r="36299" customFormat="1" x14ac:dyDescent="0.2"/>
    <row r="36300" customFormat="1" x14ac:dyDescent="0.2"/>
    <row r="36301" customFormat="1" x14ac:dyDescent="0.2"/>
    <row r="36302" customFormat="1" x14ac:dyDescent="0.2"/>
    <row r="36303" customFormat="1" x14ac:dyDescent="0.2"/>
    <row r="36304" customFormat="1" x14ac:dyDescent="0.2"/>
    <row r="36305" customFormat="1" x14ac:dyDescent="0.2"/>
    <row r="36306" customFormat="1" x14ac:dyDescent="0.2"/>
    <row r="36307" customFormat="1" x14ac:dyDescent="0.2"/>
    <row r="36308" customFormat="1" x14ac:dyDescent="0.2"/>
    <row r="36309" customFormat="1" x14ac:dyDescent="0.2"/>
    <row r="36310" customFormat="1" x14ac:dyDescent="0.2"/>
    <row r="36311" customFormat="1" x14ac:dyDescent="0.2"/>
    <row r="36312" customFormat="1" x14ac:dyDescent="0.2"/>
    <row r="36313" customFormat="1" x14ac:dyDescent="0.2"/>
    <row r="36314" customFormat="1" x14ac:dyDescent="0.2"/>
    <row r="36315" customFormat="1" x14ac:dyDescent="0.2"/>
    <row r="36316" customFormat="1" x14ac:dyDescent="0.2"/>
    <row r="36317" customFormat="1" x14ac:dyDescent="0.2"/>
    <row r="36318" customFormat="1" x14ac:dyDescent="0.2"/>
    <row r="36319" customFormat="1" x14ac:dyDescent="0.2"/>
    <row r="36320" customFormat="1" x14ac:dyDescent="0.2"/>
    <row r="36321" customFormat="1" x14ac:dyDescent="0.2"/>
    <row r="36322" customFormat="1" x14ac:dyDescent="0.2"/>
    <row r="36323" customFormat="1" x14ac:dyDescent="0.2"/>
    <row r="36324" customFormat="1" x14ac:dyDescent="0.2"/>
    <row r="36325" customFormat="1" x14ac:dyDescent="0.2"/>
    <row r="36326" customFormat="1" x14ac:dyDescent="0.2"/>
    <row r="36327" customFormat="1" x14ac:dyDescent="0.2"/>
    <row r="36328" customFormat="1" x14ac:dyDescent="0.2"/>
    <row r="36329" customFormat="1" x14ac:dyDescent="0.2"/>
    <row r="36330" customFormat="1" x14ac:dyDescent="0.2"/>
    <row r="36331" customFormat="1" x14ac:dyDescent="0.2"/>
    <row r="36332" customFormat="1" x14ac:dyDescent="0.2"/>
    <row r="36333" customFormat="1" x14ac:dyDescent="0.2"/>
    <row r="36334" customFormat="1" x14ac:dyDescent="0.2"/>
    <row r="36335" customFormat="1" x14ac:dyDescent="0.2"/>
    <row r="36336" customFormat="1" x14ac:dyDescent="0.2"/>
    <row r="36337" customFormat="1" x14ac:dyDescent="0.2"/>
    <row r="36338" customFormat="1" x14ac:dyDescent="0.2"/>
    <row r="36339" customFormat="1" x14ac:dyDescent="0.2"/>
    <row r="36340" customFormat="1" x14ac:dyDescent="0.2"/>
    <row r="36341" customFormat="1" x14ac:dyDescent="0.2"/>
    <row r="36342" customFormat="1" x14ac:dyDescent="0.2"/>
    <row r="36343" customFormat="1" x14ac:dyDescent="0.2"/>
    <row r="36344" customFormat="1" x14ac:dyDescent="0.2"/>
    <row r="36345" customFormat="1" x14ac:dyDescent="0.2"/>
    <row r="36346" customFormat="1" x14ac:dyDescent="0.2"/>
    <row r="36347" customFormat="1" x14ac:dyDescent="0.2"/>
    <row r="36348" customFormat="1" x14ac:dyDescent="0.2"/>
    <row r="36349" customFormat="1" x14ac:dyDescent="0.2"/>
    <row r="36350" customFormat="1" x14ac:dyDescent="0.2"/>
    <row r="36351" customFormat="1" x14ac:dyDescent="0.2"/>
    <row r="36352" customFormat="1" x14ac:dyDescent="0.2"/>
    <row r="36353" customFormat="1" x14ac:dyDescent="0.2"/>
    <row r="36354" customFormat="1" x14ac:dyDescent="0.2"/>
    <row r="36355" customFormat="1" x14ac:dyDescent="0.2"/>
    <row r="36356" customFormat="1" x14ac:dyDescent="0.2"/>
    <row r="36357" customFormat="1" x14ac:dyDescent="0.2"/>
    <row r="36358" customFormat="1" x14ac:dyDescent="0.2"/>
    <row r="36359" customFormat="1" x14ac:dyDescent="0.2"/>
    <row r="36360" customFormat="1" x14ac:dyDescent="0.2"/>
    <row r="36361" customFormat="1" x14ac:dyDescent="0.2"/>
    <row r="36362" customFormat="1" x14ac:dyDescent="0.2"/>
    <row r="36363" customFormat="1" x14ac:dyDescent="0.2"/>
    <row r="36364" customFormat="1" x14ac:dyDescent="0.2"/>
    <row r="36365" customFormat="1" x14ac:dyDescent="0.2"/>
    <row r="36366" customFormat="1" x14ac:dyDescent="0.2"/>
    <row r="36367" customFormat="1" x14ac:dyDescent="0.2"/>
    <row r="36368" customFormat="1" x14ac:dyDescent="0.2"/>
    <row r="36369" customFormat="1" x14ac:dyDescent="0.2"/>
    <row r="36370" customFormat="1" x14ac:dyDescent="0.2"/>
    <row r="36371" customFormat="1" x14ac:dyDescent="0.2"/>
    <row r="36372" customFormat="1" x14ac:dyDescent="0.2"/>
    <row r="36373" customFormat="1" x14ac:dyDescent="0.2"/>
    <row r="36374" customFormat="1" x14ac:dyDescent="0.2"/>
    <row r="36375" customFormat="1" x14ac:dyDescent="0.2"/>
    <row r="36376" customFormat="1" x14ac:dyDescent="0.2"/>
    <row r="36377" customFormat="1" x14ac:dyDescent="0.2"/>
    <row r="36378" customFormat="1" x14ac:dyDescent="0.2"/>
    <row r="36379" customFormat="1" x14ac:dyDescent="0.2"/>
    <row r="36380" customFormat="1" x14ac:dyDescent="0.2"/>
    <row r="36381" customFormat="1" x14ac:dyDescent="0.2"/>
    <row r="36382" customFormat="1" x14ac:dyDescent="0.2"/>
    <row r="36383" customFormat="1" x14ac:dyDescent="0.2"/>
    <row r="36384" customFormat="1" x14ac:dyDescent="0.2"/>
    <row r="36385" customFormat="1" x14ac:dyDescent="0.2"/>
    <row r="36386" customFormat="1" x14ac:dyDescent="0.2"/>
    <row r="36387" customFormat="1" x14ac:dyDescent="0.2"/>
    <row r="36388" customFormat="1" x14ac:dyDescent="0.2"/>
    <row r="36389" customFormat="1" x14ac:dyDescent="0.2"/>
    <row r="36390" customFormat="1" x14ac:dyDescent="0.2"/>
    <row r="36391" customFormat="1" x14ac:dyDescent="0.2"/>
    <row r="36392" customFormat="1" x14ac:dyDescent="0.2"/>
    <row r="36393" customFormat="1" x14ac:dyDescent="0.2"/>
    <row r="36394" customFormat="1" x14ac:dyDescent="0.2"/>
    <row r="36395" customFormat="1" x14ac:dyDescent="0.2"/>
    <row r="36396" customFormat="1" x14ac:dyDescent="0.2"/>
    <row r="36397" customFormat="1" x14ac:dyDescent="0.2"/>
    <row r="36398" customFormat="1" x14ac:dyDescent="0.2"/>
    <row r="36399" customFormat="1" x14ac:dyDescent="0.2"/>
    <row r="36400" customFormat="1" x14ac:dyDescent="0.2"/>
    <row r="36401" customFormat="1" x14ac:dyDescent="0.2"/>
    <row r="36402" customFormat="1" x14ac:dyDescent="0.2"/>
    <row r="36403" customFormat="1" x14ac:dyDescent="0.2"/>
    <row r="36404" customFormat="1" x14ac:dyDescent="0.2"/>
    <row r="36405" customFormat="1" x14ac:dyDescent="0.2"/>
    <row r="36406" customFormat="1" x14ac:dyDescent="0.2"/>
    <row r="36407" customFormat="1" x14ac:dyDescent="0.2"/>
    <row r="36408" customFormat="1" x14ac:dyDescent="0.2"/>
    <row r="36409" customFormat="1" x14ac:dyDescent="0.2"/>
    <row r="36410" customFormat="1" x14ac:dyDescent="0.2"/>
    <row r="36411" customFormat="1" x14ac:dyDescent="0.2"/>
    <row r="36412" customFormat="1" x14ac:dyDescent="0.2"/>
    <row r="36413" customFormat="1" x14ac:dyDescent="0.2"/>
    <row r="36414" customFormat="1" x14ac:dyDescent="0.2"/>
    <row r="36415" customFormat="1" x14ac:dyDescent="0.2"/>
    <row r="36416" customFormat="1" x14ac:dyDescent="0.2"/>
    <row r="36417" customFormat="1" x14ac:dyDescent="0.2"/>
    <row r="36418" customFormat="1" x14ac:dyDescent="0.2"/>
    <row r="36419" customFormat="1" x14ac:dyDescent="0.2"/>
    <row r="36420" customFormat="1" x14ac:dyDescent="0.2"/>
    <row r="36421" customFormat="1" x14ac:dyDescent="0.2"/>
    <row r="36422" customFormat="1" x14ac:dyDescent="0.2"/>
    <row r="36423" customFormat="1" x14ac:dyDescent="0.2"/>
    <row r="36424" customFormat="1" x14ac:dyDescent="0.2"/>
    <row r="36425" customFormat="1" x14ac:dyDescent="0.2"/>
    <row r="36426" customFormat="1" x14ac:dyDescent="0.2"/>
    <row r="36427" customFormat="1" x14ac:dyDescent="0.2"/>
    <row r="36428" customFormat="1" x14ac:dyDescent="0.2"/>
    <row r="36429" customFormat="1" x14ac:dyDescent="0.2"/>
    <row r="36430" customFormat="1" x14ac:dyDescent="0.2"/>
    <row r="36431" customFormat="1" x14ac:dyDescent="0.2"/>
    <row r="36432" customFormat="1" x14ac:dyDescent="0.2"/>
    <row r="36433" customFormat="1" x14ac:dyDescent="0.2"/>
    <row r="36434" customFormat="1" x14ac:dyDescent="0.2"/>
    <row r="36435" customFormat="1" x14ac:dyDescent="0.2"/>
    <row r="36436" customFormat="1" x14ac:dyDescent="0.2"/>
    <row r="36437" customFormat="1" x14ac:dyDescent="0.2"/>
    <row r="36438" customFormat="1" x14ac:dyDescent="0.2"/>
    <row r="36439" customFormat="1" x14ac:dyDescent="0.2"/>
    <row r="36440" customFormat="1" x14ac:dyDescent="0.2"/>
    <row r="36441" customFormat="1" x14ac:dyDescent="0.2"/>
    <row r="36442" customFormat="1" x14ac:dyDescent="0.2"/>
    <row r="36443" customFormat="1" x14ac:dyDescent="0.2"/>
    <row r="36444" customFormat="1" x14ac:dyDescent="0.2"/>
    <row r="36445" customFormat="1" x14ac:dyDescent="0.2"/>
    <row r="36446" customFormat="1" x14ac:dyDescent="0.2"/>
    <row r="36447" customFormat="1" x14ac:dyDescent="0.2"/>
    <row r="36448" customFormat="1" x14ac:dyDescent="0.2"/>
    <row r="36449" customFormat="1" x14ac:dyDescent="0.2"/>
    <row r="36450" customFormat="1" x14ac:dyDescent="0.2"/>
    <row r="36451" customFormat="1" x14ac:dyDescent="0.2"/>
    <row r="36452" customFormat="1" x14ac:dyDescent="0.2"/>
    <row r="36453" customFormat="1" x14ac:dyDescent="0.2"/>
    <row r="36454" customFormat="1" x14ac:dyDescent="0.2"/>
    <row r="36455" customFormat="1" x14ac:dyDescent="0.2"/>
    <row r="36456" customFormat="1" x14ac:dyDescent="0.2"/>
    <row r="36457" customFormat="1" x14ac:dyDescent="0.2"/>
    <row r="36458" customFormat="1" x14ac:dyDescent="0.2"/>
    <row r="36459" customFormat="1" x14ac:dyDescent="0.2"/>
    <row r="36460" customFormat="1" x14ac:dyDescent="0.2"/>
    <row r="36461" customFormat="1" x14ac:dyDescent="0.2"/>
    <row r="36462" customFormat="1" x14ac:dyDescent="0.2"/>
    <row r="36463" customFormat="1" x14ac:dyDescent="0.2"/>
    <row r="36464" customFormat="1" x14ac:dyDescent="0.2"/>
    <row r="36465" customFormat="1" x14ac:dyDescent="0.2"/>
    <row r="36466" customFormat="1" x14ac:dyDescent="0.2"/>
    <row r="36467" customFormat="1" x14ac:dyDescent="0.2"/>
    <row r="36468" customFormat="1" x14ac:dyDescent="0.2"/>
    <row r="36469" customFormat="1" x14ac:dyDescent="0.2"/>
    <row r="36470" customFormat="1" x14ac:dyDescent="0.2"/>
    <row r="36471" customFormat="1" x14ac:dyDescent="0.2"/>
    <row r="36472" customFormat="1" x14ac:dyDescent="0.2"/>
    <row r="36473" customFormat="1" x14ac:dyDescent="0.2"/>
    <row r="36474" customFormat="1" x14ac:dyDescent="0.2"/>
    <row r="36475" customFormat="1" x14ac:dyDescent="0.2"/>
    <row r="36476" customFormat="1" x14ac:dyDescent="0.2"/>
    <row r="36477" customFormat="1" x14ac:dyDescent="0.2"/>
    <row r="36478" customFormat="1" x14ac:dyDescent="0.2"/>
    <row r="36479" customFormat="1" x14ac:dyDescent="0.2"/>
    <row r="36480" customFormat="1" x14ac:dyDescent="0.2"/>
    <row r="36481" customFormat="1" x14ac:dyDescent="0.2"/>
    <row r="36482" customFormat="1" x14ac:dyDescent="0.2"/>
    <row r="36483" customFormat="1" x14ac:dyDescent="0.2"/>
    <row r="36484" customFormat="1" x14ac:dyDescent="0.2"/>
    <row r="36485" customFormat="1" x14ac:dyDescent="0.2"/>
    <row r="36486" customFormat="1" x14ac:dyDescent="0.2"/>
    <row r="36487" customFormat="1" x14ac:dyDescent="0.2"/>
    <row r="36488" customFormat="1" x14ac:dyDescent="0.2"/>
    <row r="36489" customFormat="1" x14ac:dyDescent="0.2"/>
    <row r="36490" customFormat="1" x14ac:dyDescent="0.2"/>
    <row r="36491" customFormat="1" x14ac:dyDescent="0.2"/>
    <row r="36492" customFormat="1" x14ac:dyDescent="0.2"/>
    <row r="36493" customFormat="1" x14ac:dyDescent="0.2"/>
    <row r="36494" customFormat="1" x14ac:dyDescent="0.2"/>
    <row r="36495" customFormat="1" x14ac:dyDescent="0.2"/>
    <row r="36496" customFormat="1" x14ac:dyDescent="0.2"/>
    <row r="36497" customFormat="1" x14ac:dyDescent="0.2"/>
    <row r="36498" customFormat="1" x14ac:dyDescent="0.2"/>
    <row r="36499" customFormat="1" x14ac:dyDescent="0.2"/>
    <row r="36500" customFormat="1" x14ac:dyDescent="0.2"/>
    <row r="36501" customFormat="1" x14ac:dyDescent="0.2"/>
    <row r="36502" customFormat="1" x14ac:dyDescent="0.2"/>
    <row r="36503" customFormat="1" x14ac:dyDescent="0.2"/>
    <row r="36504" customFormat="1" x14ac:dyDescent="0.2"/>
    <row r="36505" customFormat="1" x14ac:dyDescent="0.2"/>
    <row r="36506" customFormat="1" x14ac:dyDescent="0.2"/>
    <row r="36507" customFormat="1" x14ac:dyDescent="0.2"/>
    <row r="36508" customFormat="1" x14ac:dyDescent="0.2"/>
    <row r="36509" customFormat="1" x14ac:dyDescent="0.2"/>
    <row r="36510" customFormat="1" x14ac:dyDescent="0.2"/>
    <row r="36511" customFormat="1" x14ac:dyDescent="0.2"/>
    <row r="36512" customFormat="1" x14ac:dyDescent="0.2"/>
    <row r="36513" customFormat="1" x14ac:dyDescent="0.2"/>
    <row r="36514" customFormat="1" x14ac:dyDescent="0.2"/>
    <row r="36515" customFormat="1" x14ac:dyDescent="0.2"/>
    <row r="36516" customFormat="1" x14ac:dyDescent="0.2"/>
    <row r="36517" customFormat="1" x14ac:dyDescent="0.2"/>
    <row r="36518" customFormat="1" x14ac:dyDescent="0.2"/>
    <row r="36519" customFormat="1" x14ac:dyDescent="0.2"/>
    <row r="36520" customFormat="1" x14ac:dyDescent="0.2"/>
    <row r="36521" customFormat="1" x14ac:dyDescent="0.2"/>
    <row r="36522" customFormat="1" x14ac:dyDescent="0.2"/>
    <row r="36523" customFormat="1" x14ac:dyDescent="0.2"/>
    <row r="36524" customFormat="1" x14ac:dyDescent="0.2"/>
    <row r="36525" customFormat="1" x14ac:dyDescent="0.2"/>
    <row r="36526" customFormat="1" x14ac:dyDescent="0.2"/>
    <row r="36527" customFormat="1" x14ac:dyDescent="0.2"/>
    <row r="36528" customFormat="1" x14ac:dyDescent="0.2"/>
    <row r="36529" customFormat="1" x14ac:dyDescent="0.2"/>
    <row r="36530" customFormat="1" x14ac:dyDescent="0.2"/>
    <row r="36531" customFormat="1" x14ac:dyDescent="0.2"/>
    <row r="36532" customFormat="1" x14ac:dyDescent="0.2"/>
    <row r="36533" customFormat="1" x14ac:dyDescent="0.2"/>
    <row r="36534" customFormat="1" x14ac:dyDescent="0.2"/>
    <row r="36535" customFormat="1" x14ac:dyDescent="0.2"/>
    <row r="36536" customFormat="1" x14ac:dyDescent="0.2"/>
    <row r="36537" customFormat="1" x14ac:dyDescent="0.2"/>
    <row r="36538" customFormat="1" x14ac:dyDescent="0.2"/>
    <row r="36539" customFormat="1" x14ac:dyDescent="0.2"/>
    <row r="36540" customFormat="1" x14ac:dyDescent="0.2"/>
    <row r="36541" customFormat="1" x14ac:dyDescent="0.2"/>
    <row r="36542" customFormat="1" x14ac:dyDescent="0.2"/>
    <row r="36543" customFormat="1" x14ac:dyDescent="0.2"/>
    <row r="36544" customFormat="1" x14ac:dyDescent="0.2"/>
    <row r="36545" customFormat="1" x14ac:dyDescent="0.2"/>
    <row r="36546" customFormat="1" x14ac:dyDescent="0.2"/>
    <row r="36547" customFormat="1" x14ac:dyDescent="0.2"/>
    <row r="36548" customFormat="1" x14ac:dyDescent="0.2"/>
    <row r="36549" customFormat="1" x14ac:dyDescent="0.2"/>
    <row r="36550" customFormat="1" x14ac:dyDescent="0.2"/>
    <row r="36551" customFormat="1" x14ac:dyDescent="0.2"/>
    <row r="36552" customFormat="1" x14ac:dyDescent="0.2"/>
    <row r="36553" customFormat="1" x14ac:dyDescent="0.2"/>
    <row r="36554" customFormat="1" x14ac:dyDescent="0.2"/>
    <row r="36555" customFormat="1" x14ac:dyDescent="0.2"/>
    <row r="36556" customFormat="1" x14ac:dyDescent="0.2"/>
    <row r="36557" customFormat="1" x14ac:dyDescent="0.2"/>
    <row r="36558" customFormat="1" x14ac:dyDescent="0.2"/>
    <row r="36559" customFormat="1" x14ac:dyDescent="0.2"/>
    <row r="36560" customFormat="1" x14ac:dyDescent="0.2"/>
    <row r="36561" customFormat="1" x14ac:dyDescent="0.2"/>
    <row r="36562" customFormat="1" x14ac:dyDescent="0.2"/>
    <row r="36563" customFormat="1" x14ac:dyDescent="0.2"/>
    <row r="36564" customFormat="1" x14ac:dyDescent="0.2"/>
    <row r="36565" customFormat="1" x14ac:dyDescent="0.2"/>
    <row r="36566" customFormat="1" x14ac:dyDescent="0.2"/>
    <row r="36567" customFormat="1" x14ac:dyDescent="0.2"/>
    <row r="36568" customFormat="1" x14ac:dyDescent="0.2"/>
    <row r="36569" customFormat="1" x14ac:dyDescent="0.2"/>
    <row r="36570" customFormat="1" x14ac:dyDescent="0.2"/>
    <row r="36571" customFormat="1" x14ac:dyDescent="0.2"/>
    <row r="36572" customFormat="1" x14ac:dyDescent="0.2"/>
    <row r="36573" customFormat="1" x14ac:dyDescent="0.2"/>
    <row r="36574" customFormat="1" x14ac:dyDescent="0.2"/>
    <row r="36575" customFormat="1" x14ac:dyDescent="0.2"/>
    <row r="36576" customFormat="1" x14ac:dyDescent="0.2"/>
    <row r="36577" customFormat="1" x14ac:dyDescent="0.2"/>
    <row r="36578" customFormat="1" x14ac:dyDescent="0.2"/>
    <row r="36579" customFormat="1" x14ac:dyDescent="0.2"/>
    <row r="36580" customFormat="1" x14ac:dyDescent="0.2"/>
    <row r="36581" customFormat="1" x14ac:dyDescent="0.2"/>
    <row r="36582" customFormat="1" x14ac:dyDescent="0.2"/>
    <row r="36583" customFormat="1" x14ac:dyDescent="0.2"/>
    <row r="36584" customFormat="1" x14ac:dyDescent="0.2"/>
    <row r="36585" customFormat="1" x14ac:dyDescent="0.2"/>
    <row r="36586" customFormat="1" x14ac:dyDescent="0.2"/>
    <row r="36587" customFormat="1" x14ac:dyDescent="0.2"/>
    <row r="36588" customFormat="1" x14ac:dyDescent="0.2"/>
    <row r="36589" customFormat="1" x14ac:dyDescent="0.2"/>
    <row r="36590" customFormat="1" x14ac:dyDescent="0.2"/>
    <row r="36591" customFormat="1" x14ac:dyDescent="0.2"/>
    <row r="36592" customFormat="1" x14ac:dyDescent="0.2"/>
    <row r="36593" customFormat="1" x14ac:dyDescent="0.2"/>
    <row r="36594" customFormat="1" x14ac:dyDescent="0.2"/>
    <row r="36595" customFormat="1" x14ac:dyDescent="0.2"/>
    <row r="36596" customFormat="1" x14ac:dyDescent="0.2"/>
    <row r="36597" customFormat="1" x14ac:dyDescent="0.2"/>
    <row r="36598" customFormat="1" x14ac:dyDescent="0.2"/>
    <row r="36599" customFormat="1" x14ac:dyDescent="0.2"/>
    <row r="36600" customFormat="1" x14ac:dyDescent="0.2"/>
    <row r="36601" customFormat="1" x14ac:dyDescent="0.2"/>
    <row r="36602" customFormat="1" x14ac:dyDescent="0.2"/>
    <row r="36603" customFormat="1" x14ac:dyDescent="0.2"/>
    <row r="36604" customFormat="1" x14ac:dyDescent="0.2"/>
    <row r="36605" customFormat="1" x14ac:dyDescent="0.2"/>
    <row r="36606" customFormat="1" x14ac:dyDescent="0.2"/>
    <row r="36607" customFormat="1" x14ac:dyDescent="0.2"/>
    <row r="36608" customFormat="1" x14ac:dyDescent="0.2"/>
    <row r="36609" customFormat="1" x14ac:dyDescent="0.2"/>
    <row r="36610" customFormat="1" x14ac:dyDescent="0.2"/>
    <row r="36611" customFormat="1" x14ac:dyDescent="0.2"/>
    <row r="36612" customFormat="1" x14ac:dyDescent="0.2"/>
    <row r="36613" customFormat="1" x14ac:dyDescent="0.2"/>
    <row r="36614" customFormat="1" x14ac:dyDescent="0.2"/>
    <row r="36615" customFormat="1" x14ac:dyDescent="0.2"/>
    <row r="36616" customFormat="1" x14ac:dyDescent="0.2"/>
    <row r="36617" customFormat="1" x14ac:dyDescent="0.2"/>
    <row r="36618" customFormat="1" x14ac:dyDescent="0.2"/>
    <row r="36619" customFormat="1" x14ac:dyDescent="0.2"/>
    <row r="36620" customFormat="1" x14ac:dyDescent="0.2"/>
    <row r="36621" customFormat="1" x14ac:dyDescent="0.2"/>
    <row r="36622" customFormat="1" x14ac:dyDescent="0.2"/>
    <row r="36623" customFormat="1" x14ac:dyDescent="0.2"/>
    <row r="36624" customFormat="1" x14ac:dyDescent="0.2"/>
    <row r="36625" customFormat="1" x14ac:dyDescent="0.2"/>
    <row r="36626" customFormat="1" x14ac:dyDescent="0.2"/>
    <row r="36627" customFormat="1" x14ac:dyDescent="0.2"/>
    <row r="36628" customFormat="1" x14ac:dyDescent="0.2"/>
    <row r="36629" customFormat="1" x14ac:dyDescent="0.2"/>
    <row r="36630" customFormat="1" x14ac:dyDescent="0.2"/>
    <row r="36631" customFormat="1" x14ac:dyDescent="0.2"/>
    <row r="36632" customFormat="1" x14ac:dyDescent="0.2"/>
    <row r="36633" customFormat="1" x14ac:dyDescent="0.2"/>
    <row r="36634" customFormat="1" x14ac:dyDescent="0.2"/>
    <row r="36635" customFormat="1" x14ac:dyDescent="0.2"/>
    <row r="36636" customFormat="1" x14ac:dyDescent="0.2"/>
    <row r="36637" customFormat="1" x14ac:dyDescent="0.2"/>
    <row r="36638" customFormat="1" x14ac:dyDescent="0.2"/>
    <row r="36639" customFormat="1" x14ac:dyDescent="0.2"/>
    <row r="36640" customFormat="1" x14ac:dyDescent="0.2"/>
    <row r="36641" customFormat="1" x14ac:dyDescent="0.2"/>
    <row r="36642" customFormat="1" x14ac:dyDescent="0.2"/>
    <row r="36643" customFormat="1" x14ac:dyDescent="0.2"/>
    <row r="36644" customFormat="1" x14ac:dyDescent="0.2"/>
    <row r="36645" customFormat="1" x14ac:dyDescent="0.2"/>
    <row r="36646" customFormat="1" x14ac:dyDescent="0.2"/>
    <row r="36647" customFormat="1" x14ac:dyDescent="0.2"/>
    <row r="36648" customFormat="1" x14ac:dyDescent="0.2"/>
    <row r="36649" customFormat="1" x14ac:dyDescent="0.2"/>
    <row r="36650" customFormat="1" x14ac:dyDescent="0.2"/>
    <row r="36651" customFormat="1" x14ac:dyDescent="0.2"/>
    <row r="36652" customFormat="1" x14ac:dyDescent="0.2"/>
    <row r="36653" customFormat="1" x14ac:dyDescent="0.2"/>
    <row r="36654" customFormat="1" x14ac:dyDescent="0.2"/>
    <row r="36655" customFormat="1" x14ac:dyDescent="0.2"/>
    <row r="36656" customFormat="1" x14ac:dyDescent="0.2"/>
    <row r="36657" customFormat="1" x14ac:dyDescent="0.2"/>
    <row r="36658" customFormat="1" x14ac:dyDescent="0.2"/>
    <row r="36659" customFormat="1" x14ac:dyDescent="0.2"/>
    <row r="36660" customFormat="1" x14ac:dyDescent="0.2"/>
    <row r="36661" customFormat="1" x14ac:dyDescent="0.2"/>
    <row r="36662" customFormat="1" x14ac:dyDescent="0.2"/>
    <row r="36663" customFormat="1" x14ac:dyDescent="0.2"/>
    <row r="36664" customFormat="1" x14ac:dyDescent="0.2"/>
    <row r="36665" customFormat="1" x14ac:dyDescent="0.2"/>
    <row r="36666" customFormat="1" x14ac:dyDescent="0.2"/>
    <row r="36667" customFormat="1" x14ac:dyDescent="0.2"/>
    <row r="36668" customFormat="1" x14ac:dyDescent="0.2"/>
    <row r="36669" customFormat="1" x14ac:dyDescent="0.2"/>
    <row r="36670" customFormat="1" x14ac:dyDescent="0.2"/>
    <row r="36671" customFormat="1" x14ac:dyDescent="0.2"/>
    <row r="36672" customFormat="1" x14ac:dyDescent="0.2"/>
    <row r="36673" customFormat="1" x14ac:dyDescent="0.2"/>
    <row r="36674" customFormat="1" x14ac:dyDescent="0.2"/>
    <row r="36675" customFormat="1" x14ac:dyDescent="0.2"/>
    <row r="36676" customFormat="1" x14ac:dyDescent="0.2"/>
    <row r="36677" customFormat="1" x14ac:dyDescent="0.2"/>
    <row r="36678" customFormat="1" x14ac:dyDescent="0.2"/>
    <row r="36679" customFormat="1" x14ac:dyDescent="0.2"/>
    <row r="36680" customFormat="1" x14ac:dyDescent="0.2"/>
    <row r="36681" customFormat="1" x14ac:dyDescent="0.2"/>
    <row r="36682" customFormat="1" x14ac:dyDescent="0.2"/>
    <row r="36683" customFormat="1" x14ac:dyDescent="0.2"/>
    <row r="36684" customFormat="1" x14ac:dyDescent="0.2"/>
    <row r="36685" customFormat="1" x14ac:dyDescent="0.2"/>
    <row r="36686" customFormat="1" x14ac:dyDescent="0.2"/>
    <row r="36687" customFormat="1" x14ac:dyDescent="0.2"/>
    <row r="36688" customFormat="1" x14ac:dyDescent="0.2"/>
    <row r="36689" customFormat="1" x14ac:dyDescent="0.2"/>
    <row r="36690" customFormat="1" x14ac:dyDescent="0.2"/>
    <row r="36691" customFormat="1" x14ac:dyDescent="0.2"/>
    <row r="36692" customFormat="1" x14ac:dyDescent="0.2"/>
    <row r="36693" customFormat="1" x14ac:dyDescent="0.2"/>
    <row r="36694" customFormat="1" x14ac:dyDescent="0.2"/>
    <row r="36695" customFormat="1" x14ac:dyDescent="0.2"/>
    <row r="36696" customFormat="1" x14ac:dyDescent="0.2"/>
    <row r="36697" customFormat="1" x14ac:dyDescent="0.2"/>
    <row r="36698" customFormat="1" x14ac:dyDescent="0.2"/>
    <row r="36699" customFormat="1" x14ac:dyDescent="0.2"/>
    <row r="36700" customFormat="1" x14ac:dyDescent="0.2"/>
    <row r="36701" customFormat="1" x14ac:dyDescent="0.2"/>
    <row r="36702" customFormat="1" x14ac:dyDescent="0.2"/>
    <row r="36703" customFormat="1" x14ac:dyDescent="0.2"/>
    <row r="36704" customFormat="1" x14ac:dyDescent="0.2"/>
    <row r="36705" customFormat="1" x14ac:dyDescent="0.2"/>
    <row r="36706" customFormat="1" x14ac:dyDescent="0.2"/>
    <row r="36707" customFormat="1" x14ac:dyDescent="0.2"/>
    <row r="36708" customFormat="1" x14ac:dyDescent="0.2"/>
    <row r="36709" customFormat="1" x14ac:dyDescent="0.2"/>
    <row r="36710" customFormat="1" x14ac:dyDescent="0.2"/>
    <row r="36711" customFormat="1" x14ac:dyDescent="0.2"/>
    <row r="36712" customFormat="1" x14ac:dyDescent="0.2"/>
    <row r="36713" customFormat="1" x14ac:dyDescent="0.2"/>
    <row r="36714" customFormat="1" x14ac:dyDescent="0.2"/>
    <row r="36715" customFormat="1" x14ac:dyDescent="0.2"/>
    <row r="36716" customFormat="1" x14ac:dyDescent="0.2"/>
    <row r="36717" customFormat="1" x14ac:dyDescent="0.2"/>
    <row r="36718" customFormat="1" x14ac:dyDescent="0.2"/>
    <row r="36719" customFormat="1" x14ac:dyDescent="0.2"/>
    <row r="36720" customFormat="1" x14ac:dyDescent="0.2"/>
    <row r="36721" customFormat="1" x14ac:dyDescent="0.2"/>
    <row r="36722" customFormat="1" x14ac:dyDescent="0.2"/>
    <row r="36723" customFormat="1" x14ac:dyDescent="0.2"/>
    <row r="36724" customFormat="1" x14ac:dyDescent="0.2"/>
    <row r="36725" customFormat="1" x14ac:dyDescent="0.2"/>
    <row r="36726" customFormat="1" x14ac:dyDescent="0.2"/>
    <row r="36727" customFormat="1" x14ac:dyDescent="0.2"/>
    <row r="36728" customFormat="1" x14ac:dyDescent="0.2"/>
    <row r="36729" customFormat="1" x14ac:dyDescent="0.2"/>
    <row r="36730" customFormat="1" x14ac:dyDescent="0.2"/>
    <row r="36731" customFormat="1" x14ac:dyDescent="0.2"/>
    <row r="36732" customFormat="1" x14ac:dyDescent="0.2"/>
    <row r="36733" customFormat="1" x14ac:dyDescent="0.2"/>
    <row r="36734" customFormat="1" x14ac:dyDescent="0.2"/>
    <row r="36735" customFormat="1" x14ac:dyDescent="0.2"/>
    <row r="36736" customFormat="1" x14ac:dyDescent="0.2"/>
    <row r="36737" customFormat="1" x14ac:dyDescent="0.2"/>
    <row r="36738" customFormat="1" x14ac:dyDescent="0.2"/>
    <row r="36739" customFormat="1" x14ac:dyDescent="0.2"/>
    <row r="36740" customFormat="1" x14ac:dyDescent="0.2"/>
    <row r="36741" customFormat="1" x14ac:dyDescent="0.2"/>
    <row r="36742" customFormat="1" x14ac:dyDescent="0.2"/>
    <row r="36743" customFormat="1" x14ac:dyDescent="0.2"/>
    <row r="36744" customFormat="1" x14ac:dyDescent="0.2"/>
    <row r="36745" customFormat="1" x14ac:dyDescent="0.2"/>
    <row r="36746" customFormat="1" x14ac:dyDescent="0.2"/>
    <row r="36747" customFormat="1" x14ac:dyDescent="0.2"/>
    <row r="36748" customFormat="1" x14ac:dyDescent="0.2"/>
    <row r="36749" customFormat="1" x14ac:dyDescent="0.2"/>
    <row r="36750" customFormat="1" x14ac:dyDescent="0.2"/>
    <row r="36751" customFormat="1" x14ac:dyDescent="0.2"/>
    <row r="36752" customFormat="1" x14ac:dyDescent="0.2"/>
    <row r="36753" customFormat="1" x14ac:dyDescent="0.2"/>
    <row r="36754" customFormat="1" x14ac:dyDescent="0.2"/>
    <row r="36755" customFormat="1" x14ac:dyDescent="0.2"/>
    <row r="36756" customFormat="1" x14ac:dyDescent="0.2"/>
    <row r="36757" customFormat="1" x14ac:dyDescent="0.2"/>
    <row r="36758" customFormat="1" x14ac:dyDescent="0.2"/>
    <row r="36759" customFormat="1" x14ac:dyDescent="0.2"/>
    <row r="36760" customFormat="1" x14ac:dyDescent="0.2"/>
    <row r="36761" customFormat="1" x14ac:dyDescent="0.2"/>
    <row r="36762" customFormat="1" x14ac:dyDescent="0.2"/>
    <row r="36763" customFormat="1" x14ac:dyDescent="0.2"/>
    <row r="36764" customFormat="1" x14ac:dyDescent="0.2"/>
    <row r="36765" customFormat="1" x14ac:dyDescent="0.2"/>
    <row r="36766" customFormat="1" x14ac:dyDescent="0.2"/>
    <row r="36767" customFormat="1" x14ac:dyDescent="0.2"/>
    <row r="36768" customFormat="1" x14ac:dyDescent="0.2"/>
    <row r="36769" customFormat="1" x14ac:dyDescent="0.2"/>
    <row r="36770" customFormat="1" x14ac:dyDescent="0.2"/>
    <row r="36771" customFormat="1" x14ac:dyDescent="0.2"/>
    <row r="36772" customFormat="1" x14ac:dyDescent="0.2"/>
    <row r="36773" customFormat="1" x14ac:dyDescent="0.2"/>
    <row r="36774" customFormat="1" x14ac:dyDescent="0.2"/>
    <row r="36775" customFormat="1" x14ac:dyDescent="0.2"/>
    <row r="36776" customFormat="1" x14ac:dyDescent="0.2"/>
    <row r="36777" customFormat="1" x14ac:dyDescent="0.2"/>
    <row r="36778" customFormat="1" x14ac:dyDescent="0.2"/>
    <row r="36779" customFormat="1" x14ac:dyDescent="0.2"/>
    <row r="36780" customFormat="1" x14ac:dyDescent="0.2"/>
    <row r="36781" customFormat="1" x14ac:dyDescent="0.2"/>
    <row r="36782" customFormat="1" x14ac:dyDescent="0.2"/>
    <row r="36783" customFormat="1" x14ac:dyDescent="0.2"/>
    <row r="36784" customFormat="1" x14ac:dyDescent="0.2"/>
    <row r="36785" customFormat="1" x14ac:dyDescent="0.2"/>
    <row r="36786" customFormat="1" x14ac:dyDescent="0.2"/>
    <row r="36787" customFormat="1" x14ac:dyDescent="0.2"/>
    <row r="36788" customFormat="1" x14ac:dyDescent="0.2"/>
    <row r="36789" customFormat="1" x14ac:dyDescent="0.2"/>
    <row r="36790" customFormat="1" x14ac:dyDescent="0.2"/>
    <row r="36791" customFormat="1" x14ac:dyDescent="0.2"/>
    <row r="36792" customFormat="1" x14ac:dyDescent="0.2"/>
    <row r="36793" customFormat="1" x14ac:dyDescent="0.2"/>
    <row r="36794" customFormat="1" x14ac:dyDescent="0.2"/>
    <row r="36795" customFormat="1" x14ac:dyDescent="0.2"/>
    <row r="36796" customFormat="1" x14ac:dyDescent="0.2"/>
    <row r="36797" customFormat="1" x14ac:dyDescent="0.2"/>
    <row r="36798" customFormat="1" x14ac:dyDescent="0.2"/>
    <row r="36799" customFormat="1" x14ac:dyDescent="0.2"/>
    <row r="36800" customFormat="1" x14ac:dyDescent="0.2"/>
    <row r="36801" customFormat="1" x14ac:dyDescent="0.2"/>
    <row r="36802" customFormat="1" x14ac:dyDescent="0.2"/>
    <row r="36803" customFormat="1" x14ac:dyDescent="0.2"/>
    <row r="36804" customFormat="1" x14ac:dyDescent="0.2"/>
    <row r="36805" customFormat="1" x14ac:dyDescent="0.2"/>
    <row r="36806" customFormat="1" x14ac:dyDescent="0.2"/>
    <row r="36807" customFormat="1" x14ac:dyDescent="0.2"/>
    <row r="36808" customFormat="1" x14ac:dyDescent="0.2"/>
    <row r="36809" customFormat="1" x14ac:dyDescent="0.2"/>
    <row r="36810" customFormat="1" x14ac:dyDescent="0.2"/>
    <row r="36811" customFormat="1" x14ac:dyDescent="0.2"/>
    <row r="36812" customFormat="1" x14ac:dyDescent="0.2"/>
    <row r="36813" customFormat="1" x14ac:dyDescent="0.2"/>
    <row r="36814" customFormat="1" x14ac:dyDescent="0.2"/>
    <row r="36815" customFormat="1" x14ac:dyDescent="0.2"/>
    <row r="36816" customFormat="1" x14ac:dyDescent="0.2"/>
    <row r="36817" customFormat="1" x14ac:dyDescent="0.2"/>
    <row r="36818" customFormat="1" x14ac:dyDescent="0.2"/>
    <row r="36819" customFormat="1" x14ac:dyDescent="0.2"/>
    <row r="36820" customFormat="1" x14ac:dyDescent="0.2"/>
    <row r="36821" customFormat="1" x14ac:dyDescent="0.2"/>
    <row r="36822" customFormat="1" x14ac:dyDescent="0.2"/>
    <row r="36823" customFormat="1" x14ac:dyDescent="0.2"/>
    <row r="36824" customFormat="1" x14ac:dyDescent="0.2"/>
    <row r="36825" customFormat="1" x14ac:dyDescent="0.2"/>
    <row r="36826" customFormat="1" x14ac:dyDescent="0.2"/>
    <row r="36827" customFormat="1" x14ac:dyDescent="0.2"/>
    <row r="36828" customFormat="1" x14ac:dyDescent="0.2"/>
    <row r="36829" customFormat="1" x14ac:dyDescent="0.2"/>
    <row r="36830" customFormat="1" x14ac:dyDescent="0.2"/>
    <row r="36831" customFormat="1" x14ac:dyDescent="0.2"/>
    <row r="36832" customFormat="1" x14ac:dyDescent="0.2"/>
    <row r="36833" customFormat="1" x14ac:dyDescent="0.2"/>
    <row r="36834" customFormat="1" x14ac:dyDescent="0.2"/>
    <row r="36835" customFormat="1" x14ac:dyDescent="0.2"/>
    <row r="36836" customFormat="1" x14ac:dyDescent="0.2"/>
    <row r="36837" customFormat="1" x14ac:dyDescent="0.2"/>
    <row r="36838" customFormat="1" x14ac:dyDescent="0.2"/>
    <row r="36839" customFormat="1" x14ac:dyDescent="0.2"/>
    <row r="36840" customFormat="1" x14ac:dyDescent="0.2"/>
    <row r="36841" customFormat="1" x14ac:dyDescent="0.2"/>
    <row r="36842" customFormat="1" x14ac:dyDescent="0.2"/>
    <row r="36843" customFormat="1" x14ac:dyDescent="0.2"/>
    <row r="36844" customFormat="1" x14ac:dyDescent="0.2"/>
    <row r="36845" customFormat="1" x14ac:dyDescent="0.2"/>
    <row r="36846" customFormat="1" x14ac:dyDescent="0.2"/>
    <row r="36847" customFormat="1" x14ac:dyDescent="0.2"/>
    <row r="36848" customFormat="1" x14ac:dyDescent="0.2"/>
    <row r="36849" customFormat="1" x14ac:dyDescent="0.2"/>
    <row r="36850" customFormat="1" x14ac:dyDescent="0.2"/>
    <row r="36851" customFormat="1" x14ac:dyDescent="0.2"/>
    <row r="36852" customFormat="1" x14ac:dyDescent="0.2"/>
    <row r="36853" customFormat="1" x14ac:dyDescent="0.2"/>
    <row r="36854" customFormat="1" x14ac:dyDescent="0.2"/>
    <row r="36855" customFormat="1" x14ac:dyDescent="0.2"/>
    <row r="36856" customFormat="1" x14ac:dyDescent="0.2"/>
    <row r="36857" customFormat="1" x14ac:dyDescent="0.2"/>
    <row r="36858" customFormat="1" x14ac:dyDescent="0.2"/>
    <row r="36859" customFormat="1" x14ac:dyDescent="0.2"/>
    <row r="36860" customFormat="1" x14ac:dyDescent="0.2"/>
    <row r="36861" customFormat="1" x14ac:dyDescent="0.2"/>
    <row r="36862" customFormat="1" x14ac:dyDescent="0.2"/>
    <row r="36863" customFormat="1" x14ac:dyDescent="0.2"/>
    <row r="36864" customFormat="1" x14ac:dyDescent="0.2"/>
    <row r="36865" customFormat="1" x14ac:dyDescent="0.2"/>
    <row r="36866" customFormat="1" x14ac:dyDescent="0.2"/>
    <row r="36867" customFormat="1" x14ac:dyDescent="0.2"/>
    <row r="36868" customFormat="1" x14ac:dyDescent="0.2"/>
    <row r="36869" customFormat="1" x14ac:dyDescent="0.2"/>
    <row r="36870" customFormat="1" x14ac:dyDescent="0.2"/>
    <row r="36871" customFormat="1" x14ac:dyDescent="0.2"/>
    <row r="36872" customFormat="1" x14ac:dyDescent="0.2"/>
    <row r="36873" customFormat="1" x14ac:dyDescent="0.2"/>
    <row r="36874" customFormat="1" x14ac:dyDescent="0.2"/>
    <row r="36875" customFormat="1" x14ac:dyDescent="0.2"/>
    <row r="36876" customFormat="1" x14ac:dyDescent="0.2"/>
    <row r="36877" customFormat="1" x14ac:dyDescent="0.2"/>
    <row r="36878" customFormat="1" x14ac:dyDescent="0.2"/>
    <row r="36879" customFormat="1" x14ac:dyDescent="0.2"/>
    <row r="36880" customFormat="1" x14ac:dyDescent="0.2"/>
    <row r="36881" customFormat="1" x14ac:dyDescent="0.2"/>
    <row r="36882" customFormat="1" x14ac:dyDescent="0.2"/>
    <row r="36883" customFormat="1" x14ac:dyDescent="0.2"/>
    <row r="36884" customFormat="1" x14ac:dyDescent="0.2"/>
    <row r="36885" customFormat="1" x14ac:dyDescent="0.2"/>
    <row r="36886" customFormat="1" x14ac:dyDescent="0.2"/>
    <row r="36887" customFormat="1" x14ac:dyDescent="0.2"/>
    <row r="36888" customFormat="1" x14ac:dyDescent="0.2"/>
    <row r="36889" customFormat="1" x14ac:dyDescent="0.2"/>
    <row r="36890" customFormat="1" x14ac:dyDescent="0.2"/>
    <row r="36891" customFormat="1" x14ac:dyDescent="0.2"/>
    <row r="36892" customFormat="1" x14ac:dyDescent="0.2"/>
    <row r="36893" customFormat="1" x14ac:dyDescent="0.2"/>
    <row r="36894" customFormat="1" x14ac:dyDescent="0.2"/>
    <row r="36895" customFormat="1" x14ac:dyDescent="0.2"/>
    <row r="36896" customFormat="1" x14ac:dyDescent="0.2"/>
    <row r="36897" customFormat="1" x14ac:dyDescent="0.2"/>
    <row r="36898" customFormat="1" x14ac:dyDescent="0.2"/>
    <row r="36899" customFormat="1" x14ac:dyDescent="0.2"/>
    <row r="36900" customFormat="1" x14ac:dyDescent="0.2"/>
    <row r="36901" customFormat="1" x14ac:dyDescent="0.2"/>
    <row r="36902" customFormat="1" x14ac:dyDescent="0.2"/>
    <row r="36903" customFormat="1" x14ac:dyDescent="0.2"/>
    <row r="36904" customFormat="1" x14ac:dyDescent="0.2"/>
    <row r="36905" customFormat="1" x14ac:dyDescent="0.2"/>
    <row r="36906" customFormat="1" x14ac:dyDescent="0.2"/>
    <row r="36907" customFormat="1" x14ac:dyDescent="0.2"/>
    <row r="36908" customFormat="1" x14ac:dyDescent="0.2"/>
    <row r="36909" customFormat="1" x14ac:dyDescent="0.2"/>
    <row r="36910" customFormat="1" x14ac:dyDescent="0.2"/>
    <row r="36911" customFormat="1" x14ac:dyDescent="0.2"/>
    <row r="36912" customFormat="1" x14ac:dyDescent="0.2"/>
    <row r="36913" customFormat="1" x14ac:dyDescent="0.2"/>
    <row r="36914" customFormat="1" x14ac:dyDescent="0.2"/>
    <row r="36915" customFormat="1" x14ac:dyDescent="0.2"/>
    <row r="36916" customFormat="1" x14ac:dyDescent="0.2"/>
    <row r="36917" customFormat="1" x14ac:dyDescent="0.2"/>
    <row r="36918" customFormat="1" x14ac:dyDescent="0.2"/>
    <row r="36919" customFormat="1" x14ac:dyDescent="0.2"/>
    <row r="36920" customFormat="1" x14ac:dyDescent="0.2"/>
    <row r="36921" customFormat="1" x14ac:dyDescent="0.2"/>
    <row r="36922" customFormat="1" x14ac:dyDescent="0.2"/>
    <row r="36923" customFormat="1" x14ac:dyDescent="0.2"/>
    <row r="36924" customFormat="1" x14ac:dyDescent="0.2"/>
    <row r="36925" customFormat="1" x14ac:dyDescent="0.2"/>
    <row r="36926" customFormat="1" x14ac:dyDescent="0.2"/>
    <row r="36927" customFormat="1" x14ac:dyDescent="0.2"/>
    <row r="36928" customFormat="1" x14ac:dyDescent="0.2"/>
    <row r="36929" customFormat="1" x14ac:dyDescent="0.2"/>
    <row r="36930" customFormat="1" x14ac:dyDescent="0.2"/>
    <row r="36931" customFormat="1" x14ac:dyDescent="0.2"/>
    <row r="36932" customFormat="1" x14ac:dyDescent="0.2"/>
    <row r="36933" customFormat="1" x14ac:dyDescent="0.2"/>
    <row r="36934" customFormat="1" x14ac:dyDescent="0.2"/>
    <row r="36935" customFormat="1" x14ac:dyDescent="0.2"/>
    <row r="36936" customFormat="1" x14ac:dyDescent="0.2"/>
    <row r="36937" customFormat="1" x14ac:dyDescent="0.2"/>
    <row r="36938" customFormat="1" x14ac:dyDescent="0.2"/>
    <row r="36939" customFormat="1" x14ac:dyDescent="0.2"/>
    <row r="36940" customFormat="1" x14ac:dyDescent="0.2"/>
    <row r="36941" customFormat="1" x14ac:dyDescent="0.2"/>
    <row r="36942" customFormat="1" x14ac:dyDescent="0.2"/>
    <row r="36943" customFormat="1" x14ac:dyDescent="0.2"/>
    <row r="36944" customFormat="1" x14ac:dyDescent="0.2"/>
    <row r="36945" customFormat="1" x14ac:dyDescent="0.2"/>
    <row r="36946" customFormat="1" x14ac:dyDescent="0.2"/>
    <row r="36947" customFormat="1" x14ac:dyDescent="0.2"/>
    <row r="36948" customFormat="1" x14ac:dyDescent="0.2"/>
    <row r="36949" customFormat="1" x14ac:dyDescent="0.2"/>
    <row r="36950" customFormat="1" x14ac:dyDescent="0.2"/>
    <row r="36951" customFormat="1" x14ac:dyDescent="0.2"/>
    <row r="36952" customFormat="1" x14ac:dyDescent="0.2"/>
    <row r="36953" customFormat="1" x14ac:dyDescent="0.2"/>
    <row r="36954" customFormat="1" x14ac:dyDescent="0.2"/>
    <row r="36955" customFormat="1" x14ac:dyDescent="0.2"/>
    <row r="36956" customFormat="1" x14ac:dyDescent="0.2"/>
    <row r="36957" customFormat="1" x14ac:dyDescent="0.2"/>
    <row r="36958" customFormat="1" x14ac:dyDescent="0.2"/>
    <row r="36959" customFormat="1" x14ac:dyDescent="0.2"/>
    <row r="36960" customFormat="1" x14ac:dyDescent="0.2"/>
    <row r="36961" customFormat="1" x14ac:dyDescent="0.2"/>
    <row r="36962" customFormat="1" x14ac:dyDescent="0.2"/>
    <row r="36963" customFormat="1" x14ac:dyDescent="0.2"/>
    <row r="36964" customFormat="1" x14ac:dyDescent="0.2"/>
    <row r="36965" customFormat="1" x14ac:dyDescent="0.2"/>
    <row r="36966" customFormat="1" x14ac:dyDescent="0.2"/>
    <row r="36967" customFormat="1" x14ac:dyDescent="0.2"/>
    <row r="36968" customFormat="1" x14ac:dyDescent="0.2"/>
    <row r="36969" customFormat="1" x14ac:dyDescent="0.2"/>
    <row r="36970" customFormat="1" x14ac:dyDescent="0.2"/>
    <row r="36971" customFormat="1" x14ac:dyDescent="0.2"/>
    <row r="36972" customFormat="1" x14ac:dyDescent="0.2"/>
    <row r="36973" customFormat="1" x14ac:dyDescent="0.2"/>
    <row r="36974" customFormat="1" x14ac:dyDescent="0.2"/>
    <row r="36975" customFormat="1" x14ac:dyDescent="0.2"/>
    <row r="36976" customFormat="1" x14ac:dyDescent="0.2"/>
    <row r="36977" customFormat="1" x14ac:dyDescent="0.2"/>
    <row r="36978" customFormat="1" x14ac:dyDescent="0.2"/>
    <row r="36979" customFormat="1" x14ac:dyDescent="0.2"/>
    <row r="36980" customFormat="1" x14ac:dyDescent="0.2"/>
    <row r="36981" customFormat="1" x14ac:dyDescent="0.2"/>
    <row r="36982" customFormat="1" x14ac:dyDescent="0.2"/>
    <row r="36983" customFormat="1" x14ac:dyDescent="0.2"/>
    <row r="36984" customFormat="1" x14ac:dyDescent="0.2"/>
    <row r="36985" customFormat="1" x14ac:dyDescent="0.2"/>
    <row r="36986" customFormat="1" x14ac:dyDescent="0.2"/>
    <row r="36987" customFormat="1" x14ac:dyDescent="0.2"/>
    <row r="36988" customFormat="1" x14ac:dyDescent="0.2"/>
    <row r="36989" customFormat="1" x14ac:dyDescent="0.2"/>
    <row r="36990" customFormat="1" x14ac:dyDescent="0.2"/>
    <row r="36991" customFormat="1" x14ac:dyDescent="0.2"/>
    <row r="36992" customFormat="1" x14ac:dyDescent="0.2"/>
    <row r="36993" customFormat="1" x14ac:dyDescent="0.2"/>
    <row r="36994" customFormat="1" x14ac:dyDescent="0.2"/>
    <row r="36995" customFormat="1" x14ac:dyDescent="0.2"/>
    <row r="36996" customFormat="1" x14ac:dyDescent="0.2"/>
    <row r="36997" customFormat="1" x14ac:dyDescent="0.2"/>
    <row r="36998" customFormat="1" x14ac:dyDescent="0.2"/>
    <row r="36999" customFormat="1" x14ac:dyDescent="0.2"/>
    <row r="37000" customFormat="1" x14ac:dyDescent="0.2"/>
    <row r="37001" customFormat="1" x14ac:dyDescent="0.2"/>
    <row r="37002" customFormat="1" x14ac:dyDescent="0.2"/>
    <row r="37003" customFormat="1" x14ac:dyDescent="0.2"/>
    <row r="37004" customFormat="1" x14ac:dyDescent="0.2"/>
    <row r="37005" customFormat="1" x14ac:dyDescent="0.2"/>
    <row r="37006" customFormat="1" x14ac:dyDescent="0.2"/>
    <row r="37007" customFormat="1" x14ac:dyDescent="0.2"/>
    <row r="37008" customFormat="1" x14ac:dyDescent="0.2"/>
    <row r="37009" customFormat="1" x14ac:dyDescent="0.2"/>
    <row r="37010" customFormat="1" x14ac:dyDescent="0.2"/>
    <row r="37011" customFormat="1" x14ac:dyDescent="0.2"/>
    <row r="37012" customFormat="1" x14ac:dyDescent="0.2"/>
    <row r="37013" customFormat="1" x14ac:dyDescent="0.2"/>
    <row r="37014" customFormat="1" x14ac:dyDescent="0.2"/>
    <row r="37015" customFormat="1" x14ac:dyDescent="0.2"/>
    <row r="37016" customFormat="1" x14ac:dyDescent="0.2"/>
    <row r="37017" customFormat="1" x14ac:dyDescent="0.2"/>
    <row r="37018" customFormat="1" x14ac:dyDescent="0.2"/>
    <row r="37019" customFormat="1" x14ac:dyDescent="0.2"/>
    <row r="37020" customFormat="1" x14ac:dyDescent="0.2"/>
    <row r="37021" customFormat="1" x14ac:dyDescent="0.2"/>
    <row r="37022" customFormat="1" x14ac:dyDescent="0.2"/>
    <row r="37023" customFormat="1" x14ac:dyDescent="0.2"/>
    <row r="37024" customFormat="1" x14ac:dyDescent="0.2"/>
    <row r="37025" customFormat="1" x14ac:dyDescent="0.2"/>
    <row r="37026" customFormat="1" x14ac:dyDescent="0.2"/>
    <row r="37027" customFormat="1" x14ac:dyDescent="0.2"/>
    <row r="37028" customFormat="1" x14ac:dyDescent="0.2"/>
    <row r="37029" customFormat="1" x14ac:dyDescent="0.2"/>
    <row r="37030" customFormat="1" x14ac:dyDescent="0.2"/>
    <row r="37031" customFormat="1" x14ac:dyDescent="0.2"/>
    <row r="37032" customFormat="1" x14ac:dyDescent="0.2"/>
    <row r="37033" customFormat="1" x14ac:dyDescent="0.2"/>
    <row r="37034" customFormat="1" x14ac:dyDescent="0.2"/>
    <row r="37035" customFormat="1" x14ac:dyDescent="0.2"/>
    <row r="37036" customFormat="1" x14ac:dyDescent="0.2"/>
    <row r="37037" customFormat="1" x14ac:dyDescent="0.2"/>
    <row r="37038" customFormat="1" x14ac:dyDescent="0.2"/>
    <row r="37039" customFormat="1" x14ac:dyDescent="0.2"/>
    <row r="37040" customFormat="1" x14ac:dyDescent="0.2"/>
    <row r="37041" customFormat="1" x14ac:dyDescent="0.2"/>
    <row r="37042" customFormat="1" x14ac:dyDescent="0.2"/>
    <row r="37043" customFormat="1" x14ac:dyDescent="0.2"/>
    <row r="37044" customFormat="1" x14ac:dyDescent="0.2"/>
    <row r="37045" customFormat="1" x14ac:dyDescent="0.2"/>
    <row r="37046" customFormat="1" x14ac:dyDescent="0.2"/>
    <row r="37047" customFormat="1" x14ac:dyDescent="0.2"/>
    <row r="37048" customFormat="1" x14ac:dyDescent="0.2"/>
    <row r="37049" customFormat="1" x14ac:dyDescent="0.2"/>
    <row r="37050" customFormat="1" x14ac:dyDescent="0.2"/>
    <row r="37051" customFormat="1" x14ac:dyDescent="0.2"/>
    <row r="37052" customFormat="1" x14ac:dyDescent="0.2"/>
    <row r="37053" customFormat="1" x14ac:dyDescent="0.2"/>
    <row r="37054" customFormat="1" x14ac:dyDescent="0.2"/>
    <row r="37055" customFormat="1" x14ac:dyDescent="0.2"/>
    <row r="37056" customFormat="1" x14ac:dyDescent="0.2"/>
    <row r="37057" customFormat="1" x14ac:dyDescent="0.2"/>
    <row r="37058" customFormat="1" x14ac:dyDescent="0.2"/>
    <row r="37059" customFormat="1" x14ac:dyDescent="0.2"/>
    <row r="37060" customFormat="1" x14ac:dyDescent="0.2"/>
    <row r="37061" customFormat="1" x14ac:dyDescent="0.2"/>
    <row r="37062" customFormat="1" x14ac:dyDescent="0.2"/>
    <row r="37063" customFormat="1" x14ac:dyDescent="0.2"/>
    <row r="37064" customFormat="1" x14ac:dyDescent="0.2"/>
    <row r="37065" customFormat="1" x14ac:dyDescent="0.2"/>
    <row r="37066" customFormat="1" x14ac:dyDescent="0.2"/>
    <row r="37067" customFormat="1" x14ac:dyDescent="0.2"/>
    <row r="37068" customFormat="1" x14ac:dyDescent="0.2"/>
    <row r="37069" customFormat="1" x14ac:dyDescent="0.2"/>
    <row r="37070" customFormat="1" x14ac:dyDescent="0.2"/>
    <row r="37071" customFormat="1" x14ac:dyDescent="0.2"/>
    <row r="37072" customFormat="1" x14ac:dyDescent="0.2"/>
    <row r="37073" customFormat="1" x14ac:dyDescent="0.2"/>
    <row r="37074" customFormat="1" x14ac:dyDescent="0.2"/>
    <row r="37075" customFormat="1" x14ac:dyDescent="0.2"/>
    <row r="37076" customFormat="1" x14ac:dyDescent="0.2"/>
    <row r="37077" customFormat="1" x14ac:dyDescent="0.2"/>
    <row r="37078" customFormat="1" x14ac:dyDescent="0.2"/>
    <row r="37079" customFormat="1" x14ac:dyDescent="0.2"/>
    <row r="37080" customFormat="1" x14ac:dyDescent="0.2"/>
    <row r="37081" customFormat="1" x14ac:dyDescent="0.2"/>
    <row r="37082" customFormat="1" x14ac:dyDescent="0.2"/>
    <row r="37083" customFormat="1" x14ac:dyDescent="0.2"/>
    <row r="37084" customFormat="1" x14ac:dyDescent="0.2"/>
    <row r="37085" customFormat="1" x14ac:dyDescent="0.2"/>
    <row r="37086" customFormat="1" x14ac:dyDescent="0.2"/>
    <row r="37087" customFormat="1" x14ac:dyDescent="0.2"/>
    <row r="37088" customFormat="1" x14ac:dyDescent="0.2"/>
    <row r="37089" customFormat="1" x14ac:dyDescent="0.2"/>
    <row r="37090" customFormat="1" x14ac:dyDescent="0.2"/>
    <row r="37091" customFormat="1" x14ac:dyDescent="0.2"/>
    <row r="37092" customFormat="1" x14ac:dyDescent="0.2"/>
    <row r="37093" customFormat="1" x14ac:dyDescent="0.2"/>
    <row r="37094" customFormat="1" x14ac:dyDescent="0.2"/>
    <row r="37095" customFormat="1" x14ac:dyDescent="0.2"/>
    <row r="37096" customFormat="1" x14ac:dyDescent="0.2"/>
    <row r="37097" customFormat="1" x14ac:dyDescent="0.2"/>
    <row r="37098" customFormat="1" x14ac:dyDescent="0.2"/>
    <row r="37099" customFormat="1" x14ac:dyDescent="0.2"/>
    <row r="37100" customFormat="1" x14ac:dyDescent="0.2"/>
    <row r="37101" customFormat="1" x14ac:dyDescent="0.2"/>
    <row r="37102" customFormat="1" x14ac:dyDescent="0.2"/>
    <row r="37103" customFormat="1" x14ac:dyDescent="0.2"/>
    <row r="37104" customFormat="1" x14ac:dyDescent="0.2"/>
    <row r="37105" customFormat="1" x14ac:dyDescent="0.2"/>
    <row r="37106" customFormat="1" x14ac:dyDescent="0.2"/>
    <row r="37107" customFormat="1" x14ac:dyDescent="0.2"/>
    <row r="37108" customFormat="1" x14ac:dyDescent="0.2"/>
    <row r="37109" customFormat="1" x14ac:dyDescent="0.2"/>
    <row r="37110" customFormat="1" x14ac:dyDescent="0.2"/>
    <row r="37111" customFormat="1" x14ac:dyDescent="0.2"/>
    <row r="37112" customFormat="1" x14ac:dyDescent="0.2"/>
    <row r="37113" customFormat="1" x14ac:dyDescent="0.2"/>
    <row r="37114" customFormat="1" x14ac:dyDescent="0.2"/>
    <row r="37115" customFormat="1" x14ac:dyDescent="0.2"/>
    <row r="37116" customFormat="1" x14ac:dyDescent="0.2"/>
    <row r="37117" customFormat="1" x14ac:dyDescent="0.2"/>
    <row r="37118" customFormat="1" x14ac:dyDescent="0.2"/>
    <row r="37119" customFormat="1" x14ac:dyDescent="0.2"/>
    <row r="37120" customFormat="1" x14ac:dyDescent="0.2"/>
    <row r="37121" customFormat="1" x14ac:dyDescent="0.2"/>
    <row r="37122" customFormat="1" x14ac:dyDescent="0.2"/>
    <row r="37123" customFormat="1" x14ac:dyDescent="0.2"/>
    <row r="37124" customFormat="1" x14ac:dyDescent="0.2"/>
    <row r="37125" customFormat="1" x14ac:dyDescent="0.2"/>
    <row r="37126" customFormat="1" x14ac:dyDescent="0.2"/>
    <row r="37127" customFormat="1" x14ac:dyDescent="0.2"/>
    <row r="37128" customFormat="1" x14ac:dyDescent="0.2"/>
    <row r="37129" customFormat="1" x14ac:dyDescent="0.2"/>
    <row r="37130" customFormat="1" x14ac:dyDescent="0.2"/>
    <row r="37131" customFormat="1" x14ac:dyDescent="0.2"/>
    <row r="37132" customFormat="1" x14ac:dyDescent="0.2"/>
    <row r="37133" customFormat="1" x14ac:dyDescent="0.2"/>
    <row r="37134" customFormat="1" x14ac:dyDescent="0.2"/>
    <row r="37135" customFormat="1" x14ac:dyDescent="0.2"/>
    <row r="37136" customFormat="1" x14ac:dyDescent="0.2"/>
    <row r="37137" customFormat="1" x14ac:dyDescent="0.2"/>
    <row r="37138" customFormat="1" x14ac:dyDescent="0.2"/>
    <row r="37139" customFormat="1" x14ac:dyDescent="0.2"/>
    <row r="37140" customFormat="1" x14ac:dyDescent="0.2"/>
    <row r="37141" customFormat="1" x14ac:dyDescent="0.2"/>
    <row r="37142" customFormat="1" x14ac:dyDescent="0.2"/>
    <row r="37143" customFormat="1" x14ac:dyDescent="0.2"/>
    <row r="37144" customFormat="1" x14ac:dyDescent="0.2"/>
    <row r="37145" customFormat="1" x14ac:dyDescent="0.2"/>
    <row r="37146" customFormat="1" x14ac:dyDescent="0.2"/>
    <row r="37147" customFormat="1" x14ac:dyDescent="0.2"/>
    <row r="37148" customFormat="1" x14ac:dyDescent="0.2"/>
    <row r="37149" customFormat="1" x14ac:dyDescent="0.2"/>
    <row r="37150" customFormat="1" x14ac:dyDescent="0.2"/>
    <row r="37151" customFormat="1" x14ac:dyDescent="0.2"/>
    <row r="37152" customFormat="1" x14ac:dyDescent="0.2"/>
    <row r="37153" customFormat="1" x14ac:dyDescent="0.2"/>
    <row r="37154" customFormat="1" x14ac:dyDescent="0.2"/>
    <row r="37155" customFormat="1" x14ac:dyDescent="0.2"/>
    <row r="37156" customFormat="1" x14ac:dyDescent="0.2"/>
    <row r="37157" customFormat="1" x14ac:dyDescent="0.2"/>
    <row r="37158" customFormat="1" x14ac:dyDescent="0.2"/>
    <row r="37159" customFormat="1" x14ac:dyDescent="0.2"/>
    <row r="37160" customFormat="1" x14ac:dyDescent="0.2"/>
    <row r="37161" customFormat="1" x14ac:dyDescent="0.2"/>
    <row r="37162" customFormat="1" x14ac:dyDescent="0.2"/>
    <row r="37163" customFormat="1" x14ac:dyDescent="0.2"/>
    <row r="37164" customFormat="1" x14ac:dyDescent="0.2"/>
    <row r="37165" customFormat="1" x14ac:dyDescent="0.2"/>
    <row r="37166" customFormat="1" x14ac:dyDescent="0.2"/>
    <row r="37167" customFormat="1" x14ac:dyDescent="0.2"/>
    <row r="37168" customFormat="1" x14ac:dyDescent="0.2"/>
    <row r="37169" customFormat="1" x14ac:dyDescent="0.2"/>
    <row r="37170" customFormat="1" x14ac:dyDescent="0.2"/>
    <row r="37171" customFormat="1" x14ac:dyDescent="0.2"/>
    <row r="37172" customFormat="1" x14ac:dyDescent="0.2"/>
    <row r="37173" customFormat="1" x14ac:dyDescent="0.2"/>
    <row r="37174" customFormat="1" x14ac:dyDescent="0.2"/>
    <row r="37175" customFormat="1" x14ac:dyDescent="0.2"/>
    <row r="37176" customFormat="1" x14ac:dyDescent="0.2"/>
    <row r="37177" customFormat="1" x14ac:dyDescent="0.2"/>
    <row r="37178" customFormat="1" x14ac:dyDescent="0.2"/>
    <row r="37179" customFormat="1" x14ac:dyDescent="0.2"/>
    <row r="37180" customFormat="1" x14ac:dyDescent="0.2"/>
    <row r="37181" customFormat="1" x14ac:dyDescent="0.2"/>
    <row r="37182" customFormat="1" x14ac:dyDescent="0.2"/>
    <row r="37183" customFormat="1" x14ac:dyDescent="0.2"/>
    <row r="37184" customFormat="1" x14ac:dyDescent="0.2"/>
    <row r="37185" customFormat="1" x14ac:dyDescent="0.2"/>
    <row r="37186" customFormat="1" x14ac:dyDescent="0.2"/>
    <row r="37187" customFormat="1" x14ac:dyDescent="0.2"/>
    <row r="37188" customFormat="1" x14ac:dyDescent="0.2"/>
    <row r="37189" customFormat="1" x14ac:dyDescent="0.2"/>
    <row r="37190" customFormat="1" x14ac:dyDescent="0.2"/>
    <row r="37191" customFormat="1" x14ac:dyDescent="0.2"/>
    <row r="37192" customFormat="1" x14ac:dyDescent="0.2"/>
    <row r="37193" customFormat="1" x14ac:dyDescent="0.2"/>
    <row r="37194" customFormat="1" x14ac:dyDescent="0.2"/>
    <row r="37195" customFormat="1" x14ac:dyDescent="0.2"/>
    <row r="37196" customFormat="1" x14ac:dyDescent="0.2"/>
    <row r="37197" customFormat="1" x14ac:dyDescent="0.2"/>
    <row r="37198" customFormat="1" x14ac:dyDescent="0.2"/>
    <row r="37199" customFormat="1" x14ac:dyDescent="0.2"/>
    <row r="37200" customFormat="1" x14ac:dyDescent="0.2"/>
    <row r="37201" customFormat="1" x14ac:dyDescent="0.2"/>
    <row r="37202" customFormat="1" x14ac:dyDescent="0.2"/>
    <row r="37203" customFormat="1" x14ac:dyDescent="0.2"/>
    <row r="37204" customFormat="1" x14ac:dyDescent="0.2"/>
    <row r="37205" customFormat="1" x14ac:dyDescent="0.2"/>
    <row r="37206" customFormat="1" x14ac:dyDescent="0.2"/>
    <row r="37207" customFormat="1" x14ac:dyDescent="0.2"/>
    <row r="37208" customFormat="1" x14ac:dyDescent="0.2"/>
    <row r="37209" customFormat="1" x14ac:dyDescent="0.2"/>
    <row r="37210" customFormat="1" x14ac:dyDescent="0.2"/>
    <row r="37211" customFormat="1" x14ac:dyDescent="0.2"/>
    <row r="37212" customFormat="1" x14ac:dyDescent="0.2"/>
    <row r="37213" customFormat="1" x14ac:dyDescent="0.2"/>
    <row r="37214" customFormat="1" x14ac:dyDescent="0.2"/>
    <row r="37215" customFormat="1" x14ac:dyDescent="0.2"/>
    <row r="37216" customFormat="1" x14ac:dyDescent="0.2"/>
    <row r="37217" customFormat="1" x14ac:dyDescent="0.2"/>
    <row r="37218" customFormat="1" x14ac:dyDescent="0.2"/>
    <row r="37219" customFormat="1" x14ac:dyDescent="0.2"/>
    <row r="37220" customFormat="1" x14ac:dyDescent="0.2"/>
    <row r="37221" customFormat="1" x14ac:dyDescent="0.2"/>
    <row r="37222" customFormat="1" x14ac:dyDescent="0.2"/>
    <row r="37223" customFormat="1" x14ac:dyDescent="0.2"/>
    <row r="37224" customFormat="1" x14ac:dyDescent="0.2"/>
    <row r="37225" customFormat="1" x14ac:dyDescent="0.2"/>
    <row r="37226" customFormat="1" x14ac:dyDescent="0.2"/>
    <row r="37227" customFormat="1" x14ac:dyDescent="0.2"/>
    <row r="37228" customFormat="1" x14ac:dyDescent="0.2"/>
    <row r="37229" customFormat="1" x14ac:dyDescent="0.2"/>
    <row r="37230" customFormat="1" x14ac:dyDescent="0.2"/>
    <row r="37231" customFormat="1" x14ac:dyDescent="0.2"/>
    <row r="37232" customFormat="1" x14ac:dyDescent="0.2"/>
    <row r="37233" customFormat="1" x14ac:dyDescent="0.2"/>
    <row r="37234" customFormat="1" x14ac:dyDescent="0.2"/>
    <row r="37235" customFormat="1" x14ac:dyDescent="0.2"/>
    <row r="37236" customFormat="1" x14ac:dyDescent="0.2"/>
    <row r="37237" customFormat="1" x14ac:dyDescent="0.2"/>
    <row r="37238" customFormat="1" x14ac:dyDescent="0.2"/>
    <row r="37239" customFormat="1" x14ac:dyDescent="0.2"/>
    <row r="37240" customFormat="1" x14ac:dyDescent="0.2"/>
    <row r="37241" customFormat="1" x14ac:dyDescent="0.2"/>
    <row r="37242" customFormat="1" x14ac:dyDescent="0.2"/>
    <row r="37243" customFormat="1" x14ac:dyDescent="0.2"/>
    <row r="37244" customFormat="1" x14ac:dyDescent="0.2"/>
    <row r="37245" customFormat="1" x14ac:dyDescent="0.2"/>
    <row r="37246" customFormat="1" x14ac:dyDescent="0.2"/>
    <row r="37247" customFormat="1" x14ac:dyDescent="0.2"/>
    <row r="37248" customFormat="1" x14ac:dyDescent="0.2"/>
    <row r="37249" customFormat="1" x14ac:dyDescent="0.2"/>
    <row r="37250" customFormat="1" x14ac:dyDescent="0.2"/>
    <row r="37251" customFormat="1" x14ac:dyDescent="0.2"/>
    <row r="37252" customFormat="1" x14ac:dyDescent="0.2"/>
    <row r="37253" customFormat="1" x14ac:dyDescent="0.2"/>
    <row r="37254" customFormat="1" x14ac:dyDescent="0.2"/>
    <row r="37255" customFormat="1" x14ac:dyDescent="0.2"/>
    <row r="37256" customFormat="1" x14ac:dyDescent="0.2"/>
    <row r="37257" customFormat="1" x14ac:dyDescent="0.2"/>
    <row r="37258" customFormat="1" x14ac:dyDescent="0.2"/>
    <row r="37259" customFormat="1" x14ac:dyDescent="0.2"/>
    <row r="37260" customFormat="1" x14ac:dyDescent="0.2"/>
    <row r="37261" customFormat="1" x14ac:dyDescent="0.2"/>
    <row r="37262" customFormat="1" x14ac:dyDescent="0.2"/>
    <row r="37263" customFormat="1" x14ac:dyDescent="0.2"/>
    <row r="37264" customFormat="1" x14ac:dyDescent="0.2"/>
    <row r="37265" customFormat="1" x14ac:dyDescent="0.2"/>
    <row r="37266" customFormat="1" x14ac:dyDescent="0.2"/>
    <row r="37267" customFormat="1" x14ac:dyDescent="0.2"/>
    <row r="37268" customFormat="1" x14ac:dyDescent="0.2"/>
    <row r="37269" customFormat="1" x14ac:dyDescent="0.2"/>
    <row r="37270" customFormat="1" x14ac:dyDescent="0.2"/>
    <row r="37271" customFormat="1" x14ac:dyDescent="0.2"/>
    <row r="37272" customFormat="1" x14ac:dyDescent="0.2"/>
    <row r="37273" customFormat="1" x14ac:dyDescent="0.2"/>
    <row r="37274" customFormat="1" x14ac:dyDescent="0.2"/>
    <row r="37275" customFormat="1" x14ac:dyDescent="0.2"/>
    <row r="37276" customFormat="1" x14ac:dyDescent="0.2"/>
    <row r="37277" customFormat="1" x14ac:dyDescent="0.2"/>
    <row r="37278" customFormat="1" x14ac:dyDescent="0.2"/>
    <row r="37279" customFormat="1" x14ac:dyDescent="0.2"/>
    <row r="37280" customFormat="1" x14ac:dyDescent="0.2"/>
    <row r="37281" customFormat="1" x14ac:dyDescent="0.2"/>
    <row r="37282" customFormat="1" x14ac:dyDescent="0.2"/>
    <row r="37283" customFormat="1" x14ac:dyDescent="0.2"/>
    <row r="37284" customFormat="1" x14ac:dyDescent="0.2"/>
    <row r="37285" customFormat="1" x14ac:dyDescent="0.2"/>
    <row r="37286" customFormat="1" x14ac:dyDescent="0.2"/>
    <row r="37287" customFormat="1" x14ac:dyDescent="0.2"/>
    <row r="37288" customFormat="1" x14ac:dyDescent="0.2"/>
    <row r="37289" customFormat="1" x14ac:dyDescent="0.2"/>
    <row r="37290" customFormat="1" x14ac:dyDescent="0.2"/>
    <row r="37291" customFormat="1" x14ac:dyDescent="0.2"/>
    <row r="37292" customFormat="1" x14ac:dyDescent="0.2"/>
    <row r="37293" customFormat="1" x14ac:dyDescent="0.2"/>
    <row r="37294" customFormat="1" x14ac:dyDescent="0.2"/>
    <row r="37295" customFormat="1" x14ac:dyDescent="0.2"/>
    <row r="37296" customFormat="1" x14ac:dyDescent="0.2"/>
    <row r="37297" customFormat="1" x14ac:dyDescent="0.2"/>
    <row r="37298" customFormat="1" x14ac:dyDescent="0.2"/>
    <row r="37299" customFormat="1" x14ac:dyDescent="0.2"/>
    <row r="37300" customFormat="1" x14ac:dyDescent="0.2"/>
    <row r="37301" customFormat="1" x14ac:dyDescent="0.2"/>
    <row r="37302" customFormat="1" x14ac:dyDescent="0.2"/>
    <row r="37303" customFormat="1" x14ac:dyDescent="0.2"/>
    <row r="37304" customFormat="1" x14ac:dyDescent="0.2"/>
    <row r="37305" customFormat="1" x14ac:dyDescent="0.2"/>
    <row r="37306" customFormat="1" x14ac:dyDescent="0.2"/>
    <row r="37307" customFormat="1" x14ac:dyDescent="0.2"/>
    <row r="37308" customFormat="1" x14ac:dyDescent="0.2"/>
    <row r="37309" customFormat="1" x14ac:dyDescent="0.2"/>
    <row r="37310" customFormat="1" x14ac:dyDescent="0.2"/>
    <row r="37311" customFormat="1" x14ac:dyDescent="0.2"/>
    <row r="37312" customFormat="1" x14ac:dyDescent="0.2"/>
    <row r="37313" customFormat="1" x14ac:dyDescent="0.2"/>
    <row r="37314" customFormat="1" x14ac:dyDescent="0.2"/>
    <row r="37315" customFormat="1" x14ac:dyDescent="0.2"/>
    <row r="37316" customFormat="1" x14ac:dyDescent="0.2"/>
    <row r="37317" customFormat="1" x14ac:dyDescent="0.2"/>
    <row r="37318" customFormat="1" x14ac:dyDescent="0.2"/>
    <row r="37319" customFormat="1" x14ac:dyDescent="0.2"/>
    <row r="37320" customFormat="1" x14ac:dyDescent="0.2"/>
    <row r="37321" customFormat="1" x14ac:dyDescent="0.2"/>
    <row r="37322" customFormat="1" x14ac:dyDescent="0.2"/>
    <row r="37323" customFormat="1" x14ac:dyDescent="0.2"/>
    <row r="37324" customFormat="1" x14ac:dyDescent="0.2"/>
    <row r="37325" customFormat="1" x14ac:dyDescent="0.2"/>
    <row r="37326" customFormat="1" x14ac:dyDescent="0.2"/>
    <row r="37327" customFormat="1" x14ac:dyDescent="0.2"/>
    <row r="37328" customFormat="1" x14ac:dyDescent="0.2"/>
    <row r="37329" customFormat="1" x14ac:dyDescent="0.2"/>
    <row r="37330" customFormat="1" x14ac:dyDescent="0.2"/>
    <row r="37331" customFormat="1" x14ac:dyDescent="0.2"/>
    <row r="37332" customFormat="1" x14ac:dyDescent="0.2"/>
    <row r="37333" customFormat="1" x14ac:dyDescent="0.2"/>
    <row r="37334" customFormat="1" x14ac:dyDescent="0.2"/>
    <row r="37335" customFormat="1" x14ac:dyDescent="0.2"/>
    <row r="37336" customFormat="1" x14ac:dyDescent="0.2"/>
    <row r="37337" customFormat="1" x14ac:dyDescent="0.2"/>
    <row r="37338" customFormat="1" x14ac:dyDescent="0.2"/>
    <row r="37339" customFormat="1" x14ac:dyDescent="0.2"/>
    <row r="37340" customFormat="1" x14ac:dyDescent="0.2"/>
    <row r="37341" customFormat="1" x14ac:dyDescent="0.2"/>
    <row r="37342" customFormat="1" x14ac:dyDescent="0.2"/>
    <row r="37343" customFormat="1" x14ac:dyDescent="0.2"/>
    <row r="37344" customFormat="1" x14ac:dyDescent="0.2"/>
    <row r="37345" customFormat="1" x14ac:dyDescent="0.2"/>
    <row r="37346" customFormat="1" x14ac:dyDescent="0.2"/>
    <row r="37347" customFormat="1" x14ac:dyDescent="0.2"/>
    <row r="37348" customFormat="1" x14ac:dyDescent="0.2"/>
    <row r="37349" customFormat="1" x14ac:dyDescent="0.2"/>
    <row r="37350" customFormat="1" x14ac:dyDescent="0.2"/>
    <row r="37351" customFormat="1" x14ac:dyDescent="0.2"/>
    <row r="37352" customFormat="1" x14ac:dyDescent="0.2"/>
    <row r="37353" customFormat="1" x14ac:dyDescent="0.2"/>
    <row r="37354" customFormat="1" x14ac:dyDescent="0.2"/>
    <row r="37355" customFormat="1" x14ac:dyDescent="0.2"/>
    <row r="37356" customFormat="1" x14ac:dyDescent="0.2"/>
    <row r="37357" customFormat="1" x14ac:dyDescent="0.2"/>
    <row r="37358" customFormat="1" x14ac:dyDescent="0.2"/>
    <row r="37359" customFormat="1" x14ac:dyDescent="0.2"/>
    <row r="37360" customFormat="1" x14ac:dyDescent="0.2"/>
    <row r="37361" customFormat="1" x14ac:dyDescent="0.2"/>
    <row r="37362" customFormat="1" x14ac:dyDescent="0.2"/>
    <row r="37363" customFormat="1" x14ac:dyDescent="0.2"/>
    <row r="37364" customFormat="1" x14ac:dyDescent="0.2"/>
    <row r="37365" customFormat="1" x14ac:dyDescent="0.2"/>
    <row r="37366" customFormat="1" x14ac:dyDescent="0.2"/>
    <row r="37367" customFormat="1" x14ac:dyDescent="0.2"/>
    <row r="37368" customFormat="1" x14ac:dyDescent="0.2"/>
    <row r="37369" customFormat="1" x14ac:dyDescent="0.2"/>
    <row r="37370" customFormat="1" x14ac:dyDescent="0.2"/>
    <row r="37371" customFormat="1" x14ac:dyDescent="0.2"/>
    <row r="37372" customFormat="1" x14ac:dyDescent="0.2"/>
    <row r="37373" customFormat="1" x14ac:dyDescent="0.2"/>
    <row r="37374" customFormat="1" x14ac:dyDescent="0.2"/>
    <row r="37375" customFormat="1" x14ac:dyDescent="0.2"/>
    <row r="37376" customFormat="1" x14ac:dyDescent="0.2"/>
    <row r="37377" customFormat="1" x14ac:dyDescent="0.2"/>
    <row r="37378" customFormat="1" x14ac:dyDescent="0.2"/>
    <row r="37379" customFormat="1" x14ac:dyDescent="0.2"/>
    <row r="37380" customFormat="1" x14ac:dyDescent="0.2"/>
    <row r="37381" customFormat="1" x14ac:dyDescent="0.2"/>
    <row r="37382" customFormat="1" x14ac:dyDescent="0.2"/>
    <row r="37383" customFormat="1" x14ac:dyDescent="0.2"/>
    <row r="37384" customFormat="1" x14ac:dyDescent="0.2"/>
    <row r="37385" customFormat="1" x14ac:dyDescent="0.2"/>
    <row r="37386" customFormat="1" x14ac:dyDescent="0.2"/>
    <row r="37387" customFormat="1" x14ac:dyDescent="0.2"/>
    <row r="37388" customFormat="1" x14ac:dyDescent="0.2"/>
    <row r="37389" customFormat="1" x14ac:dyDescent="0.2"/>
    <row r="37390" customFormat="1" x14ac:dyDescent="0.2"/>
    <row r="37391" customFormat="1" x14ac:dyDescent="0.2"/>
    <row r="37392" customFormat="1" x14ac:dyDescent="0.2"/>
    <row r="37393" customFormat="1" x14ac:dyDescent="0.2"/>
    <row r="37394" customFormat="1" x14ac:dyDescent="0.2"/>
    <row r="37395" customFormat="1" x14ac:dyDescent="0.2"/>
    <row r="37396" customFormat="1" x14ac:dyDescent="0.2"/>
    <row r="37397" customFormat="1" x14ac:dyDescent="0.2"/>
    <row r="37398" customFormat="1" x14ac:dyDescent="0.2"/>
    <row r="37399" customFormat="1" x14ac:dyDescent="0.2"/>
    <row r="37400" customFormat="1" x14ac:dyDescent="0.2"/>
    <row r="37401" customFormat="1" x14ac:dyDescent="0.2"/>
    <row r="37402" customFormat="1" x14ac:dyDescent="0.2"/>
    <row r="37403" customFormat="1" x14ac:dyDescent="0.2"/>
    <row r="37404" customFormat="1" x14ac:dyDescent="0.2"/>
    <row r="37405" customFormat="1" x14ac:dyDescent="0.2"/>
    <row r="37406" customFormat="1" x14ac:dyDescent="0.2"/>
    <row r="37407" customFormat="1" x14ac:dyDescent="0.2"/>
    <row r="37408" customFormat="1" x14ac:dyDescent="0.2"/>
    <row r="37409" customFormat="1" x14ac:dyDescent="0.2"/>
    <row r="37410" customFormat="1" x14ac:dyDescent="0.2"/>
    <row r="37411" customFormat="1" x14ac:dyDescent="0.2"/>
    <row r="37412" customFormat="1" x14ac:dyDescent="0.2"/>
    <row r="37413" customFormat="1" x14ac:dyDescent="0.2"/>
    <row r="37414" customFormat="1" x14ac:dyDescent="0.2"/>
    <row r="37415" customFormat="1" x14ac:dyDescent="0.2"/>
    <row r="37416" customFormat="1" x14ac:dyDescent="0.2"/>
    <row r="37417" customFormat="1" x14ac:dyDescent="0.2"/>
    <row r="37418" customFormat="1" x14ac:dyDescent="0.2"/>
    <row r="37419" customFormat="1" x14ac:dyDescent="0.2"/>
    <row r="37420" customFormat="1" x14ac:dyDescent="0.2"/>
    <row r="37421" customFormat="1" x14ac:dyDescent="0.2"/>
    <row r="37422" customFormat="1" x14ac:dyDescent="0.2"/>
    <row r="37423" customFormat="1" x14ac:dyDescent="0.2"/>
    <row r="37424" customFormat="1" x14ac:dyDescent="0.2"/>
    <row r="37425" customFormat="1" x14ac:dyDescent="0.2"/>
    <row r="37426" customFormat="1" x14ac:dyDescent="0.2"/>
    <row r="37427" customFormat="1" x14ac:dyDescent="0.2"/>
    <row r="37428" customFormat="1" x14ac:dyDescent="0.2"/>
    <row r="37429" customFormat="1" x14ac:dyDescent="0.2"/>
    <row r="37430" customFormat="1" x14ac:dyDescent="0.2"/>
    <row r="37431" customFormat="1" x14ac:dyDescent="0.2"/>
    <row r="37432" customFormat="1" x14ac:dyDescent="0.2"/>
    <row r="37433" customFormat="1" x14ac:dyDescent="0.2"/>
    <row r="37434" customFormat="1" x14ac:dyDescent="0.2"/>
    <row r="37435" customFormat="1" x14ac:dyDescent="0.2"/>
    <row r="37436" customFormat="1" x14ac:dyDescent="0.2"/>
    <row r="37437" customFormat="1" x14ac:dyDescent="0.2"/>
    <row r="37438" customFormat="1" x14ac:dyDescent="0.2"/>
    <row r="37439" customFormat="1" x14ac:dyDescent="0.2"/>
    <row r="37440" customFormat="1" x14ac:dyDescent="0.2"/>
    <row r="37441" customFormat="1" x14ac:dyDescent="0.2"/>
    <row r="37442" customFormat="1" x14ac:dyDescent="0.2"/>
    <row r="37443" customFormat="1" x14ac:dyDescent="0.2"/>
    <row r="37444" customFormat="1" x14ac:dyDescent="0.2"/>
    <row r="37445" customFormat="1" x14ac:dyDescent="0.2"/>
    <row r="37446" customFormat="1" x14ac:dyDescent="0.2"/>
    <row r="37447" customFormat="1" x14ac:dyDescent="0.2"/>
    <row r="37448" customFormat="1" x14ac:dyDescent="0.2"/>
    <row r="37449" customFormat="1" x14ac:dyDescent="0.2"/>
    <row r="37450" customFormat="1" x14ac:dyDescent="0.2"/>
    <row r="37451" customFormat="1" x14ac:dyDescent="0.2"/>
    <row r="37452" customFormat="1" x14ac:dyDescent="0.2"/>
    <row r="37453" customFormat="1" x14ac:dyDescent="0.2"/>
    <row r="37454" customFormat="1" x14ac:dyDescent="0.2"/>
    <row r="37455" customFormat="1" x14ac:dyDescent="0.2"/>
    <row r="37456" customFormat="1" x14ac:dyDescent="0.2"/>
    <row r="37457" customFormat="1" x14ac:dyDescent="0.2"/>
    <row r="37458" customFormat="1" x14ac:dyDescent="0.2"/>
    <row r="37459" customFormat="1" x14ac:dyDescent="0.2"/>
    <row r="37460" customFormat="1" x14ac:dyDescent="0.2"/>
    <row r="37461" customFormat="1" x14ac:dyDescent="0.2"/>
    <row r="37462" customFormat="1" x14ac:dyDescent="0.2"/>
    <row r="37463" customFormat="1" x14ac:dyDescent="0.2"/>
    <row r="37464" customFormat="1" x14ac:dyDescent="0.2"/>
    <row r="37465" customFormat="1" x14ac:dyDescent="0.2"/>
    <row r="37466" customFormat="1" x14ac:dyDescent="0.2"/>
    <row r="37467" customFormat="1" x14ac:dyDescent="0.2"/>
    <row r="37468" customFormat="1" x14ac:dyDescent="0.2"/>
    <row r="37469" customFormat="1" x14ac:dyDescent="0.2"/>
    <row r="37470" customFormat="1" x14ac:dyDescent="0.2"/>
    <row r="37471" customFormat="1" x14ac:dyDescent="0.2"/>
    <row r="37472" customFormat="1" x14ac:dyDescent="0.2"/>
    <row r="37473" customFormat="1" x14ac:dyDescent="0.2"/>
    <row r="37474" customFormat="1" x14ac:dyDescent="0.2"/>
    <row r="37475" customFormat="1" x14ac:dyDescent="0.2"/>
    <row r="37476" customFormat="1" x14ac:dyDescent="0.2"/>
    <row r="37477" customFormat="1" x14ac:dyDescent="0.2"/>
    <row r="37478" customFormat="1" x14ac:dyDescent="0.2"/>
    <row r="37479" customFormat="1" x14ac:dyDescent="0.2"/>
    <row r="37480" customFormat="1" x14ac:dyDescent="0.2"/>
    <row r="37481" customFormat="1" x14ac:dyDescent="0.2"/>
    <row r="37482" customFormat="1" x14ac:dyDescent="0.2"/>
    <row r="37483" customFormat="1" x14ac:dyDescent="0.2"/>
    <row r="37484" customFormat="1" x14ac:dyDescent="0.2"/>
    <row r="37485" customFormat="1" x14ac:dyDescent="0.2"/>
    <row r="37486" customFormat="1" x14ac:dyDescent="0.2"/>
    <row r="37487" customFormat="1" x14ac:dyDescent="0.2"/>
    <row r="37488" customFormat="1" x14ac:dyDescent="0.2"/>
    <row r="37489" customFormat="1" x14ac:dyDescent="0.2"/>
    <row r="37490" customFormat="1" x14ac:dyDescent="0.2"/>
    <row r="37491" customFormat="1" x14ac:dyDescent="0.2"/>
    <row r="37492" customFormat="1" x14ac:dyDescent="0.2"/>
    <row r="37493" customFormat="1" x14ac:dyDescent="0.2"/>
    <row r="37494" customFormat="1" x14ac:dyDescent="0.2"/>
    <row r="37495" customFormat="1" x14ac:dyDescent="0.2"/>
    <row r="37496" customFormat="1" x14ac:dyDescent="0.2"/>
    <row r="37497" customFormat="1" x14ac:dyDescent="0.2"/>
    <row r="37498" customFormat="1" x14ac:dyDescent="0.2"/>
    <row r="37499" customFormat="1" x14ac:dyDescent="0.2"/>
    <row r="37500" customFormat="1" x14ac:dyDescent="0.2"/>
    <row r="37501" customFormat="1" x14ac:dyDescent="0.2"/>
    <row r="37502" customFormat="1" x14ac:dyDescent="0.2"/>
    <row r="37503" customFormat="1" x14ac:dyDescent="0.2"/>
    <row r="37504" customFormat="1" x14ac:dyDescent="0.2"/>
    <row r="37505" customFormat="1" x14ac:dyDescent="0.2"/>
    <row r="37506" customFormat="1" x14ac:dyDescent="0.2"/>
    <row r="37507" customFormat="1" x14ac:dyDescent="0.2"/>
    <row r="37508" customFormat="1" x14ac:dyDescent="0.2"/>
    <row r="37509" customFormat="1" x14ac:dyDescent="0.2"/>
    <row r="37510" customFormat="1" x14ac:dyDescent="0.2"/>
    <row r="37511" customFormat="1" x14ac:dyDescent="0.2"/>
    <row r="37512" customFormat="1" x14ac:dyDescent="0.2"/>
    <row r="37513" customFormat="1" x14ac:dyDescent="0.2"/>
    <row r="37514" customFormat="1" x14ac:dyDescent="0.2"/>
    <row r="37515" customFormat="1" x14ac:dyDescent="0.2"/>
    <row r="37516" customFormat="1" x14ac:dyDescent="0.2"/>
    <row r="37517" customFormat="1" x14ac:dyDescent="0.2"/>
    <row r="37518" customFormat="1" x14ac:dyDescent="0.2"/>
    <row r="37519" customFormat="1" x14ac:dyDescent="0.2"/>
    <row r="37520" customFormat="1" x14ac:dyDescent="0.2"/>
    <row r="37521" customFormat="1" x14ac:dyDescent="0.2"/>
    <row r="37522" customFormat="1" x14ac:dyDescent="0.2"/>
    <row r="37523" customFormat="1" x14ac:dyDescent="0.2"/>
    <row r="37524" customFormat="1" x14ac:dyDescent="0.2"/>
    <row r="37525" customFormat="1" x14ac:dyDescent="0.2"/>
    <row r="37526" customFormat="1" x14ac:dyDescent="0.2"/>
    <row r="37527" customFormat="1" x14ac:dyDescent="0.2"/>
    <row r="37528" customFormat="1" x14ac:dyDescent="0.2"/>
    <row r="37529" customFormat="1" x14ac:dyDescent="0.2"/>
    <row r="37530" customFormat="1" x14ac:dyDescent="0.2"/>
    <row r="37531" customFormat="1" x14ac:dyDescent="0.2"/>
    <row r="37532" customFormat="1" x14ac:dyDescent="0.2"/>
    <row r="37533" customFormat="1" x14ac:dyDescent="0.2"/>
    <row r="37534" customFormat="1" x14ac:dyDescent="0.2"/>
    <row r="37535" customFormat="1" x14ac:dyDescent="0.2"/>
    <row r="37536" customFormat="1" x14ac:dyDescent="0.2"/>
    <row r="37537" customFormat="1" x14ac:dyDescent="0.2"/>
    <row r="37538" customFormat="1" x14ac:dyDescent="0.2"/>
    <row r="37539" customFormat="1" x14ac:dyDescent="0.2"/>
    <row r="37540" customFormat="1" x14ac:dyDescent="0.2"/>
    <row r="37541" customFormat="1" x14ac:dyDescent="0.2"/>
    <row r="37542" customFormat="1" x14ac:dyDescent="0.2"/>
    <row r="37543" customFormat="1" x14ac:dyDescent="0.2"/>
    <row r="37544" customFormat="1" x14ac:dyDescent="0.2"/>
    <row r="37545" customFormat="1" x14ac:dyDescent="0.2"/>
    <row r="37546" customFormat="1" x14ac:dyDescent="0.2"/>
    <row r="37547" customFormat="1" x14ac:dyDescent="0.2"/>
    <row r="37548" customFormat="1" x14ac:dyDescent="0.2"/>
    <row r="37549" customFormat="1" x14ac:dyDescent="0.2"/>
    <row r="37550" customFormat="1" x14ac:dyDescent="0.2"/>
    <row r="37551" customFormat="1" x14ac:dyDescent="0.2"/>
    <row r="37552" customFormat="1" x14ac:dyDescent="0.2"/>
    <row r="37553" customFormat="1" x14ac:dyDescent="0.2"/>
    <row r="37554" customFormat="1" x14ac:dyDescent="0.2"/>
    <row r="37555" customFormat="1" x14ac:dyDescent="0.2"/>
    <row r="37556" customFormat="1" x14ac:dyDescent="0.2"/>
    <row r="37557" customFormat="1" x14ac:dyDescent="0.2"/>
    <row r="37558" customFormat="1" x14ac:dyDescent="0.2"/>
    <row r="37559" customFormat="1" x14ac:dyDescent="0.2"/>
    <row r="37560" customFormat="1" x14ac:dyDescent="0.2"/>
    <row r="37561" customFormat="1" x14ac:dyDescent="0.2"/>
    <row r="37562" customFormat="1" x14ac:dyDescent="0.2"/>
    <row r="37563" customFormat="1" x14ac:dyDescent="0.2"/>
    <row r="37564" customFormat="1" x14ac:dyDescent="0.2"/>
    <row r="37565" customFormat="1" x14ac:dyDescent="0.2"/>
    <row r="37566" customFormat="1" x14ac:dyDescent="0.2"/>
    <row r="37567" customFormat="1" x14ac:dyDescent="0.2"/>
    <row r="37568" customFormat="1" x14ac:dyDescent="0.2"/>
    <row r="37569" customFormat="1" x14ac:dyDescent="0.2"/>
    <row r="37570" customFormat="1" x14ac:dyDescent="0.2"/>
    <row r="37571" customFormat="1" x14ac:dyDescent="0.2"/>
    <row r="37572" customFormat="1" x14ac:dyDescent="0.2"/>
    <row r="37573" customFormat="1" x14ac:dyDescent="0.2"/>
    <row r="37574" customFormat="1" x14ac:dyDescent="0.2"/>
    <row r="37575" customFormat="1" x14ac:dyDescent="0.2"/>
    <row r="37576" customFormat="1" x14ac:dyDescent="0.2"/>
    <row r="37577" customFormat="1" x14ac:dyDescent="0.2"/>
    <row r="37578" customFormat="1" x14ac:dyDescent="0.2"/>
    <row r="37579" customFormat="1" x14ac:dyDescent="0.2"/>
    <row r="37580" customFormat="1" x14ac:dyDescent="0.2"/>
    <row r="37581" customFormat="1" x14ac:dyDescent="0.2"/>
    <row r="37582" customFormat="1" x14ac:dyDescent="0.2"/>
    <row r="37583" customFormat="1" x14ac:dyDescent="0.2"/>
    <row r="37584" customFormat="1" x14ac:dyDescent="0.2"/>
    <row r="37585" customFormat="1" x14ac:dyDescent="0.2"/>
    <row r="37586" customFormat="1" x14ac:dyDescent="0.2"/>
    <row r="37587" customFormat="1" x14ac:dyDescent="0.2"/>
    <row r="37588" customFormat="1" x14ac:dyDescent="0.2"/>
    <row r="37589" customFormat="1" x14ac:dyDescent="0.2"/>
    <row r="37590" customFormat="1" x14ac:dyDescent="0.2"/>
    <row r="37591" customFormat="1" x14ac:dyDescent="0.2"/>
    <row r="37592" customFormat="1" x14ac:dyDescent="0.2"/>
    <row r="37593" customFormat="1" x14ac:dyDescent="0.2"/>
    <row r="37594" customFormat="1" x14ac:dyDescent="0.2"/>
    <row r="37595" customFormat="1" x14ac:dyDescent="0.2"/>
    <row r="37596" customFormat="1" x14ac:dyDescent="0.2"/>
    <row r="37597" customFormat="1" x14ac:dyDescent="0.2"/>
    <row r="37598" customFormat="1" x14ac:dyDescent="0.2"/>
    <row r="37599" customFormat="1" x14ac:dyDescent="0.2"/>
    <row r="37600" customFormat="1" x14ac:dyDescent="0.2"/>
    <row r="37601" customFormat="1" x14ac:dyDescent="0.2"/>
    <row r="37602" customFormat="1" x14ac:dyDescent="0.2"/>
    <row r="37603" customFormat="1" x14ac:dyDescent="0.2"/>
    <row r="37604" customFormat="1" x14ac:dyDescent="0.2"/>
    <row r="37605" customFormat="1" x14ac:dyDescent="0.2"/>
    <row r="37606" customFormat="1" x14ac:dyDescent="0.2"/>
    <row r="37607" customFormat="1" x14ac:dyDescent="0.2"/>
    <row r="37608" customFormat="1" x14ac:dyDescent="0.2"/>
    <row r="37609" customFormat="1" x14ac:dyDescent="0.2"/>
    <row r="37610" customFormat="1" x14ac:dyDescent="0.2"/>
    <row r="37611" customFormat="1" x14ac:dyDescent="0.2"/>
    <row r="37612" customFormat="1" x14ac:dyDescent="0.2"/>
    <row r="37613" customFormat="1" x14ac:dyDescent="0.2"/>
    <row r="37614" customFormat="1" x14ac:dyDescent="0.2"/>
    <row r="37615" customFormat="1" x14ac:dyDescent="0.2"/>
    <row r="37616" customFormat="1" x14ac:dyDescent="0.2"/>
    <row r="37617" customFormat="1" x14ac:dyDescent="0.2"/>
    <row r="37618" customFormat="1" x14ac:dyDescent="0.2"/>
    <row r="37619" customFormat="1" x14ac:dyDescent="0.2"/>
    <row r="37620" customFormat="1" x14ac:dyDescent="0.2"/>
    <row r="37621" customFormat="1" x14ac:dyDescent="0.2"/>
    <row r="37622" customFormat="1" x14ac:dyDescent="0.2"/>
    <row r="37623" customFormat="1" x14ac:dyDescent="0.2"/>
    <row r="37624" customFormat="1" x14ac:dyDescent="0.2"/>
    <row r="37625" customFormat="1" x14ac:dyDescent="0.2"/>
    <row r="37626" customFormat="1" x14ac:dyDescent="0.2"/>
    <row r="37627" customFormat="1" x14ac:dyDescent="0.2"/>
    <row r="37628" customFormat="1" x14ac:dyDescent="0.2"/>
    <row r="37629" customFormat="1" x14ac:dyDescent="0.2"/>
    <row r="37630" customFormat="1" x14ac:dyDescent="0.2"/>
    <row r="37631" customFormat="1" x14ac:dyDescent="0.2"/>
    <row r="37632" customFormat="1" x14ac:dyDescent="0.2"/>
    <row r="37633" customFormat="1" x14ac:dyDescent="0.2"/>
    <row r="37634" customFormat="1" x14ac:dyDescent="0.2"/>
    <row r="37635" customFormat="1" x14ac:dyDescent="0.2"/>
    <row r="37636" customFormat="1" x14ac:dyDescent="0.2"/>
    <row r="37637" customFormat="1" x14ac:dyDescent="0.2"/>
    <row r="37638" customFormat="1" x14ac:dyDescent="0.2"/>
    <row r="37639" customFormat="1" x14ac:dyDescent="0.2"/>
    <row r="37640" customFormat="1" x14ac:dyDescent="0.2"/>
    <row r="37641" customFormat="1" x14ac:dyDescent="0.2"/>
    <row r="37642" customFormat="1" x14ac:dyDescent="0.2"/>
    <row r="37643" customFormat="1" x14ac:dyDescent="0.2"/>
    <row r="37644" customFormat="1" x14ac:dyDescent="0.2"/>
    <row r="37645" customFormat="1" x14ac:dyDescent="0.2"/>
    <row r="37646" customFormat="1" x14ac:dyDescent="0.2"/>
    <row r="37647" customFormat="1" x14ac:dyDescent="0.2"/>
    <row r="37648" customFormat="1" x14ac:dyDescent="0.2"/>
    <row r="37649" customFormat="1" x14ac:dyDescent="0.2"/>
    <row r="37650" customFormat="1" x14ac:dyDescent="0.2"/>
    <row r="37651" customFormat="1" x14ac:dyDescent="0.2"/>
    <row r="37652" customFormat="1" x14ac:dyDescent="0.2"/>
    <row r="37653" customFormat="1" x14ac:dyDescent="0.2"/>
    <row r="37654" customFormat="1" x14ac:dyDescent="0.2"/>
    <row r="37655" customFormat="1" x14ac:dyDescent="0.2"/>
    <row r="37656" customFormat="1" x14ac:dyDescent="0.2"/>
    <row r="37657" customFormat="1" x14ac:dyDescent="0.2"/>
    <row r="37658" customFormat="1" x14ac:dyDescent="0.2"/>
    <row r="37659" customFormat="1" x14ac:dyDescent="0.2"/>
    <row r="37660" customFormat="1" x14ac:dyDescent="0.2"/>
    <row r="37661" customFormat="1" x14ac:dyDescent="0.2"/>
    <row r="37662" customFormat="1" x14ac:dyDescent="0.2"/>
    <row r="37663" customFormat="1" x14ac:dyDescent="0.2"/>
    <row r="37664" customFormat="1" x14ac:dyDescent="0.2"/>
    <row r="37665" customFormat="1" x14ac:dyDescent="0.2"/>
    <row r="37666" customFormat="1" x14ac:dyDescent="0.2"/>
    <row r="37667" customFormat="1" x14ac:dyDescent="0.2"/>
    <row r="37668" customFormat="1" x14ac:dyDescent="0.2"/>
    <row r="37669" customFormat="1" x14ac:dyDescent="0.2"/>
    <row r="37670" customFormat="1" x14ac:dyDescent="0.2"/>
    <row r="37671" customFormat="1" x14ac:dyDescent="0.2"/>
    <row r="37672" customFormat="1" x14ac:dyDescent="0.2"/>
    <row r="37673" customFormat="1" x14ac:dyDescent="0.2"/>
    <row r="37674" customFormat="1" x14ac:dyDescent="0.2"/>
    <row r="37675" customFormat="1" x14ac:dyDescent="0.2"/>
    <row r="37676" customFormat="1" x14ac:dyDescent="0.2"/>
    <row r="37677" customFormat="1" x14ac:dyDescent="0.2"/>
    <row r="37678" customFormat="1" x14ac:dyDescent="0.2"/>
    <row r="37679" customFormat="1" x14ac:dyDescent="0.2"/>
    <row r="37680" customFormat="1" x14ac:dyDescent="0.2"/>
    <row r="37681" customFormat="1" x14ac:dyDescent="0.2"/>
    <row r="37682" customFormat="1" x14ac:dyDescent="0.2"/>
    <row r="37683" customFormat="1" x14ac:dyDescent="0.2"/>
    <row r="37684" customFormat="1" x14ac:dyDescent="0.2"/>
    <row r="37685" customFormat="1" x14ac:dyDescent="0.2"/>
    <row r="37686" customFormat="1" x14ac:dyDescent="0.2"/>
    <row r="37687" customFormat="1" x14ac:dyDescent="0.2"/>
    <row r="37688" customFormat="1" x14ac:dyDescent="0.2"/>
    <row r="37689" customFormat="1" x14ac:dyDescent="0.2"/>
    <row r="37690" customFormat="1" x14ac:dyDescent="0.2"/>
    <row r="37691" customFormat="1" x14ac:dyDescent="0.2"/>
    <row r="37692" customFormat="1" x14ac:dyDescent="0.2"/>
    <row r="37693" customFormat="1" x14ac:dyDescent="0.2"/>
    <row r="37694" customFormat="1" x14ac:dyDescent="0.2"/>
    <row r="37695" customFormat="1" x14ac:dyDescent="0.2"/>
    <row r="37696" customFormat="1" x14ac:dyDescent="0.2"/>
    <row r="37697" customFormat="1" x14ac:dyDescent="0.2"/>
    <row r="37698" customFormat="1" x14ac:dyDescent="0.2"/>
    <row r="37699" customFormat="1" x14ac:dyDescent="0.2"/>
    <row r="37700" customFormat="1" x14ac:dyDescent="0.2"/>
    <row r="37701" customFormat="1" x14ac:dyDescent="0.2"/>
    <row r="37702" customFormat="1" x14ac:dyDescent="0.2"/>
    <row r="37703" customFormat="1" x14ac:dyDescent="0.2"/>
    <row r="37704" customFormat="1" x14ac:dyDescent="0.2"/>
    <row r="37705" customFormat="1" x14ac:dyDescent="0.2"/>
    <row r="37706" customFormat="1" x14ac:dyDescent="0.2"/>
    <row r="37707" customFormat="1" x14ac:dyDescent="0.2"/>
    <row r="37708" customFormat="1" x14ac:dyDescent="0.2"/>
    <row r="37709" customFormat="1" x14ac:dyDescent="0.2"/>
    <row r="37710" customFormat="1" x14ac:dyDescent="0.2"/>
    <row r="37711" customFormat="1" x14ac:dyDescent="0.2"/>
    <row r="37712" customFormat="1" x14ac:dyDescent="0.2"/>
    <row r="37713" customFormat="1" x14ac:dyDescent="0.2"/>
    <row r="37714" customFormat="1" x14ac:dyDescent="0.2"/>
    <row r="37715" customFormat="1" x14ac:dyDescent="0.2"/>
    <row r="37716" customFormat="1" x14ac:dyDescent="0.2"/>
    <row r="37717" customFormat="1" x14ac:dyDescent="0.2"/>
    <row r="37718" customFormat="1" x14ac:dyDescent="0.2"/>
    <row r="37719" customFormat="1" x14ac:dyDescent="0.2"/>
    <row r="37720" customFormat="1" x14ac:dyDescent="0.2"/>
    <row r="37721" customFormat="1" x14ac:dyDescent="0.2"/>
    <row r="37722" customFormat="1" x14ac:dyDescent="0.2"/>
    <row r="37723" customFormat="1" x14ac:dyDescent="0.2"/>
    <row r="37724" customFormat="1" x14ac:dyDescent="0.2"/>
    <row r="37725" customFormat="1" x14ac:dyDescent="0.2"/>
    <row r="37726" customFormat="1" x14ac:dyDescent="0.2"/>
    <row r="37727" customFormat="1" x14ac:dyDescent="0.2"/>
    <row r="37728" customFormat="1" x14ac:dyDescent="0.2"/>
    <row r="37729" customFormat="1" x14ac:dyDescent="0.2"/>
    <row r="37730" customFormat="1" x14ac:dyDescent="0.2"/>
    <row r="37731" customFormat="1" x14ac:dyDescent="0.2"/>
    <row r="37732" customFormat="1" x14ac:dyDescent="0.2"/>
    <row r="37733" customFormat="1" x14ac:dyDescent="0.2"/>
    <row r="37734" customFormat="1" x14ac:dyDescent="0.2"/>
    <row r="37735" customFormat="1" x14ac:dyDescent="0.2"/>
    <row r="37736" customFormat="1" x14ac:dyDescent="0.2"/>
    <row r="37737" customFormat="1" x14ac:dyDescent="0.2"/>
    <row r="37738" customFormat="1" x14ac:dyDescent="0.2"/>
    <row r="37739" customFormat="1" x14ac:dyDescent="0.2"/>
    <row r="37740" customFormat="1" x14ac:dyDescent="0.2"/>
    <row r="37741" customFormat="1" x14ac:dyDescent="0.2"/>
    <row r="37742" customFormat="1" x14ac:dyDescent="0.2"/>
    <row r="37743" customFormat="1" x14ac:dyDescent="0.2"/>
    <row r="37744" customFormat="1" x14ac:dyDescent="0.2"/>
    <row r="37745" customFormat="1" x14ac:dyDescent="0.2"/>
    <row r="37746" customFormat="1" x14ac:dyDescent="0.2"/>
    <row r="37747" customFormat="1" x14ac:dyDescent="0.2"/>
    <row r="37748" customFormat="1" x14ac:dyDescent="0.2"/>
    <row r="37749" customFormat="1" x14ac:dyDescent="0.2"/>
    <row r="37750" customFormat="1" x14ac:dyDescent="0.2"/>
    <row r="37751" customFormat="1" x14ac:dyDescent="0.2"/>
    <row r="37752" customFormat="1" x14ac:dyDescent="0.2"/>
    <row r="37753" customFormat="1" x14ac:dyDescent="0.2"/>
    <row r="37754" customFormat="1" x14ac:dyDescent="0.2"/>
    <row r="37755" customFormat="1" x14ac:dyDescent="0.2"/>
    <row r="37756" customFormat="1" x14ac:dyDescent="0.2"/>
    <row r="37757" customFormat="1" x14ac:dyDescent="0.2"/>
    <row r="37758" customFormat="1" x14ac:dyDescent="0.2"/>
    <row r="37759" customFormat="1" x14ac:dyDescent="0.2"/>
    <row r="37760" customFormat="1" x14ac:dyDescent="0.2"/>
    <row r="37761" customFormat="1" x14ac:dyDescent="0.2"/>
    <row r="37762" customFormat="1" x14ac:dyDescent="0.2"/>
    <row r="37763" customFormat="1" x14ac:dyDescent="0.2"/>
    <row r="37764" customFormat="1" x14ac:dyDescent="0.2"/>
    <row r="37765" customFormat="1" x14ac:dyDescent="0.2"/>
    <row r="37766" customFormat="1" x14ac:dyDescent="0.2"/>
    <row r="37767" customFormat="1" x14ac:dyDescent="0.2"/>
    <row r="37768" customFormat="1" x14ac:dyDescent="0.2"/>
    <row r="37769" customFormat="1" x14ac:dyDescent="0.2"/>
    <row r="37770" customFormat="1" x14ac:dyDescent="0.2"/>
    <row r="37771" customFormat="1" x14ac:dyDescent="0.2"/>
    <row r="37772" customFormat="1" x14ac:dyDescent="0.2"/>
    <row r="37773" customFormat="1" x14ac:dyDescent="0.2"/>
    <row r="37774" customFormat="1" x14ac:dyDescent="0.2"/>
    <row r="37775" customFormat="1" x14ac:dyDescent="0.2"/>
    <row r="37776" customFormat="1" x14ac:dyDescent="0.2"/>
    <row r="37777" customFormat="1" x14ac:dyDescent="0.2"/>
    <row r="37778" customFormat="1" x14ac:dyDescent="0.2"/>
    <row r="37779" customFormat="1" x14ac:dyDescent="0.2"/>
    <row r="37780" customFormat="1" x14ac:dyDescent="0.2"/>
    <row r="37781" customFormat="1" x14ac:dyDescent="0.2"/>
    <row r="37782" customFormat="1" x14ac:dyDescent="0.2"/>
    <row r="37783" customFormat="1" x14ac:dyDescent="0.2"/>
    <row r="37784" customFormat="1" x14ac:dyDescent="0.2"/>
    <row r="37785" customFormat="1" x14ac:dyDescent="0.2"/>
    <row r="37786" customFormat="1" x14ac:dyDescent="0.2"/>
    <row r="37787" customFormat="1" x14ac:dyDescent="0.2"/>
    <row r="37788" customFormat="1" x14ac:dyDescent="0.2"/>
    <row r="37789" customFormat="1" x14ac:dyDescent="0.2"/>
    <row r="37790" customFormat="1" x14ac:dyDescent="0.2"/>
    <row r="37791" customFormat="1" x14ac:dyDescent="0.2"/>
    <row r="37792" customFormat="1" x14ac:dyDescent="0.2"/>
    <row r="37793" customFormat="1" x14ac:dyDescent="0.2"/>
    <row r="37794" customFormat="1" x14ac:dyDescent="0.2"/>
    <row r="37795" customFormat="1" x14ac:dyDescent="0.2"/>
    <row r="37796" customFormat="1" x14ac:dyDescent="0.2"/>
    <row r="37797" customFormat="1" x14ac:dyDescent="0.2"/>
    <row r="37798" customFormat="1" x14ac:dyDescent="0.2"/>
    <row r="37799" customFormat="1" x14ac:dyDescent="0.2"/>
    <row r="37800" customFormat="1" x14ac:dyDescent="0.2"/>
    <row r="37801" customFormat="1" x14ac:dyDescent="0.2"/>
    <row r="37802" customFormat="1" x14ac:dyDescent="0.2"/>
    <row r="37803" customFormat="1" x14ac:dyDescent="0.2"/>
    <row r="37804" customFormat="1" x14ac:dyDescent="0.2"/>
    <row r="37805" customFormat="1" x14ac:dyDescent="0.2"/>
    <row r="37806" customFormat="1" x14ac:dyDescent="0.2"/>
    <row r="37807" customFormat="1" x14ac:dyDescent="0.2"/>
    <row r="37808" customFormat="1" x14ac:dyDescent="0.2"/>
    <row r="37809" customFormat="1" x14ac:dyDescent="0.2"/>
    <row r="37810" customFormat="1" x14ac:dyDescent="0.2"/>
    <row r="37811" customFormat="1" x14ac:dyDescent="0.2"/>
    <row r="37812" customFormat="1" x14ac:dyDescent="0.2"/>
    <row r="37813" customFormat="1" x14ac:dyDescent="0.2"/>
    <row r="37814" customFormat="1" x14ac:dyDescent="0.2"/>
    <row r="37815" customFormat="1" x14ac:dyDescent="0.2"/>
    <row r="37816" customFormat="1" x14ac:dyDescent="0.2"/>
    <row r="37817" customFormat="1" x14ac:dyDescent="0.2"/>
    <row r="37818" customFormat="1" x14ac:dyDescent="0.2"/>
    <row r="37819" customFormat="1" x14ac:dyDescent="0.2"/>
    <row r="37820" customFormat="1" x14ac:dyDescent="0.2"/>
    <row r="37821" customFormat="1" x14ac:dyDescent="0.2"/>
    <row r="37822" customFormat="1" x14ac:dyDescent="0.2"/>
    <row r="37823" customFormat="1" x14ac:dyDescent="0.2"/>
    <row r="37824" customFormat="1" x14ac:dyDescent="0.2"/>
    <row r="37825" customFormat="1" x14ac:dyDescent="0.2"/>
    <row r="37826" customFormat="1" x14ac:dyDescent="0.2"/>
    <row r="37827" customFormat="1" x14ac:dyDescent="0.2"/>
    <row r="37828" customFormat="1" x14ac:dyDescent="0.2"/>
    <row r="37829" customFormat="1" x14ac:dyDescent="0.2"/>
    <row r="37830" customFormat="1" x14ac:dyDescent="0.2"/>
    <row r="37831" customFormat="1" x14ac:dyDescent="0.2"/>
    <row r="37832" customFormat="1" x14ac:dyDescent="0.2"/>
    <row r="37833" customFormat="1" x14ac:dyDescent="0.2"/>
    <row r="37834" customFormat="1" x14ac:dyDescent="0.2"/>
    <row r="37835" customFormat="1" x14ac:dyDescent="0.2"/>
    <row r="37836" customFormat="1" x14ac:dyDescent="0.2"/>
    <row r="37837" customFormat="1" x14ac:dyDescent="0.2"/>
    <row r="37838" customFormat="1" x14ac:dyDescent="0.2"/>
    <row r="37839" customFormat="1" x14ac:dyDescent="0.2"/>
    <row r="37840" customFormat="1" x14ac:dyDescent="0.2"/>
    <row r="37841" customFormat="1" x14ac:dyDescent="0.2"/>
    <row r="37842" customFormat="1" x14ac:dyDescent="0.2"/>
    <row r="37843" customFormat="1" x14ac:dyDescent="0.2"/>
    <row r="37844" customFormat="1" x14ac:dyDescent="0.2"/>
    <row r="37845" customFormat="1" x14ac:dyDescent="0.2"/>
    <row r="37846" customFormat="1" x14ac:dyDescent="0.2"/>
    <row r="37847" customFormat="1" x14ac:dyDescent="0.2"/>
    <row r="37848" customFormat="1" x14ac:dyDescent="0.2"/>
    <row r="37849" customFormat="1" x14ac:dyDescent="0.2"/>
    <row r="37850" customFormat="1" x14ac:dyDescent="0.2"/>
    <row r="37851" customFormat="1" x14ac:dyDescent="0.2"/>
    <row r="37852" customFormat="1" x14ac:dyDescent="0.2"/>
    <row r="37853" customFormat="1" x14ac:dyDescent="0.2"/>
    <row r="37854" customFormat="1" x14ac:dyDescent="0.2"/>
    <row r="37855" customFormat="1" x14ac:dyDescent="0.2"/>
    <row r="37856" customFormat="1" x14ac:dyDescent="0.2"/>
    <row r="37857" customFormat="1" x14ac:dyDescent="0.2"/>
    <row r="37858" customFormat="1" x14ac:dyDescent="0.2"/>
    <row r="37859" customFormat="1" x14ac:dyDescent="0.2"/>
    <row r="37860" customFormat="1" x14ac:dyDescent="0.2"/>
    <row r="37861" customFormat="1" x14ac:dyDescent="0.2"/>
    <row r="37862" customFormat="1" x14ac:dyDescent="0.2"/>
    <row r="37863" customFormat="1" x14ac:dyDescent="0.2"/>
    <row r="37864" customFormat="1" x14ac:dyDescent="0.2"/>
    <row r="37865" customFormat="1" x14ac:dyDescent="0.2"/>
    <row r="37866" customFormat="1" x14ac:dyDescent="0.2"/>
    <row r="37867" customFormat="1" x14ac:dyDescent="0.2"/>
    <row r="37868" customFormat="1" x14ac:dyDescent="0.2"/>
    <row r="37869" customFormat="1" x14ac:dyDescent="0.2"/>
    <row r="37870" customFormat="1" x14ac:dyDescent="0.2"/>
    <row r="37871" customFormat="1" x14ac:dyDescent="0.2"/>
    <row r="37872" customFormat="1" x14ac:dyDescent="0.2"/>
    <row r="37873" customFormat="1" x14ac:dyDescent="0.2"/>
    <row r="37874" customFormat="1" x14ac:dyDescent="0.2"/>
    <row r="37875" customFormat="1" x14ac:dyDescent="0.2"/>
    <row r="37876" customFormat="1" x14ac:dyDescent="0.2"/>
    <row r="37877" customFormat="1" x14ac:dyDescent="0.2"/>
    <row r="37878" customFormat="1" x14ac:dyDescent="0.2"/>
    <row r="37879" customFormat="1" x14ac:dyDescent="0.2"/>
    <row r="37880" customFormat="1" x14ac:dyDescent="0.2"/>
    <row r="37881" customFormat="1" x14ac:dyDescent="0.2"/>
    <row r="37882" customFormat="1" x14ac:dyDescent="0.2"/>
    <row r="37883" customFormat="1" x14ac:dyDescent="0.2"/>
    <row r="37884" customFormat="1" x14ac:dyDescent="0.2"/>
    <row r="37885" customFormat="1" x14ac:dyDescent="0.2"/>
    <row r="37886" customFormat="1" x14ac:dyDescent="0.2"/>
    <row r="37887" customFormat="1" x14ac:dyDescent="0.2"/>
    <row r="37888" customFormat="1" x14ac:dyDescent="0.2"/>
    <row r="37889" customFormat="1" x14ac:dyDescent="0.2"/>
    <row r="37890" customFormat="1" x14ac:dyDescent="0.2"/>
    <row r="37891" customFormat="1" x14ac:dyDescent="0.2"/>
    <row r="37892" customFormat="1" x14ac:dyDescent="0.2"/>
    <row r="37893" customFormat="1" x14ac:dyDescent="0.2"/>
    <row r="37894" customFormat="1" x14ac:dyDescent="0.2"/>
    <row r="37895" customFormat="1" x14ac:dyDescent="0.2"/>
    <row r="37896" customFormat="1" x14ac:dyDescent="0.2"/>
    <row r="37897" customFormat="1" x14ac:dyDescent="0.2"/>
    <row r="37898" customFormat="1" x14ac:dyDescent="0.2"/>
    <row r="37899" customFormat="1" x14ac:dyDescent="0.2"/>
    <row r="37900" customFormat="1" x14ac:dyDescent="0.2"/>
    <row r="37901" customFormat="1" x14ac:dyDescent="0.2"/>
    <row r="37902" customFormat="1" x14ac:dyDescent="0.2"/>
    <row r="37903" customFormat="1" x14ac:dyDescent="0.2"/>
    <row r="37904" customFormat="1" x14ac:dyDescent="0.2"/>
    <row r="37905" customFormat="1" x14ac:dyDescent="0.2"/>
    <row r="37906" customFormat="1" x14ac:dyDescent="0.2"/>
    <row r="37907" customFormat="1" x14ac:dyDescent="0.2"/>
    <row r="37908" customFormat="1" x14ac:dyDescent="0.2"/>
    <row r="37909" customFormat="1" x14ac:dyDescent="0.2"/>
    <row r="37910" customFormat="1" x14ac:dyDescent="0.2"/>
    <row r="37911" customFormat="1" x14ac:dyDescent="0.2"/>
    <row r="37912" customFormat="1" x14ac:dyDescent="0.2"/>
    <row r="37913" customFormat="1" x14ac:dyDescent="0.2"/>
    <row r="37914" customFormat="1" x14ac:dyDescent="0.2"/>
    <row r="37915" customFormat="1" x14ac:dyDescent="0.2"/>
    <row r="37916" customFormat="1" x14ac:dyDescent="0.2"/>
    <row r="37917" customFormat="1" x14ac:dyDescent="0.2"/>
    <row r="37918" customFormat="1" x14ac:dyDescent="0.2"/>
    <row r="37919" customFormat="1" x14ac:dyDescent="0.2"/>
    <row r="37920" customFormat="1" x14ac:dyDescent="0.2"/>
    <row r="37921" customFormat="1" x14ac:dyDescent="0.2"/>
    <row r="37922" customFormat="1" x14ac:dyDescent="0.2"/>
    <row r="37923" customFormat="1" x14ac:dyDescent="0.2"/>
    <row r="37924" customFormat="1" x14ac:dyDescent="0.2"/>
    <row r="37925" customFormat="1" x14ac:dyDescent="0.2"/>
    <row r="37926" customFormat="1" x14ac:dyDescent="0.2"/>
    <row r="37927" customFormat="1" x14ac:dyDescent="0.2"/>
    <row r="37928" customFormat="1" x14ac:dyDescent="0.2"/>
    <row r="37929" customFormat="1" x14ac:dyDescent="0.2"/>
    <row r="37930" customFormat="1" x14ac:dyDescent="0.2"/>
    <row r="37931" customFormat="1" x14ac:dyDescent="0.2"/>
    <row r="37932" customFormat="1" x14ac:dyDescent="0.2"/>
    <row r="37933" customFormat="1" x14ac:dyDescent="0.2"/>
    <row r="37934" customFormat="1" x14ac:dyDescent="0.2"/>
    <row r="37935" customFormat="1" x14ac:dyDescent="0.2"/>
    <row r="37936" customFormat="1" x14ac:dyDescent="0.2"/>
    <row r="37937" customFormat="1" x14ac:dyDescent="0.2"/>
    <row r="37938" customFormat="1" x14ac:dyDescent="0.2"/>
    <row r="37939" customFormat="1" x14ac:dyDescent="0.2"/>
    <row r="37940" customFormat="1" x14ac:dyDescent="0.2"/>
    <row r="37941" customFormat="1" x14ac:dyDescent="0.2"/>
    <row r="37942" customFormat="1" x14ac:dyDescent="0.2"/>
    <row r="37943" customFormat="1" x14ac:dyDescent="0.2"/>
    <row r="37944" customFormat="1" x14ac:dyDescent="0.2"/>
    <row r="37945" customFormat="1" x14ac:dyDescent="0.2"/>
    <row r="37946" customFormat="1" x14ac:dyDescent="0.2"/>
    <row r="37947" customFormat="1" x14ac:dyDescent="0.2"/>
    <row r="37948" customFormat="1" x14ac:dyDescent="0.2"/>
    <row r="37949" customFormat="1" x14ac:dyDescent="0.2"/>
    <row r="37950" customFormat="1" x14ac:dyDescent="0.2"/>
    <row r="37951" customFormat="1" x14ac:dyDescent="0.2"/>
    <row r="37952" customFormat="1" x14ac:dyDescent="0.2"/>
    <row r="37953" customFormat="1" x14ac:dyDescent="0.2"/>
    <row r="37954" customFormat="1" x14ac:dyDescent="0.2"/>
    <row r="37955" customFormat="1" x14ac:dyDescent="0.2"/>
    <row r="37956" customFormat="1" x14ac:dyDescent="0.2"/>
    <row r="37957" customFormat="1" x14ac:dyDescent="0.2"/>
    <row r="37958" customFormat="1" x14ac:dyDescent="0.2"/>
    <row r="37959" customFormat="1" x14ac:dyDescent="0.2"/>
    <row r="37960" customFormat="1" x14ac:dyDescent="0.2"/>
    <row r="37961" customFormat="1" x14ac:dyDescent="0.2"/>
    <row r="37962" customFormat="1" x14ac:dyDescent="0.2"/>
    <row r="37963" customFormat="1" x14ac:dyDescent="0.2"/>
    <row r="37964" customFormat="1" x14ac:dyDescent="0.2"/>
    <row r="37965" customFormat="1" x14ac:dyDescent="0.2"/>
    <row r="37966" customFormat="1" x14ac:dyDescent="0.2"/>
    <row r="37967" customFormat="1" x14ac:dyDescent="0.2"/>
    <row r="37968" customFormat="1" x14ac:dyDescent="0.2"/>
    <row r="37969" customFormat="1" x14ac:dyDescent="0.2"/>
    <row r="37970" customFormat="1" x14ac:dyDescent="0.2"/>
    <row r="37971" customFormat="1" x14ac:dyDescent="0.2"/>
    <row r="37972" customFormat="1" x14ac:dyDescent="0.2"/>
    <row r="37973" customFormat="1" x14ac:dyDescent="0.2"/>
    <row r="37974" customFormat="1" x14ac:dyDescent="0.2"/>
    <row r="37975" customFormat="1" x14ac:dyDescent="0.2"/>
    <row r="37976" customFormat="1" x14ac:dyDescent="0.2"/>
    <row r="37977" customFormat="1" x14ac:dyDescent="0.2"/>
    <row r="37978" customFormat="1" x14ac:dyDescent="0.2"/>
    <row r="37979" customFormat="1" x14ac:dyDescent="0.2"/>
    <row r="37980" customFormat="1" x14ac:dyDescent="0.2"/>
    <row r="37981" customFormat="1" x14ac:dyDescent="0.2"/>
    <row r="37982" customFormat="1" x14ac:dyDescent="0.2"/>
    <row r="37983" customFormat="1" x14ac:dyDescent="0.2"/>
    <row r="37984" customFormat="1" x14ac:dyDescent="0.2"/>
    <row r="37985" customFormat="1" x14ac:dyDescent="0.2"/>
    <row r="37986" customFormat="1" x14ac:dyDescent="0.2"/>
    <row r="37987" customFormat="1" x14ac:dyDescent="0.2"/>
    <row r="37988" customFormat="1" x14ac:dyDescent="0.2"/>
    <row r="37989" customFormat="1" x14ac:dyDescent="0.2"/>
    <row r="37990" customFormat="1" x14ac:dyDescent="0.2"/>
    <row r="37991" customFormat="1" x14ac:dyDescent="0.2"/>
    <row r="37992" customFormat="1" x14ac:dyDescent="0.2"/>
    <row r="37993" customFormat="1" x14ac:dyDescent="0.2"/>
    <row r="37994" customFormat="1" x14ac:dyDescent="0.2"/>
    <row r="37995" customFormat="1" x14ac:dyDescent="0.2"/>
    <row r="37996" customFormat="1" x14ac:dyDescent="0.2"/>
    <row r="37997" customFormat="1" x14ac:dyDescent="0.2"/>
    <row r="37998" customFormat="1" x14ac:dyDescent="0.2"/>
    <row r="37999" customFormat="1" x14ac:dyDescent="0.2"/>
    <row r="38000" customFormat="1" x14ac:dyDescent="0.2"/>
    <row r="38001" customFormat="1" x14ac:dyDescent="0.2"/>
    <row r="38002" customFormat="1" x14ac:dyDescent="0.2"/>
    <row r="38003" customFormat="1" x14ac:dyDescent="0.2"/>
    <row r="38004" customFormat="1" x14ac:dyDescent="0.2"/>
    <row r="38005" customFormat="1" x14ac:dyDescent="0.2"/>
    <row r="38006" customFormat="1" x14ac:dyDescent="0.2"/>
    <row r="38007" customFormat="1" x14ac:dyDescent="0.2"/>
    <row r="38008" customFormat="1" x14ac:dyDescent="0.2"/>
    <row r="38009" customFormat="1" x14ac:dyDescent="0.2"/>
    <row r="38010" customFormat="1" x14ac:dyDescent="0.2"/>
    <row r="38011" customFormat="1" x14ac:dyDescent="0.2"/>
    <row r="38012" customFormat="1" x14ac:dyDescent="0.2"/>
    <row r="38013" customFormat="1" x14ac:dyDescent="0.2"/>
    <row r="38014" customFormat="1" x14ac:dyDescent="0.2"/>
    <row r="38015" customFormat="1" x14ac:dyDescent="0.2"/>
    <row r="38016" customFormat="1" x14ac:dyDescent="0.2"/>
    <row r="38017" customFormat="1" x14ac:dyDescent="0.2"/>
    <row r="38018" customFormat="1" x14ac:dyDescent="0.2"/>
    <row r="38019" customFormat="1" x14ac:dyDescent="0.2"/>
    <row r="38020" customFormat="1" x14ac:dyDescent="0.2"/>
    <row r="38021" customFormat="1" x14ac:dyDescent="0.2"/>
    <row r="38022" customFormat="1" x14ac:dyDescent="0.2"/>
    <row r="38023" customFormat="1" x14ac:dyDescent="0.2"/>
    <row r="38024" customFormat="1" x14ac:dyDescent="0.2"/>
    <row r="38025" customFormat="1" x14ac:dyDescent="0.2"/>
    <row r="38026" customFormat="1" x14ac:dyDescent="0.2"/>
    <row r="38027" customFormat="1" x14ac:dyDescent="0.2"/>
    <row r="38028" customFormat="1" x14ac:dyDescent="0.2"/>
    <row r="38029" customFormat="1" x14ac:dyDescent="0.2"/>
    <row r="38030" customFormat="1" x14ac:dyDescent="0.2"/>
    <row r="38031" customFormat="1" x14ac:dyDescent="0.2"/>
    <row r="38032" customFormat="1" x14ac:dyDescent="0.2"/>
    <row r="38033" customFormat="1" x14ac:dyDescent="0.2"/>
    <row r="38034" customFormat="1" x14ac:dyDescent="0.2"/>
    <row r="38035" customFormat="1" x14ac:dyDescent="0.2"/>
    <row r="38036" customFormat="1" x14ac:dyDescent="0.2"/>
    <row r="38037" customFormat="1" x14ac:dyDescent="0.2"/>
    <row r="38038" customFormat="1" x14ac:dyDescent="0.2"/>
    <row r="38039" customFormat="1" x14ac:dyDescent="0.2"/>
    <row r="38040" customFormat="1" x14ac:dyDescent="0.2"/>
    <row r="38041" customFormat="1" x14ac:dyDescent="0.2"/>
    <row r="38042" customFormat="1" x14ac:dyDescent="0.2"/>
    <row r="38043" customFormat="1" x14ac:dyDescent="0.2"/>
    <row r="38044" customFormat="1" x14ac:dyDescent="0.2"/>
    <row r="38045" customFormat="1" x14ac:dyDescent="0.2"/>
    <row r="38046" customFormat="1" x14ac:dyDescent="0.2"/>
    <row r="38047" customFormat="1" x14ac:dyDescent="0.2"/>
    <row r="38048" customFormat="1" x14ac:dyDescent="0.2"/>
    <row r="38049" customFormat="1" x14ac:dyDescent="0.2"/>
    <row r="38050" customFormat="1" x14ac:dyDescent="0.2"/>
    <row r="38051" customFormat="1" x14ac:dyDescent="0.2"/>
    <row r="38052" customFormat="1" x14ac:dyDescent="0.2"/>
    <row r="38053" customFormat="1" x14ac:dyDescent="0.2"/>
    <row r="38054" customFormat="1" x14ac:dyDescent="0.2"/>
    <row r="38055" customFormat="1" x14ac:dyDescent="0.2"/>
    <row r="38056" customFormat="1" x14ac:dyDescent="0.2"/>
    <row r="38057" customFormat="1" x14ac:dyDescent="0.2"/>
    <row r="38058" customFormat="1" x14ac:dyDescent="0.2"/>
    <row r="38059" customFormat="1" x14ac:dyDescent="0.2"/>
    <row r="38060" customFormat="1" x14ac:dyDescent="0.2"/>
    <row r="38061" customFormat="1" x14ac:dyDescent="0.2"/>
    <row r="38062" customFormat="1" x14ac:dyDescent="0.2"/>
    <row r="38063" customFormat="1" x14ac:dyDescent="0.2"/>
    <row r="38064" customFormat="1" x14ac:dyDescent="0.2"/>
    <row r="38065" customFormat="1" x14ac:dyDescent="0.2"/>
    <row r="38066" customFormat="1" x14ac:dyDescent="0.2"/>
    <row r="38067" customFormat="1" x14ac:dyDescent="0.2"/>
    <row r="38068" customFormat="1" x14ac:dyDescent="0.2"/>
    <row r="38069" customFormat="1" x14ac:dyDescent="0.2"/>
    <row r="38070" customFormat="1" x14ac:dyDescent="0.2"/>
    <row r="38071" customFormat="1" x14ac:dyDescent="0.2"/>
    <row r="38072" customFormat="1" x14ac:dyDescent="0.2"/>
    <row r="38073" customFormat="1" x14ac:dyDescent="0.2"/>
    <row r="38074" customFormat="1" x14ac:dyDescent="0.2"/>
    <row r="38075" customFormat="1" x14ac:dyDescent="0.2"/>
    <row r="38076" customFormat="1" x14ac:dyDescent="0.2"/>
    <row r="38077" customFormat="1" x14ac:dyDescent="0.2"/>
    <row r="38078" customFormat="1" x14ac:dyDescent="0.2"/>
    <row r="38079" customFormat="1" x14ac:dyDescent="0.2"/>
    <row r="38080" customFormat="1" x14ac:dyDescent="0.2"/>
    <row r="38081" customFormat="1" x14ac:dyDescent="0.2"/>
    <row r="38082" customFormat="1" x14ac:dyDescent="0.2"/>
    <row r="38083" customFormat="1" x14ac:dyDescent="0.2"/>
    <row r="38084" customFormat="1" x14ac:dyDescent="0.2"/>
    <row r="38085" customFormat="1" x14ac:dyDescent="0.2"/>
    <row r="38086" customFormat="1" x14ac:dyDescent="0.2"/>
    <row r="38087" customFormat="1" x14ac:dyDescent="0.2"/>
    <row r="38088" customFormat="1" x14ac:dyDescent="0.2"/>
    <row r="38089" customFormat="1" x14ac:dyDescent="0.2"/>
    <row r="38090" customFormat="1" x14ac:dyDescent="0.2"/>
    <row r="38091" customFormat="1" x14ac:dyDescent="0.2"/>
    <row r="38092" customFormat="1" x14ac:dyDescent="0.2"/>
    <row r="38093" customFormat="1" x14ac:dyDescent="0.2"/>
    <row r="38094" customFormat="1" x14ac:dyDescent="0.2"/>
    <row r="38095" customFormat="1" x14ac:dyDescent="0.2"/>
    <row r="38096" customFormat="1" x14ac:dyDescent="0.2"/>
    <row r="38097" customFormat="1" x14ac:dyDescent="0.2"/>
    <row r="38098" customFormat="1" x14ac:dyDescent="0.2"/>
    <row r="38099" customFormat="1" x14ac:dyDescent="0.2"/>
    <row r="38100" customFormat="1" x14ac:dyDescent="0.2"/>
    <row r="38101" customFormat="1" x14ac:dyDescent="0.2"/>
    <row r="38102" customFormat="1" x14ac:dyDescent="0.2"/>
    <row r="38103" customFormat="1" x14ac:dyDescent="0.2"/>
    <row r="38104" customFormat="1" x14ac:dyDescent="0.2"/>
    <row r="38105" customFormat="1" x14ac:dyDescent="0.2"/>
    <row r="38106" customFormat="1" x14ac:dyDescent="0.2"/>
    <row r="38107" customFormat="1" x14ac:dyDescent="0.2"/>
    <row r="38108" customFormat="1" x14ac:dyDescent="0.2"/>
    <row r="38109" customFormat="1" x14ac:dyDescent="0.2"/>
    <row r="38110" customFormat="1" x14ac:dyDescent="0.2"/>
    <row r="38111" customFormat="1" x14ac:dyDescent="0.2"/>
    <row r="38112" customFormat="1" x14ac:dyDescent="0.2"/>
    <row r="38113" customFormat="1" x14ac:dyDescent="0.2"/>
    <row r="38114" customFormat="1" x14ac:dyDescent="0.2"/>
    <row r="38115" customFormat="1" x14ac:dyDescent="0.2"/>
    <row r="38116" customFormat="1" x14ac:dyDescent="0.2"/>
    <row r="38117" customFormat="1" x14ac:dyDescent="0.2"/>
    <row r="38118" customFormat="1" x14ac:dyDescent="0.2"/>
    <row r="38119" customFormat="1" x14ac:dyDescent="0.2"/>
    <row r="38120" customFormat="1" x14ac:dyDescent="0.2"/>
    <row r="38121" customFormat="1" x14ac:dyDescent="0.2"/>
    <row r="38122" customFormat="1" x14ac:dyDescent="0.2"/>
    <row r="38123" customFormat="1" x14ac:dyDescent="0.2"/>
    <row r="38124" customFormat="1" x14ac:dyDescent="0.2"/>
    <row r="38125" customFormat="1" x14ac:dyDescent="0.2"/>
    <row r="38126" customFormat="1" x14ac:dyDescent="0.2"/>
    <row r="38127" customFormat="1" x14ac:dyDescent="0.2"/>
    <row r="38128" customFormat="1" x14ac:dyDescent="0.2"/>
    <row r="38129" customFormat="1" x14ac:dyDescent="0.2"/>
    <row r="38130" customFormat="1" x14ac:dyDescent="0.2"/>
    <row r="38131" customFormat="1" x14ac:dyDescent="0.2"/>
    <row r="38132" customFormat="1" x14ac:dyDescent="0.2"/>
    <row r="38133" customFormat="1" x14ac:dyDescent="0.2"/>
    <row r="38134" customFormat="1" x14ac:dyDescent="0.2"/>
    <row r="38135" customFormat="1" x14ac:dyDescent="0.2"/>
    <row r="38136" customFormat="1" x14ac:dyDescent="0.2"/>
    <row r="38137" customFormat="1" x14ac:dyDescent="0.2"/>
    <row r="38138" customFormat="1" x14ac:dyDescent="0.2"/>
    <row r="38139" customFormat="1" x14ac:dyDescent="0.2"/>
    <row r="38140" customFormat="1" x14ac:dyDescent="0.2"/>
    <row r="38141" customFormat="1" x14ac:dyDescent="0.2"/>
    <row r="38142" customFormat="1" x14ac:dyDescent="0.2"/>
    <row r="38143" customFormat="1" x14ac:dyDescent="0.2"/>
    <row r="38144" customFormat="1" x14ac:dyDescent="0.2"/>
    <row r="38145" customFormat="1" x14ac:dyDescent="0.2"/>
    <row r="38146" customFormat="1" x14ac:dyDescent="0.2"/>
    <row r="38147" customFormat="1" x14ac:dyDescent="0.2"/>
    <row r="38148" customFormat="1" x14ac:dyDescent="0.2"/>
    <row r="38149" customFormat="1" x14ac:dyDescent="0.2"/>
    <row r="38150" customFormat="1" x14ac:dyDescent="0.2"/>
    <row r="38151" customFormat="1" x14ac:dyDescent="0.2"/>
    <row r="38152" customFormat="1" x14ac:dyDescent="0.2"/>
    <row r="38153" customFormat="1" x14ac:dyDescent="0.2"/>
    <row r="38154" customFormat="1" x14ac:dyDescent="0.2"/>
    <row r="38155" customFormat="1" x14ac:dyDescent="0.2"/>
    <row r="38156" customFormat="1" x14ac:dyDescent="0.2"/>
    <row r="38157" customFormat="1" x14ac:dyDescent="0.2"/>
    <row r="38158" customFormat="1" x14ac:dyDescent="0.2"/>
    <row r="38159" customFormat="1" x14ac:dyDescent="0.2"/>
    <row r="38160" customFormat="1" x14ac:dyDescent="0.2"/>
    <row r="38161" customFormat="1" x14ac:dyDescent="0.2"/>
    <row r="38162" customFormat="1" x14ac:dyDescent="0.2"/>
    <row r="38163" customFormat="1" x14ac:dyDescent="0.2"/>
    <row r="38164" customFormat="1" x14ac:dyDescent="0.2"/>
    <row r="38165" customFormat="1" x14ac:dyDescent="0.2"/>
    <row r="38166" customFormat="1" x14ac:dyDescent="0.2"/>
    <row r="38167" customFormat="1" x14ac:dyDescent="0.2"/>
    <row r="38168" customFormat="1" x14ac:dyDescent="0.2"/>
    <row r="38169" customFormat="1" x14ac:dyDescent="0.2"/>
    <row r="38170" customFormat="1" x14ac:dyDescent="0.2"/>
    <row r="38171" customFormat="1" x14ac:dyDescent="0.2"/>
    <row r="38172" customFormat="1" x14ac:dyDescent="0.2"/>
    <row r="38173" customFormat="1" x14ac:dyDescent="0.2"/>
    <row r="38174" customFormat="1" x14ac:dyDescent="0.2"/>
    <row r="38175" customFormat="1" x14ac:dyDescent="0.2"/>
    <row r="38176" customFormat="1" x14ac:dyDescent="0.2"/>
    <row r="38177" customFormat="1" x14ac:dyDescent="0.2"/>
    <row r="38178" customFormat="1" x14ac:dyDescent="0.2"/>
    <row r="38179" customFormat="1" x14ac:dyDescent="0.2"/>
    <row r="38180" customFormat="1" x14ac:dyDescent="0.2"/>
    <row r="38181" customFormat="1" x14ac:dyDescent="0.2"/>
    <row r="38182" customFormat="1" x14ac:dyDescent="0.2"/>
    <row r="38183" customFormat="1" x14ac:dyDescent="0.2"/>
    <row r="38184" customFormat="1" x14ac:dyDescent="0.2"/>
    <row r="38185" customFormat="1" x14ac:dyDescent="0.2"/>
    <row r="38186" customFormat="1" x14ac:dyDescent="0.2"/>
    <row r="38187" customFormat="1" x14ac:dyDescent="0.2"/>
    <row r="38188" customFormat="1" x14ac:dyDescent="0.2"/>
    <row r="38189" customFormat="1" x14ac:dyDescent="0.2"/>
    <row r="38190" customFormat="1" x14ac:dyDescent="0.2"/>
    <row r="38191" customFormat="1" x14ac:dyDescent="0.2"/>
    <row r="38192" customFormat="1" x14ac:dyDescent="0.2"/>
    <row r="38193" customFormat="1" x14ac:dyDescent="0.2"/>
    <row r="38194" customFormat="1" x14ac:dyDescent="0.2"/>
    <row r="38195" customFormat="1" x14ac:dyDescent="0.2"/>
    <row r="38196" customFormat="1" x14ac:dyDescent="0.2"/>
    <row r="38197" customFormat="1" x14ac:dyDescent="0.2"/>
    <row r="38198" customFormat="1" x14ac:dyDescent="0.2"/>
    <row r="38199" customFormat="1" x14ac:dyDescent="0.2"/>
    <row r="38200" customFormat="1" x14ac:dyDescent="0.2"/>
    <row r="38201" customFormat="1" x14ac:dyDescent="0.2"/>
    <row r="38202" customFormat="1" x14ac:dyDescent="0.2"/>
    <row r="38203" customFormat="1" x14ac:dyDescent="0.2"/>
    <row r="38204" customFormat="1" x14ac:dyDescent="0.2"/>
    <row r="38205" customFormat="1" x14ac:dyDescent="0.2"/>
    <row r="38206" customFormat="1" x14ac:dyDescent="0.2"/>
    <row r="38207" customFormat="1" x14ac:dyDescent="0.2"/>
    <row r="38208" customFormat="1" x14ac:dyDescent="0.2"/>
    <row r="38209" customFormat="1" x14ac:dyDescent="0.2"/>
    <row r="38210" customFormat="1" x14ac:dyDescent="0.2"/>
    <row r="38211" customFormat="1" x14ac:dyDescent="0.2"/>
    <row r="38212" customFormat="1" x14ac:dyDescent="0.2"/>
    <row r="38213" customFormat="1" x14ac:dyDescent="0.2"/>
    <row r="38214" customFormat="1" x14ac:dyDescent="0.2"/>
    <row r="38215" customFormat="1" x14ac:dyDescent="0.2"/>
    <row r="38216" customFormat="1" x14ac:dyDescent="0.2"/>
    <row r="38217" customFormat="1" x14ac:dyDescent="0.2"/>
    <row r="38218" customFormat="1" x14ac:dyDescent="0.2"/>
    <row r="38219" customFormat="1" x14ac:dyDescent="0.2"/>
    <row r="38220" customFormat="1" x14ac:dyDescent="0.2"/>
    <row r="38221" customFormat="1" x14ac:dyDescent="0.2"/>
    <row r="38222" customFormat="1" x14ac:dyDescent="0.2"/>
    <row r="38223" customFormat="1" x14ac:dyDescent="0.2"/>
    <row r="38224" customFormat="1" x14ac:dyDescent="0.2"/>
    <row r="38225" customFormat="1" x14ac:dyDescent="0.2"/>
    <row r="38226" customFormat="1" x14ac:dyDescent="0.2"/>
    <row r="38227" customFormat="1" x14ac:dyDescent="0.2"/>
    <row r="38228" customFormat="1" x14ac:dyDescent="0.2"/>
    <row r="38229" customFormat="1" x14ac:dyDescent="0.2"/>
    <row r="38230" customFormat="1" x14ac:dyDescent="0.2"/>
    <row r="38231" customFormat="1" x14ac:dyDescent="0.2"/>
    <row r="38232" customFormat="1" x14ac:dyDescent="0.2"/>
    <row r="38233" customFormat="1" x14ac:dyDescent="0.2"/>
    <row r="38234" customFormat="1" x14ac:dyDescent="0.2"/>
    <row r="38235" customFormat="1" x14ac:dyDescent="0.2"/>
    <row r="38236" customFormat="1" x14ac:dyDescent="0.2"/>
    <row r="38237" customFormat="1" x14ac:dyDescent="0.2"/>
    <row r="38238" customFormat="1" x14ac:dyDescent="0.2"/>
    <row r="38239" customFormat="1" x14ac:dyDescent="0.2"/>
    <row r="38240" customFormat="1" x14ac:dyDescent="0.2"/>
    <row r="38241" customFormat="1" x14ac:dyDescent="0.2"/>
    <row r="38242" customFormat="1" x14ac:dyDescent="0.2"/>
    <row r="38243" customFormat="1" x14ac:dyDescent="0.2"/>
    <row r="38244" customFormat="1" x14ac:dyDescent="0.2"/>
    <row r="38245" customFormat="1" x14ac:dyDescent="0.2"/>
    <row r="38246" customFormat="1" x14ac:dyDescent="0.2"/>
    <row r="38247" customFormat="1" x14ac:dyDescent="0.2"/>
    <row r="38248" customFormat="1" x14ac:dyDescent="0.2"/>
    <row r="38249" customFormat="1" x14ac:dyDescent="0.2"/>
    <row r="38250" customFormat="1" x14ac:dyDescent="0.2"/>
    <row r="38251" customFormat="1" x14ac:dyDescent="0.2"/>
    <row r="38252" customFormat="1" x14ac:dyDescent="0.2"/>
    <row r="38253" customFormat="1" x14ac:dyDescent="0.2"/>
    <row r="38254" customFormat="1" x14ac:dyDescent="0.2"/>
    <row r="38255" customFormat="1" x14ac:dyDescent="0.2"/>
    <row r="38256" customFormat="1" x14ac:dyDescent="0.2"/>
    <row r="38257" customFormat="1" x14ac:dyDescent="0.2"/>
    <row r="38258" customFormat="1" x14ac:dyDescent="0.2"/>
    <row r="38259" customFormat="1" x14ac:dyDescent="0.2"/>
    <row r="38260" customFormat="1" x14ac:dyDescent="0.2"/>
    <row r="38261" customFormat="1" x14ac:dyDescent="0.2"/>
    <row r="38262" customFormat="1" x14ac:dyDescent="0.2"/>
    <row r="38263" customFormat="1" x14ac:dyDescent="0.2"/>
    <row r="38264" customFormat="1" x14ac:dyDescent="0.2"/>
    <row r="38265" customFormat="1" x14ac:dyDescent="0.2"/>
    <row r="38266" customFormat="1" x14ac:dyDescent="0.2"/>
    <row r="38267" customFormat="1" x14ac:dyDescent="0.2"/>
    <row r="38268" customFormat="1" x14ac:dyDescent="0.2"/>
    <row r="38269" customFormat="1" x14ac:dyDescent="0.2"/>
    <row r="38270" customFormat="1" x14ac:dyDescent="0.2"/>
    <row r="38271" customFormat="1" x14ac:dyDescent="0.2"/>
    <row r="38272" customFormat="1" x14ac:dyDescent="0.2"/>
    <row r="38273" customFormat="1" x14ac:dyDescent="0.2"/>
    <row r="38274" customFormat="1" x14ac:dyDescent="0.2"/>
    <row r="38275" customFormat="1" x14ac:dyDescent="0.2"/>
    <row r="38276" customFormat="1" x14ac:dyDescent="0.2"/>
    <row r="38277" customFormat="1" x14ac:dyDescent="0.2"/>
    <row r="38278" customFormat="1" x14ac:dyDescent="0.2"/>
    <row r="38279" customFormat="1" x14ac:dyDescent="0.2"/>
    <row r="38280" customFormat="1" x14ac:dyDescent="0.2"/>
    <row r="38281" customFormat="1" x14ac:dyDescent="0.2"/>
    <row r="38282" customFormat="1" x14ac:dyDescent="0.2"/>
    <row r="38283" customFormat="1" x14ac:dyDescent="0.2"/>
    <row r="38284" customFormat="1" x14ac:dyDescent="0.2"/>
    <row r="38285" customFormat="1" x14ac:dyDescent="0.2"/>
    <row r="38286" customFormat="1" x14ac:dyDescent="0.2"/>
    <row r="38287" customFormat="1" x14ac:dyDescent="0.2"/>
    <row r="38288" customFormat="1" x14ac:dyDescent="0.2"/>
    <row r="38289" customFormat="1" x14ac:dyDescent="0.2"/>
    <row r="38290" customFormat="1" x14ac:dyDescent="0.2"/>
    <row r="38291" customFormat="1" x14ac:dyDescent="0.2"/>
    <row r="38292" customFormat="1" x14ac:dyDescent="0.2"/>
    <row r="38293" customFormat="1" x14ac:dyDescent="0.2"/>
    <row r="38294" customFormat="1" x14ac:dyDescent="0.2"/>
    <row r="38295" customFormat="1" x14ac:dyDescent="0.2"/>
    <row r="38296" customFormat="1" x14ac:dyDescent="0.2"/>
    <row r="38297" customFormat="1" x14ac:dyDescent="0.2"/>
    <row r="38298" customFormat="1" x14ac:dyDescent="0.2"/>
    <row r="38299" customFormat="1" x14ac:dyDescent="0.2"/>
    <row r="38300" customFormat="1" x14ac:dyDescent="0.2"/>
    <row r="38301" customFormat="1" x14ac:dyDescent="0.2"/>
    <row r="38302" customFormat="1" x14ac:dyDescent="0.2"/>
    <row r="38303" customFormat="1" x14ac:dyDescent="0.2"/>
    <row r="38304" customFormat="1" x14ac:dyDescent="0.2"/>
    <row r="38305" customFormat="1" x14ac:dyDescent="0.2"/>
    <row r="38306" customFormat="1" x14ac:dyDescent="0.2"/>
    <row r="38307" customFormat="1" x14ac:dyDescent="0.2"/>
    <row r="38308" customFormat="1" x14ac:dyDescent="0.2"/>
    <row r="38309" customFormat="1" x14ac:dyDescent="0.2"/>
    <row r="38310" customFormat="1" x14ac:dyDescent="0.2"/>
    <row r="38311" customFormat="1" x14ac:dyDescent="0.2"/>
    <row r="38312" customFormat="1" x14ac:dyDescent="0.2"/>
    <row r="38313" customFormat="1" x14ac:dyDescent="0.2"/>
    <row r="38314" customFormat="1" x14ac:dyDescent="0.2"/>
    <row r="38315" customFormat="1" x14ac:dyDescent="0.2"/>
    <row r="38316" customFormat="1" x14ac:dyDescent="0.2"/>
    <row r="38317" customFormat="1" x14ac:dyDescent="0.2"/>
    <row r="38318" customFormat="1" x14ac:dyDescent="0.2"/>
    <row r="38319" customFormat="1" x14ac:dyDescent="0.2"/>
    <row r="38320" customFormat="1" x14ac:dyDescent="0.2"/>
    <row r="38321" customFormat="1" x14ac:dyDescent="0.2"/>
    <row r="38322" customFormat="1" x14ac:dyDescent="0.2"/>
    <row r="38323" customFormat="1" x14ac:dyDescent="0.2"/>
    <row r="38324" customFormat="1" x14ac:dyDescent="0.2"/>
    <row r="38325" customFormat="1" x14ac:dyDescent="0.2"/>
    <row r="38326" customFormat="1" x14ac:dyDescent="0.2"/>
    <row r="38327" customFormat="1" x14ac:dyDescent="0.2"/>
    <row r="38328" customFormat="1" x14ac:dyDescent="0.2"/>
    <row r="38329" customFormat="1" x14ac:dyDescent="0.2"/>
    <row r="38330" customFormat="1" x14ac:dyDescent="0.2"/>
    <row r="38331" customFormat="1" x14ac:dyDescent="0.2"/>
    <row r="38332" customFormat="1" x14ac:dyDescent="0.2"/>
    <row r="38333" customFormat="1" x14ac:dyDescent="0.2"/>
    <row r="38334" customFormat="1" x14ac:dyDescent="0.2"/>
    <row r="38335" customFormat="1" x14ac:dyDescent="0.2"/>
    <row r="38336" customFormat="1" x14ac:dyDescent="0.2"/>
    <row r="38337" customFormat="1" x14ac:dyDescent="0.2"/>
    <row r="38338" customFormat="1" x14ac:dyDescent="0.2"/>
    <row r="38339" customFormat="1" x14ac:dyDescent="0.2"/>
    <row r="38340" customFormat="1" x14ac:dyDescent="0.2"/>
    <row r="38341" customFormat="1" x14ac:dyDescent="0.2"/>
    <row r="38342" customFormat="1" x14ac:dyDescent="0.2"/>
    <row r="38343" customFormat="1" x14ac:dyDescent="0.2"/>
    <row r="38344" customFormat="1" x14ac:dyDescent="0.2"/>
    <row r="38345" customFormat="1" x14ac:dyDescent="0.2"/>
    <row r="38346" customFormat="1" x14ac:dyDescent="0.2"/>
    <row r="38347" customFormat="1" x14ac:dyDescent="0.2"/>
    <row r="38348" customFormat="1" x14ac:dyDescent="0.2"/>
    <row r="38349" customFormat="1" x14ac:dyDescent="0.2"/>
    <row r="38350" customFormat="1" x14ac:dyDescent="0.2"/>
    <row r="38351" customFormat="1" x14ac:dyDescent="0.2"/>
    <row r="38352" customFormat="1" x14ac:dyDescent="0.2"/>
    <row r="38353" customFormat="1" x14ac:dyDescent="0.2"/>
    <row r="38354" customFormat="1" x14ac:dyDescent="0.2"/>
    <row r="38355" customFormat="1" x14ac:dyDescent="0.2"/>
    <row r="38356" customFormat="1" x14ac:dyDescent="0.2"/>
    <row r="38357" customFormat="1" x14ac:dyDescent="0.2"/>
    <row r="38358" customFormat="1" x14ac:dyDescent="0.2"/>
    <row r="38359" customFormat="1" x14ac:dyDescent="0.2"/>
    <row r="38360" customFormat="1" x14ac:dyDescent="0.2"/>
    <row r="38361" customFormat="1" x14ac:dyDescent="0.2"/>
    <row r="38362" customFormat="1" x14ac:dyDescent="0.2"/>
    <row r="38363" customFormat="1" x14ac:dyDescent="0.2"/>
    <row r="38364" customFormat="1" x14ac:dyDescent="0.2"/>
    <row r="38365" customFormat="1" x14ac:dyDescent="0.2"/>
    <row r="38366" customFormat="1" x14ac:dyDescent="0.2"/>
    <row r="38367" customFormat="1" x14ac:dyDescent="0.2"/>
    <row r="38368" customFormat="1" x14ac:dyDescent="0.2"/>
    <row r="38369" customFormat="1" x14ac:dyDescent="0.2"/>
    <row r="38370" customFormat="1" x14ac:dyDescent="0.2"/>
    <row r="38371" customFormat="1" x14ac:dyDescent="0.2"/>
    <row r="38372" customFormat="1" x14ac:dyDescent="0.2"/>
    <row r="38373" customFormat="1" x14ac:dyDescent="0.2"/>
    <row r="38374" customFormat="1" x14ac:dyDescent="0.2"/>
    <row r="38375" customFormat="1" x14ac:dyDescent="0.2"/>
    <row r="38376" customFormat="1" x14ac:dyDescent="0.2"/>
    <row r="38377" customFormat="1" x14ac:dyDescent="0.2"/>
    <row r="38378" customFormat="1" x14ac:dyDescent="0.2"/>
    <row r="38379" customFormat="1" x14ac:dyDescent="0.2"/>
    <row r="38380" customFormat="1" x14ac:dyDescent="0.2"/>
    <row r="38381" customFormat="1" x14ac:dyDescent="0.2"/>
    <row r="38382" customFormat="1" x14ac:dyDescent="0.2"/>
    <row r="38383" customFormat="1" x14ac:dyDescent="0.2"/>
    <row r="38384" customFormat="1" x14ac:dyDescent="0.2"/>
    <row r="38385" customFormat="1" x14ac:dyDescent="0.2"/>
    <row r="38386" customFormat="1" x14ac:dyDescent="0.2"/>
    <row r="38387" customFormat="1" x14ac:dyDescent="0.2"/>
    <row r="38388" customFormat="1" x14ac:dyDescent="0.2"/>
    <row r="38389" customFormat="1" x14ac:dyDescent="0.2"/>
    <row r="38390" customFormat="1" x14ac:dyDescent="0.2"/>
    <row r="38391" customFormat="1" x14ac:dyDescent="0.2"/>
    <row r="38392" customFormat="1" x14ac:dyDescent="0.2"/>
    <row r="38393" customFormat="1" x14ac:dyDescent="0.2"/>
    <row r="38394" customFormat="1" x14ac:dyDescent="0.2"/>
    <row r="38395" customFormat="1" x14ac:dyDescent="0.2"/>
    <row r="38396" customFormat="1" x14ac:dyDescent="0.2"/>
    <row r="38397" customFormat="1" x14ac:dyDescent="0.2"/>
    <row r="38398" customFormat="1" x14ac:dyDescent="0.2"/>
    <row r="38399" customFormat="1" x14ac:dyDescent="0.2"/>
    <row r="38400" customFormat="1" x14ac:dyDescent="0.2"/>
    <row r="38401" customFormat="1" x14ac:dyDescent="0.2"/>
    <row r="38402" customFormat="1" x14ac:dyDescent="0.2"/>
    <row r="38403" customFormat="1" x14ac:dyDescent="0.2"/>
    <row r="38404" customFormat="1" x14ac:dyDescent="0.2"/>
    <row r="38405" customFormat="1" x14ac:dyDescent="0.2"/>
    <row r="38406" customFormat="1" x14ac:dyDescent="0.2"/>
    <row r="38407" customFormat="1" x14ac:dyDescent="0.2"/>
    <row r="38408" customFormat="1" x14ac:dyDescent="0.2"/>
    <row r="38409" customFormat="1" x14ac:dyDescent="0.2"/>
    <row r="38410" customFormat="1" x14ac:dyDescent="0.2"/>
    <row r="38411" customFormat="1" x14ac:dyDescent="0.2"/>
    <row r="38412" customFormat="1" x14ac:dyDescent="0.2"/>
    <row r="38413" customFormat="1" x14ac:dyDescent="0.2"/>
    <row r="38414" customFormat="1" x14ac:dyDescent="0.2"/>
    <row r="38415" customFormat="1" x14ac:dyDescent="0.2"/>
    <row r="38416" customFormat="1" x14ac:dyDescent="0.2"/>
    <row r="38417" customFormat="1" x14ac:dyDescent="0.2"/>
    <row r="38418" customFormat="1" x14ac:dyDescent="0.2"/>
    <row r="38419" customFormat="1" x14ac:dyDescent="0.2"/>
    <row r="38420" customFormat="1" x14ac:dyDescent="0.2"/>
    <row r="38421" customFormat="1" x14ac:dyDescent="0.2"/>
    <row r="38422" customFormat="1" x14ac:dyDescent="0.2"/>
    <row r="38423" customFormat="1" x14ac:dyDescent="0.2"/>
    <row r="38424" customFormat="1" x14ac:dyDescent="0.2"/>
    <row r="38425" customFormat="1" x14ac:dyDescent="0.2"/>
    <row r="38426" customFormat="1" x14ac:dyDescent="0.2"/>
    <row r="38427" customFormat="1" x14ac:dyDescent="0.2"/>
    <row r="38428" customFormat="1" x14ac:dyDescent="0.2"/>
    <row r="38429" customFormat="1" x14ac:dyDescent="0.2"/>
    <row r="38430" customFormat="1" x14ac:dyDescent="0.2"/>
    <row r="38431" customFormat="1" x14ac:dyDescent="0.2"/>
    <row r="38432" customFormat="1" x14ac:dyDescent="0.2"/>
    <row r="38433" customFormat="1" x14ac:dyDescent="0.2"/>
    <row r="38434" customFormat="1" x14ac:dyDescent="0.2"/>
    <row r="38435" customFormat="1" x14ac:dyDescent="0.2"/>
    <row r="38436" customFormat="1" x14ac:dyDescent="0.2"/>
    <row r="38437" customFormat="1" x14ac:dyDescent="0.2"/>
    <row r="38438" customFormat="1" x14ac:dyDescent="0.2"/>
    <row r="38439" customFormat="1" x14ac:dyDescent="0.2"/>
    <row r="38440" customFormat="1" x14ac:dyDescent="0.2"/>
    <row r="38441" customFormat="1" x14ac:dyDescent="0.2"/>
    <row r="38442" customFormat="1" x14ac:dyDescent="0.2"/>
    <row r="38443" customFormat="1" x14ac:dyDescent="0.2"/>
    <row r="38444" customFormat="1" x14ac:dyDescent="0.2"/>
    <row r="38445" customFormat="1" x14ac:dyDescent="0.2"/>
    <row r="38446" customFormat="1" x14ac:dyDescent="0.2"/>
    <row r="38447" customFormat="1" x14ac:dyDescent="0.2"/>
    <row r="38448" customFormat="1" x14ac:dyDescent="0.2"/>
    <row r="38449" customFormat="1" x14ac:dyDescent="0.2"/>
    <row r="38450" customFormat="1" x14ac:dyDescent="0.2"/>
    <row r="38451" customFormat="1" x14ac:dyDescent="0.2"/>
    <row r="38452" customFormat="1" x14ac:dyDescent="0.2"/>
    <row r="38453" customFormat="1" x14ac:dyDescent="0.2"/>
    <row r="38454" customFormat="1" x14ac:dyDescent="0.2"/>
    <row r="38455" customFormat="1" x14ac:dyDescent="0.2"/>
    <row r="38456" customFormat="1" x14ac:dyDescent="0.2"/>
    <row r="38457" customFormat="1" x14ac:dyDescent="0.2"/>
    <row r="38458" customFormat="1" x14ac:dyDescent="0.2"/>
    <row r="38459" customFormat="1" x14ac:dyDescent="0.2"/>
    <row r="38460" customFormat="1" x14ac:dyDescent="0.2"/>
    <row r="38461" customFormat="1" x14ac:dyDescent="0.2"/>
    <row r="38462" customFormat="1" x14ac:dyDescent="0.2"/>
    <row r="38463" customFormat="1" x14ac:dyDescent="0.2"/>
    <row r="38464" customFormat="1" x14ac:dyDescent="0.2"/>
    <row r="38465" customFormat="1" x14ac:dyDescent="0.2"/>
    <row r="38466" customFormat="1" x14ac:dyDescent="0.2"/>
    <row r="38467" customFormat="1" x14ac:dyDescent="0.2"/>
    <row r="38468" customFormat="1" x14ac:dyDescent="0.2"/>
    <row r="38469" customFormat="1" x14ac:dyDescent="0.2"/>
    <row r="38470" customFormat="1" x14ac:dyDescent="0.2"/>
    <row r="38471" customFormat="1" x14ac:dyDescent="0.2"/>
    <row r="38472" customFormat="1" x14ac:dyDescent="0.2"/>
    <row r="38473" customFormat="1" x14ac:dyDescent="0.2"/>
    <row r="38474" customFormat="1" x14ac:dyDescent="0.2"/>
    <row r="38475" customFormat="1" x14ac:dyDescent="0.2"/>
    <row r="38476" customFormat="1" x14ac:dyDescent="0.2"/>
    <row r="38477" customFormat="1" x14ac:dyDescent="0.2"/>
    <row r="38478" customFormat="1" x14ac:dyDescent="0.2"/>
    <row r="38479" customFormat="1" x14ac:dyDescent="0.2"/>
    <row r="38480" customFormat="1" x14ac:dyDescent="0.2"/>
    <row r="38481" customFormat="1" x14ac:dyDescent="0.2"/>
    <row r="38482" customFormat="1" x14ac:dyDescent="0.2"/>
    <row r="38483" customFormat="1" x14ac:dyDescent="0.2"/>
    <row r="38484" customFormat="1" x14ac:dyDescent="0.2"/>
    <row r="38485" customFormat="1" x14ac:dyDescent="0.2"/>
    <row r="38486" customFormat="1" x14ac:dyDescent="0.2"/>
    <row r="38487" customFormat="1" x14ac:dyDescent="0.2"/>
    <row r="38488" customFormat="1" x14ac:dyDescent="0.2"/>
    <row r="38489" customFormat="1" x14ac:dyDescent="0.2"/>
    <row r="38490" customFormat="1" x14ac:dyDescent="0.2"/>
    <row r="38491" customFormat="1" x14ac:dyDescent="0.2"/>
    <row r="38492" customFormat="1" x14ac:dyDescent="0.2"/>
    <row r="38493" customFormat="1" x14ac:dyDescent="0.2"/>
    <row r="38494" customFormat="1" x14ac:dyDescent="0.2"/>
    <row r="38495" customFormat="1" x14ac:dyDescent="0.2"/>
    <row r="38496" customFormat="1" x14ac:dyDescent="0.2"/>
    <row r="38497" customFormat="1" x14ac:dyDescent="0.2"/>
    <row r="38498" customFormat="1" x14ac:dyDescent="0.2"/>
    <row r="38499" customFormat="1" x14ac:dyDescent="0.2"/>
    <row r="38500" customFormat="1" x14ac:dyDescent="0.2"/>
    <row r="38501" customFormat="1" x14ac:dyDescent="0.2"/>
    <row r="38502" customFormat="1" x14ac:dyDescent="0.2"/>
    <row r="38503" customFormat="1" x14ac:dyDescent="0.2"/>
    <row r="38504" customFormat="1" x14ac:dyDescent="0.2"/>
    <row r="38505" customFormat="1" x14ac:dyDescent="0.2"/>
    <row r="38506" customFormat="1" x14ac:dyDescent="0.2"/>
    <row r="38507" customFormat="1" x14ac:dyDescent="0.2"/>
    <row r="38508" customFormat="1" x14ac:dyDescent="0.2"/>
    <row r="38509" customFormat="1" x14ac:dyDescent="0.2"/>
    <row r="38510" customFormat="1" x14ac:dyDescent="0.2"/>
    <row r="38511" customFormat="1" x14ac:dyDescent="0.2"/>
    <row r="38512" customFormat="1" x14ac:dyDescent="0.2"/>
    <row r="38513" customFormat="1" x14ac:dyDescent="0.2"/>
    <row r="38514" customFormat="1" x14ac:dyDescent="0.2"/>
    <row r="38515" customFormat="1" x14ac:dyDescent="0.2"/>
    <row r="38516" customFormat="1" x14ac:dyDescent="0.2"/>
    <row r="38517" customFormat="1" x14ac:dyDescent="0.2"/>
    <row r="38518" customFormat="1" x14ac:dyDescent="0.2"/>
    <row r="38519" customFormat="1" x14ac:dyDescent="0.2"/>
    <row r="38520" customFormat="1" x14ac:dyDescent="0.2"/>
    <row r="38521" customFormat="1" x14ac:dyDescent="0.2"/>
    <row r="38522" customFormat="1" x14ac:dyDescent="0.2"/>
    <row r="38523" customFormat="1" x14ac:dyDescent="0.2"/>
    <row r="38524" customFormat="1" x14ac:dyDescent="0.2"/>
    <row r="38525" customFormat="1" x14ac:dyDescent="0.2"/>
    <row r="38526" customFormat="1" x14ac:dyDescent="0.2"/>
    <row r="38527" customFormat="1" x14ac:dyDescent="0.2"/>
    <row r="38528" customFormat="1" x14ac:dyDescent="0.2"/>
    <row r="38529" customFormat="1" x14ac:dyDescent="0.2"/>
    <row r="38530" customFormat="1" x14ac:dyDescent="0.2"/>
    <row r="38531" customFormat="1" x14ac:dyDescent="0.2"/>
    <row r="38532" customFormat="1" x14ac:dyDescent="0.2"/>
    <row r="38533" customFormat="1" x14ac:dyDescent="0.2"/>
    <row r="38534" customFormat="1" x14ac:dyDescent="0.2"/>
    <row r="38535" customFormat="1" x14ac:dyDescent="0.2"/>
    <row r="38536" customFormat="1" x14ac:dyDescent="0.2"/>
    <row r="38537" customFormat="1" x14ac:dyDescent="0.2"/>
    <row r="38538" customFormat="1" x14ac:dyDescent="0.2"/>
    <row r="38539" customFormat="1" x14ac:dyDescent="0.2"/>
    <row r="38540" customFormat="1" x14ac:dyDescent="0.2"/>
    <row r="38541" customFormat="1" x14ac:dyDescent="0.2"/>
    <row r="38542" customFormat="1" x14ac:dyDescent="0.2"/>
    <row r="38543" customFormat="1" x14ac:dyDescent="0.2"/>
    <row r="38544" customFormat="1" x14ac:dyDescent="0.2"/>
    <row r="38545" customFormat="1" x14ac:dyDescent="0.2"/>
    <row r="38546" customFormat="1" x14ac:dyDescent="0.2"/>
    <row r="38547" customFormat="1" x14ac:dyDescent="0.2"/>
    <row r="38548" customFormat="1" x14ac:dyDescent="0.2"/>
    <row r="38549" customFormat="1" x14ac:dyDescent="0.2"/>
    <row r="38550" customFormat="1" x14ac:dyDescent="0.2"/>
    <row r="38551" customFormat="1" x14ac:dyDescent="0.2"/>
    <row r="38552" customFormat="1" x14ac:dyDescent="0.2"/>
    <row r="38553" customFormat="1" x14ac:dyDescent="0.2"/>
    <row r="38554" customFormat="1" x14ac:dyDescent="0.2"/>
    <row r="38555" customFormat="1" x14ac:dyDescent="0.2"/>
    <row r="38556" customFormat="1" x14ac:dyDescent="0.2"/>
    <row r="38557" customFormat="1" x14ac:dyDescent="0.2"/>
    <row r="38558" customFormat="1" x14ac:dyDescent="0.2"/>
    <row r="38559" customFormat="1" x14ac:dyDescent="0.2"/>
    <row r="38560" customFormat="1" x14ac:dyDescent="0.2"/>
    <row r="38561" customFormat="1" x14ac:dyDescent="0.2"/>
    <row r="38562" customFormat="1" x14ac:dyDescent="0.2"/>
    <row r="38563" customFormat="1" x14ac:dyDescent="0.2"/>
    <row r="38564" customFormat="1" x14ac:dyDescent="0.2"/>
    <row r="38565" customFormat="1" x14ac:dyDescent="0.2"/>
    <row r="38566" customFormat="1" x14ac:dyDescent="0.2"/>
    <row r="38567" customFormat="1" x14ac:dyDescent="0.2"/>
    <row r="38568" customFormat="1" x14ac:dyDescent="0.2"/>
    <row r="38569" customFormat="1" x14ac:dyDescent="0.2"/>
    <row r="38570" customFormat="1" x14ac:dyDescent="0.2"/>
    <row r="38571" customFormat="1" x14ac:dyDescent="0.2"/>
    <row r="38572" customFormat="1" x14ac:dyDescent="0.2"/>
    <row r="38573" customFormat="1" x14ac:dyDescent="0.2"/>
    <row r="38574" customFormat="1" x14ac:dyDescent="0.2"/>
    <row r="38575" customFormat="1" x14ac:dyDescent="0.2"/>
    <row r="38576" customFormat="1" x14ac:dyDescent="0.2"/>
    <row r="38577" customFormat="1" x14ac:dyDescent="0.2"/>
    <row r="38578" customFormat="1" x14ac:dyDescent="0.2"/>
    <row r="38579" customFormat="1" x14ac:dyDescent="0.2"/>
    <row r="38580" customFormat="1" x14ac:dyDescent="0.2"/>
    <row r="38581" customFormat="1" x14ac:dyDescent="0.2"/>
    <row r="38582" customFormat="1" x14ac:dyDescent="0.2"/>
    <row r="38583" customFormat="1" x14ac:dyDescent="0.2"/>
    <row r="38584" customFormat="1" x14ac:dyDescent="0.2"/>
    <row r="38585" customFormat="1" x14ac:dyDescent="0.2"/>
    <row r="38586" customFormat="1" x14ac:dyDescent="0.2"/>
    <row r="38587" customFormat="1" x14ac:dyDescent="0.2"/>
    <row r="38588" customFormat="1" x14ac:dyDescent="0.2"/>
    <row r="38589" customFormat="1" x14ac:dyDescent="0.2"/>
    <row r="38590" customFormat="1" x14ac:dyDescent="0.2"/>
    <row r="38591" customFormat="1" x14ac:dyDescent="0.2"/>
    <row r="38592" customFormat="1" x14ac:dyDescent="0.2"/>
    <row r="38593" customFormat="1" x14ac:dyDescent="0.2"/>
    <row r="38594" customFormat="1" x14ac:dyDescent="0.2"/>
    <row r="38595" customFormat="1" x14ac:dyDescent="0.2"/>
    <row r="38596" customFormat="1" x14ac:dyDescent="0.2"/>
    <row r="38597" customFormat="1" x14ac:dyDescent="0.2"/>
    <row r="38598" customFormat="1" x14ac:dyDescent="0.2"/>
    <row r="38599" customFormat="1" x14ac:dyDescent="0.2"/>
    <row r="38600" customFormat="1" x14ac:dyDescent="0.2"/>
    <row r="38601" customFormat="1" x14ac:dyDescent="0.2"/>
    <row r="38602" customFormat="1" x14ac:dyDescent="0.2"/>
    <row r="38603" customFormat="1" x14ac:dyDescent="0.2"/>
    <row r="38604" customFormat="1" x14ac:dyDescent="0.2"/>
    <row r="38605" customFormat="1" x14ac:dyDescent="0.2"/>
    <row r="38606" customFormat="1" x14ac:dyDescent="0.2"/>
    <row r="38607" customFormat="1" x14ac:dyDescent="0.2"/>
    <row r="38608" customFormat="1" x14ac:dyDescent="0.2"/>
    <row r="38609" customFormat="1" x14ac:dyDescent="0.2"/>
    <row r="38610" customFormat="1" x14ac:dyDescent="0.2"/>
    <row r="38611" customFormat="1" x14ac:dyDescent="0.2"/>
    <row r="38612" customFormat="1" x14ac:dyDescent="0.2"/>
    <row r="38613" customFormat="1" x14ac:dyDescent="0.2"/>
    <row r="38614" customFormat="1" x14ac:dyDescent="0.2"/>
    <row r="38615" customFormat="1" x14ac:dyDescent="0.2"/>
    <row r="38616" customFormat="1" x14ac:dyDescent="0.2"/>
    <row r="38617" customFormat="1" x14ac:dyDescent="0.2"/>
    <row r="38618" customFormat="1" x14ac:dyDescent="0.2"/>
    <row r="38619" customFormat="1" x14ac:dyDescent="0.2"/>
    <row r="38620" customFormat="1" x14ac:dyDescent="0.2"/>
    <row r="38621" customFormat="1" x14ac:dyDescent="0.2"/>
    <row r="38622" customFormat="1" x14ac:dyDescent="0.2"/>
    <row r="38623" customFormat="1" x14ac:dyDescent="0.2"/>
    <row r="38624" customFormat="1" x14ac:dyDescent="0.2"/>
    <row r="38625" customFormat="1" x14ac:dyDescent="0.2"/>
    <row r="38626" customFormat="1" x14ac:dyDescent="0.2"/>
    <row r="38627" customFormat="1" x14ac:dyDescent="0.2"/>
    <row r="38628" customFormat="1" x14ac:dyDescent="0.2"/>
    <row r="38629" customFormat="1" x14ac:dyDescent="0.2"/>
    <row r="38630" customFormat="1" x14ac:dyDescent="0.2"/>
    <row r="38631" customFormat="1" x14ac:dyDescent="0.2"/>
    <row r="38632" customFormat="1" x14ac:dyDescent="0.2"/>
    <row r="38633" customFormat="1" x14ac:dyDescent="0.2"/>
    <row r="38634" customFormat="1" x14ac:dyDescent="0.2"/>
    <row r="38635" customFormat="1" x14ac:dyDescent="0.2"/>
    <row r="38636" customFormat="1" x14ac:dyDescent="0.2"/>
    <row r="38637" customFormat="1" x14ac:dyDescent="0.2"/>
    <row r="38638" customFormat="1" x14ac:dyDescent="0.2"/>
    <row r="38639" customFormat="1" x14ac:dyDescent="0.2"/>
    <row r="38640" customFormat="1" x14ac:dyDescent="0.2"/>
    <row r="38641" customFormat="1" x14ac:dyDescent="0.2"/>
    <row r="38642" customFormat="1" x14ac:dyDescent="0.2"/>
    <row r="38643" customFormat="1" x14ac:dyDescent="0.2"/>
    <row r="38644" customFormat="1" x14ac:dyDescent="0.2"/>
    <row r="38645" customFormat="1" x14ac:dyDescent="0.2"/>
    <row r="38646" customFormat="1" x14ac:dyDescent="0.2"/>
    <row r="38647" customFormat="1" x14ac:dyDescent="0.2"/>
    <row r="38648" customFormat="1" x14ac:dyDescent="0.2"/>
    <row r="38649" customFormat="1" x14ac:dyDescent="0.2"/>
    <row r="38650" customFormat="1" x14ac:dyDescent="0.2"/>
    <row r="38651" customFormat="1" x14ac:dyDescent="0.2"/>
    <row r="38652" customFormat="1" x14ac:dyDescent="0.2"/>
    <row r="38653" customFormat="1" x14ac:dyDescent="0.2"/>
    <row r="38654" customFormat="1" x14ac:dyDescent="0.2"/>
    <row r="38655" customFormat="1" x14ac:dyDescent="0.2"/>
    <row r="38656" customFormat="1" x14ac:dyDescent="0.2"/>
    <row r="38657" customFormat="1" x14ac:dyDescent="0.2"/>
    <row r="38658" customFormat="1" x14ac:dyDescent="0.2"/>
    <row r="38659" customFormat="1" x14ac:dyDescent="0.2"/>
    <row r="38660" customFormat="1" x14ac:dyDescent="0.2"/>
    <row r="38661" customFormat="1" x14ac:dyDescent="0.2"/>
    <row r="38662" customFormat="1" x14ac:dyDescent="0.2"/>
    <row r="38663" customFormat="1" x14ac:dyDescent="0.2"/>
    <row r="38664" customFormat="1" x14ac:dyDescent="0.2"/>
    <row r="38665" customFormat="1" x14ac:dyDescent="0.2"/>
    <row r="38666" customFormat="1" x14ac:dyDescent="0.2"/>
    <row r="38667" customFormat="1" x14ac:dyDescent="0.2"/>
    <row r="38668" customFormat="1" x14ac:dyDescent="0.2"/>
    <row r="38669" customFormat="1" x14ac:dyDescent="0.2"/>
    <row r="38670" customFormat="1" x14ac:dyDescent="0.2"/>
    <row r="38671" customFormat="1" x14ac:dyDescent="0.2"/>
    <row r="38672" customFormat="1" x14ac:dyDescent="0.2"/>
    <row r="38673" customFormat="1" x14ac:dyDescent="0.2"/>
    <row r="38674" customFormat="1" x14ac:dyDescent="0.2"/>
    <row r="38675" customFormat="1" x14ac:dyDescent="0.2"/>
    <row r="38676" customFormat="1" x14ac:dyDescent="0.2"/>
    <row r="38677" customFormat="1" x14ac:dyDescent="0.2"/>
    <row r="38678" customFormat="1" x14ac:dyDescent="0.2"/>
    <row r="38679" customFormat="1" x14ac:dyDescent="0.2"/>
    <row r="38680" customFormat="1" x14ac:dyDescent="0.2"/>
    <row r="38681" customFormat="1" x14ac:dyDescent="0.2"/>
    <row r="38682" customFormat="1" x14ac:dyDescent="0.2"/>
    <row r="38683" customFormat="1" x14ac:dyDescent="0.2"/>
    <row r="38684" customFormat="1" x14ac:dyDescent="0.2"/>
    <row r="38685" customFormat="1" x14ac:dyDescent="0.2"/>
    <row r="38686" customFormat="1" x14ac:dyDescent="0.2"/>
    <row r="38687" customFormat="1" x14ac:dyDescent="0.2"/>
    <row r="38688" customFormat="1" x14ac:dyDescent="0.2"/>
    <row r="38689" customFormat="1" x14ac:dyDescent="0.2"/>
    <row r="38690" customFormat="1" x14ac:dyDescent="0.2"/>
    <row r="38691" customFormat="1" x14ac:dyDescent="0.2"/>
    <row r="38692" customFormat="1" x14ac:dyDescent="0.2"/>
    <row r="38693" customFormat="1" x14ac:dyDescent="0.2"/>
    <row r="38694" customFormat="1" x14ac:dyDescent="0.2"/>
    <row r="38695" customFormat="1" x14ac:dyDescent="0.2"/>
    <row r="38696" customFormat="1" x14ac:dyDescent="0.2"/>
    <row r="38697" customFormat="1" x14ac:dyDescent="0.2"/>
    <row r="38698" customFormat="1" x14ac:dyDescent="0.2"/>
    <row r="38699" customFormat="1" x14ac:dyDescent="0.2"/>
    <row r="38700" customFormat="1" x14ac:dyDescent="0.2"/>
    <row r="38701" customFormat="1" x14ac:dyDescent="0.2"/>
    <row r="38702" customFormat="1" x14ac:dyDescent="0.2"/>
    <row r="38703" customFormat="1" x14ac:dyDescent="0.2"/>
    <row r="38704" customFormat="1" x14ac:dyDescent="0.2"/>
    <row r="38705" customFormat="1" x14ac:dyDescent="0.2"/>
    <row r="38706" customFormat="1" x14ac:dyDescent="0.2"/>
    <row r="38707" customFormat="1" x14ac:dyDescent="0.2"/>
    <row r="38708" customFormat="1" x14ac:dyDescent="0.2"/>
    <row r="38709" customFormat="1" x14ac:dyDescent="0.2"/>
    <row r="38710" customFormat="1" x14ac:dyDescent="0.2"/>
    <row r="38711" customFormat="1" x14ac:dyDescent="0.2"/>
    <row r="38712" customFormat="1" x14ac:dyDescent="0.2"/>
    <row r="38713" customFormat="1" x14ac:dyDescent="0.2"/>
    <row r="38714" customFormat="1" x14ac:dyDescent="0.2"/>
    <row r="38715" customFormat="1" x14ac:dyDescent="0.2"/>
    <row r="38716" customFormat="1" x14ac:dyDescent="0.2"/>
    <row r="38717" customFormat="1" x14ac:dyDescent="0.2"/>
    <row r="38718" customFormat="1" x14ac:dyDescent="0.2"/>
    <row r="38719" customFormat="1" x14ac:dyDescent="0.2"/>
    <row r="38720" customFormat="1" x14ac:dyDescent="0.2"/>
    <row r="38721" customFormat="1" x14ac:dyDescent="0.2"/>
    <row r="38722" customFormat="1" x14ac:dyDescent="0.2"/>
    <row r="38723" customFormat="1" x14ac:dyDescent="0.2"/>
    <row r="38724" customFormat="1" x14ac:dyDescent="0.2"/>
    <row r="38725" customFormat="1" x14ac:dyDescent="0.2"/>
    <row r="38726" customFormat="1" x14ac:dyDescent="0.2"/>
    <row r="38727" customFormat="1" x14ac:dyDescent="0.2"/>
    <row r="38728" customFormat="1" x14ac:dyDescent="0.2"/>
    <row r="38729" customFormat="1" x14ac:dyDescent="0.2"/>
    <row r="38730" customFormat="1" x14ac:dyDescent="0.2"/>
    <row r="38731" customFormat="1" x14ac:dyDescent="0.2"/>
    <row r="38732" customFormat="1" x14ac:dyDescent="0.2"/>
    <row r="38733" customFormat="1" x14ac:dyDescent="0.2"/>
    <row r="38734" customFormat="1" x14ac:dyDescent="0.2"/>
    <row r="38735" customFormat="1" x14ac:dyDescent="0.2"/>
    <row r="38736" customFormat="1" x14ac:dyDescent="0.2"/>
    <row r="38737" customFormat="1" x14ac:dyDescent="0.2"/>
    <row r="38738" customFormat="1" x14ac:dyDescent="0.2"/>
    <row r="38739" customFormat="1" x14ac:dyDescent="0.2"/>
    <row r="38740" customFormat="1" x14ac:dyDescent="0.2"/>
    <row r="38741" customFormat="1" x14ac:dyDescent="0.2"/>
    <row r="38742" customFormat="1" x14ac:dyDescent="0.2"/>
    <row r="38743" customFormat="1" x14ac:dyDescent="0.2"/>
    <row r="38744" customFormat="1" x14ac:dyDescent="0.2"/>
    <row r="38745" customFormat="1" x14ac:dyDescent="0.2"/>
    <row r="38746" customFormat="1" x14ac:dyDescent="0.2"/>
    <row r="38747" customFormat="1" x14ac:dyDescent="0.2"/>
    <row r="38748" customFormat="1" x14ac:dyDescent="0.2"/>
    <row r="38749" customFormat="1" x14ac:dyDescent="0.2"/>
    <row r="38750" customFormat="1" x14ac:dyDescent="0.2"/>
    <row r="38751" customFormat="1" x14ac:dyDescent="0.2"/>
    <row r="38752" customFormat="1" x14ac:dyDescent="0.2"/>
    <row r="38753" customFormat="1" x14ac:dyDescent="0.2"/>
    <row r="38754" customFormat="1" x14ac:dyDescent="0.2"/>
    <row r="38755" customFormat="1" x14ac:dyDescent="0.2"/>
    <row r="38756" customFormat="1" x14ac:dyDescent="0.2"/>
    <row r="38757" customFormat="1" x14ac:dyDescent="0.2"/>
    <row r="38758" customFormat="1" x14ac:dyDescent="0.2"/>
    <row r="38759" customFormat="1" x14ac:dyDescent="0.2"/>
    <row r="38760" customFormat="1" x14ac:dyDescent="0.2"/>
    <row r="38761" customFormat="1" x14ac:dyDescent="0.2"/>
    <row r="38762" customFormat="1" x14ac:dyDescent="0.2"/>
    <row r="38763" customFormat="1" x14ac:dyDescent="0.2"/>
    <row r="38764" customFormat="1" x14ac:dyDescent="0.2"/>
    <row r="38765" customFormat="1" x14ac:dyDescent="0.2"/>
    <row r="38766" customFormat="1" x14ac:dyDescent="0.2"/>
    <row r="38767" customFormat="1" x14ac:dyDescent="0.2"/>
    <row r="38768" customFormat="1" x14ac:dyDescent="0.2"/>
    <row r="38769" customFormat="1" x14ac:dyDescent="0.2"/>
    <row r="38770" customFormat="1" x14ac:dyDescent="0.2"/>
    <row r="38771" customFormat="1" x14ac:dyDescent="0.2"/>
    <row r="38772" customFormat="1" x14ac:dyDescent="0.2"/>
    <row r="38773" customFormat="1" x14ac:dyDescent="0.2"/>
    <row r="38774" customFormat="1" x14ac:dyDescent="0.2"/>
    <row r="38775" customFormat="1" x14ac:dyDescent="0.2"/>
    <row r="38776" customFormat="1" x14ac:dyDescent="0.2"/>
    <row r="38777" customFormat="1" x14ac:dyDescent="0.2"/>
    <row r="38778" customFormat="1" x14ac:dyDescent="0.2"/>
    <row r="38779" customFormat="1" x14ac:dyDescent="0.2"/>
    <row r="38780" customFormat="1" x14ac:dyDescent="0.2"/>
    <row r="38781" customFormat="1" x14ac:dyDescent="0.2"/>
    <row r="38782" customFormat="1" x14ac:dyDescent="0.2"/>
    <row r="38783" customFormat="1" x14ac:dyDescent="0.2"/>
    <row r="38784" customFormat="1" x14ac:dyDescent="0.2"/>
    <row r="38785" customFormat="1" x14ac:dyDescent="0.2"/>
    <row r="38786" customFormat="1" x14ac:dyDescent="0.2"/>
    <row r="38787" customFormat="1" x14ac:dyDescent="0.2"/>
    <row r="38788" customFormat="1" x14ac:dyDescent="0.2"/>
    <row r="38789" customFormat="1" x14ac:dyDescent="0.2"/>
    <row r="38790" customFormat="1" x14ac:dyDescent="0.2"/>
    <row r="38791" customFormat="1" x14ac:dyDescent="0.2"/>
    <row r="38792" customFormat="1" x14ac:dyDescent="0.2"/>
    <row r="38793" customFormat="1" x14ac:dyDescent="0.2"/>
    <row r="38794" customFormat="1" x14ac:dyDescent="0.2"/>
    <row r="38795" customFormat="1" x14ac:dyDescent="0.2"/>
    <row r="38796" customFormat="1" x14ac:dyDescent="0.2"/>
    <row r="38797" customFormat="1" x14ac:dyDescent="0.2"/>
    <row r="38798" customFormat="1" x14ac:dyDescent="0.2"/>
    <row r="38799" customFormat="1" x14ac:dyDescent="0.2"/>
    <row r="38800" customFormat="1" x14ac:dyDescent="0.2"/>
    <row r="38801" customFormat="1" x14ac:dyDescent="0.2"/>
    <row r="38802" customFormat="1" x14ac:dyDescent="0.2"/>
    <row r="38803" customFormat="1" x14ac:dyDescent="0.2"/>
    <row r="38804" customFormat="1" x14ac:dyDescent="0.2"/>
    <row r="38805" customFormat="1" x14ac:dyDescent="0.2"/>
    <row r="38806" customFormat="1" x14ac:dyDescent="0.2"/>
    <row r="38807" customFormat="1" x14ac:dyDescent="0.2"/>
    <row r="38808" customFormat="1" x14ac:dyDescent="0.2"/>
    <row r="38809" customFormat="1" x14ac:dyDescent="0.2"/>
    <row r="38810" customFormat="1" x14ac:dyDescent="0.2"/>
    <row r="38811" customFormat="1" x14ac:dyDescent="0.2"/>
    <row r="38812" customFormat="1" x14ac:dyDescent="0.2"/>
    <row r="38813" customFormat="1" x14ac:dyDescent="0.2"/>
    <row r="38814" customFormat="1" x14ac:dyDescent="0.2"/>
    <row r="38815" customFormat="1" x14ac:dyDescent="0.2"/>
    <row r="38816" customFormat="1" x14ac:dyDescent="0.2"/>
    <row r="38817" customFormat="1" x14ac:dyDescent="0.2"/>
    <row r="38818" customFormat="1" x14ac:dyDescent="0.2"/>
    <row r="38819" customFormat="1" x14ac:dyDescent="0.2"/>
    <row r="38820" customFormat="1" x14ac:dyDescent="0.2"/>
    <row r="38821" customFormat="1" x14ac:dyDescent="0.2"/>
    <row r="38822" customFormat="1" x14ac:dyDescent="0.2"/>
    <row r="38823" customFormat="1" x14ac:dyDescent="0.2"/>
    <row r="38824" customFormat="1" x14ac:dyDescent="0.2"/>
    <row r="38825" customFormat="1" x14ac:dyDescent="0.2"/>
    <row r="38826" customFormat="1" x14ac:dyDescent="0.2"/>
    <row r="38827" customFormat="1" x14ac:dyDescent="0.2"/>
    <row r="38828" customFormat="1" x14ac:dyDescent="0.2"/>
    <row r="38829" customFormat="1" x14ac:dyDescent="0.2"/>
    <row r="38830" customFormat="1" x14ac:dyDescent="0.2"/>
    <row r="38831" customFormat="1" x14ac:dyDescent="0.2"/>
    <row r="38832" customFormat="1" x14ac:dyDescent="0.2"/>
    <row r="38833" customFormat="1" x14ac:dyDescent="0.2"/>
    <row r="38834" customFormat="1" x14ac:dyDescent="0.2"/>
    <row r="38835" customFormat="1" x14ac:dyDescent="0.2"/>
    <row r="38836" customFormat="1" x14ac:dyDescent="0.2"/>
    <row r="38837" customFormat="1" x14ac:dyDescent="0.2"/>
    <row r="38838" customFormat="1" x14ac:dyDescent="0.2"/>
    <row r="38839" customFormat="1" x14ac:dyDescent="0.2"/>
    <row r="38840" customFormat="1" x14ac:dyDescent="0.2"/>
    <row r="38841" customFormat="1" x14ac:dyDescent="0.2"/>
    <row r="38842" customFormat="1" x14ac:dyDescent="0.2"/>
    <row r="38843" customFormat="1" x14ac:dyDescent="0.2"/>
    <row r="38844" customFormat="1" x14ac:dyDescent="0.2"/>
    <row r="38845" customFormat="1" x14ac:dyDescent="0.2"/>
    <row r="38846" customFormat="1" x14ac:dyDescent="0.2"/>
    <row r="38847" customFormat="1" x14ac:dyDescent="0.2"/>
    <row r="38848" customFormat="1" x14ac:dyDescent="0.2"/>
    <row r="38849" customFormat="1" x14ac:dyDescent="0.2"/>
    <row r="38850" customFormat="1" x14ac:dyDescent="0.2"/>
    <row r="38851" customFormat="1" x14ac:dyDescent="0.2"/>
    <row r="38852" customFormat="1" x14ac:dyDescent="0.2"/>
    <row r="38853" customFormat="1" x14ac:dyDescent="0.2"/>
    <row r="38854" customFormat="1" x14ac:dyDescent="0.2"/>
    <row r="38855" customFormat="1" x14ac:dyDescent="0.2"/>
    <row r="38856" customFormat="1" x14ac:dyDescent="0.2"/>
    <row r="38857" customFormat="1" x14ac:dyDescent="0.2"/>
    <row r="38858" customFormat="1" x14ac:dyDescent="0.2"/>
    <row r="38859" customFormat="1" x14ac:dyDescent="0.2"/>
    <row r="38860" customFormat="1" x14ac:dyDescent="0.2"/>
    <row r="38861" customFormat="1" x14ac:dyDescent="0.2"/>
    <row r="38862" customFormat="1" x14ac:dyDescent="0.2"/>
    <row r="38863" customFormat="1" x14ac:dyDescent="0.2"/>
    <row r="38864" customFormat="1" x14ac:dyDescent="0.2"/>
    <row r="38865" customFormat="1" x14ac:dyDescent="0.2"/>
    <row r="38866" customFormat="1" x14ac:dyDescent="0.2"/>
    <row r="38867" customFormat="1" x14ac:dyDescent="0.2"/>
    <row r="38868" customFormat="1" x14ac:dyDescent="0.2"/>
    <row r="38869" customFormat="1" x14ac:dyDescent="0.2"/>
    <row r="38870" customFormat="1" x14ac:dyDescent="0.2"/>
    <row r="38871" customFormat="1" x14ac:dyDescent="0.2"/>
    <row r="38872" customFormat="1" x14ac:dyDescent="0.2"/>
    <row r="38873" customFormat="1" x14ac:dyDescent="0.2"/>
    <row r="38874" customFormat="1" x14ac:dyDescent="0.2"/>
    <row r="38875" customFormat="1" x14ac:dyDescent="0.2"/>
    <row r="38876" customFormat="1" x14ac:dyDescent="0.2"/>
    <row r="38877" customFormat="1" x14ac:dyDescent="0.2"/>
    <row r="38878" customFormat="1" x14ac:dyDescent="0.2"/>
    <row r="38879" customFormat="1" x14ac:dyDescent="0.2"/>
    <row r="38880" customFormat="1" x14ac:dyDescent="0.2"/>
    <row r="38881" customFormat="1" x14ac:dyDescent="0.2"/>
    <row r="38882" customFormat="1" x14ac:dyDescent="0.2"/>
    <row r="38883" customFormat="1" x14ac:dyDescent="0.2"/>
    <row r="38884" customFormat="1" x14ac:dyDescent="0.2"/>
    <row r="38885" customFormat="1" x14ac:dyDescent="0.2"/>
    <row r="38886" customFormat="1" x14ac:dyDescent="0.2"/>
    <row r="38887" customFormat="1" x14ac:dyDescent="0.2"/>
    <row r="38888" customFormat="1" x14ac:dyDescent="0.2"/>
    <row r="38889" customFormat="1" x14ac:dyDescent="0.2"/>
    <row r="38890" customFormat="1" x14ac:dyDescent="0.2"/>
    <row r="38891" customFormat="1" x14ac:dyDescent="0.2"/>
    <row r="38892" customFormat="1" x14ac:dyDescent="0.2"/>
    <row r="38893" customFormat="1" x14ac:dyDescent="0.2"/>
    <row r="38894" customFormat="1" x14ac:dyDescent="0.2"/>
    <row r="38895" customFormat="1" x14ac:dyDescent="0.2"/>
    <row r="38896" customFormat="1" x14ac:dyDescent="0.2"/>
    <row r="38897" customFormat="1" x14ac:dyDescent="0.2"/>
    <row r="38898" customFormat="1" x14ac:dyDescent="0.2"/>
    <row r="38899" customFormat="1" x14ac:dyDescent="0.2"/>
    <row r="38900" customFormat="1" x14ac:dyDescent="0.2"/>
    <row r="38901" customFormat="1" x14ac:dyDescent="0.2"/>
    <row r="38902" customFormat="1" x14ac:dyDescent="0.2"/>
    <row r="38903" customFormat="1" x14ac:dyDescent="0.2"/>
    <row r="38904" customFormat="1" x14ac:dyDescent="0.2"/>
    <row r="38905" customFormat="1" x14ac:dyDescent="0.2"/>
    <row r="38906" customFormat="1" x14ac:dyDescent="0.2"/>
    <row r="38907" customFormat="1" x14ac:dyDescent="0.2"/>
    <row r="38908" customFormat="1" x14ac:dyDescent="0.2"/>
    <row r="38909" customFormat="1" x14ac:dyDescent="0.2"/>
    <row r="38910" customFormat="1" x14ac:dyDescent="0.2"/>
    <row r="38911" customFormat="1" x14ac:dyDescent="0.2"/>
    <row r="38912" customFormat="1" x14ac:dyDescent="0.2"/>
    <row r="38913" customFormat="1" x14ac:dyDescent="0.2"/>
    <row r="38914" customFormat="1" x14ac:dyDescent="0.2"/>
    <row r="38915" customFormat="1" x14ac:dyDescent="0.2"/>
    <row r="38916" customFormat="1" x14ac:dyDescent="0.2"/>
    <row r="38917" customFormat="1" x14ac:dyDescent="0.2"/>
    <row r="38918" customFormat="1" x14ac:dyDescent="0.2"/>
    <row r="38919" customFormat="1" x14ac:dyDescent="0.2"/>
    <row r="38920" customFormat="1" x14ac:dyDescent="0.2"/>
    <row r="38921" customFormat="1" x14ac:dyDescent="0.2"/>
    <row r="38922" customFormat="1" x14ac:dyDescent="0.2"/>
    <row r="38923" customFormat="1" x14ac:dyDescent="0.2"/>
    <row r="38924" customFormat="1" x14ac:dyDescent="0.2"/>
    <row r="38925" customFormat="1" x14ac:dyDescent="0.2"/>
    <row r="38926" customFormat="1" x14ac:dyDescent="0.2"/>
    <row r="38927" customFormat="1" x14ac:dyDescent="0.2"/>
    <row r="38928" customFormat="1" x14ac:dyDescent="0.2"/>
    <row r="38929" customFormat="1" x14ac:dyDescent="0.2"/>
    <row r="38930" customFormat="1" x14ac:dyDescent="0.2"/>
    <row r="38931" customFormat="1" x14ac:dyDescent="0.2"/>
    <row r="38932" customFormat="1" x14ac:dyDescent="0.2"/>
    <row r="38933" customFormat="1" x14ac:dyDescent="0.2"/>
    <row r="38934" customFormat="1" x14ac:dyDescent="0.2"/>
    <row r="38935" customFormat="1" x14ac:dyDescent="0.2"/>
    <row r="38936" customFormat="1" x14ac:dyDescent="0.2"/>
    <row r="38937" customFormat="1" x14ac:dyDescent="0.2"/>
    <row r="38938" customFormat="1" x14ac:dyDescent="0.2"/>
    <row r="38939" customFormat="1" x14ac:dyDescent="0.2"/>
    <row r="38940" customFormat="1" x14ac:dyDescent="0.2"/>
    <row r="38941" customFormat="1" x14ac:dyDescent="0.2"/>
    <row r="38942" customFormat="1" x14ac:dyDescent="0.2"/>
    <row r="38943" customFormat="1" x14ac:dyDescent="0.2"/>
    <row r="38944" customFormat="1" x14ac:dyDescent="0.2"/>
    <row r="38945" customFormat="1" x14ac:dyDescent="0.2"/>
    <row r="38946" customFormat="1" x14ac:dyDescent="0.2"/>
    <row r="38947" customFormat="1" x14ac:dyDescent="0.2"/>
    <row r="38948" customFormat="1" x14ac:dyDescent="0.2"/>
    <row r="38949" customFormat="1" x14ac:dyDescent="0.2"/>
    <row r="38950" customFormat="1" x14ac:dyDescent="0.2"/>
    <row r="38951" customFormat="1" x14ac:dyDescent="0.2"/>
    <row r="38952" customFormat="1" x14ac:dyDescent="0.2"/>
    <row r="38953" customFormat="1" x14ac:dyDescent="0.2"/>
    <row r="38954" customFormat="1" x14ac:dyDescent="0.2"/>
    <row r="38955" customFormat="1" x14ac:dyDescent="0.2"/>
    <row r="38956" customFormat="1" x14ac:dyDescent="0.2"/>
    <row r="38957" customFormat="1" x14ac:dyDescent="0.2"/>
    <row r="38958" customFormat="1" x14ac:dyDescent="0.2"/>
    <row r="38959" customFormat="1" x14ac:dyDescent="0.2"/>
    <row r="38960" customFormat="1" x14ac:dyDescent="0.2"/>
    <row r="38961" customFormat="1" x14ac:dyDescent="0.2"/>
    <row r="38962" customFormat="1" x14ac:dyDescent="0.2"/>
    <row r="38963" customFormat="1" x14ac:dyDescent="0.2"/>
    <row r="38964" customFormat="1" x14ac:dyDescent="0.2"/>
    <row r="38965" customFormat="1" x14ac:dyDescent="0.2"/>
    <row r="38966" customFormat="1" x14ac:dyDescent="0.2"/>
    <row r="38967" customFormat="1" x14ac:dyDescent="0.2"/>
    <row r="38968" customFormat="1" x14ac:dyDescent="0.2"/>
    <row r="38969" customFormat="1" x14ac:dyDescent="0.2"/>
    <row r="38970" customFormat="1" x14ac:dyDescent="0.2"/>
    <row r="38971" customFormat="1" x14ac:dyDescent="0.2"/>
    <row r="38972" customFormat="1" x14ac:dyDescent="0.2"/>
    <row r="38973" customFormat="1" x14ac:dyDescent="0.2"/>
    <row r="38974" customFormat="1" x14ac:dyDescent="0.2"/>
    <row r="38975" customFormat="1" x14ac:dyDescent="0.2"/>
    <row r="38976" customFormat="1" x14ac:dyDescent="0.2"/>
    <row r="38977" customFormat="1" x14ac:dyDescent="0.2"/>
    <row r="38978" customFormat="1" x14ac:dyDescent="0.2"/>
    <row r="38979" customFormat="1" x14ac:dyDescent="0.2"/>
    <row r="38980" customFormat="1" x14ac:dyDescent="0.2"/>
    <row r="38981" customFormat="1" x14ac:dyDescent="0.2"/>
    <row r="38982" customFormat="1" x14ac:dyDescent="0.2"/>
    <row r="38983" customFormat="1" x14ac:dyDescent="0.2"/>
    <row r="38984" customFormat="1" x14ac:dyDescent="0.2"/>
    <row r="38985" customFormat="1" x14ac:dyDescent="0.2"/>
    <row r="38986" customFormat="1" x14ac:dyDescent="0.2"/>
    <row r="38987" customFormat="1" x14ac:dyDescent="0.2"/>
    <row r="38988" customFormat="1" x14ac:dyDescent="0.2"/>
    <row r="38989" customFormat="1" x14ac:dyDescent="0.2"/>
    <row r="38990" customFormat="1" x14ac:dyDescent="0.2"/>
    <row r="38991" customFormat="1" x14ac:dyDescent="0.2"/>
    <row r="38992" customFormat="1" x14ac:dyDescent="0.2"/>
    <row r="38993" customFormat="1" x14ac:dyDescent="0.2"/>
    <row r="38994" customFormat="1" x14ac:dyDescent="0.2"/>
    <row r="38995" customFormat="1" x14ac:dyDescent="0.2"/>
    <row r="38996" customFormat="1" x14ac:dyDescent="0.2"/>
    <row r="38997" customFormat="1" x14ac:dyDescent="0.2"/>
    <row r="38998" customFormat="1" x14ac:dyDescent="0.2"/>
    <row r="38999" customFormat="1" x14ac:dyDescent="0.2"/>
    <row r="39000" customFormat="1" x14ac:dyDescent="0.2"/>
    <row r="39001" customFormat="1" x14ac:dyDescent="0.2"/>
    <row r="39002" customFormat="1" x14ac:dyDescent="0.2"/>
    <row r="39003" customFormat="1" x14ac:dyDescent="0.2"/>
    <row r="39004" customFormat="1" x14ac:dyDescent="0.2"/>
    <row r="39005" customFormat="1" x14ac:dyDescent="0.2"/>
    <row r="39006" customFormat="1" x14ac:dyDescent="0.2"/>
    <row r="39007" customFormat="1" x14ac:dyDescent="0.2"/>
    <row r="39008" customFormat="1" x14ac:dyDescent="0.2"/>
    <row r="39009" customFormat="1" x14ac:dyDescent="0.2"/>
    <row r="39010" customFormat="1" x14ac:dyDescent="0.2"/>
    <row r="39011" customFormat="1" x14ac:dyDescent="0.2"/>
    <row r="39012" customFormat="1" x14ac:dyDescent="0.2"/>
    <row r="39013" customFormat="1" x14ac:dyDescent="0.2"/>
    <row r="39014" customFormat="1" x14ac:dyDescent="0.2"/>
    <row r="39015" customFormat="1" x14ac:dyDescent="0.2"/>
    <row r="39016" customFormat="1" x14ac:dyDescent="0.2"/>
    <row r="39017" customFormat="1" x14ac:dyDescent="0.2"/>
    <row r="39018" customFormat="1" x14ac:dyDescent="0.2"/>
    <row r="39019" customFormat="1" x14ac:dyDescent="0.2"/>
    <row r="39020" customFormat="1" x14ac:dyDescent="0.2"/>
    <row r="39021" customFormat="1" x14ac:dyDescent="0.2"/>
    <row r="39022" customFormat="1" x14ac:dyDescent="0.2"/>
    <row r="39023" customFormat="1" x14ac:dyDescent="0.2"/>
    <row r="39024" customFormat="1" x14ac:dyDescent="0.2"/>
    <row r="39025" customFormat="1" x14ac:dyDescent="0.2"/>
    <row r="39026" customFormat="1" x14ac:dyDescent="0.2"/>
    <row r="39027" customFormat="1" x14ac:dyDescent="0.2"/>
    <row r="39028" customFormat="1" x14ac:dyDescent="0.2"/>
    <row r="39029" customFormat="1" x14ac:dyDescent="0.2"/>
    <row r="39030" customFormat="1" x14ac:dyDescent="0.2"/>
    <row r="39031" customFormat="1" x14ac:dyDescent="0.2"/>
    <row r="39032" customFormat="1" x14ac:dyDescent="0.2"/>
    <row r="39033" customFormat="1" x14ac:dyDescent="0.2"/>
    <row r="39034" customFormat="1" x14ac:dyDescent="0.2"/>
    <row r="39035" customFormat="1" x14ac:dyDescent="0.2"/>
    <row r="39036" customFormat="1" x14ac:dyDescent="0.2"/>
    <row r="39037" customFormat="1" x14ac:dyDescent="0.2"/>
    <row r="39038" customFormat="1" x14ac:dyDescent="0.2"/>
    <row r="39039" customFormat="1" x14ac:dyDescent="0.2"/>
    <row r="39040" customFormat="1" x14ac:dyDescent="0.2"/>
    <row r="39041" customFormat="1" x14ac:dyDescent="0.2"/>
    <row r="39042" customFormat="1" x14ac:dyDescent="0.2"/>
    <row r="39043" customFormat="1" x14ac:dyDescent="0.2"/>
    <row r="39044" customFormat="1" x14ac:dyDescent="0.2"/>
    <row r="39045" customFormat="1" x14ac:dyDescent="0.2"/>
    <row r="39046" customFormat="1" x14ac:dyDescent="0.2"/>
    <row r="39047" customFormat="1" x14ac:dyDescent="0.2"/>
    <row r="39048" customFormat="1" x14ac:dyDescent="0.2"/>
    <row r="39049" customFormat="1" x14ac:dyDescent="0.2"/>
    <row r="39050" customFormat="1" x14ac:dyDescent="0.2"/>
    <row r="39051" customFormat="1" x14ac:dyDescent="0.2"/>
    <row r="39052" customFormat="1" x14ac:dyDescent="0.2"/>
    <row r="39053" customFormat="1" x14ac:dyDescent="0.2"/>
    <row r="39054" customFormat="1" x14ac:dyDescent="0.2"/>
    <row r="39055" customFormat="1" x14ac:dyDescent="0.2"/>
    <row r="39056" customFormat="1" x14ac:dyDescent="0.2"/>
    <row r="39057" customFormat="1" x14ac:dyDescent="0.2"/>
    <row r="39058" customFormat="1" x14ac:dyDescent="0.2"/>
    <row r="39059" customFormat="1" x14ac:dyDescent="0.2"/>
    <row r="39060" customFormat="1" x14ac:dyDescent="0.2"/>
    <row r="39061" customFormat="1" x14ac:dyDescent="0.2"/>
    <row r="39062" customFormat="1" x14ac:dyDescent="0.2"/>
    <row r="39063" customFormat="1" x14ac:dyDescent="0.2"/>
    <row r="39064" customFormat="1" x14ac:dyDescent="0.2"/>
    <row r="39065" customFormat="1" x14ac:dyDescent="0.2"/>
    <row r="39066" customFormat="1" x14ac:dyDescent="0.2"/>
    <row r="39067" customFormat="1" x14ac:dyDescent="0.2"/>
    <row r="39068" customFormat="1" x14ac:dyDescent="0.2"/>
    <row r="39069" customFormat="1" x14ac:dyDescent="0.2"/>
    <row r="39070" customFormat="1" x14ac:dyDescent="0.2"/>
    <row r="39071" customFormat="1" x14ac:dyDescent="0.2"/>
    <row r="39072" customFormat="1" x14ac:dyDescent="0.2"/>
    <row r="39073" customFormat="1" x14ac:dyDescent="0.2"/>
    <row r="39074" customFormat="1" x14ac:dyDescent="0.2"/>
    <row r="39075" customFormat="1" x14ac:dyDescent="0.2"/>
    <row r="39076" customFormat="1" x14ac:dyDescent="0.2"/>
    <row r="39077" customFormat="1" x14ac:dyDescent="0.2"/>
    <row r="39078" customFormat="1" x14ac:dyDescent="0.2"/>
    <row r="39079" customFormat="1" x14ac:dyDescent="0.2"/>
    <row r="39080" customFormat="1" x14ac:dyDescent="0.2"/>
    <row r="39081" customFormat="1" x14ac:dyDescent="0.2"/>
    <row r="39082" customFormat="1" x14ac:dyDescent="0.2"/>
    <row r="39083" customFormat="1" x14ac:dyDescent="0.2"/>
    <row r="39084" customFormat="1" x14ac:dyDescent="0.2"/>
    <row r="39085" customFormat="1" x14ac:dyDescent="0.2"/>
    <row r="39086" customFormat="1" x14ac:dyDescent="0.2"/>
    <row r="39087" customFormat="1" x14ac:dyDescent="0.2"/>
    <row r="39088" customFormat="1" x14ac:dyDescent="0.2"/>
    <row r="39089" customFormat="1" x14ac:dyDescent="0.2"/>
    <row r="39090" customFormat="1" x14ac:dyDescent="0.2"/>
    <row r="39091" customFormat="1" x14ac:dyDescent="0.2"/>
    <row r="39092" customFormat="1" x14ac:dyDescent="0.2"/>
    <row r="39093" customFormat="1" x14ac:dyDescent="0.2"/>
    <row r="39094" customFormat="1" x14ac:dyDescent="0.2"/>
    <row r="39095" customFormat="1" x14ac:dyDescent="0.2"/>
    <row r="39096" customFormat="1" x14ac:dyDescent="0.2"/>
    <row r="39097" customFormat="1" x14ac:dyDescent="0.2"/>
    <row r="39098" customFormat="1" x14ac:dyDescent="0.2"/>
    <row r="39099" customFormat="1" x14ac:dyDescent="0.2"/>
    <row r="39100" customFormat="1" x14ac:dyDescent="0.2"/>
    <row r="39101" customFormat="1" x14ac:dyDescent="0.2"/>
    <row r="39102" customFormat="1" x14ac:dyDescent="0.2"/>
    <row r="39103" customFormat="1" x14ac:dyDescent="0.2"/>
    <row r="39104" customFormat="1" x14ac:dyDescent="0.2"/>
    <row r="39105" customFormat="1" x14ac:dyDescent="0.2"/>
    <row r="39106" customFormat="1" x14ac:dyDescent="0.2"/>
    <row r="39107" customFormat="1" x14ac:dyDescent="0.2"/>
    <row r="39108" customFormat="1" x14ac:dyDescent="0.2"/>
    <row r="39109" customFormat="1" x14ac:dyDescent="0.2"/>
    <row r="39110" customFormat="1" x14ac:dyDescent="0.2"/>
    <row r="39111" customFormat="1" x14ac:dyDescent="0.2"/>
    <row r="39112" customFormat="1" x14ac:dyDescent="0.2"/>
    <row r="39113" customFormat="1" x14ac:dyDescent="0.2"/>
    <row r="39114" customFormat="1" x14ac:dyDescent="0.2"/>
    <row r="39115" customFormat="1" x14ac:dyDescent="0.2"/>
    <row r="39116" customFormat="1" x14ac:dyDescent="0.2"/>
    <row r="39117" customFormat="1" x14ac:dyDescent="0.2"/>
    <row r="39118" customFormat="1" x14ac:dyDescent="0.2"/>
    <row r="39119" customFormat="1" x14ac:dyDescent="0.2"/>
    <row r="39120" customFormat="1" x14ac:dyDescent="0.2"/>
    <row r="39121" customFormat="1" x14ac:dyDescent="0.2"/>
    <row r="39122" customFormat="1" x14ac:dyDescent="0.2"/>
    <row r="39123" customFormat="1" x14ac:dyDescent="0.2"/>
    <row r="39124" customFormat="1" x14ac:dyDescent="0.2"/>
    <row r="39125" customFormat="1" x14ac:dyDescent="0.2"/>
    <row r="39126" customFormat="1" x14ac:dyDescent="0.2"/>
    <row r="39127" customFormat="1" x14ac:dyDescent="0.2"/>
    <row r="39128" customFormat="1" x14ac:dyDescent="0.2"/>
    <row r="39129" customFormat="1" x14ac:dyDescent="0.2"/>
    <row r="39130" customFormat="1" x14ac:dyDescent="0.2"/>
    <row r="39131" customFormat="1" x14ac:dyDescent="0.2"/>
    <row r="39132" customFormat="1" x14ac:dyDescent="0.2"/>
    <row r="39133" customFormat="1" x14ac:dyDescent="0.2"/>
    <row r="39134" customFormat="1" x14ac:dyDescent="0.2"/>
    <row r="39135" customFormat="1" x14ac:dyDescent="0.2"/>
    <row r="39136" customFormat="1" x14ac:dyDescent="0.2"/>
    <row r="39137" customFormat="1" x14ac:dyDescent="0.2"/>
    <row r="39138" customFormat="1" x14ac:dyDescent="0.2"/>
    <row r="39139" customFormat="1" x14ac:dyDescent="0.2"/>
    <row r="39140" customFormat="1" x14ac:dyDescent="0.2"/>
    <row r="39141" customFormat="1" x14ac:dyDescent="0.2"/>
    <row r="39142" customFormat="1" x14ac:dyDescent="0.2"/>
    <row r="39143" customFormat="1" x14ac:dyDescent="0.2"/>
    <row r="39144" customFormat="1" x14ac:dyDescent="0.2"/>
    <row r="39145" customFormat="1" x14ac:dyDescent="0.2"/>
    <row r="39146" customFormat="1" x14ac:dyDescent="0.2"/>
    <row r="39147" customFormat="1" x14ac:dyDescent="0.2"/>
    <row r="39148" customFormat="1" x14ac:dyDescent="0.2"/>
    <row r="39149" customFormat="1" x14ac:dyDescent="0.2"/>
    <row r="39150" customFormat="1" x14ac:dyDescent="0.2"/>
    <row r="39151" customFormat="1" x14ac:dyDescent="0.2"/>
    <row r="39152" customFormat="1" x14ac:dyDescent="0.2"/>
    <row r="39153" customFormat="1" x14ac:dyDescent="0.2"/>
    <row r="39154" customFormat="1" x14ac:dyDescent="0.2"/>
    <row r="39155" customFormat="1" x14ac:dyDescent="0.2"/>
    <row r="39156" customFormat="1" x14ac:dyDescent="0.2"/>
    <row r="39157" customFormat="1" x14ac:dyDescent="0.2"/>
    <row r="39158" customFormat="1" x14ac:dyDescent="0.2"/>
    <row r="39159" customFormat="1" x14ac:dyDescent="0.2"/>
    <row r="39160" customFormat="1" x14ac:dyDescent="0.2"/>
    <row r="39161" customFormat="1" x14ac:dyDescent="0.2"/>
    <row r="39162" customFormat="1" x14ac:dyDescent="0.2"/>
    <row r="39163" customFormat="1" x14ac:dyDescent="0.2"/>
    <row r="39164" customFormat="1" x14ac:dyDescent="0.2"/>
    <row r="39165" customFormat="1" x14ac:dyDescent="0.2"/>
    <row r="39166" customFormat="1" x14ac:dyDescent="0.2"/>
    <row r="39167" customFormat="1" x14ac:dyDescent="0.2"/>
    <row r="39168" customFormat="1" x14ac:dyDescent="0.2"/>
    <row r="39169" customFormat="1" x14ac:dyDescent="0.2"/>
    <row r="39170" customFormat="1" x14ac:dyDescent="0.2"/>
    <row r="39171" customFormat="1" x14ac:dyDescent="0.2"/>
    <row r="39172" customFormat="1" x14ac:dyDescent="0.2"/>
    <row r="39173" customFormat="1" x14ac:dyDescent="0.2"/>
    <row r="39174" customFormat="1" x14ac:dyDescent="0.2"/>
    <row r="39175" customFormat="1" x14ac:dyDescent="0.2"/>
    <row r="39176" customFormat="1" x14ac:dyDescent="0.2"/>
    <row r="39177" customFormat="1" x14ac:dyDescent="0.2"/>
    <row r="39178" customFormat="1" x14ac:dyDescent="0.2"/>
    <row r="39179" customFormat="1" x14ac:dyDescent="0.2"/>
    <row r="39180" customFormat="1" x14ac:dyDescent="0.2"/>
    <row r="39181" customFormat="1" x14ac:dyDescent="0.2"/>
    <row r="39182" customFormat="1" x14ac:dyDescent="0.2"/>
    <row r="39183" customFormat="1" x14ac:dyDescent="0.2"/>
    <row r="39184" customFormat="1" x14ac:dyDescent="0.2"/>
    <row r="39185" customFormat="1" x14ac:dyDescent="0.2"/>
    <row r="39186" customFormat="1" x14ac:dyDescent="0.2"/>
    <row r="39187" customFormat="1" x14ac:dyDescent="0.2"/>
    <row r="39188" customFormat="1" x14ac:dyDescent="0.2"/>
    <row r="39189" customFormat="1" x14ac:dyDescent="0.2"/>
    <row r="39190" customFormat="1" x14ac:dyDescent="0.2"/>
    <row r="39191" customFormat="1" x14ac:dyDescent="0.2"/>
    <row r="39192" customFormat="1" x14ac:dyDescent="0.2"/>
    <row r="39193" customFormat="1" x14ac:dyDescent="0.2"/>
    <row r="39194" customFormat="1" x14ac:dyDescent="0.2"/>
    <row r="39195" customFormat="1" x14ac:dyDescent="0.2"/>
    <row r="39196" customFormat="1" x14ac:dyDescent="0.2"/>
    <row r="39197" customFormat="1" x14ac:dyDescent="0.2"/>
    <row r="39198" customFormat="1" x14ac:dyDescent="0.2"/>
    <row r="39199" customFormat="1" x14ac:dyDescent="0.2"/>
    <row r="39200" customFormat="1" x14ac:dyDescent="0.2"/>
    <row r="39201" customFormat="1" x14ac:dyDescent="0.2"/>
    <row r="39202" customFormat="1" x14ac:dyDescent="0.2"/>
    <row r="39203" customFormat="1" x14ac:dyDescent="0.2"/>
    <row r="39204" customFormat="1" x14ac:dyDescent="0.2"/>
    <row r="39205" customFormat="1" x14ac:dyDescent="0.2"/>
    <row r="39206" customFormat="1" x14ac:dyDescent="0.2"/>
    <row r="39207" customFormat="1" x14ac:dyDescent="0.2"/>
    <row r="39208" customFormat="1" x14ac:dyDescent="0.2"/>
    <row r="39209" customFormat="1" x14ac:dyDescent="0.2"/>
    <row r="39210" customFormat="1" x14ac:dyDescent="0.2"/>
    <row r="39211" customFormat="1" x14ac:dyDescent="0.2"/>
    <row r="39212" customFormat="1" x14ac:dyDescent="0.2"/>
    <row r="39213" customFormat="1" x14ac:dyDescent="0.2"/>
    <row r="39214" customFormat="1" x14ac:dyDescent="0.2"/>
    <row r="39215" customFormat="1" x14ac:dyDescent="0.2"/>
    <row r="39216" customFormat="1" x14ac:dyDescent="0.2"/>
    <row r="39217" customFormat="1" x14ac:dyDescent="0.2"/>
    <row r="39218" customFormat="1" x14ac:dyDescent="0.2"/>
    <row r="39219" customFormat="1" x14ac:dyDescent="0.2"/>
    <row r="39220" customFormat="1" x14ac:dyDescent="0.2"/>
    <row r="39221" customFormat="1" x14ac:dyDescent="0.2"/>
    <row r="39222" customFormat="1" x14ac:dyDescent="0.2"/>
    <row r="39223" customFormat="1" x14ac:dyDescent="0.2"/>
    <row r="39224" customFormat="1" x14ac:dyDescent="0.2"/>
    <row r="39225" customFormat="1" x14ac:dyDescent="0.2"/>
    <row r="39226" customFormat="1" x14ac:dyDescent="0.2"/>
    <row r="39227" customFormat="1" x14ac:dyDescent="0.2"/>
    <row r="39228" customFormat="1" x14ac:dyDescent="0.2"/>
    <row r="39229" customFormat="1" x14ac:dyDescent="0.2"/>
    <row r="39230" customFormat="1" x14ac:dyDescent="0.2"/>
    <row r="39231" customFormat="1" x14ac:dyDescent="0.2"/>
    <row r="39232" customFormat="1" x14ac:dyDescent="0.2"/>
    <row r="39233" customFormat="1" x14ac:dyDescent="0.2"/>
    <row r="39234" customFormat="1" x14ac:dyDescent="0.2"/>
    <row r="39235" customFormat="1" x14ac:dyDescent="0.2"/>
    <row r="39236" customFormat="1" x14ac:dyDescent="0.2"/>
    <row r="39237" customFormat="1" x14ac:dyDescent="0.2"/>
    <row r="39238" customFormat="1" x14ac:dyDescent="0.2"/>
    <row r="39239" customFormat="1" x14ac:dyDescent="0.2"/>
    <row r="39240" customFormat="1" x14ac:dyDescent="0.2"/>
    <row r="39241" customFormat="1" x14ac:dyDescent="0.2"/>
    <row r="39242" customFormat="1" x14ac:dyDescent="0.2"/>
    <row r="39243" customFormat="1" x14ac:dyDescent="0.2"/>
    <row r="39244" customFormat="1" x14ac:dyDescent="0.2"/>
    <row r="39245" customFormat="1" x14ac:dyDescent="0.2"/>
    <row r="39246" customFormat="1" x14ac:dyDescent="0.2"/>
    <row r="39247" customFormat="1" x14ac:dyDescent="0.2"/>
    <row r="39248" customFormat="1" x14ac:dyDescent="0.2"/>
    <row r="39249" customFormat="1" x14ac:dyDescent="0.2"/>
    <row r="39250" customFormat="1" x14ac:dyDescent="0.2"/>
    <row r="39251" customFormat="1" x14ac:dyDescent="0.2"/>
    <row r="39252" customFormat="1" x14ac:dyDescent="0.2"/>
    <row r="39253" customFormat="1" x14ac:dyDescent="0.2"/>
    <row r="39254" customFormat="1" x14ac:dyDescent="0.2"/>
    <row r="39255" customFormat="1" x14ac:dyDescent="0.2"/>
    <row r="39256" customFormat="1" x14ac:dyDescent="0.2"/>
    <row r="39257" customFormat="1" x14ac:dyDescent="0.2"/>
    <row r="39258" customFormat="1" x14ac:dyDescent="0.2"/>
    <row r="39259" customFormat="1" x14ac:dyDescent="0.2"/>
    <row r="39260" customFormat="1" x14ac:dyDescent="0.2"/>
    <row r="39261" customFormat="1" x14ac:dyDescent="0.2"/>
    <row r="39262" customFormat="1" x14ac:dyDescent="0.2"/>
    <row r="39263" customFormat="1" x14ac:dyDescent="0.2"/>
    <row r="39264" customFormat="1" x14ac:dyDescent="0.2"/>
    <row r="39265" customFormat="1" x14ac:dyDescent="0.2"/>
    <row r="39266" customFormat="1" x14ac:dyDescent="0.2"/>
    <row r="39267" customFormat="1" x14ac:dyDescent="0.2"/>
    <row r="39268" customFormat="1" x14ac:dyDescent="0.2"/>
    <row r="39269" customFormat="1" x14ac:dyDescent="0.2"/>
    <row r="39270" customFormat="1" x14ac:dyDescent="0.2"/>
    <row r="39271" customFormat="1" x14ac:dyDescent="0.2"/>
    <row r="39272" customFormat="1" x14ac:dyDescent="0.2"/>
    <row r="39273" customFormat="1" x14ac:dyDescent="0.2"/>
    <row r="39274" customFormat="1" x14ac:dyDescent="0.2"/>
    <row r="39275" customFormat="1" x14ac:dyDescent="0.2"/>
    <row r="39276" customFormat="1" x14ac:dyDescent="0.2"/>
    <row r="39277" customFormat="1" x14ac:dyDescent="0.2"/>
    <row r="39278" customFormat="1" x14ac:dyDescent="0.2"/>
    <row r="39279" customFormat="1" x14ac:dyDescent="0.2"/>
    <row r="39280" customFormat="1" x14ac:dyDescent="0.2"/>
    <row r="39281" customFormat="1" x14ac:dyDescent="0.2"/>
    <row r="39282" customFormat="1" x14ac:dyDescent="0.2"/>
    <row r="39283" customFormat="1" x14ac:dyDescent="0.2"/>
    <row r="39284" customFormat="1" x14ac:dyDescent="0.2"/>
    <row r="39285" customFormat="1" x14ac:dyDescent="0.2"/>
    <row r="39286" customFormat="1" x14ac:dyDescent="0.2"/>
    <row r="39287" customFormat="1" x14ac:dyDescent="0.2"/>
    <row r="39288" customFormat="1" x14ac:dyDescent="0.2"/>
    <row r="39289" customFormat="1" x14ac:dyDescent="0.2"/>
    <row r="39290" customFormat="1" x14ac:dyDescent="0.2"/>
    <row r="39291" customFormat="1" x14ac:dyDescent="0.2"/>
    <row r="39292" customFormat="1" x14ac:dyDescent="0.2"/>
    <row r="39293" customFormat="1" x14ac:dyDescent="0.2"/>
    <row r="39294" customFormat="1" x14ac:dyDescent="0.2"/>
    <row r="39295" customFormat="1" x14ac:dyDescent="0.2"/>
    <row r="39296" customFormat="1" x14ac:dyDescent="0.2"/>
    <row r="39297" customFormat="1" x14ac:dyDescent="0.2"/>
    <row r="39298" customFormat="1" x14ac:dyDescent="0.2"/>
    <row r="39299" customFormat="1" x14ac:dyDescent="0.2"/>
    <row r="39300" customFormat="1" x14ac:dyDescent="0.2"/>
    <row r="39301" customFormat="1" x14ac:dyDescent="0.2"/>
    <row r="39302" customFormat="1" x14ac:dyDescent="0.2"/>
    <row r="39303" customFormat="1" x14ac:dyDescent="0.2"/>
    <row r="39304" customFormat="1" x14ac:dyDescent="0.2"/>
    <row r="39305" customFormat="1" x14ac:dyDescent="0.2"/>
    <row r="39306" customFormat="1" x14ac:dyDescent="0.2"/>
    <row r="39307" customFormat="1" x14ac:dyDescent="0.2"/>
    <row r="39308" customFormat="1" x14ac:dyDescent="0.2"/>
    <row r="39309" customFormat="1" x14ac:dyDescent="0.2"/>
    <row r="39310" customFormat="1" x14ac:dyDescent="0.2"/>
    <row r="39311" customFormat="1" x14ac:dyDescent="0.2"/>
    <row r="39312" customFormat="1" x14ac:dyDescent="0.2"/>
    <row r="39313" customFormat="1" x14ac:dyDescent="0.2"/>
    <row r="39314" customFormat="1" x14ac:dyDescent="0.2"/>
    <row r="39315" customFormat="1" x14ac:dyDescent="0.2"/>
    <row r="39316" customFormat="1" x14ac:dyDescent="0.2"/>
    <row r="39317" customFormat="1" x14ac:dyDescent="0.2"/>
    <row r="39318" customFormat="1" x14ac:dyDescent="0.2"/>
    <row r="39319" customFormat="1" x14ac:dyDescent="0.2"/>
    <row r="39320" customFormat="1" x14ac:dyDescent="0.2"/>
    <row r="39321" customFormat="1" x14ac:dyDescent="0.2"/>
    <row r="39322" customFormat="1" x14ac:dyDescent="0.2"/>
    <row r="39323" customFormat="1" x14ac:dyDescent="0.2"/>
    <row r="39324" customFormat="1" x14ac:dyDescent="0.2"/>
    <row r="39325" customFormat="1" x14ac:dyDescent="0.2"/>
    <row r="39326" customFormat="1" x14ac:dyDescent="0.2"/>
    <row r="39327" customFormat="1" x14ac:dyDescent="0.2"/>
    <row r="39328" customFormat="1" x14ac:dyDescent="0.2"/>
    <row r="39329" customFormat="1" x14ac:dyDescent="0.2"/>
    <row r="39330" customFormat="1" x14ac:dyDescent="0.2"/>
    <row r="39331" customFormat="1" x14ac:dyDescent="0.2"/>
    <row r="39332" customFormat="1" x14ac:dyDescent="0.2"/>
    <row r="39333" customFormat="1" x14ac:dyDescent="0.2"/>
    <row r="39334" customFormat="1" x14ac:dyDescent="0.2"/>
    <row r="39335" customFormat="1" x14ac:dyDescent="0.2"/>
    <row r="39336" customFormat="1" x14ac:dyDescent="0.2"/>
    <row r="39337" customFormat="1" x14ac:dyDescent="0.2"/>
    <row r="39338" customFormat="1" x14ac:dyDescent="0.2"/>
    <row r="39339" customFormat="1" x14ac:dyDescent="0.2"/>
    <row r="39340" customFormat="1" x14ac:dyDescent="0.2"/>
    <row r="39341" customFormat="1" x14ac:dyDescent="0.2"/>
    <row r="39342" customFormat="1" x14ac:dyDescent="0.2"/>
    <row r="39343" customFormat="1" x14ac:dyDescent="0.2"/>
    <row r="39344" customFormat="1" x14ac:dyDescent="0.2"/>
    <row r="39345" customFormat="1" x14ac:dyDescent="0.2"/>
    <row r="39346" customFormat="1" x14ac:dyDescent="0.2"/>
    <row r="39347" customFormat="1" x14ac:dyDescent="0.2"/>
    <row r="39348" customFormat="1" x14ac:dyDescent="0.2"/>
    <row r="39349" customFormat="1" x14ac:dyDescent="0.2"/>
    <row r="39350" customFormat="1" x14ac:dyDescent="0.2"/>
    <row r="39351" customFormat="1" x14ac:dyDescent="0.2"/>
    <row r="39352" customFormat="1" x14ac:dyDescent="0.2"/>
    <row r="39353" customFormat="1" x14ac:dyDescent="0.2"/>
    <row r="39354" customFormat="1" x14ac:dyDescent="0.2"/>
    <row r="39355" customFormat="1" x14ac:dyDescent="0.2"/>
    <row r="39356" customFormat="1" x14ac:dyDescent="0.2"/>
    <row r="39357" customFormat="1" x14ac:dyDescent="0.2"/>
    <row r="39358" customFormat="1" x14ac:dyDescent="0.2"/>
    <row r="39359" customFormat="1" x14ac:dyDescent="0.2"/>
    <row r="39360" customFormat="1" x14ac:dyDescent="0.2"/>
    <row r="39361" customFormat="1" x14ac:dyDescent="0.2"/>
    <row r="39362" customFormat="1" x14ac:dyDescent="0.2"/>
    <row r="39363" customFormat="1" x14ac:dyDescent="0.2"/>
    <row r="39364" customFormat="1" x14ac:dyDescent="0.2"/>
    <row r="39365" customFormat="1" x14ac:dyDescent="0.2"/>
    <row r="39366" customFormat="1" x14ac:dyDescent="0.2"/>
    <row r="39367" customFormat="1" x14ac:dyDescent="0.2"/>
    <row r="39368" customFormat="1" x14ac:dyDescent="0.2"/>
    <row r="39369" customFormat="1" x14ac:dyDescent="0.2"/>
    <row r="39370" customFormat="1" x14ac:dyDescent="0.2"/>
    <row r="39371" customFormat="1" x14ac:dyDescent="0.2"/>
    <row r="39372" customFormat="1" x14ac:dyDescent="0.2"/>
    <row r="39373" customFormat="1" x14ac:dyDescent="0.2"/>
    <row r="39374" customFormat="1" x14ac:dyDescent="0.2"/>
    <row r="39375" customFormat="1" x14ac:dyDescent="0.2"/>
    <row r="39376" customFormat="1" x14ac:dyDescent="0.2"/>
    <row r="39377" customFormat="1" x14ac:dyDescent="0.2"/>
    <row r="39378" customFormat="1" x14ac:dyDescent="0.2"/>
    <row r="39379" customFormat="1" x14ac:dyDescent="0.2"/>
    <row r="39380" customFormat="1" x14ac:dyDescent="0.2"/>
    <row r="39381" customFormat="1" x14ac:dyDescent="0.2"/>
    <row r="39382" customFormat="1" x14ac:dyDescent="0.2"/>
    <row r="39383" customFormat="1" x14ac:dyDescent="0.2"/>
    <row r="39384" customFormat="1" x14ac:dyDescent="0.2"/>
    <row r="39385" customFormat="1" x14ac:dyDescent="0.2"/>
    <row r="39386" customFormat="1" x14ac:dyDescent="0.2"/>
    <row r="39387" customFormat="1" x14ac:dyDescent="0.2"/>
    <row r="39388" customFormat="1" x14ac:dyDescent="0.2"/>
    <row r="39389" customFormat="1" x14ac:dyDescent="0.2"/>
    <row r="39390" customFormat="1" x14ac:dyDescent="0.2"/>
    <row r="39391" customFormat="1" x14ac:dyDescent="0.2"/>
    <row r="39392" customFormat="1" x14ac:dyDescent="0.2"/>
    <row r="39393" customFormat="1" x14ac:dyDescent="0.2"/>
    <row r="39394" customFormat="1" x14ac:dyDescent="0.2"/>
    <row r="39395" customFormat="1" x14ac:dyDescent="0.2"/>
    <row r="39396" customFormat="1" x14ac:dyDescent="0.2"/>
    <row r="39397" customFormat="1" x14ac:dyDescent="0.2"/>
    <row r="39398" customFormat="1" x14ac:dyDescent="0.2"/>
    <row r="39399" customFormat="1" x14ac:dyDescent="0.2"/>
    <row r="39400" customFormat="1" x14ac:dyDescent="0.2"/>
    <row r="39401" customFormat="1" x14ac:dyDescent="0.2"/>
    <row r="39402" customFormat="1" x14ac:dyDescent="0.2"/>
    <row r="39403" customFormat="1" x14ac:dyDescent="0.2"/>
    <row r="39404" customFormat="1" x14ac:dyDescent="0.2"/>
    <row r="39405" customFormat="1" x14ac:dyDescent="0.2"/>
    <row r="39406" customFormat="1" x14ac:dyDescent="0.2"/>
    <row r="39407" customFormat="1" x14ac:dyDescent="0.2"/>
    <row r="39408" customFormat="1" x14ac:dyDescent="0.2"/>
    <row r="39409" customFormat="1" x14ac:dyDescent="0.2"/>
    <row r="39410" customFormat="1" x14ac:dyDescent="0.2"/>
    <row r="39411" customFormat="1" x14ac:dyDescent="0.2"/>
    <row r="39412" customFormat="1" x14ac:dyDescent="0.2"/>
    <row r="39413" customFormat="1" x14ac:dyDescent="0.2"/>
    <row r="39414" customFormat="1" x14ac:dyDescent="0.2"/>
    <row r="39415" customFormat="1" x14ac:dyDescent="0.2"/>
    <row r="39416" customFormat="1" x14ac:dyDescent="0.2"/>
    <row r="39417" customFormat="1" x14ac:dyDescent="0.2"/>
    <row r="39418" customFormat="1" x14ac:dyDescent="0.2"/>
    <row r="39419" customFormat="1" x14ac:dyDescent="0.2"/>
    <row r="39420" customFormat="1" x14ac:dyDescent="0.2"/>
    <row r="39421" customFormat="1" x14ac:dyDescent="0.2"/>
    <row r="39422" customFormat="1" x14ac:dyDescent="0.2"/>
    <row r="39423" customFormat="1" x14ac:dyDescent="0.2"/>
    <row r="39424" customFormat="1" x14ac:dyDescent="0.2"/>
    <row r="39425" customFormat="1" x14ac:dyDescent="0.2"/>
    <row r="39426" customFormat="1" x14ac:dyDescent="0.2"/>
    <row r="39427" customFormat="1" x14ac:dyDescent="0.2"/>
    <row r="39428" customFormat="1" x14ac:dyDescent="0.2"/>
    <row r="39429" customFormat="1" x14ac:dyDescent="0.2"/>
    <row r="39430" customFormat="1" x14ac:dyDescent="0.2"/>
    <row r="39431" customFormat="1" x14ac:dyDescent="0.2"/>
    <row r="39432" customFormat="1" x14ac:dyDescent="0.2"/>
    <row r="39433" customFormat="1" x14ac:dyDescent="0.2"/>
    <row r="39434" customFormat="1" x14ac:dyDescent="0.2"/>
    <row r="39435" customFormat="1" x14ac:dyDescent="0.2"/>
    <row r="39436" customFormat="1" x14ac:dyDescent="0.2"/>
    <row r="39437" customFormat="1" x14ac:dyDescent="0.2"/>
    <row r="39438" customFormat="1" x14ac:dyDescent="0.2"/>
    <row r="39439" customFormat="1" x14ac:dyDescent="0.2"/>
    <row r="39440" customFormat="1" x14ac:dyDescent="0.2"/>
    <row r="39441" customFormat="1" x14ac:dyDescent="0.2"/>
    <row r="39442" customFormat="1" x14ac:dyDescent="0.2"/>
    <row r="39443" customFormat="1" x14ac:dyDescent="0.2"/>
    <row r="39444" customFormat="1" x14ac:dyDescent="0.2"/>
    <row r="39445" customFormat="1" x14ac:dyDescent="0.2"/>
    <row r="39446" customFormat="1" x14ac:dyDescent="0.2"/>
    <row r="39447" customFormat="1" x14ac:dyDescent="0.2"/>
    <row r="39448" customFormat="1" x14ac:dyDescent="0.2"/>
    <row r="39449" customFormat="1" x14ac:dyDescent="0.2"/>
    <row r="39450" customFormat="1" x14ac:dyDescent="0.2"/>
    <row r="39451" customFormat="1" x14ac:dyDescent="0.2"/>
    <row r="39452" customFormat="1" x14ac:dyDescent="0.2"/>
    <row r="39453" customFormat="1" x14ac:dyDescent="0.2"/>
    <row r="39454" customFormat="1" x14ac:dyDescent="0.2"/>
    <row r="39455" customFormat="1" x14ac:dyDescent="0.2"/>
    <row r="39456" customFormat="1" x14ac:dyDescent="0.2"/>
    <row r="39457" customFormat="1" x14ac:dyDescent="0.2"/>
    <row r="39458" customFormat="1" x14ac:dyDescent="0.2"/>
    <row r="39459" customFormat="1" x14ac:dyDescent="0.2"/>
    <row r="39460" customFormat="1" x14ac:dyDescent="0.2"/>
    <row r="39461" customFormat="1" x14ac:dyDescent="0.2"/>
    <row r="39462" customFormat="1" x14ac:dyDescent="0.2"/>
    <row r="39463" customFormat="1" x14ac:dyDescent="0.2"/>
    <row r="39464" customFormat="1" x14ac:dyDescent="0.2"/>
    <row r="39465" customFormat="1" x14ac:dyDescent="0.2"/>
    <row r="39466" customFormat="1" x14ac:dyDescent="0.2"/>
    <row r="39467" customFormat="1" x14ac:dyDescent="0.2"/>
    <row r="39468" customFormat="1" x14ac:dyDescent="0.2"/>
    <row r="39469" customFormat="1" x14ac:dyDescent="0.2"/>
    <row r="39470" customFormat="1" x14ac:dyDescent="0.2"/>
    <row r="39471" customFormat="1" x14ac:dyDescent="0.2"/>
    <row r="39472" customFormat="1" x14ac:dyDescent="0.2"/>
    <row r="39473" customFormat="1" x14ac:dyDescent="0.2"/>
    <row r="39474" customFormat="1" x14ac:dyDescent="0.2"/>
    <row r="39475" customFormat="1" x14ac:dyDescent="0.2"/>
    <row r="39476" customFormat="1" x14ac:dyDescent="0.2"/>
    <row r="39477" customFormat="1" x14ac:dyDescent="0.2"/>
    <row r="39478" customFormat="1" x14ac:dyDescent="0.2"/>
    <row r="39479" customFormat="1" x14ac:dyDescent="0.2"/>
    <row r="39480" customFormat="1" x14ac:dyDescent="0.2"/>
    <row r="39481" customFormat="1" x14ac:dyDescent="0.2"/>
    <row r="39482" customFormat="1" x14ac:dyDescent="0.2"/>
    <row r="39483" customFormat="1" x14ac:dyDescent="0.2"/>
    <row r="39484" customFormat="1" x14ac:dyDescent="0.2"/>
    <row r="39485" customFormat="1" x14ac:dyDescent="0.2"/>
    <row r="39486" customFormat="1" x14ac:dyDescent="0.2"/>
    <row r="39487" customFormat="1" x14ac:dyDescent="0.2"/>
    <row r="39488" customFormat="1" x14ac:dyDescent="0.2"/>
    <row r="39489" customFormat="1" x14ac:dyDescent="0.2"/>
    <row r="39490" customFormat="1" x14ac:dyDescent="0.2"/>
    <row r="39491" customFormat="1" x14ac:dyDescent="0.2"/>
    <row r="39492" customFormat="1" x14ac:dyDescent="0.2"/>
    <row r="39493" customFormat="1" x14ac:dyDescent="0.2"/>
    <row r="39494" customFormat="1" x14ac:dyDescent="0.2"/>
    <row r="39495" customFormat="1" x14ac:dyDescent="0.2"/>
    <row r="39496" customFormat="1" x14ac:dyDescent="0.2"/>
    <row r="39497" customFormat="1" x14ac:dyDescent="0.2"/>
    <row r="39498" customFormat="1" x14ac:dyDescent="0.2"/>
    <row r="39499" customFormat="1" x14ac:dyDescent="0.2"/>
    <row r="39500" customFormat="1" x14ac:dyDescent="0.2"/>
    <row r="39501" customFormat="1" x14ac:dyDescent="0.2"/>
    <row r="39502" customFormat="1" x14ac:dyDescent="0.2"/>
    <row r="39503" customFormat="1" x14ac:dyDescent="0.2"/>
    <row r="39504" customFormat="1" x14ac:dyDescent="0.2"/>
    <row r="39505" customFormat="1" x14ac:dyDescent="0.2"/>
    <row r="39506" customFormat="1" x14ac:dyDescent="0.2"/>
    <row r="39507" customFormat="1" x14ac:dyDescent="0.2"/>
    <row r="39508" customFormat="1" x14ac:dyDescent="0.2"/>
    <row r="39509" customFormat="1" x14ac:dyDescent="0.2"/>
    <row r="39510" customFormat="1" x14ac:dyDescent="0.2"/>
    <row r="39511" customFormat="1" x14ac:dyDescent="0.2"/>
    <row r="39512" customFormat="1" x14ac:dyDescent="0.2"/>
    <row r="39513" customFormat="1" x14ac:dyDescent="0.2"/>
    <row r="39514" customFormat="1" x14ac:dyDescent="0.2"/>
    <row r="39515" customFormat="1" x14ac:dyDescent="0.2"/>
    <row r="39516" customFormat="1" x14ac:dyDescent="0.2"/>
    <row r="39517" customFormat="1" x14ac:dyDescent="0.2"/>
    <row r="39518" customFormat="1" x14ac:dyDescent="0.2"/>
    <row r="39519" customFormat="1" x14ac:dyDescent="0.2"/>
    <row r="39520" customFormat="1" x14ac:dyDescent="0.2"/>
    <row r="39521" customFormat="1" x14ac:dyDescent="0.2"/>
    <row r="39522" customFormat="1" x14ac:dyDescent="0.2"/>
    <row r="39523" customFormat="1" x14ac:dyDescent="0.2"/>
    <row r="39524" customFormat="1" x14ac:dyDescent="0.2"/>
    <row r="39525" customFormat="1" x14ac:dyDescent="0.2"/>
    <row r="39526" customFormat="1" x14ac:dyDescent="0.2"/>
    <row r="39527" customFormat="1" x14ac:dyDescent="0.2"/>
    <row r="39528" customFormat="1" x14ac:dyDescent="0.2"/>
    <row r="39529" customFormat="1" x14ac:dyDescent="0.2"/>
    <row r="39530" customFormat="1" x14ac:dyDescent="0.2"/>
    <row r="39531" customFormat="1" x14ac:dyDescent="0.2"/>
    <row r="39532" customFormat="1" x14ac:dyDescent="0.2"/>
    <row r="39533" customFormat="1" x14ac:dyDescent="0.2"/>
    <row r="39534" customFormat="1" x14ac:dyDescent="0.2"/>
    <row r="39535" customFormat="1" x14ac:dyDescent="0.2"/>
    <row r="39536" customFormat="1" x14ac:dyDescent="0.2"/>
    <row r="39537" customFormat="1" x14ac:dyDescent="0.2"/>
    <row r="39538" customFormat="1" x14ac:dyDescent="0.2"/>
    <row r="39539" customFormat="1" x14ac:dyDescent="0.2"/>
    <row r="39540" customFormat="1" x14ac:dyDescent="0.2"/>
    <row r="39541" customFormat="1" x14ac:dyDescent="0.2"/>
    <row r="39542" customFormat="1" x14ac:dyDescent="0.2"/>
    <row r="39543" customFormat="1" x14ac:dyDescent="0.2"/>
    <row r="39544" customFormat="1" x14ac:dyDescent="0.2"/>
    <row r="39545" customFormat="1" x14ac:dyDescent="0.2"/>
    <row r="39546" customFormat="1" x14ac:dyDescent="0.2"/>
    <row r="39547" customFormat="1" x14ac:dyDescent="0.2"/>
    <row r="39548" customFormat="1" x14ac:dyDescent="0.2"/>
    <row r="39549" customFormat="1" x14ac:dyDescent="0.2"/>
    <row r="39550" customFormat="1" x14ac:dyDescent="0.2"/>
    <row r="39551" customFormat="1" x14ac:dyDescent="0.2"/>
    <row r="39552" customFormat="1" x14ac:dyDescent="0.2"/>
    <row r="39553" customFormat="1" x14ac:dyDescent="0.2"/>
    <row r="39554" customFormat="1" x14ac:dyDescent="0.2"/>
    <row r="39555" customFormat="1" x14ac:dyDescent="0.2"/>
    <row r="39556" customFormat="1" x14ac:dyDescent="0.2"/>
    <row r="39557" customFormat="1" x14ac:dyDescent="0.2"/>
    <row r="39558" customFormat="1" x14ac:dyDescent="0.2"/>
    <row r="39559" customFormat="1" x14ac:dyDescent="0.2"/>
    <row r="39560" customFormat="1" x14ac:dyDescent="0.2"/>
    <row r="39561" customFormat="1" x14ac:dyDescent="0.2"/>
    <row r="39562" customFormat="1" x14ac:dyDescent="0.2"/>
    <row r="39563" customFormat="1" x14ac:dyDescent="0.2"/>
    <row r="39564" customFormat="1" x14ac:dyDescent="0.2"/>
    <row r="39565" customFormat="1" x14ac:dyDescent="0.2"/>
    <row r="39566" customFormat="1" x14ac:dyDescent="0.2"/>
    <row r="39567" customFormat="1" x14ac:dyDescent="0.2"/>
    <row r="39568" customFormat="1" x14ac:dyDescent="0.2"/>
    <row r="39569" customFormat="1" x14ac:dyDescent="0.2"/>
    <row r="39570" customFormat="1" x14ac:dyDescent="0.2"/>
    <row r="39571" customFormat="1" x14ac:dyDescent="0.2"/>
    <row r="39572" customFormat="1" x14ac:dyDescent="0.2"/>
    <row r="39573" customFormat="1" x14ac:dyDescent="0.2"/>
    <row r="39574" customFormat="1" x14ac:dyDescent="0.2"/>
    <row r="39575" customFormat="1" x14ac:dyDescent="0.2"/>
    <row r="39576" customFormat="1" x14ac:dyDescent="0.2"/>
    <row r="39577" customFormat="1" x14ac:dyDescent="0.2"/>
    <row r="39578" customFormat="1" x14ac:dyDescent="0.2"/>
    <row r="39579" customFormat="1" x14ac:dyDescent="0.2"/>
    <row r="39580" customFormat="1" x14ac:dyDescent="0.2"/>
    <row r="39581" customFormat="1" x14ac:dyDescent="0.2"/>
    <row r="39582" customFormat="1" x14ac:dyDescent="0.2"/>
    <row r="39583" customFormat="1" x14ac:dyDescent="0.2"/>
    <row r="39584" customFormat="1" x14ac:dyDescent="0.2"/>
    <row r="39585" customFormat="1" x14ac:dyDescent="0.2"/>
    <row r="39586" customFormat="1" x14ac:dyDescent="0.2"/>
    <row r="39587" customFormat="1" x14ac:dyDescent="0.2"/>
    <row r="39588" customFormat="1" x14ac:dyDescent="0.2"/>
    <row r="39589" customFormat="1" x14ac:dyDescent="0.2"/>
    <row r="39590" customFormat="1" x14ac:dyDescent="0.2"/>
    <row r="39591" customFormat="1" x14ac:dyDescent="0.2"/>
    <row r="39592" customFormat="1" x14ac:dyDescent="0.2"/>
    <row r="39593" customFormat="1" x14ac:dyDescent="0.2"/>
    <row r="39594" customFormat="1" x14ac:dyDescent="0.2"/>
    <row r="39595" customFormat="1" x14ac:dyDescent="0.2"/>
    <row r="39596" customFormat="1" x14ac:dyDescent="0.2"/>
    <row r="39597" customFormat="1" x14ac:dyDescent="0.2"/>
    <row r="39598" customFormat="1" x14ac:dyDescent="0.2"/>
    <row r="39599" customFormat="1" x14ac:dyDescent="0.2"/>
    <row r="39600" customFormat="1" x14ac:dyDescent="0.2"/>
    <row r="39601" customFormat="1" x14ac:dyDescent="0.2"/>
    <row r="39602" customFormat="1" x14ac:dyDescent="0.2"/>
    <row r="39603" customFormat="1" x14ac:dyDescent="0.2"/>
    <row r="39604" customFormat="1" x14ac:dyDescent="0.2"/>
    <row r="39605" customFormat="1" x14ac:dyDescent="0.2"/>
    <row r="39606" customFormat="1" x14ac:dyDescent="0.2"/>
    <row r="39607" customFormat="1" x14ac:dyDescent="0.2"/>
    <row r="39608" customFormat="1" x14ac:dyDescent="0.2"/>
    <row r="39609" customFormat="1" x14ac:dyDescent="0.2"/>
    <row r="39610" customFormat="1" x14ac:dyDescent="0.2"/>
    <row r="39611" customFormat="1" x14ac:dyDescent="0.2"/>
    <row r="39612" customFormat="1" x14ac:dyDescent="0.2"/>
    <row r="39613" customFormat="1" x14ac:dyDescent="0.2"/>
    <row r="39614" customFormat="1" x14ac:dyDescent="0.2"/>
    <row r="39615" customFormat="1" x14ac:dyDescent="0.2"/>
    <row r="39616" customFormat="1" x14ac:dyDescent="0.2"/>
    <row r="39617" customFormat="1" x14ac:dyDescent="0.2"/>
    <row r="39618" customFormat="1" x14ac:dyDescent="0.2"/>
    <row r="39619" customFormat="1" x14ac:dyDescent="0.2"/>
    <row r="39620" customFormat="1" x14ac:dyDescent="0.2"/>
    <row r="39621" customFormat="1" x14ac:dyDescent="0.2"/>
    <row r="39622" customFormat="1" x14ac:dyDescent="0.2"/>
    <row r="39623" customFormat="1" x14ac:dyDescent="0.2"/>
    <row r="39624" customFormat="1" x14ac:dyDescent="0.2"/>
    <row r="39625" customFormat="1" x14ac:dyDescent="0.2"/>
    <row r="39626" customFormat="1" x14ac:dyDescent="0.2"/>
    <row r="39627" customFormat="1" x14ac:dyDescent="0.2"/>
    <row r="39628" customFormat="1" x14ac:dyDescent="0.2"/>
    <row r="39629" customFormat="1" x14ac:dyDescent="0.2"/>
    <row r="39630" customFormat="1" x14ac:dyDescent="0.2"/>
    <row r="39631" customFormat="1" x14ac:dyDescent="0.2"/>
    <row r="39632" customFormat="1" x14ac:dyDescent="0.2"/>
    <row r="39633" customFormat="1" x14ac:dyDescent="0.2"/>
    <row r="39634" customFormat="1" x14ac:dyDescent="0.2"/>
    <row r="39635" customFormat="1" x14ac:dyDescent="0.2"/>
    <row r="39636" customFormat="1" x14ac:dyDescent="0.2"/>
    <row r="39637" customFormat="1" x14ac:dyDescent="0.2"/>
    <row r="39638" customFormat="1" x14ac:dyDescent="0.2"/>
    <row r="39639" customFormat="1" x14ac:dyDescent="0.2"/>
    <row r="39640" customFormat="1" x14ac:dyDescent="0.2"/>
    <row r="39641" customFormat="1" x14ac:dyDescent="0.2"/>
    <row r="39642" customFormat="1" x14ac:dyDescent="0.2"/>
    <row r="39643" customFormat="1" x14ac:dyDescent="0.2"/>
    <row r="39644" customFormat="1" x14ac:dyDescent="0.2"/>
    <row r="39645" customFormat="1" x14ac:dyDescent="0.2"/>
    <row r="39646" customFormat="1" x14ac:dyDescent="0.2"/>
    <row r="39647" customFormat="1" x14ac:dyDescent="0.2"/>
    <row r="39648" customFormat="1" x14ac:dyDescent="0.2"/>
    <row r="39649" customFormat="1" x14ac:dyDescent="0.2"/>
    <row r="39650" customFormat="1" x14ac:dyDescent="0.2"/>
    <row r="39651" customFormat="1" x14ac:dyDescent="0.2"/>
    <row r="39652" customFormat="1" x14ac:dyDescent="0.2"/>
    <row r="39653" customFormat="1" x14ac:dyDescent="0.2"/>
    <row r="39654" customFormat="1" x14ac:dyDescent="0.2"/>
    <row r="39655" customFormat="1" x14ac:dyDescent="0.2"/>
    <row r="39656" customFormat="1" x14ac:dyDescent="0.2"/>
    <row r="39657" customFormat="1" x14ac:dyDescent="0.2"/>
    <row r="39658" customFormat="1" x14ac:dyDescent="0.2"/>
    <row r="39659" customFormat="1" x14ac:dyDescent="0.2"/>
    <row r="39660" customFormat="1" x14ac:dyDescent="0.2"/>
    <row r="39661" customFormat="1" x14ac:dyDescent="0.2"/>
    <row r="39662" customFormat="1" x14ac:dyDescent="0.2"/>
    <row r="39663" customFormat="1" x14ac:dyDescent="0.2"/>
    <row r="39664" customFormat="1" x14ac:dyDescent="0.2"/>
    <row r="39665" customFormat="1" x14ac:dyDescent="0.2"/>
    <row r="39666" customFormat="1" x14ac:dyDescent="0.2"/>
    <row r="39667" customFormat="1" x14ac:dyDescent="0.2"/>
    <row r="39668" customFormat="1" x14ac:dyDescent="0.2"/>
    <row r="39669" customFormat="1" x14ac:dyDescent="0.2"/>
    <row r="39670" customFormat="1" x14ac:dyDescent="0.2"/>
    <row r="39671" customFormat="1" x14ac:dyDescent="0.2"/>
    <row r="39672" customFormat="1" x14ac:dyDescent="0.2"/>
    <row r="39673" customFormat="1" x14ac:dyDescent="0.2"/>
    <row r="39674" customFormat="1" x14ac:dyDescent="0.2"/>
    <row r="39675" customFormat="1" x14ac:dyDescent="0.2"/>
    <row r="39676" customFormat="1" x14ac:dyDescent="0.2"/>
    <row r="39677" customFormat="1" x14ac:dyDescent="0.2"/>
    <row r="39678" customFormat="1" x14ac:dyDescent="0.2"/>
    <row r="39679" customFormat="1" x14ac:dyDescent="0.2"/>
    <row r="39680" customFormat="1" x14ac:dyDescent="0.2"/>
    <row r="39681" customFormat="1" x14ac:dyDescent="0.2"/>
    <row r="39682" customFormat="1" x14ac:dyDescent="0.2"/>
    <row r="39683" customFormat="1" x14ac:dyDescent="0.2"/>
    <row r="39684" customFormat="1" x14ac:dyDescent="0.2"/>
    <row r="39685" customFormat="1" x14ac:dyDescent="0.2"/>
    <row r="39686" customFormat="1" x14ac:dyDescent="0.2"/>
    <row r="39687" customFormat="1" x14ac:dyDescent="0.2"/>
    <row r="39688" customFormat="1" x14ac:dyDescent="0.2"/>
    <row r="39689" customFormat="1" x14ac:dyDescent="0.2"/>
    <row r="39690" customFormat="1" x14ac:dyDescent="0.2"/>
    <row r="39691" customFormat="1" x14ac:dyDescent="0.2"/>
    <row r="39692" customFormat="1" x14ac:dyDescent="0.2"/>
    <row r="39693" customFormat="1" x14ac:dyDescent="0.2"/>
    <row r="39694" customFormat="1" x14ac:dyDescent="0.2"/>
    <row r="39695" customFormat="1" x14ac:dyDescent="0.2"/>
    <row r="39696" customFormat="1" x14ac:dyDescent="0.2"/>
    <row r="39697" customFormat="1" x14ac:dyDescent="0.2"/>
    <row r="39698" customFormat="1" x14ac:dyDescent="0.2"/>
    <row r="39699" customFormat="1" x14ac:dyDescent="0.2"/>
    <row r="39700" customFormat="1" x14ac:dyDescent="0.2"/>
    <row r="39701" customFormat="1" x14ac:dyDescent="0.2"/>
    <row r="39702" customFormat="1" x14ac:dyDescent="0.2"/>
    <row r="39703" customFormat="1" x14ac:dyDescent="0.2"/>
    <row r="39704" customFormat="1" x14ac:dyDescent="0.2"/>
    <row r="39705" customFormat="1" x14ac:dyDescent="0.2"/>
    <row r="39706" customFormat="1" x14ac:dyDescent="0.2"/>
    <row r="39707" customFormat="1" x14ac:dyDescent="0.2"/>
    <row r="39708" customFormat="1" x14ac:dyDescent="0.2"/>
    <row r="39709" customFormat="1" x14ac:dyDescent="0.2"/>
    <row r="39710" customFormat="1" x14ac:dyDescent="0.2"/>
    <row r="39711" customFormat="1" x14ac:dyDescent="0.2"/>
    <row r="39712" customFormat="1" x14ac:dyDescent="0.2"/>
    <row r="39713" customFormat="1" x14ac:dyDescent="0.2"/>
    <row r="39714" customFormat="1" x14ac:dyDescent="0.2"/>
    <row r="39715" customFormat="1" x14ac:dyDescent="0.2"/>
    <row r="39716" customFormat="1" x14ac:dyDescent="0.2"/>
    <row r="39717" customFormat="1" x14ac:dyDescent="0.2"/>
    <row r="39718" customFormat="1" x14ac:dyDescent="0.2"/>
    <row r="39719" customFormat="1" x14ac:dyDescent="0.2"/>
    <row r="39720" customFormat="1" x14ac:dyDescent="0.2"/>
    <row r="39721" customFormat="1" x14ac:dyDescent="0.2"/>
    <row r="39722" customFormat="1" x14ac:dyDescent="0.2"/>
    <row r="39723" customFormat="1" x14ac:dyDescent="0.2"/>
    <row r="39724" customFormat="1" x14ac:dyDescent="0.2"/>
    <row r="39725" customFormat="1" x14ac:dyDescent="0.2"/>
    <row r="39726" customFormat="1" x14ac:dyDescent="0.2"/>
    <row r="39727" customFormat="1" x14ac:dyDescent="0.2"/>
    <row r="39728" customFormat="1" x14ac:dyDescent="0.2"/>
    <row r="39729" customFormat="1" x14ac:dyDescent="0.2"/>
    <row r="39730" customFormat="1" x14ac:dyDescent="0.2"/>
    <row r="39731" customFormat="1" x14ac:dyDescent="0.2"/>
    <row r="39732" customFormat="1" x14ac:dyDescent="0.2"/>
    <row r="39733" customFormat="1" x14ac:dyDescent="0.2"/>
    <row r="39734" customFormat="1" x14ac:dyDescent="0.2"/>
    <row r="39735" customFormat="1" x14ac:dyDescent="0.2"/>
    <row r="39736" customFormat="1" x14ac:dyDescent="0.2"/>
    <row r="39737" customFormat="1" x14ac:dyDescent="0.2"/>
    <row r="39738" customFormat="1" x14ac:dyDescent="0.2"/>
    <row r="39739" customFormat="1" x14ac:dyDescent="0.2"/>
    <row r="39740" customFormat="1" x14ac:dyDescent="0.2"/>
    <row r="39741" customFormat="1" x14ac:dyDescent="0.2"/>
    <row r="39742" customFormat="1" x14ac:dyDescent="0.2"/>
    <row r="39743" customFormat="1" x14ac:dyDescent="0.2"/>
    <row r="39744" customFormat="1" x14ac:dyDescent="0.2"/>
    <row r="39745" customFormat="1" x14ac:dyDescent="0.2"/>
    <row r="39746" customFormat="1" x14ac:dyDescent="0.2"/>
    <row r="39747" customFormat="1" x14ac:dyDescent="0.2"/>
    <row r="39748" customFormat="1" x14ac:dyDescent="0.2"/>
    <row r="39749" customFormat="1" x14ac:dyDescent="0.2"/>
    <row r="39750" customFormat="1" x14ac:dyDescent="0.2"/>
    <row r="39751" customFormat="1" x14ac:dyDescent="0.2"/>
    <row r="39752" customFormat="1" x14ac:dyDescent="0.2"/>
    <row r="39753" customFormat="1" x14ac:dyDescent="0.2"/>
    <row r="39754" customFormat="1" x14ac:dyDescent="0.2"/>
    <row r="39755" customFormat="1" x14ac:dyDescent="0.2"/>
    <row r="39756" customFormat="1" x14ac:dyDescent="0.2"/>
    <row r="39757" customFormat="1" x14ac:dyDescent="0.2"/>
    <row r="39758" customFormat="1" x14ac:dyDescent="0.2"/>
    <row r="39759" customFormat="1" x14ac:dyDescent="0.2"/>
    <row r="39760" customFormat="1" x14ac:dyDescent="0.2"/>
    <row r="39761" customFormat="1" x14ac:dyDescent="0.2"/>
    <row r="39762" customFormat="1" x14ac:dyDescent="0.2"/>
    <row r="39763" customFormat="1" x14ac:dyDescent="0.2"/>
    <row r="39764" customFormat="1" x14ac:dyDescent="0.2"/>
    <row r="39765" customFormat="1" x14ac:dyDescent="0.2"/>
    <row r="39766" customFormat="1" x14ac:dyDescent="0.2"/>
    <row r="39767" customFormat="1" x14ac:dyDescent="0.2"/>
    <row r="39768" customFormat="1" x14ac:dyDescent="0.2"/>
    <row r="39769" customFormat="1" x14ac:dyDescent="0.2"/>
    <row r="39770" customFormat="1" x14ac:dyDescent="0.2"/>
    <row r="39771" customFormat="1" x14ac:dyDescent="0.2"/>
    <row r="39772" customFormat="1" x14ac:dyDescent="0.2"/>
    <row r="39773" customFormat="1" x14ac:dyDescent="0.2"/>
    <row r="39774" customFormat="1" x14ac:dyDescent="0.2"/>
    <row r="39775" customFormat="1" x14ac:dyDescent="0.2"/>
    <row r="39776" customFormat="1" x14ac:dyDescent="0.2"/>
    <row r="39777" customFormat="1" x14ac:dyDescent="0.2"/>
    <row r="39778" customFormat="1" x14ac:dyDescent="0.2"/>
    <row r="39779" customFormat="1" x14ac:dyDescent="0.2"/>
    <row r="39780" customFormat="1" x14ac:dyDescent="0.2"/>
    <row r="39781" customFormat="1" x14ac:dyDescent="0.2"/>
    <row r="39782" customFormat="1" x14ac:dyDescent="0.2"/>
    <row r="39783" customFormat="1" x14ac:dyDescent="0.2"/>
    <row r="39784" customFormat="1" x14ac:dyDescent="0.2"/>
    <row r="39785" customFormat="1" x14ac:dyDescent="0.2"/>
    <row r="39786" customFormat="1" x14ac:dyDescent="0.2"/>
    <row r="39787" customFormat="1" x14ac:dyDescent="0.2"/>
    <row r="39788" customFormat="1" x14ac:dyDescent="0.2"/>
    <row r="39789" customFormat="1" x14ac:dyDescent="0.2"/>
    <row r="39790" customFormat="1" x14ac:dyDescent="0.2"/>
    <row r="39791" customFormat="1" x14ac:dyDescent="0.2"/>
    <row r="39792" customFormat="1" x14ac:dyDescent="0.2"/>
    <row r="39793" customFormat="1" x14ac:dyDescent="0.2"/>
    <row r="39794" customFormat="1" x14ac:dyDescent="0.2"/>
    <row r="39795" customFormat="1" x14ac:dyDescent="0.2"/>
    <row r="39796" customFormat="1" x14ac:dyDescent="0.2"/>
    <row r="39797" customFormat="1" x14ac:dyDescent="0.2"/>
    <row r="39798" customFormat="1" x14ac:dyDescent="0.2"/>
    <row r="39799" customFormat="1" x14ac:dyDescent="0.2"/>
    <row r="39800" customFormat="1" x14ac:dyDescent="0.2"/>
    <row r="39801" customFormat="1" x14ac:dyDescent="0.2"/>
    <row r="39802" customFormat="1" x14ac:dyDescent="0.2"/>
    <row r="39803" customFormat="1" x14ac:dyDescent="0.2"/>
    <row r="39804" customFormat="1" x14ac:dyDescent="0.2"/>
    <row r="39805" customFormat="1" x14ac:dyDescent="0.2"/>
    <row r="39806" customFormat="1" x14ac:dyDescent="0.2"/>
    <row r="39807" customFormat="1" x14ac:dyDescent="0.2"/>
    <row r="39808" customFormat="1" x14ac:dyDescent="0.2"/>
    <row r="39809" customFormat="1" x14ac:dyDescent="0.2"/>
    <row r="39810" customFormat="1" x14ac:dyDescent="0.2"/>
    <row r="39811" customFormat="1" x14ac:dyDescent="0.2"/>
    <row r="39812" customFormat="1" x14ac:dyDescent="0.2"/>
    <row r="39813" customFormat="1" x14ac:dyDescent="0.2"/>
    <row r="39814" customFormat="1" x14ac:dyDescent="0.2"/>
    <row r="39815" customFormat="1" x14ac:dyDescent="0.2"/>
    <row r="39816" customFormat="1" x14ac:dyDescent="0.2"/>
    <row r="39817" customFormat="1" x14ac:dyDescent="0.2"/>
    <row r="39818" customFormat="1" x14ac:dyDescent="0.2"/>
    <row r="39819" customFormat="1" x14ac:dyDescent="0.2"/>
    <row r="39820" customFormat="1" x14ac:dyDescent="0.2"/>
    <row r="39821" customFormat="1" x14ac:dyDescent="0.2"/>
    <row r="39822" customFormat="1" x14ac:dyDescent="0.2"/>
    <row r="39823" customFormat="1" x14ac:dyDescent="0.2"/>
    <row r="39824" customFormat="1" x14ac:dyDescent="0.2"/>
    <row r="39825" customFormat="1" x14ac:dyDescent="0.2"/>
    <row r="39826" customFormat="1" x14ac:dyDescent="0.2"/>
    <row r="39827" customFormat="1" x14ac:dyDescent="0.2"/>
    <row r="39828" customFormat="1" x14ac:dyDescent="0.2"/>
    <row r="39829" customFormat="1" x14ac:dyDescent="0.2"/>
    <row r="39830" customFormat="1" x14ac:dyDescent="0.2"/>
    <row r="39831" customFormat="1" x14ac:dyDescent="0.2"/>
    <row r="39832" customFormat="1" x14ac:dyDescent="0.2"/>
    <row r="39833" customFormat="1" x14ac:dyDescent="0.2"/>
    <row r="39834" customFormat="1" x14ac:dyDescent="0.2"/>
    <row r="39835" customFormat="1" x14ac:dyDescent="0.2"/>
    <row r="39836" customFormat="1" x14ac:dyDescent="0.2"/>
    <row r="39837" customFormat="1" x14ac:dyDescent="0.2"/>
    <row r="39838" customFormat="1" x14ac:dyDescent="0.2"/>
    <row r="39839" customFormat="1" x14ac:dyDescent="0.2"/>
    <row r="39840" customFormat="1" x14ac:dyDescent="0.2"/>
    <row r="39841" customFormat="1" x14ac:dyDescent="0.2"/>
    <row r="39842" customFormat="1" x14ac:dyDescent="0.2"/>
    <row r="39843" customFormat="1" x14ac:dyDescent="0.2"/>
    <row r="39844" customFormat="1" x14ac:dyDescent="0.2"/>
    <row r="39845" customFormat="1" x14ac:dyDescent="0.2"/>
    <row r="39846" customFormat="1" x14ac:dyDescent="0.2"/>
    <row r="39847" customFormat="1" x14ac:dyDescent="0.2"/>
    <row r="39848" customFormat="1" x14ac:dyDescent="0.2"/>
    <row r="39849" customFormat="1" x14ac:dyDescent="0.2"/>
    <row r="39850" customFormat="1" x14ac:dyDescent="0.2"/>
    <row r="39851" customFormat="1" x14ac:dyDescent="0.2"/>
    <row r="39852" customFormat="1" x14ac:dyDescent="0.2"/>
    <row r="39853" customFormat="1" x14ac:dyDescent="0.2"/>
    <row r="39854" customFormat="1" x14ac:dyDescent="0.2"/>
    <row r="39855" customFormat="1" x14ac:dyDescent="0.2"/>
    <row r="39856" customFormat="1" x14ac:dyDescent="0.2"/>
    <row r="39857" customFormat="1" x14ac:dyDescent="0.2"/>
    <row r="39858" customFormat="1" x14ac:dyDescent="0.2"/>
    <row r="39859" customFormat="1" x14ac:dyDescent="0.2"/>
    <row r="39860" customFormat="1" x14ac:dyDescent="0.2"/>
    <row r="39861" customFormat="1" x14ac:dyDescent="0.2"/>
    <row r="39862" customFormat="1" x14ac:dyDescent="0.2"/>
    <row r="39863" customFormat="1" x14ac:dyDescent="0.2"/>
    <row r="39864" customFormat="1" x14ac:dyDescent="0.2"/>
    <row r="39865" customFormat="1" x14ac:dyDescent="0.2"/>
    <row r="39866" customFormat="1" x14ac:dyDescent="0.2"/>
    <row r="39867" customFormat="1" x14ac:dyDescent="0.2"/>
    <row r="39868" customFormat="1" x14ac:dyDescent="0.2"/>
    <row r="39869" customFormat="1" x14ac:dyDescent="0.2"/>
    <row r="39870" customFormat="1" x14ac:dyDescent="0.2"/>
    <row r="39871" customFormat="1" x14ac:dyDescent="0.2"/>
    <row r="39872" customFormat="1" x14ac:dyDescent="0.2"/>
    <row r="39873" customFormat="1" x14ac:dyDescent="0.2"/>
    <row r="39874" customFormat="1" x14ac:dyDescent="0.2"/>
    <row r="39875" customFormat="1" x14ac:dyDescent="0.2"/>
    <row r="39876" customFormat="1" x14ac:dyDescent="0.2"/>
    <row r="39877" customFormat="1" x14ac:dyDescent="0.2"/>
    <row r="39878" customFormat="1" x14ac:dyDescent="0.2"/>
    <row r="39879" customFormat="1" x14ac:dyDescent="0.2"/>
    <row r="39880" customFormat="1" x14ac:dyDescent="0.2"/>
    <row r="39881" customFormat="1" x14ac:dyDescent="0.2"/>
    <row r="39882" customFormat="1" x14ac:dyDescent="0.2"/>
    <row r="39883" customFormat="1" x14ac:dyDescent="0.2"/>
    <row r="39884" customFormat="1" x14ac:dyDescent="0.2"/>
    <row r="39885" customFormat="1" x14ac:dyDescent="0.2"/>
    <row r="39886" customFormat="1" x14ac:dyDescent="0.2"/>
    <row r="39887" customFormat="1" x14ac:dyDescent="0.2"/>
    <row r="39888" customFormat="1" x14ac:dyDescent="0.2"/>
    <row r="39889" customFormat="1" x14ac:dyDescent="0.2"/>
    <row r="39890" customFormat="1" x14ac:dyDescent="0.2"/>
    <row r="39891" customFormat="1" x14ac:dyDescent="0.2"/>
    <row r="39892" customFormat="1" x14ac:dyDescent="0.2"/>
    <row r="39893" customFormat="1" x14ac:dyDescent="0.2"/>
    <row r="39894" customFormat="1" x14ac:dyDescent="0.2"/>
    <row r="39895" customFormat="1" x14ac:dyDescent="0.2"/>
    <row r="39896" customFormat="1" x14ac:dyDescent="0.2"/>
    <row r="39897" customFormat="1" x14ac:dyDescent="0.2"/>
    <row r="39898" customFormat="1" x14ac:dyDescent="0.2"/>
    <row r="39899" customFormat="1" x14ac:dyDescent="0.2"/>
    <row r="39900" customFormat="1" x14ac:dyDescent="0.2"/>
    <row r="39901" customFormat="1" x14ac:dyDescent="0.2"/>
    <row r="39902" customFormat="1" x14ac:dyDescent="0.2"/>
    <row r="39903" customFormat="1" x14ac:dyDescent="0.2"/>
    <row r="39904" customFormat="1" x14ac:dyDescent="0.2"/>
    <row r="39905" customFormat="1" x14ac:dyDescent="0.2"/>
    <row r="39906" customFormat="1" x14ac:dyDescent="0.2"/>
    <row r="39907" customFormat="1" x14ac:dyDescent="0.2"/>
    <row r="39908" customFormat="1" x14ac:dyDescent="0.2"/>
    <row r="39909" customFormat="1" x14ac:dyDescent="0.2"/>
    <row r="39910" customFormat="1" x14ac:dyDescent="0.2"/>
    <row r="39911" customFormat="1" x14ac:dyDescent="0.2"/>
    <row r="39912" customFormat="1" x14ac:dyDescent="0.2"/>
    <row r="39913" customFormat="1" x14ac:dyDescent="0.2"/>
    <row r="39914" customFormat="1" x14ac:dyDescent="0.2"/>
    <row r="39915" customFormat="1" x14ac:dyDescent="0.2"/>
    <row r="39916" customFormat="1" x14ac:dyDescent="0.2"/>
    <row r="39917" customFormat="1" x14ac:dyDescent="0.2"/>
    <row r="39918" customFormat="1" x14ac:dyDescent="0.2"/>
    <row r="39919" customFormat="1" x14ac:dyDescent="0.2"/>
    <row r="39920" customFormat="1" x14ac:dyDescent="0.2"/>
    <row r="39921" customFormat="1" x14ac:dyDescent="0.2"/>
    <row r="39922" customFormat="1" x14ac:dyDescent="0.2"/>
    <row r="39923" customFormat="1" x14ac:dyDescent="0.2"/>
    <row r="39924" customFormat="1" x14ac:dyDescent="0.2"/>
    <row r="39925" customFormat="1" x14ac:dyDescent="0.2"/>
    <row r="39926" customFormat="1" x14ac:dyDescent="0.2"/>
    <row r="39927" customFormat="1" x14ac:dyDescent="0.2"/>
    <row r="39928" customFormat="1" x14ac:dyDescent="0.2"/>
    <row r="39929" customFormat="1" x14ac:dyDescent="0.2"/>
    <row r="39930" customFormat="1" x14ac:dyDescent="0.2"/>
    <row r="39931" customFormat="1" x14ac:dyDescent="0.2"/>
    <row r="39932" customFormat="1" x14ac:dyDescent="0.2"/>
    <row r="39933" customFormat="1" x14ac:dyDescent="0.2"/>
    <row r="39934" customFormat="1" x14ac:dyDescent="0.2"/>
    <row r="39935" customFormat="1" x14ac:dyDescent="0.2"/>
    <row r="39936" customFormat="1" x14ac:dyDescent="0.2"/>
    <row r="39937" customFormat="1" x14ac:dyDescent="0.2"/>
    <row r="39938" customFormat="1" x14ac:dyDescent="0.2"/>
    <row r="39939" customFormat="1" x14ac:dyDescent="0.2"/>
    <row r="39940" customFormat="1" x14ac:dyDescent="0.2"/>
    <row r="39941" customFormat="1" x14ac:dyDescent="0.2"/>
    <row r="39942" customFormat="1" x14ac:dyDescent="0.2"/>
    <row r="39943" customFormat="1" x14ac:dyDescent="0.2"/>
    <row r="39944" customFormat="1" x14ac:dyDescent="0.2"/>
    <row r="39945" customFormat="1" x14ac:dyDescent="0.2"/>
    <row r="39946" customFormat="1" x14ac:dyDescent="0.2"/>
    <row r="39947" customFormat="1" x14ac:dyDescent="0.2"/>
    <row r="39948" customFormat="1" x14ac:dyDescent="0.2"/>
    <row r="39949" customFormat="1" x14ac:dyDescent="0.2"/>
    <row r="39950" customFormat="1" x14ac:dyDescent="0.2"/>
    <row r="39951" customFormat="1" x14ac:dyDescent="0.2"/>
    <row r="39952" customFormat="1" x14ac:dyDescent="0.2"/>
    <row r="39953" customFormat="1" x14ac:dyDescent="0.2"/>
    <row r="39954" customFormat="1" x14ac:dyDescent="0.2"/>
    <row r="39955" customFormat="1" x14ac:dyDescent="0.2"/>
    <row r="39956" customFormat="1" x14ac:dyDescent="0.2"/>
    <row r="39957" customFormat="1" x14ac:dyDescent="0.2"/>
    <row r="39958" customFormat="1" x14ac:dyDescent="0.2"/>
    <row r="39959" customFormat="1" x14ac:dyDescent="0.2"/>
    <row r="39960" customFormat="1" x14ac:dyDescent="0.2"/>
    <row r="39961" customFormat="1" x14ac:dyDescent="0.2"/>
    <row r="39962" customFormat="1" x14ac:dyDescent="0.2"/>
    <row r="39963" customFormat="1" x14ac:dyDescent="0.2"/>
    <row r="39964" customFormat="1" x14ac:dyDescent="0.2"/>
    <row r="39965" customFormat="1" x14ac:dyDescent="0.2"/>
    <row r="39966" customFormat="1" x14ac:dyDescent="0.2"/>
    <row r="39967" customFormat="1" x14ac:dyDescent="0.2"/>
    <row r="39968" customFormat="1" x14ac:dyDescent="0.2"/>
    <row r="39969" customFormat="1" x14ac:dyDescent="0.2"/>
    <row r="39970" customFormat="1" x14ac:dyDescent="0.2"/>
    <row r="39971" customFormat="1" x14ac:dyDescent="0.2"/>
    <row r="39972" customFormat="1" x14ac:dyDescent="0.2"/>
    <row r="39973" customFormat="1" x14ac:dyDescent="0.2"/>
    <row r="39974" customFormat="1" x14ac:dyDescent="0.2"/>
    <row r="39975" customFormat="1" x14ac:dyDescent="0.2"/>
    <row r="39976" customFormat="1" x14ac:dyDescent="0.2"/>
    <row r="39977" customFormat="1" x14ac:dyDescent="0.2"/>
    <row r="39978" customFormat="1" x14ac:dyDescent="0.2"/>
    <row r="39979" customFormat="1" x14ac:dyDescent="0.2"/>
    <row r="39980" customFormat="1" x14ac:dyDescent="0.2"/>
    <row r="39981" customFormat="1" x14ac:dyDescent="0.2"/>
    <row r="39982" customFormat="1" x14ac:dyDescent="0.2"/>
    <row r="39983" customFormat="1" x14ac:dyDescent="0.2"/>
    <row r="39984" customFormat="1" x14ac:dyDescent="0.2"/>
    <row r="39985" customFormat="1" x14ac:dyDescent="0.2"/>
    <row r="39986" customFormat="1" x14ac:dyDescent="0.2"/>
    <row r="39987" customFormat="1" x14ac:dyDescent="0.2"/>
    <row r="39988" customFormat="1" x14ac:dyDescent="0.2"/>
    <row r="39989" customFormat="1" x14ac:dyDescent="0.2"/>
    <row r="39990" customFormat="1" x14ac:dyDescent="0.2"/>
    <row r="39991" customFormat="1" x14ac:dyDescent="0.2"/>
    <row r="39992" customFormat="1" x14ac:dyDescent="0.2"/>
    <row r="39993" customFormat="1" x14ac:dyDescent="0.2"/>
    <row r="39994" customFormat="1" x14ac:dyDescent="0.2"/>
    <row r="39995" customFormat="1" x14ac:dyDescent="0.2"/>
    <row r="39996" customFormat="1" x14ac:dyDescent="0.2"/>
    <row r="39997" customFormat="1" x14ac:dyDescent="0.2"/>
    <row r="39998" customFormat="1" x14ac:dyDescent="0.2"/>
    <row r="39999" customFormat="1" x14ac:dyDescent="0.2"/>
    <row r="40000" customFormat="1" x14ac:dyDescent="0.2"/>
    <row r="40001" customFormat="1" x14ac:dyDescent="0.2"/>
    <row r="40002" customFormat="1" x14ac:dyDescent="0.2"/>
    <row r="40003" customFormat="1" x14ac:dyDescent="0.2"/>
    <row r="40004" customFormat="1" x14ac:dyDescent="0.2"/>
    <row r="40005" customFormat="1" x14ac:dyDescent="0.2"/>
    <row r="40006" customFormat="1" x14ac:dyDescent="0.2"/>
    <row r="40007" customFormat="1" x14ac:dyDescent="0.2"/>
    <row r="40008" customFormat="1" x14ac:dyDescent="0.2"/>
    <row r="40009" customFormat="1" x14ac:dyDescent="0.2"/>
    <row r="40010" customFormat="1" x14ac:dyDescent="0.2"/>
    <row r="40011" customFormat="1" x14ac:dyDescent="0.2"/>
    <row r="40012" customFormat="1" x14ac:dyDescent="0.2"/>
    <row r="40013" customFormat="1" x14ac:dyDescent="0.2"/>
    <row r="40014" customFormat="1" x14ac:dyDescent="0.2"/>
    <row r="40015" customFormat="1" x14ac:dyDescent="0.2"/>
    <row r="40016" customFormat="1" x14ac:dyDescent="0.2"/>
    <row r="40017" customFormat="1" x14ac:dyDescent="0.2"/>
    <row r="40018" customFormat="1" x14ac:dyDescent="0.2"/>
    <row r="40019" customFormat="1" x14ac:dyDescent="0.2"/>
    <row r="40020" customFormat="1" x14ac:dyDescent="0.2"/>
    <row r="40021" customFormat="1" x14ac:dyDescent="0.2"/>
    <row r="40022" customFormat="1" x14ac:dyDescent="0.2"/>
    <row r="40023" customFormat="1" x14ac:dyDescent="0.2"/>
    <row r="40024" customFormat="1" x14ac:dyDescent="0.2"/>
    <row r="40025" customFormat="1" x14ac:dyDescent="0.2"/>
    <row r="40026" customFormat="1" x14ac:dyDescent="0.2"/>
    <row r="40027" customFormat="1" x14ac:dyDescent="0.2"/>
    <row r="40028" customFormat="1" x14ac:dyDescent="0.2"/>
    <row r="40029" customFormat="1" x14ac:dyDescent="0.2"/>
    <row r="40030" customFormat="1" x14ac:dyDescent="0.2"/>
    <row r="40031" customFormat="1" x14ac:dyDescent="0.2"/>
    <row r="40032" customFormat="1" x14ac:dyDescent="0.2"/>
    <row r="40033" customFormat="1" x14ac:dyDescent="0.2"/>
    <row r="40034" customFormat="1" x14ac:dyDescent="0.2"/>
    <row r="40035" customFormat="1" x14ac:dyDescent="0.2"/>
    <row r="40036" customFormat="1" x14ac:dyDescent="0.2"/>
    <row r="40037" customFormat="1" x14ac:dyDescent="0.2"/>
    <row r="40038" customFormat="1" x14ac:dyDescent="0.2"/>
    <row r="40039" customFormat="1" x14ac:dyDescent="0.2"/>
    <row r="40040" customFormat="1" x14ac:dyDescent="0.2"/>
    <row r="40041" customFormat="1" x14ac:dyDescent="0.2"/>
    <row r="40042" customFormat="1" x14ac:dyDescent="0.2"/>
    <row r="40043" customFormat="1" x14ac:dyDescent="0.2"/>
    <row r="40044" customFormat="1" x14ac:dyDescent="0.2"/>
    <row r="40045" customFormat="1" x14ac:dyDescent="0.2"/>
    <row r="40046" customFormat="1" x14ac:dyDescent="0.2"/>
    <row r="40047" customFormat="1" x14ac:dyDescent="0.2"/>
    <row r="40048" customFormat="1" x14ac:dyDescent="0.2"/>
    <row r="40049" customFormat="1" x14ac:dyDescent="0.2"/>
    <row r="40050" customFormat="1" x14ac:dyDescent="0.2"/>
    <row r="40051" customFormat="1" x14ac:dyDescent="0.2"/>
    <row r="40052" customFormat="1" x14ac:dyDescent="0.2"/>
    <row r="40053" customFormat="1" x14ac:dyDescent="0.2"/>
    <row r="40054" customFormat="1" x14ac:dyDescent="0.2"/>
    <row r="40055" customFormat="1" x14ac:dyDescent="0.2"/>
    <row r="40056" customFormat="1" x14ac:dyDescent="0.2"/>
    <row r="40057" customFormat="1" x14ac:dyDescent="0.2"/>
    <row r="40058" customFormat="1" x14ac:dyDescent="0.2"/>
    <row r="40059" customFormat="1" x14ac:dyDescent="0.2"/>
    <row r="40060" customFormat="1" x14ac:dyDescent="0.2"/>
    <row r="40061" customFormat="1" x14ac:dyDescent="0.2"/>
    <row r="40062" customFormat="1" x14ac:dyDescent="0.2"/>
    <row r="40063" customFormat="1" x14ac:dyDescent="0.2"/>
    <row r="40064" customFormat="1" x14ac:dyDescent="0.2"/>
    <row r="40065" customFormat="1" x14ac:dyDescent="0.2"/>
    <row r="40066" customFormat="1" x14ac:dyDescent="0.2"/>
    <row r="40067" customFormat="1" x14ac:dyDescent="0.2"/>
    <row r="40068" customFormat="1" x14ac:dyDescent="0.2"/>
    <row r="40069" customFormat="1" x14ac:dyDescent="0.2"/>
    <row r="40070" customFormat="1" x14ac:dyDescent="0.2"/>
    <row r="40071" customFormat="1" x14ac:dyDescent="0.2"/>
    <row r="40072" customFormat="1" x14ac:dyDescent="0.2"/>
    <row r="40073" customFormat="1" x14ac:dyDescent="0.2"/>
    <row r="40074" customFormat="1" x14ac:dyDescent="0.2"/>
    <row r="40075" customFormat="1" x14ac:dyDescent="0.2"/>
    <row r="40076" customFormat="1" x14ac:dyDescent="0.2"/>
    <row r="40077" customFormat="1" x14ac:dyDescent="0.2"/>
    <row r="40078" customFormat="1" x14ac:dyDescent="0.2"/>
    <row r="40079" customFormat="1" x14ac:dyDescent="0.2"/>
    <row r="40080" customFormat="1" x14ac:dyDescent="0.2"/>
    <row r="40081" customFormat="1" x14ac:dyDescent="0.2"/>
    <row r="40082" customFormat="1" x14ac:dyDescent="0.2"/>
    <row r="40083" customFormat="1" x14ac:dyDescent="0.2"/>
    <row r="40084" customFormat="1" x14ac:dyDescent="0.2"/>
    <row r="40085" customFormat="1" x14ac:dyDescent="0.2"/>
    <row r="40086" customFormat="1" x14ac:dyDescent="0.2"/>
    <row r="40087" customFormat="1" x14ac:dyDescent="0.2"/>
    <row r="40088" customFormat="1" x14ac:dyDescent="0.2"/>
    <row r="40089" customFormat="1" x14ac:dyDescent="0.2"/>
    <row r="40090" customFormat="1" x14ac:dyDescent="0.2"/>
    <row r="40091" customFormat="1" x14ac:dyDescent="0.2"/>
    <row r="40092" customFormat="1" x14ac:dyDescent="0.2"/>
    <row r="40093" customFormat="1" x14ac:dyDescent="0.2"/>
    <row r="40094" customFormat="1" x14ac:dyDescent="0.2"/>
    <row r="40095" customFormat="1" x14ac:dyDescent="0.2"/>
    <row r="40096" customFormat="1" x14ac:dyDescent="0.2"/>
    <row r="40097" customFormat="1" x14ac:dyDescent="0.2"/>
    <row r="40098" customFormat="1" x14ac:dyDescent="0.2"/>
    <row r="40099" customFormat="1" x14ac:dyDescent="0.2"/>
    <row r="40100" customFormat="1" x14ac:dyDescent="0.2"/>
    <row r="40101" customFormat="1" x14ac:dyDescent="0.2"/>
    <row r="40102" customFormat="1" x14ac:dyDescent="0.2"/>
    <row r="40103" customFormat="1" x14ac:dyDescent="0.2"/>
    <row r="40104" customFormat="1" x14ac:dyDescent="0.2"/>
    <row r="40105" customFormat="1" x14ac:dyDescent="0.2"/>
    <row r="40106" customFormat="1" x14ac:dyDescent="0.2"/>
    <row r="40107" customFormat="1" x14ac:dyDescent="0.2"/>
    <row r="40108" customFormat="1" x14ac:dyDescent="0.2"/>
    <row r="40109" customFormat="1" x14ac:dyDescent="0.2"/>
    <row r="40110" customFormat="1" x14ac:dyDescent="0.2"/>
    <row r="40111" customFormat="1" x14ac:dyDescent="0.2"/>
    <row r="40112" customFormat="1" x14ac:dyDescent="0.2"/>
    <row r="40113" customFormat="1" x14ac:dyDescent="0.2"/>
    <row r="40114" customFormat="1" x14ac:dyDescent="0.2"/>
    <row r="40115" customFormat="1" x14ac:dyDescent="0.2"/>
    <row r="40116" customFormat="1" x14ac:dyDescent="0.2"/>
    <row r="40117" customFormat="1" x14ac:dyDescent="0.2"/>
    <row r="40118" customFormat="1" x14ac:dyDescent="0.2"/>
    <row r="40119" customFormat="1" x14ac:dyDescent="0.2"/>
    <row r="40120" customFormat="1" x14ac:dyDescent="0.2"/>
    <row r="40121" customFormat="1" x14ac:dyDescent="0.2"/>
    <row r="40122" customFormat="1" x14ac:dyDescent="0.2"/>
    <row r="40123" customFormat="1" x14ac:dyDescent="0.2"/>
    <row r="40124" customFormat="1" x14ac:dyDescent="0.2"/>
    <row r="40125" customFormat="1" x14ac:dyDescent="0.2"/>
    <row r="40126" customFormat="1" x14ac:dyDescent="0.2"/>
    <row r="40127" customFormat="1" x14ac:dyDescent="0.2"/>
    <row r="40128" customFormat="1" x14ac:dyDescent="0.2"/>
    <row r="40129" customFormat="1" x14ac:dyDescent="0.2"/>
    <row r="40130" customFormat="1" x14ac:dyDescent="0.2"/>
    <row r="40131" customFormat="1" x14ac:dyDescent="0.2"/>
    <row r="40132" customFormat="1" x14ac:dyDescent="0.2"/>
    <row r="40133" customFormat="1" x14ac:dyDescent="0.2"/>
    <row r="40134" customFormat="1" x14ac:dyDescent="0.2"/>
    <row r="40135" customFormat="1" x14ac:dyDescent="0.2"/>
    <row r="40136" customFormat="1" x14ac:dyDescent="0.2"/>
    <row r="40137" customFormat="1" x14ac:dyDescent="0.2"/>
    <row r="40138" customFormat="1" x14ac:dyDescent="0.2"/>
    <row r="40139" customFormat="1" x14ac:dyDescent="0.2"/>
    <row r="40140" customFormat="1" x14ac:dyDescent="0.2"/>
    <row r="40141" customFormat="1" x14ac:dyDescent="0.2"/>
    <row r="40142" customFormat="1" x14ac:dyDescent="0.2"/>
    <row r="40143" customFormat="1" x14ac:dyDescent="0.2"/>
    <row r="40144" customFormat="1" x14ac:dyDescent="0.2"/>
    <row r="40145" customFormat="1" x14ac:dyDescent="0.2"/>
    <row r="40146" customFormat="1" x14ac:dyDescent="0.2"/>
    <row r="40147" customFormat="1" x14ac:dyDescent="0.2"/>
    <row r="40148" customFormat="1" x14ac:dyDescent="0.2"/>
    <row r="40149" customFormat="1" x14ac:dyDescent="0.2"/>
    <row r="40150" customFormat="1" x14ac:dyDescent="0.2"/>
    <row r="40151" customFormat="1" x14ac:dyDescent="0.2"/>
    <row r="40152" customFormat="1" x14ac:dyDescent="0.2"/>
    <row r="40153" customFormat="1" x14ac:dyDescent="0.2"/>
    <row r="40154" customFormat="1" x14ac:dyDescent="0.2"/>
    <row r="40155" customFormat="1" x14ac:dyDescent="0.2"/>
    <row r="40156" customFormat="1" x14ac:dyDescent="0.2"/>
    <row r="40157" customFormat="1" x14ac:dyDescent="0.2"/>
    <row r="40158" customFormat="1" x14ac:dyDescent="0.2"/>
    <row r="40159" customFormat="1" x14ac:dyDescent="0.2"/>
    <row r="40160" customFormat="1" x14ac:dyDescent="0.2"/>
    <row r="40161" customFormat="1" x14ac:dyDescent="0.2"/>
    <row r="40162" customFormat="1" x14ac:dyDescent="0.2"/>
    <row r="40163" customFormat="1" x14ac:dyDescent="0.2"/>
    <row r="40164" customFormat="1" x14ac:dyDescent="0.2"/>
    <row r="40165" customFormat="1" x14ac:dyDescent="0.2"/>
    <row r="40166" customFormat="1" x14ac:dyDescent="0.2"/>
    <row r="40167" customFormat="1" x14ac:dyDescent="0.2"/>
    <row r="40168" customFormat="1" x14ac:dyDescent="0.2"/>
    <row r="40169" customFormat="1" x14ac:dyDescent="0.2"/>
    <row r="40170" customFormat="1" x14ac:dyDescent="0.2"/>
    <row r="40171" customFormat="1" x14ac:dyDescent="0.2"/>
    <row r="40172" customFormat="1" x14ac:dyDescent="0.2"/>
    <row r="40173" customFormat="1" x14ac:dyDescent="0.2"/>
    <row r="40174" customFormat="1" x14ac:dyDescent="0.2"/>
    <row r="40175" customFormat="1" x14ac:dyDescent="0.2"/>
    <row r="40176" customFormat="1" x14ac:dyDescent="0.2"/>
    <row r="40177" customFormat="1" x14ac:dyDescent="0.2"/>
    <row r="40178" customFormat="1" x14ac:dyDescent="0.2"/>
    <row r="40179" customFormat="1" x14ac:dyDescent="0.2"/>
    <row r="40180" customFormat="1" x14ac:dyDescent="0.2"/>
    <row r="40181" customFormat="1" x14ac:dyDescent="0.2"/>
    <row r="40182" customFormat="1" x14ac:dyDescent="0.2"/>
    <row r="40183" customFormat="1" x14ac:dyDescent="0.2"/>
    <row r="40184" customFormat="1" x14ac:dyDescent="0.2"/>
    <row r="40185" customFormat="1" x14ac:dyDescent="0.2"/>
    <row r="40186" customFormat="1" x14ac:dyDescent="0.2"/>
    <row r="40187" customFormat="1" x14ac:dyDescent="0.2"/>
    <row r="40188" customFormat="1" x14ac:dyDescent="0.2"/>
    <row r="40189" customFormat="1" x14ac:dyDescent="0.2"/>
    <row r="40190" customFormat="1" x14ac:dyDescent="0.2"/>
    <row r="40191" customFormat="1" x14ac:dyDescent="0.2"/>
    <row r="40192" customFormat="1" x14ac:dyDescent="0.2"/>
    <row r="40193" customFormat="1" x14ac:dyDescent="0.2"/>
    <row r="40194" customFormat="1" x14ac:dyDescent="0.2"/>
    <row r="40195" customFormat="1" x14ac:dyDescent="0.2"/>
    <row r="40196" customFormat="1" x14ac:dyDescent="0.2"/>
    <row r="40197" customFormat="1" x14ac:dyDescent="0.2"/>
    <row r="40198" customFormat="1" x14ac:dyDescent="0.2"/>
    <row r="40199" customFormat="1" x14ac:dyDescent="0.2"/>
    <row r="40200" customFormat="1" x14ac:dyDescent="0.2"/>
    <row r="40201" customFormat="1" x14ac:dyDescent="0.2"/>
    <row r="40202" customFormat="1" x14ac:dyDescent="0.2"/>
    <row r="40203" customFormat="1" x14ac:dyDescent="0.2"/>
    <row r="40204" customFormat="1" x14ac:dyDescent="0.2"/>
    <row r="40205" customFormat="1" x14ac:dyDescent="0.2"/>
    <row r="40206" customFormat="1" x14ac:dyDescent="0.2"/>
    <row r="40207" customFormat="1" x14ac:dyDescent="0.2"/>
    <row r="40208" customFormat="1" x14ac:dyDescent="0.2"/>
    <row r="40209" customFormat="1" x14ac:dyDescent="0.2"/>
    <row r="40210" customFormat="1" x14ac:dyDescent="0.2"/>
    <row r="40211" customFormat="1" x14ac:dyDescent="0.2"/>
    <row r="40212" customFormat="1" x14ac:dyDescent="0.2"/>
    <row r="40213" customFormat="1" x14ac:dyDescent="0.2"/>
    <row r="40214" customFormat="1" x14ac:dyDescent="0.2"/>
    <row r="40215" customFormat="1" x14ac:dyDescent="0.2"/>
    <row r="40216" customFormat="1" x14ac:dyDescent="0.2"/>
    <row r="40217" customFormat="1" x14ac:dyDescent="0.2"/>
    <row r="40218" customFormat="1" x14ac:dyDescent="0.2"/>
    <row r="40219" customFormat="1" x14ac:dyDescent="0.2"/>
    <row r="40220" customFormat="1" x14ac:dyDescent="0.2"/>
    <row r="40221" customFormat="1" x14ac:dyDescent="0.2"/>
    <row r="40222" customFormat="1" x14ac:dyDescent="0.2"/>
    <row r="40223" customFormat="1" x14ac:dyDescent="0.2"/>
    <row r="40224" customFormat="1" x14ac:dyDescent="0.2"/>
    <row r="40225" customFormat="1" x14ac:dyDescent="0.2"/>
    <row r="40226" customFormat="1" x14ac:dyDescent="0.2"/>
    <row r="40227" customFormat="1" x14ac:dyDescent="0.2"/>
    <row r="40228" customFormat="1" x14ac:dyDescent="0.2"/>
    <row r="40229" customFormat="1" x14ac:dyDescent="0.2"/>
    <row r="40230" customFormat="1" x14ac:dyDescent="0.2"/>
    <row r="40231" customFormat="1" x14ac:dyDescent="0.2"/>
    <row r="40232" customFormat="1" x14ac:dyDescent="0.2"/>
    <row r="40233" customFormat="1" x14ac:dyDescent="0.2"/>
    <row r="40234" customFormat="1" x14ac:dyDescent="0.2"/>
    <row r="40235" customFormat="1" x14ac:dyDescent="0.2"/>
    <row r="40236" customFormat="1" x14ac:dyDescent="0.2"/>
    <row r="40237" customFormat="1" x14ac:dyDescent="0.2"/>
    <row r="40238" customFormat="1" x14ac:dyDescent="0.2"/>
    <row r="40239" customFormat="1" x14ac:dyDescent="0.2"/>
    <row r="40240" customFormat="1" x14ac:dyDescent="0.2"/>
    <row r="40241" customFormat="1" x14ac:dyDescent="0.2"/>
    <row r="40242" customFormat="1" x14ac:dyDescent="0.2"/>
    <row r="40243" customFormat="1" x14ac:dyDescent="0.2"/>
    <row r="40244" customFormat="1" x14ac:dyDescent="0.2"/>
    <row r="40245" customFormat="1" x14ac:dyDescent="0.2"/>
    <row r="40246" customFormat="1" x14ac:dyDescent="0.2"/>
    <row r="40247" customFormat="1" x14ac:dyDescent="0.2"/>
    <row r="40248" customFormat="1" x14ac:dyDescent="0.2"/>
    <row r="40249" customFormat="1" x14ac:dyDescent="0.2"/>
    <row r="40250" customFormat="1" x14ac:dyDescent="0.2"/>
    <row r="40251" customFormat="1" x14ac:dyDescent="0.2"/>
    <row r="40252" customFormat="1" x14ac:dyDescent="0.2"/>
    <row r="40253" customFormat="1" x14ac:dyDescent="0.2"/>
    <row r="40254" customFormat="1" x14ac:dyDescent="0.2"/>
    <row r="40255" customFormat="1" x14ac:dyDescent="0.2"/>
    <row r="40256" customFormat="1" x14ac:dyDescent="0.2"/>
    <row r="40257" customFormat="1" x14ac:dyDescent="0.2"/>
    <row r="40258" customFormat="1" x14ac:dyDescent="0.2"/>
    <row r="40259" customFormat="1" x14ac:dyDescent="0.2"/>
    <row r="40260" customFormat="1" x14ac:dyDescent="0.2"/>
    <row r="40261" customFormat="1" x14ac:dyDescent="0.2"/>
    <row r="40262" customFormat="1" x14ac:dyDescent="0.2"/>
    <row r="40263" customFormat="1" x14ac:dyDescent="0.2"/>
    <row r="40264" customFormat="1" x14ac:dyDescent="0.2"/>
    <row r="40265" customFormat="1" x14ac:dyDescent="0.2"/>
    <row r="40266" customFormat="1" x14ac:dyDescent="0.2"/>
    <row r="40267" customFormat="1" x14ac:dyDescent="0.2"/>
    <row r="40268" customFormat="1" x14ac:dyDescent="0.2"/>
    <row r="40269" customFormat="1" x14ac:dyDescent="0.2"/>
    <row r="40270" customFormat="1" x14ac:dyDescent="0.2"/>
    <row r="40271" customFormat="1" x14ac:dyDescent="0.2"/>
    <row r="40272" customFormat="1" x14ac:dyDescent="0.2"/>
    <row r="40273" customFormat="1" x14ac:dyDescent="0.2"/>
    <row r="40274" customFormat="1" x14ac:dyDescent="0.2"/>
    <row r="40275" customFormat="1" x14ac:dyDescent="0.2"/>
    <row r="40276" customFormat="1" x14ac:dyDescent="0.2"/>
    <row r="40277" customFormat="1" x14ac:dyDescent="0.2"/>
    <row r="40278" customFormat="1" x14ac:dyDescent="0.2"/>
    <row r="40279" customFormat="1" x14ac:dyDescent="0.2"/>
    <row r="40280" customFormat="1" x14ac:dyDescent="0.2"/>
    <row r="40281" customFormat="1" x14ac:dyDescent="0.2"/>
    <row r="40282" customFormat="1" x14ac:dyDescent="0.2"/>
    <row r="40283" customFormat="1" x14ac:dyDescent="0.2"/>
    <row r="40284" customFormat="1" x14ac:dyDescent="0.2"/>
    <row r="40285" customFormat="1" x14ac:dyDescent="0.2"/>
    <row r="40286" customFormat="1" x14ac:dyDescent="0.2"/>
    <row r="40287" customFormat="1" x14ac:dyDescent="0.2"/>
    <row r="40288" customFormat="1" x14ac:dyDescent="0.2"/>
    <row r="40289" customFormat="1" x14ac:dyDescent="0.2"/>
    <row r="40290" customFormat="1" x14ac:dyDescent="0.2"/>
    <row r="40291" customFormat="1" x14ac:dyDescent="0.2"/>
    <row r="40292" customFormat="1" x14ac:dyDescent="0.2"/>
    <row r="40293" customFormat="1" x14ac:dyDescent="0.2"/>
    <row r="40294" customFormat="1" x14ac:dyDescent="0.2"/>
    <row r="40295" customFormat="1" x14ac:dyDescent="0.2"/>
    <row r="40296" customFormat="1" x14ac:dyDescent="0.2"/>
    <row r="40297" customFormat="1" x14ac:dyDescent="0.2"/>
    <row r="40298" customFormat="1" x14ac:dyDescent="0.2"/>
    <row r="40299" customFormat="1" x14ac:dyDescent="0.2"/>
    <row r="40300" customFormat="1" x14ac:dyDescent="0.2"/>
    <row r="40301" customFormat="1" x14ac:dyDescent="0.2"/>
    <row r="40302" customFormat="1" x14ac:dyDescent="0.2"/>
    <row r="40303" customFormat="1" x14ac:dyDescent="0.2"/>
    <row r="40304" customFormat="1" x14ac:dyDescent="0.2"/>
    <row r="40305" customFormat="1" x14ac:dyDescent="0.2"/>
    <row r="40306" customFormat="1" x14ac:dyDescent="0.2"/>
    <row r="40307" customFormat="1" x14ac:dyDescent="0.2"/>
    <row r="40308" customFormat="1" x14ac:dyDescent="0.2"/>
    <row r="40309" customFormat="1" x14ac:dyDescent="0.2"/>
    <row r="40310" customFormat="1" x14ac:dyDescent="0.2"/>
    <row r="40311" customFormat="1" x14ac:dyDescent="0.2"/>
    <row r="40312" customFormat="1" x14ac:dyDescent="0.2"/>
    <row r="40313" customFormat="1" x14ac:dyDescent="0.2"/>
    <row r="40314" customFormat="1" x14ac:dyDescent="0.2"/>
    <row r="40315" customFormat="1" x14ac:dyDescent="0.2"/>
    <row r="40316" customFormat="1" x14ac:dyDescent="0.2"/>
    <row r="40317" customFormat="1" x14ac:dyDescent="0.2"/>
    <row r="40318" customFormat="1" x14ac:dyDescent="0.2"/>
    <row r="40319" customFormat="1" x14ac:dyDescent="0.2"/>
    <row r="40320" customFormat="1" x14ac:dyDescent="0.2"/>
    <row r="40321" customFormat="1" x14ac:dyDescent="0.2"/>
    <row r="40322" customFormat="1" x14ac:dyDescent="0.2"/>
    <row r="40323" customFormat="1" x14ac:dyDescent="0.2"/>
    <row r="40324" customFormat="1" x14ac:dyDescent="0.2"/>
    <row r="40325" customFormat="1" x14ac:dyDescent="0.2"/>
    <row r="40326" customFormat="1" x14ac:dyDescent="0.2"/>
    <row r="40327" customFormat="1" x14ac:dyDescent="0.2"/>
    <row r="40328" customFormat="1" x14ac:dyDescent="0.2"/>
    <row r="40329" customFormat="1" x14ac:dyDescent="0.2"/>
    <row r="40330" customFormat="1" x14ac:dyDescent="0.2"/>
    <row r="40331" customFormat="1" x14ac:dyDescent="0.2"/>
    <row r="40332" customFormat="1" x14ac:dyDescent="0.2"/>
    <row r="40333" customFormat="1" x14ac:dyDescent="0.2"/>
    <row r="40334" customFormat="1" x14ac:dyDescent="0.2"/>
    <row r="40335" customFormat="1" x14ac:dyDescent="0.2"/>
    <row r="40336" customFormat="1" x14ac:dyDescent="0.2"/>
    <row r="40337" customFormat="1" x14ac:dyDescent="0.2"/>
    <row r="40338" customFormat="1" x14ac:dyDescent="0.2"/>
    <row r="40339" customFormat="1" x14ac:dyDescent="0.2"/>
    <row r="40340" customFormat="1" x14ac:dyDescent="0.2"/>
    <row r="40341" customFormat="1" x14ac:dyDescent="0.2"/>
    <row r="40342" customFormat="1" x14ac:dyDescent="0.2"/>
    <row r="40343" customFormat="1" x14ac:dyDescent="0.2"/>
    <row r="40344" customFormat="1" x14ac:dyDescent="0.2"/>
    <row r="40345" customFormat="1" x14ac:dyDescent="0.2"/>
    <row r="40346" customFormat="1" x14ac:dyDescent="0.2"/>
    <row r="40347" customFormat="1" x14ac:dyDescent="0.2"/>
    <row r="40348" customFormat="1" x14ac:dyDescent="0.2"/>
    <row r="40349" customFormat="1" x14ac:dyDescent="0.2"/>
    <row r="40350" customFormat="1" x14ac:dyDescent="0.2"/>
    <row r="40351" customFormat="1" x14ac:dyDescent="0.2"/>
    <row r="40352" customFormat="1" x14ac:dyDescent="0.2"/>
    <row r="40353" customFormat="1" x14ac:dyDescent="0.2"/>
    <row r="40354" customFormat="1" x14ac:dyDescent="0.2"/>
    <row r="40355" customFormat="1" x14ac:dyDescent="0.2"/>
    <row r="40356" customFormat="1" x14ac:dyDescent="0.2"/>
    <row r="40357" customFormat="1" x14ac:dyDescent="0.2"/>
    <row r="40358" customFormat="1" x14ac:dyDescent="0.2"/>
    <row r="40359" customFormat="1" x14ac:dyDescent="0.2"/>
    <row r="40360" customFormat="1" x14ac:dyDescent="0.2"/>
    <row r="40361" customFormat="1" x14ac:dyDescent="0.2"/>
    <row r="40362" customFormat="1" x14ac:dyDescent="0.2"/>
    <row r="40363" customFormat="1" x14ac:dyDescent="0.2"/>
    <row r="40364" customFormat="1" x14ac:dyDescent="0.2"/>
    <row r="40365" customFormat="1" x14ac:dyDescent="0.2"/>
    <row r="40366" customFormat="1" x14ac:dyDescent="0.2"/>
    <row r="40367" customFormat="1" x14ac:dyDescent="0.2"/>
    <row r="40368" customFormat="1" x14ac:dyDescent="0.2"/>
    <row r="40369" customFormat="1" x14ac:dyDescent="0.2"/>
    <row r="40370" customFormat="1" x14ac:dyDescent="0.2"/>
    <row r="40371" customFormat="1" x14ac:dyDescent="0.2"/>
    <row r="40372" customFormat="1" x14ac:dyDescent="0.2"/>
    <row r="40373" customFormat="1" x14ac:dyDescent="0.2"/>
    <row r="40374" customFormat="1" x14ac:dyDescent="0.2"/>
    <row r="40375" customFormat="1" x14ac:dyDescent="0.2"/>
    <row r="40376" customFormat="1" x14ac:dyDescent="0.2"/>
    <row r="40377" customFormat="1" x14ac:dyDescent="0.2"/>
    <row r="40378" customFormat="1" x14ac:dyDescent="0.2"/>
    <row r="40379" customFormat="1" x14ac:dyDescent="0.2"/>
    <row r="40380" customFormat="1" x14ac:dyDescent="0.2"/>
    <row r="40381" customFormat="1" x14ac:dyDescent="0.2"/>
    <row r="40382" customFormat="1" x14ac:dyDescent="0.2"/>
    <row r="40383" customFormat="1" x14ac:dyDescent="0.2"/>
    <row r="40384" customFormat="1" x14ac:dyDescent="0.2"/>
    <row r="40385" customFormat="1" x14ac:dyDescent="0.2"/>
    <row r="40386" customFormat="1" x14ac:dyDescent="0.2"/>
    <row r="40387" customFormat="1" x14ac:dyDescent="0.2"/>
    <row r="40388" customFormat="1" x14ac:dyDescent="0.2"/>
    <row r="40389" customFormat="1" x14ac:dyDescent="0.2"/>
    <row r="40390" customFormat="1" x14ac:dyDescent="0.2"/>
    <row r="40391" customFormat="1" x14ac:dyDescent="0.2"/>
    <row r="40392" customFormat="1" x14ac:dyDescent="0.2"/>
    <row r="40393" customFormat="1" x14ac:dyDescent="0.2"/>
    <row r="40394" customFormat="1" x14ac:dyDescent="0.2"/>
    <row r="40395" customFormat="1" x14ac:dyDescent="0.2"/>
    <row r="40396" customFormat="1" x14ac:dyDescent="0.2"/>
    <row r="40397" customFormat="1" x14ac:dyDescent="0.2"/>
    <row r="40398" customFormat="1" x14ac:dyDescent="0.2"/>
    <row r="40399" customFormat="1" x14ac:dyDescent="0.2"/>
    <row r="40400" customFormat="1" x14ac:dyDescent="0.2"/>
    <row r="40401" customFormat="1" x14ac:dyDescent="0.2"/>
    <row r="40402" customFormat="1" x14ac:dyDescent="0.2"/>
    <row r="40403" customFormat="1" x14ac:dyDescent="0.2"/>
    <row r="40404" customFormat="1" x14ac:dyDescent="0.2"/>
    <row r="40405" customFormat="1" x14ac:dyDescent="0.2"/>
    <row r="40406" customFormat="1" x14ac:dyDescent="0.2"/>
    <row r="40407" customFormat="1" x14ac:dyDescent="0.2"/>
    <row r="40408" customFormat="1" x14ac:dyDescent="0.2"/>
    <row r="40409" customFormat="1" x14ac:dyDescent="0.2"/>
    <row r="40410" customFormat="1" x14ac:dyDescent="0.2"/>
    <row r="40411" customFormat="1" x14ac:dyDescent="0.2"/>
    <row r="40412" customFormat="1" x14ac:dyDescent="0.2"/>
    <row r="40413" customFormat="1" x14ac:dyDescent="0.2"/>
    <row r="40414" customFormat="1" x14ac:dyDescent="0.2"/>
    <row r="40415" customFormat="1" x14ac:dyDescent="0.2"/>
    <row r="40416" customFormat="1" x14ac:dyDescent="0.2"/>
    <row r="40417" customFormat="1" x14ac:dyDescent="0.2"/>
    <row r="40418" customFormat="1" x14ac:dyDescent="0.2"/>
    <row r="40419" customFormat="1" x14ac:dyDescent="0.2"/>
    <row r="40420" customFormat="1" x14ac:dyDescent="0.2"/>
    <row r="40421" customFormat="1" x14ac:dyDescent="0.2"/>
    <row r="40422" customFormat="1" x14ac:dyDescent="0.2"/>
    <row r="40423" customFormat="1" x14ac:dyDescent="0.2"/>
    <row r="40424" customFormat="1" x14ac:dyDescent="0.2"/>
    <row r="40425" customFormat="1" x14ac:dyDescent="0.2"/>
    <row r="40426" customFormat="1" x14ac:dyDescent="0.2"/>
    <row r="40427" customFormat="1" x14ac:dyDescent="0.2"/>
    <row r="40428" customFormat="1" x14ac:dyDescent="0.2"/>
    <row r="40429" customFormat="1" x14ac:dyDescent="0.2"/>
    <row r="40430" customFormat="1" x14ac:dyDescent="0.2"/>
    <row r="40431" customFormat="1" x14ac:dyDescent="0.2"/>
    <row r="40432" customFormat="1" x14ac:dyDescent="0.2"/>
    <row r="40433" customFormat="1" x14ac:dyDescent="0.2"/>
    <row r="40434" customFormat="1" x14ac:dyDescent="0.2"/>
    <row r="40435" customFormat="1" x14ac:dyDescent="0.2"/>
    <row r="40436" customFormat="1" x14ac:dyDescent="0.2"/>
    <row r="40437" customFormat="1" x14ac:dyDescent="0.2"/>
    <row r="40438" customFormat="1" x14ac:dyDescent="0.2"/>
    <row r="40439" customFormat="1" x14ac:dyDescent="0.2"/>
    <row r="40440" customFormat="1" x14ac:dyDescent="0.2"/>
    <row r="40441" customFormat="1" x14ac:dyDescent="0.2"/>
    <row r="40442" customFormat="1" x14ac:dyDescent="0.2"/>
    <row r="40443" customFormat="1" x14ac:dyDescent="0.2"/>
    <row r="40444" customFormat="1" x14ac:dyDescent="0.2"/>
    <row r="40445" customFormat="1" x14ac:dyDescent="0.2"/>
    <row r="40446" customFormat="1" x14ac:dyDescent="0.2"/>
    <row r="40447" customFormat="1" x14ac:dyDescent="0.2"/>
    <row r="40448" customFormat="1" x14ac:dyDescent="0.2"/>
    <row r="40449" customFormat="1" x14ac:dyDescent="0.2"/>
    <row r="40450" customFormat="1" x14ac:dyDescent="0.2"/>
    <row r="40451" customFormat="1" x14ac:dyDescent="0.2"/>
    <row r="40452" customFormat="1" x14ac:dyDescent="0.2"/>
    <row r="40453" customFormat="1" x14ac:dyDescent="0.2"/>
    <row r="40454" customFormat="1" x14ac:dyDescent="0.2"/>
    <row r="40455" customFormat="1" x14ac:dyDescent="0.2"/>
    <row r="40456" customFormat="1" x14ac:dyDescent="0.2"/>
    <row r="40457" customFormat="1" x14ac:dyDescent="0.2"/>
    <row r="40458" customFormat="1" x14ac:dyDescent="0.2"/>
    <row r="40459" customFormat="1" x14ac:dyDescent="0.2"/>
    <row r="40460" customFormat="1" x14ac:dyDescent="0.2"/>
    <row r="40461" customFormat="1" x14ac:dyDescent="0.2"/>
    <row r="40462" customFormat="1" x14ac:dyDescent="0.2"/>
    <row r="40463" customFormat="1" x14ac:dyDescent="0.2"/>
    <row r="40464" customFormat="1" x14ac:dyDescent="0.2"/>
    <row r="40465" customFormat="1" x14ac:dyDescent="0.2"/>
    <row r="40466" customFormat="1" x14ac:dyDescent="0.2"/>
    <row r="40467" customFormat="1" x14ac:dyDescent="0.2"/>
    <row r="40468" customFormat="1" x14ac:dyDescent="0.2"/>
    <row r="40469" customFormat="1" x14ac:dyDescent="0.2"/>
    <row r="40470" customFormat="1" x14ac:dyDescent="0.2"/>
    <row r="40471" customFormat="1" x14ac:dyDescent="0.2"/>
    <row r="40472" customFormat="1" x14ac:dyDescent="0.2"/>
    <row r="40473" customFormat="1" x14ac:dyDescent="0.2"/>
    <row r="40474" customFormat="1" x14ac:dyDescent="0.2"/>
    <row r="40475" customFormat="1" x14ac:dyDescent="0.2"/>
    <row r="40476" customFormat="1" x14ac:dyDescent="0.2"/>
    <row r="40477" customFormat="1" x14ac:dyDescent="0.2"/>
    <row r="40478" customFormat="1" x14ac:dyDescent="0.2"/>
    <row r="40479" customFormat="1" x14ac:dyDescent="0.2"/>
    <row r="40480" customFormat="1" x14ac:dyDescent="0.2"/>
    <row r="40481" customFormat="1" x14ac:dyDescent="0.2"/>
    <row r="40482" customFormat="1" x14ac:dyDescent="0.2"/>
    <row r="40483" customFormat="1" x14ac:dyDescent="0.2"/>
    <row r="40484" customFormat="1" x14ac:dyDescent="0.2"/>
    <row r="40485" customFormat="1" x14ac:dyDescent="0.2"/>
    <row r="40486" customFormat="1" x14ac:dyDescent="0.2"/>
    <row r="40487" customFormat="1" x14ac:dyDescent="0.2"/>
    <row r="40488" customFormat="1" x14ac:dyDescent="0.2"/>
    <row r="40489" customFormat="1" x14ac:dyDescent="0.2"/>
    <row r="40490" customFormat="1" x14ac:dyDescent="0.2"/>
    <row r="40491" customFormat="1" x14ac:dyDescent="0.2"/>
    <row r="40492" customFormat="1" x14ac:dyDescent="0.2"/>
    <row r="40493" customFormat="1" x14ac:dyDescent="0.2"/>
    <row r="40494" customFormat="1" x14ac:dyDescent="0.2"/>
    <row r="40495" customFormat="1" x14ac:dyDescent="0.2"/>
    <row r="40496" customFormat="1" x14ac:dyDescent="0.2"/>
    <row r="40497" customFormat="1" x14ac:dyDescent="0.2"/>
    <row r="40498" customFormat="1" x14ac:dyDescent="0.2"/>
    <row r="40499" customFormat="1" x14ac:dyDescent="0.2"/>
    <row r="40500" customFormat="1" x14ac:dyDescent="0.2"/>
    <row r="40501" customFormat="1" x14ac:dyDescent="0.2"/>
    <row r="40502" customFormat="1" x14ac:dyDescent="0.2"/>
    <row r="40503" customFormat="1" x14ac:dyDescent="0.2"/>
    <row r="40504" customFormat="1" x14ac:dyDescent="0.2"/>
    <row r="40505" customFormat="1" x14ac:dyDescent="0.2"/>
    <row r="40506" customFormat="1" x14ac:dyDescent="0.2"/>
    <row r="40507" customFormat="1" x14ac:dyDescent="0.2"/>
    <row r="40508" customFormat="1" x14ac:dyDescent="0.2"/>
    <row r="40509" customFormat="1" x14ac:dyDescent="0.2"/>
    <row r="40510" customFormat="1" x14ac:dyDescent="0.2"/>
    <row r="40511" customFormat="1" x14ac:dyDescent="0.2"/>
    <row r="40512" customFormat="1" x14ac:dyDescent="0.2"/>
    <row r="40513" customFormat="1" x14ac:dyDescent="0.2"/>
    <row r="40514" customFormat="1" x14ac:dyDescent="0.2"/>
    <row r="40515" customFormat="1" x14ac:dyDescent="0.2"/>
    <row r="40516" customFormat="1" x14ac:dyDescent="0.2"/>
    <row r="40517" customFormat="1" x14ac:dyDescent="0.2"/>
    <row r="40518" customFormat="1" x14ac:dyDescent="0.2"/>
    <row r="40519" customFormat="1" x14ac:dyDescent="0.2"/>
    <row r="40520" customFormat="1" x14ac:dyDescent="0.2"/>
    <row r="40521" customFormat="1" x14ac:dyDescent="0.2"/>
    <row r="40522" customFormat="1" x14ac:dyDescent="0.2"/>
    <row r="40523" customFormat="1" x14ac:dyDescent="0.2"/>
    <row r="40524" customFormat="1" x14ac:dyDescent="0.2"/>
    <row r="40525" customFormat="1" x14ac:dyDescent="0.2"/>
    <row r="40526" customFormat="1" x14ac:dyDescent="0.2"/>
    <row r="40527" customFormat="1" x14ac:dyDescent="0.2"/>
    <row r="40528" customFormat="1" x14ac:dyDescent="0.2"/>
    <row r="40529" customFormat="1" x14ac:dyDescent="0.2"/>
    <row r="40530" customFormat="1" x14ac:dyDescent="0.2"/>
    <row r="40531" customFormat="1" x14ac:dyDescent="0.2"/>
    <row r="40532" customFormat="1" x14ac:dyDescent="0.2"/>
    <row r="40533" customFormat="1" x14ac:dyDescent="0.2"/>
    <row r="40534" customFormat="1" x14ac:dyDescent="0.2"/>
    <row r="40535" customFormat="1" x14ac:dyDescent="0.2"/>
    <row r="40536" customFormat="1" x14ac:dyDescent="0.2"/>
    <row r="40537" customFormat="1" x14ac:dyDescent="0.2"/>
    <row r="40538" customFormat="1" x14ac:dyDescent="0.2"/>
    <row r="40539" customFormat="1" x14ac:dyDescent="0.2"/>
    <row r="40540" customFormat="1" x14ac:dyDescent="0.2"/>
    <row r="40541" customFormat="1" x14ac:dyDescent="0.2"/>
    <row r="40542" customFormat="1" x14ac:dyDescent="0.2"/>
    <row r="40543" customFormat="1" x14ac:dyDescent="0.2"/>
    <row r="40544" customFormat="1" x14ac:dyDescent="0.2"/>
    <row r="40545" customFormat="1" x14ac:dyDescent="0.2"/>
    <row r="40546" customFormat="1" x14ac:dyDescent="0.2"/>
    <row r="40547" customFormat="1" x14ac:dyDescent="0.2"/>
    <row r="40548" customFormat="1" x14ac:dyDescent="0.2"/>
    <row r="40549" customFormat="1" x14ac:dyDescent="0.2"/>
    <row r="40550" customFormat="1" x14ac:dyDescent="0.2"/>
    <row r="40551" customFormat="1" x14ac:dyDescent="0.2"/>
    <row r="40552" customFormat="1" x14ac:dyDescent="0.2"/>
    <row r="40553" customFormat="1" x14ac:dyDescent="0.2"/>
    <row r="40554" customFormat="1" x14ac:dyDescent="0.2"/>
    <row r="40555" customFormat="1" x14ac:dyDescent="0.2"/>
    <row r="40556" customFormat="1" x14ac:dyDescent="0.2"/>
    <row r="40557" customFormat="1" x14ac:dyDescent="0.2"/>
    <row r="40558" customFormat="1" x14ac:dyDescent="0.2"/>
    <row r="40559" customFormat="1" x14ac:dyDescent="0.2"/>
    <row r="40560" customFormat="1" x14ac:dyDescent="0.2"/>
    <row r="40561" customFormat="1" x14ac:dyDescent="0.2"/>
    <row r="40562" customFormat="1" x14ac:dyDescent="0.2"/>
    <row r="40563" customFormat="1" x14ac:dyDescent="0.2"/>
    <row r="40564" customFormat="1" x14ac:dyDescent="0.2"/>
    <row r="40565" customFormat="1" x14ac:dyDescent="0.2"/>
    <row r="40566" customFormat="1" x14ac:dyDescent="0.2"/>
    <row r="40567" customFormat="1" x14ac:dyDescent="0.2"/>
    <row r="40568" customFormat="1" x14ac:dyDescent="0.2"/>
    <row r="40569" customFormat="1" x14ac:dyDescent="0.2"/>
    <row r="40570" customFormat="1" x14ac:dyDescent="0.2"/>
    <row r="40571" customFormat="1" x14ac:dyDescent="0.2"/>
    <row r="40572" customFormat="1" x14ac:dyDescent="0.2"/>
    <row r="40573" customFormat="1" x14ac:dyDescent="0.2"/>
    <row r="40574" customFormat="1" x14ac:dyDescent="0.2"/>
    <row r="40575" customFormat="1" x14ac:dyDescent="0.2"/>
    <row r="40576" customFormat="1" x14ac:dyDescent="0.2"/>
    <row r="40577" customFormat="1" x14ac:dyDescent="0.2"/>
    <row r="40578" customFormat="1" x14ac:dyDescent="0.2"/>
    <row r="40579" customFormat="1" x14ac:dyDescent="0.2"/>
    <row r="40580" customFormat="1" x14ac:dyDescent="0.2"/>
    <row r="40581" customFormat="1" x14ac:dyDescent="0.2"/>
    <row r="40582" customFormat="1" x14ac:dyDescent="0.2"/>
    <row r="40583" customFormat="1" x14ac:dyDescent="0.2"/>
    <row r="40584" customFormat="1" x14ac:dyDescent="0.2"/>
    <row r="40585" customFormat="1" x14ac:dyDescent="0.2"/>
    <row r="40586" customFormat="1" x14ac:dyDescent="0.2"/>
    <row r="40587" customFormat="1" x14ac:dyDescent="0.2"/>
    <row r="40588" customFormat="1" x14ac:dyDescent="0.2"/>
    <row r="40589" customFormat="1" x14ac:dyDescent="0.2"/>
    <row r="40590" customFormat="1" x14ac:dyDescent="0.2"/>
    <row r="40591" customFormat="1" x14ac:dyDescent="0.2"/>
    <row r="40592" customFormat="1" x14ac:dyDescent="0.2"/>
    <row r="40593" customFormat="1" x14ac:dyDescent="0.2"/>
    <row r="40594" customFormat="1" x14ac:dyDescent="0.2"/>
    <row r="40595" customFormat="1" x14ac:dyDescent="0.2"/>
    <row r="40596" customFormat="1" x14ac:dyDescent="0.2"/>
    <row r="40597" customFormat="1" x14ac:dyDescent="0.2"/>
    <row r="40598" customFormat="1" x14ac:dyDescent="0.2"/>
    <row r="40599" customFormat="1" x14ac:dyDescent="0.2"/>
    <row r="40600" customFormat="1" x14ac:dyDescent="0.2"/>
    <row r="40601" customFormat="1" x14ac:dyDescent="0.2"/>
    <row r="40602" customFormat="1" x14ac:dyDescent="0.2"/>
    <row r="40603" customFormat="1" x14ac:dyDescent="0.2"/>
    <row r="40604" customFormat="1" x14ac:dyDescent="0.2"/>
    <row r="40605" customFormat="1" x14ac:dyDescent="0.2"/>
    <row r="40606" customFormat="1" x14ac:dyDescent="0.2"/>
    <row r="40607" customFormat="1" x14ac:dyDescent="0.2"/>
    <row r="40608" customFormat="1" x14ac:dyDescent="0.2"/>
    <row r="40609" customFormat="1" x14ac:dyDescent="0.2"/>
    <row r="40610" customFormat="1" x14ac:dyDescent="0.2"/>
    <row r="40611" customFormat="1" x14ac:dyDescent="0.2"/>
    <row r="40612" customFormat="1" x14ac:dyDescent="0.2"/>
    <row r="40613" customFormat="1" x14ac:dyDescent="0.2"/>
    <row r="40614" customFormat="1" x14ac:dyDescent="0.2"/>
    <row r="40615" customFormat="1" x14ac:dyDescent="0.2"/>
    <row r="40616" customFormat="1" x14ac:dyDescent="0.2"/>
    <row r="40617" customFormat="1" x14ac:dyDescent="0.2"/>
    <row r="40618" customFormat="1" x14ac:dyDescent="0.2"/>
    <row r="40619" customFormat="1" x14ac:dyDescent="0.2"/>
    <row r="40620" customFormat="1" x14ac:dyDescent="0.2"/>
    <row r="40621" customFormat="1" x14ac:dyDescent="0.2"/>
    <row r="40622" customFormat="1" x14ac:dyDescent="0.2"/>
    <row r="40623" customFormat="1" x14ac:dyDescent="0.2"/>
    <row r="40624" customFormat="1" x14ac:dyDescent="0.2"/>
    <row r="40625" customFormat="1" x14ac:dyDescent="0.2"/>
    <row r="40626" customFormat="1" x14ac:dyDescent="0.2"/>
    <row r="40627" customFormat="1" x14ac:dyDescent="0.2"/>
    <row r="40628" customFormat="1" x14ac:dyDescent="0.2"/>
    <row r="40629" customFormat="1" x14ac:dyDescent="0.2"/>
    <row r="40630" customFormat="1" x14ac:dyDescent="0.2"/>
    <row r="40631" customFormat="1" x14ac:dyDescent="0.2"/>
    <row r="40632" customFormat="1" x14ac:dyDescent="0.2"/>
    <row r="40633" customFormat="1" x14ac:dyDescent="0.2"/>
    <row r="40634" customFormat="1" x14ac:dyDescent="0.2"/>
    <row r="40635" customFormat="1" x14ac:dyDescent="0.2"/>
    <row r="40636" customFormat="1" x14ac:dyDescent="0.2"/>
    <row r="40637" customFormat="1" x14ac:dyDescent="0.2"/>
    <row r="40638" customFormat="1" x14ac:dyDescent="0.2"/>
    <row r="40639" customFormat="1" x14ac:dyDescent="0.2"/>
    <row r="40640" customFormat="1" x14ac:dyDescent="0.2"/>
    <row r="40641" customFormat="1" x14ac:dyDescent="0.2"/>
    <row r="40642" customFormat="1" x14ac:dyDescent="0.2"/>
    <row r="40643" customFormat="1" x14ac:dyDescent="0.2"/>
    <row r="40644" customFormat="1" x14ac:dyDescent="0.2"/>
    <row r="40645" customFormat="1" x14ac:dyDescent="0.2"/>
    <row r="40646" customFormat="1" x14ac:dyDescent="0.2"/>
    <row r="40647" customFormat="1" x14ac:dyDescent="0.2"/>
    <row r="40648" customFormat="1" x14ac:dyDescent="0.2"/>
    <row r="40649" customFormat="1" x14ac:dyDescent="0.2"/>
    <row r="40650" customFormat="1" x14ac:dyDescent="0.2"/>
    <row r="40651" customFormat="1" x14ac:dyDescent="0.2"/>
    <row r="40652" customFormat="1" x14ac:dyDescent="0.2"/>
    <row r="40653" customFormat="1" x14ac:dyDescent="0.2"/>
    <row r="40654" customFormat="1" x14ac:dyDescent="0.2"/>
    <row r="40655" customFormat="1" x14ac:dyDescent="0.2"/>
    <row r="40656" customFormat="1" x14ac:dyDescent="0.2"/>
    <row r="40657" customFormat="1" x14ac:dyDescent="0.2"/>
    <row r="40658" customFormat="1" x14ac:dyDescent="0.2"/>
    <row r="40659" customFormat="1" x14ac:dyDescent="0.2"/>
    <row r="40660" customFormat="1" x14ac:dyDescent="0.2"/>
    <row r="40661" customFormat="1" x14ac:dyDescent="0.2"/>
    <row r="40662" customFormat="1" x14ac:dyDescent="0.2"/>
    <row r="40663" customFormat="1" x14ac:dyDescent="0.2"/>
    <row r="40664" customFormat="1" x14ac:dyDescent="0.2"/>
    <row r="40665" customFormat="1" x14ac:dyDescent="0.2"/>
    <row r="40666" customFormat="1" x14ac:dyDescent="0.2"/>
    <row r="40667" customFormat="1" x14ac:dyDescent="0.2"/>
    <row r="40668" customFormat="1" x14ac:dyDescent="0.2"/>
    <row r="40669" customFormat="1" x14ac:dyDescent="0.2"/>
    <row r="40670" customFormat="1" x14ac:dyDescent="0.2"/>
    <row r="40671" customFormat="1" x14ac:dyDescent="0.2"/>
    <row r="40672" customFormat="1" x14ac:dyDescent="0.2"/>
    <row r="40673" customFormat="1" x14ac:dyDescent="0.2"/>
    <row r="40674" customFormat="1" x14ac:dyDescent="0.2"/>
    <row r="40675" customFormat="1" x14ac:dyDescent="0.2"/>
    <row r="40676" customFormat="1" x14ac:dyDescent="0.2"/>
    <row r="40677" customFormat="1" x14ac:dyDescent="0.2"/>
    <row r="40678" customFormat="1" x14ac:dyDescent="0.2"/>
    <row r="40679" customFormat="1" x14ac:dyDescent="0.2"/>
    <row r="40680" customFormat="1" x14ac:dyDescent="0.2"/>
    <row r="40681" customFormat="1" x14ac:dyDescent="0.2"/>
    <row r="40682" customFormat="1" x14ac:dyDescent="0.2"/>
    <row r="40683" customFormat="1" x14ac:dyDescent="0.2"/>
    <row r="40684" customFormat="1" x14ac:dyDescent="0.2"/>
    <row r="40685" customFormat="1" x14ac:dyDescent="0.2"/>
    <row r="40686" customFormat="1" x14ac:dyDescent="0.2"/>
    <row r="40687" customFormat="1" x14ac:dyDescent="0.2"/>
    <row r="40688" customFormat="1" x14ac:dyDescent="0.2"/>
    <row r="40689" customFormat="1" x14ac:dyDescent="0.2"/>
    <row r="40690" customFormat="1" x14ac:dyDescent="0.2"/>
    <row r="40691" customFormat="1" x14ac:dyDescent="0.2"/>
    <row r="40692" customFormat="1" x14ac:dyDescent="0.2"/>
    <row r="40693" customFormat="1" x14ac:dyDescent="0.2"/>
    <row r="40694" customFormat="1" x14ac:dyDescent="0.2"/>
    <row r="40695" customFormat="1" x14ac:dyDescent="0.2"/>
    <row r="40696" customFormat="1" x14ac:dyDescent="0.2"/>
    <row r="40697" customFormat="1" x14ac:dyDescent="0.2"/>
    <row r="40698" customFormat="1" x14ac:dyDescent="0.2"/>
    <row r="40699" customFormat="1" x14ac:dyDescent="0.2"/>
    <row r="40700" customFormat="1" x14ac:dyDescent="0.2"/>
    <row r="40701" customFormat="1" x14ac:dyDescent="0.2"/>
    <row r="40702" customFormat="1" x14ac:dyDescent="0.2"/>
    <row r="40703" customFormat="1" x14ac:dyDescent="0.2"/>
    <row r="40704" customFormat="1" x14ac:dyDescent="0.2"/>
    <row r="40705" customFormat="1" x14ac:dyDescent="0.2"/>
    <row r="40706" customFormat="1" x14ac:dyDescent="0.2"/>
    <row r="40707" customFormat="1" x14ac:dyDescent="0.2"/>
    <row r="40708" customFormat="1" x14ac:dyDescent="0.2"/>
    <row r="40709" customFormat="1" x14ac:dyDescent="0.2"/>
    <row r="40710" customFormat="1" x14ac:dyDescent="0.2"/>
    <row r="40711" customFormat="1" x14ac:dyDescent="0.2"/>
    <row r="40712" customFormat="1" x14ac:dyDescent="0.2"/>
    <row r="40713" customFormat="1" x14ac:dyDescent="0.2"/>
    <row r="40714" customFormat="1" x14ac:dyDescent="0.2"/>
    <row r="40715" customFormat="1" x14ac:dyDescent="0.2"/>
    <row r="40716" customFormat="1" x14ac:dyDescent="0.2"/>
    <row r="40717" customFormat="1" x14ac:dyDescent="0.2"/>
    <row r="40718" customFormat="1" x14ac:dyDescent="0.2"/>
    <row r="40719" customFormat="1" x14ac:dyDescent="0.2"/>
    <row r="40720" customFormat="1" x14ac:dyDescent="0.2"/>
    <row r="40721" customFormat="1" x14ac:dyDescent="0.2"/>
    <row r="40722" customFormat="1" x14ac:dyDescent="0.2"/>
    <row r="40723" customFormat="1" x14ac:dyDescent="0.2"/>
    <row r="40724" customFormat="1" x14ac:dyDescent="0.2"/>
    <row r="40725" customFormat="1" x14ac:dyDescent="0.2"/>
    <row r="40726" customFormat="1" x14ac:dyDescent="0.2"/>
    <row r="40727" customFormat="1" x14ac:dyDescent="0.2"/>
    <row r="40728" customFormat="1" x14ac:dyDescent="0.2"/>
    <row r="40729" customFormat="1" x14ac:dyDescent="0.2"/>
    <row r="40730" customFormat="1" x14ac:dyDescent="0.2"/>
    <row r="40731" customFormat="1" x14ac:dyDescent="0.2"/>
    <row r="40732" customFormat="1" x14ac:dyDescent="0.2"/>
    <row r="40733" customFormat="1" x14ac:dyDescent="0.2"/>
    <row r="40734" customFormat="1" x14ac:dyDescent="0.2"/>
    <row r="40735" customFormat="1" x14ac:dyDescent="0.2"/>
    <row r="40736" customFormat="1" x14ac:dyDescent="0.2"/>
    <row r="40737" customFormat="1" x14ac:dyDescent="0.2"/>
    <row r="40738" customFormat="1" x14ac:dyDescent="0.2"/>
    <row r="40739" customFormat="1" x14ac:dyDescent="0.2"/>
    <row r="40740" customFormat="1" x14ac:dyDescent="0.2"/>
    <row r="40741" customFormat="1" x14ac:dyDescent="0.2"/>
    <row r="40742" customFormat="1" x14ac:dyDescent="0.2"/>
    <row r="40743" customFormat="1" x14ac:dyDescent="0.2"/>
    <row r="40744" customFormat="1" x14ac:dyDescent="0.2"/>
    <row r="40745" customFormat="1" x14ac:dyDescent="0.2"/>
    <row r="40746" customFormat="1" x14ac:dyDescent="0.2"/>
    <row r="40747" customFormat="1" x14ac:dyDescent="0.2"/>
    <row r="40748" customFormat="1" x14ac:dyDescent="0.2"/>
    <row r="40749" customFormat="1" x14ac:dyDescent="0.2"/>
    <row r="40750" customFormat="1" x14ac:dyDescent="0.2"/>
    <row r="40751" customFormat="1" x14ac:dyDescent="0.2"/>
    <row r="40752" customFormat="1" x14ac:dyDescent="0.2"/>
    <row r="40753" customFormat="1" x14ac:dyDescent="0.2"/>
    <row r="40754" customFormat="1" x14ac:dyDescent="0.2"/>
    <row r="40755" customFormat="1" x14ac:dyDescent="0.2"/>
    <row r="40756" customFormat="1" x14ac:dyDescent="0.2"/>
    <row r="40757" customFormat="1" x14ac:dyDescent="0.2"/>
    <row r="40758" customFormat="1" x14ac:dyDescent="0.2"/>
    <row r="40759" customFormat="1" x14ac:dyDescent="0.2"/>
    <row r="40760" customFormat="1" x14ac:dyDescent="0.2"/>
    <row r="40761" customFormat="1" x14ac:dyDescent="0.2"/>
    <row r="40762" customFormat="1" x14ac:dyDescent="0.2"/>
    <row r="40763" customFormat="1" x14ac:dyDescent="0.2"/>
    <row r="40764" customFormat="1" x14ac:dyDescent="0.2"/>
    <row r="40765" customFormat="1" x14ac:dyDescent="0.2"/>
    <row r="40766" customFormat="1" x14ac:dyDescent="0.2"/>
    <row r="40767" customFormat="1" x14ac:dyDescent="0.2"/>
    <row r="40768" customFormat="1" x14ac:dyDescent="0.2"/>
    <row r="40769" customFormat="1" x14ac:dyDescent="0.2"/>
    <row r="40770" customFormat="1" x14ac:dyDescent="0.2"/>
    <row r="40771" customFormat="1" x14ac:dyDescent="0.2"/>
    <row r="40772" customFormat="1" x14ac:dyDescent="0.2"/>
    <row r="40773" customFormat="1" x14ac:dyDescent="0.2"/>
    <row r="40774" customFormat="1" x14ac:dyDescent="0.2"/>
    <row r="40775" customFormat="1" x14ac:dyDescent="0.2"/>
    <row r="40776" customFormat="1" x14ac:dyDescent="0.2"/>
    <row r="40777" customFormat="1" x14ac:dyDescent="0.2"/>
    <row r="40778" customFormat="1" x14ac:dyDescent="0.2"/>
    <row r="40779" customFormat="1" x14ac:dyDescent="0.2"/>
    <row r="40780" customFormat="1" x14ac:dyDescent="0.2"/>
    <row r="40781" customFormat="1" x14ac:dyDescent="0.2"/>
    <row r="40782" customFormat="1" x14ac:dyDescent="0.2"/>
    <row r="40783" customFormat="1" x14ac:dyDescent="0.2"/>
    <row r="40784" customFormat="1" x14ac:dyDescent="0.2"/>
    <row r="40785" customFormat="1" x14ac:dyDescent="0.2"/>
    <row r="40786" customFormat="1" x14ac:dyDescent="0.2"/>
    <row r="40787" customFormat="1" x14ac:dyDescent="0.2"/>
    <row r="40788" customFormat="1" x14ac:dyDescent="0.2"/>
    <row r="40789" customFormat="1" x14ac:dyDescent="0.2"/>
    <row r="40790" customFormat="1" x14ac:dyDescent="0.2"/>
    <row r="40791" customFormat="1" x14ac:dyDescent="0.2"/>
    <row r="40792" customFormat="1" x14ac:dyDescent="0.2"/>
    <row r="40793" customFormat="1" x14ac:dyDescent="0.2"/>
    <row r="40794" customFormat="1" x14ac:dyDescent="0.2"/>
    <row r="40795" customFormat="1" x14ac:dyDescent="0.2"/>
    <row r="40796" customFormat="1" x14ac:dyDescent="0.2"/>
    <row r="40797" customFormat="1" x14ac:dyDescent="0.2"/>
    <row r="40798" customFormat="1" x14ac:dyDescent="0.2"/>
    <row r="40799" customFormat="1" x14ac:dyDescent="0.2"/>
    <row r="40800" customFormat="1" x14ac:dyDescent="0.2"/>
    <row r="40801" customFormat="1" x14ac:dyDescent="0.2"/>
    <row r="40802" customFormat="1" x14ac:dyDescent="0.2"/>
    <row r="40803" customFormat="1" x14ac:dyDescent="0.2"/>
    <row r="40804" customFormat="1" x14ac:dyDescent="0.2"/>
    <row r="40805" customFormat="1" x14ac:dyDescent="0.2"/>
    <row r="40806" customFormat="1" x14ac:dyDescent="0.2"/>
    <row r="40807" customFormat="1" x14ac:dyDescent="0.2"/>
    <row r="40808" customFormat="1" x14ac:dyDescent="0.2"/>
    <row r="40809" customFormat="1" x14ac:dyDescent="0.2"/>
    <row r="40810" customFormat="1" x14ac:dyDescent="0.2"/>
    <row r="40811" customFormat="1" x14ac:dyDescent="0.2"/>
    <row r="40812" customFormat="1" x14ac:dyDescent="0.2"/>
    <row r="40813" customFormat="1" x14ac:dyDescent="0.2"/>
    <row r="40814" customFormat="1" x14ac:dyDescent="0.2"/>
    <row r="40815" customFormat="1" x14ac:dyDescent="0.2"/>
    <row r="40816" customFormat="1" x14ac:dyDescent="0.2"/>
    <row r="40817" customFormat="1" x14ac:dyDescent="0.2"/>
    <row r="40818" customFormat="1" x14ac:dyDescent="0.2"/>
    <row r="40819" customFormat="1" x14ac:dyDescent="0.2"/>
    <row r="40820" customFormat="1" x14ac:dyDescent="0.2"/>
    <row r="40821" customFormat="1" x14ac:dyDescent="0.2"/>
    <row r="40822" customFormat="1" x14ac:dyDescent="0.2"/>
    <row r="40823" customFormat="1" x14ac:dyDescent="0.2"/>
    <row r="40824" customFormat="1" x14ac:dyDescent="0.2"/>
    <row r="40825" customFormat="1" x14ac:dyDescent="0.2"/>
    <row r="40826" customFormat="1" x14ac:dyDescent="0.2"/>
    <row r="40827" customFormat="1" x14ac:dyDescent="0.2"/>
    <row r="40828" customFormat="1" x14ac:dyDescent="0.2"/>
    <row r="40829" customFormat="1" x14ac:dyDescent="0.2"/>
    <row r="40830" customFormat="1" x14ac:dyDescent="0.2"/>
    <row r="40831" customFormat="1" x14ac:dyDescent="0.2"/>
    <row r="40832" customFormat="1" x14ac:dyDescent="0.2"/>
    <row r="40833" customFormat="1" x14ac:dyDescent="0.2"/>
    <row r="40834" customFormat="1" x14ac:dyDescent="0.2"/>
    <row r="40835" customFormat="1" x14ac:dyDescent="0.2"/>
    <row r="40836" customFormat="1" x14ac:dyDescent="0.2"/>
    <row r="40837" customFormat="1" x14ac:dyDescent="0.2"/>
    <row r="40838" customFormat="1" x14ac:dyDescent="0.2"/>
    <row r="40839" customFormat="1" x14ac:dyDescent="0.2"/>
    <row r="40840" customFormat="1" x14ac:dyDescent="0.2"/>
    <row r="40841" customFormat="1" x14ac:dyDescent="0.2"/>
    <row r="40842" customFormat="1" x14ac:dyDescent="0.2"/>
    <row r="40843" customFormat="1" x14ac:dyDescent="0.2"/>
    <row r="40844" customFormat="1" x14ac:dyDescent="0.2"/>
    <row r="40845" customFormat="1" x14ac:dyDescent="0.2"/>
    <row r="40846" customFormat="1" x14ac:dyDescent="0.2"/>
    <row r="40847" customFormat="1" x14ac:dyDescent="0.2"/>
    <row r="40848" customFormat="1" x14ac:dyDescent="0.2"/>
    <row r="40849" customFormat="1" x14ac:dyDescent="0.2"/>
    <row r="40850" customFormat="1" x14ac:dyDescent="0.2"/>
    <row r="40851" customFormat="1" x14ac:dyDescent="0.2"/>
    <row r="40852" customFormat="1" x14ac:dyDescent="0.2"/>
    <row r="40853" customFormat="1" x14ac:dyDescent="0.2"/>
    <row r="40854" customFormat="1" x14ac:dyDescent="0.2"/>
    <row r="40855" customFormat="1" x14ac:dyDescent="0.2"/>
    <row r="40856" customFormat="1" x14ac:dyDescent="0.2"/>
    <row r="40857" customFormat="1" x14ac:dyDescent="0.2"/>
    <row r="40858" customFormat="1" x14ac:dyDescent="0.2"/>
    <row r="40859" customFormat="1" x14ac:dyDescent="0.2"/>
    <row r="40860" customFormat="1" x14ac:dyDescent="0.2"/>
    <row r="40861" customFormat="1" x14ac:dyDescent="0.2"/>
    <row r="40862" customFormat="1" x14ac:dyDescent="0.2"/>
    <row r="40863" customFormat="1" x14ac:dyDescent="0.2"/>
    <row r="40864" customFormat="1" x14ac:dyDescent="0.2"/>
    <row r="40865" customFormat="1" x14ac:dyDescent="0.2"/>
    <row r="40866" customFormat="1" x14ac:dyDescent="0.2"/>
    <row r="40867" customFormat="1" x14ac:dyDescent="0.2"/>
    <row r="40868" customFormat="1" x14ac:dyDescent="0.2"/>
    <row r="40869" customFormat="1" x14ac:dyDescent="0.2"/>
    <row r="40870" customFormat="1" x14ac:dyDescent="0.2"/>
    <row r="40871" customFormat="1" x14ac:dyDescent="0.2"/>
    <row r="40872" customFormat="1" x14ac:dyDescent="0.2"/>
    <row r="40873" customFormat="1" x14ac:dyDescent="0.2"/>
    <row r="40874" customFormat="1" x14ac:dyDescent="0.2"/>
    <row r="40875" customFormat="1" x14ac:dyDescent="0.2"/>
    <row r="40876" customFormat="1" x14ac:dyDescent="0.2"/>
    <row r="40877" customFormat="1" x14ac:dyDescent="0.2"/>
    <row r="40878" customFormat="1" x14ac:dyDescent="0.2"/>
    <row r="40879" customFormat="1" x14ac:dyDescent="0.2"/>
    <row r="40880" customFormat="1" x14ac:dyDescent="0.2"/>
    <row r="40881" customFormat="1" x14ac:dyDescent="0.2"/>
    <row r="40882" customFormat="1" x14ac:dyDescent="0.2"/>
    <row r="40883" customFormat="1" x14ac:dyDescent="0.2"/>
    <row r="40884" customFormat="1" x14ac:dyDescent="0.2"/>
    <row r="40885" customFormat="1" x14ac:dyDescent="0.2"/>
    <row r="40886" customFormat="1" x14ac:dyDescent="0.2"/>
    <row r="40887" customFormat="1" x14ac:dyDescent="0.2"/>
    <row r="40888" customFormat="1" x14ac:dyDescent="0.2"/>
    <row r="40889" customFormat="1" x14ac:dyDescent="0.2"/>
    <row r="40890" customFormat="1" x14ac:dyDescent="0.2"/>
    <row r="40891" customFormat="1" x14ac:dyDescent="0.2"/>
    <row r="40892" customFormat="1" x14ac:dyDescent="0.2"/>
    <row r="40893" customFormat="1" x14ac:dyDescent="0.2"/>
    <row r="40894" customFormat="1" x14ac:dyDescent="0.2"/>
    <row r="40895" customFormat="1" x14ac:dyDescent="0.2"/>
    <row r="40896" customFormat="1" x14ac:dyDescent="0.2"/>
    <row r="40897" customFormat="1" x14ac:dyDescent="0.2"/>
    <row r="40898" customFormat="1" x14ac:dyDescent="0.2"/>
    <row r="40899" customFormat="1" x14ac:dyDescent="0.2"/>
    <row r="40900" customFormat="1" x14ac:dyDescent="0.2"/>
    <row r="40901" customFormat="1" x14ac:dyDescent="0.2"/>
    <row r="40902" customFormat="1" x14ac:dyDescent="0.2"/>
    <row r="40903" customFormat="1" x14ac:dyDescent="0.2"/>
    <row r="40904" customFormat="1" x14ac:dyDescent="0.2"/>
    <row r="40905" customFormat="1" x14ac:dyDescent="0.2"/>
    <row r="40906" customFormat="1" x14ac:dyDescent="0.2"/>
    <row r="40907" customFormat="1" x14ac:dyDescent="0.2"/>
    <row r="40908" customFormat="1" x14ac:dyDescent="0.2"/>
    <row r="40909" customFormat="1" x14ac:dyDescent="0.2"/>
    <row r="40910" customFormat="1" x14ac:dyDescent="0.2"/>
    <row r="40911" customFormat="1" x14ac:dyDescent="0.2"/>
    <row r="40912" customFormat="1" x14ac:dyDescent="0.2"/>
    <row r="40913" customFormat="1" x14ac:dyDescent="0.2"/>
    <row r="40914" customFormat="1" x14ac:dyDescent="0.2"/>
    <row r="40915" customFormat="1" x14ac:dyDescent="0.2"/>
    <row r="40916" customFormat="1" x14ac:dyDescent="0.2"/>
    <row r="40917" customFormat="1" x14ac:dyDescent="0.2"/>
    <row r="40918" customFormat="1" x14ac:dyDescent="0.2"/>
    <row r="40919" customFormat="1" x14ac:dyDescent="0.2"/>
    <row r="40920" customFormat="1" x14ac:dyDescent="0.2"/>
    <row r="40921" customFormat="1" x14ac:dyDescent="0.2"/>
    <row r="40922" customFormat="1" x14ac:dyDescent="0.2"/>
    <row r="40923" customFormat="1" x14ac:dyDescent="0.2"/>
    <row r="40924" customFormat="1" x14ac:dyDescent="0.2"/>
    <row r="40925" customFormat="1" x14ac:dyDescent="0.2"/>
    <row r="40926" customFormat="1" x14ac:dyDescent="0.2"/>
    <row r="40927" customFormat="1" x14ac:dyDescent="0.2"/>
    <row r="40928" customFormat="1" x14ac:dyDescent="0.2"/>
    <row r="40929" customFormat="1" x14ac:dyDescent="0.2"/>
    <row r="40930" customFormat="1" x14ac:dyDescent="0.2"/>
    <row r="40931" customFormat="1" x14ac:dyDescent="0.2"/>
    <row r="40932" customFormat="1" x14ac:dyDescent="0.2"/>
    <row r="40933" customFormat="1" x14ac:dyDescent="0.2"/>
    <row r="40934" customFormat="1" x14ac:dyDescent="0.2"/>
    <row r="40935" customFormat="1" x14ac:dyDescent="0.2"/>
    <row r="40936" customFormat="1" x14ac:dyDescent="0.2"/>
    <row r="40937" customFormat="1" x14ac:dyDescent="0.2"/>
    <row r="40938" customFormat="1" x14ac:dyDescent="0.2"/>
    <row r="40939" customFormat="1" x14ac:dyDescent="0.2"/>
    <row r="40940" customFormat="1" x14ac:dyDescent="0.2"/>
    <row r="40941" customFormat="1" x14ac:dyDescent="0.2"/>
    <row r="40942" customFormat="1" x14ac:dyDescent="0.2"/>
    <row r="40943" customFormat="1" x14ac:dyDescent="0.2"/>
    <row r="40944" customFormat="1" x14ac:dyDescent="0.2"/>
    <row r="40945" customFormat="1" x14ac:dyDescent="0.2"/>
    <row r="40946" customFormat="1" x14ac:dyDescent="0.2"/>
    <row r="40947" customFormat="1" x14ac:dyDescent="0.2"/>
    <row r="40948" customFormat="1" x14ac:dyDescent="0.2"/>
    <row r="40949" customFormat="1" x14ac:dyDescent="0.2"/>
    <row r="40950" customFormat="1" x14ac:dyDescent="0.2"/>
    <row r="40951" customFormat="1" x14ac:dyDescent="0.2"/>
    <row r="40952" customFormat="1" x14ac:dyDescent="0.2"/>
    <row r="40953" customFormat="1" x14ac:dyDescent="0.2"/>
    <row r="40954" customFormat="1" x14ac:dyDescent="0.2"/>
    <row r="40955" customFormat="1" x14ac:dyDescent="0.2"/>
    <row r="40956" customFormat="1" x14ac:dyDescent="0.2"/>
    <row r="40957" customFormat="1" x14ac:dyDescent="0.2"/>
    <row r="40958" customFormat="1" x14ac:dyDescent="0.2"/>
    <row r="40959" customFormat="1" x14ac:dyDescent="0.2"/>
    <row r="40960" customFormat="1" x14ac:dyDescent="0.2"/>
    <row r="40961" customFormat="1" x14ac:dyDescent="0.2"/>
    <row r="40962" customFormat="1" x14ac:dyDescent="0.2"/>
    <row r="40963" customFormat="1" x14ac:dyDescent="0.2"/>
    <row r="40964" customFormat="1" x14ac:dyDescent="0.2"/>
    <row r="40965" customFormat="1" x14ac:dyDescent="0.2"/>
    <row r="40966" customFormat="1" x14ac:dyDescent="0.2"/>
    <row r="40967" customFormat="1" x14ac:dyDescent="0.2"/>
    <row r="40968" customFormat="1" x14ac:dyDescent="0.2"/>
    <row r="40969" customFormat="1" x14ac:dyDescent="0.2"/>
    <row r="40970" customFormat="1" x14ac:dyDescent="0.2"/>
    <row r="40971" customFormat="1" x14ac:dyDescent="0.2"/>
    <row r="40972" customFormat="1" x14ac:dyDescent="0.2"/>
    <row r="40973" customFormat="1" x14ac:dyDescent="0.2"/>
    <row r="40974" customFormat="1" x14ac:dyDescent="0.2"/>
    <row r="40975" customFormat="1" x14ac:dyDescent="0.2"/>
    <row r="40976" customFormat="1" x14ac:dyDescent="0.2"/>
    <row r="40977" customFormat="1" x14ac:dyDescent="0.2"/>
    <row r="40978" customFormat="1" x14ac:dyDescent="0.2"/>
    <row r="40979" customFormat="1" x14ac:dyDescent="0.2"/>
    <row r="40980" customFormat="1" x14ac:dyDescent="0.2"/>
    <row r="40981" customFormat="1" x14ac:dyDescent="0.2"/>
    <row r="40982" customFormat="1" x14ac:dyDescent="0.2"/>
    <row r="40983" customFormat="1" x14ac:dyDescent="0.2"/>
    <row r="40984" customFormat="1" x14ac:dyDescent="0.2"/>
    <row r="40985" customFormat="1" x14ac:dyDescent="0.2"/>
    <row r="40986" customFormat="1" x14ac:dyDescent="0.2"/>
    <row r="40987" customFormat="1" x14ac:dyDescent="0.2"/>
    <row r="40988" customFormat="1" x14ac:dyDescent="0.2"/>
    <row r="40989" customFormat="1" x14ac:dyDescent="0.2"/>
    <row r="40990" customFormat="1" x14ac:dyDescent="0.2"/>
    <row r="40991" customFormat="1" x14ac:dyDescent="0.2"/>
    <row r="40992" customFormat="1" x14ac:dyDescent="0.2"/>
    <row r="40993" customFormat="1" x14ac:dyDescent="0.2"/>
    <row r="40994" customFormat="1" x14ac:dyDescent="0.2"/>
    <row r="40995" customFormat="1" x14ac:dyDescent="0.2"/>
    <row r="40996" customFormat="1" x14ac:dyDescent="0.2"/>
    <row r="40997" customFormat="1" x14ac:dyDescent="0.2"/>
    <row r="40998" customFormat="1" x14ac:dyDescent="0.2"/>
    <row r="40999" customFormat="1" x14ac:dyDescent="0.2"/>
    <row r="41000" customFormat="1" x14ac:dyDescent="0.2"/>
    <row r="41001" customFormat="1" x14ac:dyDescent="0.2"/>
    <row r="41002" customFormat="1" x14ac:dyDescent="0.2"/>
    <row r="41003" customFormat="1" x14ac:dyDescent="0.2"/>
    <row r="41004" customFormat="1" x14ac:dyDescent="0.2"/>
    <row r="41005" customFormat="1" x14ac:dyDescent="0.2"/>
    <row r="41006" customFormat="1" x14ac:dyDescent="0.2"/>
    <row r="41007" customFormat="1" x14ac:dyDescent="0.2"/>
    <row r="41008" customFormat="1" x14ac:dyDescent="0.2"/>
    <row r="41009" customFormat="1" x14ac:dyDescent="0.2"/>
    <row r="41010" customFormat="1" x14ac:dyDescent="0.2"/>
    <row r="41011" customFormat="1" x14ac:dyDescent="0.2"/>
    <row r="41012" customFormat="1" x14ac:dyDescent="0.2"/>
    <row r="41013" customFormat="1" x14ac:dyDescent="0.2"/>
    <row r="41014" customFormat="1" x14ac:dyDescent="0.2"/>
    <row r="41015" customFormat="1" x14ac:dyDescent="0.2"/>
    <row r="41016" customFormat="1" x14ac:dyDescent="0.2"/>
    <row r="41017" customFormat="1" x14ac:dyDescent="0.2"/>
    <row r="41018" customFormat="1" x14ac:dyDescent="0.2"/>
    <row r="41019" customFormat="1" x14ac:dyDescent="0.2"/>
    <row r="41020" customFormat="1" x14ac:dyDescent="0.2"/>
    <row r="41021" customFormat="1" x14ac:dyDescent="0.2"/>
    <row r="41022" customFormat="1" x14ac:dyDescent="0.2"/>
    <row r="41023" customFormat="1" x14ac:dyDescent="0.2"/>
    <row r="41024" customFormat="1" x14ac:dyDescent="0.2"/>
    <row r="41025" customFormat="1" x14ac:dyDescent="0.2"/>
    <row r="41026" customFormat="1" x14ac:dyDescent="0.2"/>
    <row r="41027" customFormat="1" x14ac:dyDescent="0.2"/>
    <row r="41028" customFormat="1" x14ac:dyDescent="0.2"/>
    <row r="41029" customFormat="1" x14ac:dyDescent="0.2"/>
    <row r="41030" customFormat="1" x14ac:dyDescent="0.2"/>
    <row r="41031" customFormat="1" x14ac:dyDescent="0.2"/>
    <row r="41032" customFormat="1" x14ac:dyDescent="0.2"/>
    <row r="41033" customFormat="1" x14ac:dyDescent="0.2"/>
    <row r="41034" customFormat="1" x14ac:dyDescent="0.2"/>
    <row r="41035" customFormat="1" x14ac:dyDescent="0.2"/>
    <row r="41036" customFormat="1" x14ac:dyDescent="0.2"/>
    <row r="41037" customFormat="1" x14ac:dyDescent="0.2"/>
    <row r="41038" customFormat="1" x14ac:dyDescent="0.2"/>
    <row r="41039" customFormat="1" x14ac:dyDescent="0.2"/>
    <row r="41040" customFormat="1" x14ac:dyDescent="0.2"/>
    <row r="41041" customFormat="1" x14ac:dyDescent="0.2"/>
    <row r="41042" customFormat="1" x14ac:dyDescent="0.2"/>
    <row r="41043" customFormat="1" x14ac:dyDescent="0.2"/>
    <row r="41044" customFormat="1" x14ac:dyDescent="0.2"/>
    <row r="41045" customFormat="1" x14ac:dyDescent="0.2"/>
    <row r="41046" customFormat="1" x14ac:dyDescent="0.2"/>
    <row r="41047" customFormat="1" x14ac:dyDescent="0.2"/>
    <row r="41048" customFormat="1" x14ac:dyDescent="0.2"/>
    <row r="41049" customFormat="1" x14ac:dyDescent="0.2"/>
    <row r="41050" customFormat="1" x14ac:dyDescent="0.2"/>
    <row r="41051" customFormat="1" x14ac:dyDescent="0.2"/>
    <row r="41052" customFormat="1" x14ac:dyDescent="0.2"/>
    <row r="41053" customFormat="1" x14ac:dyDescent="0.2"/>
    <row r="41054" customFormat="1" x14ac:dyDescent="0.2"/>
    <row r="41055" customFormat="1" x14ac:dyDescent="0.2"/>
    <row r="41056" customFormat="1" x14ac:dyDescent="0.2"/>
    <row r="41057" customFormat="1" x14ac:dyDescent="0.2"/>
    <row r="41058" customFormat="1" x14ac:dyDescent="0.2"/>
    <row r="41059" customFormat="1" x14ac:dyDescent="0.2"/>
    <row r="41060" customFormat="1" x14ac:dyDescent="0.2"/>
    <row r="41061" customFormat="1" x14ac:dyDescent="0.2"/>
    <row r="41062" customFormat="1" x14ac:dyDescent="0.2"/>
    <row r="41063" customFormat="1" x14ac:dyDescent="0.2"/>
    <row r="41064" customFormat="1" x14ac:dyDescent="0.2"/>
    <row r="41065" customFormat="1" x14ac:dyDescent="0.2"/>
    <row r="41066" customFormat="1" x14ac:dyDescent="0.2"/>
    <row r="41067" customFormat="1" x14ac:dyDescent="0.2"/>
    <row r="41068" customFormat="1" x14ac:dyDescent="0.2"/>
    <row r="41069" customFormat="1" x14ac:dyDescent="0.2"/>
    <row r="41070" customFormat="1" x14ac:dyDescent="0.2"/>
    <row r="41071" customFormat="1" x14ac:dyDescent="0.2"/>
    <row r="41072" customFormat="1" x14ac:dyDescent="0.2"/>
    <row r="41073" customFormat="1" x14ac:dyDescent="0.2"/>
    <row r="41074" customFormat="1" x14ac:dyDescent="0.2"/>
    <row r="41075" customFormat="1" x14ac:dyDescent="0.2"/>
    <row r="41076" customFormat="1" x14ac:dyDescent="0.2"/>
    <row r="41077" customFormat="1" x14ac:dyDescent="0.2"/>
    <row r="41078" customFormat="1" x14ac:dyDescent="0.2"/>
    <row r="41079" customFormat="1" x14ac:dyDescent="0.2"/>
    <row r="41080" customFormat="1" x14ac:dyDescent="0.2"/>
    <row r="41081" customFormat="1" x14ac:dyDescent="0.2"/>
    <row r="41082" customFormat="1" x14ac:dyDescent="0.2"/>
    <row r="41083" customFormat="1" x14ac:dyDescent="0.2"/>
    <row r="41084" customFormat="1" x14ac:dyDescent="0.2"/>
    <row r="41085" customFormat="1" x14ac:dyDescent="0.2"/>
    <row r="41086" customFormat="1" x14ac:dyDescent="0.2"/>
    <row r="41087" customFormat="1" x14ac:dyDescent="0.2"/>
    <row r="41088" customFormat="1" x14ac:dyDescent="0.2"/>
    <row r="41089" customFormat="1" x14ac:dyDescent="0.2"/>
    <row r="41090" customFormat="1" x14ac:dyDescent="0.2"/>
    <row r="41091" customFormat="1" x14ac:dyDescent="0.2"/>
    <row r="41092" customFormat="1" x14ac:dyDescent="0.2"/>
    <row r="41093" customFormat="1" x14ac:dyDescent="0.2"/>
    <row r="41094" customFormat="1" x14ac:dyDescent="0.2"/>
    <row r="41095" customFormat="1" x14ac:dyDescent="0.2"/>
    <row r="41096" customFormat="1" x14ac:dyDescent="0.2"/>
    <row r="41097" customFormat="1" x14ac:dyDescent="0.2"/>
    <row r="41098" customFormat="1" x14ac:dyDescent="0.2"/>
    <row r="41099" customFormat="1" x14ac:dyDescent="0.2"/>
    <row r="41100" customFormat="1" x14ac:dyDescent="0.2"/>
    <row r="41101" customFormat="1" x14ac:dyDescent="0.2"/>
    <row r="41102" customFormat="1" x14ac:dyDescent="0.2"/>
    <row r="41103" customFormat="1" x14ac:dyDescent="0.2"/>
    <row r="41104" customFormat="1" x14ac:dyDescent="0.2"/>
    <row r="41105" customFormat="1" x14ac:dyDescent="0.2"/>
    <row r="41106" customFormat="1" x14ac:dyDescent="0.2"/>
    <row r="41107" customFormat="1" x14ac:dyDescent="0.2"/>
    <row r="41108" customFormat="1" x14ac:dyDescent="0.2"/>
    <row r="41109" customFormat="1" x14ac:dyDescent="0.2"/>
    <row r="41110" customFormat="1" x14ac:dyDescent="0.2"/>
    <row r="41111" customFormat="1" x14ac:dyDescent="0.2"/>
    <row r="41112" customFormat="1" x14ac:dyDescent="0.2"/>
    <row r="41113" customFormat="1" x14ac:dyDescent="0.2"/>
    <row r="41114" customFormat="1" x14ac:dyDescent="0.2"/>
    <row r="41115" customFormat="1" x14ac:dyDescent="0.2"/>
    <row r="41116" customFormat="1" x14ac:dyDescent="0.2"/>
    <row r="41117" customFormat="1" x14ac:dyDescent="0.2"/>
    <row r="41118" customFormat="1" x14ac:dyDescent="0.2"/>
    <row r="41119" customFormat="1" x14ac:dyDescent="0.2"/>
    <row r="41120" customFormat="1" x14ac:dyDescent="0.2"/>
    <row r="41121" customFormat="1" x14ac:dyDescent="0.2"/>
    <row r="41122" customFormat="1" x14ac:dyDescent="0.2"/>
    <row r="41123" customFormat="1" x14ac:dyDescent="0.2"/>
    <row r="41124" customFormat="1" x14ac:dyDescent="0.2"/>
    <row r="41125" customFormat="1" x14ac:dyDescent="0.2"/>
    <row r="41126" customFormat="1" x14ac:dyDescent="0.2"/>
    <row r="41127" customFormat="1" x14ac:dyDescent="0.2"/>
    <row r="41128" customFormat="1" x14ac:dyDescent="0.2"/>
    <row r="41129" customFormat="1" x14ac:dyDescent="0.2"/>
    <row r="41130" customFormat="1" x14ac:dyDescent="0.2"/>
    <row r="41131" customFormat="1" x14ac:dyDescent="0.2"/>
    <row r="41132" customFormat="1" x14ac:dyDescent="0.2"/>
    <row r="41133" customFormat="1" x14ac:dyDescent="0.2"/>
    <row r="41134" customFormat="1" x14ac:dyDescent="0.2"/>
    <row r="41135" customFormat="1" x14ac:dyDescent="0.2"/>
    <row r="41136" customFormat="1" x14ac:dyDescent="0.2"/>
    <row r="41137" customFormat="1" x14ac:dyDescent="0.2"/>
    <row r="41138" customFormat="1" x14ac:dyDescent="0.2"/>
    <row r="41139" customFormat="1" x14ac:dyDescent="0.2"/>
    <row r="41140" customFormat="1" x14ac:dyDescent="0.2"/>
    <row r="41141" customFormat="1" x14ac:dyDescent="0.2"/>
    <row r="41142" customFormat="1" x14ac:dyDescent="0.2"/>
    <row r="41143" customFormat="1" x14ac:dyDescent="0.2"/>
    <row r="41144" customFormat="1" x14ac:dyDescent="0.2"/>
    <row r="41145" customFormat="1" x14ac:dyDescent="0.2"/>
    <row r="41146" customFormat="1" x14ac:dyDescent="0.2"/>
    <row r="41147" customFormat="1" x14ac:dyDescent="0.2"/>
    <row r="41148" customFormat="1" x14ac:dyDescent="0.2"/>
    <row r="41149" customFormat="1" x14ac:dyDescent="0.2"/>
    <row r="41150" customFormat="1" x14ac:dyDescent="0.2"/>
    <row r="41151" customFormat="1" x14ac:dyDescent="0.2"/>
    <row r="41152" customFormat="1" x14ac:dyDescent="0.2"/>
    <row r="41153" customFormat="1" x14ac:dyDescent="0.2"/>
    <row r="41154" customFormat="1" x14ac:dyDescent="0.2"/>
    <row r="41155" customFormat="1" x14ac:dyDescent="0.2"/>
    <row r="41156" customFormat="1" x14ac:dyDescent="0.2"/>
    <row r="41157" customFormat="1" x14ac:dyDescent="0.2"/>
    <row r="41158" customFormat="1" x14ac:dyDescent="0.2"/>
    <row r="41159" customFormat="1" x14ac:dyDescent="0.2"/>
    <row r="41160" customFormat="1" x14ac:dyDescent="0.2"/>
    <row r="41161" customFormat="1" x14ac:dyDescent="0.2"/>
    <row r="41162" customFormat="1" x14ac:dyDescent="0.2"/>
    <row r="41163" customFormat="1" x14ac:dyDescent="0.2"/>
    <row r="41164" customFormat="1" x14ac:dyDescent="0.2"/>
    <row r="41165" customFormat="1" x14ac:dyDescent="0.2"/>
    <row r="41166" customFormat="1" x14ac:dyDescent="0.2"/>
    <row r="41167" customFormat="1" x14ac:dyDescent="0.2"/>
    <row r="41168" customFormat="1" x14ac:dyDescent="0.2"/>
    <row r="41169" customFormat="1" x14ac:dyDescent="0.2"/>
    <row r="41170" customFormat="1" x14ac:dyDescent="0.2"/>
    <row r="41171" customFormat="1" x14ac:dyDescent="0.2"/>
    <row r="41172" customFormat="1" x14ac:dyDescent="0.2"/>
    <row r="41173" customFormat="1" x14ac:dyDescent="0.2"/>
    <row r="41174" customFormat="1" x14ac:dyDescent="0.2"/>
    <row r="41175" customFormat="1" x14ac:dyDescent="0.2"/>
    <row r="41176" customFormat="1" x14ac:dyDescent="0.2"/>
    <row r="41177" customFormat="1" x14ac:dyDescent="0.2"/>
    <row r="41178" customFormat="1" x14ac:dyDescent="0.2"/>
    <row r="41179" customFormat="1" x14ac:dyDescent="0.2"/>
    <row r="41180" customFormat="1" x14ac:dyDescent="0.2"/>
    <row r="41181" customFormat="1" x14ac:dyDescent="0.2"/>
    <row r="41182" customFormat="1" x14ac:dyDescent="0.2"/>
    <row r="41183" customFormat="1" x14ac:dyDescent="0.2"/>
    <row r="41184" customFormat="1" x14ac:dyDescent="0.2"/>
    <row r="41185" customFormat="1" x14ac:dyDescent="0.2"/>
    <row r="41186" customFormat="1" x14ac:dyDescent="0.2"/>
    <row r="41187" customFormat="1" x14ac:dyDescent="0.2"/>
    <row r="41188" customFormat="1" x14ac:dyDescent="0.2"/>
    <row r="41189" customFormat="1" x14ac:dyDescent="0.2"/>
    <row r="41190" customFormat="1" x14ac:dyDescent="0.2"/>
    <row r="41191" customFormat="1" x14ac:dyDescent="0.2"/>
    <row r="41192" customFormat="1" x14ac:dyDescent="0.2"/>
    <row r="41193" customFormat="1" x14ac:dyDescent="0.2"/>
    <row r="41194" customFormat="1" x14ac:dyDescent="0.2"/>
    <row r="41195" customFormat="1" x14ac:dyDescent="0.2"/>
    <row r="41196" customFormat="1" x14ac:dyDescent="0.2"/>
    <row r="41197" customFormat="1" x14ac:dyDescent="0.2"/>
    <row r="41198" customFormat="1" x14ac:dyDescent="0.2"/>
    <row r="41199" customFormat="1" x14ac:dyDescent="0.2"/>
    <row r="41200" customFormat="1" x14ac:dyDescent="0.2"/>
    <row r="41201" customFormat="1" x14ac:dyDescent="0.2"/>
    <row r="41202" customFormat="1" x14ac:dyDescent="0.2"/>
    <row r="41203" customFormat="1" x14ac:dyDescent="0.2"/>
    <row r="41204" customFormat="1" x14ac:dyDescent="0.2"/>
    <row r="41205" customFormat="1" x14ac:dyDescent="0.2"/>
    <row r="41206" customFormat="1" x14ac:dyDescent="0.2"/>
    <row r="41207" customFormat="1" x14ac:dyDescent="0.2"/>
    <row r="41208" customFormat="1" x14ac:dyDescent="0.2"/>
    <row r="41209" customFormat="1" x14ac:dyDescent="0.2"/>
    <row r="41210" customFormat="1" x14ac:dyDescent="0.2"/>
    <row r="41211" customFormat="1" x14ac:dyDescent="0.2"/>
    <row r="41212" customFormat="1" x14ac:dyDescent="0.2"/>
    <row r="41213" customFormat="1" x14ac:dyDescent="0.2"/>
    <row r="41214" customFormat="1" x14ac:dyDescent="0.2"/>
    <row r="41215" customFormat="1" x14ac:dyDescent="0.2"/>
    <row r="41216" customFormat="1" x14ac:dyDescent="0.2"/>
    <row r="41217" customFormat="1" x14ac:dyDescent="0.2"/>
    <row r="41218" customFormat="1" x14ac:dyDescent="0.2"/>
    <row r="41219" customFormat="1" x14ac:dyDescent="0.2"/>
    <row r="41220" customFormat="1" x14ac:dyDescent="0.2"/>
    <row r="41221" customFormat="1" x14ac:dyDescent="0.2"/>
    <row r="41222" customFormat="1" x14ac:dyDescent="0.2"/>
    <row r="41223" customFormat="1" x14ac:dyDescent="0.2"/>
    <row r="41224" customFormat="1" x14ac:dyDescent="0.2"/>
    <row r="41225" customFormat="1" x14ac:dyDescent="0.2"/>
    <row r="41226" customFormat="1" x14ac:dyDescent="0.2"/>
    <row r="41227" customFormat="1" x14ac:dyDescent="0.2"/>
    <row r="41228" customFormat="1" x14ac:dyDescent="0.2"/>
    <row r="41229" customFormat="1" x14ac:dyDescent="0.2"/>
    <row r="41230" customFormat="1" x14ac:dyDescent="0.2"/>
    <row r="41231" customFormat="1" x14ac:dyDescent="0.2"/>
    <row r="41232" customFormat="1" x14ac:dyDescent="0.2"/>
    <row r="41233" customFormat="1" x14ac:dyDescent="0.2"/>
    <row r="41234" customFormat="1" x14ac:dyDescent="0.2"/>
    <row r="41235" customFormat="1" x14ac:dyDescent="0.2"/>
    <row r="41236" customFormat="1" x14ac:dyDescent="0.2"/>
    <row r="41237" customFormat="1" x14ac:dyDescent="0.2"/>
    <row r="41238" customFormat="1" x14ac:dyDescent="0.2"/>
    <row r="41239" customFormat="1" x14ac:dyDescent="0.2"/>
    <row r="41240" customFormat="1" x14ac:dyDescent="0.2"/>
    <row r="41241" customFormat="1" x14ac:dyDescent="0.2"/>
    <row r="41242" customFormat="1" x14ac:dyDescent="0.2"/>
    <row r="41243" customFormat="1" x14ac:dyDescent="0.2"/>
    <row r="41244" customFormat="1" x14ac:dyDescent="0.2"/>
    <row r="41245" customFormat="1" x14ac:dyDescent="0.2"/>
    <row r="41246" customFormat="1" x14ac:dyDescent="0.2"/>
    <row r="41247" customFormat="1" x14ac:dyDescent="0.2"/>
    <row r="41248" customFormat="1" x14ac:dyDescent="0.2"/>
    <row r="41249" customFormat="1" x14ac:dyDescent="0.2"/>
    <row r="41250" customFormat="1" x14ac:dyDescent="0.2"/>
    <row r="41251" customFormat="1" x14ac:dyDescent="0.2"/>
    <row r="41252" customFormat="1" x14ac:dyDescent="0.2"/>
    <row r="41253" customFormat="1" x14ac:dyDescent="0.2"/>
    <row r="41254" customFormat="1" x14ac:dyDescent="0.2"/>
    <row r="41255" customFormat="1" x14ac:dyDescent="0.2"/>
    <row r="41256" customFormat="1" x14ac:dyDescent="0.2"/>
    <row r="41257" customFormat="1" x14ac:dyDescent="0.2"/>
    <row r="41258" customFormat="1" x14ac:dyDescent="0.2"/>
    <row r="41259" customFormat="1" x14ac:dyDescent="0.2"/>
    <row r="41260" customFormat="1" x14ac:dyDescent="0.2"/>
    <row r="41261" customFormat="1" x14ac:dyDescent="0.2"/>
    <row r="41262" customFormat="1" x14ac:dyDescent="0.2"/>
    <row r="41263" customFormat="1" x14ac:dyDescent="0.2"/>
    <row r="41264" customFormat="1" x14ac:dyDescent="0.2"/>
    <row r="41265" customFormat="1" x14ac:dyDescent="0.2"/>
    <row r="41266" customFormat="1" x14ac:dyDescent="0.2"/>
    <row r="41267" customFormat="1" x14ac:dyDescent="0.2"/>
    <row r="41268" customFormat="1" x14ac:dyDescent="0.2"/>
    <row r="41269" customFormat="1" x14ac:dyDescent="0.2"/>
    <row r="41270" customFormat="1" x14ac:dyDescent="0.2"/>
    <row r="41271" customFormat="1" x14ac:dyDescent="0.2"/>
    <row r="41272" customFormat="1" x14ac:dyDescent="0.2"/>
    <row r="41273" customFormat="1" x14ac:dyDescent="0.2"/>
    <row r="41274" customFormat="1" x14ac:dyDescent="0.2"/>
    <row r="41275" customFormat="1" x14ac:dyDescent="0.2"/>
    <row r="41276" customFormat="1" x14ac:dyDescent="0.2"/>
    <row r="41277" customFormat="1" x14ac:dyDescent="0.2"/>
    <row r="41278" customFormat="1" x14ac:dyDescent="0.2"/>
    <row r="41279" customFormat="1" x14ac:dyDescent="0.2"/>
    <row r="41280" customFormat="1" x14ac:dyDescent="0.2"/>
    <row r="41281" customFormat="1" x14ac:dyDescent="0.2"/>
    <row r="41282" customFormat="1" x14ac:dyDescent="0.2"/>
    <row r="41283" customFormat="1" x14ac:dyDescent="0.2"/>
    <row r="41284" customFormat="1" x14ac:dyDescent="0.2"/>
    <row r="41285" customFormat="1" x14ac:dyDescent="0.2"/>
    <row r="41286" customFormat="1" x14ac:dyDescent="0.2"/>
    <row r="41287" customFormat="1" x14ac:dyDescent="0.2"/>
    <row r="41288" customFormat="1" x14ac:dyDescent="0.2"/>
    <row r="41289" customFormat="1" x14ac:dyDescent="0.2"/>
    <row r="41290" customFormat="1" x14ac:dyDescent="0.2"/>
    <row r="41291" customFormat="1" x14ac:dyDescent="0.2"/>
    <row r="41292" customFormat="1" x14ac:dyDescent="0.2"/>
    <row r="41293" customFormat="1" x14ac:dyDescent="0.2"/>
    <row r="41294" customFormat="1" x14ac:dyDescent="0.2"/>
    <row r="41295" customFormat="1" x14ac:dyDescent="0.2"/>
    <row r="41296" customFormat="1" x14ac:dyDescent="0.2"/>
    <row r="41297" customFormat="1" x14ac:dyDescent="0.2"/>
    <row r="41298" customFormat="1" x14ac:dyDescent="0.2"/>
    <row r="41299" customFormat="1" x14ac:dyDescent="0.2"/>
    <row r="41300" customFormat="1" x14ac:dyDescent="0.2"/>
    <row r="41301" customFormat="1" x14ac:dyDescent="0.2"/>
    <row r="41302" customFormat="1" x14ac:dyDescent="0.2"/>
    <row r="41303" customFormat="1" x14ac:dyDescent="0.2"/>
    <row r="41304" customFormat="1" x14ac:dyDescent="0.2"/>
    <row r="41305" customFormat="1" x14ac:dyDescent="0.2"/>
    <row r="41306" customFormat="1" x14ac:dyDescent="0.2"/>
    <row r="41307" customFormat="1" x14ac:dyDescent="0.2"/>
    <row r="41308" customFormat="1" x14ac:dyDescent="0.2"/>
    <row r="41309" customFormat="1" x14ac:dyDescent="0.2"/>
    <row r="41310" customFormat="1" x14ac:dyDescent="0.2"/>
    <row r="41311" customFormat="1" x14ac:dyDescent="0.2"/>
    <row r="41312" customFormat="1" x14ac:dyDescent="0.2"/>
    <row r="41313" customFormat="1" x14ac:dyDescent="0.2"/>
    <row r="41314" customFormat="1" x14ac:dyDescent="0.2"/>
    <row r="41315" customFormat="1" x14ac:dyDescent="0.2"/>
    <row r="41316" customFormat="1" x14ac:dyDescent="0.2"/>
    <row r="41317" customFormat="1" x14ac:dyDescent="0.2"/>
    <row r="41318" customFormat="1" x14ac:dyDescent="0.2"/>
    <row r="41319" customFormat="1" x14ac:dyDescent="0.2"/>
    <row r="41320" customFormat="1" x14ac:dyDescent="0.2"/>
    <row r="41321" customFormat="1" x14ac:dyDescent="0.2"/>
    <row r="41322" customFormat="1" x14ac:dyDescent="0.2"/>
    <row r="41323" customFormat="1" x14ac:dyDescent="0.2"/>
    <row r="41324" customFormat="1" x14ac:dyDescent="0.2"/>
    <row r="41325" customFormat="1" x14ac:dyDescent="0.2"/>
    <row r="41326" customFormat="1" x14ac:dyDescent="0.2"/>
    <row r="41327" customFormat="1" x14ac:dyDescent="0.2"/>
    <row r="41328" customFormat="1" x14ac:dyDescent="0.2"/>
    <row r="41329" customFormat="1" x14ac:dyDescent="0.2"/>
    <row r="41330" customFormat="1" x14ac:dyDescent="0.2"/>
    <row r="41331" customFormat="1" x14ac:dyDescent="0.2"/>
    <row r="41332" customFormat="1" x14ac:dyDescent="0.2"/>
    <row r="41333" customFormat="1" x14ac:dyDescent="0.2"/>
    <row r="41334" customFormat="1" x14ac:dyDescent="0.2"/>
    <row r="41335" customFormat="1" x14ac:dyDescent="0.2"/>
    <row r="41336" customFormat="1" x14ac:dyDescent="0.2"/>
    <row r="41337" customFormat="1" x14ac:dyDescent="0.2"/>
    <row r="41338" customFormat="1" x14ac:dyDescent="0.2"/>
    <row r="41339" customFormat="1" x14ac:dyDescent="0.2"/>
    <row r="41340" customFormat="1" x14ac:dyDescent="0.2"/>
    <row r="41341" customFormat="1" x14ac:dyDescent="0.2"/>
    <row r="41342" customFormat="1" x14ac:dyDescent="0.2"/>
    <row r="41343" customFormat="1" x14ac:dyDescent="0.2"/>
    <row r="41344" customFormat="1" x14ac:dyDescent="0.2"/>
    <row r="41345" customFormat="1" x14ac:dyDescent="0.2"/>
    <row r="41346" customFormat="1" x14ac:dyDescent="0.2"/>
    <row r="41347" customFormat="1" x14ac:dyDescent="0.2"/>
    <row r="41348" customFormat="1" x14ac:dyDescent="0.2"/>
    <row r="41349" customFormat="1" x14ac:dyDescent="0.2"/>
    <row r="41350" customFormat="1" x14ac:dyDescent="0.2"/>
    <row r="41351" customFormat="1" x14ac:dyDescent="0.2"/>
    <row r="41352" customFormat="1" x14ac:dyDescent="0.2"/>
    <row r="41353" customFormat="1" x14ac:dyDescent="0.2"/>
    <row r="41354" customFormat="1" x14ac:dyDescent="0.2"/>
    <row r="41355" customFormat="1" x14ac:dyDescent="0.2"/>
    <row r="41356" customFormat="1" x14ac:dyDescent="0.2"/>
    <row r="41357" customFormat="1" x14ac:dyDescent="0.2"/>
    <row r="41358" customFormat="1" x14ac:dyDescent="0.2"/>
    <row r="41359" customFormat="1" x14ac:dyDescent="0.2"/>
    <row r="41360" customFormat="1" x14ac:dyDescent="0.2"/>
    <row r="41361" customFormat="1" x14ac:dyDescent="0.2"/>
    <row r="41362" customFormat="1" x14ac:dyDescent="0.2"/>
    <row r="41363" customFormat="1" x14ac:dyDescent="0.2"/>
    <row r="41364" customFormat="1" x14ac:dyDescent="0.2"/>
    <row r="41365" customFormat="1" x14ac:dyDescent="0.2"/>
    <row r="41366" customFormat="1" x14ac:dyDescent="0.2"/>
    <row r="41367" customFormat="1" x14ac:dyDescent="0.2"/>
    <row r="41368" customFormat="1" x14ac:dyDescent="0.2"/>
    <row r="41369" customFormat="1" x14ac:dyDescent="0.2"/>
    <row r="41370" customFormat="1" x14ac:dyDescent="0.2"/>
    <row r="41371" customFormat="1" x14ac:dyDescent="0.2"/>
    <row r="41372" customFormat="1" x14ac:dyDescent="0.2"/>
    <row r="41373" customFormat="1" x14ac:dyDescent="0.2"/>
    <row r="41374" customFormat="1" x14ac:dyDescent="0.2"/>
    <row r="41375" customFormat="1" x14ac:dyDescent="0.2"/>
    <row r="41376" customFormat="1" x14ac:dyDescent="0.2"/>
    <row r="41377" customFormat="1" x14ac:dyDescent="0.2"/>
    <row r="41378" customFormat="1" x14ac:dyDescent="0.2"/>
    <row r="41379" customFormat="1" x14ac:dyDescent="0.2"/>
    <row r="41380" customFormat="1" x14ac:dyDescent="0.2"/>
    <row r="41381" customFormat="1" x14ac:dyDescent="0.2"/>
    <row r="41382" customFormat="1" x14ac:dyDescent="0.2"/>
    <row r="41383" customFormat="1" x14ac:dyDescent="0.2"/>
    <row r="41384" customFormat="1" x14ac:dyDescent="0.2"/>
    <row r="41385" customFormat="1" x14ac:dyDescent="0.2"/>
    <row r="41386" customFormat="1" x14ac:dyDescent="0.2"/>
    <row r="41387" customFormat="1" x14ac:dyDescent="0.2"/>
    <row r="41388" customFormat="1" x14ac:dyDescent="0.2"/>
    <row r="41389" customFormat="1" x14ac:dyDescent="0.2"/>
    <row r="41390" customFormat="1" x14ac:dyDescent="0.2"/>
    <row r="41391" customFormat="1" x14ac:dyDescent="0.2"/>
    <row r="41392" customFormat="1" x14ac:dyDescent="0.2"/>
    <row r="41393" customFormat="1" x14ac:dyDescent="0.2"/>
    <row r="41394" customFormat="1" x14ac:dyDescent="0.2"/>
    <row r="41395" customFormat="1" x14ac:dyDescent="0.2"/>
    <row r="41396" customFormat="1" x14ac:dyDescent="0.2"/>
    <row r="41397" customFormat="1" x14ac:dyDescent="0.2"/>
    <row r="41398" customFormat="1" x14ac:dyDescent="0.2"/>
    <row r="41399" customFormat="1" x14ac:dyDescent="0.2"/>
    <row r="41400" customFormat="1" x14ac:dyDescent="0.2"/>
    <row r="41401" customFormat="1" x14ac:dyDescent="0.2"/>
    <row r="41402" customFormat="1" x14ac:dyDescent="0.2"/>
    <row r="41403" customFormat="1" x14ac:dyDescent="0.2"/>
    <row r="41404" customFormat="1" x14ac:dyDescent="0.2"/>
    <row r="41405" customFormat="1" x14ac:dyDescent="0.2"/>
    <row r="41406" customFormat="1" x14ac:dyDescent="0.2"/>
    <row r="41407" customFormat="1" x14ac:dyDescent="0.2"/>
    <row r="41408" customFormat="1" x14ac:dyDescent="0.2"/>
    <row r="41409" customFormat="1" x14ac:dyDescent="0.2"/>
    <row r="41410" customFormat="1" x14ac:dyDescent="0.2"/>
    <row r="41411" customFormat="1" x14ac:dyDescent="0.2"/>
    <row r="41412" customFormat="1" x14ac:dyDescent="0.2"/>
    <row r="41413" customFormat="1" x14ac:dyDescent="0.2"/>
    <row r="41414" customFormat="1" x14ac:dyDescent="0.2"/>
    <row r="41415" customFormat="1" x14ac:dyDescent="0.2"/>
    <row r="41416" customFormat="1" x14ac:dyDescent="0.2"/>
    <row r="41417" customFormat="1" x14ac:dyDescent="0.2"/>
    <row r="41418" customFormat="1" x14ac:dyDescent="0.2"/>
    <row r="41419" customFormat="1" x14ac:dyDescent="0.2"/>
    <row r="41420" customFormat="1" x14ac:dyDescent="0.2"/>
    <row r="41421" customFormat="1" x14ac:dyDescent="0.2"/>
    <row r="41422" customFormat="1" x14ac:dyDescent="0.2"/>
    <row r="41423" customFormat="1" x14ac:dyDescent="0.2"/>
    <row r="41424" customFormat="1" x14ac:dyDescent="0.2"/>
    <row r="41425" customFormat="1" x14ac:dyDescent="0.2"/>
    <row r="41426" customFormat="1" x14ac:dyDescent="0.2"/>
    <row r="41427" customFormat="1" x14ac:dyDescent="0.2"/>
    <row r="41428" customFormat="1" x14ac:dyDescent="0.2"/>
    <row r="41429" customFormat="1" x14ac:dyDescent="0.2"/>
    <row r="41430" customFormat="1" x14ac:dyDescent="0.2"/>
    <row r="41431" customFormat="1" x14ac:dyDescent="0.2"/>
    <row r="41432" customFormat="1" x14ac:dyDescent="0.2"/>
    <row r="41433" customFormat="1" x14ac:dyDescent="0.2"/>
    <row r="41434" customFormat="1" x14ac:dyDescent="0.2"/>
    <row r="41435" customFormat="1" x14ac:dyDescent="0.2"/>
    <row r="41436" customFormat="1" x14ac:dyDescent="0.2"/>
    <row r="41437" customFormat="1" x14ac:dyDescent="0.2"/>
    <row r="41438" customFormat="1" x14ac:dyDescent="0.2"/>
    <row r="41439" customFormat="1" x14ac:dyDescent="0.2"/>
    <row r="41440" customFormat="1" x14ac:dyDescent="0.2"/>
    <row r="41441" customFormat="1" x14ac:dyDescent="0.2"/>
    <row r="41442" customFormat="1" x14ac:dyDescent="0.2"/>
    <row r="41443" customFormat="1" x14ac:dyDescent="0.2"/>
    <row r="41444" customFormat="1" x14ac:dyDescent="0.2"/>
    <row r="41445" customFormat="1" x14ac:dyDescent="0.2"/>
    <row r="41446" customFormat="1" x14ac:dyDescent="0.2"/>
    <row r="41447" customFormat="1" x14ac:dyDescent="0.2"/>
    <row r="41448" customFormat="1" x14ac:dyDescent="0.2"/>
    <row r="41449" customFormat="1" x14ac:dyDescent="0.2"/>
    <row r="41450" customFormat="1" x14ac:dyDescent="0.2"/>
    <row r="41451" customFormat="1" x14ac:dyDescent="0.2"/>
    <row r="41452" customFormat="1" x14ac:dyDescent="0.2"/>
    <row r="41453" customFormat="1" x14ac:dyDescent="0.2"/>
    <row r="41454" customFormat="1" x14ac:dyDescent="0.2"/>
    <row r="41455" customFormat="1" x14ac:dyDescent="0.2"/>
    <row r="41456" customFormat="1" x14ac:dyDescent="0.2"/>
    <row r="41457" customFormat="1" x14ac:dyDescent="0.2"/>
    <row r="41458" customFormat="1" x14ac:dyDescent="0.2"/>
    <row r="41459" customFormat="1" x14ac:dyDescent="0.2"/>
    <row r="41460" customFormat="1" x14ac:dyDescent="0.2"/>
    <row r="41461" customFormat="1" x14ac:dyDescent="0.2"/>
    <row r="41462" customFormat="1" x14ac:dyDescent="0.2"/>
    <row r="41463" customFormat="1" x14ac:dyDescent="0.2"/>
    <row r="41464" customFormat="1" x14ac:dyDescent="0.2"/>
    <row r="41465" customFormat="1" x14ac:dyDescent="0.2"/>
    <row r="41466" customFormat="1" x14ac:dyDescent="0.2"/>
    <row r="41467" customFormat="1" x14ac:dyDescent="0.2"/>
    <row r="41468" customFormat="1" x14ac:dyDescent="0.2"/>
    <row r="41469" customFormat="1" x14ac:dyDescent="0.2"/>
    <row r="41470" customFormat="1" x14ac:dyDescent="0.2"/>
    <row r="41471" customFormat="1" x14ac:dyDescent="0.2"/>
    <row r="41472" customFormat="1" x14ac:dyDescent="0.2"/>
    <row r="41473" customFormat="1" x14ac:dyDescent="0.2"/>
    <row r="41474" customFormat="1" x14ac:dyDescent="0.2"/>
    <row r="41475" customFormat="1" x14ac:dyDescent="0.2"/>
    <row r="41476" customFormat="1" x14ac:dyDescent="0.2"/>
    <row r="41477" customFormat="1" x14ac:dyDescent="0.2"/>
    <row r="41478" customFormat="1" x14ac:dyDescent="0.2"/>
    <row r="41479" customFormat="1" x14ac:dyDescent="0.2"/>
    <row r="41480" customFormat="1" x14ac:dyDescent="0.2"/>
    <row r="41481" customFormat="1" x14ac:dyDescent="0.2"/>
    <row r="41482" customFormat="1" x14ac:dyDescent="0.2"/>
    <row r="41483" customFormat="1" x14ac:dyDescent="0.2"/>
    <row r="41484" customFormat="1" x14ac:dyDescent="0.2"/>
    <row r="41485" customFormat="1" x14ac:dyDescent="0.2"/>
    <row r="41486" customFormat="1" x14ac:dyDescent="0.2"/>
    <row r="41487" customFormat="1" x14ac:dyDescent="0.2"/>
    <row r="41488" customFormat="1" x14ac:dyDescent="0.2"/>
    <row r="41489" customFormat="1" x14ac:dyDescent="0.2"/>
    <row r="41490" customFormat="1" x14ac:dyDescent="0.2"/>
    <row r="41491" customFormat="1" x14ac:dyDescent="0.2"/>
    <row r="41492" customFormat="1" x14ac:dyDescent="0.2"/>
    <row r="41493" customFormat="1" x14ac:dyDescent="0.2"/>
    <row r="41494" customFormat="1" x14ac:dyDescent="0.2"/>
    <row r="41495" customFormat="1" x14ac:dyDescent="0.2"/>
    <row r="41496" customFormat="1" x14ac:dyDescent="0.2"/>
    <row r="41497" customFormat="1" x14ac:dyDescent="0.2"/>
    <row r="41498" customFormat="1" x14ac:dyDescent="0.2"/>
    <row r="41499" customFormat="1" x14ac:dyDescent="0.2"/>
    <row r="41500" customFormat="1" x14ac:dyDescent="0.2"/>
    <row r="41501" customFormat="1" x14ac:dyDescent="0.2"/>
    <row r="41502" customFormat="1" x14ac:dyDescent="0.2"/>
    <row r="41503" customFormat="1" x14ac:dyDescent="0.2"/>
    <row r="41504" customFormat="1" x14ac:dyDescent="0.2"/>
    <row r="41505" customFormat="1" x14ac:dyDescent="0.2"/>
    <row r="41506" customFormat="1" x14ac:dyDescent="0.2"/>
    <row r="41507" customFormat="1" x14ac:dyDescent="0.2"/>
    <row r="41508" customFormat="1" x14ac:dyDescent="0.2"/>
    <row r="41509" customFormat="1" x14ac:dyDescent="0.2"/>
    <row r="41510" customFormat="1" x14ac:dyDescent="0.2"/>
    <row r="41511" customFormat="1" x14ac:dyDescent="0.2"/>
    <row r="41512" customFormat="1" x14ac:dyDescent="0.2"/>
    <row r="41513" customFormat="1" x14ac:dyDescent="0.2"/>
    <row r="41514" customFormat="1" x14ac:dyDescent="0.2"/>
    <row r="41515" customFormat="1" x14ac:dyDescent="0.2"/>
    <row r="41516" customFormat="1" x14ac:dyDescent="0.2"/>
    <row r="41517" customFormat="1" x14ac:dyDescent="0.2"/>
    <row r="41518" customFormat="1" x14ac:dyDescent="0.2"/>
    <row r="41519" customFormat="1" x14ac:dyDescent="0.2"/>
    <row r="41520" customFormat="1" x14ac:dyDescent="0.2"/>
    <row r="41521" customFormat="1" x14ac:dyDescent="0.2"/>
    <row r="41522" customFormat="1" x14ac:dyDescent="0.2"/>
    <row r="41523" customFormat="1" x14ac:dyDescent="0.2"/>
    <row r="41524" customFormat="1" x14ac:dyDescent="0.2"/>
    <row r="41525" customFormat="1" x14ac:dyDescent="0.2"/>
    <row r="41526" customFormat="1" x14ac:dyDescent="0.2"/>
    <row r="41527" customFormat="1" x14ac:dyDescent="0.2"/>
    <row r="41528" customFormat="1" x14ac:dyDescent="0.2"/>
    <row r="41529" customFormat="1" x14ac:dyDescent="0.2"/>
    <row r="41530" customFormat="1" x14ac:dyDescent="0.2"/>
    <row r="41531" customFormat="1" x14ac:dyDescent="0.2"/>
    <row r="41532" customFormat="1" x14ac:dyDescent="0.2"/>
    <row r="41533" customFormat="1" x14ac:dyDescent="0.2"/>
    <row r="41534" customFormat="1" x14ac:dyDescent="0.2"/>
    <row r="41535" customFormat="1" x14ac:dyDescent="0.2"/>
    <row r="41536" customFormat="1" x14ac:dyDescent="0.2"/>
    <row r="41537" customFormat="1" x14ac:dyDescent="0.2"/>
    <row r="41538" customFormat="1" x14ac:dyDescent="0.2"/>
    <row r="41539" customFormat="1" x14ac:dyDescent="0.2"/>
    <row r="41540" customFormat="1" x14ac:dyDescent="0.2"/>
    <row r="41541" customFormat="1" x14ac:dyDescent="0.2"/>
    <row r="41542" customFormat="1" x14ac:dyDescent="0.2"/>
    <row r="41543" customFormat="1" x14ac:dyDescent="0.2"/>
    <row r="41544" customFormat="1" x14ac:dyDescent="0.2"/>
    <row r="41545" customFormat="1" x14ac:dyDescent="0.2"/>
    <row r="41546" customFormat="1" x14ac:dyDescent="0.2"/>
    <row r="41547" customFormat="1" x14ac:dyDescent="0.2"/>
    <row r="41548" customFormat="1" x14ac:dyDescent="0.2"/>
    <row r="41549" customFormat="1" x14ac:dyDescent="0.2"/>
    <row r="41550" customFormat="1" x14ac:dyDescent="0.2"/>
    <row r="41551" customFormat="1" x14ac:dyDescent="0.2"/>
    <row r="41552" customFormat="1" x14ac:dyDescent="0.2"/>
    <row r="41553" customFormat="1" x14ac:dyDescent="0.2"/>
    <row r="41554" customFormat="1" x14ac:dyDescent="0.2"/>
    <row r="41555" customFormat="1" x14ac:dyDescent="0.2"/>
    <row r="41556" customFormat="1" x14ac:dyDescent="0.2"/>
    <row r="41557" customFormat="1" x14ac:dyDescent="0.2"/>
    <row r="41558" customFormat="1" x14ac:dyDescent="0.2"/>
    <row r="41559" customFormat="1" x14ac:dyDescent="0.2"/>
    <row r="41560" customFormat="1" x14ac:dyDescent="0.2"/>
    <row r="41561" customFormat="1" x14ac:dyDescent="0.2"/>
    <row r="41562" customFormat="1" x14ac:dyDescent="0.2"/>
    <row r="41563" customFormat="1" x14ac:dyDescent="0.2"/>
    <row r="41564" customFormat="1" x14ac:dyDescent="0.2"/>
    <row r="41565" customFormat="1" x14ac:dyDescent="0.2"/>
    <row r="41566" customFormat="1" x14ac:dyDescent="0.2"/>
    <row r="41567" customFormat="1" x14ac:dyDescent="0.2"/>
    <row r="41568" customFormat="1" x14ac:dyDescent="0.2"/>
    <row r="41569" customFormat="1" x14ac:dyDescent="0.2"/>
    <row r="41570" customFormat="1" x14ac:dyDescent="0.2"/>
    <row r="41571" customFormat="1" x14ac:dyDescent="0.2"/>
    <row r="41572" customFormat="1" x14ac:dyDescent="0.2"/>
    <row r="41573" customFormat="1" x14ac:dyDescent="0.2"/>
    <row r="41574" customFormat="1" x14ac:dyDescent="0.2"/>
    <row r="41575" customFormat="1" x14ac:dyDescent="0.2"/>
    <row r="41576" customFormat="1" x14ac:dyDescent="0.2"/>
    <row r="41577" customFormat="1" x14ac:dyDescent="0.2"/>
    <row r="41578" customFormat="1" x14ac:dyDescent="0.2"/>
    <row r="41579" customFormat="1" x14ac:dyDescent="0.2"/>
    <row r="41580" customFormat="1" x14ac:dyDescent="0.2"/>
    <row r="41581" customFormat="1" x14ac:dyDescent="0.2"/>
    <row r="41582" customFormat="1" x14ac:dyDescent="0.2"/>
    <row r="41583" customFormat="1" x14ac:dyDescent="0.2"/>
    <row r="41584" customFormat="1" x14ac:dyDescent="0.2"/>
    <row r="41585" customFormat="1" x14ac:dyDescent="0.2"/>
    <row r="41586" customFormat="1" x14ac:dyDescent="0.2"/>
    <row r="41587" customFormat="1" x14ac:dyDescent="0.2"/>
    <row r="41588" customFormat="1" x14ac:dyDescent="0.2"/>
    <row r="41589" customFormat="1" x14ac:dyDescent="0.2"/>
    <row r="41590" customFormat="1" x14ac:dyDescent="0.2"/>
    <row r="41591" customFormat="1" x14ac:dyDescent="0.2"/>
    <row r="41592" customFormat="1" x14ac:dyDescent="0.2"/>
    <row r="41593" customFormat="1" x14ac:dyDescent="0.2"/>
    <row r="41594" customFormat="1" x14ac:dyDescent="0.2"/>
    <row r="41595" customFormat="1" x14ac:dyDescent="0.2"/>
    <row r="41596" customFormat="1" x14ac:dyDescent="0.2"/>
    <row r="41597" customFormat="1" x14ac:dyDescent="0.2"/>
    <row r="41598" customFormat="1" x14ac:dyDescent="0.2"/>
    <row r="41599" customFormat="1" x14ac:dyDescent="0.2"/>
    <row r="41600" customFormat="1" x14ac:dyDescent="0.2"/>
    <row r="41601" customFormat="1" x14ac:dyDescent="0.2"/>
    <row r="41602" customFormat="1" x14ac:dyDescent="0.2"/>
    <row r="41603" customFormat="1" x14ac:dyDescent="0.2"/>
    <row r="41604" customFormat="1" x14ac:dyDescent="0.2"/>
    <row r="41605" customFormat="1" x14ac:dyDescent="0.2"/>
    <row r="41606" customFormat="1" x14ac:dyDescent="0.2"/>
    <row r="41607" customFormat="1" x14ac:dyDescent="0.2"/>
    <row r="41608" customFormat="1" x14ac:dyDescent="0.2"/>
    <row r="41609" customFormat="1" x14ac:dyDescent="0.2"/>
    <row r="41610" customFormat="1" x14ac:dyDescent="0.2"/>
    <row r="41611" customFormat="1" x14ac:dyDescent="0.2"/>
    <row r="41612" customFormat="1" x14ac:dyDescent="0.2"/>
    <row r="41613" customFormat="1" x14ac:dyDescent="0.2"/>
    <row r="41614" customFormat="1" x14ac:dyDescent="0.2"/>
    <row r="41615" customFormat="1" x14ac:dyDescent="0.2"/>
    <row r="41616" customFormat="1" x14ac:dyDescent="0.2"/>
    <row r="41617" customFormat="1" x14ac:dyDescent="0.2"/>
    <row r="41618" customFormat="1" x14ac:dyDescent="0.2"/>
    <row r="41619" customFormat="1" x14ac:dyDescent="0.2"/>
    <row r="41620" customFormat="1" x14ac:dyDescent="0.2"/>
    <row r="41621" customFormat="1" x14ac:dyDescent="0.2"/>
    <row r="41622" customFormat="1" x14ac:dyDescent="0.2"/>
    <row r="41623" customFormat="1" x14ac:dyDescent="0.2"/>
    <row r="41624" customFormat="1" x14ac:dyDescent="0.2"/>
    <row r="41625" customFormat="1" x14ac:dyDescent="0.2"/>
    <row r="41626" customFormat="1" x14ac:dyDescent="0.2"/>
    <row r="41627" customFormat="1" x14ac:dyDescent="0.2"/>
    <row r="41628" customFormat="1" x14ac:dyDescent="0.2"/>
    <row r="41629" customFormat="1" x14ac:dyDescent="0.2"/>
    <row r="41630" customFormat="1" x14ac:dyDescent="0.2"/>
    <row r="41631" customFormat="1" x14ac:dyDescent="0.2"/>
    <row r="41632" customFormat="1" x14ac:dyDescent="0.2"/>
    <row r="41633" customFormat="1" x14ac:dyDescent="0.2"/>
    <row r="41634" customFormat="1" x14ac:dyDescent="0.2"/>
    <row r="41635" customFormat="1" x14ac:dyDescent="0.2"/>
    <row r="41636" customFormat="1" x14ac:dyDescent="0.2"/>
    <row r="41637" customFormat="1" x14ac:dyDescent="0.2"/>
    <row r="41638" customFormat="1" x14ac:dyDescent="0.2"/>
    <row r="41639" customFormat="1" x14ac:dyDescent="0.2"/>
    <row r="41640" customFormat="1" x14ac:dyDescent="0.2"/>
    <row r="41641" customFormat="1" x14ac:dyDescent="0.2"/>
    <row r="41642" customFormat="1" x14ac:dyDescent="0.2"/>
    <row r="41643" customFormat="1" x14ac:dyDescent="0.2"/>
    <row r="41644" customFormat="1" x14ac:dyDescent="0.2"/>
    <row r="41645" customFormat="1" x14ac:dyDescent="0.2"/>
    <row r="41646" customFormat="1" x14ac:dyDescent="0.2"/>
    <row r="41647" customFormat="1" x14ac:dyDescent="0.2"/>
    <row r="41648" customFormat="1" x14ac:dyDescent="0.2"/>
    <row r="41649" customFormat="1" x14ac:dyDescent="0.2"/>
    <row r="41650" customFormat="1" x14ac:dyDescent="0.2"/>
    <row r="41651" customFormat="1" x14ac:dyDescent="0.2"/>
    <row r="41652" customFormat="1" x14ac:dyDescent="0.2"/>
    <row r="41653" customFormat="1" x14ac:dyDescent="0.2"/>
    <row r="41654" customFormat="1" x14ac:dyDescent="0.2"/>
    <row r="41655" customFormat="1" x14ac:dyDescent="0.2"/>
    <row r="41656" customFormat="1" x14ac:dyDescent="0.2"/>
    <row r="41657" customFormat="1" x14ac:dyDescent="0.2"/>
    <row r="41658" customFormat="1" x14ac:dyDescent="0.2"/>
    <row r="41659" customFormat="1" x14ac:dyDescent="0.2"/>
    <row r="41660" customFormat="1" x14ac:dyDescent="0.2"/>
    <row r="41661" customFormat="1" x14ac:dyDescent="0.2"/>
    <row r="41662" customFormat="1" x14ac:dyDescent="0.2"/>
    <row r="41663" customFormat="1" x14ac:dyDescent="0.2"/>
    <row r="41664" customFormat="1" x14ac:dyDescent="0.2"/>
    <row r="41665" customFormat="1" x14ac:dyDescent="0.2"/>
    <row r="41666" customFormat="1" x14ac:dyDescent="0.2"/>
    <row r="41667" customFormat="1" x14ac:dyDescent="0.2"/>
    <row r="41668" customFormat="1" x14ac:dyDescent="0.2"/>
    <row r="41669" customFormat="1" x14ac:dyDescent="0.2"/>
    <row r="41670" customFormat="1" x14ac:dyDescent="0.2"/>
    <row r="41671" customFormat="1" x14ac:dyDescent="0.2"/>
    <row r="41672" customFormat="1" x14ac:dyDescent="0.2"/>
    <row r="41673" customFormat="1" x14ac:dyDescent="0.2"/>
    <row r="41674" customFormat="1" x14ac:dyDescent="0.2"/>
    <row r="41675" customFormat="1" x14ac:dyDescent="0.2"/>
    <row r="41676" customFormat="1" x14ac:dyDescent="0.2"/>
    <row r="41677" customFormat="1" x14ac:dyDescent="0.2"/>
    <row r="41678" customFormat="1" x14ac:dyDescent="0.2"/>
    <row r="41679" customFormat="1" x14ac:dyDescent="0.2"/>
    <row r="41680" customFormat="1" x14ac:dyDescent="0.2"/>
    <row r="41681" customFormat="1" x14ac:dyDescent="0.2"/>
    <row r="41682" customFormat="1" x14ac:dyDescent="0.2"/>
    <row r="41683" customFormat="1" x14ac:dyDescent="0.2"/>
    <row r="41684" customFormat="1" x14ac:dyDescent="0.2"/>
    <row r="41685" customFormat="1" x14ac:dyDescent="0.2"/>
    <row r="41686" customFormat="1" x14ac:dyDescent="0.2"/>
    <row r="41687" customFormat="1" x14ac:dyDescent="0.2"/>
    <row r="41688" customFormat="1" x14ac:dyDescent="0.2"/>
    <row r="41689" customFormat="1" x14ac:dyDescent="0.2"/>
    <row r="41690" customFormat="1" x14ac:dyDescent="0.2"/>
    <row r="41691" customFormat="1" x14ac:dyDescent="0.2"/>
    <row r="41692" customFormat="1" x14ac:dyDescent="0.2"/>
    <row r="41693" customFormat="1" x14ac:dyDescent="0.2"/>
    <row r="41694" customFormat="1" x14ac:dyDescent="0.2"/>
    <row r="41695" customFormat="1" x14ac:dyDescent="0.2"/>
    <row r="41696" customFormat="1" x14ac:dyDescent="0.2"/>
    <row r="41697" customFormat="1" x14ac:dyDescent="0.2"/>
    <row r="41698" customFormat="1" x14ac:dyDescent="0.2"/>
    <row r="41699" customFormat="1" x14ac:dyDescent="0.2"/>
    <row r="41700" customFormat="1" x14ac:dyDescent="0.2"/>
    <row r="41701" customFormat="1" x14ac:dyDescent="0.2"/>
    <row r="41702" customFormat="1" x14ac:dyDescent="0.2"/>
    <row r="41703" customFormat="1" x14ac:dyDescent="0.2"/>
    <row r="41704" customFormat="1" x14ac:dyDescent="0.2"/>
    <row r="41705" customFormat="1" x14ac:dyDescent="0.2"/>
    <row r="41706" customFormat="1" x14ac:dyDescent="0.2"/>
    <row r="41707" customFormat="1" x14ac:dyDescent="0.2"/>
    <row r="41708" customFormat="1" x14ac:dyDescent="0.2"/>
    <row r="41709" customFormat="1" x14ac:dyDescent="0.2"/>
    <row r="41710" customFormat="1" x14ac:dyDescent="0.2"/>
    <row r="41711" customFormat="1" x14ac:dyDescent="0.2"/>
    <row r="41712" customFormat="1" x14ac:dyDescent="0.2"/>
    <row r="41713" customFormat="1" x14ac:dyDescent="0.2"/>
    <row r="41714" customFormat="1" x14ac:dyDescent="0.2"/>
    <row r="41715" customFormat="1" x14ac:dyDescent="0.2"/>
    <row r="41716" customFormat="1" x14ac:dyDescent="0.2"/>
    <row r="41717" customFormat="1" x14ac:dyDescent="0.2"/>
    <row r="41718" customFormat="1" x14ac:dyDescent="0.2"/>
    <row r="41719" customFormat="1" x14ac:dyDescent="0.2"/>
    <row r="41720" customFormat="1" x14ac:dyDescent="0.2"/>
    <row r="41721" customFormat="1" x14ac:dyDescent="0.2"/>
    <row r="41722" customFormat="1" x14ac:dyDescent="0.2"/>
    <row r="41723" customFormat="1" x14ac:dyDescent="0.2"/>
    <row r="41724" customFormat="1" x14ac:dyDescent="0.2"/>
    <row r="41725" customFormat="1" x14ac:dyDescent="0.2"/>
    <row r="41726" customFormat="1" x14ac:dyDescent="0.2"/>
    <row r="41727" customFormat="1" x14ac:dyDescent="0.2"/>
    <row r="41728" customFormat="1" x14ac:dyDescent="0.2"/>
    <row r="41729" customFormat="1" x14ac:dyDescent="0.2"/>
    <row r="41730" customFormat="1" x14ac:dyDescent="0.2"/>
    <row r="41731" customFormat="1" x14ac:dyDescent="0.2"/>
    <row r="41732" customFormat="1" x14ac:dyDescent="0.2"/>
    <row r="41733" customFormat="1" x14ac:dyDescent="0.2"/>
    <row r="41734" customFormat="1" x14ac:dyDescent="0.2"/>
    <row r="41735" customFormat="1" x14ac:dyDescent="0.2"/>
    <row r="41736" customFormat="1" x14ac:dyDescent="0.2"/>
    <row r="41737" customFormat="1" x14ac:dyDescent="0.2"/>
    <row r="41738" customFormat="1" x14ac:dyDescent="0.2"/>
    <row r="41739" customFormat="1" x14ac:dyDescent="0.2"/>
    <row r="41740" customFormat="1" x14ac:dyDescent="0.2"/>
    <row r="41741" customFormat="1" x14ac:dyDescent="0.2"/>
    <row r="41742" customFormat="1" x14ac:dyDescent="0.2"/>
    <row r="41743" customFormat="1" x14ac:dyDescent="0.2"/>
    <row r="41744" customFormat="1" x14ac:dyDescent="0.2"/>
    <row r="41745" customFormat="1" x14ac:dyDescent="0.2"/>
    <row r="41746" customFormat="1" x14ac:dyDescent="0.2"/>
    <row r="41747" customFormat="1" x14ac:dyDescent="0.2"/>
    <row r="41748" customFormat="1" x14ac:dyDescent="0.2"/>
    <row r="41749" customFormat="1" x14ac:dyDescent="0.2"/>
    <row r="41750" customFormat="1" x14ac:dyDescent="0.2"/>
    <row r="41751" customFormat="1" x14ac:dyDescent="0.2"/>
    <row r="41752" customFormat="1" x14ac:dyDescent="0.2"/>
    <row r="41753" customFormat="1" x14ac:dyDescent="0.2"/>
    <row r="41754" customFormat="1" x14ac:dyDescent="0.2"/>
    <row r="41755" customFormat="1" x14ac:dyDescent="0.2"/>
    <row r="41756" customFormat="1" x14ac:dyDescent="0.2"/>
    <row r="41757" customFormat="1" x14ac:dyDescent="0.2"/>
    <row r="41758" customFormat="1" x14ac:dyDescent="0.2"/>
    <row r="41759" customFormat="1" x14ac:dyDescent="0.2"/>
    <row r="41760" customFormat="1" x14ac:dyDescent="0.2"/>
    <row r="41761" customFormat="1" x14ac:dyDescent="0.2"/>
    <row r="41762" customFormat="1" x14ac:dyDescent="0.2"/>
    <row r="41763" customFormat="1" x14ac:dyDescent="0.2"/>
    <row r="41764" customFormat="1" x14ac:dyDescent="0.2"/>
    <row r="41765" customFormat="1" x14ac:dyDescent="0.2"/>
    <row r="41766" customFormat="1" x14ac:dyDescent="0.2"/>
    <row r="41767" customFormat="1" x14ac:dyDescent="0.2"/>
    <row r="41768" customFormat="1" x14ac:dyDescent="0.2"/>
    <row r="41769" customFormat="1" x14ac:dyDescent="0.2"/>
    <row r="41770" customFormat="1" x14ac:dyDescent="0.2"/>
    <row r="41771" customFormat="1" x14ac:dyDescent="0.2"/>
    <row r="41772" customFormat="1" x14ac:dyDescent="0.2"/>
    <row r="41773" customFormat="1" x14ac:dyDescent="0.2"/>
    <row r="41774" customFormat="1" x14ac:dyDescent="0.2"/>
    <row r="41775" customFormat="1" x14ac:dyDescent="0.2"/>
    <row r="41776" customFormat="1" x14ac:dyDescent="0.2"/>
    <row r="41777" customFormat="1" x14ac:dyDescent="0.2"/>
    <row r="41778" customFormat="1" x14ac:dyDescent="0.2"/>
    <row r="41779" customFormat="1" x14ac:dyDescent="0.2"/>
    <row r="41780" customFormat="1" x14ac:dyDescent="0.2"/>
    <row r="41781" customFormat="1" x14ac:dyDescent="0.2"/>
    <row r="41782" customFormat="1" x14ac:dyDescent="0.2"/>
    <row r="41783" customFormat="1" x14ac:dyDescent="0.2"/>
    <row r="41784" customFormat="1" x14ac:dyDescent="0.2"/>
    <row r="41785" customFormat="1" x14ac:dyDescent="0.2"/>
    <row r="41786" customFormat="1" x14ac:dyDescent="0.2"/>
    <row r="41787" customFormat="1" x14ac:dyDescent="0.2"/>
    <row r="41788" customFormat="1" x14ac:dyDescent="0.2"/>
    <row r="41789" customFormat="1" x14ac:dyDescent="0.2"/>
    <row r="41790" customFormat="1" x14ac:dyDescent="0.2"/>
    <row r="41791" customFormat="1" x14ac:dyDescent="0.2"/>
    <row r="41792" customFormat="1" x14ac:dyDescent="0.2"/>
    <row r="41793" customFormat="1" x14ac:dyDescent="0.2"/>
    <row r="41794" customFormat="1" x14ac:dyDescent="0.2"/>
    <row r="41795" customFormat="1" x14ac:dyDescent="0.2"/>
    <row r="41796" customFormat="1" x14ac:dyDescent="0.2"/>
    <row r="41797" customFormat="1" x14ac:dyDescent="0.2"/>
    <row r="41798" customFormat="1" x14ac:dyDescent="0.2"/>
    <row r="41799" customFormat="1" x14ac:dyDescent="0.2"/>
    <row r="41800" customFormat="1" x14ac:dyDescent="0.2"/>
    <row r="41801" customFormat="1" x14ac:dyDescent="0.2"/>
    <row r="41802" customFormat="1" x14ac:dyDescent="0.2"/>
    <row r="41803" customFormat="1" x14ac:dyDescent="0.2"/>
    <row r="41804" customFormat="1" x14ac:dyDescent="0.2"/>
    <row r="41805" customFormat="1" x14ac:dyDescent="0.2"/>
    <row r="41806" customFormat="1" x14ac:dyDescent="0.2"/>
    <row r="41807" customFormat="1" x14ac:dyDescent="0.2"/>
    <row r="41808" customFormat="1" x14ac:dyDescent="0.2"/>
    <row r="41809" customFormat="1" x14ac:dyDescent="0.2"/>
    <row r="41810" customFormat="1" x14ac:dyDescent="0.2"/>
    <row r="41811" customFormat="1" x14ac:dyDescent="0.2"/>
    <row r="41812" customFormat="1" x14ac:dyDescent="0.2"/>
    <row r="41813" customFormat="1" x14ac:dyDescent="0.2"/>
    <row r="41814" customFormat="1" x14ac:dyDescent="0.2"/>
    <row r="41815" customFormat="1" x14ac:dyDescent="0.2"/>
    <row r="41816" customFormat="1" x14ac:dyDescent="0.2"/>
    <row r="41817" customFormat="1" x14ac:dyDescent="0.2"/>
    <row r="41818" customFormat="1" x14ac:dyDescent="0.2"/>
    <row r="41819" customFormat="1" x14ac:dyDescent="0.2"/>
    <row r="41820" customFormat="1" x14ac:dyDescent="0.2"/>
    <row r="41821" customFormat="1" x14ac:dyDescent="0.2"/>
    <row r="41822" customFormat="1" x14ac:dyDescent="0.2"/>
    <row r="41823" customFormat="1" x14ac:dyDescent="0.2"/>
    <row r="41824" customFormat="1" x14ac:dyDescent="0.2"/>
    <row r="41825" customFormat="1" x14ac:dyDescent="0.2"/>
    <row r="41826" customFormat="1" x14ac:dyDescent="0.2"/>
    <row r="41827" customFormat="1" x14ac:dyDescent="0.2"/>
    <row r="41828" customFormat="1" x14ac:dyDescent="0.2"/>
    <row r="41829" customFormat="1" x14ac:dyDescent="0.2"/>
    <row r="41830" customFormat="1" x14ac:dyDescent="0.2"/>
    <row r="41831" customFormat="1" x14ac:dyDescent="0.2"/>
    <row r="41832" customFormat="1" x14ac:dyDescent="0.2"/>
    <row r="41833" customFormat="1" x14ac:dyDescent="0.2"/>
    <row r="41834" customFormat="1" x14ac:dyDescent="0.2"/>
    <row r="41835" customFormat="1" x14ac:dyDescent="0.2"/>
    <row r="41836" customFormat="1" x14ac:dyDescent="0.2"/>
    <row r="41837" customFormat="1" x14ac:dyDescent="0.2"/>
    <row r="41838" customFormat="1" x14ac:dyDescent="0.2"/>
    <row r="41839" customFormat="1" x14ac:dyDescent="0.2"/>
    <row r="41840" customFormat="1" x14ac:dyDescent="0.2"/>
    <row r="41841" customFormat="1" x14ac:dyDescent="0.2"/>
    <row r="41842" customFormat="1" x14ac:dyDescent="0.2"/>
    <row r="41843" customFormat="1" x14ac:dyDescent="0.2"/>
    <row r="41844" customFormat="1" x14ac:dyDescent="0.2"/>
    <row r="41845" customFormat="1" x14ac:dyDescent="0.2"/>
    <row r="41846" customFormat="1" x14ac:dyDescent="0.2"/>
    <row r="41847" customFormat="1" x14ac:dyDescent="0.2"/>
    <row r="41848" customFormat="1" x14ac:dyDescent="0.2"/>
    <row r="41849" customFormat="1" x14ac:dyDescent="0.2"/>
    <row r="41850" customFormat="1" x14ac:dyDescent="0.2"/>
    <row r="41851" customFormat="1" x14ac:dyDescent="0.2"/>
    <row r="41852" customFormat="1" x14ac:dyDescent="0.2"/>
    <row r="41853" customFormat="1" x14ac:dyDescent="0.2"/>
    <row r="41854" customFormat="1" x14ac:dyDescent="0.2"/>
    <row r="41855" customFormat="1" x14ac:dyDescent="0.2"/>
    <row r="41856" customFormat="1" x14ac:dyDescent="0.2"/>
    <row r="41857" customFormat="1" x14ac:dyDescent="0.2"/>
    <row r="41858" customFormat="1" x14ac:dyDescent="0.2"/>
    <row r="41859" customFormat="1" x14ac:dyDescent="0.2"/>
    <row r="41860" customFormat="1" x14ac:dyDescent="0.2"/>
    <row r="41861" customFormat="1" x14ac:dyDescent="0.2"/>
    <row r="41862" customFormat="1" x14ac:dyDescent="0.2"/>
    <row r="41863" customFormat="1" x14ac:dyDescent="0.2"/>
    <row r="41864" customFormat="1" x14ac:dyDescent="0.2"/>
    <row r="41865" customFormat="1" x14ac:dyDescent="0.2"/>
    <row r="41866" customFormat="1" x14ac:dyDescent="0.2"/>
    <row r="41867" customFormat="1" x14ac:dyDescent="0.2"/>
    <row r="41868" customFormat="1" x14ac:dyDescent="0.2"/>
    <row r="41869" customFormat="1" x14ac:dyDescent="0.2"/>
    <row r="41870" customFormat="1" x14ac:dyDescent="0.2"/>
    <row r="41871" customFormat="1" x14ac:dyDescent="0.2"/>
    <row r="41872" customFormat="1" x14ac:dyDescent="0.2"/>
    <row r="41873" customFormat="1" x14ac:dyDescent="0.2"/>
    <row r="41874" customFormat="1" x14ac:dyDescent="0.2"/>
    <row r="41875" customFormat="1" x14ac:dyDescent="0.2"/>
    <row r="41876" customFormat="1" x14ac:dyDescent="0.2"/>
    <row r="41877" customFormat="1" x14ac:dyDescent="0.2"/>
    <row r="41878" customFormat="1" x14ac:dyDescent="0.2"/>
    <row r="41879" customFormat="1" x14ac:dyDescent="0.2"/>
    <row r="41880" customFormat="1" x14ac:dyDescent="0.2"/>
    <row r="41881" customFormat="1" x14ac:dyDescent="0.2"/>
    <row r="41882" customFormat="1" x14ac:dyDescent="0.2"/>
    <row r="41883" customFormat="1" x14ac:dyDescent="0.2"/>
    <row r="41884" customFormat="1" x14ac:dyDescent="0.2"/>
    <row r="41885" customFormat="1" x14ac:dyDescent="0.2"/>
    <row r="41886" customFormat="1" x14ac:dyDescent="0.2"/>
    <row r="41887" customFormat="1" x14ac:dyDescent="0.2"/>
    <row r="41888" customFormat="1" x14ac:dyDescent="0.2"/>
    <row r="41889" customFormat="1" x14ac:dyDescent="0.2"/>
    <row r="41890" customFormat="1" x14ac:dyDescent="0.2"/>
    <row r="41891" customFormat="1" x14ac:dyDescent="0.2"/>
    <row r="41892" customFormat="1" x14ac:dyDescent="0.2"/>
    <row r="41893" customFormat="1" x14ac:dyDescent="0.2"/>
    <row r="41894" customFormat="1" x14ac:dyDescent="0.2"/>
    <row r="41895" customFormat="1" x14ac:dyDescent="0.2"/>
    <row r="41896" customFormat="1" x14ac:dyDescent="0.2"/>
    <row r="41897" customFormat="1" x14ac:dyDescent="0.2"/>
    <row r="41898" customFormat="1" x14ac:dyDescent="0.2"/>
    <row r="41899" customFormat="1" x14ac:dyDescent="0.2"/>
    <row r="41900" customFormat="1" x14ac:dyDescent="0.2"/>
    <row r="41901" customFormat="1" x14ac:dyDescent="0.2"/>
    <row r="41902" customFormat="1" x14ac:dyDescent="0.2"/>
    <row r="41903" customFormat="1" x14ac:dyDescent="0.2"/>
    <row r="41904" customFormat="1" x14ac:dyDescent="0.2"/>
    <row r="41905" customFormat="1" x14ac:dyDescent="0.2"/>
    <row r="41906" customFormat="1" x14ac:dyDescent="0.2"/>
    <row r="41907" customFormat="1" x14ac:dyDescent="0.2"/>
    <row r="41908" customFormat="1" x14ac:dyDescent="0.2"/>
    <row r="41909" customFormat="1" x14ac:dyDescent="0.2"/>
    <row r="41910" customFormat="1" x14ac:dyDescent="0.2"/>
    <row r="41911" customFormat="1" x14ac:dyDescent="0.2"/>
    <row r="41912" customFormat="1" x14ac:dyDescent="0.2"/>
    <row r="41913" customFormat="1" x14ac:dyDescent="0.2"/>
    <row r="41914" customFormat="1" x14ac:dyDescent="0.2"/>
    <row r="41915" customFormat="1" x14ac:dyDescent="0.2"/>
    <row r="41916" customFormat="1" x14ac:dyDescent="0.2"/>
    <row r="41917" customFormat="1" x14ac:dyDescent="0.2"/>
    <row r="41918" customFormat="1" x14ac:dyDescent="0.2"/>
    <row r="41919" customFormat="1" x14ac:dyDescent="0.2"/>
    <row r="41920" customFormat="1" x14ac:dyDescent="0.2"/>
    <row r="41921" customFormat="1" x14ac:dyDescent="0.2"/>
    <row r="41922" customFormat="1" x14ac:dyDescent="0.2"/>
    <row r="41923" customFormat="1" x14ac:dyDescent="0.2"/>
    <row r="41924" customFormat="1" x14ac:dyDescent="0.2"/>
    <row r="41925" customFormat="1" x14ac:dyDescent="0.2"/>
    <row r="41926" customFormat="1" x14ac:dyDescent="0.2"/>
    <row r="41927" customFormat="1" x14ac:dyDescent="0.2"/>
    <row r="41928" customFormat="1" x14ac:dyDescent="0.2"/>
    <row r="41929" customFormat="1" x14ac:dyDescent="0.2"/>
    <row r="41930" customFormat="1" x14ac:dyDescent="0.2"/>
    <row r="41931" customFormat="1" x14ac:dyDescent="0.2"/>
    <row r="41932" customFormat="1" x14ac:dyDescent="0.2"/>
    <row r="41933" customFormat="1" x14ac:dyDescent="0.2"/>
    <row r="41934" customFormat="1" x14ac:dyDescent="0.2"/>
    <row r="41935" customFormat="1" x14ac:dyDescent="0.2"/>
    <row r="41936" customFormat="1" x14ac:dyDescent="0.2"/>
    <row r="41937" customFormat="1" x14ac:dyDescent="0.2"/>
    <row r="41938" customFormat="1" x14ac:dyDescent="0.2"/>
    <row r="41939" customFormat="1" x14ac:dyDescent="0.2"/>
    <row r="41940" customFormat="1" x14ac:dyDescent="0.2"/>
    <row r="41941" customFormat="1" x14ac:dyDescent="0.2"/>
    <row r="41942" customFormat="1" x14ac:dyDescent="0.2"/>
    <row r="41943" customFormat="1" x14ac:dyDescent="0.2"/>
    <row r="41944" customFormat="1" x14ac:dyDescent="0.2"/>
    <row r="41945" customFormat="1" x14ac:dyDescent="0.2"/>
    <row r="41946" customFormat="1" x14ac:dyDescent="0.2"/>
    <row r="41947" customFormat="1" x14ac:dyDescent="0.2"/>
    <row r="41948" customFormat="1" x14ac:dyDescent="0.2"/>
    <row r="41949" customFormat="1" x14ac:dyDescent="0.2"/>
    <row r="41950" customFormat="1" x14ac:dyDescent="0.2"/>
    <row r="41951" customFormat="1" x14ac:dyDescent="0.2"/>
    <row r="41952" customFormat="1" x14ac:dyDescent="0.2"/>
    <row r="41953" customFormat="1" x14ac:dyDescent="0.2"/>
    <row r="41954" customFormat="1" x14ac:dyDescent="0.2"/>
    <row r="41955" customFormat="1" x14ac:dyDescent="0.2"/>
    <row r="41956" customFormat="1" x14ac:dyDescent="0.2"/>
    <row r="41957" customFormat="1" x14ac:dyDescent="0.2"/>
    <row r="41958" customFormat="1" x14ac:dyDescent="0.2"/>
    <row r="41959" customFormat="1" x14ac:dyDescent="0.2"/>
    <row r="41960" customFormat="1" x14ac:dyDescent="0.2"/>
    <row r="41961" customFormat="1" x14ac:dyDescent="0.2"/>
    <row r="41962" customFormat="1" x14ac:dyDescent="0.2"/>
    <row r="41963" customFormat="1" x14ac:dyDescent="0.2"/>
    <row r="41964" customFormat="1" x14ac:dyDescent="0.2"/>
    <row r="41965" customFormat="1" x14ac:dyDescent="0.2"/>
    <row r="41966" customFormat="1" x14ac:dyDescent="0.2"/>
    <row r="41967" customFormat="1" x14ac:dyDescent="0.2"/>
    <row r="41968" customFormat="1" x14ac:dyDescent="0.2"/>
    <row r="41969" customFormat="1" x14ac:dyDescent="0.2"/>
    <row r="41970" customFormat="1" x14ac:dyDescent="0.2"/>
    <row r="41971" customFormat="1" x14ac:dyDescent="0.2"/>
    <row r="41972" customFormat="1" x14ac:dyDescent="0.2"/>
    <row r="41973" customFormat="1" x14ac:dyDescent="0.2"/>
    <row r="41974" customFormat="1" x14ac:dyDescent="0.2"/>
    <row r="41975" customFormat="1" x14ac:dyDescent="0.2"/>
    <row r="41976" customFormat="1" x14ac:dyDescent="0.2"/>
    <row r="41977" customFormat="1" x14ac:dyDescent="0.2"/>
    <row r="41978" customFormat="1" x14ac:dyDescent="0.2"/>
    <row r="41979" customFormat="1" x14ac:dyDescent="0.2"/>
    <row r="41980" customFormat="1" x14ac:dyDescent="0.2"/>
    <row r="41981" customFormat="1" x14ac:dyDescent="0.2"/>
    <row r="41982" customFormat="1" x14ac:dyDescent="0.2"/>
    <row r="41983" customFormat="1" x14ac:dyDescent="0.2"/>
    <row r="41984" customFormat="1" x14ac:dyDescent="0.2"/>
    <row r="41985" customFormat="1" x14ac:dyDescent="0.2"/>
    <row r="41986" customFormat="1" x14ac:dyDescent="0.2"/>
    <row r="41987" customFormat="1" x14ac:dyDescent="0.2"/>
    <row r="41988" customFormat="1" x14ac:dyDescent="0.2"/>
    <row r="41989" customFormat="1" x14ac:dyDescent="0.2"/>
    <row r="41990" customFormat="1" x14ac:dyDescent="0.2"/>
    <row r="41991" customFormat="1" x14ac:dyDescent="0.2"/>
    <row r="41992" customFormat="1" x14ac:dyDescent="0.2"/>
    <row r="41993" customFormat="1" x14ac:dyDescent="0.2"/>
    <row r="41994" customFormat="1" x14ac:dyDescent="0.2"/>
    <row r="41995" customFormat="1" x14ac:dyDescent="0.2"/>
    <row r="41996" customFormat="1" x14ac:dyDescent="0.2"/>
    <row r="41997" customFormat="1" x14ac:dyDescent="0.2"/>
    <row r="41998" customFormat="1" x14ac:dyDescent="0.2"/>
    <row r="41999" customFormat="1" x14ac:dyDescent="0.2"/>
    <row r="42000" customFormat="1" x14ac:dyDescent="0.2"/>
    <row r="42001" customFormat="1" x14ac:dyDescent="0.2"/>
    <row r="42002" customFormat="1" x14ac:dyDescent="0.2"/>
    <row r="42003" customFormat="1" x14ac:dyDescent="0.2"/>
    <row r="42004" customFormat="1" x14ac:dyDescent="0.2"/>
    <row r="42005" customFormat="1" x14ac:dyDescent="0.2"/>
    <row r="42006" customFormat="1" x14ac:dyDescent="0.2"/>
    <row r="42007" customFormat="1" x14ac:dyDescent="0.2"/>
    <row r="42008" customFormat="1" x14ac:dyDescent="0.2"/>
    <row r="42009" customFormat="1" x14ac:dyDescent="0.2"/>
    <row r="42010" customFormat="1" x14ac:dyDescent="0.2"/>
    <row r="42011" customFormat="1" x14ac:dyDescent="0.2"/>
    <row r="42012" customFormat="1" x14ac:dyDescent="0.2"/>
    <row r="42013" customFormat="1" x14ac:dyDescent="0.2"/>
    <row r="42014" customFormat="1" x14ac:dyDescent="0.2"/>
    <row r="42015" customFormat="1" x14ac:dyDescent="0.2"/>
    <row r="42016" customFormat="1" x14ac:dyDescent="0.2"/>
    <row r="42017" customFormat="1" x14ac:dyDescent="0.2"/>
    <row r="42018" customFormat="1" x14ac:dyDescent="0.2"/>
    <row r="42019" customFormat="1" x14ac:dyDescent="0.2"/>
    <row r="42020" customFormat="1" x14ac:dyDescent="0.2"/>
    <row r="42021" customFormat="1" x14ac:dyDescent="0.2"/>
    <row r="42022" customFormat="1" x14ac:dyDescent="0.2"/>
    <row r="42023" customFormat="1" x14ac:dyDescent="0.2"/>
    <row r="42024" customFormat="1" x14ac:dyDescent="0.2"/>
    <row r="42025" customFormat="1" x14ac:dyDescent="0.2"/>
    <row r="42026" customFormat="1" x14ac:dyDescent="0.2"/>
    <row r="42027" customFormat="1" x14ac:dyDescent="0.2"/>
    <row r="42028" customFormat="1" x14ac:dyDescent="0.2"/>
    <row r="42029" customFormat="1" x14ac:dyDescent="0.2"/>
    <row r="42030" customFormat="1" x14ac:dyDescent="0.2"/>
    <row r="42031" customFormat="1" x14ac:dyDescent="0.2"/>
    <row r="42032" customFormat="1" x14ac:dyDescent="0.2"/>
    <row r="42033" customFormat="1" x14ac:dyDescent="0.2"/>
    <row r="42034" customFormat="1" x14ac:dyDescent="0.2"/>
    <row r="42035" customFormat="1" x14ac:dyDescent="0.2"/>
    <row r="42036" customFormat="1" x14ac:dyDescent="0.2"/>
    <row r="42037" customFormat="1" x14ac:dyDescent="0.2"/>
    <row r="42038" customFormat="1" x14ac:dyDescent="0.2"/>
    <row r="42039" customFormat="1" x14ac:dyDescent="0.2"/>
    <row r="42040" customFormat="1" x14ac:dyDescent="0.2"/>
    <row r="42041" customFormat="1" x14ac:dyDescent="0.2"/>
    <row r="42042" customFormat="1" x14ac:dyDescent="0.2"/>
    <row r="42043" customFormat="1" x14ac:dyDescent="0.2"/>
    <row r="42044" customFormat="1" x14ac:dyDescent="0.2"/>
    <row r="42045" customFormat="1" x14ac:dyDescent="0.2"/>
    <row r="42046" customFormat="1" x14ac:dyDescent="0.2"/>
    <row r="42047" customFormat="1" x14ac:dyDescent="0.2"/>
    <row r="42048" customFormat="1" x14ac:dyDescent="0.2"/>
    <row r="42049" customFormat="1" x14ac:dyDescent="0.2"/>
    <row r="42050" customFormat="1" x14ac:dyDescent="0.2"/>
    <row r="42051" customFormat="1" x14ac:dyDescent="0.2"/>
    <row r="42052" customFormat="1" x14ac:dyDescent="0.2"/>
    <row r="42053" customFormat="1" x14ac:dyDescent="0.2"/>
    <row r="42054" customFormat="1" x14ac:dyDescent="0.2"/>
    <row r="42055" customFormat="1" x14ac:dyDescent="0.2"/>
    <row r="42056" customFormat="1" x14ac:dyDescent="0.2"/>
    <row r="42057" customFormat="1" x14ac:dyDescent="0.2"/>
    <row r="42058" customFormat="1" x14ac:dyDescent="0.2"/>
    <row r="42059" customFormat="1" x14ac:dyDescent="0.2"/>
    <row r="42060" customFormat="1" x14ac:dyDescent="0.2"/>
    <row r="42061" customFormat="1" x14ac:dyDescent="0.2"/>
    <row r="42062" customFormat="1" x14ac:dyDescent="0.2"/>
    <row r="42063" customFormat="1" x14ac:dyDescent="0.2"/>
    <row r="42064" customFormat="1" x14ac:dyDescent="0.2"/>
    <row r="42065" customFormat="1" x14ac:dyDescent="0.2"/>
    <row r="42066" customFormat="1" x14ac:dyDescent="0.2"/>
    <row r="42067" customFormat="1" x14ac:dyDescent="0.2"/>
    <row r="42068" customFormat="1" x14ac:dyDescent="0.2"/>
    <row r="42069" customFormat="1" x14ac:dyDescent="0.2"/>
    <row r="42070" customFormat="1" x14ac:dyDescent="0.2"/>
    <row r="42071" customFormat="1" x14ac:dyDescent="0.2"/>
    <row r="42072" customFormat="1" x14ac:dyDescent="0.2"/>
    <row r="42073" customFormat="1" x14ac:dyDescent="0.2"/>
    <row r="42074" customFormat="1" x14ac:dyDescent="0.2"/>
    <row r="42075" customFormat="1" x14ac:dyDescent="0.2"/>
    <row r="42076" customFormat="1" x14ac:dyDescent="0.2"/>
    <row r="42077" customFormat="1" x14ac:dyDescent="0.2"/>
    <row r="42078" customFormat="1" x14ac:dyDescent="0.2"/>
    <row r="42079" customFormat="1" x14ac:dyDescent="0.2"/>
    <row r="42080" customFormat="1" x14ac:dyDescent="0.2"/>
    <row r="42081" customFormat="1" x14ac:dyDescent="0.2"/>
    <row r="42082" customFormat="1" x14ac:dyDescent="0.2"/>
    <row r="42083" customFormat="1" x14ac:dyDescent="0.2"/>
    <row r="42084" customFormat="1" x14ac:dyDescent="0.2"/>
    <row r="42085" customFormat="1" x14ac:dyDescent="0.2"/>
    <row r="42086" customFormat="1" x14ac:dyDescent="0.2"/>
    <row r="42087" customFormat="1" x14ac:dyDescent="0.2"/>
    <row r="42088" customFormat="1" x14ac:dyDescent="0.2"/>
    <row r="42089" customFormat="1" x14ac:dyDescent="0.2"/>
    <row r="42090" customFormat="1" x14ac:dyDescent="0.2"/>
    <row r="42091" customFormat="1" x14ac:dyDescent="0.2"/>
    <row r="42092" customFormat="1" x14ac:dyDescent="0.2"/>
    <row r="42093" customFormat="1" x14ac:dyDescent="0.2"/>
    <row r="42094" customFormat="1" x14ac:dyDescent="0.2"/>
    <row r="42095" customFormat="1" x14ac:dyDescent="0.2"/>
    <row r="42096" customFormat="1" x14ac:dyDescent="0.2"/>
    <row r="42097" customFormat="1" x14ac:dyDescent="0.2"/>
    <row r="42098" customFormat="1" x14ac:dyDescent="0.2"/>
    <row r="42099" customFormat="1" x14ac:dyDescent="0.2"/>
    <row r="42100" customFormat="1" x14ac:dyDescent="0.2"/>
    <row r="42101" customFormat="1" x14ac:dyDescent="0.2"/>
    <row r="42102" customFormat="1" x14ac:dyDescent="0.2"/>
    <row r="42103" customFormat="1" x14ac:dyDescent="0.2"/>
    <row r="42104" customFormat="1" x14ac:dyDescent="0.2"/>
    <row r="42105" customFormat="1" x14ac:dyDescent="0.2"/>
    <row r="42106" customFormat="1" x14ac:dyDescent="0.2"/>
    <row r="42107" customFormat="1" x14ac:dyDescent="0.2"/>
    <row r="42108" customFormat="1" x14ac:dyDescent="0.2"/>
    <row r="42109" customFormat="1" x14ac:dyDescent="0.2"/>
    <row r="42110" customFormat="1" x14ac:dyDescent="0.2"/>
    <row r="42111" customFormat="1" x14ac:dyDescent="0.2"/>
    <row r="42112" customFormat="1" x14ac:dyDescent="0.2"/>
    <row r="42113" customFormat="1" x14ac:dyDescent="0.2"/>
    <row r="42114" customFormat="1" x14ac:dyDescent="0.2"/>
    <row r="42115" customFormat="1" x14ac:dyDescent="0.2"/>
    <row r="42116" customFormat="1" x14ac:dyDescent="0.2"/>
    <row r="42117" customFormat="1" x14ac:dyDescent="0.2"/>
    <row r="42118" customFormat="1" x14ac:dyDescent="0.2"/>
    <row r="42119" customFormat="1" x14ac:dyDescent="0.2"/>
    <row r="42120" customFormat="1" x14ac:dyDescent="0.2"/>
    <row r="42121" customFormat="1" x14ac:dyDescent="0.2"/>
    <row r="42122" customFormat="1" x14ac:dyDescent="0.2"/>
    <row r="42123" customFormat="1" x14ac:dyDescent="0.2"/>
    <row r="42124" customFormat="1" x14ac:dyDescent="0.2"/>
    <row r="42125" customFormat="1" x14ac:dyDescent="0.2"/>
    <row r="42126" customFormat="1" x14ac:dyDescent="0.2"/>
    <row r="42127" customFormat="1" x14ac:dyDescent="0.2"/>
    <row r="42128" customFormat="1" x14ac:dyDescent="0.2"/>
    <row r="42129" customFormat="1" x14ac:dyDescent="0.2"/>
    <row r="42130" customFormat="1" x14ac:dyDescent="0.2"/>
    <row r="42131" customFormat="1" x14ac:dyDescent="0.2"/>
    <row r="42132" customFormat="1" x14ac:dyDescent="0.2"/>
    <row r="42133" customFormat="1" x14ac:dyDescent="0.2"/>
    <row r="42134" customFormat="1" x14ac:dyDescent="0.2"/>
    <row r="42135" customFormat="1" x14ac:dyDescent="0.2"/>
    <row r="42136" customFormat="1" x14ac:dyDescent="0.2"/>
    <row r="42137" customFormat="1" x14ac:dyDescent="0.2"/>
    <row r="42138" customFormat="1" x14ac:dyDescent="0.2"/>
    <row r="42139" customFormat="1" x14ac:dyDescent="0.2"/>
    <row r="42140" customFormat="1" x14ac:dyDescent="0.2"/>
    <row r="42141" customFormat="1" x14ac:dyDescent="0.2"/>
    <row r="42142" customFormat="1" x14ac:dyDescent="0.2"/>
    <row r="42143" customFormat="1" x14ac:dyDescent="0.2"/>
    <row r="42144" customFormat="1" x14ac:dyDescent="0.2"/>
    <row r="42145" customFormat="1" x14ac:dyDescent="0.2"/>
    <row r="42146" customFormat="1" x14ac:dyDescent="0.2"/>
    <row r="42147" customFormat="1" x14ac:dyDescent="0.2"/>
    <row r="42148" customFormat="1" x14ac:dyDescent="0.2"/>
    <row r="42149" customFormat="1" x14ac:dyDescent="0.2"/>
    <row r="42150" customFormat="1" x14ac:dyDescent="0.2"/>
    <row r="42151" customFormat="1" x14ac:dyDescent="0.2"/>
    <row r="42152" customFormat="1" x14ac:dyDescent="0.2"/>
    <row r="42153" customFormat="1" x14ac:dyDescent="0.2"/>
    <row r="42154" customFormat="1" x14ac:dyDescent="0.2"/>
    <row r="42155" customFormat="1" x14ac:dyDescent="0.2"/>
    <row r="42156" customFormat="1" x14ac:dyDescent="0.2"/>
    <row r="42157" customFormat="1" x14ac:dyDescent="0.2"/>
    <row r="42158" customFormat="1" x14ac:dyDescent="0.2"/>
    <row r="42159" customFormat="1" x14ac:dyDescent="0.2"/>
    <row r="42160" customFormat="1" x14ac:dyDescent="0.2"/>
    <row r="42161" customFormat="1" x14ac:dyDescent="0.2"/>
    <row r="42162" customFormat="1" x14ac:dyDescent="0.2"/>
    <row r="42163" customFormat="1" x14ac:dyDescent="0.2"/>
    <row r="42164" customFormat="1" x14ac:dyDescent="0.2"/>
    <row r="42165" customFormat="1" x14ac:dyDescent="0.2"/>
    <row r="42166" customFormat="1" x14ac:dyDescent="0.2"/>
    <row r="42167" customFormat="1" x14ac:dyDescent="0.2"/>
    <row r="42168" customFormat="1" x14ac:dyDescent="0.2"/>
    <row r="42169" customFormat="1" x14ac:dyDescent="0.2"/>
    <row r="42170" customFormat="1" x14ac:dyDescent="0.2"/>
    <row r="42171" customFormat="1" x14ac:dyDescent="0.2"/>
    <row r="42172" customFormat="1" x14ac:dyDescent="0.2"/>
    <row r="42173" customFormat="1" x14ac:dyDescent="0.2"/>
    <row r="42174" customFormat="1" x14ac:dyDescent="0.2"/>
    <row r="42175" customFormat="1" x14ac:dyDescent="0.2"/>
    <row r="42176" customFormat="1" x14ac:dyDescent="0.2"/>
    <row r="42177" customFormat="1" x14ac:dyDescent="0.2"/>
    <row r="42178" customFormat="1" x14ac:dyDescent="0.2"/>
    <row r="42179" customFormat="1" x14ac:dyDescent="0.2"/>
    <row r="42180" customFormat="1" x14ac:dyDescent="0.2"/>
    <row r="42181" customFormat="1" x14ac:dyDescent="0.2"/>
    <row r="42182" customFormat="1" x14ac:dyDescent="0.2"/>
    <row r="42183" customFormat="1" x14ac:dyDescent="0.2"/>
    <row r="42184" customFormat="1" x14ac:dyDescent="0.2"/>
    <row r="42185" customFormat="1" x14ac:dyDescent="0.2"/>
    <row r="42186" customFormat="1" x14ac:dyDescent="0.2"/>
    <row r="42187" customFormat="1" x14ac:dyDescent="0.2"/>
    <row r="42188" customFormat="1" x14ac:dyDescent="0.2"/>
    <row r="42189" customFormat="1" x14ac:dyDescent="0.2"/>
    <row r="42190" customFormat="1" x14ac:dyDescent="0.2"/>
    <row r="42191" customFormat="1" x14ac:dyDescent="0.2"/>
    <row r="42192" customFormat="1" x14ac:dyDescent="0.2"/>
    <row r="42193" customFormat="1" x14ac:dyDescent="0.2"/>
    <row r="42194" customFormat="1" x14ac:dyDescent="0.2"/>
    <row r="42195" customFormat="1" x14ac:dyDescent="0.2"/>
    <row r="42196" customFormat="1" x14ac:dyDescent="0.2"/>
    <row r="42197" customFormat="1" x14ac:dyDescent="0.2"/>
    <row r="42198" customFormat="1" x14ac:dyDescent="0.2"/>
    <row r="42199" customFormat="1" x14ac:dyDescent="0.2"/>
    <row r="42200" customFormat="1" x14ac:dyDescent="0.2"/>
    <row r="42201" customFormat="1" x14ac:dyDescent="0.2"/>
    <row r="42202" customFormat="1" x14ac:dyDescent="0.2"/>
    <row r="42203" customFormat="1" x14ac:dyDescent="0.2"/>
    <row r="42204" customFormat="1" x14ac:dyDescent="0.2"/>
    <row r="42205" customFormat="1" x14ac:dyDescent="0.2"/>
    <row r="42206" customFormat="1" x14ac:dyDescent="0.2"/>
    <row r="42207" customFormat="1" x14ac:dyDescent="0.2"/>
    <row r="42208" customFormat="1" x14ac:dyDescent="0.2"/>
    <row r="42209" customFormat="1" x14ac:dyDescent="0.2"/>
    <row r="42210" customFormat="1" x14ac:dyDescent="0.2"/>
    <row r="42211" customFormat="1" x14ac:dyDescent="0.2"/>
    <row r="42212" customFormat="1" x14ac:dyDescent="0.2"/>
    <row r="42213" customFormat="1" x14ac:dyDescent="0.2"/>
    <row r="42214" customFormat="1" x14ac:dyDescent="0.2"/>
    <row r="42215" customFormat="1" x14ac:dyDescent="0.2"/>
    <row r="42216" customFormat="1" x14ac:dyDescent="0.2"/>
    <row r="42217" customFormat="1" x14ac:dyDescent="0.2"/>
    <row r="42218" customFormat="1" x14ac:dyDescent="0.2"/>
    <row r="42219" customFormat="1" x14ac:dyDescent="0.2"/>
    <row r="42220" customFormat="1" x14ac:dyDescent="0.2"/>
    <row r="42221" customFormat="1" x14ac:dyDescent="0.2"/>
    <row r="42222" customFormat="1" x14ac:dyDescent="0.2"/>
    <row r="42223" customFormat="1" x14ac:dyDescent="0.2"/>
    <row r="42224" customFormat="1" x14ac:dyDescent="0.2"/>
    <row r="42225" customFormat="1" x14ac:dyDescent="0.2"/>
    <row r="42226" customFormat="1" x14ac:dyDescent="0.2"/>
    <row r="42227" customFormat="1" x14ac:dyDescent="0.2"/>
    <row r="42228" customFormat="1" x14ac:dyDescent="0.2"/>
    <row r="42229" customFormat="1" x14ac:dyDescent="0.2"/>
    <row r="42230" customFormat="1" x14ac:dyDescent="0.2"/>
    <row r="42231" customFormat="1" x14ac:dyDescent="0.2"/>
    <row r="42232" customFormat="1" x14ac:dyDescent="0.2"/>
    <row r="42233" customFormat="1" x14ac:dyDescent="0.2"/>
    <row r="42234" customFormat="1" x14ac:dyDescent="0.2"/>
    <row r="42235" customFormat="1" x14ac:dyDescent="0.2"/>
    <row r="42236" customFormat="1" x14ac:dyDescent="0.2"/>
    <row r="42237" customFormat="1" x14ac:dyDescent="0.2"/>
    <row r="42238" customFormat="1" x14ac:dyDescent="0.2"/>
    <row r="42239" customFormat="1" x14ac:dyDescent="0.2"/>
    <row r="42240" customFormat="1" x14ac:dyDescent="0.2"/>
    <row r="42241" customFormat="1" x14ac:dyDescent="0.2"/>
    <row r="42242" customFormat="1" x14ac:dyDescent="0.2"/>
    <row r="42243" customFormat="1" x14ac:dyDescent="0.2"/>
    <row r="42244" customFormat="1" x14ac:dyDescent="0.2"/>
    <row r="42245" customFormat="1" x14ac:dyDescent="0.2"/>
    <row r="42246" customFormat="1" x14ac:dyDescent="0.2"/>
    <row r="42247" customFormat="1" x14ac:dyDescent="0.2"/>
    <row r="42248" customFormat="1" x14ac:dyDescent="0.2"/>
    <row r="42249" customFormat="1" x14ac:dyDescent="0.2"/>
    <row r="42250" customFormat="1" x14ac:dyDescent="0.2"/>
    <row r="42251" customFormat="1" x14ac:dyDescent="0.2"/>
    <row r="42252" customFormat="1" x14ac:dyDescent="0.2"/>
    <row r="42253" customFormat="1" x14ac:dyDescent="0.2"/>
    <row r="42254" customFormat="1" x14ac:dyDescent="0.2"/>
    <row r="42255" customFormat="1" x14ac:dyDescent="0.2"/>
    <row r="42256" customFormat="1" x14ac:dyDescent="0.2"/>
    <row r="42257" customFormat="1" x14ac:dyDescent="0.2"/>
    <row r="42258" customFormat="1" x14ac:dyDescent="0.2"/>
    <row r="42259" customFormat="1" x14ac:dyDescent="0.2"/>
    <row r="42260" customFormat="1" x14ac:dyDescent="0.2"/>
    <row r="42261" customFormat="1" x14ac:dyDescent="0.2"/>
    <row r="42262" customFormat="1" x14ac:dyDescent="0.2"/>
    <row r="42263" customFormat="1" x14ac:dyDescent="0.2"/>
    <row r="42264" customFormat="1" x14ac:dyDescent="0.2"/>
    <row r="42265" customFormat="1" x14ac:dyDescent="0.2"/>
    <row r="42266" customFormat="1" x14ac:dyDescent="0.2"/>
    <row r="42267" customFormat="1" x14ac:dyDescent="0.2"/>
    <row r="42268" customFormat="1" x14ac:dyDescent="0.2"/>
    <row r="42269" customFormat="1" x14ac:dyDescent="0.2"/>
    <row r="42270" customFormat="1" x14ac:dyDescent="0.2"/>
    <row r="42271" customFormat="1" x14ac:dyDescent="0.2"/>
    <row r="42272" customFormat="1" x14ac:dyDescent="0.2"/>
    <row r="42273" customFormat="1" x14ac:dyDescent="0.2"/>
    <row r="42274" customFormat="1" x14ac:dyDescent="0.2"/>
    <row r="42275" customFormat="1" x14ac:dyDescent="0.2"/>
    <row r="42276" customFormat="1" x14ac:dyDescent="0.2"/>
    <row r="42277" customFormat="1" x14ac:dyDescent="0.2"/>
    <row r="42278" customFormat="1" x14ac:dyDescent="0.2"/>
    <row r="42279" customFormat="1" x14ac:dyDescent="0.2"/>
    <row r="42280" customFormat="1" x14ac:dyDescent="0.2"/>
    <row r="42281" customFormat="1" x14ac:dyDescent="0.2"/>
    <row r="42282" customFormat="1" x14ac:dyDescent="0.2"/>
    <row r="42283" customFormat="1" x14ac:dyDescent="0.2"/>
    <row r="42284" customFormat="1" x14ac:dyDescent="0.2"/>
    <row r="42285" customFormat="1" x14ac:dyDescent="0.2"/>
    <row r="42286" customFormat="1" x14ac:dyDescent="0.2"/>
    <row r="42287" customFormat="1" x14ac:dyDescent="0.2"/>
    <row r="42288" customFormat="1" x14ac:dyDescent="0.2"/>
    <row r="42289" customFormat="1" x14ac:dyDescent="0.2"/>
    <row r="42290" customFormat="1" x14ac:dyDescent="0.2"/>
    <row r="42291" customFormat="1" x14ac:dyDescent="0.2"/>
    <row r="42292" customFormat="1" x14ac:dyDescent="0.2"/>
    <row r="42293" customFormat="1" x14ac:dyDescent="0.2"/>
    <row r="42294" customFormat="1" x14ac:dyDescent="0.2"/>
    <row r="42295" customFormat="1" x14ac:dyDescent="0.2"/>
    <row r="42296" customFormat="1" x14ac:dyDescent="0.2"/>
    <row r="42297" customFormat="1" x14ac:dyDescent="0.2"/>
    <row r="42298" customFormat="1" x14ac:dyDescent="0.2"/>
    <row r="42299" customFormat="1" x14ac:dyDescent="0.2"/>
    <row r="42300" customFormat="1" x14ac:dyDescent="0.2"/>
    <row r="42301" customFormat="1" x14ac:dyDescent="0.2"/>
    <row r="42302" customFormat="1" x14ac:dyDescent="0.2"/>
    <row r="42303" customFormat="1" x14ac:dyDescent="0.2"/>
    <row r="42304" customFormat="1" x14ac:dyDescent="0.2"/>
    <row r="42305" customFormat="1" x14ac:dyDescent="0.2"/>
    <row r="42306" customFormat="1" x14ac:dyDescent="0.2"/>
    <row r="42307" customFormat="1" x14ac:dyDescent="0.2"/>
    <row r="42308" customFormat="1" x14ac:dyDescent="0.2"/>
    <row r="42309" customFormat="1" x14ac:dyDescent="0.2"/>
    <row r="42310" customFormat="1" x14ac:dyDescent="0.2"/>
    <row r="42311" customFormat="1" x14ac:dyDescent="0.2"/>
    <row r="42312" customFormat="1" x14ac:dyDescent="0.2"/>
    <row r="42313" customFormat="1" x14ac:dyDescent="0.2"/>
    <row r="42314" customFormat="1" x14ac:dyDescent="0.2"/>
    <row r="42315" customFormat="1" x14ac:dyDescent="0.2"/>
    <row r="42316" customFormat="1" x14ac:dyDescent="0.2"/>
    <row r="42317" customFormat="1" x14ac:dyDescent="0.2"/>
    <row r="42318" customFormat="1" x14ac:dyDescent="0.2"/>
    <row r="42319" customFormat="1" x14ac:dyDescent="0.2"/>
    <row r="42320" customFormat="1" x14ac:dyDescent="0.2"/>
    <row r="42321" customFormat="1" x14ac:dyDescent="0.2"/>
    <row r="42322" customFormat="1" x14ac:dyDescent="0.2"/>
    <row r="42323" customFormat="1" x14ac:dyDescent="0.2"/>
    <row r="42324" customFormat="1" x14ac:dyDescent="0.2"/>
    <row r="42325" customFormat="1" x14ac:dyDescent="0.2"/>
    <row r="42326" customFormat="1" x14ac:dyDescent="0.2"/>
    <row r="42327" customFormat="1" x14ac:dyDescent="0.2"/>
    <row r="42328" customFormat="1" x14ac:dyDescent="0.2"/>
    <row r="42329" customFormat="1" x14ac:dyDescent="0.2"/>
    <row r="42330" customFormat="1" x14ac:dyDescent="0.2"/>
    <row r="42331" customFormat="1" x14ac:dyDescent="0.2"/>
    <row r="42332" customFormat="1" x14ac:dyDescent="0.2"/>
    <row r="42333" customFormat="1" x14ac:dyDescent="0.2"/>
    <row r="42334" customFormat="1" x14ac:dyDescent="0.2"/>
    <row r="42335" customFormat="1" x14ac:dyDescent="0.2"/>
    <row r="42336" customFormat="1" x14ac:dyDescent="0.2"/>
    <row r="42337" customFormat="1" x14ac:dyDescent="0.2"/>
    <row r="42338" customFormat="1" x14ac:dyDescent="0.2"/>
    <row r="42339" customFormat="1" x14ac:dyDescent="0.2"/>
    <row r="42340" customFormat="1" x14ac:dyDescent="0.2"/>
    <row r="42341" customFormat="1" x14ac:dyDescent="0.2"/>
    <row r="42342" customFormat="1" x14ac:dyDescent="0.2"/>
    <row r="42343" customFormat="1" x14ac:dyDescent="0.2"/>
    <row r="42344" customFormat="1" x14ac:dyDescent="0.2"/>
    <row r="42345" customFormat="1" x14ac:dyDescent="0.2"/>
    <row r="42346" customFormat="1" x14ac:dyDescent="0.2"/>
    <row r="42347" customFormat="1" x14ac:dyDescent="0.2"/>
    <row r="42348" customFormat="1" x14ac:dyDescent="0.2"/>
    <row r="42349" customFormat="1" x14ac:dyDescent="0.2"/>
    <row r="42350" customFormat="1" x14ac:dyDescent="0.2"/>
    <row r="42351" customFormat="1" x14ac:dyDescent="0.2"/>
    <row r="42352" customFormat="1" x14ac:dyDescent="0.2"/>
    <row r="42353" customFormat="1" x14ac:dyDescent="0.2"/>
    <row r="42354" customFormat="1" x14ac:dyDescent="0.2"/>
    <row r="42355" customFormat="1" x14ac:dyDescent="0.2"/>
    <row r="42356" customFormat="1" x14ac:dyDescent="0.2"/>
    <row r="42357" customFormat="1" x14ac:dyDescent="0.2"/>
    <row r="42358" customFormat="1" x14ac:dyDescent="0.2"/>
    <row r="42359" customFormat="1" x14ac:dyDescent="0.2"/>
    <row r="42360" customFormat="1" x14ac:dyDescent="0.2"/>
    <row r="42361" customFormat="1" x14ac:dyDescent="0.2"/>
    <row r="42362" customFormat="1" x14ac:dyDescent="0.2"/>
    <row r="42363" customFormat="1" x14ac:dyDescent="0.2"/>
    <row r="42364" customFormat="1" x14ac:dyDescent="0.2"/>
    <row r="42365" customFormat="1" x14ac:dyDescent="0.2"/>
    <row r="42366" customFormat="1" x14ac:dyDescent="0.2"/>
    <row r="42367" customFormat="1" x14ac:dyDescent="0.2"/>
    <row r="42368" customFormat="1" x14ac:dyDescent="0.2"/>
    <row r="42369" customFormat="1" x14ac:dyDescent="0.2"/>
    <row r="42370" customFormat="1" x14ac:dyDescent="0.2"/>
    <row r="42371" customFormat="1" x14ac:dyDescent="0.2"/>
    <row r="42372" customFormat="1" x14ac:dyDescent="0.2"/>
    <row r="42373" customFormat="1" x14ac:dyDescent="0.2"/>
    <row r="42374" customFormat="1" x14ac:dyDescent="0.2"/>
    <row r="42375" customFormat="1" x14ac:dyDescent="0.2"/>
    <row r="42376" customFormat="1" x14ac:dyDescent="0.2"/>
    <row r="42377" customFormat="1" x14ac:dyDescent="0.2"/>
    <row r="42378" customFormat="1" x14ac:dyDescent="0.2"/>
    <row r="42379" customFormat="1" x14ac:dyDescent="0.2"/>
    <row r="42380" customFormat="1" x14ac:dyDescent="0.2"/>
    <row r="42381" customFormat="1" x14ac:dyDescent="0.2"/>
    <row r="42382" customFormat="1" x14ac:dyDescent="0.2"/>
    <row r="42383" customFormat="1" x14ac:dyDescent="0.2"/>
    <row r="42384" customFormat="1" x14ac:dyDescent="0.2"/>
    <row r="42385" customFormat="1" x14ac:dyDescent="0.2"/>
    <row r="42386" customFormat="1" x14ac:dyDescent="0.2"/>
    <row r="42387" customFormat="1" x14ac:dyDescent="0.2"/>
    <row r="42388" customFormat="1" x14ac:dyDescent="0.2"/>
    <row r="42389" customFormat="1" x14ac:dyDescent="0.2"/>
    <row r="42390" customFormat="1" x14ac:dyDescent="0.2"/>
    <row r="42391" customFormat="1" x14ac:dyDescent="0.2"/>
    <row r="42392" customFormat="1" x14ac:dyDescent="0.2"/>
    <row r="42393" customFormat="1" x14ac:dyDescent="0.2"/>
    <row r="42394" customFormat="1" x14ac:dyDescent="0.2"/>
    <row r="42395" customFormat="1" x14ac:dyDescent="0.2"/>
    <row r="42396" customFormat="1" x14ac:dyDescent="0.2"/>
    <row r="42397" customFormat="1" x14ac:dyDescent="0.2"/>
    <row r="42398" customFormat="1" x14ac:dyDescent="0.2"/>
    <row r="42399" customFormat="1" x14ac:dyDescent="0.2"/>
    <row r="42400" customFormat="1" x14ac:dyDescent="0.2"/>
    <row r="42401" customFormat="1" x14ac:dyDescent="0.2"/>
    <row r="42402" customFormat="1" x14ac:dyDescent="0.2"/>
    <row r="42403" customFormat="1" x14ac:dyDescent="0.2"/>
    <row r="42404" customFormat="1" x14ac:dyDescent="0.2"/>
    <row r="42405" customFormat="1" x14ac:dyDescent="0.2"/>
    <row r="42406" customFormat="1" x14ac:dyDescent="0.2"/>
    <row r="42407" customFormat="1" x14ac:dyDescent="0.2"/>
    <row r="42408" customFormat="1" x14ac:dyDescent="0.2"/>
    <row r="42409" customFormat="1" x14ac:dyDescent="0.2"/>
    <row r="42410" customFormat="1" x14ac:dyDescent="0.2"/>
    <row r="42411" customFormat="1" x14ac:dyDescent="0.2"/>
    <row r="42412" customFormat="1" x14ac:dyDescent="0.2"/>
    <row r="42413" customFormat="1" x14ac:dyDescent="0.2"/>
    <row r="42414" customFormat="1" x14ac:dyDescent="0.2"/>
    <row r="42415" customFormat="1" x14ac:dyDescent="0.2"/>
    <row r="42416" customFormat="1" x14ac:dyDescent="0.2"/>
    <row r="42417" customFormat="1" x14ac:dyDescent="0.2"/>
    <row r="42418" customFormat="1" x14ac:dyDescent="0.2"/>
    <row r="42419" customFormat="1" x14ac:dyDescent="0.2"/>
    <row r="42420" customFormat="1" x14ac:dyDescent="0.2"/>
    <row r="42421" customFormat="1" x14ac:dyDescent="0.2"/>
    <row r="42422" customFormat="1" x14ac:dyDescent="0.2"/>
    <row r="42423" customFormat="1" x14ac:dyDescent="0.2"/>
    <row r="42424" customFormat="1" x14ac:dyDescent="0.2"/>
    <row r="42425" customFormat="1" x14ac:dyDescent="0.2"/>
    <row r="42426" customFormat="1" x14ac:dyDescent="0.2"/>
    <row r="42427" customFormat="1" x14ac:dyDescent="0.2"/>
    <row r="42428" customFormat="1" x14ac:dyDescent="0.2"/>
    <row r="42429" customFormat="1" x14ac:dyDescent="0.2"/>
    <row r="42430" customFormat="1" x14ac:dyDescent="0.2"/>
    <row r="42431" customFormat="1" x14ac:dyDescent="0.2"/>
    <row r="42432" customFormat="1" x14ac:dyDescent="0.2"/>
    <row r="42433" customFormat="1" x14ac:dyDescent="0.2"/>
    <row r="42434" customFormat="1" x14ac:dyDescent="0.2"/>
    <row r="42435" customFormat="1" x14ac:dyDescent="0.2"/>
    <row r="42436" customFormat="1" x14ac:dyDescent="0.2"/>
    <row r="42437" customFormat="1" x14ac:dyDescent="0.2"/>
    <row r="42438" customFormat="1" x14ac:dyDescent="0.2"/>
    <row r="42439" customFormat="1" x14ac:dyDescent="0.2"/>
    <row r="42440" customFormat="1" x14ac:dyDescent="0.2"/>
    <row r="42441" customFormat="1" x14ac:dyDescent="0.2"/>
    <row r="42442" customFormat="1" x14ac:dyDescent="0.2"/>
    <row r="42443" customFormat="1" x14ac:dyDescent="0.2"/>
    <row r="42444" customFormat="1" x14ac:dyDescent="0.2"/>
    <row r="42445" customFormat="1" x14ac:dyDescent="0.2"/>
    <row r="42446" customFormat="1" x14ac:dyDescent="0.2"/>
    <row r="42447" customFormat="1" x14ac:dyDescent="0.2"/>
    <row r="42448" customFormat="1" x14ac:dyDescent="0.2"/>
    <row r="42449" customFormat="1" x14ac:dyDescent="0.2"/>
    <row r="42450" customFormat="1" x14ac:dyDescent="0.2"/>
    <row r="42451" customFormat="1" x14ac:dyDescent="0.2"/>
    <row r="42452" customFormat="1" x14ac:dyDescent="0.2"/>
    <row r="42453" customFormat="1" x14ac:dyDescent="0.2"/>
    <row r="42454" customFormat="1" x14ac:dyDescent="0.2"/>
    <row r="42455" customFormat="1" x14ac:dyDescent="0.2"/>
    <row r="42456" customFormat="1" x14ac:dyDescent="0.2"/>
    <row r="42457" customFormat="1" x14ac:dyDescent="0.2"/>
    <row r="42458" customFormat="1" x14ac:dyDescent="0.2"/>
    <row r="42459" customFormat="1" x14ac:dyDescent="0.2"/>
    <row r="42460" customFormat="1" x14ac:dyDescent="0.2"/>
    <row r="42461" customFormat="1" x14ac:dyDescent="0.2"/>
    <row r="42462" customFormat="1" x14ac:dyDescent="0.2"/>
    <row r="42463" customFormat="1" x14ac:dyDescent="0.2"/>
    <row r="42464" customFormat="1" x14ac:dyDescent="0.2"/>
    <row r="42465" customFormat="1" x14ac:dyDescent="0.2"/>
    <row r="42466" customFormat="1" x14ac:dyDescent="0.2"/>
    <row r="42467" customFormat="1" x14ac:dyDescent="0.2"/>
    <row r="42468" customFormat="1" x14ac:dyDescent="0.2"/>
    <row r="42469" customFormat="1" x14ac:dyDescent="0.2"/>
    <row r="42470" customFormat="1" x14ac:dyDescent="0.2"/>
    <row r="42471" customFormat="1" x14ac:dyDescent="0.2"/>
    <row r="42472" customFormat="1" x14ac:dyDescent="0.2"/>
    <row r="42473" customFormat="1" x14ac:dyDescent="0.2"/>
    <row r="42474" customFormat="1" x14ac:dyDescent="0.2"/>
    <row r="42475" customFormat="1" x14ac:dyDescent="0.2"/>
    <row r="42476" customFormat="1" x14ac:dyDescent="0.2"/>
    <row r="42477" customFormat="1" x14ac:dyDescent="0.2"/>
    <row r="42478" customFormat="1" x14ac:dyDescent="0.2"/>
    <row r="42479" customFormat="1" x14ac:dyDescent="0.2"/>
    <row r="42480" customFormat="1" x14ac:dyDescent="0.2"/>
    <row r="42481" customFormat="1" x14ac:dyDescent="0.2"/>
    <row r="42482" customFormat="1" x14ac:dyDescent="0.2"/>
    <row r="42483" customFormat="1" x14ac:dyDescent="0.2"/>
    <row r="42484" customFormat="1" x14ac:dyDescent="0.2"/>
    <row r="42485" customFormat="1" x14ac:dyDescent="0.2"/>
    <row r="42486" customFormat="1" x14ac:dyDescent="0.2"/>
    <row r="42487" customFormat="1" x14ac:dyDescent="0.2"/>
    <row r="42488" customFormat="1" x14ac:dyDescent="0.2"/>
    <row r="42489" customFormat="1" x14ac:dyDescent="0.2"/>
    <row r="42490" customFormat="1" x14ac:dyDescent="0.2"/>
    <row r="42491" customFormat="1" x14ac:dyDescent="0.2"/>
    <row r="42492" customFormat="1" x14ac:dyDescent="0.2"/>
    <row r="42493" customFormat="1" x14ac:dyDescent="0.2"/>
    <row r="42494" customFormat="1" x14ac:dyDescent="0.2"/>
    <row r="42495" customFormat="1" x14ac:dyDescent="0.2"/>
    <row r="42496" customFormat="1" x14ac:dyDescent="0.2"/>
    <row r="42497" customFormat="1" x14ac:dyDescent="0.2"/>
    <row r="42498" customFormat="1" x14ac:dyDescent="0.2"/>
    <row r="42499" customFormat="1" x14ac:dyDescent="0.2"/>
    <row r="42500" customFormat="1" x14ac:dyDescent="0.2"/>
    <row r="42501" customFormat="1" x14ac:dyDescent="0.2"/>
    <row r="42502" customFormat="1" x14ac:dyDescent="0.2"/>
    <row r="42503" customFormat="1" x14ac:dyDescent="0.2"/>
    <row r="42504" customFormat="1" x14ac:dyDescent="0.2"/>
    <row r="42505" customFormat="1" x14ac:dyDescent="0.2"/>
    <row r="42506" customFormat="1" x14ac:dyDescent="0.2"/>
    <row r="42507" customFormat="1" x14ac:dyDescent="0.2"/>
    <row r="42508" customFormat="1" x14ac:dyDescent="0.2"/>
    <row r="42509" customFormat="1" x14ac:dyDescent="0.2"/>
    <row r="42510" customFormat="1" x14ac:dyDescent="0.2"/>
    <row r="42511" customFormat="1" x14ac:dyDescent="0.2"/>
    <row r="42512" customFormat="1" x14ac:dyDescent="0.2"/>
    <row r="42513" customFormat="1" x14ac:dyDescent="0.2"/>
    <row r="42514" customFormat="1" x14ac:dyDescent="0.2"/>
    <row r="42515" customFormat="1" x14ac:dyDescent="0.2"/>
    <row r="42516" customFormat="1" x14ac:dyDescent="0.2"/>
    <row r="42517" customFormat="1" x14ac:dyDescent="0.2"/>
    <row r="42518" customFormat="1" x14ac:dyDescent="0.2"/>
    <row r="42519" customFormat="1" x14ac:dyDescent="0.2"/>
    <row r="42520" customFormat="1" x14ac:dyDescent="0.2"/>
    <row r="42521" customFormat="1" x14ac:dyDescent="0.2"/>
    <row r="42522" customFormat="1" x14ac:dyDescent="0.2"/>
    <row r="42523" customFormat="1" x14ac:dyDescent="0.2"/>
    <row r="42524" customFormat="1" x14ac:dyDescent="0.2"/>
    <row r="42525" customFormat="1" x14ac:dyDescent="0.2"/>
    <row r="42526" customFormat="1" x14ac:dyDescent="0.2"/>
    <row r="42527" customFormat="1" x14ac:dyDescent="0.2"/>
    <row r="42528" customFormat="1" x14ac:dyDescent="0.2"/>
    <row r="42529" customFormat="1" x14ac:dyDescent="0.2"/>
    <row r="42530" customFormat="1" x14ac:dyDescent="0.2"/>
    <row r="42531" customFormat="1" x14ac:dyDescent="0.2"/>
    <row r="42532" customFormat="1" x14ac:dyDescent="0.2"/>
    <row r="42533" customFormat="1" x14ac:dyDescent="0.2"/>
    <row r="42534" customFormat="1" x14ac:dyDescent="0.2"/>
    <row r="42535" customFormat="1" x14ac:dyDescent="0.2"/>
    <row r="42536" customFormat="1" x14ac:dyDescent="0.2"/>
    <row r="42537" customFormat="1" x14ac:dyDescent="0.2"/>
    <row r="42538" customFormat="1" x14ac:dyDescent="0.2"/>
    <row r="42539" customFormat="1" x14ac:dyDescent="0.2"/>
    <row r="42540" customFormat="1" x14ac:dyDescent="0.2"/>
    <row r="42541" customFormat="1" x14ac:dyDescent="0.2"/>
    <row r="42542" customFormat="1" x14ac:dyDescent="0.2"/>
    <row r="42543" customFormat="1" x14ac:dyDescent="0.2"/>
    <row r="42544" customFormat="1" x14ac:dyDescent="0.2"/>
    <row r="42545" customFormat="1" x14ac:dyDescent="0.2"/>
    <row r="42546" customFormat="1" x14ac:dyDescent="0.2"/>
    <row r="42547" customFormat="1" x14ac:dyDescent="0.2"/>
    <row r="42548" customFormat="1" x14ac:dyDescent="0.2"/>
    <row r="42549" customFormat="1" x14ac:dyDescent="0.2"/>
    <row r="42550" customFormat="1" x14ac:dyDescent="0.2"/>
    <row r="42551" customFormat="1" x14ac:dyDescent="0.2"/>
    <row r="42552" customFormat="1" x14ac:dyDescent="0.2"/>
    <row r="42553" customFormat="1" x14ac:dyDescent="0.2"/>
    <row r="42554" customFormat="1" x14ac:dyDescent="0.2"/>
    <row r="42555" customFormat="1" x14ac:dyDescent="0.2"/>
    <row r="42556" customFormat="1" x14ac:dyDescent="0.2"/>
    <row r="42557" customFormat="1" x14ac:dyDescent="0.2"/>
    <row r="42558" customFormat="1" x14ac:dyDescent="0.2"/>
    <row r="42559" customFormat="1" x14ac:dyDescent="0.2"/>
    <row r="42560" customFormat="1" x14ac:dyDescent="0.2"/>
    <row r="42561" customFormat="1" x14ac:dyDescent="0.2"/>
    <row r="42562" customFormat="1" x14ac:dyDescent="0.2"/>
    <row r="42563" customFormat="1" x14ac:dyDescent="0.2"/>
    <row r="42564" customFormat="1" x14ac:dyDescent="0.2"/>
    <row r="42565" customFormat="1" x14ac:dyDescent="0.2"/>
    <row r="42566" customFormat="1" x14ac:dyDescent="0.2"/>
    <row r="42567" customFormat="1" x14ac:dyDescent="0.2"/>
    <row r="42568" customFormat="1" x14ac:dyDescent="0.2"/>
    <row r="42569" customFormat="1" x14ac:dyDescent="0.2"/>
    <row r="42570" customFormat="1" x14ac:dyDescent="0.2"/>
    <row r="42571" customFormat="1" x14ac:dyDescent="0.2"/>
    <row r="42572" customFormat="1" x14ac:dyDescent="0.2"/>
    <row r="42573" customFormat="1" x14ac:dyDescent="0.2"/>
    <row r="42574" customFormat="1" x14ac:dyDescent="0.2"/>
    <row r="42575" customFormat="1" x14ac:dyDescent="0.2"/>
    <row r="42576" customFormat="1" x14ac:dyDescent="0.2"/>
    <row r="42577" customFormat="1" x14ac:dyDescent="0.2"/>
    <row r="42578" customFormat="1" x14ac:dyDescent="0.2"/>
    <row r="42579" customFormat="1" x14ac:dyDescent="0.2"/>
    <row r="42580" customFormat="1" x14ac:dyDescent="0.2"/>
    <row r="42581" customFormat="1" x14ac:dyDescent="0.2"/>
    <row r="42582" customFormat="1" x14ac:dyDescent="0.2"/>
    <row r="42583" customFormat="1" x14ac:dyDescent="0.2"/>
    <row r="42584" customFormat="1" x14ac:dyDescent="0.2"/>
    <row r="42585" customFormat="1" x14ac:dyDescent="0.2"/>
    <row r="42586" customFormat="1" x14ac:dyDescent="0.2"/>
    <row r="42587" customFormat="1" x14ac:dyDescent="0.2"/>
    <row r="42588" customFormat="1" x14ac:dyDescent="0.2"/>
    <row r="42589" customFormat="1" x14ac:dyDescent="0.2"/>
    <row r="42590" customFormat="1" x14ac:dyDescent="0.2"/>
    <row r="42591" customFormat="1" x14ac:dyDescent="0.2"/>
    <row r="42592" customFormat="1" x14ac:dyDescent="0.2"/>
    <row r="42593" customFormat="1" x14ac:dyDescent="0.2"/>
    <row r="42594" customFormat="1" x14ac:dyDescent="0.2"/>
    <row r="42595" customFormat="1" x14ac:dyDescent="0.2"/>
    <row r="42596" customFormat="1" x14ac:dyDescent="0.2"/>
    <row r="42597" customFormat="1" x14ac:dyDescent="0.2"/>
    <row r="42598" customFormat="1" x14ac:dyDescent="0.2"/>
    <row r="42599" customFormat="1" x14ac:dyDescent="0.2"/>
    <row r="42600" customFormat="1" x14ac:dyDescent="0.2"/>
    <row r="42601" customFormat="1" x14ac:dyDescent="0.2"/>
    <row r="42602" customFormat="1" x14ac:dyDescent="0.2"/>
    <row r="42603" customFormat="1" x14ac:dyDescent="0.2"/>
    <row r="42604" customFormat="1" x14ac:dyDescent="0.2"/>
    <row r="42605" customFormat="1" x14ac:dyDescent="0.2"/>
    <row r="42606" customFormat="1" x14ac:dyDescent="0.2"/>
    <row r="42607" customFormat="1" x14ac:dyDescent="0.2"/>
    <row r="42608" customFormat="1" x14ac:dyDescent="0.2"/>
    <row r="42609" customFormat="1" x14ac:dyDescent="0.2"/>
    <row r="42610" customFormat="1" x14ac:dyDescent="0.2"/>
    <row r="42611" customFormat="1" x14ac:dyDescent="0.2"/>
    <row r="42612" customFormat="1" x14ac:dyDescent="0.2"/>
    <row r="42613" customFormat="1" x14ac:dyDescent="0.2"/>
    <row r="42614" customFormat="1" x14ac:dyDescent="0.2"/>
    <row r="42615" customFormat="1" x14ac:dyDescent="0.2"/>
    <row r="42616" customFormat="1" x14ac:dyDescent="0.2"/>
    <row r="42617" customFormat="1" x14ac:dyDescent="0.2"/>
    <row r="42618" customFormat="1" x14ac:dyDescent="0.2"/>
    <row r="42619" customFormat="1" x14ac:dyDescent="0.2"/>
    <row r="42620" customFormat="1" x14ac:dyDescent="0.2"/>
    <row r="42621" customFormat="1" x14ac:dyDescent="0.2"/>
    <row r="42622" customFormat="1" x14ac:dyDescent="0.2"/>
    <row r="42623" customFormat="1" x14ac:dyDescent="0.2"/>
    <row r="42624" customFormat="1" x14ac:dyDescent="0.2"/>
    <row r="42625" customFormat="1" x14ac:dyDescent="0.2"/>
    <row r="42626" customFormat="1" x14ac:dyDescent="0.2"/>
    <row r="42627" customFormat="1" x14ac:dyDescent="0.2"/>
    <row r="42628" customFormat="1" x14ac:dyDescent="0.2"/>
    <row r="42629" customFormat="1" x14ac:dyDescent="0.2"/>
    <row r="42630" customFormat="1" x14ac:dyDescent="0.2"/>
    <row r="42631" customFormat="1" x14ac:dyDescent="0.2"/>
    <row r="42632" customFormat="1" x14ac:dyDescent="0.2"/>
    <row r="42633" customFormat="1" x14ac:dyDescent="0.2"/>
    <row r="42634" customFormat="1" x14ac:dyDescent="0.2"/>
    <row r="42635" customFormat="1" x14ac:dyDescent="0.2"/>
    <row r="42636" customFormat="1" x14ac:dyDescent="0.2"/>
    <row r="42637" customFormat="1" x14ac:dyDescent="0.2"/>
    <row r="42638" customFormat="1" x14ac:dyDescent="0.2"/>
    <row r="42639" customFormat="1" x14ac:dyDescent="0.2"/>
    <row r="42640" customFormat="1" x14ac:dyDescent="0.2"/>
    <row r="42641" customFormat="1" x14ac:dyDescent="0.2"/>
    <row r="42642" customFormat="1" x14ac:dyDescent="0.2"/>
    <row r="42643" customFormat="1" x14ac:dyDescent="0.2"/>
    <row r="42644" customFormat="1" x14ac:dyDescent="0.2"/>
    <row r="42645" customFormat="1" x14ac:dyDescent="0.2"/>
    <row r="42646" customFormat="1" x14ac:dyDescent="0.2"/>
    <row r="42647" customFormat="1" x14ac:dyDescent="0.2"/>
    <row r="42648" customFormat="1" x14ac:dyDescent="0.2"/>
    <row r="42649" customFormat="1" x14ac:dyDescent="0.2"/>
    <row r="42650" customFormat="1" x14ac:dyDescent="0.2"/>
    <row r="42651" customFormat="1" x14ac:dyDescent="0.2"/>
    <row r="42652" customFormat="1" x14ac:dyDescent="0.2"/>
    <row r="42653" customFormat="1" x14ac:dyDescent="0.2"/>
    <row r="42654" customFormat="1" x14ac:dyDescent="0.2"/>
    <row r="42655" customFormat="1" x14ac:dyDescent="0.2"/>
    <row r="42656" customFormat="1" x14ac:dyDescent="0.2"/>
    <row r="42657" customFormat="1" x14ac:dyDescent="0.2"/>
    <row r="42658" customFormat="1" x14ac:dyDescent="0.2"/>
    <row r="42659" customFormat="1" x14ac:dyDescent="0.2"/>
    <row r="42660" customFormat="1" x14ac:dyDescent="0.2"/>
    <row r="42661" customFormat="1" x14ac:dyDescent="0.2"/>
    <row r="42662" customFormat="1" x14ac:dyDescent="0.2"/>
    <row r="42663" customFormat="1" x14ac:dyDescent="0.2"/>
    <row r="42664" customFormat="1" x14ac:dyDescent="0.2"/>
    <row r="42665" customFormat="1" x14ac:dyDescent="0.2"/>
    <row r="42666" customFormat="1" x14ac:dyDescent="0.2"/>
    <row r="42667" customFormat="1" x14ac:dyDescent="0.2"/>
    <row r="42668" customFormat="1" x14ac:dyDescent="0.2"/>
    <row r="42669" customFormat="1" x14ac:dyDescent="0.2"/>
    <row r="42670" customFormat="1" x14ac:dyDescent="0.2"/>
    <row r="42671" customFormat="1" x14ac:dyDescent="0.2"/>
    <row r="42672" customFormat="1" x14ac:dyDescent="0.2"/>
    <row r="42673" customFormat="1" x14ac:dyDescent="0.2"/>
    <row r="42674" customFormat="1" x14ac:dyDescent="0.2"/>
    <row r="42675" customFormat="1" x14ac:dyDescent="0.2"/>
    <row r="42676" customFormat="1" x14ac:dyDescent="0.2"/>
    <row r="42677" customFormat="1" x14ac:dyDescent="0.2"/>
    <row r="42678" customFormat="1" x14ac:dyDescent="0.2"/>
    <row r="42679" customFormat="1" x14ac:dyDescent="0.2"/>
    <row r="42680" customFormat="1" x14ac:dyDescent="0.2"/>
    <row r="42681" customFormat="1" x14ac:dyDescent="0.2"/>
    <row r="42682" customFormat="1" x14ac:dyDescent="0.2"/>
    <row r="42683" customFormat="1" x14ac:dyDescent="0.2"/>
    <row r="42684" customFormat="1" x14ac:dyDescent="0.2"/>
    <row r="42685" customFormat="1" x14ac:dyDescent="0.2"/>
    <row r="42686" customFormat="1" x14ac:dyDescent="0.2"/>
    <row r="42687" customFormat="1" x14ac:dyDescent="0.2"/>
    <row r="42688" customFormat="1" x14ac:dyDescent="0.2"/>
    <row r="42689" customFormat="1" x14ac:dyDescent="0.2"/>
    <row r="42690" customFormat="1" x14ac:dyDescent="0.2"/>
    <row r="42691" customFormat="1" x14ac:dyDescent="0.2"/>
    <row r="42692" customFormat="1" x14ac:dyDescent="0.2"/>
    <row r="42693" customFormat="1" x14ac:dyDescent="0.2"/>
    <row r="42694" customFormat="1" x14ac:dyDescent="0.2"/>
    <row r="42695" customFormat="1" x14ac:dyDescent="0.2"/>
    <row r="42696" customFormat="1" x14ac:dyDescent="0.2"/>
    <row r="42697" customFormat="1" x14ac:dyDescent="0.2"/>
    <row r="42698" customFormat="1" x14ac:dyDescent="0.2"/>
    <row r="42699" customFormat="1" x14ac:dyDescent="0.2"/>
    <row r="42700" customFormat="1" x14ac:dyDescent="0.2"/>
    <row r="42701" customFormat="1" x14ac:dyDescent="0.2"/>
    <row r="42702" customFormat="1" x14ac:dyDescent="0.2"/>
    <row r="42703" customFormat="1" x14ac:dyDescent="0.2"/>
    <row r="42704" customFormat="1" x14ac:dyDescent="0.2"/>
    <row r="42705" customFormat="1" x14ac:dyDescent="0.2"/>
    <row r="42706" customFormat="1" x14ac:dyDescent="0.2"/>
    <row r="42707" customFormat="1" x14ac:dyDescent="0.2"/>
    <row r="42708" customFormat="1" x14ac:dyDescent="0.2"/>
    <row r="42709" customFormat="1" x14ac:dyDescent="0.2"/>
    <row r="42710" customFormat="1" x14ac:dyDescent="0.2"/>
    <row r="42711" customFormat="1" x14ac:dyDescent="0.2"/>
    <row r="42712" customFormat="1" x14ac:dyDescent="0.2"/>
    <row r="42713" customFormat="1" x14ac:dyDescent="0.2"/>
    <row r="42714" customFormat="1" x14ac:dyDescent="0.2"/>
    <row r="42715" customFormat="1" x14ac:dyDescent="0.2"/>
    <row r="42716" customFormat="1" x14ac:dyDescent="0.2"/>
    <row r="42717" customFormat="1" x14ac:dyDescent="0.2"/>
    <row r="42718" customFormat="1" x14ac:dyDescent="0.2"/>
    <row r="42719" customFormat="1" x14ac:dyDescent="0.2"/>
    <row r="42720" customFormat="1" x14ac:dyDescent="0.2"/>
    <row r="42721" customFormat="1" x14ac:dyDescent="0.2"/>
    <row r="42722" customFormat="1" x14ac:dyDescent="0.2"/>
    <row r="42723" customFormat="1" x14ac:dyDescent="0.2"/>
    <row r="42724" customFormat="1" x14ac:dyDescent="0.2"/>
    <row r="42725" customFormat="1" x14ac:dyDescent="0.2"/>
    <row r="42726" customFormat="1" x14ac:dyDescent="0.2"/>
    <row r="42727" customFormat="1" x14ac:dyDescent="0.2"/>
    <row r="42728" customFormat="1" x14ac:dyDescent="0.2"/>
    <row r="42729" customFormat="1" x14ac:dyDescent="0.2"/>
    <row r="42730" customFormat="1" x14ac:dyDescent="0.2"/>
    <row r="42731" customFormat="1" x14ac:dyDescent="0.2"/>
    <row r="42732" customFormat="1" x14ac:dyDescent="0.2"/>
    <row r="42733" customFormat="1" x14ac:dyDescent="0.2"/>
    <row r="42734" customFormat="1" x14ac:dyDescent="0.2"/>
    <row r="42735" customFormat="1" x14ac:dyDescent="0.2"/>
    <row r="42736" customFormat="1" x14ac:dyDescent="0.2"/>
    <row r="42737" customFormat="1" x14ac:dyDescent="0.2"/>
    <row r="42738" customFormat="1" x14ac:dyDescent="0.2"/>
    <row r="42739" customFormat="1" x14ac:dyDescent="0.2"/>
    <row r="42740" customFormat="1" x14ac:dyDescent="0.2"/>
    <row r="42741" customFormat="1" x14ac:dyDescent="0.2"/>
    <row r="42742" customFormat="1" x14ac:dyDescent="0.2"/>
    <row r="42743" customFormat="1" x14ac:dyDescent="0.2"/>
    <row r="42744" customFormat="1" x14ac:dyDescent="0.2"/>
    <row r="42745" customFormat="1" x14ac:dyDescent="0.2"/>
    <row r="42746" customFormat="1" x14ac:dyDescent="0.2"/>
    <row r="42747" customFormat="1" x14ac:dyDescent="0.2"/>
    <row r="42748" customFormat="1" x14ac:dyDescent="0.2"/>
    <row r="42749" customFormat="1" x14ac:dyDescent="0.2"/>
    <row r="42750" customFormat="1" x14ac:dyDescent="0.2"/>
    <row r="42751" customFormat="1" x14ac:dyDescent="0.2"/>
    <row r="42752" customFormat="1" x14ac:dyDescent="0.2"/>
    <row r="42753" customFormat="1" x14ac:dyDescent="0.2"/>
    <row r="42754" customFormat="1" x14ac:dyDescent="0.2"/>
    <row r="42755" customFormat="1" x14ac:dyDescent="0.2"/>
    <row r="42756" customFormat="1" x14ac:dyDescent="0.2"/>
    <row r="42757" customFormat="1" x14ac:dyDescent="0.2"/>
    <row r="42758" customFormat="1" x14ac:dyDescent="0.2"/>
    <row r="42759" customFormat="1" x14ac:dyDescent="0.2"/>
    <row r="42760" customFormat="1" x14ac:dyDescent="0.2"/>
    <row r="42761" customFormat="1" x14ac:dyDescent="0.2"/>
    <row r="42762" customFormat="1" x14ac:dyDescent="0.2"/>
    <row r="42763" customFormat="1" x14ac:dyDescent="0.2"/>
    <row r="42764" customFormat="1" x14ac:dyDescent="0.2"/>
    <row r="42765" customFormat="1" x14ac:dyDescent="0.2"/>
    <row r="42766" customFormat="1" x14ac:dyDescent="0.2"/>
    <row r="42767" customFormat="1" x14ac:dyDescent="0.2"/>
    <row r="42768" customFormat="1" x14ac:dyDescent="0.2"/>
    <row r="42769" customFormat="1" x14ac:dyDescent="0.2"/>
    <row r="42770" customFormat="1" x14ac:dyDescent="0.2"/>
    <row r="42771" customFormat="1" x14ac:dyDescent="0.2"/>
    <row r="42772" customFormat="1" x14ac:dyDescent="0.2"/>
    <row r="42773" customFormat="1" x14ac:dyDescent="0.2"/>
    <row r="42774" customFormat="1" x14ac:dyDescent="0.2"/>
    <row r="42775" customFormat="1" x14ac:dyDescent="0.2"/>
    <row r="42776" customFormat="1" x14ac:dyDescent="0.2"/>
    <row r="42777" customFormat="1" x14ac:dyDescent="0.2"/>
    <row r="42778" customFormat="1" x14ac:dyDescent="0.2"/>
    <row r="42779" customFormat="1" x14ac:dyDescent="0.2"/>
    <row r="42780" customFormat="1" x14ac:dyDescent="0.2"/>
    <row r="42781" customFormat="1" x14ac:dyDescent="0.2"/>
    <row r="42782" customFormat="1" x14ac:dyDescent="0.2"/>
    <row r="42783" customFormat="1" x14ac:dyDescent="0.2"/>
    <row r="42784" customFormat="1" x14ac:dyDescent="0.2"/>
    <row r="42785" customFormat="1" x14ac:dyDescent="0.2"/>
    <row r="42786" customFormat="1" x14ac:dyDescent="0.2"/>
    <row r="42787" customFormat="1" x14ac:dyDescent="0.2"/>
    <row r="42788" customFormat="1" x14ac:dyDescent="0.2"/>
    <row r="42789" customFormat="1" x14ac:dyDescent="0.2"/>
    <row r="42790" customFormat="1" x14ac:dyDescent="0.2"/>
    <row r="42791" customFormat="1" x14ac:dyDescent="0.2"/>
    <row r="42792" customFormat="1" x14ac:dyDescent="0.2"/>
    <row r="42793" customFormat="1" x14ac:dyDescent="0.2"/>
    <row r="42794" customFormat="1" x14ac:dyDescent="0.2"/>
    <row r="42795" customFormat="1" x14ac:dyDescent="0.2"/>
    <row r="42796" customFormat="1" x14ac:dyDescent="0.2"/>
    <row r="42797" customFormat="1" x14ac:dyDescent="0.2"/>
    <row r="42798" customFormat="1" x14ac:dyDescent="0.2"/>
    <row r="42799" customFormat="1" x14ac:dyDescent="0.2"/>
    <row r="42800" customFormat="1" x14ac:dyDescent="0.2"/>
    <row r="42801" customFormat="1" x14ac:dyDescent="0.2"/>
    <row r="42802" customFormat="1" x14ac:dyDescent="0.2"/>
    <row r="42803" customFormat="1" x14ac:dyDescent="0.2"/>
    <row r="42804" customFormat="1" x14ac:dyDescent="0.2"/>
    <row r="42805" customFormat="1" x14ac:dyDescent="0.2"/>
    <row r="42806" customFormat="1" x14ac:dyDescent="0.2"/>
    <row r="42807" customFormat="1" x14ac:dyDescent="0.2"/>
    <row r="42808" customFormat="1" x14ac:dyDescent="0.2"/>
    <row r="42809" customFormat="1" x14ac:dyDescent="0.2"/>
    <row r="42810" customFormat="1" x14ac:dyDescent="0.2"/>
    <row r="42811" customFormat="1" x14ac:dyDescent="0.2"/>
    <row r="42812" customFormat="1" x14ac:dyDescent="0.2"/>
    <row r="42813" customFormat="1" x14ac:dyDescent="0.2"/>
    <row r="42814" customFormat="1" x14ac:dyDescent="0.2"/>
    <row r="42815" customFormat="1" x14ac:dyDescent="0.2"/>
    <row r="42816" customFormat="1" x14ac:dyDescent="0.2"/>
    <row r="42817" customFormat="1" x14ac:dyDescent="0.2"/>
    <row r="42818" customFormat="1" x14ac:dyDescent="0.2"/>
    <row r="42819" customFormat="1" x14ac:dyDescent="0.2"/>
    <row r="42820" customFormat="1" x14ac:dyDescent="0.2"/>
    <row r="42821" customFormat="1" x14ac:dyDescent="0.2"/>
    <row r="42822" customFormat="1" x14ac:dyDescent="0.2"/>
    <row r="42823" customFormat="1" x14ac:dyDescent="0.2"/>
    <row r="42824" customFormat="1" x14ac:dyDescent="0.2"/>
    <row r="42825" customFormat="1" x14ac:dyDescent="0.2"/>
    <row r="42826" customFormat="1" x14ac:dyDescent="0.2"/>
    <row r="42827" customFormat="1" x14ac:dyDescent="0.2"/>
    <row r="42828" customFormat="1" x14ac:dyDescent="0.2"/>
    <row r="42829" customFormat="1" x14ac:dyDescent="0.2"/>
    <row r="42830" customFormat="1" x14ac:dyDescent="0.2"/>
    <row r="42831" customFormat="1" x14ac:dyDescent="0.2"/>
    <row r="42832" customFormat="1" x14ac:dyDescent="0.2"/>
    <row r="42833" customFormat="1" x14ac:dyDescent="0.2"/>
    <row r="42834" customFormat="1" x14ac:dyDescent="0.2"/>
    <row r="42835" customFormat="1" x14ac:dyDescent="0.2"/>
    <row r="42836" customFormat="1" x14ac:dyDescent="0.2"/>
    <row r="42837" customFormat="1" x14ac:dyDescent="0.2"/>
    <row r="42838" customFormat="1" x14ac:dyDescent="0.2"/>
    <row r="42839" customFormat="1" x14ac:dyDescent="0.2"/>
    <row r="42840" customFormat="1" x14ac:dyDescent="0.2"/>
    <row r="42841" customFormat="1" x14ac:dyDescent="0.2"/>
    <row r="42842" customFormat="1" x14ac:dyDescent="0.2"/>
    <row r="42843" customFormat="1" x14ac:dyDescent="0.2"/>
    <row r="42844" customFormat="1" x14ac:dyDescent="0.2"/>
    <row r="42845" customFormat="1" x14ac:dyDescent="0.2"/>
    <row r="42846" customFormat="1" x14ac:dyDescent="0.2"/>
    <row r="42847" customFormat="1" x14ac:dyDescent="0.2"/>
    <row r="42848" customFormat="1" x14ac:dyDescent="0.2"/>
    <row r="42849" customFormat="1" x14ac:dyDescent="0.2"/>
    <row r="42850" customFormat="1" x14ac:dyDescent="0.2"/>
    <row r="42851" customFormat="1" x14ac:dyDescent="0.2"/>
    <row r="42852" customFormat="1" x14ac:dyDescent="0.2"/>
    <row r="42853" customFormat="1" x14ac:dyDescent="0.2"/>
    <row r="42854" customFormat="1" x14ac:dyDescent="0.2"/>
    <row r="42855" customFormat="1" x14ac:dyDescent="0.2"/>
    <row r="42856" customFormat="1" x14ac:dyDescent="0.2"/>
    <row r="42857" customFormat="1" x14ac:dyDescent="0.2"/>
    <row r="42858" customFormat="1" x14ac:dyDescent="0.2"/>
    <row r="42859" customFormat="1" x14ac:dyDescent="0.2"/>
    <row r="42860" customFormat="1" x14ac:dyDescent="0.2"/>
    <row r="42861" customFormat="1" x14ac:dyDescent="0.2"/>
    <row r="42862" customFormat="1" x14ac:dyDescent="0.2"/>
    <row r="42863" customFormat="1" x14ac:dyDescent="0.2"/>
    <row r="42864" customFormat="1" x14ac:dyDescent="0.2"/>
    <row r="42865" customFormat="1" x14ac:dyDescent="0.2"/>
    <row r="42866" customFormat="1" x14ac:dyDescent="0.2"/>
    <row r="42867" customFormat="1" x14ac:dyDescent="0.2"/>
    <row r="42868" customFormat="1" x14ac:dyDescent="0.2"/>
    <row r="42869" customFormat="1" x14ac:dyDescent="0.2"/>
    <row r="42870" customFormat="1" x14ac:dyDescent="0.2"/>
    <row r="42871" customFormat="1" x14ac:dyDescent="0.2"/>
    <row r="42872" customFormat="1" x14ac:dyDescent="0.2"/>
    <row r="42873" customFormat="1" x14ac:dyDescent="0.2"/>
    <row r="42874" customFormat="1" x14ac:dyDescent="0.2"/>
    <row r="42875" customFormat="1" x14ac:dyDescent="0.2"/>
    <row r="42876" customFormat="1" x14ac:dyDescent="0.2"/>
    <row r="42877" customFormat="1" x14ac:dyDescent="0.2"/>
    <row r="42878" customFormat="1" x14ac:dyDescent="0.2"/>
    <row r="42879" customFormat="1" x14ac:dyDescent="0.2"/>
    <row r="42880" customFormat="1" x14ac:dyDescent="0.2"/>
    <row r="42881" customFormat="1" x14ac:dyDescent="0.2"/>
    <row r="42882" customFormat="1" x14ac:dyDescent="0.2"/>
    <row r="42883" customFormat="1" x14ac:dyDescent="0.2"/>
    <row r="42884" customFormat="1" x14ac:dyDescent="0.2"/>
    <row r="42885" customFormat="1" x14ac:dyDescent="0.2"/>
    <row r="42886" customFormat="1" x14ac:dyDescent="0.2"/>
    <row r="42887" customFormat="1" x14ac:dyDescent="0.2"/>
    <row r="42888" customFormat="1" x14ac:dyDescent="0.2"/>
    <row r="42889" customFormat="1" x14ac:dyDescent="0.2"/>
    <row r="42890" customFormat="1" x14ac:dyDescent="0.2"/>
    <row r="42891" customFormat="1" x14ac:dyDescent="0.2"/>
    <row r="42892" customFormat="1" x14ac:dyDescent="0.2"/>
    <row r="42893" customFormat="1" x14ac:dyDescent="0.2"/>
    <row r="42894" customFormat="1" x14ac:dyDescent="0.2"/>
    <row r="42895" customFormat="1" x14ac:dyDescent="0.2"/>
    <row r="42896" customFormat="1" x14ac:dyDescent="0.2"/>
    <row r="42897" customFormat="1" x14ac:dyDescent="0.2"/>
    <row r="42898" customFormat="1" x14ac:dyDescent="0.2"/>
    <row r="42899" customFormat="1" x14ac:dyDescent="0.2"/>
    <row r="42900" customFormat="1" x14ac:dyDescent="0.2"/>
    <row r="42901" customFormat="1" x14ac:dyDescent="0.2"/>
    <row r="42902" customFormat="1" x14ac:dyDescent="0.2"/>
    <row r="42903" customFormat="1" x14ac:dyDescent="0.2"/>
    <row r="42904" customFormat="1" x14ac:dyDescent="0.2"/>
    <row r="42905" customFormat="1" x14ac:dyDescent="0.2"/>
    <row r="42906" customFormat="1" x14ac:dyDescent="0.2"/>
    <row r="42907" customFormat="1" x14ac:dyDescent="0.2"/>
    <row r="42908" customFormat="1" x14ac:dyDescent="0.2"/>
    <row r="42909" customFormat="1" x14ac:dyDescent="0.2"/>
    <row r="42910" customFormat="1" x14ac:dyDescent="0.2"/>
    <row r="42911" customFormat="1" x14ac:dyDescent="0.2"/>
    <row r="42912" customFormat="1" x14ac:dyDescent="0.2"/>
    <row r="42913" customFormat="1" x14ac:dyDescent="0.2"/>
    <row r="42914" customFormat="1" x14ac:dyDescent="0.2"/>
    <row r="42915" customFormat="1" x14ac:dyDescent="0.2"/>
    <row r="42916" customFormat="1" x14ac:dyDescent="0.2"/>
    <row r="42917" customFormat="1" x14ac:dyDescent="0.2"/>
    <row r="42918" customFormat="1" x14ac:dyDescent="0.2"/>
    <row r="42919" customFormat="1" x14ac:dyDescent="0.2"/>
    <row r="42920" customFormat="1" x14ac:dyDescent="0.2"/>
    <row r="42921" customFormat="1" x14ac:dyDescent="0.2"/>
    <row r="42922" customFormat="1" x14ac:dyDescent="0.2"/>
    <row r="42923" customFormat="1" x14ac:dyDescent="0.2"/>
    <row r="42924" customFormat="1" x14ac:dyDescent="0.2"/>
    <row r="42925" customFormat="1" x14ac:dyDescent="0.2"/>
    <row r="42926" customFormat="1" x14ac:dyDescent="0.2"/>
    <row r="42927" customFormat="1" x14ac:dyDescent="0.2"/>
    <row r="42928" customFormat="1" x14ac:dyDescent="0.2"/>
    <row r="42929" customFormat="1" x14ac:dyDescent="0.2"/>
    <row r="42930" customFormat="1" x14ac:dyDescent="0.2"/>
    <row r="42931" customFormat="1" x14ac:dyDescent="0.2"/>
    <row r="42932" customFormat="1" x14ac:dyDescent="0.2"/>
    <row r="42933" customFormat="1" x14ac:dyDescent="0.2"/>
    <row r="42934" customFormat="1" x14ac:dyDescent="0.2"/>
    <row r="42935" customFormat="1" x14ac:dyDescent="0.2"/>
    <row r="42936" customFormat="1" x14ac:dyDescent="0.2"/>
    <row r="42937" customFormat="1" x14ac:dyDescent="0.2"/>
    <row r="42938" customFormat="1" x14ac:dyDescent="0.2"/>
    <row r="42939" customFormat="1" x14ac:dyDescent="0.2"/>
    <row r="42940" customFormat="1" x14ac:dyDescent="0.2"/>
    <row r="42941" customFormat="1" x14ac:dyDescent="0.2"/>
    <row r="42942" customFormat="1" x14ac:dyDescent="0.2"/>
    <row r="42943" customFormat="1" x14ac:dyDescent="0.2"/>
    <row r="42944" customFormat="1" x14ac:dyDescent="0.2"/>
    <row r="42945" customFormat="1" x14ac:dyDescent="0.2"/>
    <row r="42946" customFormat="1" x14ac:dyDescent="0.2"/>
    <row r="42947" customFormat="1" x14ac:dyDescent="0.2"/>
    <row r="42948" customFormat="1" x14ac:dyDescent="0.2"/>
    <row r="42949" customFormat="1" x14ac:dyDescent="0.2"/>
    <row r="42950" customFormat="1" x14ac:dyDescent="0.2"/>
    <row r="42951" customFormat="1" x14ac:dyDescent="0.2"/>
    <row r="42952" customFormat="1" x14ac:dyDescent="0.2"/>
    <row r="42953" customFormat="1" x14ac:dyDescent="0.2"/>
    <row r="42954" customFormat="1" x14ac:dyDescent="0.2"/>
    <row r="42955" customFormat="1" x14ac:dyDescent="0.2"/>
    <row r="42956" customFormat="1" x14ac:dyDescent="0.2"/>
    <row r="42957" customFormat="1" x14ac:dyDescent="0.2"/>
    <row r="42958" customFormat="1" x14ac:dyDescent="0.2"/>
    <row r="42959" customFormat="1" x14ac:dyDescent="0.2"/>
    <row r="42960" customFormat="1" x14ac:dyDescent="0.2"/>
    <row r="42961" customFormat="1" x14ac:dyDescent="0.2"/>
    <row r="42962" customFormat="1" x14ac:dyDescent="0.2"/>
    <row r="42963" customFormat="1" x14ac:dyDescent="0.2"/>
    <row r="42964" customFormat="1" x14ac:dyDescent="0.2"/>
    <row r="42965" customFormat="1" x14ac:dyDescent="0.2"/>
    <row r="42966" customFormat="1" x14ac:dyDescent="0.2"/>
    <row r="42967" customFormat="1" x14ac:dyDescent="0.2"/>
    <row r="42968" customFormat="1" x14ac:dyDescent="0.2"/>
    <row r="42969" customFormat="1" x14ac:dyDescent="0.2"/>
    <row r="42970" customFormat="1" x14ac:dyDescent="0.2"/>
    <row r="42971" customFormat="1" x14ac:dyDescent="0.2"/>
    <row r="42972" customFormat="1" x14ac:dyDescent="0.2"/>
    <row r="42973" customFormat="1" x14ac:dyDescent="0.2"/>
    <row r="42974" customFormat="1" x14ac:dyDescent="0.2"/>
    <row r="42975" customFormat="1" x14ac:dyDescent="0.2"/>
    <row r="42976" customFormat="1" x14ac:dyDescent="0.2"/>
    <row r="42977" customFormat="1" x14ac:dyDescent="0.2"/>
    <row r="42978" customFormat="1" x14ac:dyDescent="0.2"/>
    <row r="42979" customFormat="1" x14ac:dyDescent="0.2"/>
    <row r="42980" customFormat="1" x14ac:dyDescent="0.2"/>
    <row r="42981" customFormat="1" x14ac:dyDescent="0.2"/>
    <row r="42982" customFormat="1" x14ac:dyDescent="0.2"/>
    <row r="42983" customFormat="1" x14ac:dyDescent="0.2"/>
    <row r="42984" customFormat="1" x14ac:dyDescent="0.2"/>
    <row r="42985" customFormat="1" x14ac:dyDescent="0.2"/>
    <row r="42986" customFormat="1" x14ac:dyDescent="0.2"/>
    <row r="42987" customFormat="1" x14ac:dyDescent="0.2"/>
    <row r="42988" customFormat="1" x14ac:dyDescent="0.2"/>
    <row r="42989" customFormat="1" x14ac:dyDescent="0.2"/>
    <row r="42990" customFormat="1" x14ac:dyDescent="0.2"/>
    <row r="42991" customFormat="1" x14ac:dyDescent="0.2"/>
    <row r="42992" customFormat="1" x14ac:dyDescent="0.2"/>
    <row r="42993" customFormat="1" x14ac:dyDescent="0.2"/>
    <row r="42994" customFormat="1" x14ac:dyDescent="0.2"/>
    <row r="42995" customFormat="1" x14ac:dyDescent="0.2"/>
    <row r="42996" customFormat="1" x14ac:dyDescent="0.2"/>
    <row r="42997" customFormat="1" x14ac:dyDescent="0.2"/>
    <row r="42998" customFormat="1" x14ac:dyDescent="0.2"/>
    <row r="42999" customFormat="1" x14ac:dyDescent="0.2"/>
    <row r="43000" customFormat="1" x14ac:dyDescent="0.2"/>
    <row r="43001" customFormat="1" x14ac:dyDescent="0.2"/>
    <row r="43002" customFormat="1" x14ac:dyDescent="0.2"/>
    <row r="43003" customFormat="1" x14ac:dyDescent="0.2"/>
    <row r="43004" customFormat="1" x14ac:dyDescent="0.2"/>
    <row r="43005" customFormat="1" x14ac:dyDescent="0.2"/>
    <row r="43006" customFormat="1" x14ac:dyDescent="0.2"/>
    <row r="43007" customFormat="1" x14ac:dyDescent="0.2"/>
    <row r="43008" customFormat="1" x14ac:dyDescent="0.2"/>
    <row r="43009" customFormat="1" x14ac:dyDescent="0.2"/>
    <row r="43010" customFormat="1" x14ac:dyDescent="0.2"/>
    <row r="43011" customFormat="1" x14ac:dyDescent="0.2"/>
    <row r="43012" customFormat="1" x14ac:dyDescent="0.2"/>
    <row r="43013" customFormat="1" x14ac:dyDescent="0.2"/>
    <row r="43014" customFormat="1" x14ac:dyDescent="0.2"/>
    <row r="43015" customFormat="1" x14ac:dyDescent="0.2"/>
    <row r="43016" customFormat="1" x14ac:dyDescent="0.2"/>
    <row r="43017" customFormat="1" x14ac:dyDescent="0.2"/>
    <row r="43018" customFormat="1" x14ac:dyDescent="0.2"/>
    <row r="43019" customFormat="1" x14ac:dyDescent="0.2"/>
    <row r="43020" customFormat="1" x14ac:dyDescent="0.2"/>
    <row r="43021" customFormat="1" x14ac:dyDescent="0.2"/>
    <row r="43022" customFormat="1" x14ac:dyDescent="0.2"/>
    <row r="43023" customFormat="1" x14ac:dyDescent="0.2"/>
    <row r="43024" customFormat="1" x14ac:dyDescent="0.2"/>
    <row r="43025" customFormat="1" x14ac:dyDescent="0.2"/>
    <row r="43026" customFormat="1" x14ac:dyDescent="0.2"/>
    <row r="43027" customFormat="1" x14ac:dyDescent="0.2"/>
    <row r="43028" customFormat="1" x14ac:dyDescent="0.2"/>
    <row r="43029" customFormat="1" x14ac:dyDescent="0.2"/>
    <row r="43030" customFormat="1" x14ac:dyDescent="0.2"/>
    <row r="43031" customFormat="1" x14ac:dyDescent="0.2"/>
    <row r="43032" customFormat="1" x14ac:dyDescent="0.2"/>
    <row r="43033" customFormat="1" x14ac:dyDescent="0.2"/>
    <row r="43034" customFormat="1" x14ac:dyDescent="0.2"/>
    <row r="43035" customFormat="1" x14ac:dyDescent="0.2"/>
    <row r="43036" customFormat="1" x14ac:dyDescent="0.2"/>
    <row r="43037" customFormat="1" x14ac:dyDescent="0.2"/>
    <row r="43038" customFormat="1" x14ac:dyDescent="0.2"/>
    <row r="43039" customFormat="1" x14ac:dyDescent="0.2"/>
    <row r="43040" customFormat="1" x14ac:dyDescent="0.2"/>
    <row r="43041" customFormat="1" x14ac:dyDescent="0.2"/>
    <row r="43042" customFormat="1" x14ac:dyDescent="0.2"/>
    <row r="43043" customFormat="1" x14ac:dyDescent="0.2"/>
    <row r="43044" customFormat="1" x14ac:dyDescent="0.2"/>
    <row r="43045" customFormat="1" x14ac:dyDescent="0.2"/>
    <row r="43046" customFormat="1" x14ac:dyDescent="0.2"/>
    <row r="43047" customFormat="1" x14ac:dyDescent="0.2"/>
    <row r="43048" customFormat="1" x14ac:dyDescent="0.2"/>
    <row r="43049" customFormat="1" x14ac:dyDescent="0.2"/>
    <row r="43050" customFormat="1" x14ac:dyDescent="0.2"/>
    <row r="43051" customFormat="1" x14ac:dyDescent="0.2"/>
    <row r="43052" customFormat="1" x14ac:dyDescent="0.2"/>
    <row r="43053" customFormat="1" x14ac:dyDescent="0.2"/>
    <row r="43054" customFormat="1" x14ac:dyDescent="0.2"/>
    <row r="43055" customFormat="1" x14ac:dyDescent="0.2"/>
    <row r="43056" customFormat="1" x14ac:dyDescent="0.2"/>
    <row r="43057" customFormat="1" x14ac:dyDescent="0.2"/>
    <row r="43058" customFormat="1" x14ac:dyDescent="0.2"/>
    <row r="43059" customFormat="1" x14ac:dyDescent="0.2"/>
    <row r="43060" customFormat="1" x14ac:dyDescent="0.2"/>
    <row r="43061" customFormat="1" x14ac:dyDescent="0.2"/>
    <row r="43062" customFormat="1" x14ac:dyDescent="0.2"/>
    <row r="43063" customFormat="1" x14ac:dyDescent="0.2"/>
    <row r="43064" customFormat="1" x14ac:dyDescent="0.2"/>
    <row r="43065" customFormat="1" x14ac:dyDescent="0.2"/>
    <row r="43066" customFormat="1" x14ac:dyDescent="0.2"/>
    <row r="43067" customFormat="1" x14ac:dyDescent="0.2"/>
    <row r="43068" customFormat="1" x14ac:dyDescent="0.2"/>
    <row r="43069" customFormat="1" x14ac:dyDescent="0.2"/>
    <row r="43070" customFormat="1" x14ac:dyDescent="0.2"/>
    <row r="43071" customFormat="1" x14ac:dyDescent="0.2"/>
    <row r="43072" customFormat="1" x14ac:dyDescent="0.2"/>
    <row r="43073" customFormat="1" x14ac:dyDescent="0.2"/>
    <row r="43074" customFormat="1" x14ac:dyDescent="0.2"/>
    <row r="43075" customFormat="1" x14ac:dyDescent="0.2"/>
    <row r="43076" customFormat="1" x14ac:dyDescent="0.2"/>
    <row r="43077" customFormat="1" x14ac:dyDescent="0.2"/>
    <row r="43078" customFormat="1" x14ac:dyDescent="0.2"/>
    <row r="43079" customFormat="1" x14ac:dyDescent="0.2"/>
    <row r="43080" customFormat="1" x14ac:dyDescent="0.2"/>
    <row r="43081" customFormat="1" x14ac:dyDescent="0.2"/>
    <row r="43082" customFormat="1" x14ac:dyDescent="0.2"/>
    <row r="43083" customFormat="1" x14ac:dyDescent="0.2"/>
    <row r="43084" customFormat="1" x14ac:dyDescent="0.2"/>
    <row r="43085" customFormat="1" x14ac:dyDescent="0.2"/>
    <row r="43086" customFormat="1" x14ac:dyDescent="0.2"/>
    <row r="43087" customFormat="1" x14ac:dyDescent="0.2"/>
    <row r="43088" customFormat="1" x14ac:dyDescent="0.2"/>
    <row r="43089" customFormat="1" x14ac:dyDescent="0.2"/>
    <row r="43090" customFormat="1" x14ac:dyDescent="0.2"/>
    <row r="43091" customFormat="1" x14ac:dyDescent="0.2"/>
    <row r="43092" customFormat="1" x14ac:dyDescent="0.2"/>
    <row r="43093" customFormat="1" x14ac:dyDescent="0.2"/>
    <row r="43094" customFormat="1" x14ac:dyDescent="0.2"/>
    <row r="43095" customFormat="1" x14ac:dyDescent="0.2"/>
    <row r="43096" customFormat="1" x14ac:dyDescent="0.2"/>
    <row r="43097" customFormat="1" x14ac:dyDescent="0.2"/>
    <row r="43098" customFormat="1" x14ac:dyDescent="0.2"/>
    <row r="43099" customFormat="1" x14ac:dyDescent="0.2"/>
    <row r="43100" customFormat="1" x14ac:dyDescent="0.2"/>
    <row r="43101" customFormat="1" x14ac:dyDescent="0.2"/>
    <row r="43102" customFormat="1" x14ac:dyDescent="0.2"/>
    <row r="43103" customFormat="1" x14ac:dyDescent="0.2"/>
    <row r="43104" customFormat="1" x14ac:dyDescent="0.2"/>
    <row r="43105" customFormat="1" x14ac:dyDescent="0.2"/>
    <row r="43106" customFormat="1" x14ac:dyDescent="0.2"/>
    <row r="43107" customFormat="1" x14ac:dyDescent="0.2"/>
    <row r="43108" customFormat="1" x14ac:dyDescent="0.2"/>
    <row r="43109" customFormat="1" x14ac:dyDescent="0.2"/>
    <row r="43110" customFormat="1" x14ac:dyDescent="0.2"/>
    <row r="43111" customFormat="1" x14ac:dyDescent="0.2"/>
    <row r="43112" customFormat="1" x14ac:dyDescent="0.2"/>
    <row r="43113" customFormat="1" x14ac:dyDescent="0.2"/>
    <row r="43114" customFormat="1" x14ac:dyDescent="0.2"/>
    <row r="43115" customFormat="1" x14ac:dyDescent="0.2"/>
    <row r="43116" customFormat="1" x14ac:dyDescent="0.2"/>
    <row r="43117" customFormat="1" x14ac:dyDescent="0.2"/>
    <row r="43118" customFormat="1" x14ac:dyDescent="0.2"/>
    <row r="43119" customFormat="1" x14ac:dyDescent="0.2"/>
    <row r="43120" customFormat="1" x14ac:dyDescent="0.2"/>
    <row r="43121" customFormat="1" x14ac:dyDescent="0.2"/>
    <row r="43122" customFormat="1" x14ac:dyDescent="0.2"/>
    <row r="43123" customFormat="1" x14ac:dyDescent="0.2"/>
    <row r="43124" customFormat="1" x14ac:dyDescent="0.2"/>
    <row r="43125" customFormat="1" x14ac:dyDescent="0.2"/>
    <row r="43126" customFormat="1" x14ac:dyDescent="0.2"/>
    <row r="43127" customFormat="1" x14ac:dyDescent="0.2"/>
    <row r="43128" customFormat="1" x14ac:dyDescent="0.2"/>
    <row r="43129" customFormat="1" x14ac:dyDescent="0.2"/>
    <row r="43130" customFormat="1" x14ac:dyDescent="0.2"/>
    <row r="43131" customFormat="1" x14ac:dyDescent="0.2"/>
    <row r="43132" customFormat="1" x14ac:dyDescent="0.2"/>
    <row r="43133" customFormat="1" x14ac:dyDescent="0.2"/>
    <row r="43134" customFormat="1" x14ac:dyDescent="0.2"/>
    <row r="43135" customFormat="1" x14ac:dyDescent="0.2"/>
    <row r="43136" customFormat="1" x14ac:dyDescent="0.2"/>
    <row r="43137" customFormat="1" x14ac:dyDescent="0.2"/>
    <row r="43138" customFormat="1" x14ac:dyDescent="0.2"/>
    <row r="43139" customFormat="1" x14ac:dyDescent="0.2"/>
    <row r="43140" customFormat="1" x14ac:dyDescent="0.2"/>
    <row r="43141" customFormat="1" x14ac:dyDescent="0.2"/>
    <row r="43142" customFormat="1" x14ac:dyDescent="0.2"/>
    <row r="43143" customFormat="1" x14ac:dyDescent="0.2"/>
    <row r="43144" customFormat="1" x14ac:dyDescent="0.2"/>
    <row r="43145" customFormat="1" x14ac:dyDescent="0.2"/>
    <row r="43146" customFormat="1" x14ac:dyDescent="0.2"/>
    <row r="43147" customFormat="1" x14ac:dyDescent="0.2"/>
    <row r="43148" customFormat="1" x14ac:dyDescent="0.2"/>
    <row r="43149" customFormat="1" x14ac:dyDescent="0.2"/>
    <row r="43150" customFormat="1" x14ac:dyDescent="0.2"/>
    <row r="43151" customFormat="1" x14ac:dyDescent="0.2"/>
    <row r="43152" customFormat="1" x14ac:dyDescent="0.2"/>
    <row r="43153" customFormat="1" x14ac:dyDescent="0.2"/>
    <row r="43154" customFormat="1" x14ac:dyDescent="0.2"/>
    <row r="43155" customFormat="1" x14ac:dyDescent="0.2"/>
    <row r="43156" customFormat="1" x14ac:dyDescent="0.2"/>
    <row r="43157" customFormat="1" x14ac:dyDescent="0.2"/>
    <row r="43158" customFormat="1" x14ac:dyDescent="0.2"/>
    <row r="43159" customFormat="1" x14ac:dyDescent="0.2"/>
    <row r="43160" customFormat="1" x14ac:dyDescent="0.2"/>
    <row r="43161" customFormat="1" x14ac:dyDescent="0.2"/>
    <row r="43162" customFormat="1" x14ac:dyDescent="0.2"/>
    <row r="43163" customFormat="1" x14ac:dyDescent="0.2"/>
    <row r="43164" customFormat="1" x14ac:dyDescent="0.2"/>
    <row r="43165" customFormat="1" x14ac:dyDescent="0.2"/>
    <row r="43166" customFormat="1" x14ac:dyDescent="0.2"/>
    <row r="43167" customFormat="1" x14ac:dyDescent="0.2"/>
    <row r="43168" customFormat="1" x14ac:dyDescent="0.2"/>
    <row r="43169" customFormat="1" x14ac:dyDescent="0.2"/>
    <row r="43170" customFormat="1" x14ac:dyDescent="0.2"/>
    <row r="43171" customFormat="1" x14ac:dyDescent="0.2"/>
    <row r="43172" customFormat="1" x14ac:dyDescent="0.2"/>
    <row r="43173" customFormat="1" x14ac:dyDescent="0.2"/>
    <row r="43174" customFormat="1" x14ac:dyDescent="0.2"/>
    <row r="43175" customFormat="1" x14ac:dyDescent="0.2"/>
    <row r="43176" customFormat="1" x14ac:dyDescent="0.2"/>
    <row r="43177" customFormat="1" x14ac:dyDescent="0.2"/>
    <row r="43178" customFormat="1" x14ac:dyDescent="0.2"/>
    <row r="43179" customFormat="1" x14ac:dyDescent="0.2"/>
    <row r="43180" customFormat="1" x14ac:dyDescent="0.2"/>
    <row r="43181" customFormat="1" x14ac:dyDescent="0.2"/>
    <row r="43182" customFormat="1" x14ac:dyDescent="0.2"/>
    <row r="43183" customFormat="1" x14ac:dyDescent="0.2"/>
    <row r="43184" customFormat="1" x14ac:dyDescent="0.2"/>
    <row r="43185" customFormat="1" x14ac:dyDescent="0.2"/>
    <row r="43186" customFormat="1" x14ac:dyDescent="0.2"/>
    <row r="43187" customFormat="1" x14ac:dyDescent="0.2"/>
    <row r="43188" customFormat="1" x14ac:dyDescent="0.2"/>
    <row r="43189" customFormat="1" x14ac:dyDescent="0.2"/>
    <row r="43190" customFormat="1" x14ac:dyDescent="0.2"/>
    <row r="43191" customFormat="1" x14ac:dyDescent="0.2"/>
    <row r="43192" customFormat="1" x14ac:dyDescent="0.2"/>
    <row r="43193" customFormat="1" x14ac:dyDescent="0.2"/>
    <row r="43194" customFormat="1" x14ac:dyDescent="0.2"/>
    <row r="43195" customFormat="1" x14ac:dyDescent="0.2"/>
    <row r="43196" customFormat="1" x14ac:dyDescent="0.2"/>
    <row r="43197" customFormat="1" x14ac:dyDescent="0.2"/>
    <row r="43198" customFormat="1" x14ac:dyDescent="0.2"/>
    <row r="43199" customFormat="1" x14ac:dyDescent="0.2"/>
    <row r="43200" customFormat="1" x14ac:dyDescent="0.2"/>
    <row r="43201" customFormat="1" x14ac:dyDescent="0.2"/>
    <row r="43202" customFormat="1" x14ac:dyDescent="0.2"/>
    <row r="43203" customFormat="1" x14ac:dyDescent="0.2"/>
    <row r="43204" customFormat="1" x14ac:dyDescent="0.2"/>
    <row r="43205" customFormat="1" x14ac:dyDescent="0.2"/>
    <row r="43206" customFormat="1" x14ac:dyDescent="0.2"/>
    <row r="43207" customFormat="1" x14ac:dyDescent="0.2"/>
    <row r="43208" customFormat="1" x14ac:dyDescent="0.2"/>
    <row r="43209" customFormat="1" x14ac:dyDescent="0.2"/>
    <row r="43210" customFormat="1" x14ac:dyDescent="0.2"/>
    <row r="43211" customFormat="1" x14ac:dyDescent="0.2"/>
    <row r="43212" customFormat="1" x14ac:dyDescent="0.2"/>
    <row r="43213" customFormat="1" x14ac:dyDescent="0.2"/>
    <row r="43214" customFormat="1" x14ac:dyDescent="0.2"/>
    <row r="43215" customFormat="1" x14ac:dyDescent="0.2"/>
    <row r="43216" customFormat="1" x14ac:dyDescent="0.2"/>
    <row r="43217" customFormat="1" x14ac:dyDescent="0.2"/>
    <row r="43218" customFormat="1" x14ac:dyDescent="0.2"/>
    <row r="43219" customFormat="1" x14ac:dyDescent="0.2"/>
    <row r="43220" customFormat="1" x14ac:dyDescent="0.2"/>
    <row r="43221" customFormat="1" x14ac:dyDescent="0.2"/>
    <row r="43222" customFormat="1" x14ac:dyDescent="0.2"/>
    <row r="43223" customFormat="1" x14ac:dyDescent="0.2"/>
    <row r="43224" customFormat="1" x14ac:dyDescent="0.2"/>
    <row r="43225" customFormat="1" x14ac:dyDescent="0.2"/>
    <row r="43226" customFormat="1" x14ac:dyDescent="0.2"/>
    <row r="43227" customFormat="1" x14ac:dyDescent="0.2"/>
    <row r="43228" customFormat="1" x14ac:dyDescent="0.2"/>
    <row r="43229" customFormat="1" x14ac:dyDescent="0.2"/>
    <row r="43230" customFormat="1" x14ac:dyDescent="0.2"/>
    <row r="43231" customFormat="1" x14ac:dyDescent="0.2"/>
    <row r="43232" customFormat="1" x14ac:dyDescent="0.2"/>
    <row r="43233" customFormat="1" x14ac:dyDescent="0.2"/>
    <row r="43234" customFormat="1" x14ac:dyDescent="0.2"/>
    <row r="43235" customFormat="1" x14ac:dyDescent="0.2"/>
    <row r="43236" customFormat="1" x14ac:dyDescent="0.2"/>
    <row r="43237" customFormat="1" x14ac:dyDescent="0.2"/>
    <row r="43238" customFormat="1" x14ac:dyDescent="0.2"/>
    <row r="43239" customFormat="1" x14ac:dyDescent="0.2"/>
    <row r="43240" customFormat="1" x14ac:dyDescent="0.2"/>
    <row r="43241" customFormat="1" x14ac:dyDescent="0.2"/>
    <row r="43242" customFormat="1" x14ac:dyDescent="0.2"/>
    <row r="43243" customFormat="1" x14ac:dyDescent="0.2"/>
    <row r="43244" customFormat="1" x14ac:dyDescent="0.2"/>
    <row r="43245" customFormat="1" x14ac:dyDescent="0.2"/>
    <row r="43246" customFormat="1" x14ac:dyDescent="0.2"/>
    <row r="43247" customFormat="1" x14ac:dyDescent="0.2"/>
    <row r="43248" customFormat="1" x14ac:dyDescent="0.2"/>
    <row r="43249" customFormat="1" x14ac:dyDescent="0.2"/>
    <row r="43250" customFormat="1" x14ac:dyDescent="0.2"/>
    <row r="43251" customFormat="1" x14ac:dyDescent="0.2"/>
    <row r="43252" customFormat="1" x14ac:dyDescent="0.2"/>
    <row r="43253" customFormat="1" x14ac:dyDescent="0.2"/>
    <row r="43254" customFormat="1" x14ac:dyDescent="0.2"/>
    <row r="43255" customFormat="1" x14ac:dyDescent="0.2"/>
    <row r="43256" customFormat="1" x14ac:dyDescent="0.2"/>
    <row r="43257" customFormat="1" x14ac:dyDescent="0.2"/>
    <row r="43258" customFormat="1" x14ac:dyDescent="0.2"/>
    <row r="43259" customFormat="1" x14ac:dyDescent="0.2"/>
    <row r="43260" customFormat="1" x14ac:dyDescent="0.2"/>
    <row r="43261" customFormat="1" x14ac:dyDescent="0.2"/>
    <row r="43262" customFormat="1" x14ac:dyDescent="0.2"/>
    <row r="43263" customFormat="1" x14ac:dyDescent="0.2"/>
    <row r="43264" customFormat="1" x14ac:dyDescent="0.2"/>
    <row r="43265" customFormat="1" x14ac:dyDescent="0.2"/>
    <row r="43266" customFormat="1" x14ac:dyDescent="0.2"/>
    <row r="43267" customFormat="1" x14ac:dyDescent="0.2"/>
    <row r="43268" customFormat="1" x14ac:dyDescent="0.2"/>
    <row r="43269" customFormat="1" x14ac:dyDescent="0.2"/>
    <row r="43270" customFormat="1" x14ac:dyDescent="0.2"/>
    <row r="43271" customFormat="1" x14ac:dyDescent="0.2"/>
    <row r="43272" customFormat="1" x14ac:dyDescent="0.2"/>
    <row r="43273" customFormat="1" x14ac:dyDescent="0.2"/>
    <row r="43274" customFormat="1" x14ac:dyDescent="0.2"/>
    <row r="43275" customFormat="1" x14ac:dyDescent="0.2"/>
    <row r="43276" customFormat="1" x14ac:dyDescent="0.2"/>
    <row r="43277" customFormat="1" x14ac:dyDescent="0.2"/>
    <row r="43278" customFormat="1" x14ac:dyDescent="0.2"/>
    <row r="43279" customFormat="1" x14ac:dyDescent="0.2"/>
    <row r="43280" customFormat="1" x14ac:dyDescent="0.2"/>
    <row r="43281" customFormat="1" x14ac:dyDescent="0.2"/>
    <row r="43282" customFormat="1" x14ac:dyDescent="0.2"/>
    <row r="43283" customFormat="1" x14ac:dyDescent="0.2"/>
    <row r="43284" customFormat="1" x14ac:dyDescent="0.2"/>
    <row r="43285" customFormat="1" x14ac:dyDescent="0.2"/>
    <row r="43286" customFormat="1" x14ac:dyDescent="0.2"/>
    <row r="43287" customFormat="1" x14ac:dyDescent="0.2"/>
    <row r="43288" customFormat="1" x14ac:dyDescent="0.2"/>
    <row r="43289" customFormat="1" x14ac:dyDescent="0.2"/>
    <row r="43290" customFormat="1" x14ac:dyDescent="0.2"/>
    <row r="43291" customFormat="1" x14ac:dyDescent="0.2"/>
    <row r="43292" customFormat="1" x14ac:dyDescent="0.2"/>
    <row r="43293" customFormat="1" x14ac:dyDescent="0.2"/>
    <row r="43294" customFormat="1" x14ac:dyDescent="0.2"/>
    <row r="43295" customFormat="1" x14ac:dyDescent="0.2"/>
    <row r="43296" customFormat="1" x14ac:dyDescent="0.2"/>
    <row r="43297" customFormat="1" x14ac:dyDescent="0.2"/>
    <row r="43298" customFormat="1" x14ac:dyDescent="0.2"/>
    <row r="43299" customFormat="1" x14ac:dyDescent="0.2"/>
    <row r="43300" customFormat="1" x14ac:dyDescent="0.2"/>
    <row r="43301" customFormat="1" x14ac:dyDescent="0.2"/>
    <row r="43302" customFormat="1" x14ac:dyDescent="0.2"/>
    <row r="43303" customFormat="1" x14ac:dyDescent="0.2"/>
    <row r="43304" customFormat="1" x14ac:dyDescent="0.2"/>
    <row r="43305" customFormat="1" x14ac:dyDescent="0.2"/>
    <row r="43306" customFormat="1" x14ac:dyDescent="0.2"/>
    <row r="43307" customFormat="1" x14ac:dyDescent="0.2"/>
    <row r="43308" customFormat="1" x14ac:dyDescent="0.2"/>
    <row r="43309" customFormat="1" x14ac:dyDescent="0.2"/>
    <row r="43310" customFormat="1" x14ac:dyDescent="0.2"/>
    <row r="43311" customFormat="1" x14ac:dyDescent="0.2"/>
    <row r="43312" customFormat="1" x14ac:dyDescent="0.2"/>
    <row r="43313" customFormat="1" x14ac:dyDescent="0.2"/>
    <row r="43314" customFormat="1" x14ac:dyDescent="0.2"/>
    <row r="43315" customFormat="1" x14ac:dyDescent="0.2"/>
    <row r="43316" customFormat="1" x14ac:dyDescent="0.2"/>
    <row r="43317" customFormat="1" x14ac:dyDescent="0.2"/>
    <row r="43318" customFormat="1" x14ac:dyDescent="0.2"/>
    <row r="43319" customFormat="1" x14ac:dyDescent="0.2"/>
    <row r="43320" customFormat="1" x14ac:dyDescent="0.2"/>
    <row r="43321" customFormat="1" x14ac:dyDescent="0.2"/>
    <row r="43322" customFormat="1" x14ac:dyDescent="0.2"/>
    <row r="43323" customFormat="1" x14ac:dyDescent="0.2"/>
    <row r="43324" customFormat="1" x14ac:dyDescent="0.2"/>
    <row r="43325" customFormat="1" x14ac:dyDescent="0.2"/>
    <row r="43326" customFormat="1" x14ac:dyDescent="0.2"/>
    <row r="43327" customFormat="1" x14ac:dyDescent="0.2"/>
    <row r="43328" customFormat="1" x14ac:dyDescent="0.2"/>
    <row r="43329" customFormat="1" x14ac:dyDescent="0.2"/>
    <row r="43330" customFormat="1" x14ac:dyDescent="0.2"/>
    <row r="43331" customFormat="1" x14ac:dyDescent="0.2"/>
    <row r="43332" customFormat="1" x14ac:dyDescent="0.2"/>
    <row r="43333" customFormat="1" x14ac:dyDescent="0.2"/>
    <row r="43334" customFormat="1" x14ac:dyDescent="0.2"/>
    <row r="43335" customFormat="1" x14ac:dyDescent="0.2"/>
    <row r="43336" customFormat="1" x14ac:dyDescent="0.2"/>
    <row r="43337" customFormat="1" x14ac:dyDescent="0.2"/>
    <row r="43338" customFormat="1" x14ac:dyDescent="0.2"/>
    <row r="43339" customFormat="1" x14ac:dyDescent="0.2"/>
    <row r="43340" customFormat="1" x14ac:dyDescent="0.2"/>
    <row r="43341" customFormat="1" x14ac:dyDescent="0.2"/>
    <row r="43342" customFormat="1" x14ac:dyDescent="0.2"/>
    <row r="43343" customFormat="1" x14ac:dyDescent="0.2"/>
    <row r="43344" customFormat="1" x14ac:dyDescent="0.2"/>
    <row r="43345" customFormat="1" x14ac:dyDescent="0.2"/>
    <row r="43346" customFormat="1" x14ac:dyDescent="0.2"/>
    <row r="43347" customFormat="1" x14ac:dyDescent="0.2"/>
    <row r="43348" customFormat="1" x14ac:dyDescent="0.2"/>
    <row r="43349" customFormat="1" x14ac:dyDescent="0.2"/>
    <row r="43350" customFormat="1" x14ac:dyDescent="0.2"/>
    <row r="43351" customFormat="1" x14ac:dyDescent="0.2"/>
    <row r="43352" customFormat="1" x14ac:dyDescent="0.2"/>
    <row r="43353" customFormat="1" x14ac:dyDescent="0.2"/>
    <row r="43354" customFormat="1" x14ac:dyDescent="0.2"/>
    <row r="43355" customFormat="1" x14ac:dyDescent="0.2"/>
    <row r="43356" customFormat="1" x14ac:dyDescent="0.2"/>
    <row r="43357" customFormat="1" x14ac:dyDescent="0.2"/>
    <row r="43358" customFormat="1" x14ac:dyDescent="0.2"/>
    <row r="43359" customFormat="1" x14ac:dyDescent="0.2"/>
    <row r="43360" customFormat="1" x14ac:dyDescent="0.2"/>
    <row r="43361" customFormat="1" x14ac:dyDescent="0.2"/>
    <row r="43362" customFormat="1" x14ac:dyDescent="0.2"/>
    <row r="43363" customFormat="1" x14ac:dyDescent="0.2"/>
    <row r="43364" customFormat="1" x14ac:dyDescent="0.2"/>
    <row r="43365" customFormat="1" x14ac:dyDescent="0.2"/>
    <row r="43366" customFormat="1" x14ac:dyDescent="0.2"/>
    <row r="43367" customFormat="1" x14ac:dyDescent="0.2"/>
    <row r="43368" customFormat="1" x14ac:dyDescent="0.2"/>
    <row r="43369" customFormat="1" x14ac:dyDescent="0.2"/>
    <row r="43370" customFormat="1" x14ac:dyDescent="0.2"/>
    <row r="43371" customFormat="1" x14ac:dyDescent="0.2"/>
    <row r="43372" customFormat="1" x14ac:dyDescent="0.2"/>
    <row r="43373" customFormat="1" x14ac:dyDescent="0.2"/>
    <row r="43374" customFormat="1" x14ac:dyDescent="0.2"/>
    <row r="43375" customFormat="1" x14ac:dyDescent="0.2"/>
    <row r="43376" customFormat="1" x14ac:dyDescent="0.2"/>
    <row r="43377" customFormat="1" x14ac:dyDescent="0.2"/>
    <row r="43378" customFormat="1" x14ac:dyDescent="0.2"/>
    <row r="43379" customFormat="1" x14ac:dyDescent="0.2"/>
    <row r="43380" customFormat="1" x14ac:dyDescent="0.2"/>
    <row r="43381" customFormat="1" x14ac:dyDescent="0.2"/>
    <row r="43382" customFormat="1" x14ac:dyDescent="0.2"/>
    <row r="43383" customFormat="1" x14ac:dyDescent="0.2"/>
    <row r="43384" customFormat="1" x14ac:dyDescent="0.2"/>
    <row r="43385" customFormat="1" x14ac:dyDescent="0.2"/>
    <row r="43386" customFormat="1" x14ac:dyDescent="0.2"/>
    <row r="43387" customFormat="1" x14ac:dyDescent="0.2"/>
    <row r="43388" customFormat="1" x14ac:dyDescent="0.2"/>
    <row r="43389" customFormat="1" x14ac:dyDescent="0.2"/>
    <row r="43390" customFormat="1" x14ac:dyDescent="0.2"/>
    <row r="43391" customFormat="1" x14ac:dyDescent="0.2"/>
    <row r="43392" customFormat="1" x14ac:dyDescent="0.2"/>
    <row r="43393" customFormat="1" x14ac:dyDescent="0.2"/>
    <row r="43394" customFormat="1" x14ac:dyDescent="0.2"/>
    <row r="43395" customFormat="1" x14ac:dyDescent="0.2"/>
    <row r="43396" customFormat="1" x14ac:dyDescent="0.2"/>
    <row r="43397" customFormat="1" x14ac:dyDescent="0.2"/>
    <row r="43398" customFormat="1" x14ac:dyDescent="0.2"/>
    <row r="43399" customFormat="1" x14ac:dyDescent="0.2"/>
    <row r="43400" customFormat="1" x14ac:dyDescent="0.2"/>
    <row r="43401" customFormat="1" x14ac:dyDescent="0.2"/>
    <row r="43402" customFormat="1" x14ac:dyDescent="0.2"/>
    <row r="43403" customFormat="1" x14ac:dyDescent="0.2"/>
    <row r="43404" customFormat="1" x14ac:dyDescent="0.2"/>
    <row r="43405" customFormat="1" x14ac:dyDescent="0.2"/>
    <row r="43406" customFormat="1" x14ac:dyDescent="0.2"/>
    <row r="43407" customFormat="1" x14ac:dyDescent="0.2"/>
    <row r="43408" customFormat="1" x14ac:dyDescent="0.2"/>
    <row r="43409" customFormat="1" x14ac:dyDescent="0.2"/>
    <row r="43410" customFormat="1" x14ac:dyDescent="0.2"/>
    <row r="43411" customFormat="1" x14ac:dyDescent="0.2"/>
    <row r="43412" customFormat="1" x14ac:dyDescent="0.2"/>
    <row r="43413" customFormat="1" x14ac:dyDescent="0.2"/>
    <row r="43414" customFormat="1" x14ac:dyDescent="0.2"/>
    <row r="43415" customFormat="1" x14ac:dyDescent="0.2"/>
    <row r="43416" customFormat="1" x14ac:dyDescent="0.2"/>
    <row r="43417" customFormat="1" x14ac:dyDescent="0.2"/>
    <row r="43418" customFormat="1" x14ac:dyDescent="0.2"/>
    <row r="43419" customFormat="1" x14ac:dyDescent="0.2"/>
    <row r="43420" customFormat="1" x14ac:dyDescent="0.2"/>
    <row r="43421" customFormat="1" x14ac:dyDescent="0.2"/>
    <row r="43422" customFormat="1" x14ac:dyDescent="0.2"/>
    <row r="43423" customFormat="1" x14ac:dyDescent="0.2"/>
    <row r="43424" customFormat="1" x14ac:dyDescent="0.2"/>
    <row r="43425" customFormat="1" x14ac:dyDescent="0.2"/>
    <row r="43426" customFormat="1" x14ac:dyDescent="0.2"/>
    <row r="43427" customFormat="1" x14ac:dyDescent="0.2"/>
    <row r="43428" customFormat="1" x14ac:dyDescent="0.2"/>
    <row r="43429" customFormat="1" x14ac:dyDescent="0.2"/>
    <row r="43430" customFormat="1" x14ac:dyDescent="0.2"/>
    <row r="43431" customFormat="1" x14ac:dyDescent="0.2"/>
    <row r="43432" customFormat="1" x14ac:dyDescent="0.2"/>
    <row r="43433" customFormat="1" x14ac:dyDescent="0.2"/>
    <row r="43434" customFormat="1" x14ac:dyDescent="0.2"/>
    <row r="43435" customFormat="1" x14ac:dyDescent="0.2"/>
    <row r="43436" customFormat="1" x14ac:dyDescent="0.2"/>
    <row r="43437" customFormat="1" x14ac:dyDescent="0.2"/>
    <row r="43438" customFormat="1" x14ac:dyDescent="0.2"/>
    <row r="43439" customFormat="1" x14ac:dyDescent="0.2"/>
    <row r="43440" customFormat="1" x14ac:dyDescent="0.2"/>
    <row r="43441" customFormat="1" x14ac:dyDescent="0.2"/>
    <row r="43442" customFormat="1" x14ac:dyDescent="0.2"/>
    <row r="43443" customFormat="1" x14ac:dyDescent="0.2"/>
    <row r="43444" customFormat="1" x14ac:dyDescent="0.2"/>
    <row r="43445" customFormat="1" x14ac:dyDescent="0.2"/>
    <row r="43446" customFormat="1" x14ac:dyDescent="0.2"/>
    <row r="43447" customFormat="1" x14ac:dyDescent="0.2"/>
    <row r="43448" customFormat="1" x14ac:dyDescent="0.2"/>
    <row r="43449" customFormat="1" x14ac:dyDescent="0.2"/>
    <row r="43450" customFormat="1" x14ac:dyDescent="0.2"/>
    <row r="43451" customFormat="1" x14ac:dyDescent="0.2"/>
    <row r="43452" customFormat="1" x14ac:dyDescent="0.2"/>
    <row r="43453" customFormat="1" x14ac:dyDescent="0.2"/>
    <row r="43454" customFormat="1" x14ac:dyDescent="0.2"/>
    <row r="43455" customFormat="1" x14ac:dyDescent="0.2"/>
    <row r="43456" customFormat="1" x14ac:dyDescent="0.2"/>
    <row r="43457" customFormat="1" x14ac:dyDescent="0.2"/>
    <row r="43458" customFormat="1" x14ac:dyDescent="0.2"/>
    <row r="43459" customFormat="1" x14ac:dyDescent="0.2"/>
    <row r="43460" customFormat="1" x14ac:dyDescent="0.2"/>
    <row r="43461" customFormat="1" x14ac:dyDescent="0.2"/>
    <row r="43462" customFormat="1" x14ac:dyDescent="0.2"/>
    <row r="43463" customFormat="1" x14ac:dyDescent="0.2"/>
    <row r="43464" customFormat="1" x14ac:dyDescent="0.2"/>
    <row r="43465" customFormat="1" x14ac:dyDescent="0.2"/>
    <row r="43466" customFormat="1" x14ac:dyDescent="0.2"/>
    <row r="43467" customFormat="1" x14ac:dyDescent="0.2"/>
    <row r="43468" customFormat="1" x14ac:dyDescent="0.2"/>
    <row r="43469" customFormat="1" x14ac:dyDescent="0.2"/>
    <row r="43470" customFormat="1" x14ac:dyDescent="0.2"/>
    <row r="43471" customFormat="1" x14ac:dyDescent="0.2"/>
    <row r="43472" customFormat="1" x14ac:dyDescent="0.2"/>
    <row r="43473" customFormat="1" x14ac:dyDescent="0.2"/>
    <row r="43474" customFormat="1" x14ac:dyDescent="0.2"/>
    <row r="43475" customFormat="1" x14ac:dyDescent="0.2"/>
    <row r="43476" customFormat="1" x14ac:dyDescent="0.2"/>
    <row r="43477" customFormat="1" x14ac:dyDescent="0.2"/>
    <row r="43478" customFormat="1" x14ac:dyDescent="0.2"/>
    <row r="43479" customFormat="1" x14ac:dyDescent="0.2"/>
    <row r="43480" customFormat="1" x14ac:dyDescent="0.2"/>
    <row r="43481" customFormat="1" x14ac:dyDescent="0.2"/>
    <row r="43482" customFormat="1" x14ac:dyDescent="0.2"/>
    <row r="43483" customFormat="1" x14ac:dyDescent="0.2"/>
    <row r="43484" customFormat="1" x14ac:dyDescent="0.2"/>
    <row r="43485" customFormat="1" x14ac:dyDescent="0.2"/>
    <row r="43486" customFormat="1" x14ac:dyDescent="0.2"/>
    <row r="43487" customFormat="1" x14ac:dyDescent="0.2"/>
    <row r="43488" customFormat="1" x14ac:dyDescent="0.2"/>
    <row r="43489" customFormat="1" x14ac:dyDescent="0.2"/>
    <row r="43490" customFormat="1" x14ac:dyDescent="0.2"/>
    <row r="43491" customFormat="1" x14ac:dyDescent="0.2"/>
    <row r="43492" customFormat="1" x14ac:dyDescent="0.2"/>
    <row r="43493" customFormat="1" x14ac:dyDescent="0.2"/>
    <row r="43494" customFormat="1" x14ac:dyDescent="0.2"/>
    <row r="43495" customFormat="1" x14ac:dyDescent="0.2"/>
    <row r="43496" customFormat="1" x14ac:dyDescent="0.2"/>
    <row r="43497" customFormat="1" x14ac:dyDescent="0.2"/>
    <row r="43498" customFormat="1" x14ac:dyDescent="0.2"/>
    <row r="43499" customFormat="1" x14ac:dyDescent="0.2"/>
    <row r="43500" customFormat="1" x14ac:dyDescent="0.2"/>
    <row r="43501" customFormat="1" x14ac:dyDescent="0.2"/>
    <row r="43502" customFormat="1" x14ac:dyDescent="0.2"/>
    <row r="43503" customFormat="1" x14ac:dyDescent="0.2"/>
    <row r="43504" customFormat="1" x14ac:dyDescent="0.2"/>
    <row r="43505" customFormat="1" x14ac:dyDescent="0.2"/>
    <row r="43506" customFormat="1" x14ac:dyDescent="0.2"/>
    <row r="43507" customFormat="1" x14ac:dyDescent="0.2"/>
    <row r="43508" customFormat="1" x14ac:dyDescent="0.2"/>
    <row r="43509" customFormat="1" x14ac:dyDescent="0.2"/>
    <row r="43510" customFormat="1" x14ac:dyDescent="0.2"/>
    <row r="43511" customFormat="1" x14ac:dyDescent="0.2"/>
    <row r="43512" customFormat="1" x14ac:dyDescent="0.2"/>
    <row r="43513" customFormat="1" x14ac:dyDescent="0.2"/>
    <row r="43514" customFormat="1" x14ac:dyDescent="0.2"/>
    <row r="43515" customFormat="1" x14ac:dyDescent="0.2"/>
    <row r="43516" customFormat="1" x14ac:dyDescent="0.2"/>
    <row r="43517" customFormat="1" x14ac:dyDescent="0.2"/>
    <row r="43518" customFormat="1" x14ac:dyDescent="0.2"/>
    <row r="43519" customFormat="1" x14ac:dyDescent="0.2"/>
    <row r="43520" customFormat="1" x14ac:dyDescent="0.2"/>
    <row r="43521" customFormat="1" x14ac:dyDescent="0.2"/>
    <row r="43522" customFormat="1" x14ac:dyDescent="0.2"/>
    <row r="43523" customFormat="1" x14ac:dyDescent="0.2"/>
    <row r="43524" customFormat="1" x14ac:dyDescent="0.2"/>
    <row r="43525" customFormat="1" x14ac:dyDescent="0.2"/>
    <row r="43526" customFormat="1" x14ac:dyDescent="0.2"/>
    <row r="43527" customFormat="1" x14ac:dyDescent="0.2"/>
    <row r="43528" customFormat="1" x14ac:dyDescent="0.2"/>
    <row r="43529" customFormat="1" x14ac:dyDescent="0.2"/>
    <row r="43530" customFormat="1" x14ac:dyDescent="0.2"/>
    <row r="43531" customFormat="1" x14ac:dyDescent="0.2"/>
    <row r="43532" customFormat="1" x14ac:dyDescent="0.2"/>
    <row r="43533" customFormat="1" x14ac:dyDescent="0.2"/>
    <row r="43534" customFormat="1" x14ac:dyDescent="0.2"/>
    <row r="43535" customFormat="1" x14ac:dyDescent="0.2"/>
    <row r="43536" customFormat="1" x14ac:dyDescent="0.2"/>
    <row r="43537" customFormat="1" x14ac:dyDescent="0.2"/>
    <row r="43538" customFormat="1" x14ac:dyDescent="0.2"/>
    <row r="43539" customFormat="1" x14ac:dyDescent="0.2"/>
    <row r="43540" customFormat="1" x14ac:dyDescent="0.2"/>
    <row r="43541" customFormat="1" x14ac:dyDescent="0.2"/>
    <row r="43542" customFormat="1" x14ac:dyDescent="0.2"/>
    <row r="43543" customFormat="1" x14ac:dyDescent="0.2"/>
    <row r="43544" customFormat="1" x14ac:dyDescent="0.2"/>
    <row r="43545" customFormat="1" x14ac:dyDescent="0.2"/>
    <row r="43546" customFormat="1" x14ac:dyDescent="0.2"/>
    <row r="43547" customFormat="1" x14ac:dyDescent="0.2"/>
    <row r="43548" customFormat="1" x14ac:dyDescent="0.2"/>
    <row r="43549" customFormat="1" x14ac:dyDescent="0.2"/>
    <row r="43550" customFormat="1" x14ac:dyDescent="0.2"/>
    <row r="43551" customFormat="1" x14ac:dyDescent="0.2"/>
    <row r="43552" customFormat="1" x14ac:dyDescent="0.2"/>
    <row r="43553" customFormat="1" x14ac:dyDescent="0.2"/>
    <row r="43554" customFormat="1" x14ac:dyDescent="0.2"/>
    <row r="43555" customFormat="1" x14ac:dyDescent="0.2"/>
    <row r="43556" customFormat="1" x14ac:dyDescent="0.2"/>
    <row r="43557" customFormat="1" x14ac:dyDescent="0.2"/>
    <row r="43558" customFormat="1" x14ac:dyDescent="0.2"/>
    <row r="43559" customFormat="1" x14ac:dyDescent="0.2"/>
    <row r="43560" customFormat="1" x14ac:dyDescent="0.2"/>
    <row r="43561" customFormat="1" x14ac:dyDescent="0.2"/>
    <row r="43562" customFormat="1" x14ac:dyDescent="0.2"/>
    <row r="43563" customFormat="1" x14ac:dyDescent="0.2"/>
    <row r="43564" customFormat="1" x14ac:dyDescent="0.2"/>
    <row r="43565" customFormat="1" x14ac:dyDescent="0.2"/>
    <row r="43566" customFormat="1" x14ac:dyDescent="0.2"/>
    <row r="43567" customFormat="1" x14ac:dyDescent="0.2"/>
    <row r="43568" customFormat="1" x14ac:dyDescent="0.2"/>
    <row r="43569" customFormat="1" x14ac:dyDescent="0.2"/>
    <row r="43570" customFormat="1" x14ac:dyDescent="0.2"/>
    <row r="43571" customFormat="1" x14ac:dyDescent="0.2"/>
    <row r="43572" customFormat="1" x14ac:dyDescent="0.2"/>
    <row r="43573" customFormat="1" x14ac:dyDescent="0.2"/>
    <row r="43574" customFormat="1" x14ac:dyDescent="0.2"/>
    <row r="43575" customFormat="1" x14ac:dyDescent="0.2"/>
    <row r="43576" customFormat="1" x14ac:dyDescent="0.2"/>
    <row r="43577" customFormat="1" x14ac:dyDescent="0.2"/>
    <row r="43578" customFormat="1" x14ac:dyDescent="0.2"/>
    <row r="43579" customFormat="1" x14ac:dyDescent="0.2"/>
    <row r="43580" customFormat="1" x14ac:dyDescent="0.2"/>
    <row r="43581" customFormat="1" x14ac:dyDescent="0.2"/>
    <row r="43582" customFormat="1" x14ac:dyDescent="0.2"/>
    <row r="43583" customFormat="1" x14ac:dyDescent="0.2"/>
    <row r="43584" customFormat="1" x14ac:dyDescent="0.2"/>
    <row r="43585" customFormat="1" x14ac:dyDescent="0.2"/>
    <row r="43586" customFormat="1" x14ac:dyDescent="0.2"/>
    <row r="43587" customFormat="1" x14ac:dyDescent="0.2"/>
    <row r="43588" customFormat="1" x14ac:dyDescent="0.2"/>
    <row r="43589" customFormat="1" x14ac:dyDescent="0.2"/>
    <row r="43590" customFormat="1" x14ac:dyDescent="0.2"/>
    <row r="43591" customFormat="1" x14ac:dyDescent="0.2"/>
    <row r="43592" customFormat="1" x14ac:dyDescent="0.2"/>
    <row r="43593" customFormat="1" x14ac:dyDescent="0.2"/>
    <row r="43594" customFormat="1" x14ac:dyDescent="0.2"/>
    <row r="43595" customFormat="1" x14ac:dyDescent="0.2"/>
    <row r="43596" customFormat="1" x14ac:dyDescent="0.2"/>
    <row r="43597" customFormat="1" x14ac:dyDescent="0.2"/>
    <row r="43598" customFormat="1" x14ac:dyDescent="0.2"/>
    <row r="43599" customFormat="1" x14ac:dyDescent="0.2"/>
    <row r="43600" customFormat="1" x14ac:dyDescent="0.2"/>
    <row r="43601" customFormat="1" x14ac:dyDescent="0.2"/>
    <row r="43602" customFormat="1" x14ac:dyDescent="0.2"/>
    <row r="43603" customFormat="1" x14ac:dyDescent="0.2"/>
    <row r="43604" customFormat="1" x14ac:dyDescent="0.2"/>
    <row r="43605" customFormat="1" x14ac:dyDescent="0.2"/>
    <row r="43606" customFormat="1" x14ac:dyDescent="0.2"/>
    <row r="43607" customFormat="1" x14ac:dyDescent="0.2"/>
    <row r="43608" customFormat="1" x14ac:dyDescent="0.2"/>
    <row r="43609" customFormat="1" x14ac:dyDescent="0.2"/>
    <row r="43610" customFormat="1" x14ac:dyDescent="0.2"/>
    <row r="43611" customFormat="1" x14ac:dyDescent="0.2"/>
    <row r="43612" customFormat="1" x14ac:dyDescent="0.2"/>
    <row r="43613" customFormat="1" x14ac:dyDescent="0.2"/>
    <row r="43614" customFormat="1" x14ac:dyDescent="0.2"/>
    <row r="43615" customFormat="1" x14ac:dyDescent="0.2"/>
    <row r="43616" customFormat="1" x14ac:dyDescent="0.2"/>
    <row r="43617" customFormat="1" x14ac:dyDescent="0.2"/>
    <row r="43618" customFormat="1" x14ac:dyDescent="0.2"/>
    <row r="43619" customFormat="1" x14ac:dyDescent="0.2"/>
    <row r="43620" customFormat="1" x14ac:dyDescent="0.2"/>
    <row r="43621" customFormat="1" x14ac:dyDescent="0.2"/>
    <row r="43622" customFormat="1" x14ac:dyDescent="0.2"/>
    <row r="43623" customFormat="1" x14ac:dyDescent="0.2"/>
    <row r="43624" customFormat="1" x14ac:dyDescent="0.2"/>
    <row r="43625" customFormat="1" x14ac:dyDescent="0.2"/>
    <row r="43626" customFormat="1" x14ac:dyDescent="0.2"/>
    <row r="43627" customFormat="1" x14ac:dyDescent="0.2"/>
    <row r="43628" customFormat="1" x14ac:dyDescent="0.2"/>
    <row r="43629" customFormat="1" x14ac:dyDescent="0.2"/>
    <row r="43630" customFormat="1" x14ac:dyDescent="0.2"/>
    <row r="43631" customFormat="1" x14ac:dyDescent="0.2"/>
    <row r="43632" customFormat="1" x14ac:dyDescent="0.2"/>
    <row r="43633" customFormat="1" x14ac:dyDescent="0.2"/>
    <row r="43634" customFormat="1" x14ac:dyDescent="0.2"/>
    <row r="43635" customFormat="1" x14ac:dyDescent="0.2"/>
    <row r="43636" customFormat="1" x14ac:dyDescent="0.2"/>
    <row r="43637" customFormat="1" x14ac:dyDescent="0.2"/>
    <row r="43638" customFormat="1" x14ac:dyDescent="0.2"/>
    <row r="43639" customFormat="1" x14ac:dyDescent="0.2"/>
    <row r="43640" customFormat="1" x14ac:dyDescent="0.2"/>
    <row r="43641" customFormat="1" x14ac:dyDescent="0.2"/>
    <row r="43642" customFormat="1" x14ac:dyDescent="0.2"/>
    <row r="43643" customFormat="1" x14ac:dyDescent="0.2"/>
    <row r="43644" customFormat="1" x14ac:dyDescent="0.2"/>
    <row r="43645" customFormat="1" x14ac:dyDescent="0.2"/>
    <row r="43646" customFormat="1" x14ac:dyDescent="0.2"/>
    <row r="43647" customFormat="1" x14ac:dyDescent="0.2"/>
    <row r="43648" customFormat="1" x14ac:dyDescent="0.2"/>
    <row r="43649" customFormat="1" x14ac:dyDescent="0.2"/>
    <row r="43650" customFormat="1" x14ac:dyDescent="0.2"/>
    <row r="43651" customFormat="1" x14ac:dyDescent="0.2"/>
    <row r="43652" customFormat="1" x14ac:dyDescent="0.2"/>
    <row r="43653" customFormat="1" x14ac:dyDescent="0.2"/>
    <row r="43654" customFormat="1" x14ac:dyDescent="0.2"/>
    <row r="43655" customFormat="1" x14ac:dyDescent="0.2"/>
    <row r="43656" customFormat="1" x14ac:dyDescent="0.2"/>
    <row r="43657" customFormat="1" x14ac:dyDescent="0.2"/>
    <row r="43658" customFormat="1" x14ac:dyDescent="0.2"/>
    <row r="43659" customFormat="1" x14ac:dyDescent="0.2"/>
    <row r="43660" customFormat="1" x14ac:dyDescent="0.2"/>
    <row r="43661" customFormat="1" x14ac:dyDescent="0.2"/>
    <row r="43662" customFormat="1" x14ac:dyDescent="0.2"/>
    <row r="43663" customFormat="1" x14ac:dyDescent="0.2"/>
    <row r="43664" customFormat="1" x14ac:dyDescent="0.2"/>
    <row r="43665" customFormat="1" x14ac:dyDescent="0.2"/>
    <row r="43666" customFormat="1" x14ac:dyDescent="0.2"/>
    <row r="43667" customFormat="1" x14ac:dyDescent="0.2"/>
    <row r="43668" customFormat="1" x14ac:dyDescent="0.2"/>
    <row r="43669" customFormat="1" x14ac:dyDescent="0.2"/>
    <row r="43670" customFormat="1" x14ac:dyDescent="0.2"/>
    <row r="43671" customFormat="1" x14ac:dyDescent="0.2"/>
    <row r="43672" customFormat="1" x14ac:dyDescent="0.2"/>
    <row r="43673" customFormat="1" x14ac:dyDescent="0.2"/>
    <row r="43674" customFormat="1" x14ac:dyDescent="0.2"/>
    <row r="43675" customFormat="1" x14ac:dyDescent="0.2"/>
    <row r="43676" customFormat="1" x14ac:dyDescent="0.2"/>
    <row r="43677" customFormat="1" x14ac:dyDescent="0.2"/>
    <row r="43678" customFormat="1" x14ac:dyDescent="0.2"/>
    <row r="43679" customFormat="1" x14ac:dyDescent="0.2"/>
    <row r="43680" customFormat="1" x14ac:dyDescent="0.2"/>
    <row r="43681" customFormat="1" x14ac:dyDescent="0.2"/>
    <row r="43682" customFormat="1" x14ac:dyDescent="0.2"/>
    <row r="43683" customFormat="1" x14ac:dyDescent="0.2"/>
    <row r="43684" customFormat="1" x14ac:dyDescent="0.2"/>
    <row r="43685" customFormat="1" x14ac:dyDescent="0.2"/>
    <row r="43686" customFormat="1" x14ac:dyDescent="0.2"/>
    <row r="43687" customFormat="1" x14ac:dyDescent="0.2"/>
    <row r="43688" customFormat="1" x14ac:dyDescent="0.2"/>
    <row r="43689" customFormat="1" x14ac:dyDescent="0.2"/>
    <row r="43690" customFormat="1" x14ac:dyDescent="0.2"/>
    <row r="43691" customFormat="1" x14ac:dyDescent="0.2"/>
    <row r="43692" customFormat="1" x14ac:dyDescent="0.2"/>
    <row r="43693" customFormat="1" x14ac:dyDescent="0.2"/>
    <row r="43694" customFormat="1" x14ac:dyDescent="0.2"/>
    <row r="43695" customFormat="1" x14ac:dyDescent="0.2"/>
    <row r="43696" customFormat="1" x14ac:dyDescent="0.2"/>
    <row r="43697" customFormat="1" x14ac:dyDescent="0.2"/>
    <row r="43698" customFormat="1" x14ac:dyDescent="0.2"/>
    <row r="43699" customFormat="1" x14ac:dyDescent="0.2"/>
    <row r="43700" customFormat="1" x14ac:dyDescent="0.2"/>
    <row r="43701" customFormat="1" x14ac:dyDescent="0.2"/>
    <row r="43702" customFormat="1" x14ac:dyDescent="0.2"/>
    <row r="43703" customFormat="1" x14ac:dyDescent="0.2"/>
    <row r="43704" customFormat="1" x14ac:dyDescent="0.2"/>
    <row r="43705" customFormat="1" x14ac:dyDescent="0.2"/>
    <row r="43706" customFormat="1" x14ac:dyDescent="0.2"/>
    <row r="43707" customFormat="1" x14ac:dyDescent="0.2"/>
    <row r="43708" customFormat="1" x14ac:dyDescent="0.2"/>
    <row r="43709" customFormat="1" x14ac:dyDescent="0.2"/>
    <row r="43710" customFormat="1" x14ac:dyDescent="0.2"/>
    <row r="43711" customFormat="1" x14ac:dyDescent="0.2"/>
    <row r="43712" customFormat="1" x14ac:dyDescent="0.2"/>
    <row r="43713" customFormat="1" x14ac:dyDescent="0.2"/>
    <row r="43714" customFormat="1" x14ac:dyDescent="0.2"/>
    <row r="43715" customFormat="1" x14ac:dyDescent="0.2"/>
    <row r="43716" customFormat="1" x14ac:dyDescent="0.2"/>
    <row r="43717" customFormat="1" x14ac:dyDescent="0.2"/>
    <row r="43718" customFormat="1" x14ac:dyDescent="0.2"/>
    <row r="43719" customFormat="1" x14ac:dyDescent="0.2"/>
    <row r="43720" customFormat="1" x14ac:dyDescent="0.2"/>
    <row r="43721" customFormat="1" x14ac:dyDescent="0.2"/>
    <row r="43722" customFormat="1" x14ac:dyDescent="0.2"/>
    <row r="43723" customFormat="1" x14ac:dyDescent="0.2"/>
    <row r="43724" customFormat="1" x14ac:dyDescent="0.2"/>
    <row r="43725" customFormat="1" x14ac:dyDescent="0.2"/>
    <row r="43726" customFormat="1" x14ac:dyDescent="0.2"/>
    <row r="43727" customFormat="1" x14ac:dyDescent="0.2"/>
    <row r="43728" customFormat="1" x14ac:dyDescent="0.2"/>
    <row r="43729" customFormat="1" x14ac:dyDescent="0.2"/>
    <row r="43730" customFormat="1" x14ac:dyDescent="0.2"/>
    <row r="43731" customFormat="1" x14ac:dyDescent="0.2"/>
    <row r="43732" customFormat="1" x14ac:dyDescent="0.2"/>
    <row r="43733" customFormat="1" x14ac:dyDescent="0.2"/>
    <row r="43734" customFormat="1" x14ac:dyDescent="0.2"/>
    <row r="43735" customFormat="1" x14ac:dyDescent="0.2"/>
    <row r="43736" customFormat="1" x14ac:dyDescent="0.2"/>
    <row r="43737" customFormat="1" x14ac:dyDescent="0.2"/>
    <row r="43738" customFormat="1" x14ac:dyDescent="0.2"/>
    <row r="43739" customFormat="1" x14ac:dyDescent="0.2"/>
    <row r="43740" customFormat="1" x14ac:dyDescent="0.2"/>
    <row r="43741" customFormat="1" x14ac:dyDescent="0.2"/>
    <row r="43742" customFormat="1" x14ac:dyDescent="0.2"/>
    <row r="43743" customFormat="1" x14ac:dyDescent="0.2"/>
    <row r="43744" customFormat="1" x14ac:dyDescent="0.2"/>
    <row r="43745" customFormat="1" x14ac:dyDescent="0.2"/>
    <row r="43746" customFormat="1" x14ac:dyDescent="0.2"/>
    <row r="43747" customFormat="1" x14ac:dyDescent="0.2"/>
    <row r="43748" customFormat="1" x14ac:dyDescent="0.2"/>
    <row r="43749" customFormat="1" x14ac:dyDescent="0.2"/>
    <row r="43750" customFormat="1" x14ac:dyDescent="0.2"/>
    <row r="43751" customFormat="1" x14ac:dyDescent="0.2"/>
    <row r="43752" customFormat="1" x14ac:dyDescent="0.2"/>
    <row r="43753" customFormat="1" x14ac:dyDescent="0.2"/>
    <row r="43754" customFormat="1" x14ac:dyDescent="0.2"/>
    <row r="43755" customFormat="1" x14ac:dyDescent="0.2"/>
    <row r="43756" customFormat="1" x14ac:dyDescent="0.2"/>
    <row r="43757" customFormat="1" x14ac:dyDescent="0.2"/>
    <row r="43758" customFormat="1" x14ac:dyDescent="0.2"/>
    <row r="43759" customFormat="1" x14ac:dyDescent="0.2"/>
    <row r="43760" customFormat="1" x14ac:dyDescent="0.2"/>
    <row r="43761" customFormat="1" x14ac:dyDescent="0.2"/>
    <row r="43762" customFormat="1" x14ac:dyDescent="0.2"/>
    <row r="43763" customFormat="1" x14ac:dyDescent="0.2"/>
    <row r="43764" customFormat="1" x14ac:dyDescent="0.2"/>
    <row r="43765" customFormat="1" x14ac:dyDescent="0.2"/>
    <row r="43766" customFormat="1" x14ac:dyDescent="0.2"/>
    <row r="43767" customFormat="1" x14ac:dyDescent="0.2"/>
    <row r="43768" customFormat="1" x14ac:dyDescent="0.2"/>
    <row r="43769" customFormat="1" x14ac:dyDescent="0.2"/>
    <row r="43770" customFormat="1" x14ac:dyDescent="0.2"/>
    <row r="43771" customFormat="1" x14ac:dyDescent="0.2"/>
    <row r="43772" customFormat="1" x14ac:dyDescent="0.2"/>
    <row r="43773" customFormat="1" x14ac:dyDescent="0.2"/>
    <row r="43774" customFormat="1" x14ac:dyDescent="0.2"/>
    <row r="43775" customFormat="1" x14ac:dyDescent="0.2"/>
    <row r="43776" customFormat="1" x14ac:dyDescent="0.2"/>
    <row r="43777" customFormat="1" x14ac:dyDescent="0.2"/>
    <row r="43778" customFormat="1" x14ac:dyDescent="0.2"/>
    <row r="43779" customFormat="1" x14ac:dyDescent="0.2"/>
    <row r="43780" customFormat="1" x14ac:dyDescent="0.2"/>
    <row r="43781" customFormat="1" x14ac:dyDescent="0.2"/>
    <row r="43782" customFormat="1" x14ac:dyDescent="0.2"/>
    <row r="43783" customFormat="1" x14ac:dyDescent="0.2"/>
    <row r="43784" customFormat="1" x14ac:dyDescent="0.2"/>
    <row r="43785" customFormat="1" x14ac:dyDescent="0.2"/>
    <row r="43786" customFormat="1" x14ac:dyDescent="0.2"/>
    <row r="43787" customFormat="1" x14ac:dyDescent="0.2"/>
    <row r="43788" customFormat="1" x14ac:dyDescent="0.2"/>
    <row r="43789" customFormat="1" x14ac:dyDescent="0.2"/>
    <row r="43790" customFormat="1" x14ac:dyDescent="0.2"/>
    <row r="43791" customFormat="1" x14ac:dyDescent="0.2"/>
    <row r="43792" customFormat="1" x14ac:dyDescent="0.2"/>
    <row r="43793" customFormat="1" x14ac:dyDescent="0.2"/>
    <row r="43794" customFormat="1" x14ac:dyDescent="0.2"/>
    <row r="43795" customFormat="1" x14ac:dyDescent="0.2"/>
    <row r="43796" customFormat="1" x14ac:dyDescent="0.2"/>
    <row r="43797" customFormat="1" x14ac:dyDescent="0.2"/>
    <row r="43798" customFormat="1" x14ac:dyDescent="0.2"/>
    <row r="43799" customFormat="1" x14ac:dyDescent="0.2"/>
    <row r="43800" customFormat="1" x14ac:dyDescent="0.2"/>
    <row r="43801" customFormat="1" x14ac:dyDescent="0.2"/>
    <row r="43802" customFormat="1" x14ac:dyDescent="0.2"/>
    <row r="43803" customFormat="1" x14ac:dyDescent="0.2"/>
    <row r="43804" customFormat="1" x14ac:dyDescent="0.2"/>
    <row r="43805" customFormat="1" x14ac:dyDescent="0.2"/>
    <row r="43806" customFormat="1" x14ac:dyDescent="0.2"/>
    <row r="43807" customFormat="1" x14ac:dyDescent="0.2"/>
    <row r="43808" customFormat="1" x14ac:dyDescent="0.2"/>
    <row r="43809" customFormat="1" x14ac:dyDescent="0.2"/>
    <row r="43810" customFormat="1" x14ac:dyDescent="0.2"/>
    <row r="43811" customFormat="1" x14ac:dyDescent="0.2"/>
    <row r="43812" customFormat="1" x14ac:dyDescent="0.2"/>
    <row r="43813" customFormat="1" x14ac:dyDescent="0.2"/>
    <row r="43814" customFormat="1" x14ac:dyDescent="0.2"/>
    <row r="43815" customFormat="1" x14ac:dyDescent="0.2"/>
    <row r="43816" customFormat="1" x14ac:dyDescent="0.2"/>
    <row r="43817" customFormat="1" x14ac:dyDescent="0.2"/>
    <row r="43818" customFormat="1" x14ac:dyDescent="0.2"/>
    <row r="43819" customFormat="1" x14ac:dyDescent="0.2"/>
    <row r="43820" customFormat="1" x14ac:dyDescent="0.2"/>
    <row r="43821" customFormat="1" x14ac:dyDescent="0.2"/>
    <row r="43822" customFormat="1" x14ac:dyDescent="0.2"/>
    <row r="43823" customFormat="1" x14ac:dyDescent="0.2"/>
    <row r="43824" customFormat="1" x14ac:dyDescent="0.2"/>
    <row r="43825" customFormat="1" x14ac:dyDescent="0.2"/>
    <row r="43826" customFormat="1" x14ac:dyDescent="0.2"/>
    <row r="43827" customFormat="1" x14ac:dyDescent="0.2"/>
    <row r="43828" customFormat="1" x14ac:dyDescent="0.2"/>
    <row r="43829" customFormat="1" x14ac:dyDescent="0.2"/>
    <row r="43830" customFormat="1" x14ac:dyDescent="0.2"/>
    <row r="43831" customFormat="1" x14ac:dyDescent="0.2"/>
    <row r="43832" customFormat="1" x14ac:dyDescent="0.2"/>
    <row r="43833" customFormat="1" x14ac:dyDescent="0.2"/>
    <row r="43834" customFormat="1" x14ac:dyDescent="0.2"/>
    <row r="43835" customFormat="1" x14ac:dyDescent="0.2"/>
    <row r="43836" customFormat="1" x14ac:dyDescent="0.2"/>
    <row r="43837" customFormat="1" x14ac:dyDescent="0.2"/>
    <row r="43838" customFormat="1" x14ac:dyDescent="0.2"/>
    <row r="43839" customFormat="1" x14ac:dyDescent="0.2"/>
    <row r="43840" customFormat="1" x14ac:dyDescent="0.2"/>
    <row r="43841" customFormat="1" x14ac:dyDescent="0.2"/>
    <row r="43842" customFormat="1" x14ac:dyDescent="0.2"/>
    <row r="43843" customFormat="1" x14ac:dyDescent="0.2"/>
    <row r="43844" customFormat="1" x14ac:dyDescent="0.2"/>
    <row r="43845" customFormat="1" x14ac:dyDescent="0.2"/>
    <row r="43846" customFormat="1" x14ac:dyDescent="0.2"/>
    <row r="43847" customFormat="1" x14ac:dyDescent="0.2"/>
    <row r="43848" customFormat="1" x14ac:dyDescent="0.2"/>
    <row r="43849" customFormat="1" x14ac:dyDescent="0.2"/>
    <row r="43850" customFormat="1" x14ac:dyDescent="0.2"/>
    <row r="43851" customFormat="1" x14ac:dyDescent="0.2"/>
    <row r="43852" customFormat="1" x14ac:dyDescent="0.2"/>
    <row r="43853" customFormat="1" x14ac:dyDescent="0.2"/>
    <row r="43854" customFormat="1" x14ac:dyDescent="0.2"/>
    <row r="43855" customFormat="1" x14ac:dyDescent="0.2"/>
    <row r="43856" customFormat="1" x14ac:dyDescent="0.2"/>
    <row r="43857" customFormat="1" x14ac:dyDescent="0.2"/>
    <row r="43858" customFormat="1" x14ac:dyDescent="0.2"/>
    <row r="43859" customFormat="1" x14ac:dyDescent="0.2"/>
    <row r="43860" customFormat="1" x14ac:dyDescent="0.2"/>
    <row r="43861" customFormat="1" x14ac:dyDescent="0.2"/>
    <row r="43862" customFormat="1" x14ac:dyDescent="0.2"/>
    <row r="43863" customFormat="1" x14ac:dyDescent="0.2"/>
    <row r="43864" customFormat="1" x14ac:dyDescent="0.2"/>
    <row r="43865" customFormat="1" x14ac:dyDescent="0.2"/>
    <row r="43866" customFormat="1" x14ac:dyDescent="0.2"/>
    <row r="43867" customFormat="1" x14ac:dyDescent="0.2"/>
    <row r="43868" customFormat="1" x14ac:dyDescent="0.2"/>
    <row r="43869" customFormat="1" x14ac:dyDescent="0.2"/>
    <row r="43870" customFormat="1" x14ac:dyDescent="0.2"/>
    <row r="43871" customFormat="1" x14ac:dyDescent="0.2"/>
    <row r="43872" customFormat="1" x14ac:dyDescent="0.2"/>
    <row r="43873" customFormat="1" x14ac:dyDescent="0.2"/>
    <row r="43874" customFormat="1" x14ac:dyDescent="0.2"/>
    <row r="43875" customFormat="1" x14ac:dyDescent="0.2"/>
    <row r="43876" customFormat="1" x14ac:dyDescent="0.2"/>
    <row r="43877" customFormat="1" x14ac:dyDescent="0.2"/>
    <row r="43878" customFormat="1" x14ac:dyDescent="0.2"/>
    <row r="43879" customFormat="1" x14ac:dyDescent="0.2"/>
    <row r="43880" customFormat="1" x14ac:dyDescent="0.2"/>
    <row r="43881" customFormat="1" x14ac:dyDescent="0.2"/>
    <row r="43882" customFormat="1" x14ac:dyDescent="0.2"/>
    <row r="43883" customFormat="1" x14ac:dyDescent="0.2"/>
    <row r="43884" customFormat="1" x14ac:dyDescent="0.2"/>
    <row r="43885" customFormat="1" x14ac:dyDescent="0.2"/>
    <row r="43886" customFormat="1" x14ac:dyDescent="0.2"/>
    <row r="43887" customFormat="1" x14ac:dyDescent="0.2"/>
    <row r="43888" customFormat="1" x14ac:dyDescent="0.2"/>
    <row r="43889" customFormat="1" x14ac:dyDescent="0.2"/>
    <row r="43890" customFormat="1" x14ac:dyDescent="0.2"/>
    <row r="43891" customFormat="1" x14ac:dyDescent="0.2"/>
    <row r="43892" customFormat="1" x14ac:dyDescent="0.2"/>
    <row r="43893" customFormat="1" x14ac:dyDescent="0.2"/>
    <row r="43894" customFormat="1" x14ac:dyDescent="0.2"/>
    <row r="43895" customFormat="1" x14ac:dyDescent="0.2"/>
    <row r="43896" customFormat="1" x14ac:dyDescent="0.2"/>
    <row r="43897" customFormat="1" x14ac:dyDescent="0.2"/>
    <row r="43898" customFormat="1" x14ac:dyDescent="0.2"/>
    <row r="43899" customFormat="1" x14ac:dyDescent="0.2"/>
    <row r="43900" customFormat="1" x14ac:dyDescent="0.2"/>
    <row r="43901" customFormat="1" x14ac:dyDescent="0.2"/>
    <row r="43902" customFormat="1" x14ac:dyDescent="0.2"/>
    <row r="43903" customFormat="1" x14ac:dyDescent="0.2"/>
    <row r="43904" customFormat="1" x14ac:dyDescent="0.2"/>
    <row r="43905" customFormat="1" x14ac:dyDescent="0.2"/>
    <row r="43906" customFormat="1" x14ac:dyDescent="0.2"/>
    <row r="43907" customFormat="1" x14ac:dyDescent="0.2"/>
    <row r="43908" customFormat="1" x14ac:dyDescent="0.2"/>
    <row r="43909" customFormat="1" x14ac:dyDescent="0.2"/>
    <row r="43910" customFormat="1" x14ac:dyDescent="0.2"/>
    <row r="43911" customFormat="1" x14ac:dyDescent="0.2"/>
    <row r="43912" customFormat="1" x14ac:dyDescent="0.2"/>
    <row r="43913" customFormat="1" x14ac:dyDescent="0.2"/>
    <row r="43914" customFormat="1" x14ac:dyDescent="0.2"/>
    <row r="43915" customFormat="1" x14ac:dyDescent="0.2"/>
    <row r="43916" customFormat="1" x14ac:dyDescent="0.2"/>
    <row r="43917" customFormat="1" x14ac:dyDescent="0.2"/>
    <row r="43918" customFormat="1" x14ac:dyDescent="0.2"/>
    <row r="43919" customFormat="1" x14ac:dyDescent="0.2"/>
    <row r="43920" customFormat="1" x14ac:dyDescent="0.2"/>
    <row r="43921" customFormat="1" x14ac:dyDescent="0.2"/>
    <row r="43922" customFormat="1" x14ac:dyDescent="0.2"/>
    <row r="43923" customFormat="1" x14ac:dyDescent="0.2"/>
    <row r="43924" customFormat="1" x14ac:dyDescent="0.2"/>
    <row r="43925" customFormat="1" x14ac:dyDescent="0.2"/>
    <row r="43926" customFormat="1" x14ac:dyDescent="0.2"/>
    <row r="43927" customFormat="1" x14ac:dyDescent="0.2"/>
    <row r="43928" customFormat="1" x14ac:dyDescent="0.2"/>
    <row r="43929" customFormat="1" x14ac:dyDescent="0.2"/>
    <row r="43930" customFormat="1" x14ac:dyDescent="0.2"/>
    <row r="43931" customFormat="1" x14ac:dyDescent="0.2"/>
    <row r="43932" customFormat="1" x14ac:dyDescent="0.2"/>
    <row r="43933" customFormat="1" x14ac:dyDescent="0.2"/>
    <row r="43934" customFormat="1" x14ac:dyDescent="0.2"/>
    <row r="43935" customFormat="1" x14ac:dyDescent="0.2"/>
    <row r="43936" customFormat="1" x14ac:dyDescent="0.2"/>
    <row r="43937" customFormat="1" x14ac:dyDescent="0.2"/>
    <row r="43938" customFormat="1" x14ac:dyDescent="0.2"/>
    <row r="43939" customFormat="1" x14ac:dyDescent="0.2"/>
    <row r="43940" customFormat="1" x14ac:dyDescent="0.2"/>
    <row r="43941" customFormat="1" x14ac:dyDescent="0.2"/>
    <row r="43942" customFormat="1" x14ac:dyDescent="0.2"/>
    <row r="43943" customFormat="1" x14ac:dyDescent="0.2"/>
    <row r="43944" customFormat="1" x14ac:dyDescent="0.2"/>
    <row r="43945" customFormat="1" x14ac:dyDescent="0.2"/>
    <row r="43946" customFormat="1" x14ac:dyDescent="0.2"/>
    <row r="43947" customFormat="1" x14ac:dyDescent="0.2"/>
    <row r="43948" customFormat="1" x14ac:dyDescent="0.2"/>
    <row r="43949" customFormat="1" x14ac:dyDescent="0.2"/>
    <row r="43950" customFormat="1" x14ac:dyDescent="0.2"/>
    <row r="43951" customFormat="1" x14ac:dyDescent="0.2"/>
    <row r="43952" customFormat="1" x14ac:dyDescent="0.2"/>
    <row r="43953" customFormat="1" x14ac:dyDescent="0.2"/>
    <row r="43954" customFormat="1" x14ac:dyDescent="0.2"/>
    <row r="43955" customFormat="1" x14ac:dyDescent="0.2"/>
    <row r="43956" customFormat="1" x14ac:dyDescent="0.2"/>
    <row r="43957" customFormat="1" x14ac:dyDescent="0.2"/>
    <row r="43958" customFormat="1" x14ac:dyDescent="0.2"/>
    <row r="43959" customFormat="1" x14ac:dyDescent="0.2"/>
    <row r="43960" customFormat="1" x14ac:dyDescent="0.2"/>
    <row r="43961" customFormat="1" x14ac:dyDescent="0.2"/>
    <row r="43962" customFormat="1" x14ac:dyDescent="0.2"/>
    <row r="43963" customFormat="1" x14ac:dyDescent="0.2"/>
    <row r="43964" customFormat="1" x14ac:dyDescent="0.2"/>
    <row r="43965" customFormat="1" x14ac:dyDescent="0.2"/>
    <row r="43966" customFormat="1" x14ac:dyDescent="0.2"/>
    <row r="43967" customFormat="1" x14ac:dyDescent="0.2"/>
    <row r="43968" customFormat="1" x14ac:dyDescent="0.2"/>
    <row r="43969" customFormat="1" x14ac:dyDescent="0.2"/>
    <row r="43970" customFormat="1" x14ac:dyDescent="0.2"/>
    <row r="43971" customFormat="1" x14ac:dyDescent="0.2"/>
    <row r="43972" customFormat="1" x14ac:dyDescent="0.2"/>
    <row r="43973" customFormat="1" x14ac:dyDescent="0.2"/>
    <row r="43974" customFormat="1" x14ac:dyDescent="0.2"/>
    <row r="43975" customFormat="1" x14ac:dyDescent="0.2"/>
    <row r="43976" customFormat="1" x14ac:dyDescent="0.2"/>
    <row r="43977" customFormat="1" x14ac:dyDescent="0.2"/>
    <row r="43978" customFormat="1" x14ac:dyDescent="0.2"/>
    <row r="43979" customFormat="1" x14ac:dyDescent="0.2"/>
    <row r="43980" customFormat="1" x14ac:dyDescent="0.2"/>
    <row r="43981" customFormat="1" x14ac:dyDescent="0.2"/>
    <row r="43982" customFormat="1" x14ac:dyDescent="0.2"/>
    <row r="43983" customFormat="1" x14ac:dyDescent="0.2"/>
    <row r="43984" customFormat="1" x14ac:dyDescent="0.2"/>
    <row r="43985" customFormat="1" x14ac:dyDescent="0.2"/>
    <row r="43986" customFormat="1" x14ac:dyDescent="0.2"/>
    <row r="43987" customFormat="1" x14ac:dyDescent="0.2"/>
    <row r="43988" customFormat="1" x14ac:dyDescent="0.2"/>
    <row r="43989" customFormat="1" x14ac:dyDescent="0.2"/>
    <row r="43990" customFormat="1" x14ac:dyDescent="0.2"/>
    <row r="43991" customFormat="1" x14ac:dyDescent="0.2"/>
    <row r="43992" customFormat="1" x14ac:dyDescent="0.2"/>
    <row r="43993" customFormat="1" x14ac:dyDescent="0.2"/>
    <row r="43994" customFormat="1" x14ac:dyDescent="0.2"/>
    <row r="43995" customFormat="1" x14ac:dyDescent="0.2"/>
    <row r="43996" customFormat="1" x14ac:dyDescent="0.2"/>
    <row r="43997" customFormat="1" x14ac:dyDescent="0.2"/>
    <row r="43998" customFormat="1" x14ac:dyDescent="0.2"/>
    <row r="43999" customFormat="1" x14ac:dyDescent="0.2"/>
    <row r="44000" customFormat="1" x14ac:dyDescent="0.2"/>
    <row r="44001" customFormat="1" x14ac:dyDescent="0.2"/>
    <row r="44002" customFormat="1" x14ac:dyDescent="0.2"/>
    <row r="44003" customFormat="1" x14ac:dyDescent="0.2"/>
    <row r="44004" customFormat="1" x14ac:dyDescent="0.2"/>
    <row r="44005" customFormat="1" x14ac:dyDescent="0.2"/>
    <row r="44006" customFormat="1" x14ac:dyDescent="0.2"/>
    <row r="44007" customFormat="1" x14ac:dyDescent="0.2"/>
    <row r="44008" customFormat="1" x14ac:dyDescent="0.2"/>
    <row r="44009" customFormat="1" x14ac:dyDescent="0.2"/>
    <row r="44010" customFormat="1" x14ac:dyDescent="0.2"/>
    <row r="44011" customFormat="1" x14ac:dyDescent="0.2"/>
    <row r="44012" customFormat="1" x14ac:dyDescent="0.2"/>
    <row r="44013" customFormat="1" x14ac:dyDescent="0.2"/>
    <row r="44014" customFormat="1" x14ac:dyDescent="0.2"/>
    <row r="44015" customFormat="1" x14ac:dyDescent="0.2"/>
    <row r="44016" customFormat="1" x14ac:dyDescent="0.2"/>
    <row r="44017" customFormat="1" x14ac:dyDescent="0.2"/>
    <row r="44018" customFormat="1" x14ac:dyDescent="0.2"/>
    <row r="44019" customFormat="1" x14ac:dyDescent="0.2"/>
    <row r="44020" customFormat="1" x14ac:dyDescent="0.2"/>
    <row r="44021" customFormat="1" x14ac:dyDescent="0.2"/>
    <row r="44022" customFormat="1" x14ac:dyDescent="0.2"/>
    <row r="44023" customFormat="1" x14ac:dyDescent="0.2"/>
    <row r="44024" customFormat="1" x14ac:dyDescent="0.2"/>
    <row r="44025" customFormat="1" x14ac:dyDescent="0.2"/>
    <row r="44026" customFormat="1" x14ac:dyDescent="0.2"/>
    <row r="44027" customFormat="1" x14ac:dyDescent="0.2"/>
    <row r="44028" customFormat="1" x14ac:dyDescent="0.2"/>
    <row r="44029" customFormat="1" x14ac:dyDescent="0.2"/>
    <row r="44030" customFormat="1" x14ac:dyDescent="0.2"/>
    <row r="44031" customFormat="1" x14ac:dyDescent="0.2"/>
    <row r="44032" customFormat="1" x14ac:dyDescent="0.2"/>
    <row r="44033" customFormat="1" x14ac:dyDescent="0.2"/>
    <row r="44034" customFormat="1" x14ac:dyDescent="0.2"/>
    <row r="44035" customFormat="1" x14ac:dyDescent="0.2"/>
    <row r="44036" customFormat="1" x14ac:dyDescent="0.2"/>
    <row r="44037" customFormat="1" x14ac:dyDescent="0.2"/>
    <row r="44038" customFormat="1" x14ac:dyDescent="0.2"/>
    <row r="44039" customFormat="1" x14ac:dyDescent="0.2"/>
    <row r="44040" customFormat="1" x14ac:dyDescent="0.2"/>
    <row r="44041" customFormat="1" x14ac:dyDescent="0.2"/>
    <row r="44042" customFormat="1" x14ac:dyDescent="0.2"/>
    <row r="44043" customFormat="1" x14ac:dyDescent="0.2"/>
    <row r="44044" customFormat="1" x14ac:dyDescent="0.2"/>
    <row r="44045" customFormat="1" x14ac:dyDescent="0.2"/>
    <row r="44046" customFormat="1" x14ac:dyDescent="0.2"/>
    <row r="44047" customFormat="1" x14ac:dyDescent="0.2"/>
    <row r="44048" customFormat="1" x14ac:dyDescent="0.2"/>
    <row r="44049" customFormat="1" x14ac:dyDescent="0.2"/>
    <row r="44050" customFormat="1" x14ac:dyDescent="0.2"/>
    <row r="44051" customFormat="1" x14ac:dyDescent="0.2"/>
    <row r="44052" customFormat="1" x14ac:dyDescent="0.2"/>
    <row r="44053" customFormat="1" x14ac:dyDescent="0.2"/>
    <row r="44054" customFormat="1" x14ac:dyDescent="0.2"/>
    <row r="44055" customFormat="1" x14ac:dyDescent="0.2"/>
    <row r="44056" customFormat="1" x14ac:dyDescent="0.2"/>
    <row r="44057" customFormat="1" x14ac:dyDescent="0.2"/>
    <row r="44058" customFormat="1" x14ac:dyDescent="0.2"/>
    <row r="44059" customFormat="1" x14ac:dyDescent="0.2"/>
    <row r="44060" customFormat="1" x14ac:dyDescent="0.2"/>
    <row r="44061" customFormat="1" x14ac:dyDescent="0.2"/>
    <row r="44062" customFormat="1" x14ac:dyDescent="0.2"/>
    <row r="44063" customFormat="1" x14ac:dyDescent="0.2"/>
    <row r="44064" customFormat="1" x14ac:dyDescent="0.2"/>
    <row r="44065" customFormat="1" x14ac:dyDescent="0.2"/>
    <row r="44066" customFormat="1" x14ac:dyDescent="0.2"/>
    <row r="44067" customFormat="1" x14ac:dyDescent="0.2"/>
    <row r="44068" customFormat="1" x14ac:dyDescent="0.2"/>
    <row r="44069" customFormat="1" x14ac:dyDescent="0.2"/>
    <row r="44070" customFormat="1" x14ac:dyDescent="0.2"/>
    <row r="44071" customFormat="1" x14ac:dyDescent="0.2"/>
    <row r="44072" customFormat="1" x14ac:dyDescent="0.2"/>
    <row r="44073" customFormat="1" x14ac:dyDescent="0.2"/>
    <row r="44074" customFormat="1" x14ac:dyDescent="0.2"/>
    <row r="44075" customFormat="1" x14ac:dyDescent="0.2"/>
    <row r="44076" customFormat="1" x14ac:dyDescent="0.2"/>
    <row r="44077" customFormat="1" x14ac:dyDescent="0.2"/>
    <row r="44078" customFormat="1" x14ac:dyDescent="0.2"/>
    <row r="44079" customFormat="1" x14ac:dyDescent="0.2"/>
    <row r="44080" customFormat="1" x14ac:dyDescent="0.2"/>
    <row r="44081" customFormat="1" x14ac:dyDescent="0.2"/>
    <row r="44082" customFormat="1" x14ac:dyDescent="0.2"/>
    <row r="44083" customFormat="1" x14ac:dyDescent="0.2"/>
    <row r="44084" customFormat="1" x14ac:dyDescent="0.2"/>
    <row r="44085" customFormat="1" x14ac:dyDescent="0.2"/>
    <row r="44086" customFormat="1" x14ac:dyDescent="0.2"/>
    <row r="44087" customFormat="1" x14ac:dyDescent="0.2"/>
    <row r="44088" customFormat="1" x14ac:dyDescent="0.2"/>
    <row r="44089" customFormat="1" x14ac:dyDescent="0.2"/>
    <row r="44090" customFormat="1" x14ac:dyDescent="0.2"/>
    <row r="44091" customFormat="1" x14ac:dyDescent="0.2"/>
    <row r="44092" customFormat="1" x14ac:dyDescent="0.2"/>
    <row r="44093" customFormat="1" x14ac:dyDescent="0.2"/>
    <row r="44094" customFormat="1" x14ac:dyDescent="0.2"/>
    <row r="44095" customFormat="1" x14ac:dyDescent="0.2"/>
    <row r="44096" customFormat="1" x14ac:dyDescent="0.2"/>
    <row r="44097" customFormat="1" x14ac:dyDescent="0.2"/>
    <row r="44098" customFormat="1" x14ac:dyDescent="0.2"/>
    <row r="44099" customFormat="1" x14ac:dyDescent="0.2"/>
    <row r="44100" customFormat="1" x14ac:dyDescent="0.2"/>
    <row r="44101" customFormat="1" x14ac:dyDescent="0.2"/>
    <row r="44102" customFormat="1" x14ac:dyDescent="0.2"/>
    <row r="44103" customFormat="1" x14ac:dyDescent="0.2"/>
    <row r="44104" customFormat="1" x14ac:dyDescent="0.2"/>
    <row r="44105" customFormat="1" x14ac:dyDescent="0.2"/>
    <row r="44106" customFormat="1" x14ac:dyDescent="0.2"/>
    <row r="44107" customFormat="1" x14ac:dyDescent="0.2"/>
    <row r="44108" customFormat="1" x14ac:dyDescent="0.2"/>
    <row r="44109" customFormat="1" x14ac:dyDescent="0.2"/>
    <row r="44110" customFormat="1" x14ac:dyDescent="0.2"/>
    <row r="44111" customFormat="1" x14ac:dyDescent="0.2"/>
    <row r="44112" customFormat="1" x14ac:dyDescent="0.2"/>
    <row r="44113" customFormat="1" x14ac:dyDescent="0.2"/>
    <row r="44114" customFormat="1" x14ac:dyDescent="0.2"/>
    <row r="44115" customFormat="1" x14ac:dyDescent="0.2"/>
    <row r="44116" customFormat="1" x14ac:dyDescent="0.2"/>
    <row r="44117" customFormat="1" x14ac:dyDescent="0.2"/>
    <row r="44118" customFormat="1" x14ac:dyDescent="0.2"/>
    <row r="44119" customFormat="1" x14ac:dyDescent="0.2"/>
    <row r="44120" customFormat="1" x14ac:dyDescent="0.2"/>
    <row r="44121" customFormat="1" x14ac:dyDescent="0.2"/>
    <row r="44122" customFormat="1" x14ac:dyDescent="0.2"/>
    <row r="44123" customFormat="1" x14ac:dyDescent="0.2"/>
    <row r="44124" customFormat="1" x14ac:dyDescent="0.2"/>
    <row r="44125" customFormat="1" x14ac:dyDescent="0.2"/>
    <row r="44126" customFormat="1" x14ac:dyDescent="0.2"/>
    <row r="44127" customFormat="1" x14ac:dyDescent="0.2"/>
    <row r="44128" customFormat="1" x14ac:dyDescent="0.2"/>
    <row r="44129" customFormat="1" x14ac:dyDescent="0.2"/>
    <row r="44130" customFormat="1" x14ac:dyDescent="0.2"/>
    <row r="44131" customFormat="1" x14ac:dyDescent="0.2"/>
    <row r="44132" customFormat="1" x14ac:dyDescent="0.2"/>
    <row r="44133" customFormat="1" x14ac:dyDescent="0.2"/>
    <row r="44134" customFormat="1" x14ac:dyDescent="0.2"/>
    <row r="44135" customFormat="1" x14ac:dyDescent="0.2"/>
    <row r="44136" customFormat="1" x14ac:dyDescent="0.2"/>
    <row r="44137" customFormat="1" x14ac:dyDescent="0.2"/>
    <row r="44138" customFormat="1" x14ac:dyDescent="0.2"/>
    <row r="44139" customFormat="1" x14ac:dyDescent="0.2"/>
    <row r="44140" customFormat="1" x14ac:dyDescent="0.2"/>
    <row r="44141" customFormat="1" x14ac:dyDescent="0.2"/>
    <row r="44142" customFormat="1" x14ac:dyDescent="0.2"/>
    <row r="44143" customFormat="1" x14ac:dyDescent="0.2"/>
    <row r="44144" customFormat="1" x14ac:dyDescent="0.2"/>
    <row r="44145" customFormat="1" x14ac:dyDescent="0.2"/>
    <row r="44146" customFormat="1" x14ac:dyDescent="0.2"/>
    <row r="44147" customFormat="1" x14ac:dyDescent="0.2"/>
    <row r="44148" customFormat="1" x14ac:dyDescent="0.2"/>
    <row r="44149" customFormat="1" x14ac:dyDescent="0.2"/>
    <row r="44150" customFormat="1" x14ac:dyDescent="0.2"/>
    <row r="44151" customFormat="1" x14ac:dyDescent="0.2"/>
    <row r="44152" customFormat="1" x14ac:dyDescent="0.2"/>
    <row r="44153" customFormat="1" x14ac:dyDescent="0.2"/>
    <row r="44154" customFormat="1" x14ac:dyDescent="0.2"/>
    <row r="44155" customFormat="1" x14ac:dyDescent="0.2"/>
    <row r="44156" customFormat="1" x14ac:dyDescent="0.2"/>
    <row r="44157" customFormat="1" x14ac:dyDescent="0.2"/>
    <row r="44158" customFormat="1" x14ac:dyDescent="0.2"/>
    <row r="44159" customFormat="1" x14ac:dyDescent="0.2"/>
    <row r="44160" customFormat="1" x14ac:dyDescent="0.2"/>
    <row r="44161" customFormat="1" x14ac:dyDescent="0.2"/>
    <row r="44162" customFormat="1" x14ac:dyDescent="0.2"/>
    <row r="44163" customFormat="1" x14ac:dyDescent="0.2"/>
    <row r="44164" customFormat="1" x14ac:dyDescent="0.2"/>
    <row r="44165" customFormat="1" x14ac:dyDescent="0.2"/>
    <row r="44166" customFormat="1" x14ac:dyDescent="0.2"/>
    <row r="44167" customFormat="1" x14ac:dyDescent="0.2"/>
    <row r="44168" customFormat="1" x14ac:dyDescent="0.2"/>
    <row r="44169" customFormat="1" x14ac:dyDescent="0.2"/>
    <row r="44170" customFormat="1" x14ac:dyDescent="0.2"/>
    <row r="44171" customFormat="1" x14ac:dyDescent="0.2"/>
    <row r="44172" customFormat="1" x14ac:dyDescent="0.2"/>
    <row r="44173" customFormat="1" x14ac:dyDescent="0.2"/>
    <row r="44174" customFormat="1" x14ac:dyDescent="0.2"/>
    <row r="44175" customFormat="1" x14ac:dyDescent="0.2"/>
    <row r="44176" customFormat="1" x14ac:dyDescent="0.2"/>
    <row r="44177" customFormat="1" x14ac:dyDescent="0.2"/>
    <row r="44178" customFormat="1" x14ac:dyDescent="0.2"/>
    <row r="44179" customFormat="1" x14ac:dyDescent="0.2"/>
    <row r="44180" customFormat="1" x14ac:dyDescent="0.2"/>
    <row r="44181" customFormat="1" x14ac:dyDescent="0.2"/>
    <row r="44182" customFormat="1" x14ac:dyDescent="0.2"/>
    <row r="44183" customFormat="1" x14ac:dyDescent="0.2"/>
    <row r="44184" customFormat="1" x14ac:dyDescent="0.2"/>
    <row r="44185" customFormat="1" x14ac:dyDescent="0.2"/>
    <row r="44186" customFormat="1" x14ac:dyDescent="0.2"/>
    <row r="44187" customFormat="1" x14ac:dyDescent="0.2"/>
    <row r="44188" customFormat="1" x14ac:dyDescent="0.2"/>
    <row r="44189" customFormat="1" x14ac:dyDescent="0.2"/>
    <row r="44190" customFormat="1" x14ac:dyDescent="0.2"/>
    <row r="44191" customFormat="1" x14ac:dyDescent="0.2"/>
    <row r="44192" customFormat="1" x14ac:dyDescent="0.2"/>
    <row r="44193" customFormat="1" x14ac:dyDescent="0.2"/>
    <row r="44194" customFormat="1" x14ac:dyDescent="0.2"/>
    <row r="44195" customFormat="1" x14ac:dyDescent="0.2"/>
    <row r="44196" customFormat="1" x14ac:dyDescent="0.2"/>
    <row r="44197" customFormat="1" x14ac:dyDescent="0.2"/>
    <row r="44198" customFormat="1" x14ac:dyDescent="0.2"/>
    <row r="44199" customFormat="1" x14ac:dyDescent="0.2"/>
    <row r="44200" customFormat="1" x14ac:dyDescent="0.2"/>
    <row r="44201" customFormat="1" x14ac:dyDescent="0.2"/>
    <row r="44202" customFormat="1" x14ac:dyDescent="0.2"/>
    <row r="44203" customFormat="1" x14ac:dyDescent="0.2"/>
    <row r="44204" customFormat="1" x14ac:dyDescent="0.2"/>
    <row r="44205" customFormat="1" x14ac:dyDescent="0.2"/>
    <row r="44206" customFormat="1" x14ac:dyDescent="0.2"/>
    <row r="44207" customFormat="1" x14ac:dyDescent="0.2"/>
    <row r="44208" customFormat="1" x14ac:dyDescent="0.2"/>
    <row r="44209" customFormat="1" x14ac:dyDescent="0.2"/>
    <row r="44210" customFormat="1" x14ac:dyDescent="0.2"/>
    <row r="44211" customFormat="1" x14ac:dyDescent="0.2"/>
    <row r="44212" customFormat="1" x14ac:dyDescent="0.2"/>
    <row r="44213" customFormat="1" x14ac:dyDescent="0.2"/>
    <row r="44214" customFormat="1" x14ac:dyDescent="0.2"/>
    <row r="44215" customFormat="1" x14ac:dyDescent="0.2"/>
    <row r="44216" customFormat="1" x14ac:dyDescent="0.2"/>
    <row r="44217" customFormat="1" x14ac:dyDescent="0.2"/>
    <row r="44218" customFormat="1" x14ac:dyDescent="0.2"/>
    <row r="44219" customFormat="1" x14ac:dyDescent="0.2"/>
    <row r="44220" customFormat="1" x14ac:dyDescent="0.2"/>
    <row r="44221" customFormat="1" x14ac:dyDescent="0.2"/>
    <row r="44222" customFormat="1" x14ac:dyDescent="0.2"/>
    <row r="44223" customFormat="1" x14ac:dyDescent="0.2"/>
    <row r="44224" customFormat="1" x14ac:dyDescent="0.2"/>
    <row r="44225" customFormat="1" x14ac:dyDescent="0.2"/>
    <row r="44226" customFormat="1" x14ac:dyDescent="0.2"/>
    <row r="44227" customFormat="1" x14ac:dyDescent="0.2"/>
    <row r="44228" customFormat="1" x14ac:dyDescent="0.2"/>
    <row r="44229" customFormat="1" x14ac:dyDescent="0.2"/>
    <row r="44230" customFormat="1" x14ac:dyDescent="0.2"/>
    <row r="44231" customFormat="1" x14ac:dyDescent="0.2"/>
    <row r="44232" customFormat="1" x14ac:dyDescent="0.2"/>
    <row r="44233" customFormat="1" x14ac:dyDescent="0.2"/>
    <row r="44234" customFormat="1" x14ac:dyDescent="0.2"/>
    <row r="44235" customFormat="1" x14ac:dyDescent="0.2"/>
    <row r="44236" customFormat="1" x14ac:dyDescent="0.2"/>
    <row r="44237" customFormat="1" x14ac:dyDescent="0.2"/>
    <row r="44238" customFormat="1" x14ac:dyDescent="0.2"/>
    <row r="44239" customFormat="1" x14ac:dyDescent="0.2"/>
    <row r="44240" customFormat="1" x14ac:dyDescent="0.2"/>
    <row r="44241" customFormat="1" x14ac:dyDescent="0.2"/>
    <row r="44242" customFormat="1" x14ac:dyDescent="0.2"/>
    <row r="44243" customFormat="1" x14ac:dyDescent="0.2"/>
    <row r="44244" customFormat="1" x14ac:dyDescent="0.2"/>
    <row r="44245" customFormat="1" x14ac:dyDescent="0.2"/>
    <row r="44246" customFormat="1" x14ac:dyDescent="0.2"/>
    <row r="44247" customFormat="1" x14ac:dyDescent="0.2"/>
    <row r="44248" customFormat="1" x14ac:dyDescent="0.2"/>
    <row r="44249" customFormat="1" x14ac:dyDescent="0.2"/>
    <row r="44250" customFormat="1" x14ac:dyDescent="0.2"/>
    <row r="44251" customFormat="1" x14ac:dyDescent="0.2"/>
    <row r="44252" customFormat="1" x14ac:dyDescent="0.2"/>
    <row r="44253" customFormat="1" x14ac:dyDescent="0.2"/>
    <row r="44254" customFormat="1" x14ac:dyDescent="0.2"/>
    <row r="44255" customFormat="1" x14ac:dyDescent="0.2"/>
    <row r="44256" customFormat="1" x14ac:dyDescent="0.2"/>
    <row r="44257" customFormat="1" x14ac:dyDescent="0.2"/>
    <row r="44258" customFormat="1" x14ac:dyDescent="0.2"/>
    <row r="44259" customFormat="1" x14ac:dyDescent="0.2"/>
    <row r="44260" customFormat="1" x14ac:dyDescent="0.2"/>
    <row r="44261" customFormat="1" x14ac:dyDescent="0.2"/>
    <row r="44262" customFormat="1" x14ac:dyDescent="0.2"/>
    <row r="44263" customFormat="1" x14ac:dyDescent="0.2"/>
    <row r="44264" customFormat="1" x14ac:dyDescent="0.2"/>
    <row r="44265" customFormat="1" x14ac:dyDescent="0.2"/>
    <row r="44266" customFormat="1" x14ac:dyDescent="0.2"/>
    <row r="44267" customFormat="1" x14ac:dyDescent="0.2"/>
    <row r="44268" customFormat="1" x14ac:dyDescent="0.2"/>
    <row r="44269" customFormat="1" x14ac:dyDescent="0.2"/>
    <row r="44270" customFormat="1" x14ac:dyDescent="0.2"/>
    <row r="44271" customFormat="1" x14ac:dyDescent="0.2"/>
    <row r="44272" customFormat="1" x14ac:dyDescent="0.2"/>
    <row r="44273" customFormat="1" x14ac:dyDescent="0.2"/>
    <row r="44274" customFormat="1" x14ac:dyDescent="0.2"/>
    <row r="44275" customFormat="1" x14ac:dyDescent="0.2"/>
    <row r="44276" customFormat="1" x14ac:dyDescent="0.2"/>
    <row r="44277" customFormat="1" x14ac:dyDescent="0.2"/>
    <row r="44278" customFormat="1" x14ac:dyDescent="0.2"/>
    <row r="44279" customFormat="1" x14ac:dyDescent="0.2"/>
    <row r="44280" customFormat="1" x14ac:dyDescent="0.2"/>
    <row r="44281" customFormat="1" x14ac:dyDescent="0.2"/>
    <row r="44282" customFormat="1" x14ac:dyDescent="0.2"/>
    <row r="44283" customFormat="1" x14ac:dyDescent="0.2"/>
    <row r="44284" customFormat="1" x14ac:dyDescent="0.2"/>
    <row r="44285" customFormat="1" x14ac:dyDescent="0.2"/>
    <row r="44286" customFormat="1" x14ac:dyDescent="0.2"/>
    <row r="44287" customFormat="1" x14ac:dyDescent="0.2"/>
    <row r="44288" customFormat="1" x14ac:dyDescent="0.2"/>
    <row r="44289" customFormat="1" x14ac:dyDescent="0.2"/>
    <row r="44290" customFormat="1" x14ac:dyDescent="0.2"/>
    <row r="44291" customFormat="1" x14ac:dyDescent="0.2"/>
    <row r="44292" customFormat="1" x14ac:dyDescent="0.2"/>
    <row r="44293" customFormat="1" x14ac:dyDescent="0.2"/>
    <row r="44294" customFormat="1" x14ac:dyDescent="0.2"/>
    <row r="44295" customFormat="1" x14ac:dyDescent="0.2"/>
    <row r="44296" customFormat="1" x14ac:dyDescent="0.2"/>
    <row r="44297" customFormat="1" x14ac:dyDescent="0.2"/>
    <row r="44298" customFormat="1" x14ac:dyDescent="0.2"/>
    <row r="44299" customFormat="1" x14ac:dyDescent="0.2"/>
    <row r="44300" customFormat="1" x14ac:dyDescent="0.2"/>
    <row r="44301" customFormat="1" x14ac:dyDescent="0.2"/>
    <row r="44302" customFormat="1" x14ac:dyDescent="0.2"/>
    <row r="44303" customFormat="1" x14ac:dyDescent="0.2"/>
    <row r="44304" customFormat="1" x14ac:dyDescent="0.2"/>
    <row r="44305" customFormat="1" x14ac:dyDescent="0.2"/>
    <row r="44306" customFormat="1" x14ac:dyDescent="0.2"/>
    <row r="44307" customFormat="1" x14ac:dyDescent="0.2"/>
    <row r="44308" customFormat="1" x14ac:dyDescent="0.2"/>
    <row r="44309" customFormat="1" x14ac:dyDescent="0.2"/>
    <row r="44310" customFormat="1" x14ac:dyDescent="0.2"/>
    <row r="44311" customFormat="1" x14ac:dyDescent="0.2"/>
    <row r="44312" customFormat="1" x14ac:dyDescent="0.2"/>
    <row r="44313" customFormat="1" x14ac:dyDescent="0.2"/>
    <row r="44314" customFormat="1" x14ac:dyDescent="0.2"/>
    <row r="44315" customFormat="1" x14ac:dyDescent="0.2"/>
    <row r="44316" customFormat="1" x14ac:dyDescent="0.2"/>
    <row r="44317" customFormat="1" x14ac:dyDescent="0.2"/>
    <row r="44318" customFormat="1" x14ac:dyDescent="0.2"/>
    <row r="44319" customFormat="1" x14ac:dyDescent="0.2"/>
    <row r="44320" customFormat="1" x14ac:dyDescent="0.2"/>
    <row r="44321" customFormat="1" x14ac:dyDescent="0.2"/>
    <row r="44322" customFormat="1" x14ac:dyDescent="0.2"/>
    <row r="44323" customFormat="1" x14ac:dyDescent="0.2"/>
    <row r="44324" customFormat="1" x14ac:dyDescent="0.2"/>
    <row r="44325" customFormat="1" x14ac:dyDescent="0.2"/>
    <row r="44326" customFormat="1" x14ac:dyDescent="0.2"/>
    <row r="44327" customFormat="1" x14ac:dyDescent="0.2"/>
    <row r="44328" customFormat="1" x14ac:dyDescent="0.2"/>
    <row r="44329" customFormat="1" x14ac:dyDescent="0.2"/>
    <row r="44330" customFormat="1" x14ac:dyDescent="0.2"/>
    <row r="44331" customFormat="1" x14ac:dyDescent="0.2"/>
    <row r="44332" customFormat="1" x14ac:dyDescent="0.2"/>
    <row r="44333" customFormat="1" x14ac:dyDescent="0.2"/>
    <row r="44334" customFormat="1" x14ac:dyDescent="0.2"/>
    <row r="44335" customFormat="1" x14ac:dyDescent="0.2"/>
    <row r="44336" customFormat="1" x14ac:dyDescent="0.2"/>
    <row r="44337" customFormat="1" x14ac:dyDescent="0.2"/>
    <row r="44338" customFormat="1" x14ac:dyDescent="0.2"/>
    <row r="44339" customFormat="1" x14ac:dyDescent="0.2"/>
    <row r="44340" customFormat="1" x14ac:dyDescent="0.2"/>
    <row r="44341" customFormat="1" x14ac:dyDescent="0.2"/>
    <row r="44342" customFormat="1" x14ac:dyDescent="0.2"/>
    <row r="44343" customFormat="1" x14ac:dyDescent="0.2"/>
    <row r="44344" customFormat="1" x14ac:dyDescent="0.2"/>
    <row r="44345" customFormat="1" x14ac:dyDescent="0.2"/>
    <row r="44346" customFormat="1" x14ac:dyDescent="0.2"/>
    <row r="44347" customFormat="1" x14ac:dyDescent="0.2"/>
    <row r="44348" customFormat="1" x14ac:dyDescent="0.2"/>
    <row r="44349" customFormat="1" x14ac:dyDescent="0.2"/>
    <row r="44350" customFormat="1" x14ac:dyDescent="0.2"/>
    <row r="44351" customFormat="1" x14ac:dyDescent="0.2"/>
    <row r="44352" customFormat="1" x14ac:dyDescent="0.2"/>
    <row r="44353" customFormat="1" x14ac:dyDescent="0.2"/>
    <row r="44354" customFormat="1" x14ac:dyDescent="0.2"/>
    <row r="44355" customFormat="1" x14ac:dyDescent="0.2"/>
    <row r="44356" customFormat="1" x14ac:dyDescent="0.2"/>
    <row r="44357" customFormat="1" x14ac:dyDescent="0.2"/>
    <row r="44358" customFormat="1" x14ac:dyDescent="0.2"/>
    <row r="44359" customFormat="1" x14ac:dyDescent="0.2"/>
    <row r="44360" customFormat="1" x14ac:dyDescent="0.2"/>
    <row r="44361" customFormat="1" x14ac:dyDescent="0.2"/>
    <row r="44362" customFormat="1" x14ac:dyDescent="0.2"/>
    <row r="44363" customFormat="1" x14ac:dyDescent="0.2"/>
    <row r="44364" customFormat="1" x14ac:dyDescent="0.2"/>
    <row r="44365" customFormat="1" x14ac:dyDescent="0.2"/>
    <row r="44366" customFormat="1" x14ac:dyDescent="0.2"/>
    <row r="44367" customFormat="1" x14ac:dyDescent="0.2"/>
    <row r="44368" customFormat="1" x14ac:dyDescent="0.2"/>
    <row r="44369" customFormat="1" x14ac:dyDescent="0.2"/>
    <row r="44370" customFormat="1" x14ac:dyDescent="0.2"/>
    <row r="44371" customFormat="1" x14ac:dyDescent="0.2"/>
    <row r="44372" customFormat="1" x14ac:dyDescent="0.2"/>
    <row r="44373" customFormat="1" x14ac:dyDescent="0.2"/>
    <row r="44374" customFormat="1" x14ac:dyDescent="0.2"/>
    <row r="44375" customFormat="1" x14ac:dyDescent="0.2"/>
    <row r="44376" customFormat="1" x14ac:dyDescent="0.2"/>
    <row r="44377" customFormat="1" x14ac:dyDescent="0.2"/>
    <row r="44378" customFormat="1" x14ac:dyDescent="0.2"/>
    <row r="44379" customFormat="1" x14ac:dyDescent="0.2"/>
    <row r="44380" customFormat="1" x14ac:dyDescent="0.2"/>
    <row r="44381" customFormat="1" x14ac:dyDescent="0.2"/>
    <row r="44382" customFormat="1" x14ac:dyDescent="0.2"/>
    <row r="44383" customFormat="1" x14ac:dyDescent="0.2"/>
    <row r="44384" customFormat="1" x14ac:dyDescent="0.2"/>
    <row r="44385" customFormat="1" x14ac:dyDescent="0.2"/>
    <row r="44386" customFormat="1" x14ac:dyDescent="0.2"/>
    <row r="44387" customFormat="1" x14ac:dyDescent="0.2"/>
    <row r="44388" customFormat="1" x14ac:dyDescent="0.2"/>
    <row r="44389" customFormat="1" x14ac:dyDescent="0.2"/>
    <row r="44390" customFormat="1" x14ac:dyDescent="0.2"/>
    <row r="44391" customFormat="1" x14ac:dyDescent="0.2"/>
    <row r="44392" customFormat="1" x14ac:dyDescent="0.2"/>
    <row r="44393" customFormat="1" x14ac:dyDescent="0.2"/>
    <row r="44394" customFormat="1" x14ac:dyDescent="0.2"/>
    <row r="44395" customFormat="1" x14ac:dyDescent="0.2"/>
    <row r="44396" customFormat="1" x14ac:dyDescent="0.2"/>
    <row r="44397" customFormat="1" x14ac:dyDescent="0.2"/>
    <row r="44398" customFormat="1" x14ac:dyDescent="0.2"/>
    <row r="44399" customFormat="1" x14ac:dyDescent="0.2"/>
    <row r="44400" customFormat="1" x14ac:dyDescent="0.2"/>
    <row r="44401" customFormat="1" x14ac:dyDescent="0.2"/>
    <row r="44402" customFormat="1" x14ac:dyDescent="0.2"/>
    <row r="44403" customFormat="1" x14ac:dyDescent="0.2"/>
    <row r="44404" customFormat="1" x14ac:dyDescent="0.2"/>
    <row r="44405" customFormat="1" x14ac:dyDescent="0.2"/>
    <row r="44406" customFormat="1" x14ac:dyDescent="0.2"/>
    <row r="44407" customFormat="1" x14ac:dyDescent="0.2"/>
    <row r="44408" customFormat="1" x14ac:dyDescent="0.2"/>
    <row r="44409" customFormat="1" x14ac:dyDescent="0.2"/>
    <row r="44410" customFormat="1" x14ac:dyDescent="0.2"/>
    <row r="44411" customFormat="1" x14ac:dyDescent="0.2"/>
    <row r="44412" customFormat="1" x14ac:dyDescent="0.2"/>
    <row r="44413" customFormat="1" x14ac:dyDescent="0.2"/>
    <row r="44414" customFormat="1" x14ac:dyDescent="0.2"/>
    <row r="44415" customFormat="1" x14ac:dyDescent="0.2"/>
    <row r="44416" customFormat="1" x14ac:dyDescent="0.2"/>
    <row r="44417" customFormat="1" x14ac:dyDescent="0.2"/>
    <row r="44418" customFormat="1" x14ac:dyDescent="0.2"/>
    <row r="44419" customFormat="1" x14ac:dyDescent="0.2"/>
    <row r="44420" customFormat="1" x14ac:dyDescent="0.2"/>
    <row r="44421" customFormat="1" x14ac:dyDescent="0.2"/>
    <row r="44422" customFormat="1" x14ac:dyDescent="0.2"/>
    <row r="44423" customFormat="1" x14ac:dyDescent="0.2"/>
    <row r="44424" customFormat="1" x14ac:dyDescent="0.2"/>
    <row r="44425" customFormat="1" x14ac:dyDescent="0.2"/>
    <row r="44426" customFormat="1" x14ac:dyDescent="0.2"/>
    <row r="44427" customFormat="1" x14ac:dyDescent="0.2"/>
    <row r="44428" customFormat="1" x14ac:dyDescent="0.2"/>
    <row r="44429" customFormat="1" x14ac:dyDescent="0.2"/>
    <row r="44430" customFormat="1" x14ac:dyDescent="0.2"/>
    <row r="44431" customFormat="1" x14ac:dyDescent="0.2"/>
    <row r="44432" customFormat="1" x14ac:dyDescent="0.2"/>
    <row r="44433" customFormat="1" x14ac:dyDescent="0.2"/>
    <row r="44434" customFormat="1" x14ac:dyDescent="0.2"/>
    <row r="44435" customFormat="1" x14ac:dyDescent="0.2"/>
    <row r="44436" customFormat="1" x14ac:dyDescent="0.2"/>
    <row r="44437" customFormat="1" x14ac:dyDescent="0.2"/>
    <row r="44438" customFormat="1" x14ac:dyDescent="0.2"/>
    <row r="44439" customFormat="1" x14ac:dyDescent="0.2"/>
    <row r="44440" customFormat="1" x14ac:dyDescent="0.2"/>
    <row r="44441" customFormat="1" x14ac:dyDescent="0.2"/>
    <row r="44442" customFormat="1" x14ac:dyDescent="0.2"/>
    <row r="44443" customFormat="1" x14ac:dyDescent="0.2"/>
    <row r="44444" customFormat="1" x14ac:dyDescent="0.2"/>
    <row r="44445" customFormat="1" x14ac:dyDescent="0.2"/>
    <row r="44446" customFormat="1" x14ac:dyDescent="0.2"/>
    <row r="44447" customFormat="1" x14ac:dyDescent="0.2"/>
    <row r="44448" customFormat="1" x14ac:dyDescent="0.2"/>
    <row r="44449" customFormat="1" x14ac:dyDescent="0.2"/>
    <row r="44450" customFormat="1" x14ac:dyDescent="0.2"/>
    <row r="44451" customFormat="1" x14ac:dyDescent="0.2"/>
    <row r="44452" customFormat="1" x14ac:dyDescent="0.2"/>
    <row r="44453" customFormat="1" x14ac:dyDescent="0.2"/>
    <row r="44454" customFormat="1" x14ac:dyDescent="0.2"/>
    <row r="44455" customFormat="1" x14ac:dyDescent="0.2"/>
    <row r="44456" customFormat="1" x14ac:dyDescent="0.2"/>
    <row r="44457" customFormat="1" x14ac:dyDescent="0.2"/>
    <row r="44458" customFormat="1" x14ac:dyDescent="0.2"/>
    <row r="44459" customFormat="1" x14ac:dyDescent="0.2"/>
    <row r="44460" customFormat="1" x14ac:dyDescent="0.2"/>
    <row r="44461" customFormat="1" x14ac:dyDescent="0.2"/>
    <row r="44462" customFormat="1" x14ac:dyDescent="0.2"/>
    <row r="44463" customFormat="1" x14ac:dyDescent="0.2"/>
    <row r="44464" customFormat="1" x14ac:dyDescent="0.2"/>
    <row r="44465" customFormat="1" x14ac:dyDescent="0.2"/>
    <row r="44466" customFormat="1" x14ac:dyDescent="0.2"/>
    <row r="44467" customFormat="1" x14ac:dyDescent="0.2"/>
    <row r="44468" customFormat="1" x14ac:dyDescent="0.2"/>
    <row r="44469" customFormat="1" x14ac:dyDescent="0.2"/>
    <row r="44470" customFormat="1" x14ac:dyDescent="0.2"/>
    <row r="44471" customFormat="1" x14ac:dyDescent="0.2"/>
    <row r="44472" customFormat="1" x14ac:dyDescent="0.2"/>
    <row r="44473" customFormat="1" x14ac:dyDescent="0.2"/>
    <row r="44474" customFormat="1" x14ac:dyDescent="0.2"/>
    <row r="44475" customFormat="1" x14ac:dyDescent="0.2"/>
    <row r="44476" customFormat="1" x14ac:dyDescent="0.2"/>
    <row r="44477" customFormat="1" x14ac:dyDescent="0.2"/>
    <row r="44478" customFormat="1" x14ac:dyDescent="0.2"/>
    <row r="44479" customFormat="1" x14ac:dyDescent="0.2"/>
    <row r="44480" customFormat="1" x14ac:dyDescent="0.2"/>
    <row r="44481" customFormat="1" x14ac:dyDescent="0.2"/>
    <row r="44482" customFormat="1" x14ac:dyDescent="0.2"/>
    <row r="44483" customFormat="1" x14ac:dyDescent="0.2"/>
    <row r="44484" customFormat="1" x14ac:dyDescent="0.2"/>
    <row r="44485" customFormat="1" x14ac:dyDescent="0.2"/>
    <row r="44486" customFormat="1" x14ac:dyDescent="0.2"/>
    <row r="44487" customFormat="1" x14ac:dyDescent="0.2"/>
    <row r="44488" customFormat="1" x14ac:dyDescent="0.2"/>
    <row r="44489" customFormat="1" x14ac:dyDescent="0.2"/>
    <row r="44490" customFormat="1" x14ac:dyDescent="0.2"/>
    <row r="44491" customFormat="1" x14ac:dyDescent="0.2"/>
    <row r="44492" customFormat="1" x14ac:dyDescent="0.2"/>
    <row r="44493" customFormat="1" x14ac:dyDescent="0.2"/>
    <row r="44494" customFormat="1" x14ac:dyDescent="0.2"/>
    <row r="44495" customFormat="1" x14ac:dyDescent="0.2"/>
    <row r="44496" customFormat="1" x14ac:dyDescent="0.2"/>
    <row r="44497" customFormat="1" x14ac:dyDescent="0.2"/>
    <row r="44498" customFormat="1" x14ac:dyDescent="0.2"/>
    <row r="44499" customFormat="1" x14ac:dyDescent="0.2"/>
    <row r="44500" customFormat="1" x14ac:dyDescent="0.2"/>
    <row r="44501" customFormat="1" x14ac:dyDescent="0.2"/>
    <row r="44502" customFormat="1" x14ac:dyDescent="0.2"/>
    <row r="44503" customFormat="1" x14ac:dyDescent="0.2"/>
    <row r="44504" customFormat="1" x14ac:dyDescent="0.2"/>
    <row r="44505" customFormat="1" x14ac:dyDescent="0.2"/>
    <row r="44506" customFormat="1" x14ac:dyDescent="0.2"/>
    <row r="44507" customFormat="1" x14ac:dyDescent="0.2"/>
    <row r="44508" customFormat="1" x14ac:dyDescent="0.2"/>
    <row r="44509" customFormat="1" x14ac:dyDescent="0.2"/>
    <row r="44510" customFormat="1" x14ac:dyDescent="0.2"/>
    <row r="44511" customFormat="1" x14ac:dyDescent="0.2"/>
    <row r="44512" customFormat="1" x14ac:dyDescent="0.2"/>
    <row r="44513" customFormat="1" x14ac:dyDescent="0.2"/>
    <row r="44514" customFormat="1" x14ac:dyDescent="0.2"/>
    <row r="44515" customFormat="1" x14ac:dyDescent="0.2"/>
    <row r="44516" customFormat="1" x14ac:dyDescent="0.2"/>
    <row r="44517" customFormat="1" x14ac:dyDescent="0.2"/>
    <row r="44518" customFormat="1" x14ac:dyDescent="0.2"/>
    <row r="44519" customFormat="1" x14ac:dyDescent="0.2"/>
    <row r="44520" customFormat="1" x14ac:dyDescent="0.2"/>
    <row r="44521" customFormat="1" x14ac:dyDescent="0.2"/>
    <row r="44522" customFormat="1" x14ac:dyDescent="0.2"/>
    <row r="44523" customFormat="1" x14ac:dyDescent="0.2"/>
    <row r="44524" customFormat="1" x14ac:dyDescent="0.2"/>
    <row r="44525" customFormat="1" x14ac:dyDescent="0.2"/>
    <row r="44526" customFormat="1" x14ac:dyDescent="0.2"/>
    <row r="44527" customFormat="1" x14ac:dyDescent="0.2"/>
    <row r="44528" customFormat="1" x14ac:dyDescent="0.2"/>
    <row r="44529" customFormat="1" x14ac:dyDescent="0.2"/>
    <row r="44530" customFormat="1" x14ac:dyDescent="0.2"/>
    <row r="44531" customFormat="1" x14ac:dyDescent="0.2"/>
    <row r="44532" customFormat="1" x14ac:dyDescent="0.2"/>
    <row r="44533" customFormat="1" x14ac:dyDescent="0.2"/>
    <row r="44534" customFormat="1" x14ac:dyDescent="0.2"/>
    <row r="44535" customFormat="1" x14ac:dyDescent="0.2"/>
    <row r="44536" customFormat="1" x14ac:dyDescent="0.2"/>
    <row r="44537" customFormat="1" x14ac:dyDescent="0.2"/>
    <row r="44538" customFormat="1" x14ac:dyDescent="0.2"/>
    <row r="44539" customFormat="1" x14ac:dyDescent="0.2"/>
    <row r="44540" customFormat="1" x14ac:dyDescent="0.2"/>
    <row r="44541" customFormat="1" x14ac:dyDescent="0.2"/>
    <row r="44542" customFormat="1" x14ac:dyDescent="0.2"/>
    <row r="44543" customFormat="1" x14ac:dyDescent="0.2"/>
    <row r="44544" customFormat="1" x14ac:dyDescent="0.2"/>
    <row r="44545" customFormat="1" x14ac:dyDescent="0.2"/>
    <row r="44546" customFormat="1" x14ac:dyDescent="0.2"/>
    <row r="44547" customFormat="1" x14ac:dyDescent="0.2"/>
    <row r="44548" customFormat="1" x14ac:dyDescent="0.2"/>
    <row r="44549" customFormat="1" x14ac:dyDescent="0.2"/>
    <row r="44550" customFormat="1" x14ac:dyDescent="0.2"/>
    <row r="44551" customFormat="1" x14ac:dyDescent="0.2"/>
    <row r="44552" customFormat="1" x14ac:dyDescent="0.2"/>
    <row r="44553" customFormat="1" x14ac:dyDescent="0.2"/>
    <row r="44554" customFormat="1" x14ac:dyDescent="0.2"/>
    <row r="44555" customFormat="1" x14ac:dyDescent="0.2"/>
    <row r="44556" customFormat="1" x14ac:dyDescent="0.2"/>
    <row r="44557" customFormat="1" x14ac:dyDescent="0.2"/>
    <row r="44558" customFormat="1" x14ac:dyDescent="0.2"/>
    <row r="44559" customFormat="1" x14ac:dyDescent="0.2"/>
    <row r="44560" customFormat="1" x14ac:dyDescent="0.2"/>
    <row r="44561" customFormat="1" x14ac:dyDescent="0.2"/>
    <row r="44562" customFormat="1" x14ac:dyDescent="0.2"/>
    <row r="44563" customFormat="1" x14ac:dyDescent="0.2"/>
    <row r="44564" customFormat="1" x14ac:dyDescent="0.2"/>
    <row r="44565" customFormat="1" x14ac:dyDescent="0.2"/>
    <row r="44566" customFormat="1" x14ac:dyDescent="0.2"/>
    <row r="44567" customFormat="1" x14ac:dyDescent="0.2"/>
    <row r="44568" customFormat="1" x14ac:dyDescent="0.2"/>
    <row r="44569" customFormat="1" x14ac:dyDescent="0.2"/>
    <row r="44570" customFormat="1" x14ac:dyDescent="0.2"/>
    <row r="44571" customFormat="1" x14ac:dyDescent="0.2"/>
    <row r="44572" customFormat="1" x14ac:dyDescent="0.2"/>
    <row r="44573" customFormat="1" x14ac:dyDescent="0.2"/>
    <row r="44574" customFormat="1" x14ac:dyDescent="0.2"/>
    <row r="44575" customFormat="1" x14ac:dyDescent="0.2"/>
    <row r="44576" customFormat="1" x14ac:dyDescent="0.2"/>
    <row r="44577" customFormat="1" x14ac:dyDescent="0.2"/>
    <row r="44578" customFormat="1" x14ac:dyDescent="0.2"/>
    <row r="44579" customFormat="1" x14ac:dyDescent="0.2"/>
    <row r="44580" customFormat="1" x14ac:dyDescent="0.2"/>
    <row r="44581" customFormat="1" x14ac:dyDescent="0.2"/>
    <row r="44582" customFormat="1" x14ac:dyDescent="0.2"/>
    <row r="44583" customFormat="1" x14ac:dyDescent="0.2"/>
    <row r="44584" customFormat="1" x14ac:dyDescent="0.2"/>
    <row r="44585" customFormat="1" x14ac:dyDescent="0.2"/>
    <row r="44586" customFormat="1" x14ac:dyDescent="0.2"/>
    <row r="44587" customFormat="1" x14ac:dyDescent="0.2"/>
    <row r="44588" customFormat="1" x14ac:dyDescent="0.2"/>
    <row r="44589" customFormat="1" x14ac:dyDescent="0.2"/>
    <row r="44590" customFormat="1" x14ac:dyDescent="0.2"/>
    <row r="44591" customFormat="1" x14ac:dyDescent="0.2"/>
    <row r="44592" customFormat="1" x14ac:dyDescent="0.2"/>
    <row r="44593" customFormat="1" x14ac:dyDescent="0.2"/>
    <row r="44594" customFormat="1" x14ac:dyDescent="0.2"/>
    <row r="44595" customFormat="1" x14ac:dyDescent="0.2"/>
    <row r="44596" customFormat="1" x14ac:dyDescent="0.2"/>
    <row r="44597" customFormat="1" x14ac:dyDescent="0.2"/>
    <row r="44598" customFormat="1" x14ac:dyDescent="0.2"/>
    <row r="44599" customFormat="1" x14ac:dyDescent="0.2"/>
    <row r="44600" customFormat="1" x14ac:dyDescent="0.2"/>
    <row r="44601" customFormat="1" x14ac:dyDescent="0.2"/>
    <row r="44602" customFormat="1" x14ac:dyDescent="0.2"/>
    <row r="44603" customFormat="1" x14ac:dyDescent="0.2"/>
    <row r="44604" customFormat="1" x14ac:dyDescent="0.2"/>
    <row r="44605" customFormat="1" x14ac:dyDescent="0.2"/>
    <row r="44606" customFormat="1" x14ac:dyDescent="0.2"/>
    <row r="44607" customFormat="1" x14ac:dyDescent="0.2"/>
    <row r="44608" customFormat="1" x14ac:dyDescent="0.2"/>
    <row r="44609" customFormat="1" x14ac:dyDescent="0.2"/>
    <row r="44610" customFormat="1" x14ac:dyDescent="0.2"/>
    <row r="44611" customFormat="1" x14ac:dyDescent="0.2"/>
    <row r="44612" customFormat="1" x14ac:dyDescent="0.2"/>
    <row r="44613" customFormat="1" x14ac:dyDescent="0.2"/>
    <row r="44614" customFormat="1" x14ac:dyDescent="0.2"/>
    <row r="44615" customFormat="1" x14ac:dyDescent="0.2"/>
    <row r="44616" customFormat="1" x14ac:dyDescent="0.2"/>
    <row r="44617" customFormat="1" x14ac:dyDescent="0.2"/>
    <row r="44618" customFormat="1" x14ac:dyDescent="0.2"/>
    <row r="44619" customFormat="1" x14ac:dyDescent="0.2"/>
    <row r="44620" customFormat="1" x14ac:dyDescent="0.2"/>
    <row r="44621" customFormat="1" x14ac:dyDescent="0.2"/>
    <row r="44622" customFormat="1" x14ac:dyDescent="0.2"/>
    <row r="44623" customFormat="1" x14ac:dyDescent="0.2"/>
    <row r="44624" customFormat="1" x14ac:dyDescent="0.2"/>
    <row r="44625" customFormat="1" x14ac:dyDescent="0.2"/>
    <row r="44626" customFormat="1" x14ac:dyDescent="0.2"/>
    <row r="44627" customFormat="1" x14ac:dyDescent="0.2"/>
    <row r="44628" customFormat="1" x14ac:dyDescent="0.2"/>
    <row r="44629" customFormat="1" x14ac:dyDescent="0.2"/>
    <row r="44630" customFormat="1" x14ac:dyDescent="0.2"/>
    <row r="44631" customFormat="1" x14ac:dyDescent="0.2"/>
    <row r="44632" customFormat="1" x14ac:dyDescent="0.2"/>
    <row r="44633" customFormat="1" x14ac:dyDescent="0.2"/>
    <row r="44634" customFormat="1" x14ac:dyDescent="0.2"/>
    <row r="44635" customFormat="1" x14ac:dyDescent="0.2"/>
    <row r="44636" customFormat="1" x14ac:dyDescent="0.2"/>
    <row r="44637" customFormat="1" x14ac:dyDescent="0.2"/>
    <row r="44638" customFormat="1" x14ac:dyDescent="0.2"/>
    <row r="44639" customFormat="1" x14ac:dyDescent="0.2"/>
    <row r="44640" customFormat="1" x14ac:dyDescent="0.2"/>
    <row r="44641" customFormat="1" x14ac:dyDescent="0.2"/>
    <row r="44642" customFormat="1" x14ac:dyDescent="0.2"/>
    <row r="44643" customFormat="1" x14ac:dyDescent="0.2"/>
    <row r="44644" customFormat="1" x14ac:dyDescent="0.2"/>
    <row r="44645" customFormat="1" x14ac:dyDescent="0.2"/>
    <row r="44646" customFormat="1" x14ac:dyDescent="0.2"/>
    <row r="44647" customFormat="1" x14ac:dyDescent="0.2"/>
    <row r="44648" customFormat="1" x14ac:dyDescent="0.2"/>
    <row r="44649" customFormat="1" x14ac:dyDescent="0.2"/>
    <row r="44650" customFormat="1" x14ac:dyDescent="0.2"/>
    <row r="44651" customFormat="1" x14ac:dyDescent="0.2"/>
    <row r="44652" customFormat="1" x14ac:dyDescent="0.2"/>
    <row r="44653" customFormat="1" x14ac:dyDescent="0.2"/>
    <row r="44654" customFormat="1" x14ac:dyDescent="0.2"/>
    <row r="44655" customFormat="1" x14ac:dyDescent="0.2"/>
    <row r="44656" customFormat="1" x14ac:dyDescent="0.2"/>
    <row r="44657" customFormat="1" x14ac:dyDescent="0.2"/>
    <row r="44658" customFormat="1" x14ac:dyDescent="0.2"/>
    <row r="44659" customFormat="1" x14ac:dyDescent="0.2"/>
    <row r="44660" customFormat="1" x14ac:dyDescent="0.2"/>
    <row r="44661" customFormat="1" x14ac:dyDescent="0.2"/>
    <row r="44662" customFormat="1" x14ac:dyDescent="0.2"/>
    <row r="44663" customFormat="1" x14ac:dyDescent="0.2"/>
    <row r="44664" customFormat="1" x14ac:dyDescent="0.2"/>
    <row r="44665" customFormat="1" x14ac:dyDescent="0.2"/>
    <row r="44666" customFormat="1" x14ac:dyDescent="0.2"/>
    <row r="44667" customFormat="1" x14ac:dyDescent="0.2"/>
    <row r="44668" customFormat="1" x14ac:dyDescent="0.2"/>
    <row r="44669" customFormat="1" x14ac:dyDescent="0.2"/>
    <row r="44670" customFormat="1" x14ac:dyDescent="0.2"/>
    <row r="44671" customFormat="1" x14ac:dyDescent="0.2"/>
    <row r="44672" customFormat="1" x14ac:dyDescent="0.2"/>
    <row r="44673" customFormat="1" x14ac:dyDescent="0.2"/>
    <row r="44674" customFormat="1" x14ac:dyDescent="0.2"/>
    <row r="44675" customFormat="1" x14ac:dyDescent="0.2"/>
    <row r="44676" customFormat="1" x14ac:dyDescent="0.2"/>
    <row r="44677" customFormat="1" x14ac:dyDescent="0.2"/>
    <row r="44678" customFormat="1" x14ac:dyDescent="0.2"/>
    <row r="44679" customFormat="1" x14ac:dyDescent="0.2"/>
    <row r="44680" customFormat="1" x14ac:dyDescent="0.2"/>
    <row r="44681" customFormat="1" x14ac:dyDescent="0.2"/>
    <row r="44682" customFormat="1" x14ac:dyDescent="0.2"/>
    <row r="44683" customFormat="1" x14ac:dyDescent="0.2"/>
    <row r="44684" customFormat="1" x14ac:dyDescent="0.2"/>
    <row r="44685" customFormat="1" x14ac:dyDescent="0.2"/>
    <row r="44686" customFormat="1" x14ac:dyDescent="0.2"/>
    <row r="44687" customFormat="1" x14ac:dyDescent="0.2"/>
    <row r="44688" customFormat="1" x14ac:dyDescent="0.2"/>
    <row r="44689" customFormat="1" x14ac:dyDescent="0.2"/>
    <row r="44690" customFormat="1" x14ac:dyDescent="0.2"/>
    <row r="44691" customFormat="1" x14ac:dyDescent="0.2"/>
    <row r="44692" customFormat="1" x14ac:dyDescent="0.2"/>
    <row r="44693" customFormat="1" x14ac:dyDescent="0.2"/>
    <row r="44694" customFormat="1" x14ac:dyDescent="0.2"/>
    <row r="44695" customFormat="1" x14ac:dyDescent="0.2"/>
    <row r="44696" customFormat="1" x14ac:dyDescent="0.2"/>
    <row r="44697" customFormat="1" x14ac:dyDescent="0.2"/>
    <row r="44698" customFormat="1" x14ac:dyDescent="0.2"/>
    <row r="44699" customFormat="1" x14ac:dyDescent="0.2"/>
    <row r="44700" customFormat="1" x14ac:dyDescent="0.2"/>
    <row r="44701" customFormat="1" x14ac:dyDescent="0.2"/>
    <row r="44702" customFormat="1" x14ac:dyDescent="0.2"/>
    <row r="44703" customFormat="1" x14ac:dyDescent="0.2"/>
    <row r="44704" customFormat="1" x14ac:dyDescent="0.2"/>
    <row r="44705" customFormat="1" x14ac:dyDescent="0.2"/>
    <row r="44706" customFormat="1" x14ac:dyDescent="0.2"/>
    <row r="44707" customFormat="1" x14ac:dyDescent="0.2"/>
    <row r="44708" customFormat="1" x14ac:dyDescent="0.2"/>
    <row r="44709" customFormat="1" x14ac:dyDescent="0.2"/>
    <row r="44710" customFormat="1" x14ac:dyDescent="0.2"/>
    <row r="44711" customFormat="1" x14ac:dyDescent="0.2"/>
    <row r="44712" customFormat="1" x14ac:dyDescent="0.2"/>
    <row r="44713" customFormat="1" x14ac:dyDescent="0.2"/>
    <row r="44714" customFormat="1" x14ac:dyDescent="0.2"/>
    <row r="44715" customFormat="1" x14ac:dyDescent="0.2"/>
    <row r="44716" customFormat="1" x14ac:dyDescent="0.2"/>
    <row r="44717" customFormat="1" x14ac:dyDescent="0.2"/>
    <row r="44718" customFormat="1" x14ac:dyDescent="0.2"/>
    <row r="44719" customFormat="1" x14ac:dyDescent="0.2"/>
    <row r="44720" customFormat="1" x14ac:dyDescent="0.2"/>
    <row r="44721" customFormat="1" x14ac:dyDescent="0.2"/>
    <row r="44722" customFormat="1" x14ac:dyDescent="0.2"/>
    <row r="44723" customFormat="1" x14ac:dyDescent="0.2"/>
    <row r="44724" customFormat="1" x14ac:dyDescent="0.2"/>
    <row r="44725" customFormat="1" x14ac:dyDescent="0.2"/>
    <row r="44726" customFormat="1" x14ac:dyDescent="0.2"/>
    <row r="44727" customFormat="1" x14ac:dyDescent="0.2"/>
    <row r="44728" customFormat="1" x14ac:dyDescent="0.2"/>
    <row r="44729" customFormat="1" x14ac:dyDescent="0.2"/>
    <row r="44730" customFormat="1" x14ac:dyDescent="0.2"/>
    <row r="44731" customFormat="1" x14ac:dyDescent="0.2"/>
    <row r="44732" customFormat="1" x14ac:dyDescent="0.2"/>
    <row r="44733" customFormat="1" x14ac:dyDescent="0.2"/>
    <row r="44734" customFormat="1" x14ac:dyDescent="0.2"/>
    <row r="44735" customFormat="1" x14ac:dyDescent="0.2"/>
    <row r="44736" customFormat="1" x14ac:dyDescent="0.2"/>
    <row r="44737" customFormat="1" x14ac:dyDescent="0.2"/>
    <row r="44738" customFormat="1" x14ac:dyDescent="0.2"/>
    <row r="44739" customFormat="1" x14ac:dyDescent="0.2"/>
    <row r="44740" customFormat="1" x14ac:dyDescent="0.2"/>
    <row r="44741" customFormat="1" x14ac:dyDescent="0.2"/>
    <row r="44742" customFormat="1" x14ac:dyDescent="0.2"/>
    <row r="44743" customFormat="1" x14ac:dyDescent="0.2"/>
    <row r="44744" customFormat="1" x14ac:dyDescent="0.2"/>
    <row r="44745" customFormat="1" x14ac:dyDescent="0.2"/>
    <row r="44746" customFormat="1" x14ac:dyDescent="0.2"/>
    <row r="44747" customFormat="1" x14ac:dyDescent="0.2"/>
    <row r="44748" customFormat="1" x14ac:dyDescent="0.2"/>
    <row r="44749" customFormat="1" x14ac:dyDescent="0.2"/>
    <row r="44750" customFormat="1" x14ac:dyDescent="0.2"/>
    <row r="44751" customFormat="1" x14ac:dyDescent="0.2"/>
    <row r="44752" customFormat="1" x14ac:dyDescent="0.2"/>
    <row r="44753" customFormat="1" x14ac:dyDescent="0.2"/>
    <row r="44754" customFormat="1" x14ac:dyDescent="0.2"/>
    <row r="44755" customFormat="1" x14ac:dyDescent="0.2"/>
    <row r="44756" customFormat="1" x14ac:dyDescent="0.2"/>
    <row r="44757" customFormat="1" x14ac:dyDescent="0.2"/>
    <row r="44758" customFormat="1" x14ac:dyDescent="0.2"/>
    <row r="44759" customFormat="1" x14ac:dyDescent="0.2"/>
    <row r="44760" customFormat="1" x14ac:dyDescent="0.2"/>
    <row r="44761" customFormat="1" x14ac:dyDescent="0.2"/>
    <row r="44762" customFormat="1" x14ac:dyDescent="0.2"/>
    <row r="44763" customFormat="1" x14ac:dyDescent="0.2"/>
    <row r="44764" customFormat="1" x14ac:dyDescent="0.2"/>
    <row r="44765" customFormat="1" x14ac:dyDescent="0.2"/>
    <row r="44766" customFormat="1" x14ac:dyDescent="0.2"/>
    <row r="44767" customFormat="1" x14ac:dyDescent="0.2"/>
    <row r="44768" customFormat="1" x14ac:dyDescent="0.2"/>
    <row r="44769" customFormat="1" x14ac:dyDescent="0.2"/>
    <row r="44770" customFormat="1" x14ac:dyDescent="0.2"/>
    <row r="44771" customFormat="1" x14ac:dyDescent="0.2"/>
    <row r="44772" customFormat="1" x14ac:dyDescent="0.2"/>
    <row r="44773" customFormat="1" x14ac:dyDescent="0.2"/>
    <row r="44774" customFormat="1" x14ac:dyDescent="0.2"/>
    <row r="44775" customFormat="1" x14ac:dyDescent="0.2"/>
    <row r="44776" customFormat="1" x14ac:dyDescent="0.2"/>
    <row r="44777" customFormat="1" x14ac:dyDescent="0.2"/>
    <row r="44778" customFormat="1" x14ac:dyDescent="0.2"/>
    <row r="44779" customFormat="1" x14ac:dyDescent="0.2"/>
    <row r="44780" customFormat="1" x14ac:dyDescent="0.2"/>
    <row r="44781" customFormat="1" x14ac:dyDescent="0.2"/>
    <row r="44782" customFormat="1" x14ac:dyDescent="0.2"/>
    <row r="44783" customFormat="1" x14ac:dyDescent="0.2"/>
    <row r="44784" customFormat="1" x14ac:dyDescent="0.2"/>
    <row r="44785" customFormat="1" x14ac:dyDescent="0.2"/>
    <row r="44786" customFormat="1" x14ac:dyDescent="0.2"/>
    <row r="44787" customFormat="1" x14ac:dyDescent="0.2"/>
    <row r="44788" customFormat="1" x14ac:dyDescent="0.2"/>
    <row r="44789" customFormat="1" x14ac:dyDescent="0.2"/>
    <row r="44790" customFormat="1" x14ac:dyDescent="0.2"/>
    <row r="44791" customFormat="1" x14ac:dyDescent="0.2"/>
    <row r="44792" customFormat="1" x14ac:dyDescent="0.2"/>
    <row r="44793" customFormat="1" x14ac:dyDescent="0.2"/>
    <row r="44794" customFormat="1" x14ac:dyDescent="0.2"/>
    <row r="44795" customFormat="1" x14ac:dyDescent="0.2"/>
    <row r="44796" customFormat="1" x14ac:dyDescent="0.2"/>
    <row r="44797" customFormat="1" x14ac:dyDescent="0.2"/>
    <row r="44798" customFormat="1" x14ac:dyDescent="0.2"/>
    <row r="44799" customFormat="1" x14ac:dyDescent="0.2"/>
    <row r="44800" customFormat="1" x14ac:dyDescent="0.2"/>
    <row r="44801" customFormat="1" x14ac:dyDescent="0.2"/>
    <row r="44802" customFormat="1" x14ac:dyDescent="0.2"/>
    <row r="44803" customFormat="1" x14ac:dyDescent="0.2"/>
    <row r="44804" customFormat="1" x14ac:dyDescent="0.2"/>
    <row r="44805" customFormat="1" x14ac:dyDescent="0.2"/>
    <row r="44806" customFormat="1" x14ac:dyDescent="0.2"/>
    <row r="44807" customFormat="1" x14ac:dyDescent="0.2"/>
    <row r="44808" customFormat="1" x14ac:dyDescent="0.2"/>
    <row r="44809" customFormat="1" x14ac:dyDescent="0.2"/>
    <row r="44810" customFormat="1" x14ac:dyDescent="0.2"/>
    <row r="44811" customFormat="1" x14ac:dyDescent="0.2"/>
    <row r="44812" customFormat="1" x14ac:dyDescent="0.2"/>
    <row r="44813" customFormat="1" x14ac:dyDescent="0.2"/>
    <row r="44814" customFormat="1" x14ac:dyDescent="0.2"/>
    <row r="44815" customFormat="1" x14ac:dyDescent="0.2"/>
    <row r="44816" customFormat="1" x14ac:dyDescent="0.2"/>
    <row r="44817" customFormat="1" x14ac:dyDescent="0.2"/>
    <row r="44818" customFormat="1" x14ac:dyDescent="0.2"/>
    <row r="44819" customFormat="1" x14ac:dyDescent="0.2"/>
    <row r="44820" customFormat="1" x14ac:dyDescent="0.2"/>
    <row r="44821" customFormat="1" x14ac:dyDescent="0.2"/>
    <row r="44822" customFormat="1" x14ac:dyDescent="0.2"/>
    <row r="44823" customFormat="1" x14ac:dyDescent="0.2"/>
    <row r="44824" customFormat="1" x14ac:dyDescent="0.2"/>
    <row r="44825" customFormat="1" x14ac:dyDescent="0.2"/>
    <row r="44826" customFormat="1" x14ac:dyDescent="0.2"/>
    <row r="44827" customFormat="1" x14ac:dyDescent="0.2"/>
    <row r="44828" customFormat="1" x14ac:dyDescent="0.2"/>
    <row r="44829" customFormat="1" x14ac:dyDescent="0.2"/>
    <row r="44830" customFormat="1" x14ac:dyDescent="0.2"/>
    <row r="44831" customFormat="1" x14ac:dyDescent="0.2"/>
    <row r="44832" customFormat="1" x14ac:dyDescent="0.2"/>
    <row r="44833" customFormat="1" x14ac:dyDescent="0.2"/>
    <row r="44834" customFormat="1" x14ac:dyDescent="0.2"/>
    <row r="44835" customFormat="1" x14ac:dyDescent="0.2"/>
    <row r="44836" customFormat="1" x14ac:dyDescent="0.2"/>
    <row r="44837" customFormat="1" x14ac:dyDescent="0.2"/>
    <row r="44838" customFormat="1" x14ac:dyDescent="0.2"/>
    <row r="44839" customFormat="1" x14ac:dyDescent="0.2"/>
    <row r="44840" customFormat="1" x14ac:dyDescent="0.2"/>
    <row r="44841" customFormat="1" x14ac:dyDescent="0.2"/>
    <row r="44842" customFormat="1" x14ac:dyDescent="0.2"/>
    <row r="44843" customFormat="1" x14ac:dyDescent="0.2"/>
    <row r="44844" customFormat="1" x14ac:dyDescent="0.2"/>
    <row r="44845" customFormat="1" x14ac:dyDescent="0.2"/>
    <row r="44846" customFormat="1" x14ac:dyDescent="0.2"/>
    <row r="44847" customFormat="1" x14ac:dyDescent="0.2"/>
    <row r="44848" customFormat="1" x14ac:dyDescent="0.2"/>
    <row r="44849" customFormat="1" x14ac:dyDescent="0.2"/>
    <row r="44850" customFormat="1" x14ac:dyDescent="0.2"/>
    <row r="44851" customFormat="1" x14ac:dyDescent="0.2"/>
    <row r="44852" customFormat="1" x14ac:dyDescent="0.2"/>
    <row r="44853" customFormat="1" x14ac:dyDescent="0.2"/>
    <row r="44854" customFormat="1" x14ac:dyDescent="0.2"/>
    <row r="44855" customFormat="1" x14ac:dyDescent="0.2"/>
    <row r="44856" customFormat="1" x14ac:dyDescent="0.2"/>
    <row r="44857" customFormat="1" x14ac:dyDescent="0.2"/>
    <row r="44858" customFormat="1" x14ac:dyDescent="0.2"/>
    <row r="44859" customFormat="1" x14ac:dyDescent="0.2"/>
    <row r="44860" customFormat="1" x14ac:dyDescent="0.2"/>
    <row r="44861" customFormat="1" x14ac:dyDescent="0.2"/>
    <row r="44862" customFormat="1" x14ac:dyDescent="0.2"/>
    <row r="44863" customFormat="1" x14ac:dyDescent="0.2"/>
    <row r="44864" customFormat="1" x14ac:dyDescent="0.2"/>
    <row r="44865" customFormat="1" x14ac:dyDescent="0.2"/>
    <row r="44866" customFormat="1" x14ac:dyDescent="0.2"/>
    <row r="44867" customFormat="1" x14ac:dyDescent="0.2"/>
    <row r="44868" customFormat="1" x14ac:dyDescent="0.2"/>
    <row r="44869" customFormat="1" x14ac:dyDescent="0.2"/>
    <row r="44870" customFormat="1" x14ac:dyDescent="0.2"/>
    <row r="44871" customFormat="1" x14ac:dyDescent="0.2"/>
    <row r="44872" customFormat="1" x14ac:dyDescent="0.2"/>
    <row r="44873" customFormat="1" x14ac:dyDescent="0.2"/>
    <row r="44874" customFormat="1" x14ac:dyDescent="0.2"/>
    <row r="44875" customFormat="1" x14ac:dyDescent="0.2"/>
    <row r="44876" customFormat="1" x14ac:dyDescent="0.2"/>
    <row r="44877" customFormat="1" x14ac:dyDescent="0.2"/>
    <row r="44878" customFormat="1" x14ac:dyDescent="0.2"/>
    <row r="44879" customFormat="1" x14ac:dyDescent="0.2"/>
    <row r="44880" customFormat="1" x14ac:dyDescent="0.2"/>
    <row r="44881" customFormat="1" x14ac:dyDescent="0.2"/>
    <row r="44882" customFormat="1" x14ac:dyDescent="0.2"/>
    <row r="44883" customFormat="1" x14ac:dyDescent="0.2"/>
    <row r="44884" customFormat="1" x14ac:dyDescent="0.2"/>
    <row r="44885" customFormat="1" x14ac:dyDescent="0.2"/>
    <row r="44886" customFormat="1" x14ac:dyDescent="0.2"/>
    <row r="44887" customFormat="1" x14ac:dyDescent="0.2"/>
    <row r="44888" customFormat="1" x14ac:dyDescent="0.2"/>
    <row r="44889" customFormat="1" x14ac:dyDescent="0.2"/>
    <row r="44890" customFormat="1" x14ac:dyDescent="0.2"/>
    <row r="44891" customFormat="1" x14ac:dyDescent="0.2"/>
    <row r="44892" customFormat="1" x14ac:dyDescent="0.2"/>
    <row r="44893" customFormat="1" x14ac:dyDescent="0.2"/>
    <row r="44894" customFormat="1" x14ac:dyDescent="0.2"/>
    <row r="44895" customFormat="1" x14ac:dyDescent="0.2"/>
    <row r="44896" customFormat="1" x14ac:dyDescent="0.2"/>
    <row r="44897" customFormat="1" x14ac:dyDescent="0.2"/>
    <row r="44898" customFormat="1" x14ac:dyDescent="0.2"/>
    <row r="44899" customFormat="1" x14ac:dyDescent="0.2"/>
    <row r="44900" customFormat="1" x14ac:dyDescent="0.2"/>
    <row r="44901" customFormat="1" x14ac:dyDescent="0.2"/>
    <row r="44902" customFormat="1" x14ac:dyDescent="0.2"/>
    <row r="44903" customFormat="1" x14ac:dyDescent="0.2"/>
    <row r="44904" customFormat="1" x14ac:dyDescent="0.2"/>
    <row r="44905" customFormat="1" x14ac:dyDescent="0.2"/>
    <row r="44906" customFormat="1" x14ac:dyDescent="0.2"/>
    <row r="44907" customFormat="1" x14ac:dyDescent="0.2"/>
    <row r="44908" customFormat="1" x14ac:dyDescent="0.2"/>
    <row r="44909" customFormat="1" x14ac:dyDescent="0.2"/>
    <row r="44910" customFormat="1" x14ac:dyDescent="0.2"/>
    <row r="44911" customFormat="1" x14ac:dyDescent="0.2"/>
    <row r="44912" customFormat="1" x14ac:dyDescent="0.2"/>
    <row r="44913" customFormat="1" x14ac:dyDescent="0.2"/>
    <row r="44914" customFormat="1" x14ac:dyDescent="0.2"/>
    <row r="44915" customFormat="1" x14ac:dyDescent="0.2"/>
    <row r="44916" customFormat="1" x14ac:dyDescent="0.2"/>
    <row r="44917" customFormat="1" x14ac:dyDescent="0.2"/>
    <row r="44918" customFormat="1" x14ac:dyDescent="0.2"/>
    <row r="44919" customFormat="1" x14ac:dyDescent="0.2"/>
    <row r="44920" customFormat="1" x14ac:dyDescent="0.2"/>
    <row r="44921" customFormat="1" x14ac:dyDescent="0.2"/>
    <row r="44922" customFormat="1" x14ac:dyDescent="0.2"/>
    <row r="44923" customFormat="1" x14ac:dyDescent="0.2"/>
    <row r="44924" customFormat="1" x14ac:dyDescent="0.2"/>
    <row r="44925" customFormat="1" x14ac:dyDescent="0.2"/>
    <row r="44926" customFormat="1" x14ac:dyDescent="0.2"/>
    <row r="44927" customFormat="1" x14ac:dyDescent="0.2"/>
    <row r="44928" customFormat="1" x14ac:dyDescent="0.2"/>
    <row r="44929" customFormat="1" x14ac:dyDescent="0.2"/>
    <row r="44930" customFormat="1" x14ac:dyDescent="0.2"/>
    <row r="44931" customFormat="1" x14ac:dyDescent="0.2"/>
    <row r="44932" customFormat="1" x14ac:dyDescent="0.2"/>
    <row r="44933" customFormat="1" x14ac:dyDescent="0.2"/>
    <row r="44934" customFormat="1" x14ac:dyDescent="0.2"/>
    <row r="44935" customFormat="1" x14ac:dyDescent="0.2"/>
    <row r="44936" customFormat="1" x14ac:dyDescent="0.2"/>
    <row r="44937" customFormat="1" x14ac:dyDescent="0.2"/>
    <row r="44938" customFormat="1" x14ac:dyDescent="0.2"/>
    <row r="44939" customFormat="1" x14ac:dyDescent="0.2"/>
    <row r="44940" customFormat="1" x14ac:dyDescent="0.2"/>
    <row r="44941" customFormat="1" x14ac:dyDescent="0.2"/>
    <row r="44942" customFormat="1" x14ac:dyDescent="0.2"/>
    <row r="44943" customFormat="1" x14ac:dyDescent="0.2"/>
    <row r="44944" customFormat="1" x14ac:dyDescent="0.2"/>
    <row r="44945" customFormat="1" x14ac:dyDescent="0.2"/>
    <row r="44946" customFormat="1" x14ac:dyDescent="0.2"/>
    <row r="44947" customFormat="1" x14ac:dyDescent="0.2"/>
    <row r="44948" customFormat="1" x14ac:dyDescent="0.2"/>
    <row r="44949" customFormat="1" x14ac:dyDescent="0.2"/>
    <row r="44950" customFormat="1" x14ac:dyDescent="0.2"/>
    <row r="44951" customFormat="1" x14ac:dyDescent="0.2"/>
    <row r="44952" customFormat="1" x14ac:dyDescent="0.2"/>
    <row r="44953" customFormat="1" x14ac:dyDescent="0.2"/>
    <row r="44954" customFormat="1" x14ac:dyDescent="0.2"/>
    <row r="44955" customFormat="1" x14ac:dyDescent="0.2"/>
    <row r="44956" customFormat="1" x14ac:dyDescent="0.2"/>
    <row r="44957" customFormat="1" x14ac:dyDescent="0.2"/>
    <row r="44958" customFormat="1" x14ac:dyDescent="0.2"/>
    <row r="44959" customFormat="1" x14ac:dyDescent="0.2"/>
    <row r="44960" customFormat="1" x14ac:dyDescent="0.2"/>
    <row r="44961" customFormat="1" x14ac:dyDescent="0.2"/>
    <row r="44962" customFormat="1" x14ac:dyDescent="0.2"/>
    <row r="44963" customFormat="1" x14ac:dyDescent="0.2"/>
    <row r="44964" customFormat="1" x14ac:dyDescent="0.2"/>
    <row r="44965" customFormat="1" x14ac:dyDescent="0.2"/>
    <row r="44966" customFormat="1" x14ac:dyDescent="0.2"/>
    <row r="44967" customFormat="1" x14ac:dyDescent="0.2"/>
    <row r="44968" customFormat="1" x14ac:dyDescent="0.2"/>
    <row r="44969" customFormat="1" x14ac:dyDescent="0.2"/>
    <row r="44970" customFormat="1" x14ac:dyDescent="0.2"/>
    <row r="44971" customFormat="1" x14ac:dyDescent="0.2"/>
    <row r="44972" customFormat="1" x14ac:dyDescent="0.2"/>
    <row r="44973" customFormat="1" x14ac:dyDescent="0.2"/>
    <row r="44974" customFormat="1" x14ac:dyDescent="0.2"/>
    <row r="44975" customFormat="1" x14ac:dyDescent="0.2"/>
    <row r="44976" customFormat="1" x14ac:dyDescent="0.2"/>
    <row r="44977" customFormat="1" x14ac:dyDescent="0.2"/>
    <row r="44978" customFormat="1" x14ac:dyDescent="0.2"/>
    <row r="44979" customFormat="1" x14ac:dyDescent="0.2"/>
    <row r="44980" customFormat="1" x14ac:dyDescent="0.2"/>
    <row r="44981" customFormat="1" x14ac:dyDescent="0.2"/>
    <row r="44982" customFormat="1" x14ac:dyDescent="0.2"/>
    <row r="44983" customFormat="1" x14ac:dyDescent="0.2"/>
    <row r="44984" customFormat="1" x14ac:dyDescent="0.2"/>
    <row r="44985" customFormat="1" x14ac:dyDescent="0.2"/>
    <row r="44986" customFormat="1" x14ac:dyDescent="0.2"/>
    <row r="44987" customFormat="1" x14ac:dyDescent="0.2"/>
    <row r="44988" customFormat="1" x14ac:dyDescent="0.2"/>
    <row r="44989" customFormat="1" x14ac:dyDescent="0.2"/>
    <row r="44990" customFormat="1" x14ac:dyDescent="0.2"/>
    <row r="44991" customFormat="1" x14ac:dyDescent="0.2"/>
    <row r="44992" customFormat="1" x14ac:dyDescent="0.2"/>
    <row r="44993" customFormat="1" x14ac:dyDescent="0.2"/>
    <row r="44994" customFormat="1" x14ac:dyDescent="0.2"/>
    <row r="44995" customFormat="1" x14ac:dyDescent="0.2"/>
    <row r="44996" customFormat="1" x14ac:dyDescent="0.2"/>
    <row r="44997" customFormat="1" x14ac:dyDescent="0.2"/>
    <row r="44998" customFormat="1" x14ac:dyDescent="0.2"/>
    <row r="44999" customFormat="1" x14ac:dyDescent="0.2"/>
    <row r="45000" customFormat="1" x14ac:dyDescent="0.2"/>
    <row r="45001" customFormat="1" x14ac:dyDescent="0.2"/>
    <row r="45002" customFormat="1" x14ac:dyDescent="0.2"/>
    <row r="45003" customFormat="1" x14ac:dyDescent="0.2"/>
    <row r="45004" customFormat="1" x14ac:dyDescent="0.2"/>
    <row r="45005" customFormat="1" x14ac:dyDescent="0.2"/>
    <row r="45006" customFormat="1" x14ac:dyDescent="0.2"/>
    <row r="45007" customFormat="1" x14ac:dyDescent="0.2"/>
    <row r="45008" customFormat="1" x14ac:dyDescent="0.2"/>
    <row r="45009" customFormat="1" x14ac:dyDescent="0.2"/>
    <row r="45010" customFormat="1" x14ac:dyDescent="0.2"/>
    <row r="45011" customFormat="1" x14ac:dyDescent="0.2"/>
    <row r="45012" customFormat="1" x14ac:dyDescent="0.2"/>
    <row r="45013" customFormat="1" x14ac:dyDescent="0.2"/>
    <row r="45014" customFormat="1" x14ac:dyDescent="0.2"/>
    <row r="45015" customFormat="1" x14ac:dyDescent="0.2"/>
    <row r="45016" customFormat="1" x14ac:dyDescent="0.2"/>
    <row r="45017" customFormat="1" x14ac:dyDescent="0.2"/>
    <row r="45018" customFormat="1" x14ac:dyDescent="0.2"/>
    <row r="45019" customFormat="1" x14ac:dyDescent="0.2"/>
    <row r="45020" customFormat="1" x14ac:dyDescent="0.2"/>
    <row r="45021" customFormat="1" x14ac:dyDescent="0.2"/>
    <row r="45022" customFormat="1" x14ac:dyDescent="0.2"/>
    <row r="45023" customFormat="1" x14ac:dyDescent="0.2"/>
    <row r="45024" customFormat="1" x14ac:dyDescent="0.2"/>
    <row r="45025" customFormat="1" x14ac:dyDescent="0.2"/>
    <row r="45026" customFormat="1" x14ac:dyDescent="0.2"/>
    <row r="45027" customFormat="1" x14ac:dyDescent="0.2"/>
    <row r="45028" customFormat="1" x14ac:dyDescent="0.2"/>
    <row r="45029" customFormat="1" x14ac:dyDescent="0.2"/>
    <row r="45030" customFormat="1" x14ac:dyDescent="0.2"/>
    <row r="45031" customFormat="1" x14ac:dyDescent="0.2"/>
    <row r="45032" customFormat="1" x14ac:dyDescent="0.2"/>
    <row r="45033" customFormat="1" x14ac:dyDescent="0.2"/>
    <row r="45034" customFormat="1" x14ac:dyDescent="0.2"/>
    <row r="45035" customFormat="1" x14ac:dyDescent="0.2"/>
    <row r="45036" customFormat="1" x14ac:dyDescent="0.2"/>
    <row r="45037" customFormat="1" x14ac:dyDescent="0.2"/>
    <row r="45038" customFormat="1" x14ac:dyDescent="0.2"/>
    <row r="45039" customFormat="1" x14ac:dyDescent="0.2"/>
    <row r="45040" customFormat="1" x14ac:dyDescent="0.2"/>
    <row r="45041" customFormat="1" x14ac:dyDescent="0.2"/>
    <row r="45042" customFormat="1" x14ac:dyDescent="0.2"/>
    <row r="45043" customFormat="1" x14ac:dyDescent="0.2"/>
    <row r="45044" customFormat="1" x14ac:dyDescent="0.2"/>
    <row r="45045" customFormat="1" x14ac:dyDescent="0.2"/>
    <row r="45046" customFormat="1" x14ac:dyDescent="0.2"/>
    <row r="45047" customFormat="1" x14ac:dyDescent="0.2"/>
    <row r="45048" customFormat="1" x14ac:dyDescent="0.2"/>
    <row r="45049" customFormat="1" x14ac:dyDescent="0.2"/>
    <row r="45050" customFormat="1" x14ac:dyDescent="0.2"/>
    <row r="45051" customFormat="1" x14ac:dyDescent="0.2"/>
    <row r="45052" customFormat="1" x14ac:dyDescent="0.2"/>
    <row r="45053" customFormat="1" x14ac:dyDescent="0.2"/>
    <row r="45054" customFormat="1" x14ac:dyDescent="0.2"/>
    <row r="45055" customFormat="1" x14ac:dyDescent="0.2"/>
    <row r="45056" customFormat="1" x14ac:dyDescent="0.2"/>
    <row r="45057" customFormat="1" x14ac:dyDescent="0.2"/>
    <row r="45058" customFormat="1" x14ac:dyDescent="0.2"/>
    <row r="45059" customFormat="1" x14ac:dyDescent="0.2"/>
    <row r="45060" customFormat="1" x14ac:dyDescent="0.2"/>
    <row r="45061" customFormat="1" x14ac:dyDescent="0.2"/>
    <row r="45062" customFormat="1" x14ac:dyDescent="0.2"/>
    <row r="45063" customFormat="1" x14ac:dyDescent="0.2"/>
    <row r="45064" customFormat="1" x14ac:dyDescent="0.2"/>
    <row r="45065" customFormat="1" x14ac:dyDescent="0.2"/>
    <row r="45066" customFormat="1" x14ac:dyDescent="0.2"/>
    <row r="45067" customFormat="1" x14ac:dyDescent="0.2"/>
    <row r="45068" customFormat="1" x14ac:dyDescent="0.2"/>
    <row r="45069" customFormat="1" x14ac:dyDescent="0.2"/>
    <row r="45070" customFormat="1" x14ac:dyDescent="0.2"/>
    <row r="45071" customFormat="1" x14ac:dyDescent="0.2"/>
    <row r="45072" customFormat="1" x14ac:dyDescent="0.2"/>
    <row r="45073" customFormat="1" x14ac:dyDescent="0.2"/>
    <row r="45074" customFormat="1" x14ac:dyDescent="0.2"/>
    <row r="45075" customFormat="1" x14ac:dyDescent="0.2"/>
    <row r="45076" customFormat="1" x14ac:dyDescent="0.2"/>
    <row r="45077" customFormat="1" x14ac:dyDescent="0.2"/>
    <row r="45078" customFormat="1" x14ac:dyDescent="0.2"/>
    <row r="45079" customFormat="1" x14ac:dyDescent="0.2"/>
    <row r="45080" customFormat="1" x14ac:dyDescent="0.2"/>
    <row r="45081" customFormat="1" x14ac:dyDescent="0.2"/>
    <row r="45082" customFormat="1" x14ac:dyDescent="0.2"/>
    <row r="45083" customFormat="1" x14ac:dyDescent="0.2"/>
    <row r="45084" customFormat="1" x14ac:dyDescent="0.2"/>
    <row r="45085" customFormat="1" x14ac:dyDescent="0.2"/>
    <row r="45086" customFormat="1" x14ac:dyDescent="0.2"/>
    <row r="45087" customFormat="1" x14ac:dyDescent="0.2"/>
    <row r="45088" customFormat="1" x14ac:dyDescent="0.2"/>
    <row r="45089" customFormat="1" x14ac:dyDescent="0.2"/>
    <row r="45090" customFormat="1" x14ac:dyDescent="0.2"/>
    <row r="45091" customFormat="1" x14ac:dyDescent="0.2"/>
    <row r="45092" customFormat="1" x14ac:dyDescent="0.2"/>
    <row r="45093" customFormat="1" x14ac:dyDescent="0.2"/>
    <row r="45094" customFormat="1" x14ac:dyDescent="0.2"/>
    <row r="45095" customFormat="1" x14ac:dyDescent="0.2"/>
    <row r="45096" customFormat="1" x14ac:dyDescent="0.2"/>
    <row r="45097" customFormat="1" x14ac:dyDescent="0.2"/>
    <row r="45098" customFormat="1" x14ac:dyDescent="0.2"/>
    <row r="45099" customFormat="1" x14ac:dyDescent="0.2"/>
    <row r="45100" customFormat="1" x14ac:dyDescent="0.2"/>
    <row r="45101" customFormat="1" x14ac:dyDescent="0.2"/>
    <row r="45102" customFormat="1" x14ac:dyDescent="0.2"/>
    <row r="45103" customFormat="1" x14ac:dyDescent="0.2"/>
    <row r="45104" customFormat="1" x14ac:dyDescent="0.2"/>
    <row r="45105" customFormat="1" x14ac:dyDescent="0.2"/>
    <row r="45106" customFormat="1" x14ac:dyDescent="0.2"/>
    <row r="45107" customFormat="1" x14ac:dyDescent="0.2"/>
    <row r="45108" customFormat="1" x14ac:dyDescent="0.2"/>
    <row r="45109" customFormat="1" x14ac:dyDescent="0.2"/>
    <row r="45110" customFormat="1" x14ac:dyDescent="0.2"/>
    <row r="45111" customFormat="1" x14ac:dyDescent="0.2"/>
    <row r="45112" customFormat="1" x14ac:dyDescent="0.2"/>
    <row r="45113" customFormat="1" x14ac:dyDescent="0.2"/>
    <row r="45114" customFormat="1" x14ac:dyDescent="0.2"/>
    <row r="45115" customFormat="1" x14ac:dyDescent="0.2"/>
    <row r="45116" customFormat="1" x14ac:dyDescent="0.2"/>
    <row r="45117" customFormat="1" x14ac:dyDescent="0.2"/>
    <row r="45118" customFormat="1" x14ac:dyDescent="0.2"/>
    <row r="45119" customFormat="1" x14ac:dyDescent="0.2"/>
    <row r="45120" customFormat="1" x14ac:dyDescent="0.2"/>
    <row r="45121" customFormat="1" x14ac:dyDescent="0.2"/>
    <row r="45122" customFormat="1" x14ac:dyDescent="0.2"/>
    <row r="45123" customFormat="1" x14ac:dyDescent="0.2"/>
    <row r="45124" customFormat="1" x14ac:dyDescent="0.2"/>
    <row r="45125" customFormat="1" x14ac:dyDescent="0.2"/>
    <row r="45126" customFormat="1" x14ac:dyDescent="0.2"/>
    <row r="45127" customFormat="1" x14ac:dyDescent="0.2"/>
    <row r="45128" customFormat="1" x14ac:dyDescent="0.2"/>
    <row r="45129" customFormat="1" x14ac:dyDescent="0.2"/>
    <row r="45130" customFormat="1" x14ac:dyDescent="0.2"/>
    <row r="45131" customFormat="1" x14ac:dyDescent="0.2"/>
    <row r="45132" customFormat="1" x14ac:dyDescent="0.2"/>
    <row r="45133" customFormat="1" x14ac:dyDescent="0.2"/>
    <row r="45134" customFormat="1" x14ac:dyDescent="0.2"/>
    <row r="45135" customFormat="1" x14ac:dyDescent="0.2"/>
    <row r="45136" customFormat="1" x14ac:dyDescent="0.2"/>
    <row r="45137" customFormat="1" x14ac:dyDescent="0.2"/>
    <row r="45138" customFormat="1" x14ac:dyDescent="0.2"/>
    <row r="45139" customFormat="1" x14ac:dyDescent="0.2"/>
    <row r="45140" customFormat="1" x14ac:dyDescent="0.2"/>
    <row r="45141" customFormat="1" x14ac:dyDescent="0.2"/>
    <row r="45142" customFormat="1" x14ac:dyDescent="0.2"/>
    <row r="45143" customFormat="1" x14ac:dyDescent="0.2"/>
    <row r="45144" customFormat="1" x14ac:dyDescent="0.2"/>
    <row r="45145" customFormat="1" x14ac:dyDescent="0.2"/>
    <row r="45146" customFormat="1" x14ac:dyDescent="0.2"/>
    <row r="45147" customFormat="1" x14ac:dyDescent="0.2"/>
    <row r="45148" customFormat="1" x14ac:dyDescent="0.2"/>
    <row r="45149" customFormat="1" x14ac:dyDescent="0.2"/>
    <row r="45150" customFormat="1" x14ac:dyDescent="0.2"/>
    <row r="45151" customFormat="1" x14ac:dyDescent="0.2"/>
    <row r="45152" customFormat="1" x14ac:dyDescent="0.2"/>
    <row r="45153" customFormat="1" x14ac:dyDescent="0.2"/>
    <row r="45154" customFormat="1" x14ac:dyDescent="0.2"/>
    <row r="45155" customFormat="1" x14ac:dyDescent="0.2"/>
    <row r="45156" customFormat="1" x14ac:dyDescent="0.2"/>
    <row r="45157" customFormat="1" x14ac:dyDescent="0.2"/>
    <row r="45158" customFormat="1" x14ac:dyDescent="0.2"/>
    <row r="45159" customFormat="1" x14ac:dyDescent="0.2"/>
    <row r="45160" customFormat="1" x14ac:dyDescent="0.2"/>
    <row r="45161" customFormat="1" x14ac:dyDescent="0.2"/>
    <row r="45162" customFormat="1" x14ac:dyDescent="0.2"/>
    <row r="45163" customFormat="1" x14ac:dyDescent="0.2"/>
    <row r="45164" customFormat="1" x14ac:dyDescent="0.2"/>
    <row r="45165" customFormat="1" x14ac:dyDescent="0.2"/>
    <row r="45166" customFormat="1" x14ac:dyDescent="0.2"/>
    <row r="45167" customFormat="1" x14ac:dyDescent="0.2"/>
    <row r="45168" customFormat="1" x14ac:dyDescent="0.2"/>
    <row r="45169" customFormat="1" x14ac:dyDescent="0.2"/>
    <row r="45170" customFormat="1" x14ac:dyDescent="0.2"/>
    <row r="45171" customFormat="1" x14ac:dyDescent="0.2"/>
    <row r="45172" customFormat="1" x14ac:dyDescent="0.2"/>
    <row r="45173" customFormat="1" x14ac:dyDescent="0.2"/>
    <row r="45174" customFormat="1" x14ac:dyDescent="0.2"/>
    <row r="45175" customFormat="1" x14ac:dyDescent="0.2"/>
    <row r="45176" customFormat="1" x14ac:dyDescent="0.2"/>
    <row r="45177" customFormat="1" x14ac:dyDescent="0.2"/>
    <row r="45178" customFormat="1" x14ac:dyDescent="0.2"/>
    <row r="45179" customFormat="1" x14ac:dyDescent="0.2"/>
    <row r="45180" customFormat="1" x14ac:dyDescent="0.2"/>
    <row r="45181" customFormat="1" x14ac:dyDescent="0.2"/>
    <row r="45182" customFormat="1" x14ac:dyDescent="0.2"/>
    <row r="45183" customFormat="1" x14ac:dyDescent="0.2"/>
    <row r="45184" customFormat="1" x14ac:dyDescent="0.2"/>
    <row r="45185" customFormat="1" x14ac:dyDescent="0.2"/>
    <row r="45186" customFormat="1" x14ac:dyDescent="0.2"/>
    <row r="45187" customFormat="1" x14ac:dyDescent="0.2"/>
    <row r="45188" customFormat="1" x14ac:dyDescent="0.2"/>
    <row r="45189" customFormat="1" x14ac:dyDescent="0.2"/>
    <row r="45190" customFormat="1" x14ac:dyDescent="0.2"/>
    <row r="45191" customFormat="1" x14ac:dyDescent="0.2"/>
    <row r="45192" customFormat="1" x14ac:dyDescent="0.2"/>
    <row r="45193" customFormat="1" x14ac:dyDescent="0.2"/>
    <row r="45194" customFormat="1" x14ac:dyDescent="0.2"/>
    <row r="45195" customFormat="1" x14ac:dyDescent="0.2"/>
    <row r="45196" customFormat="1" x14ac:dyDescent="0.2"/>
    <row r="45197" customFormat="1" x14ac:dyDescent="0.2"/>
    <row r="45198" customFormat="1" x14ac:dyDescent="0.2"/>
    <row r="45199" customFormat="1" x14ac:dyDescent="0.2"/>
    <row r="45200" customFormat="1" x14ac:dyDescent="0.2"/>
    <row r="45201" customFormat="1" x14ac:dyDescent="0.2"/>
    <row r="45202" customFormat="1" x14ac:dyDescent="0.2"/>
    <row r="45203" customFormat="1" x14ac:dyDescent="0.2"/>
    <row r="45204" customFormat="1" x14ac:dyDescent="0.2"/>
    <row r="45205" customFormat="1" x14ac:dyDescent="0.2"/>
    <row r="45206" customFormat="1" x14ac:dyDescent="0.2"/>
    <row r="45207" customFormat="1" x14ac:dyDescent="0.2"/>
    <row r="45208" customFormat="1" x14ac:dyDescent="0.2"/>
    <row r="45209" customFormat="1" x14ac:dyDescent="0.2"/>
    <row r="45210" customFormat="1" x14ac:dyDescent="0.2"/>
    <row r="45211" customFormat="1" x14ac:dyDescent="0.2"/>
    <row r="45212" customFormat="1" x14ac:dyDescent="0.2"/>
    <row r="45213" customFormat="1" x14ac:dyDescent="0.2"/>
    <row r="45214" customFormat="1" x14ac:dyDescent="0.2"/>
    <row r="45215" customFormat="1" x14ac:dyDescent="0.2"/>
    <row r="45216" customFormat="1" x14ac:dyDescent="0.2"/>
    <row r="45217" customFormat="1" x14ac:dyDescent="0.2"/>
    <row r="45218" customFormat="1" x14ac:dyDescent="0.2"/>
    <row r="45219" customFormat="1" x14ac:dyDescent="0.2"/>
    <row r="45220" customFormat="1" x14ac:dyDescent="0.2"/>
    <row r="45221" customFormat="1" x14ac:dyDescent="0.2"/>
    <row r="45222" customFormat="1" x14ac:dyDescent="0.2"/>
    <row r="45223" customFormat="1" x14ac:dyDescent="0.2"/>
    <row r="45224" customFormat="1" x14ac:dyDescent="0.2"/>
    <row r="45225" customFormat="1" x14ac:dyDescent="0.2"/>
    <row r="45226" customFormat="1" x14ac:dyDescent="0.2"/>
    <row r="45227" customFormat="1" x14ac:dyDescent="0.2"/>
    <row r="45228" customFormat="1" x14ac:dyDescent="0.2"/>
    <row r="45229" customFormat="1" x14ac:dyDescent="0.2"/>
    <row r="45230" customFormat="1" x14ac:dyDescent="0.2"/>
    <row r="45231" customFormat="1" x14ac:dyDescent="0.2"/>
    <row r="45232" customFormat="1" x14ac:dyDescent="0.2"/>
    <row r="45233" customFormat="1" x14ac:dyDescent="0.2"/>
    <row r="45234" customFormat="1" x14ac:dyDescent="0.2"/>
    <row r="45235" customFormat="1" x14ac:dyDescent="0.2"/>
    <row r="45236" customFormat="1" x14ac:dyDescent="0.2"/>
    <row r="45237" customFormat="1" x14ac:dyDescent="0.2"/>
    <row r="45238" customFormat="1" x14ac:dyDescent="0.2"/>
    <row r="45239" customFormat="1" x14ac:dyDescent="0.2"/>
    <row r="45240" customFormat="1" x14ac:dyDescent="0.2"/>
    <row r="45241" customFormat="1" x14ac:dyDescent="0.2"/>
    <row r="45242" customFormat="1" x14ac:dyDescent="0.2"/>
    <row r="45243" customFormat="1" x14ac:dyDescent="0.2"/>
    <row r="45244" customFormat="1" x14ac:dyDescent="0.2"/>
    <row r="45245" customFormat="1" x14ac:dyDescent="0.2"/>
    <row r="45246" customFormat="1" x14ac:dyDescent="0.2"/>
    <row r="45247" customFormat="1" x14ac:dyDescent="0.2"/>
    <row r="45248" customFormat="1" x14ac:dyDescent="0.2"/>
    <row r="45249" customFormat="1" x14ac:dyDescent="0.2"/>
    <row r="45250" customFormat="1" x14ac:dyDescent="0.2"/>
    <row r="45251" customFormat="1" x14ac:dyDescent="0.2"/>
    <row r="45252" customFormat="1" x14ac:dyDescent="0.2"/>
    <row r="45253" customFormat="1" x14ac:dyDescent="0.2"/>
    <row r="45254" customFormat="1" x14ac:dyDescent="0.2"/>
    <row r="45255" customFormat="1" x14ac:dyDescent="0.2"/>
    <row r="45256" customFormat="1" x14ac:dyDescent="0.2"/>
    <row r="45257" customFormat="1" x14ac:dyDescent="0.2"/>
    <row r="45258" customFormat="1" x14ac:dyDescent="0.2"/>
    <row r="45259" customFormat="1" x14ac:dyDescent="0.2"/>
    <row r="45260" customFormat="1" x14ac:dyDescent="0.2"/>
    <row r="45261" customFormat="1" x14ac:dyDescent="0.2"/>
    <row r="45262" customFormat="1" x14ac:dyDescent="0.2"/>
    <row r="45263" customFormat="1" x14ac:dyDescent="0.2"/>
    <row r="45264" customFormat="1" x14ac:dyDescent="0.2"/>
    <row r="45265" customFormat="1" x14ac:dyDescent="0.2"/>
    <row r="45266" customFormat="1" x14ac:dyDescent="0.2"/>
    <row r="45267" customFormat="1" x14ac:dyDescent="0.2"/>
    <row r="45268" customFormat="1" x14ac:dyDescent="0.2"/>
    <row r="45269" customFormat="1" x14ac:dyDescent="0.2"/>
    <row r="45270" customFormat="1" x14ac:dyDescent="0.2"/>
    <row r="45271" customFormat="1" x14ac:dyDescent="0.2"/>
    <row r="45272" customFormat="1" x14ac:dyDescent="0.2"/>
    <row r="45273" customFormat="1" x14ac:dyDescent="0.2"/>
    <row r="45274" customFormat="1" x14ac:dyDescent="0.2"/>
    <row r="45275" customFormat="1" x14ac:dyDescent="0.2"/>
    <row r="45276" customFormat="1" x14ac:dyDescent="0.2"/>
    <row r="45277" customFormat="1" x14ac:dyDescent="0.2"/>
    <row r="45278" customFormat="1" x14ac:dyDescent="0.2"/>
    <row r="45279" customFormat="1" x14ac:dyDescent="0.2"/>
    <row r="45280" customFormat="1" x14ac:dyDescent="0.2"/>
    <row r="45281" customFormat="1" x14ac:dyDescent="0.2"/>
    <row r="45282" customFormat="1" x14ac:dyDescent="0.2"/>
    <row r="45283" customFormat="1" x14ac:dyDescent="0.2"/>
    <row r="45284" customFormat="1" x14ac:dyDescent="0.2"/>
    <row r="45285" customFormat="1" x14ac:dyDescent="0.2"/>
    <row r="45286" customFormat="1" x14ac:dyDescent="0.2"/>
    <row r="45287" customFormat="1" x14ac:dyDescent="0.2"/>
    <row r="45288" customFormat="1" x14ac:dyDescent="0.2"/>
    <row r="45289" customFormat="1" x14ac:dyDescent="0.2"/>
    <row r="45290" customFormat="1" x14ac:dyDescent="0.2"/>
    <row r="45291" customFormat="1" x14ac:dyDescent="0.2"/>
    <row r="45292" customFormat="1" x14ac:dyDescent="0.2"/>
    <row r="45293" customFormat="1" x14ac:dyDescent="0.2"/>
    <row r="45294" customFormat="1" x14ac:dyDescent="0.2"/>
    <row r="45295" customFormat="1" x14ac:dyDescent="0.2"/>
    <row r="45296" customFormat="1" x14ac:dyDescent="0.2"/>
    <row r="45297" customFormat="1" x14ac:dyDescent="0.2"/>
    <row r="45298" customFormat="1" x14ac:dyDescent="0.2"/>
    <row r="45299" customFormat="1" x14ac:dyDescent="0.2"/>
    <row r="45300" customFormat="1" x14ac:dyDescent="0.2"/>
    <row r="45301" customFormat="1" x14ac:dyDescent="0.2"/>
    <row r="45302" customFormat="1" x14ac:dyDescent="0.2"/>
    <row r="45303" customFormat="1" x14ac:dyDescent="0.2"/>
    <row r="45304" customFormat="1" x14ac:dyDescent="0.2"/>
    <row r="45305" customFormat="1" x14ac:dyDescent="0.2"/>
    <row r="45306" customFormat="1" x14ac:dyDescent="0.2"/>
    <row r="45307" customFormat="1" x14ac:dyDescent="0.2"/>
    <row r="45308" customFormat="1" x14ac:dyDescent="0.2"/>
    <row r="45309" customFormat="1" x14ac:dyDescent="0.2"/>
    <row r="45310" customFormat="1" x14ac:dyDescent="0.2"/>
    <row r="45311" customFormat="1" x14ac:dyDescent="0.2"/>
    <row r="45312" customFormat="1" x14ac:dyDescent="0.2"/>
    <row r="45313" customFormat="1" x14ac:dyDescent="0.2"/>
    <row r="45314" customFormat="1" x14ac:dyDescent="0.2"/>
    <row r="45315" customFormat="1" x14ac:dyDescent="0.2"/>
    <row r="45316" customFormat="1" x14ac:dyDescent="0.2"/>
    <row r="45317" customFormat="1" x14ac:dyDescent="0.2"/>
    <row r="45318" customFormat="1" x14ac:dyDescent="0.2"/>
    <row r="45319" customFormat="1" x14ac:dyDescent="0.2"/>
    <row r="45320" customFormat="1" x14ac:dyDescent="0.2"/>
    <row r="45321" customFormat="1" x14ac:dyDescent="0.2"/>
    <row r="45322" customFormat="1" x14ac:dyDescent="0.2"/>
    <row r="45323" customFormat="1" x14ac:dyDescent="0.2"/>
    <row r="45324" customFormat="1" x14ac:dyDescent="0.2"/>
    <row r="45325" customFormat="1" x14ac:dyDescent="0.2"/>
    <row r="45326" customFormat="1" x14ac:dyDescent="0.2"/>
    <row r="45327" customFormat="1" x14ac:dyDescent="0.2"/>
    <row r="45328" customFormat="1" x14ac:dyDescent="0.2"/>
    <row r="45329" customFormat="1" x14ac:dyDescent="0.2"/>
    <row r="45330" customFormat="1" x14ac:dyDescent="0.2"/>
    <row r="45331" customFormat="1" x14ac:dyDescent="0.2"/>
    <row r="45332" customFormat="1" x14ac:dyDescent="0.2"/>
    <row r="45333" customFormat="1" x14ac:dyDescent="0.2"/>
    <row r="45334" customFormat="1" x14ac:dyDescent="0.2"/>
    <row r="45335" customFormat="1" x14ac:dyDescent="0.2"/>
    <row r="45336" customFormat="1" x14ac:dyDescent="0.2"/>
    <row r="45337" customFormat="1" x14ac:dyDescent="0.2"/>
    <row r="45338" customFormat="1" x14ac:dyDescent="0.2"/>
    <row r="45339" customFormat="1" x14ac:dyDescent="0.2"/>
    <row r="45340" customFormat="1" x14ac:dyDescent="0.2"/>
    <row r="45341" customFormat="1" x14ac:dyDescent="0.2"/>
    <row r="45342" customFormat="1" x14ac:dyDescent="0.2"/>
    <row r="45343" customFormat="1" x14ac:dyDescent="0.2"/>
    <row r="45344" customFormat="1" x14ac:dyDescent="0.2"/>
    <row r="45345" customFormat="1" x14ac:dyDescent="0.2"/>
    <row r="45346" customFormat="1" x14ac:dyDescent="0.2"/>
    <row r="45347" customFormat="1" x14ac:dyDescent="0.2"/>
    <row r="45348" customFormat="1" x14ac:dyDescent="0.2"/>
    <row r="45349" customFormat="1" x14ac:dyDescent="0.2"/>
    <row r="45350" customFormat="1" x14ac:dyDescent="0.2"/>
    <row r="45351" customFormat="1" x14ac:dyDescent="0.2"/>
    <row r="45352" customFormat="1" x14ac:dyDescent="0.2"/>
    <row r="45353" customFormat="1" x14ac:dyDescent="0.2"/>
    <row r="45354" customFormat="1" x14ac:dyDescent="0.2"/>
    <row r="45355" customFormat="1" x14ac:dyDescent="0.2"/>
    <row r="45356" customFormat="1" x14ac:dyDescent="0.2"/>
    <row r="45357" customFormat="1" x14ac:dyDescent="0.2"/>
    <row r="45358" customFormat="1" x14ac:dyDescent="0.2"/>
    <row r="45359" customFormat="1" x14ac:dyDescent="0.2"/>
    <row r="45360" customFormat="1" x14ac:dyDescent="0.2"/>
    <row r="45361" customFormat="1" x14ac:dyDescent="0.2"/>
    <row r="45362" customFormat="1" x14ac:dyDescent="0.2"/>
    <row r="45363" customFormat="1" x14ac:dyDescent="0.2"/>
    <row r="45364" customFormat="1" x14ac:dyDescent="0.2"/>
    <row r="45365" customFormat="1" x14ac:dyDescent="0.2"/>
    <row r="45366" customFormat="1" x14ac:dyDescent="0.2"/>
    <row r="45367" customFormat="1" x14ac:dyDescent="0.2"/>
    <row r="45368" customFormat="1" x14ac:dyDescent="0.2"/>
    <row r="45369" customFormat="1" x14ac:dyDescent="0.2"/>
    <row r="45370" customFormat="1" x14ac:dyDescent="0.2"/>
    <row r="45371" customFormat="1" x14ac:dyDescent="0.2"/>
    <row r="45372" customFormat="1" x14ac:dyDescent="0.2"/>
    <row r="45373" customFormat="1" x14ac:dyDescent="0.2"/>
    <row r="45374" customFormat="1" x14ac:dyDescent="0.2"/>
    <row r="45375" customFormat="1" x14ac:dyDescent="0.2"/>
    <row r="45376" customFormat="1" x14ac:dyDescent="0.2"/>
    <row r="45377" customFormat="1" x14ac:dyDescent="0.2"/>
    <row r="45378" customFormat="1" x14ac:dyDescent="0.2"/>
    <row r="45379" customFormat="1" x14ac:dyDescent="0.2"/>
    <row r="45380" customFormat="1" x14ac:dyDescent="0.2"/>
    <row r="45381" customFormat="1" x14ac:dyDescent="0.2"/>
    <row r="45382" customFormat="1" x14ac:dyDescent="0.2"/>
    <row r="45383" customFormat="1" x14ac:dyDescent="0.2"/>
    <row r="45384" customFormat="1" x14ac:dyDescent="0.2"/>
    <row r="45385" customFormat="1" x14ac:dyDescent="0.2"/>
    <row r="45386" customFormat="1" x14ac:dyDescent="0.2"/>
    <row r="45387" customFormat="1" x14ac:dyDescent="0.2"/>
    <row r="45388" customFormat="1" x14ac:dyDescent="0.2"/>
    <row r="45389" customFormat="1" x14ac:dyDescent="0.2"/>
    <row r="45390" customFormat="1" x14ac:dyDescent="0.2"/>
    <row r="45391" customFormat="1" x14ac:dyDescent="0.2"/>
    <row r="45392" customFormat="1" x14ac:dyDescent="0.2"/>
    <row r="45393" customFormat="1" x14ac:dyDescent="0.2"/>
    <row r="45394" customFormat="1" x14ac:dyDescent="0.2"/>
    <row r="45395" customFormat="1" x14ac:dyDescent="0.2"/>
    <row r="45396" customFormat="1" x14ac:dyDescent="0.2"/>
    <row r="45397" customFormat="1" x14ac:dyDescent="0.2"/>
    <row r="45398" customFormat="1" x14ac:dyDescent="0.2"/>
    <row r="45399" customFormat="1" x14ac:dyDescent="0.2"/>
    <row r="45400" customFormat="1" x14ac:dyDescent="0.2"/>
    <row r="45401" customFormat="1" x14ac:dyDescent="0.2"/>
    <row r="45402" customFormat="1" x14ac:dyDescent="0.2"/>
    <row r="45403" customFormat="1" x14ac:dyDescent="0.2"/>
    <row r="45404" customFormat="1" x14ac:dyDescent="0.2"/>
    <row r="45405" customFormat="1" x14ac:dyDescent="0.2"/>
    <row r="45406" customFormat="1" x14ac:dyDescent="0.2"/>
    <row r="45407" customFormat="1" x14ac:dyDescent="0.2"/>
    <row r="45408" customFormat="1" x14ac:dyDescent="0.2"/>
    <row r="45409" customFormat="1" x14ac:dyDescent="0.2"/>
    <row r="45410" customFormat="1" x14ac:dyDescent="0.2"/>
    <row r="45411" customFormat="1" x14ac:dyDescent="0.2"/>
    <row r="45412" customFormat="1" x14ac:dyDescent="0.2"/>
    <row r="45413" customFormat="1" x14ac:dyDescent="0.2"/>
    <row r="45414" customFormat="1" x14ac:dyDescent="0.2"/>
    <row r="45415" customFormat="1" x14ac:dyDescent="0.2"/>
    <row r="45416" customFormat="1" x14ac:dyDescent="0.2"/>
    <row r="45417" customFormat="1" x14ac:dyDescent="0.2"/>
    <row r="45418" customFormat="1" x14ac:dyDescent="0.2"/>
    <row r="45419" customFormat="1" x14ac:dyDescent="0.2"/>
    <row r="45420" customFormat="1" x14ac:dyDescent="0.2"/>
    <row r="45421" customFormat="1" x14ac:dyDescent="0.2"/>
    <row r="45422" customFormat="1" x14ac:dyDescent="0.2"/>
    <row r="45423" customFormat="1" x14ac:dyDescent="0.2"/>
    <row r="45424" customFormat="1" x14ac:dyDescent="0.2"/>
    <row r="45425" customFormat="1" x14ac:dyDescent="0.2"/>
    <row r="45426" customFormat="1" x14ac:dyDescent="0.2"/>
    <row r="45427" customFormat="1" x14ac:dyDescent="0.2"/>
    <row r="45428" customFormat="1" x14ac:dyDescent="0.2"/>
    <row r="45429" customFormat="1" x14ac:dyDescent="0.2"/>
    <row r="45430" customFormat="1" x14ac:dyDescent="0.2"/>
    <row r="45431" customFormat="1" x14ac:dyDescent="0.2"/>
    <row r="45432" customFormat="1" x14ac:dyDescent="0.2"/>
    <row r="45433" customFormat="1" x14ac:dyDescent="0.2"/>
    <row r="45434" customFormat="1" x14ac:dyDescent="0.2"/>
    <row r="45435" customFormat="1" x14ac:dyDescent="0.2"/>
    <row r="45436" customFormat="1" x14ac:dyDescent="0.2"/>
    <row r="45437" customFormat="1" x14ac:dyDescent="0.2"/>
    <row r="45438" customFormat="1" x14ac:dyDescent="0.2"/>
    <row r="45439" customFormat="1" x14ac:dyDescent="0.2"/>
    <row r="45440" customFormat="1" x14ac:dyDescent="0.2"/>
    <row r="45441" customFormat="1" x14ac:dyDescent="0.2"/>
    <row r="45442" customFormat="1" x14ac:dyDescent="0.2"/>
    <row r="45443" customFormat="1" x14ac:dyDescent="0.2"/>
    <row r="45444" customFormat="1" x14ac:dyDescent="0.2"/>
    <row r="45445" customFormat="1" x14ac:dyDescent="0.2"/>
    <row r="45446" customFormat="1" x14ac:dyDescent="0.2"/>
    <row r="45447" customFormat="1" x14ac:dyDescent="0.2"/>
    <row r="45448" customFormat="1" x14ac:dyDescent="0.2"/>
    <row r="45449" customFormat="1" x14ac:dyDescent="0.2"/>
    <row r="45450" customFormat="1" x14ac:dyDescent="0.2"/>
    <row r="45451" customFormat="1" x14ac:dyDescent="0.2"/>
    <row r="45452" customFormat="1" x14ac:dyDescent="0.2"/>
    <row r="45453" customFormat="1" x14ac:dyDescent="0.2"/>
    <row r="45454" customFormat="1" x14ac:dyDescent="0.2"/>
    <row r="45455" customFormat="1" x14ac:dyDescent="0.2"/>
    <row r="45456" customFormat="1" x14ac:dyDescent="0.2"/>
    <row r="45457" customFormat="1" x14ac:dyDescent="0.2"/>
    <row r="45458" customFormat="1" x14ac:dyDescent="0.2"/>
    <row r="45459" customFormat="1" x14ac:dyDescent="0.2"/>
    <row r="45460" customFormat="1" x14ac:dyDescent="0.2"/>
    <row r="45461" customFormat="1" x14ac:dyDescent="0.2"/>
    <row r="45462" customFormat="1" x14ac:dyDescent="0.2"/>
    <row r="45463" customFormat="1" x14ac:dyDescent="0.2"/>
    <row r="45464" customFormat="1" x14ac:dyDescent="0.2"/>
    <row r="45465" customFormat="1" x14ac:dyDescent="0.2"/>
    <row r="45466" customFormat="1" x14ac:dyDescent="0.2"/>
    <row r="45467" customFormat="1" x14ac:dyDescent="0.2"/>
    <row r="45468" customFormat="1" x14ac:dyDescent="0.2"/>
    <row r="45469" customFormat="1" x14ac:dyDescent="0.2"/>
    <row r="45470" customFormat="1" x14ac:dyDescent="0.2"/>
    <row r="45471" customFormat="1" x14ac:dyDescent="0.2"/>
    <row r="45472" customFormat="1" x14ac:dyDescent="0.2"/>
    <row r="45473" customFormat="1" x14ac:dyDescent="0.2"/>
    <row r="45474" customFormat="1" x14ac:dyDescent="0.2"/>
    <row r="45475" customFormat="1" x14ac:dyDescent="0.2"/>
    <row r="45476" customFormat="1" x14ac:dyDescent="0.2"/>
    <row r="45477" customFormat="1" x14ac:dyDescent="0.2"/>
    <row r="45478" customFormat="1" x14ac:dyDescent="0.2"/>
    <row r="45479" customFormat="1" x14ac:dyDescent="0.2"/>
    <row r="45480" customFormat="1" x14ac:dyDescent="0.2"/>
    <row r="45481" customFormat="1" x14ac:dyDescent="0.2"/>
    <row r="45482" customFormat="1" x14ac:dyDescent="0.2"/>
    <row r="45483" customFormat="1" x14ac:dyDescent="0.2"/>
    <row r="45484" customFormat="1" x14ac:dyDescent="0.2"/>
    <row r="45485" customFormat="1" x14ac:dyDescent="0.2"/>
    <row r="45486" customFormat="1" x14ac:dyDescent="0.2"/>
    <row r="45487" customFormat="1" x14ac:dyDescent="0.2"/>
    <row r="45488" customFormat="1" x14ac:dyDescent="0.2"/>
    <row r="45489" customFormat="1" x14ac:dyDescent="0.2"/>
    <row r="45490" customFormat="1" x14ac:dyDescent="0.2"/>
    <row r="45491" customFormat="1" x14ac:dyDescent="0.2"/>
    <row r="45492" customFormat="1" x14ac:dyDescent="0.2"/>
    <row r="45493" customFormat="1" x14ac:dyDescent="0.2"/>
    <row r="45494" customFormat="1" x14ac:dyDescent="0.2"/>
    <row r="45495" customFormat="1" x14ac:dyDescent="0.2"/>
    <row r="45496" customFormat="1" x14ac:dyDescent="0.2"/>
    <row r="45497" customFormat="1" x14ac:dyDescent="0.2"/>
    <row r="45498" customFormat="1" x14ac:dyDescent="0.2"/>
    <row r="45499" customFormat="1" x14ac:dyDescent="0.2"/>
    <row r="45500" customFormat="1" x14ac:dyDescent="0.2"/>
    <row r="45501" customFormat="1" x14ac:dyDescent="0.2"/>
    <row r="45502" customFormat="1" x14ac:dyDescent="0.2"/>
    <row r="45503" customFormat="1" x14ac:dyDescent="0.2"/>
    <row r="45504" customFormat="1" x14ac:dyDescent="0.2"/>
    <row r="45505" customFormat="1" x14ac:dyDescent="0.2"/>
    <row r="45506" customFormat="1" x14ac:dyDescent="0.2"/>
    <row r="45507" customFormat="1" x14ac:dyDescent="0.2"/>
    <row r="45508" customFormat="1" x14ac:dyDescent="0.2"/>
    <row r="45509" customFormat="1" x14ac:dyDescent="0.2"/>
    <row r="45510" customFormat="1" x14ac:dyDescent="0.2"/>
    <row r="45511" customFormat="1" x14ac:dyDescent="0.2"/>
    <row r="45512" customFormat="1" x14ac:dyDescent="0.2"/>
    <row r="45513" customFormat="1" x14ac:dyDescent="0.2"/>
    <row r="45514" customFormat="1" x14ac:dyDescent="0.2"/>
    <row r="45515" customFormat="1" x14ac:dyDescent="0.2"/>
    <row r="45516" customFormat="1" x14ac:dyDescent="0.2"/>
    <row r="45517" customFormat="1" x14ac:dyDescent="0.2"/>
    <row r="45518" customFormat="1" x14ac:dyDescent="0.2"/>
    <row r="45519" customFormat="1" x14ac:dyDescent="0.2"/>
    <row r="45520" customFormat="1" x14ac:dyDescent="0.2"/>
    <row r="45521" customFormat="1" x14ac:dyDescent="0.2"/>
    <row r="45522" customFormat="1" x14ac:dyDescent="0.2"/>
    <row r="45523" customFormat="1" x14ac:dyDescent="0.2"/>
    <row r="45524" customFormat="1" x14ac:dyDescent="0.2"/>
    <row r="45525" customFormat="1" x14ac:dyDescent="0.2"/>
    <row r="45526" customFormat="1" x14ac:dyDescent="0.2"/>
    <row r="45527" customFormat="1" x14ac:dyDescent="0.2"/>
    <row r="45528" customFormat="1" x14ac:dyDescent="0.2"/>
    <row r="45529" customFormat="1" x14ac:dyDescent="0.2"/>
    <row r="45530" customFormat="1" x14ac:dyDescent="0.2"/>
    <row r="45531" customFormat="1" x14ac:dyDescent="0.2"/>
    <row r="45532" customFormat="1" x14ac:dyDescent="0.2"/>
    <row r="45533" customFormat="1" x14ac:dyDescent="0.2"/>
    <row r="45534" customFormat="1" x14ac:dyDescent="0.2"/>
    <row r="45535" customFormat="1" x14ac:dyDescent="0.2"/>
    <row r="45536" customFormat="1" x14ac:dyDescent="0.2"/>
    <row r="45537" customFormat="1" x14ac:dyDescent="0.2"/>
    <row r="45538" customFormat="1" x14ac:dyDescent="0.2"/>
    <row r="45539" customFormat="1" x14ac:dyDescent="0.2"/>
    <row r="45540" customFormat="1" x14ac:dyDescent="0.2"/>
    <row r="45541" customFormat="1" x14ac:dyDescent="0.2"/>
    <row r="45542" customFormat="1" x14ac:dyDescent="0.2"/>
    <row r="45543" customFormat="1" x14ac:dyDescent="0.2"/>
    <row r="45544" customFormat="1" x14ac:dyDescent="0.2"/>
    <row r="45545" customFormat="1" x14ac:dyDescent="0.2"/>
    <row r="45546" customFormat="1" x14ac:dyDescent="0.2"/>
    <row r="45547" customFormat="1" x14ac:dyDescent="0.2"/>
    <row r="45548" customFormat="1" x14ac:dyDescent="0.2"/>
    <row r="45549" customFormat="1" x14ac:dyDescent="0.2"/>
    <row r="45550" customFormat="1" x14ac:dyDescent="0.2"/>
    <row r="45551" customFormat="1" x14ac:dyDescent="0.2"/>
    <row r="45552" customFormat="1" x14ac:dyDescent="0.2"/>
    <row r="45553" customFormat="1" x14ac:dyDescent="0.2"/>
    <row r="45554" customFormat="1" x14ac:dyDescent="0.2"/>
    <row r="45555" customFormat="1" x14ac:dyDescent="0.2"/>
    <row r="45556" customFormat="1" x14ac:dyDescent="0.2"/>
    <row r="45557" customFormat="1" x14ac:dyDescent="0.2"/>
    <row r="45558" customFormat="1" x14ac:dyDescent="0.2"/>
    <row r="45559" customFormat="1" x14ac:dyDescent="0.2"/>
    <row r="45560" customFormat="1" x14ac:dyDescent="0.2"/>
    <row r="45561" customFormat="1" x14ac:dyDescent="0.2"/>
    <row r="45562" customFormat="1" x14ac:dyDescent="0.2"/>
    <row r="45563" customFormat="1" x14ac:dyDescent="0.2"/>
    <row r="45564" customFormat="1" x14ac:dyDescent="0.2"/>
    <row r="45565" customFormat="1" x14ac:dyDescent="0.2"/>
    <row r="45566" customFormat="1" x14ac:dyDescent="0.2"/>
    <row r="45567" customFormat="1" x14ac:dyDescent="0.2"/>
    <row r="45568" customFormat="1" x14ac:dyDescent="0.2"/>
    <row r="45569" customFormat="1" x14ac:dyDescent="0.2"/>
    <row r="45570" customFormat="1" x14ac:dyDescent="0.2"/>
    <row r="45571" customFormat="1" x14ac:dyDescent="0.2"/>
    <row r="45572" customFormat="1" x14ac:dyDescent="0.2"/>
    <row r="45573" customFormat="1" x14ac:dyDescent="0.2"/>
    <row r="45574" customFormat="1" x14ac:dyDescent="0.2"/>
    <row r="45575" customFormat="1" x14ac:dyDescent="0.2"/>
    <row r="45576" customFormat="1" x14ac:dyDescent="0.2"/>
    <row r="45577" customFormat="1" x14ac:dyDescent="0.2"/>
    <row r="45578" customFormat="1" x14ac:dyDescent="0.2"/>
    <row r="45579" customFormat="1" x14ac:dyDescent="0.2"/>
    <row r="45580" customFormat="1" x14ac:dyDescent="0.2"/>
    <row r="45581" customFormat="1" x14ac:dyDescent="0.2"/>
    <row r="45582" customFormat="1" x14ac:dyDescent="0.2"/>
    <row r="45583" customFormat="1" x14ac:dyDescent="0.2"/>
    <row r="45584" customFormat="1" x14ac:dyDescent="0.2"/>
    <row r="45585" customFormat="1" x14ac:dyDescent="0.2"/>
    <row r="45586" customFormat="1" x14ac:dyDescent="0.2"/>
    <row r="45587" customFormat="1" x14ac:dyDescent="0.2"/>
    <row r="45588" customFormat="1" x14ac:dyDescent="0.2"/>
    <row r="45589" customFormat="1" x14ac:dyDescent="0.2"/>
    <row r="45590" customFormat="1" x14ac:dyDescent="0.2"/>
    <row r="45591" customFormat="1" x14ac:dyDescent="0.2"/>
    <row r="45592" customFormat="1" x14ac:dyDescent="0.2"/>
    <row r="45593" customFormat="1" x14ac:dyDescent="0.2"/>
    <row r="45594" customFormat="1" x14ac:dyDescent="0.2"/>
    <row r="45595" customFormat="1" x14ac:dyDescent="0.2"/>
    <row r="45596" customFormat="1" x14ac:dyDescent="0.2"/>
    <row r="45597" customFormat="1" x14ac:dyDescent="0.2"/>
    <row r="45598" customFormat="1" x14ac:dyDescent="0.2"/>
    <row r="45599" customFormat="1" x14ac:dyDescent="0.2"/>
    <row r="45600" customFormat="1" x14ac:dyDescent="0.2"/>
    <row r="45601" customFormat="1" x14ac:dyDescent="0.2"/>
    <row r="45602" customFormat="1" x14ac:dyDescent="0.2"/>
    <row r="45603" customFormat="1" x14ac:dyDescent="0.2"/>
    <row r="45604" customFormat="1" x14ac:dyDescent="0.2"/>
    <row r="45605" customFormat="1" x14ac:dyDescent="0.2"/>
    <row r="45606" customFormat="1" x14ac:dyDescent="0.2"/>
    <row r="45607" customFormat="1" x14ac:dyDescent="0.2"/>
    <row r="45608" customFormat="1" x14ac:dyDescent="0.2"/>
    <row r="45609" customFormat="1" x14ac:dyDescent="0.2"/>
    <row r="45610" customFormat="1" x14ac:dyDescent="0.2"/>
    <row r="45611" customFormat="1" x14ac:dyDescent="0.2"/>
    <row r="45612" customFormat="1" x14ac:dyDescent="0.2"/>
    <row r="45613" customFormat="1" x14ac:dyDescent="0.2"/>
    <row r="45614" customFormat="1" x14ac:dyDescent="0.2"/>
    <row r="45615" customFormat="1" x14ac:dyDescent="0.2"/>
    <row r="45616" customFormat="1" x14ac:dyDescent="0.2"/>
    <row r="45617" customFormat="1" x14ac:dyDescent="0.2"/>
    <row r="45618" customFormat="1" x14ac:dyDescent="0.2"/>
    <row r="45619" customFormat="1" x14ac:dyDescent="0.2"/>
    <row r="45620" customFormat="1" x14ac:dyDescent="0.2"/>
    <row r="45621" customFormat="1" x14ac:dyDescent="0.2"/>
    <row r="45622" customFormat="1" x14ac:dyDescent="0.2"/>
    <row r="45623" customFormat="1" x14ac:dyDescent="0.2"/>
    <row r="45624" customFormat="1" x14ac:dyDescent="0.2"/>
    <row r="45625" customFormat="1" x14ac:dyDescent="0.2"/>
    <row r="45626" customFormat="1" x14ac:dyDescent="0.2"/>
    <row r="45627" customFormat="1" x14ac:dyDescent="0.2"/>
    <row r="45628" customFormat="1" x14ac:dyDescent="0.2"/>
    <row r="45629" customFormat="1" x14ac:dyDescent="0.2"/>
    <row r="45630" customFormat="1" x14ac:dyDescent="0.2"/>
    <row r="45631" customFormat="1" x14ac:dyDescent="0.2"/>
    <row r="45632" customFormat="1" x14ac:dyDescent="0.2"/>
    <row r="45633" customFormat="1" x14ac:dyDescent="0.2"/>
    <row r="45634" customFormat="1" x14ac:dyDescent="0.2"/>
    <row r="45635" customFormat="1" x14ac:dyDescent="0.2"/>
    <row r="45636" customFormat="1" x14ac:dyDescent="0.2"/>
    <row r="45637" customFormat="1" x14ac:dyDescent="0.2"/>
    <row r="45638" customFormat="1" x14ac:dyDescent="0.2"/>
    <row r="45639" customFormat="1" x14ac:dyDescent="0.2"/>
    <row r="45640" customFormat="1" x14ac:dyDescent="0.2"/>
    <row r="45641" customFormat="1" x14ac:dyDescent="0.2"/>
    <row r="45642" customFormat="1" x14ac:dyDescent="0.2"/>
    <row r="45643" customFormat="1" x14ac:dyDescent="0.2"/>
    <row r="45644" customFormat="1" x14ac:dyDescent="0.2"/>
    <row r="45645" customFormat="1" x14ac:dyDescent="0.2"/>
    <row r="45646" customFormat="1" x14ac:dyDescent="0.2"/>
    <row r="45647" customFormat="1" x14ac:dyDescent="0.2"/>
    <row r="45648" customFormat="1" x14ac:dyDescent="0.2"/>
    <row r="45649" customFormat="1" x14ac:dyDescent="0.2"/>
    <row r="45650" customFormat="1" x14ac:dyDescent="0.2"/>
    <row r="45651" customFormat="1" x14ac:dyDescent="0.2"/>
    <row r="45652" customFormat="1" x14ac:dyDescent="0.2"/>
    <row r="45653" customFormat="1" x14ac:dyDescent="0.2"/>
    <row r="45654" customFormat="1" x14ac:dyDescent="0.2"/>
    <row r="45655" customFormat="1" x14ac:dyDescent="0.2"/>
    <row r="45656" customFormat="1" x14ac:dyDescent="0.2"/>
    <row r="45657" customFormat="1" x14ac:dyDescent="0.2"/>
    <row r="45658" customFormat="1" x14ac:dyDescent="0.2"/>
    <row r="45659" customFormat="1" x14ac:dyDescent="0.2"/>
    <row r="45660" customFormat="1" x14ac:dyDescent="0.2"/>
    <row r="45661" customFormat="1" x14ac:dyDescent="0.2"/>
    <row r="45662" customFormat="1" x14ac:dyDescent="0.2"/>
    <row r="45663" customFormat="1" x14ac:dyDescent="0.2"/>
    <row r="45664" customFormat="1" x14ac:dyDescent="0.2"/>
    <row r="45665" customFormat="1" x14ac:dyDescent="0.2"/>
    <row r="45666" customFormat="1" x14ac:dyDescent="0.2"/>
    <row r="45667" customFormat="1" x14ac:dyDescent="0.2"/>
    <row r="45668" customFormat="1" x14ac:dyDescent="0.2"/>
    <row r="45669" customFormat="1" x14ac:dyDescent="0.2"/>
    <row r="45670" customFormat="1" x14ac:dyDescent="0.2"/>
    <row r="45671" customFormat="1" x14ac:dyDescent="0.2"/>
    <row r="45672" customFormat="1" x14ac:dyDescent="0.2"/>
    <row r="45673" customFormat="1" x14ac:dyDescent="0.2"/>
    <row r="45674" customFormat="1" x14ac:dyDescent="0.2"/>
    <row r="45675" customFormat="1" x14ac:dyDescent="0.2"/>
    <row r="45676" customFormat="1" x14ac:dyDescent="0.2"/>
    <row r="45677" customFormat="1" x14ac:dyDescent="0.2"/>
    <row r="45678" customFormat="1" x14ac:dyDescent="0.2"/>
    <row r="45679" customFormat="1" x14ac:dyDescent="0.2"/>
    <row r="45680" customFormat="1" x14ac:dyDescent="0.2"/>
    <row r="45681" customFormat="1" x14ac:dyDescent="0.2"/>
    <row r="45682" customFormat="1" x14ac:dyDescent="0.2"/>
    <row r="45683" customFormat="1" x14ac:dyDescent="0.2"/>
    <row r="45684" customFormat="1" x14ac:dyDescent="0.2"/>
    <row r="45685" customFormat="1" x14ac:dyDescent="0.2"/>
    <row r="45686" customFormat="1" x14ac:dyDescent="0.2"/>
    <row r="45687" customFormat="1" x14ac:dyDescent="0.2"/>
    <row r="45688" customFormat="1" x14ac:dyDescent="0.2"/>
    <row r="45689" customFormat="1" x14ac:dyDescent="0.2"/>
    <row r="45690" customFormat="1" x14ac:dyDescent="0.2"/>
    <row r="45691" customFormat="1" x14ac:dyDescent="0.2"/>
    <row r="45692" customFormat="1" x14ac:dyDescent="0.2"/>
    <row r="45693" customFormat="1" x14ac:dyDescent="0.2"/>
    <row r="45694" customFormat="1" x14ac:dyDescent="0.2"/>
    <row r="45695" customFormat="1" x14ac:dyDescent="0.2"/>
    <row r="45696" customFormat="1" x14ac:dyDescent="0.2"/>
    <row r="45697" customFormat="1" x14ac:dyDescent="0.2"/>
    <row r="45698" customFormat="1" x14ac:dyDescent="0.2"/>
    <row r="45699" customFormat="1" x14ac:dyDescent="0.2"/>
    <row r="45700" customFormat="1" x14ac:dyDescent="0.2"/>
    <row r="45701" customFormat="1" x14ac:dyDescent="0.2"/>
    <row r="45702" customFormat="1" x14ac:dyDescent="0.2"/>
    <row r="45703" customFormat="1" x14ac:dyDescent="0.2"/>
    <row r="45704" customFormat="1" x14ac:dyDescent="0.2"/>
    <row r="45705" customFormat="1" x14ac:dyDescent="0.2"/>
    <row r="45706" customFormat="1" x14ac:dyDescent="0.2"/>
    <row r="45707" customFormat="1" x14ac:dyDescent="0.2"/>
    <row r="45708" customFormat="1" x14ac:dyDescent="0.2"/>
    <row r="45709" customFormat="1" x14ac:dyDescent="0.2"/>
    <row r="45710" customFormat="1" x14ac:dyDescent="0.2"/>
    <row r="45711" customFormat="1" x14ac:dyDescent="0.2"/>
    <row r="45712" customFormat="1" x14ac:dyDescent="0.2"/>
    <row r="45713" customFormat="1" x14ac:dyDescent="0.2"/>
    <row r="45714" customFormat="1" x14ac:dyDescent="0.2"/>
    <row r="45715" customFormat="1" x14ac:dyDescent="0.2"/>
    <row r="45716" customFormat="1" x14ac:dyDescent="0.2"/>
    <row r="45717" customFormat="1" x14ac:dyDescent="0.2"/>
    <row r="45718" customFormat="1" x14ac:dyDescent="0.2"/>
    <row r="45719" customFormat="1" x14ac:dyDescent="0.2"/>
    <row r="45720" customFormat="1" x14ac:dyDescent="0.2"/>
    <row r="45721" customFormat="1" x14ac:dyDescent="0.2"/>
    <row r="45722" customFormat="1" x14ac:dyDescent="0.2"/>
    <row r="45723" customFormat="1" x14ac:dyDescent="0.2"/>
    <row r="45724" customFormat="1" x14ac:dyDescent="0.2"/>
    <row r="45725" customFormat="1" x14ac:dyDescent="0.2"/>
    <row r="45726" customFormat="1" x14ac:dyDescent="0.2"/>
    <row r="45727" customFormat="1" x14ac:dyDescent="0.2"/>
    <row r="45728" customFormat="1" x14ac:dyDescent="0.2"/>
    <row r="45729" customFormat="1" x14ac:dyDescent="0.2"/>
    <row r="45730" customFormat="1" x14ac:dyDescent="0.2"/>
    <row r="45731" customFormat="1" x14ac:dyDescent="0.2"/>
    <row r="45732" customFormat="1" x14ac:dyDescent="0.2"/>
    <row r="45733" customFormat="1" x14ac:dyDescent="0.2"/>
    <row r="45734" customFormat="1" x14ac:dyDescent="0.2"/>
    <row r="45735" customFormat="1" x14ac:dyDescent="0.2"/>
    <row r="45736" customFormat="1" x14ac:dyDescent="0.2"/>
    <row r="45737" customFormat="1" x14ac:dyDescent="0.2"/>
    <row r="45738" customFormat="1" x14ac:dyDescent="0.2"/>
    <row r="45739" customFormat="1" x14ac:dyDescent="0.2"/>
    <row r="45740" customFormat="1" x14ac:dyDescent="0.2"/>
    <row r="45741" customFormat="1" x14ac:dyDescent="0.2"/>
    <row r="45742" customFormat="1" x14ac:dyDescent="0.2"/>
    <row r="45743" customFormat="1" x14ac:dyDescent="0.2"/>
    <row r="45744" customFormat="1" x14ac:dyDescent="0.2"/>
    <row r="45745" customFormat="1" x14ac:dyDescent="0.2"/>
    <row r="45746" customFormat="1" x14ac:dyDescent="0.2"/>
    <row r="45747" customFormat="1" x14ac:dyDescent="0.2"/>
    <row r="45748" customFormat="1" x14ac:dyDescent="0.2"/>
    <row r="45749" customFormat="1" x14ac:dyDescent="0.2"/>
    <row r="45750" customFormat="1" x14ac:dyDescent="0.2"/>
    <row r="45751" customFormat="1" x14ac:dyDescent="0.2"/>
    <row r="45752" customFormat="1" x14ac:dyDescent="0.2"/>
    <row r="45753" customFormat="1" x14ac:dyDescent="0.2"/>
    <row r="45754" customFormat="1" x14ac:dyDescent="0.2"/>
    <row r="45755" customFormat="1" x14ac:dyDescent="0.2"/>
    <row r="45756" customFormat="1" x14ac:dyDescent="0.2"/>
    <row r="45757" customFormat="1" x14ac:dyDescent="0.2"/>
    <row r="45758" customFormat="1" x14ac:dyDescent="0.2"/>
    <row r="45759" customFormat="1" x14ac:dyDescent="0.2"/>
    <row r="45760" customFormat="1" x14ac:dyDescent="0.2"/>
    <row r="45761" customFormat="1" x14ac:dyDescent="0.2"/>
    <row r="45762" customFormat="1" x14ac:dyDescent="0.2"/>
    <row r="45763" customFormat="1" x14ac:dyDescent="0.2"/>
    <row r="45764" customFormat="1" x14ac:dyDescent="0.2"/>
    <row r="45765" customFormat="1" x14ac:dyDescent="0.2"/>
    <row r="45766" customFormat="1" x14ac:dyDescent="0.2"/>
    <row r="45767" customFormat="1" x14ac:dyDescent="0.2"/>
    <row r="45768" customFormat="1" x14ac:dyDescent="0.2"/>
    <row r="45769" customFormat="1" x14ac:dyDescent="0.2"/>
    <row r="45770" customFormat="1" x14ac:dyDescent="0.2"/>
    <row r="45771" customFormat="1" x14ac:dyDescent="0.2"/>
    <row r="45772" customFormat="1" x14ac:dyDescent="0.2"/>
    <row r="45773" customFormat="1" x14ac:dyDescent="0.2"/>
    <row r="45774" customFormat="1" x14ac:dyDescent="0.2"/>
    <row r="45775" customFormat="1" x14ac:dyDescent="0.2"/>
    <row r="45776" customFormat="1" x14ac:dyDescent="0.2"/>
    <row r="45777" customFormat="1" x14ac:dyDescent="0.2"/>
    <row r="45778" customFormat="1" x14ac:dyDescent="0.2"/>
    <row r="45779" customFormat="1" x14ac:dyDescent="0.2"/>
    <row r="45780" customFormat="1" x14ac:dyDescent="0.2"/>
    <row r="45781" customFormat="1" x14ac:dyDescent="0.2"/>
    <row r="45782" customFormat="1" x14ac:dyDescent="0.2"/>
    <row r="45783" customFormat="1" x14ac:dyDescent="0.2"/>
    <row r="45784" customFormat="1" x14ac:dyDescent="0.2"/>
    <row r="45785" customFormat="1" x14ac:dyDescent="0.2"/>
    <row r="45786" customFormat="1" x14ac:dyDescent="0.2"/>
    <row r="45787" customFormat="1" x14ac:dyDescent="0.2"/>
    <row r="45788" customFormat="1" x14ac:dyDescent="0.2"/>
    <row r="45789" customFormat="1" x14ac:dyDescent="0.2"/>
    <row r="45790" customFormat="1" x14ac:dyDescent="0.2"/>
    <row r="45791" customFormat="1" x14ac:dyDescent="0.2"/>
    <row r="45792" customFormat="1" x14ac:dyDescent="0.2"/>
    <row r="45793" customFormat="1" x14ac:dyDescent="0.2"/>
    <row r="45794" customFormat="1" x14ac:dyDescent="0.2"/>
    <row r="45795" customFormat="1" x14ac:dyDescent="0.2"/>
    <row r="45796" customFormat="1" x14ac:dyDescent="0.2"/>
    <row r="45797" customFormat="1" x14ac:dyDescent="0.2"/>
    <row r="45798" customFormat="1" x14ac:dyDescent="0.2"/>
    <row r="45799" customFormat="1" x14ac:dyDescent="0.2"/>
    <row r="45800" customFormat="1" x14ac:dyDescent="0.2"/>
    <row r="45801" customFormat="1" x14ac:dyDescent="0.2"/>
    <row r="45802" customFormat="1" x14ac:dyDescent="0.2"/>
    <row r="45803" customFormat="1" x14ac:dyDescent="0.2"/>
    <row r="45804" customFormat="1" x14ac:dyDescent="0.2"/>
    <row r="45805" customFormat="1" x14ac:dyDescent="0.2"/>
    <row r="45806" customFormat="1" x14ac:dyDescent="0.2"/>
    <row r="45807" customFormat="1" x14ac:dyDescent="0.2"/>
    <row r="45808" customFormat="1" x14ac:dyDescent="0.2"/>
    <row r="45809" customFormat="1" x14ac:dyDescent="0.2"/>
    <row r="45810" customFormat="1" x14ac:dyDescent="0.2"/>
    <row r="45811" customFormat="1" x14ac:dyDescent="0.2"/>
    <row r="45812" customFormat="1" x14ac:dyDescent="0.2"/>
    <row r="45813" customFormat="1" x14ac:dyDescent="0.2"/>
    <row r="45814" customFormat="1" x14ac:dyDescent="0.2"/>
    <row r="45815" customFormat="1" x14ac:dyDescent="0.2"/>
    <row r="45816" customFormat="1" x14ac:dyDescent="0.2"/>
    <row r="45817" customFormat="1" x14ac:dyDescent="0.2"/>
    <row r="45818" customFormat="1" x14ac:dyDescent="0.2"/>
    <row r="45819" customFormat="1" x14ac:dyDescent="0.2"/>
    <row r="45820" customFormat="1" x14ac:dyDescent="0.2"/>
    <row r="45821" customFormat="1" x14ac:dyDescent="0.2"/>
    <row r="45822" customFormat="1" x14ac:dyDescent="0.2"/>
    <row r="45823" customFormat="1" x14ac:dyDescent="0.2"/>
    <row r="45824" customFormat="1" x14ac:dyDescent="0.2"/>
    <row r="45825" customFormat="1" x14ac:dyDescent="0.2"/>
    <row r="45826" customFormat="1" x14ac:dyDescent="0.2"/>
    <row r="45827" customFormat="1" x14ac:dyDescent="0.2"/>
    <row r="45828" customFormat="1" x14ac:dyDescent="0.2"/>
    <row r="45829" customFormat="1" x14ac:dyDescent="0.2"/>
    <row r="45830" customFormat="1" x14ac:dyDescent="0.2"/>
    <row r="45831" customFormat="1" x14ac:dyDescent="0.2"/>
    <row r="45832" customFormat="1" x14ac:dyDescent="0.2"/>
    <row r="45833" customFormat="1" x14ac:dyDescent="0.2"/>
    <row r="45834" customFormat="1" x14ac:dyDescent="0.2"/>
    <row r="45835" customFormat="1" x14ac:dyDescent="0.2"/>
    <row r="45836" customFormat="1" x14ac:dyDescent="0.2"/>
    <row r="45837" customFormat="1" x14ac:dyDescent="0.2"/>
    <row r="45838" customFormat="1" x14ac:dyDescent="0.2"/>
    <row r="45839" customFormat="1" x14ac:dyDescent="0.2"/>
    <row r="45840" customFormat="1" x14ac:dyDescent="0.2"/>
    <row r="45841" customFormat="1" x14ac:dyDescent="0.2"/>
    <row r="45842" customFormat="1" x14ac:dyDescent="0.2"/>
    <row r="45843" customFormat="1" x14ac:dyDescent="0.2"/>
    <row r="45844" customFormat="1" x14ac:dyDescent="0.2"/>
    <row r="45845" customFormat="1" x14ac:dyDescent="0.2"/>
    <row r="45846" customFormat="1" x14ac:dyDescent="0.2"/>
    <row r="45847" customFormat="1" x14ac:dyDescent="0.2"/>
    <row r="45848" customFormat="1" x14ac:dyDescent="0.2"/>
    <row r="45849" customFormat="1" x14ac:dyDescent="0.2"/>
    <row r="45850" customFormat="1" x14ac:dyDescent="0.2"/>
    <row r="45851" customFormat="1" x14ac:dyDescent="0.2"/>
    <row r="45852" customFormat="1" x14ac:dyDescent="0.2"/>
    <row r="45853" customFormat="1" x14ac:dyDescent="0.2"/>
    <row r="45854" customFormat="1" x14ac:dyDescent="0.2"/>
    <row r="45855" customFormat="1" x14ac:dyDescent="0.2"/>
    <row r="45856" customFormat="1" x14ac:dyDescent="0.2"/>
    <row r="45857" customFormat="1" x14ac:dyDescent="0.2"/>
    <row r="45858" customFormat="1" x14ac:dyDescent="0.2"/>
    <row r="45859" customFormat="1" x14ac:dyDescent="0.2"/>
    <row r="45860" customFormat="1" x14ac:dyDescent="0.2"/>
    <row r="45861" customFormat="1" x14ac:dyDescent="0.2"/>
    <row r="45862" customFormat="1" x14ac:dyDescent="0.2"/>
    <row r="45863" customFormat="1" x14ac:dyDescent="0.2"/>
    <row r="45864" customFormat="1" x14ac:dyDescent="0.2"/>
    <row r="45865" customFormat="1" x14ac:dyDescent="0.2"/>
    <row r="45866" customFormat="1" x14ac:dyDescent="0.2"/>
    <row r="45867" customFormat="1" x14ac:dyDescent="0.2"/>
    <row r="45868" customFormat="1" x14ac:dyDescent="0.2"/>
    <row r="45869" customFormat="1" x14ac:dyDescent="0.2"/>
    <row r="45870" customFormat="1" x14ac:dyDescent="0.2"/>
    <row r="45871" customFormat="1" x14ac:dyDescent="0.2"/>
    <row r="45872" customFormat="1" x14ac:dyDescent="0.2"/>
    <row r="45873" customFormat="1" x14ac:dyDescent="0.2"/>
    <row r="45874" customFormat="1" x14ac:dyDescent="0.2"/>
    <row r="45875" customFormat="1" x14ac:dyDescent="0.2"/>
    <row r="45876" customFormat="1" x14ac:dyDescent="0.2"/>
    <row r="45877" customFormat="1" x14ac:dyDescent="0.2"/>
    <row r="45878" customFormat="1" x14ac:dyDescent="0.2"/>
    <row r="45879" customFormat="1" x14ac:dyDescent="0.2"/>
    <row r="45880" customFormat="1" x14ac:dyDescent="0.2"/>
    <row r="45881" customFormat="1" x14ac:dyDescent="0.2"/>
    <row r="45882" customFormat="1" x14ac:dyDescent="0.2"/>
    <row r="45883" customFormat="1" x14ac:dyDescent="0.2"/>
    <row r="45884" customFormat="1" x14ac:dyDescent="0.2"/>
    <row r="45885" customFormat="1" x14ac:dyDescent="0.2"/>
    <row r="45886" customFormat="1" x14ac:dyDescent="0.2"/>
    <row r="45887" customFormat="1" x14ac:dyDescent="0.2"/>
    <row r="45888" customFormat="1" x14ac:dyDescent="0.2"/>
    <row r="45889" customFormat="1" x14ac:dyDescent="0.2"/>
    <row r="45890" customFormat="1" x14ac:dyDescent="0.2"/>
    <row r="45891" customFormat="1" x14ac:dyDescent="0.2"/>
    <row r="45892" customFormat="1" x14ac:dyDescent="0.2"/>
    <row r="45893" customFormat="1" x14ac:dyDescent="0.2"/>
    <row r="45894" customFormat="1" x14ac:dyDescent="0.2"/>
    <row r="45895" customFormat="1" x14ac:dyDescent="0.2"/>
    <row r="45896" customFormat="1" x14ac:dyDescent="0.2"/>
    <row r="45897" customFormat="1" x14ac:dyDescent="0.2"/>
    <row r="45898" customFormat="1" x14ac:dyDescent="0.2"/>
    <row r="45899" customFormat="1" x14ac:dyDescent="0.2"/>
    <row r="45900" customFormat="1" x14ac:dyDescent="0.2"/>
    <row r="45901" customFormat="1" x14ac:dyDescent="0.2"/>
    <row r="45902" customFormat="1" x14ac:dyDescent="0.2"/>
    <row r="45903" customFormat="1" x14ac:dyDescent="0.2"/>
    <row r="45904" customFormat="1" x14ac:dyDescent="0.2"/>
    <row r="45905" customFormat="1" x14ac:dyDescent="0.2"/>
    <row r="45906" customFormat="1" x14ac:dyDescent="0.2"/>
    <row r="45907" customFormat="1" x14ac:dyDescent="0.2"/>
    <row r="45908" customFormat="1" x14ac:dyDescent="0.2"/>
    <row r="45909" customFormat="1" x14ac:dyDescent="0.2"/>
    <row r="45910" customFormat="1" x14ac:dyDescent="0.2"/>
    <row r="45911" customFormat="1" x14ac:dyDescent="0.2"/>
    <row r="45912" customFormat="1" x14ac:dyDescent="0.2"/>
    <row r="45913" customFormat="1" x14ac:dyDescent="0.2"/>
    <row r="45914" customFormat="1" x14ac:dyDescent="0.2"/>
    <row r="45915" customFormat="1" x14ac:dyDescent="0.2"/>
    <row r="45916" customFormat="1" x14ac:dyDescent="0.2"/>
    <row r="45917" customFormat="1" x14ac:dyDescent="0.2"/>
    <row r="45918" customFormat="1" x14ac:dyDescent="0.2"/>
    <row r="45919" customFormat="1" x14ac:dyDescent="0.2"/>
    <row r="45920" customFormat="1" x14ac:dyDescent="0.2"/>
    <row r="45921" customFormat="1" x14ac:dyDescent="0.2"/>
    <row r="45922" customFormat="1" x14ac:dyDescent="0.2"/>
    <row r="45923" customFormat="1" x14ac:dyDescent="0.2"/>
    <row r="45924" customFormat="1" x14ac:dyDescent="0.2"/>
    <row r="45925" customFormat="1" x14ac:dyDescent="0.2"/>
    <row r="45926" customFormat="1" x14ac:dyDescent="0.2"/>
    <row r="45927" customFormat="1" x14ac:dyDescent="0.2"/>
    <row r="45928" customFormat="1" x14ac:dyDescent="0.2"/>
    <row r="45929" customFormat="1" x14ac:dyDescent="0.2"/>
    <row r="45930" customFormat="1" x14ac:dyDescent="0.2"/>
    <row r="45931" customFormat="1" x14ac:dyDescent="0.2"/>
    <row r="45932" customFormat="1" x14ac:dyDescent="0.2"/>
    <row r="45933" customFormat="1" x14ac:dyDescent="0.2"/>
    <row r="45934" customFormat="1" x14ac:dyDescent="0.2"/>
    <row r="45935" customFormat="1" x14ac:dyDescent="0.2"/>
    <row r="45936" customFormat="1" x14ac:dyDescent="0.2"/>
    <row r="45937" customFormat="1" x14ac:dyDescent="0.2"/>
    <row r="45938" customFormat="1" x14ac:dyDescent="0.2"/>
    <row r="45939" customFormat="1" x14ac:dyDescent="0.2"/>
    <row r="45940" customFormat="1" x14ac:dyDescent="0.2"/>
    <row r="45941" customFormat="1" x14ac:dyDescent="0.2"/>
    <row r="45942" customFormat="1" x14ac:dyDescent="0.2"/>
    <row r="45943" customFormat="1" x14ac:dyDescent="0.2"/>
    <row r="45944" customFormat="1" x14ac:dyDescent="0.2"/>
    <row r="45945" customFormat="1" x14ac:dyDescent="0.2"/>
    <row r="45946" customFormat="1" x14ac:dyDescent="0.2"/>
    <row r="45947" customFormat="1" x14ac:dyDescent="0.2"/>
    <row r="45948" customFormat="1" x14ac:dyDescent="0.2"/>
    <row r="45949" customFormat="1" x14ac:dyDescent="0.2"/>
    <row r="45950" customFormat="1" x14ac:dyDescent="0.2"/>
    <row r="45951" customFormat="1" x14ac:dyDescent="0.2"/>
    <row r="45952" customFormat="1" x14ac:dyDescent="0.2"/>
    <row r="45953" customFormat="1" x14ac:dyDescent="0.2"/>
    <row r="45954" customFormat="1" x14ac:dyDescent="0.2"/>
    <row r="45955" customFormat="1" x14ac:dyDescent="0.2"/>
    <row r="45956" customFormat="1" x14ac:dyDescent="0.2"/>
    <row r="45957" customFormat="1" x14ac:dyDescent="0.2"/>
    <row r="45958" customFormat="1" x14ac:dyDescent="0.2"/>
    <row r="45959" customFormat="1" x14ac:dyDescent="0.2"/>
    <row r="45960" customFormat="1" x14ac:dyDescent="0.2"/>
    <row r="45961" customFormat="1" x14ac:dyDescent="0.2"/>
    <row r="45962" customFormat="1" x14ac:dyDescent="0.2"/>
    <row r="45963" customFormat="1" x14ac:dyDescent="0.2"/>
    <row r="45964" customFormat="1" x14ac:dyDescent="0.2"/>
    <row r="45965" customFormat="1" x14ac:dyDescent="0.2"/>
    <row r="45966" customFormat="1" x14ac:dyDescent="0.2"/>
    <row r="45967" customFormat="1" x14ac:dyDescent="0.2"/>
    <row r="45968" customFormat="1" x14ac:dyDescent="0.2"/>
    <row r="45969" customFormat="1" x14ac:dyDescent="0.2"/>
    <row r="45970" customFormat="1" x14ac:dyDescent="0.2"/>
    <row r="45971" customFormat="1" x14ac:dyDescent="0.2"/>
    <row r="45972" customFormat="1" x14ac:dyDescent="0.2"/>
    <row r="45973" customFormat="1" x14ac:dyDescent="0.2"/>
    <row r="45974" customFormat="1" x14ac:dyDescent="0.2"/>
    <row r="45975" customFormat="1" x14ac:dyDescent="0.2"/>
    <row r="45976" customFormat="1" x14ac:dyDescent="0.2"/>
    <row r="45977" customFormat="1" x14ac:dyDescent="0.2"/>
    <row r="45978" customFormat="1" x14ac:dyDescent="0.2"/>
    <row r="45979" customFormat="1" x14ac:dyDescent="0.2"/>
    <row r="45980" customFormat="1" x14ac:dyDescent="0.2"/>
    <row r="45981" customFormat="1" x14ac:dyDescent="0.2"/>
    <row r="45982" customFormat="1" x14ac:dyDescent="0.2"/>
    <row r="45983" customFormat="1" x14ac:dyDescent="0.2"/>
    <row r="45984" customFormat="1" x14ac:dyDescent="0.2"/>
    <row r="45985" customFormat="1" x14ac:dyDescent="0.2"/>
    <row r="45986" customFormat="1" x14ac:dyDescent="0.2"/>
    <row r="45987" customFormat="1" x14ac:dyDescent="0.2"/>
    <row r="45988" customFormat="1" x14ac:dyDescent="0.2"/>
    <row r="45989" customFormat="1" x14ac:dyDescent="0.2"/>
    <row r="45990" customFormat="1" x14ac:dyDescent="0.2"/>
    <row r="45991" customFormat="1" x14ac:dyDescent="0.2"/>
    <row r="45992" customFormat="1" x14ac:dyDescent="0.2"/>
    <row r="45993" customFormat="1" x14ac:dyDescent="0.2"/>
    <row r="45994" customFormat="1" x14ac:dyDescent="0.2"/>
    <row r="45995" customFormat="1" x14ac:dyDescent="0.2"/>
    <row r="45996" customFormat="1" x14ac:dyDescent="0.2"/>
    <row r="45997" customFormat="1" x14ac:dyDescent="0.2"/>
    <row r="45998" customFormat="1" x14ac:dyDescent="0.2"/>
    <row r="45999" customFormat="1" x14ac:dyDescent="0.2"/>
    <row r="46000" customFormat="1" x14ac:dyDescent="0.2"/>
    <row r="46001" customFormat="1" x14ac:dyDescent="0.2"/>
    <row r="46002" customFormat="1" x14ac:dyDescent="0.2"/>
    <row r="46003" customFormat="1" x14ac:dyDescent="0.2"/>
    <row r="46004" customFormat="1" x14ac:dyDescent="0.2"/>
    <row r="46005" customFormat="1" x14ac:dyDescent="0.2"/>
    <row r="46006" customFormat="1" x14ac:dyDescent="0.2"/>
    <row r="46007" customFormat="1" x14ac:dyDescent="0.2"/>
    <row r="46008" customFormat="1" x14ac:dyDescent="0.2"/>
    <row r="46009" customFormat="1" x14ac:dyDescent="0.2"/>
    <row r="46010" customFormat="1" x14ac:dyDescent="0.2"/>
    <row r="46011" customFormat="1" x14ac:dyDescent="0.2"/>
    <row r="46012" customFormat="1" x14ac:dyDescent="0.2"/>
    <row r="46013" customFormat="1" x14ac:dyDescent="0.2"/>
    <row r="46014" customFormat="1" x14ac:dyDescent="0.2"/>
    <row r="46015" customFormat="1" x14ac:dyDescent="0.2"/>
    <row r="46016" customFormat="1" x14ac:dyDescent="0.2"/>
    <row r="46017" customFormat="1" x14ac:dyDescent="0.2"/>
    <row r="46018" customFormat="1" x14ac:dyDescent="0.2"/>
    <row r="46019" customFormat="1" x14ac:dyDescent="0.2"/>
    <row r="46020" customFormat="1" x14ac:dyDescent="0.2"/>
    <row r="46021" customFormat="1" x14ac:dyDescent="0.2"/>
    <row r="46022" customFormat="1" x14ac:dyDescent="0.2"/>
    <row r="46023" customFormat="1" x14ac:dyDescent="0.2"/>
    <row r="46024" customFormat="1" x14ac:dyDescent="0.2"/>
    <row r="46025" customFormat="1" x14ac:dyDescent="0.2"/>
    <row r="46026" customFormat="1" x14ac:dyDescent="0.2"/>
    <row r="46027" customFormat="1" x14ac:dyDescent="0.2"/>
    <row r="46028" customFormat="1" x14ac:dyDescent="0.2"/>
    <row r="46029" customFormat="1" x14ac:dyDescent="0.2"/>
    <row r="46030" customFormat="1" x14ac:dyDescent="0.2"/>
    <row r="46031" customFormat="1" x14ac:dyDescent="0.2"/>
    <row r="46032" customFormat="1" x14ac:dyDescent="0.2"/>
    <row r="46033" customFormat="1" x14ac:dyDescent="0.2"/>
    <row r="46034" customFormat="1" x14ac:dyDescent="0.2"/>
    <row r="46035" customFormat="1" x14ac:dyDescent="0.2"/>
    <row r="46036" customFormat="1" x14ac:dyDescent="0.2"/>
    <row r="46037" customFormat="1" x14ac:dyDescent="0.2"/>
    <row r="46038" customFormat="1" x14ac:dyDescent="0.2"/>
    <row r="46039" customFormat="1" x14ac:dyDescent="0.2"/>
    <row r="46040" customFormat="1" x14ac:dyDescent="0.2"/>
    <row r="46041" customFormat="1" x14ac:dyDescent="0.2"/>
    <row r="46042" customFormat="1" x14ac:dyDescent="0.2"/>
    <row r="46043" customFormat="1" x14ac:dyDescent="0.2"/>
    <row r="46044" customFormat="1" x14ac:dyDescent="0.2"/>
    <row r="46045" customFormat="1" x14ac:dyDescent="0.2"/>
    <row r="46046" customFormat="1" x14ac:dyDescent="0.2"/>
    <row r="46047" customFormat="1" x14ac:dyDescent="0.2"/>
    <row r="46048" customFormat="1" x14ac:dyDescent="0.2"/>
    <row r="46049" customFormat="1" x14ac:dyDescent="0.2"/>
    <row r="46050" customFormat="1" x14ac:dyDescent="0.2"/>
    <row r="46051" customFormat="1" x14ac:dyDescent="0.2"/>
    <row r="46052" customFormat="1" x14ac:dyDescent="0.2"/>
    <row r="46053" customFormat="1" x14ac:dyDescent="0.2"/>
    <row r="46054" customFormat="1" x14ac:dyDescent="0.2"/>
    <row r="46055" customFormat="1" x14ac:dyDescent="0.2"/>
    <row r="46056" customFormat="1" x14ac:dyDescent="0.2"/>
    <row r="46057" customFormat="1" x14ac:dyDescent="0.2"/>
    <row r="46058" customFormat="1" x14ac:dyDescent="0.2"/>
    <row r="46059" customFormat="1" x14ac:dyDescent="0.2"/>
    <row r="46060" customFormat="1" x14ac:dyDescent="0.2"/>
    <row r="46061" customFormat="1" x14ac:dyDescent="0.2"/>
    <row r="46062" customFormat="1" x14ac:dyDescent="0.2"/>
    <row r="46063" customFormat="1" x14ac:dyDescent="0.2"/>
    <row r="46064" customFormat="1" x14ac:dyDescent="0.2"/>
    <row r="46065" customFormat="1" x14ac:dyDescent="0.2"/>
    <row r="46066" customFormat="1" x14ac:dyDescent="0.2"/>
    <row r="46067" customFormat="1" x14ac:dyDescent="0.2"/>
    <row r="46068" customFormat="1" x14ac:dyDescent="0.2"/>
    <row r="46069" customFormat="1" x14ac:dyDescent="0.2"/>
    <row r="46070" customFormat="1" x14ac:dyDescent="0.2"/>
    <row r="46071" customFormat="1" x14ac:dyDescent="0.2"/>
    <row r="46072" customFormat="1" x14ac:dyDescent="0.2"/>
    <row r="46073" customFormat="1" x14ac:dyDescent="0.2"/>
    <row r="46074" customFormat="1" x14ac:dyDescent="0.2"/>
    <row r="46075" customFormat="1" x14ac:dyDescent="0.2"/>
    <row r="46076" customFormat="1" x14ac:dyDescent="0.2"/>
    <row r="46077" customFormat="1" x14ac:dyDescent="0.2"/>
    <row r="46078" customFormat="1" x14ac:dyDescent="0.2"/>
    <row r="46079" customFormat="1" x14ac:dyDescent="0.2"/>
    <row r="46080" customFormat="1" x14ac:dyDescent="0.2"/>
    <row r="46081" customFormat="1" x14ac:dyDescent="0.2"/>
    <row r="46082" customFormat="1" x14ac:dyDescent="0.2"/>
    <row r="46083" customFormat="1" x14ac:dyDescent="0.2"/>
    <row r="46084" customFormat="1" x14ac:dyDescent="0.2"/>
    <row r="46085" customFormat="1" x14ac:dyDescent="0.2"/>
    <row r="46086" customFormat="1" x14ac:dyDescent="0.2"/>
    <row r="46087" customFormat="1" x14ac:dyDescent="0.2"/>
    <row r="46088" customFormat="1" x14ac:dyDescent="0.2"/>
    <row r="46089" customFormat="1" x14ac:dyDescent="0.2"/>
    <row r="46090" customFormat="1" x14ac:dyDescent="0.2"/>
    <row r="46091" customFormat="1" x14ac:dyDescent="0.2"/>
    <row r="46092" customFormat="1" x14ac:dyDescent="0.2"/>
    <row r="46093" customFormat="1" x14ac:dyDescent="0.2"/>
    <row r="46094" customFormat="1" x14ac:dyDescent="0.2"/>
    <row r="46095" customFormat="1" x14ac:dyDescent="0.2"/>
    <row r="46096" customFormat="1" x14ac:dyDescent="0.2"/>
    <row r="46097" customFormat="1" x14ac:dyDescent="0.2"/>
    <row r="46098" customFormat="1" x14ac:dyDescent="0.2"/>
    <row r="46099" customFormat="1" x14ac:dyDescent="0.2"/>
    <row r="46100" customFormat="1" x14ac:dyDescent="0.2"/>
    <row r="46101" customFormat="1" x14ac:dyDescent="0.2"/>
    <row r="46102" customFormat="1" x14ac:dyDescent="0.2"/>
    <row r="46103" customFormat="1" x14ac:dyDescent="0.2"/>
    <row r="46104" customFormat="1" x14ac:dyDescent="0.2"/>
    <row r="46105" customFormat="1" x14ac:dyDescent="0.2"/>
    <row r="46106" customFormat="1" x14ac:dyDescent="0.2"/>
    <row r="46107" customFormat="1" x14ac:dyDescent="0.2"/>
    <row r="46108" customFormat="1" x14ac:dyDescent="0.2"/>
    <row r="46109" customFormat="1" x14ac:dyDescent="0.2"/>
    <row r="46110" customFormat="1" x14ac:dyDescent="0.2"/>
    <row r="46111" customFormat="1" x14ac:dyDescent="0.2"/>
    <row r="46112" customFormat="1" x14ac:dyDescent="0.2"/>
    <row r="46113" customFormat="1" x14ac:dyDescent="0.2"/>
    <row r="46114" customFormat="1" x14ac:dyDescent="0.2"/>
    <row r="46115" customFormat="1" x14ac:dyDescent="0.2"/>
    <row r="46116" customFormat="1" x14ac:dyDescent="0.2"/>
    <row r="46117" customFormat="1" x14ac:dyDescent="0.2"/>
    <row r="46118" customFormat="1" x14ac:dyDescent="0.2"/>
    <row r="46119" customFormat="1" x14ac:dyDescent="0.2"/>
    <row r="46120" customFormat="1" x14ac:dyDescent="0.2"/>
    <row r="46121" customFormat="1" x14ac:dyDescent="0.2"/>
    <row r="46122" customFormat="1" x14ac:dyDescent="0.2"/>
    <row r="46123" customFormat="1" x14ac:dyDescent="0.2"/>
    <row r="46124" customFormat="1" x14ac:dyDescent="0.2"/>
    <row r="46125" customFormat="1" x14ac:dyDescent="0.2"/>
    <row r="46126" customFormat="1" x14ac:dyDescent="0.2"/>
    <row r="46127" customFormat="1" x14ac:dyDescent="0.2"/>
    <row r="46128" customFormat="1" x14ac:dyDescent="0.2"/>
    <row r="46129" customFormat="1" x14ac:dyDescent="0.2"/>
    <row r="46130" customFormat="1" x14ac:dyDescent="0.2"/>
    <row r="46131" customFormat="1" x14ac:dyDescent="0.2"/>
    <row r="46132" customFormat="1" x14ac:dyDescent="0.2"/>
    <row r="46133" customFormat="1" x14ac:dyDescent="0.2"/>
    <row r="46134" customFormat="1" x14ac:dyDescent="0.2"/>
    <row r="46135" customFormat="1" x14ac:dyDescent="0.2"/>
    <row r="46136" customFormat="1" x14ac:dyDescent="0.2"/>
    <row r="46137" customFormat="1" x14ac:dyDescent="0.2"/>
    <row r="46138" customFormat="1" x14ac:dyDescent="0.2"/>
    <row r="46139" customFormat="1" x14ac:dyDescent="0.2"/>
    <row r="46140" customFormat="1" x14ac:dyDescent="0.2"/>
    <row r="46141" customFormat="1" x14ac:dyDescent="0.2"/>
    <row r="46142" customFormat="1" x14ac:dyDescent="0.2"/>
    <row r="46143" customFormat="1" x14ac:dyDescent="0.2"/>
    <row r="46144" customFormat="1" x14ac:dyDescent="0.2"/>
    <row r="46145" customFormat="1" x14ac:dyDescent="0.2"/>
    <row r="46146" customFormat="1" x14ac:dyDescent="0.2"/>
    <row r="46147" customFormat="1" x14ac:dyDescent="0.2"/>
    <row r="46148" customFormat="1" x14ac:dyDescent="0.2"/>
    <row r="46149" customFormat="1" x14ac:dyDescent="0.2"/>
    <row r="46150" customFormat="1" x14ac:dyDescent="0.2"/>
    <row r="46151" customFormat="1" x14ac:dyDescent="0.2"/>
    <row r="46152" customFormat="1" x14ac:dyDescent="0.2"/>
    <row r="46153" customFormat="1" x14ac:dyDescent="0.2"/>
    <row r="46154" customFormat="1" x14ac:dyDescent="0.2"/>
    <row r="46155" customFormat="1" x14ac:dyDescent="0.2"/>
    <row r="46156" customFormat="1" x14ac:dyDescent="0.2"/>
    <row r="46157" customFormat="1" x14ac:dyDescent="0.2"/>
    <row r="46158" customFormat="1" x14ac:dyDescent="0.2"/>
    <row r="46159" customFormat="1" x14ac:dyDescent="0.2"/>
    <row r="46160" customFormat="1" x14ac:dyDescent="0.2"/>
    <row r="46161" customFormat="1" x14ac:dyDescent="0.2"/>
    <row r="46162" customFormat="1" x14ac:dyDescent="0.2"/>
    <row r="46163" customFormat="1" x14ac:dyDescent="0.2"/>
    <row r="46164" customFormat="1" x14ac:dyDescent="0.2"/>
    <row r="46165" customFormat="1" x14ac:dyDescent="0.2"/>
    <row r="46166" customFormat="1" x14ac:dyDescent="0.2"/>
    <row r="46167" customFormat="1" x14ac:dyDescent="0.2"/>
    <row r="46168" customFormat="1" x14ac:dyDescent="0.2"/>
    <row r="46169" customFormat="1" x14ac:dyDescent="0.2"/>
    <row r="46170" customFormat="1" x14ac:dyDescent="0.2"/>
    <row r="46171" customFormat="1" x14ac:dyDescent="0.2"/>
    <row r="46172" customFormat="1" x14ac:dyDescent="0.2"/>
    <row r="46173" customFormat="1" x14ac:dyDescent="0.2"/>
    <row r="46174" customFormat="1" x14ac:dyDescent="0.2"/>
    <row r="46175" customFormat="1" x14ac:dyDescent="0.2"/>
    <row r="46176" customFormat="1" x14ac:dyDescent="0.2"/>
    <row r="46177" customFormat="1" x14ac:dyDescent="0.2"/>
    <row r="46178" customFormat="1" x14ac:dyDescent="0.2"/>
    <row r="46179" customFormat="1" x14ac:dyDescent="0.2"/>
    <row r="46180" customFormat="1" x14ac:dyDescent="0.2"/>
    <row r="46181" customFormat="1" x14ac:dyDescent="0.2"/>
    <row r="46182" customFormat="1" x14ac:dyDescent="0.2"/>
    <row r="46183" customFormat="1" x14ac:dyDescent="0.2"/>
    <row r="46184" customFormat="1" x14ac:dyDescent="0.2"/>
    <row r="46185" customFormat="1" x14ac:dyDescent="0.2"/>
    <row r="46186" customFormat="1" x14ac:dyDescent="0.2"/>
    <row r="46187" customFormat="1" x14ac:dyDescent="0.2"/>
    <row r="46188" customFormat="1" x14ac:dyDescent="0.2"/>
    <row r="46189" customFormat="1" x14ac:dyDescent="0.2"/>
    <row r="46190" customFormat="1" x14ac:dyDescent="0.2"/>
    <row r="46191" customFormat="1" x14ac:dyDescent="0.2"/>
    <row r="46192" customFormat="1" x14ac:dyDescent="0.2"/>
    <row r="46193" customFormat="1" x14ac:dyDescent="0.2"/>
    <row r="46194" customFormat="1" x14ac:dyDescent="0.2"/>
    <row r="46195" customFormat="1" x14ac:dyDescent="0.2"/>
    <row r="46196" customFormat="1" x14ac:dyDescent="0.2"/>
    <row r="46197" customFormat="1" x14ac:dyDescent="0.2"/>
    <row r="46198" customFormat="1" x14ac:dyDescent="0.2"/>
    <row r="46199" customFormat="1" x14ac:dyDescent="0.2"/>
    <row r="46200" customFormat="1" x14ac:dyDescent="0.2"/>
    <row r="46201" customFormat="1" x14ac:dyDescent="0.2"/>
    <row r="46202" customFormat="1" x14ac:dyDescent="0.2"/>
    <row r="46203" customFormat="1" x14ac:dyDescent="0.2"/>
    <row r="46204" customFormat="1" x14ac:dyDescent="0.2"/>
    <row r="46205" customFormat="1" x14ac:dyDescent="0.2"/>
    <row r="46206" customFormat="1" x14ac:dyDescent="0.2"/>
    <row r="46207" customFormat="1" x14ac:dyDescent="0.2"/>
    <row r="46208" customFormat="1" x14ac:dyDescent="0.2"/>
    <row r="46209" customFormat="1" x14ac:dyDescent="0.2"/>
    <row r="46210" customFormat="1" x14ac:dyDescent="0.2"/>
    <row r="46211" customFormat="1" x14ac:dyDescent="0.2"/>
    <row r="46212" customFormat="1" x14ac:dyDescent="0.2"/>
    <row r="46213" customFormat="1" x14ac:dyDescent="0.2"/>
    <row r="46214" customFormat="1" x14ac:dyDescent="0.2"/>
    <row r="46215" customFormat="1" x14ac:dyDescent="0.2"/>
    <row r="46216" customFormat="1" x14ac:dyDescent="0.2"/>
    <row r="46217" customFormat="1" x14ac:dyDescent="0.2"/>
    <row r="46218" customFormat="1" x14ac:dyDescent="0.2"/>
    <row r="46219" customFormat="1" x14ac:dyDescent="0.2"/>
    <row r="46220" customFormat="1" x14ac:dyDescent="0.2"/>
    <row r="46221" customFormat="1" x14ac:dyDescent="0.2"/>
    <row r="46222" customFormat="1" x14ac:dyDescent="0.2"/>
    <row r="46223" customFormat="1" x14ac:dyDescent="0.2"/>
    <row r="46224" customFormat="1" x14ac:dyDescent="0.2"/>
    <row r="46225" customFormat="1" x14ac:dyDescent="0.2"/>
    <row r="46226" customFormat="1" x14ac:dyDescent="0.2"/>
    <row r="46227" customFormat="1" x14ac:dyDescent="0.2"/>
    <row r="46228" customFormat="1" x14ac:dyDescent="0.2"/>
    <row r="46229" customFormat="1" x14ac:dyDescent="0.2"/>
    <row r="46230" customFormat="1" x14ac:dyDescent="0.2"/>
    <row r="46231" customFormat="1" x14ac:dyDescent="0.2"/>
    <row r="46232" customFormat="1" x14ac:dyDescent="0.2"/>
    <row r="46233" customFormat="1" x14ac:dyDescent="0.2"/>
    <row r="46234" customFormat="1" x14ac:dyDescent="0.2"/>
    <row r="46235" customFormat="1" x14ac:dyDescent="0.2"/>
    <row r="46236" customFormat="1" x14ac:dyDescent="0.2"/>
    <row r="46237" customFormat="1" x14ac:dyDescent="0.2"/>
    <row r="46238" customFormat="1" x14ac:dyDescent="0.2"/>
    <row r="46239" customFormat="1" x14ac:dyDescent="0.2"/>
    <row r="46240" customFormat="1" x14ac:dyDescent="0.2"/>
    <row r="46241" customFormat="1" x14ac:dyDescent="0.2"/>
    <row r="46242" customFormat="1" x14ac:dyDescent="0.2"/>
    <row r="46243" customFormat="1" x14ac:dyDescent="0.2"/>
    <row r="46244" customFormat="1" x14ac:dyDescent="0.2"/>
    <row r="46245" customFormat="1" x14ac:dyDescent="0.2"/>
    <row r="46246" customFormat="1" x14ac:dyDescent="0.2"/>
    <row r="46247" customFormat="1" x14ac:dyDescent="0.2"/>
    <row r="46248" customFormat="1" x14ac:dyDescent="0.2"/>
    <row r="46249" customFormat="1" x14ac:dyDescent="0.2"/>
    <row r="46250" customFormat="1" x14ac:dyDescent="0.2"/>
    <row r="46251" customFormat="1" x14ac:dyDescent="0.2"/>
    <row r="46252" customFormat="1" x14ac:dyDescent="0.2"/>
    <row r="46253" customFormat="1" x14ac:dyDescent="0.2"/>
    <row r="46254" customFormat="1" x14ac:dyDescent="0.2"/>
    <row r="46255" customFormat="1" x14ac:dyDescent="0.2"/>
    <row r="46256" customFormat="1" x14ac:dyDescent="0.2"/>
    <row r="46257" customFormat="1" x14ac:dyDescent="0.2"/>
    <row r="46258" customFormat="1" x14ac:dyDescent="0.2"/>
    <row r="46259" customFormat="1" x14ac:dyDescent="0.2"/>
    <row r="46260" customFormat="1" x14ac:dyDescent="0.2"/>
    <row r="46261" customFormat="1" x14ac:dyDescent="0.2"/>
    <row r="46262" customFormat="1" x14ac:dyDescent="0.2"/>
    <row r="46263" customFormat="1" x14ac:dyDescent="0.2"/>
    <row r="46264" customFormat="1" x14ac:dyDescent="0.2"/>
    <row r="46265" customFormat="1" x14ac:dyDescent="0.2"/>
    <row r="46266" customFormat="1" x14ac:dyDescent="0.2"/>
    <row r="46267" customFormat="1" x14ac:dyDescent="0.2"/>
    <row r="46268" customFormat="1" x14ac:dyDescent="0.2"/>
    <row r="46269" customFormat="1" x14ac:dyDescent="0.2"/>
    <row r="46270" customFormat="1" x14ac:dyDescent="0.2"/>
    <row r="46271" customFormat="1" x14ac:dyDescent="0.2"/>
    <row r="46272" customFormat="1" x14ac:dyDescent="0.2"/>
    <row r="46273" customFormat="1" x14ac:dyDescent="0.2"/>
    <row r="46274" customFormat="1" x14ac:dyDescent="0.2"/>
    <row r="46275" customFormat="1" x14ac:dyDescent="0.2"/>
    <row r="46276" customFormat="1" x14ac:dyDescent="0.2"/>
    <row r="46277" customFormat="1" x14ac:dyDescent="0.2"/>
    <row r="46278" customFormat="1" x14ac:dyDescent="0.2"/>
    <row r="46279" customFormat="1" x14ac:dyDescent="0.2"/>
    <row r="46280" customFormat="1" x14ac:dyDescent="0.2"/>
    <row r="46281" customFormat="1" x14ac:dyDescent="0.2"/>
    <row r="46282" customFormat="1" x14ac:dyDescent="0.2"/>
    <row r="46283" customFormat="1" x14ac:dyDescent="0.2"/>
    <row r="46284" customFormat="1" x14ac:dyDescent="0.2"/>
    <row r="46285" customFormat="1" x14ac:dyDescent="0.2"/>
    <row r="46286" customFormat="1" x14ac:dyDescent="0.2"/>
    <row r="46287" customFormat="1" x14ac:dyDescent="0.2"/>
    <row r="46288" customFormat="1" x14ac:dyDescent="0.2"/>
    <row r="46289" customFormat="1" x14ac:dyDescent="0.2"/>
    <row r="46290" customFormat="1" x14ac:dyDescent="0.2"/>
    <row r="46291" customFormat="1" x14ac:dyDescent="0.2"/>
    <row r="46292" customFormat="1" x14ac:dyDescent="0.2"/>
    <row r="46293" customFormat="1" x14ac:dyDescent="0.2"/>
    <row r="46294" customFormat="1" x14ac:dyDescent="0.2"/>
    <row r="46295" customFormat="1" x14ac:dyDescent="0.2"/>
    <row r="46296" customFormat="1" x14ac:dyDescent="0.2"/>
    <row r="46297" customFormat="1" x14ac:dyDescent="0.2"/>
    <row r="46298" customFormat="1" x14ac:dyDescent="0.2"/>
    <row r="46299" customFormat="1" x14ac:dyDescent="0.2"/>
    <row r="46300" customFormat="1" x14ac:dyDescent="0.2"/>
    <row r="46301" customFormat="1" x14ac:dyDescent="0.2"/>
    <row r="46302" customFormat="1" x14ac:dyDescent="0.2"/>
    <row r="46303" customFormat="1" x14ac:dyDescent="0.2"/>
    <row r="46304" customFormat="1" x14ac:dyDescent="0.2"/>
    <row r="46305" customFormat="1" x14ac:dyDescent="0.2"/>
    <row r="46306" customFormat="1" x14ac:dyDescent="0.2"/>
    <row r="46307" customFormat="1" x14ac:dyDescent="0.2"/>
    <row r="46308" customFormat="1" x14ac:dyDescent="0.2"/>
    <row r="46309" customFormat="1" x14ac:dyDescent="0.2"/>
    <row r="46310" customFormat="1" x14ac:dyDescent="0.2"/>
    <row r="46311" customFormat="1" x14ac:dyDescent="0.2"/>
    <row r="46312" customFormat="1" x14ac:dyDescent="0.2"/>
    <row r="46313" customFormat="1" x14ac:dyDescent="0.2"/>
    <row r="46314" customFormat="1" x14ac:dyDescent="0.2"/>
    <row r="46315" customFormat="1" x14ac:dyDescent="0.2"/>
    <row r="46316" customFormat="1" x14ac:dyDescent="0.2"/>
    <row r="46317" customFormat="1" x14ac:dyDescent="0.2"/>
    <row r="46318" customFormat="1" x14ac:dyDescent="0.2"/>
    <row r="46319" customFormat="1" x14ac:dyDescent="0.2"/>
    <row r="46320" customFormat="1" x14ac:dyDescent="0.2"/>
    <row r="46321" customFormat="1" x14ac:dyDescent="0.2"/>
    <row r="46322" customFormat="1" x14ac:dyDescent="0.2"/>
    <row r="46323" customFormat="1" x14ac:dyDescent="0.2"/>
    <row r="46324" customFormat="1" x14ac:dyDescent="0.2"/>
    <row r="46325" customFormat="1" x14ac:dyDescent="0.2"/>
    <row r="46326" customFormat="1" x14ac:dyDescent="0.2"/>
    <row r="46327" customFormat="1" x14ac:dyDescent="0.2"/>
    <row r="46328" customFormat="1" x14ac:dyDescent="0.2"/>
    <row r="46329" customFormat="1" x14ac:dyDescent="0.2"/>
    <row r="46330" customFormat="1" x14ac:dyDescent="0.2"/>
    <row r="46331" customFormat="1" x14ac:dyDescent="0.2"/>
    <row r="46332" customFormat="1" x14ac:dyDescent="0.2"/>
    <row r="46333" customFormat="1" x14ac:dyDescent="0.2"/>
    <row r="46334" customFormat="1" x14ac:dyDescent="0.2"/>
    <row r="46335" customFormat="1" x14ac:dyDescent="0.2"/>
    <row r="46336" customFormat="1" x14ac:dyDescent="0.2"/>
    <row r="46337" customFormat="1" x14ac:dyDescent="0.2"/>
    <row r="46338" customFormat="1" x14ac:dyDescent="0.2"/>
    <row r="46339" customFormat="1" x14ac:dyDescent="0.2"/>
    <row r="46340" customFormat="1" x14ac:dyDescent="0.2"/>
    <row r="46341" customFormat="1" x14ac:dyDescent="0.2"/>
    <row r="46342" customFormat="1" x14ac:dyDescent="0.2"/>
    <row r="46343" customFormat="1" x14ac:dyDescent="0.2"/>
    <row r="46344" customFormat="1" x14ac:dyDescent="0.2"/>
    <row r="46345" customFormat="1" x14ac:dyDescent="0.2"/>
    <row r="46346" customFormat="1" x14ac:dyDescent="0.2"/>
    <row r="46347" customFormat="1" x14ac:dyDescent="0.2"/>
    <row r="46348" customFormat="1" x14ac:dyDescent="0.2"/>
    <row r="46349" customFormat="1" x14ac:dyDescent="0.2"/>
    <row r="46350" customFormat="1" x14ac:dyDescent="0.2"/>
    <row r="46351" customFormat="1" x14ac:dyDescent="0.2"/>
    <row r="46352" customFormat="1" x14ac:dyDescent="0.2"/>
    <row r="46353" customFormat="1" x14ac:dyDescent="0.2"/>
    <row r="46354" customFormat="1" x14ac:dyDescent="0.2"/>
    <row r="46355" customFormat="1" x14ac:dyDescent="0.2"/>
    <row r="46356" customFormat="1" x14ac:dyDescent="0.2"/>
    <row r="46357" customFormat="1" x14ac:dyDescent="0.2"/>
    <row r="46358" customFormat="1" x14ac:dyDescent="0.2"/>
    <row r="46359" customFormat="1" x14ac:dyDescent="0.2"/>
    <row r="46360" customFormat="1" x14ac:dyDescent="0.2"/>
    <row r="46361" customFormat="1" x14ac:dyDescent="0.2"/>
    <row r="46362" customFormat="1" x14ac:dyDescent="0.2"/>
    <row r="46363" customFormat="1" x14ac:dyDescent="0.2"/>
    <row r="46364" customFormat="1" x14ac:dyDescent="0.2"/>
    <row r="46365" customFormat="1" x14ac:dyDescent="0.2"/>
    <row r="46366" customFormat="1" x14ac:dyDescent="0.2"/>
    <row r="46367" customFormat="1" x14ac:dyDescent="0.2"/>
    <row r="46368" customFormat="1" x14ac:dyDescent="0.2"/>
    <row r="46369" customFormat="1" x14ac:dyDescent="0.2"/>
    <row r="46370" customFormat="1" x14ac:dyDescent="0.2"/>
    <row r="46371" customFormat="1" x14ac:dyDescent="0.2"/>
    <row r="46372" customFormat="1" x14ac:dyDescent="0.2"/>
    <row r="46373" customFormat="1" x14ac:dyDescent="0.2"/>
    <row r="46374" customFormat="1" x14ac:dyDescent="0.2"/>
    <row r="46375" customFormat="1" x14ac:dyDescent="0.2"/>
    <row r="46376" customFormat="1" x14ac:dyDescent="0.2"/>
    <row r="46377" customFormat="1" x14ac:dyDescent="0.2"/>
    <row r="46378" customFormat="1" x14ac:dyDescent="0.2"/>
    <row r="46379" customFormat="1" x14ac:dyDescent="0.2"/>
    <row r="46380" customFormat="1" x14ac:dyDescent="0.2"/>
    <row r="46381" customFormat="1" x14ac:dyDescent="0.2"/>
    <row r="46382" customFormat="1" x14ac:dyDescent="0.2"/>
    <row r="46383" customFormat="1" x14ac:dyDescent="0.2"/>
    <row r="46384" customFormat="1" x14ac:dyDescent="0.2"/>
    <row r="46385" customFormat="1" x14ac:dyDescent="0.2"/>
    <row r="46386" customFormat="1" x14ac:dyDescent="0.2"/>
    <row r="46387" customFormat="1" x14ac:dyDescent="0.2"/>
    <row r="46388" customFormat="1" x14ac:dyDescent="0.2"/>
    <row r="46389" customFormat="1" x14ac:dyDescent="0.2"/>
    <row r="46390" customFormat="1" x14ac:dyDescent="0.2"/>
    <row r="46391" customFormat="1" x14ac:dyDescent="0.2"/>
    <row r="46392" customFormat="1" x14ac:dyDescent="0.2"/>
    <row r="46393" customFormat="1" x14ac:dyDescent="0.2"/>
    <row r="46394" customFormat="1" x14ac:dyDescent="0.2"/>
    <row r="46395" customFormat="1" x14ac:dyDescent="0.2"/>
    <row r="46396" customFormat="1" x14ac:dyDescent="0.2"/>
    <row r="46397" customFormat="1" x14ac:dyDescent="0.2"/>
    <row r="46398" customFormat="1" x14ac:dyDescent="0.2"/>
    <row r="46399" customFormat="1" x14ac:dyDescent="0.2"/>
    <row r="46400" customFormat="1" x14ac:dyDescent="0.2"/>
    <row r="46401" customFormat="1" x14ac:dyDescent="0.2"/>
    <row r="46402" customFormat="1" x14ac:dyDescent="0.2"/>
    <row r="46403" customFormat="1" x14ac:dyDescent="0.2"/>
    <row r="46404" customFormat="1" x14ac:dyDescent="0.2"/>
    <row r="46405" customFormat="1" x14ac:dyDescent="0.2"/>
    <row r="46406" customFormat="1" x14ac:dyDescent="0.2"/>
    <row r="46407" customFormat="1" x14ac:dyDescent="0.2"/>
    <row r="46408" customFormat="1" x14ac:dyDescent="0.2"/>
    <row r="46409" customFormat="1" x14ac:dyDescent="0.2"/>
    <row r="46410" customFormat="1" x14ac:dyDescent="0.2"/>
    <row r="46411" customFormat="1" x14ac:dyDescent="0.2"/>
    <row r="46412" customFormat="1" x14ac:dyDescent="0.2"/>
    <row r="46413" customFormat="1" x14ac:dyDescent="0.2"/>
    <row r="46414" customFormat="1" x14ac:dyDescent="0.2"/>
    <row r="46415" customFormat="1" x14ac:dyDescent="0.2"/>
    <row r="46416" customFormat="1" x14ac:dyDescent="0.2"/>
    <row r="46417" customFormat="1" x14ac:dyDescent="0.2"/>
    <row r="46418" customFormat="1" x14ac:dyDescent="0.2"/>
    <row r="46419" customFormat="1" x14ac:dyDescent="0.2"/>
    <row r="46420" customFormat="1" x14ac:dyDescent="0.2"/>
    <row r="46421" customFormat="1" x14ac:dyDescent="0.2"/>
    <row r="46422" customFormat="1" x14ac:dyDescent="0.2"/>
    <row r="46423" customFormat="1" x14ac:dyDescent="0.2"/>
    <row r="46424" customFormat="1" x14ac:dyDescent="0.2"/>
    <row r="46425" customFormat="1" x14ac:dyDescent="0.2"/>
    <row r="46426" customFormat="1" x14ac:dyDescent="0.2"/>
    <row r="46427" customFormat="1" x14ac:dyDescent="0.2"/>
    <row r="46428" customFormat="1" x14ac:dyDescent="0.2"/>
    <row r="46429" customFormat="1" x14ac:dyDescent="0.2"/>
    <row r="46430" customFormat="1" x14ac:dyDescent="0.2"/>
    <row r="46431" customFormat="1" x14ac:dyDescent="0.2"/>
    <row r="46432" customFormat="1" x14ac:dyDescent="0.2"/>
    <row r="46433" customFormat="1" x14ac:dyDescent="0.2"/>
    <row r="46434" customFormat="1" x14ac:dyDescent="0.2"/>
    <row r="46435" customFormat="1" x14ac:dyDescent="0.2"/>
    <row r="46436" customFormat="1" x14ac:dyDescent="0.2"/>
    <row r="46437" customFormat="1" x14ac:dyDescent="0.2"/>
    <row r="46438" customFormat="1" x14ac:dyDescent="0.2"/>
    <row r="46439" customFormat="1" x14ac:dyDescent="0.2"/>
    <row r="46440" customFormat="1" x14ac:dyDescent="0.2"/>
    <row r="46441" customFormat="1" x14ac:dyDescent="0.2"/>
    <row r="46442" customFormat="1" x14ac:dyDescent="0.2"/>
    <row r="46443" customFormat="1" x14ac:dyDescent="0.2"/>
    <row r="46444" customFormat="1" x14ac:dyDescent="0.2"/>
    <row r="46445" customFormat="1" x14ac:dyDescent="0.2"/>
    <row r="46446" customFormat="1" x14ac:dyDescent="0.2"/>
    <row r="46447" customFormat="1" x14ac:dyDescent="0.2"/>
    <row r="46448" customFormat="1" x14ac:dyDescent="0.2"/>
    <row r="46449" customFormat="1" x14ac:dyDescent="0.2"/>
    <row r="46450" customFormat="1" x14ac:dyDescent="0.2"/>
    <row r="46451" customFormat="1" x14ac:dyDescent="0.2"/>
    <row r="46452" customFormat="1" x14ac:dyDescent="0.2"/>
    <row r="46453" customFormat="1" x14ac:dyDescent="0.2"/>
    <row r="46454" customFormat="1" x14ac:dyDescent="0.2"/>
    <row r="46455" customFormat="1" x14ac:dyDescent="0.2"/>
    <row r="46456" customFormat="1" x14ac:dyDescent="0.2"/>
    <row r="46457" customFormat="1" x14ac:dyDescent="0.2"/>
    <row r="46458" customFormat="1" x14ac:dyDescent="0.2"/>
    <row r="46459" customFormat="1" x14ac:dyDescent="0.2"/>
    <row r="46460" customFormat="1" x14ac:dyDescent="0.2"/>
    <row r="46461" customFormat="1" x14ac:dyDescent="0.2"/>
    <row r="46462" customFormat="1" x14ac:dyDescent="0.2"/>
    <row r="46463" customFormat="1" x14ac:dyDescent="0.2"/>
    <row r="46464" customFormat="1" x14ac:dyDescent="0.2"/>
    <row r="46465" customFormat="1" x14ac:dyDescent="0.2"/>
    <row r="46466" customFormat="1" x14ac:dyDescent="0.2"/>
    <row r="46467" customFormat="1" x14ac:dyDescent="0.2"/>
    <row r="46468" customFormat="1" x14ac:dyDescent="0.2"/>
    <row r="46469" customFormat="1" x14ac:dyDescent="0.2"/>
    <row r="46470" customFormat="1" x14ac:dyDescent="0.2"/>
    <row r="46471" customFormat="1" x14ac:dyDescent="0.2"/>
    <row r="46472" customFormat="1" x14ac:dyDescent="0.2"/>
    <row r="46473" customFormat="1" x14ac:dyDescent="0.2"/>
    <row r="46474" customFormat="1" x14ac:dyDescent="0.2"/>
    <row r="46475" customFormat="1" x14ac:dyDescent="0.2"/>
    <row r="46476" customFormat="1" x14ac:dyDescent="0.2"/>
    <row r="46477" customFormat="1" x14ac:dyDescent="0.2"/>
    <row r="46478" customFormat="1" x14ac:dyDescent="0.2"/>
    <row r="46479" customFormat="1" x14ac:dyDescent="0.2"/>
    <row r="46480" customFormat="1" x14ac:dyDescent="0.2"/>
    <row r="46481" customFormat="1" x14ac:dyDescent="0.2"/>
    <row r="46482" customFormat="1" x14ac:dyDescent="0.2"/>
    <row r="46483" customFormat="1" x14ac:dyDescent="0.2"/>
    <row r="46484" customFormat="1" x14ac:dyDescent="0.2"/>
    <row r="46485" customFormat="1" x14ac:dyDescent="0.2"/>
    <row r="46486" customFormat="1" x14ac:dyDescent="0.2"/>
    <row r="46487" customFormat="1" x14ac:dyDescent="0.2"/>
    <row r="46488" customFormat="1" x14ac:dyDescent="0.2"/>
    <row r="46489" customFormat="1" x14ac:dyDescent="0.2"/>
    <row r="46490" customFormat="1" x14ac:dyDescent="0.2"/>
    <row r="46491" customFormat="1" x14ac:dyDescent="0.2"/>
    <row r="46492" customFormat="1" x14ac:dyDescent="0.2"/>
    <row r="46493" customFormat="1" x14ac:dyDescent="0.2"/>
    <row r="46494" customFormat="1" x14ac:dyDescent="0.2"/>
    <row r="46495" customFormat="1" x14ac:dyDescent="0.2"/>
    <row r="46496" customFormat="1" x14ac:dyDescent="0.2"/>
    <row r="46497" customFormat="1" x14ac:dyDescent="0.2"/>
    <row r="46498" customFormat="1" x14ac:dyDescent="0.2"/>
    <row r="46499" customFormat="1" x14ac:dyDescent="0.2"/>
    <row r="46500" customFormat="1" x14ac:dyDescent="0.2"/>
    <row r="46501" customFormat="1" x14ac:dyDescent="0.2"/>
    <row r="46502" customFormat="1" x14ac:dyDescent="0.2"/>
    <row r="46503" customFormat="1" x14ac:dyDescent="0.2"/>
    <row r="46504" customFormat="1" x14ac:dyDescent="0.2"/>
    <row r="46505" customFormat="1" x14ac:dyDescent="0.2"/>
    <row r="46506" customFormat="1" x14ac:dyDescent="0.2"/>
    <row r="46507" customFormat="1" x14ac:dyDescent="0.2"/>
    <row r="46508" customFormat="1" x14ac:dyDescent="0.2"/>
    <row r="46509" customFormat="1" x14ac:dyDescent="0.2"/>
    <row r="46510" customFormat="1" x14ac:dyDescent="0.2"/>
    <row r="46511" customFormat="1" x14ac:dyDescent="0.2"/>
    <row r="46512" customFormat="1" x14ac:dyDescent="0.2"/>
    <row r="46513" customFormat="1" x14ac:dyDescent="0.2"/>
    <row r="46514" customFormat="1" x14ac:dyDescent="0.2"/>
    <row r="46515" customFormat="1" x14ac:dyDescent="0.2"/>
    <row r="46516" customFormat="1" x14ac:dyDescent="0.2"/>
    <row r="46517" customFormat="1" x14ac:dyDescent="0.2"/>
    <row r="46518" customFormat="1" x14ac:dyDescent="0.2"/>
    <row r="46519" customFormat="1" x14ac:dyDescent="0.2"/>
    <row r="46520" customFormat="1" x14ac:dyDescent="0.2"/>
    <row r="46521" customFormat="1" x14ac:dyDescent="0.2"/>
    <row r="46522" customFormat="1" x14ac:dyDescent="0.2"/>
    <row r="46523" customFormat="1" x14ac:dyDescent="0.2"/>
    <row r="46524" customFormat="1" x14ac:dyDescent="0.2"/>
    <row r="46525" customFormat="1" x14ac:dyDescent="0.2"/>
    <row r="46526" customFormat="1" x14ac:dyDescent="0.2"/>
    <row r="46527" customFormat="1" x14ac:dyDescent="0.2"/>
    <row r="46528" customFormat="1" x14ac:dyDescent="0.2"/>
    <row r="46529" customFormat="1" x14ac:dyDescent="0.2"/>
    <row r="46530" customFormat="1" x14ac:dyDescent="0.2"/>
    <row r="46531" customFormat="1" x14ac:dyDescent="0.2"/>
    <row r="46532" customFormat="1" x14ac:dyDescent="0.2"/>
    <row r="46533" customFormat="1" x14ac:dyDescent="0.2"/>
    <row r="46534" customFormat="1" x14ac:dyDescent="0.2"/>
    <row r="46535" customFormat="1" x14ac:dyDescent="0.2"/>
    <row r="46536" customFormat="1" x14ac:dyDescent="0.2"/>
    <row r="46537" customFormat="1" x14ac:dyDescent="0.2"/>
    <row r="46538" customFormat="1" x14ac:dyDescent="0.2"/>
    <row r="46539" customFormat="1" x14ac:dyDescent="0.2"/>
    <row r="46540" customFormat="1" x14ac:dyDescent="0.2"/>
    <row r="46541" customFormat="1" x14ac:dyDescent="0.2"/>
    <row r="46542" customFormat="1" x14ac:dyDescent="0.2"/>
    <row r="46543" customFormat="1" x14ac:dyDescent="0.2"/>
    <row r="46544" customFormat="1" x14ac:dyDescent="0.2"/>
    <row r="46545" customFormat="1" x14ac:dyDescent="0.2"/>
    <row r="46546" customFormat="1" x14ac:dyDescent="0.2"/>
    <row r="46547" customFormat="1" x14ac:dyDescent="0.2"/>
    <row r="46548" customFormat="1" x14ac:dyDescent="0.2"/>
    <row r="46549" customFormat="1" x14ac:dyDescent="0.2"/>
    <row r="46550" customFormat="1" x14ac:dyDescent="0.2"/>
    <row r="46551" customFormat="1" x14ac:dyDescent="0.2"/>
    <row r="46552" customFormat="1" x14ac:dyDescent="0.2"/>
    <row r="46553" customFormat="1" x14ac:dyDescent="0.2"/>
    <row r="46554" customFormat="1" x14ac:dyDescent="0.2"/>
    <row r="46555" customFormat="1" x14ac:dyDescent="0.2"/>
    <row r="46556" customFormat="1" x14ac:dyDescent="0.2"/>
    <row r="46557" customFormat="1" x14ac:dyDescent="0.2"/>
    <row r="46558" customFormat="1" x14ac:dyDescent="0.2"/>
    <row r="46559" customFormat="1" x14ac:dyDescent="0.2"/>
    <row r="46560" customFormat="1" x14ac:dyDescent="0.2"/>
    <row r="46561" customFormat="1" x14ac:dyDescent="0.2"/>
    <row r="46562" customFormat="1" x14ac:dyDescent="0.2"/>
    <row r="46563" customFormat="1" x14ac:dyDescent="0.2"/>
    <row r="46564" customFormat="1" x14ac:dyDescent="0.2"/>
    <row r="46565" customFormat="1" x14ac:dyDescent="0.2"/>
    <row r="46566" customFormat="1" x14ac:dyDescent="0.2"/>
    <row r="46567" customFormat="1" x14ac:dyDescent="0.2"/>
    <row r="46568" customFormat="1" x14ac:dyDescent="0.2"/>
    <row r="46569" customFormat="1" x14ac:dyDescent="0.2"/>
    <row r="46570" customFormat="1" x14ac:dyDescent="0.2"/>
    <row r="46571" customFormat="1" x14ac:dyDescent="0.2"/>
    <row r="46572" customFormat="1" x14ac:dyDescent="0.2"/>
    <row r="46573" customFormat="1" x14ac:dyDescent="0.2"/>
    <row r="46574" customFormat="1" x14ac:dyDescent="0.2"/>
    <row r="46575" customFormat="1" x14ac:dyDescent="0.2"/>
    <row r="46576" customFormat="1" x14ac:dyDescent="0.2"/>
    <row r="46577" customFormat="1" x14ac:dyDescent="0.2"/>
    <row r="46578" customFormat="1" x14ac:dyDescent="0.2"/>
    <row r="46579" customFormat="1" x14ac:dyDescent="0.2"/>
    <row r="46580" customFormat="1" x14ac:dyDescent="0.2"/>
    <row r="46581" customFormat="1" x14ac:dyDescent="0.2"/>
    <row r="46582" customFormat="1" x14ac:dyDescent="0.2"/>
    <row r="46583" customFormat="1" x14ac:dyDescent="0.2"/>
    <row r="46584" customFormat="1" x14ac:dyDescent="0.2"/>
    <row r="46585" customFormat="1" x14ac:dyDescent="0.2"/>
    <row r="46586" customFormat="1" x14ac:dyDescent="0.2"/>
    <row r="46587" customFormat="1" x14ac:dyDescent="0.2"/>
    <row r="46588" customFormat="1" x14ac:dyDescent="0.2"/>
    <row r="46589" customFormat="1" x14ac:dyDescent="0.2"/>
    <row r="46590" customFormat="1" x14ac:dyDescent="0.2"/>
    <row r="46591" customFormat="1" x14ac:dyDescent="0.2"/>
    <row r="46592" customFormat="1" x14ac:dyDescent="0.2"/>
    <row r="46593" customFormat="1" x14ac:dyDescent="0.2"/>
    <row r="46594" customFormat="1" x14ac:dyDescent="0.2"/>
    <row r="46595" customFormat="1" x14ac:dyDescent="0.2"/>
    <row r="46596" customFormat="1" x14ac:dyDescent="0.2"/>
    <row r="46597" customFormat="1" x14ac:dyDescent="0.2"/>
    <row r="46598" customFormat="1" x14ac:dyDescent="0.2"/>
    <row r="46599" customFormat="1" x14ac:dyDescent="0.2"/>
    <row r="46600" customFormat="1" x14ac:dyDescent="0.2"/>
    <row r="46601" customFormat="1" x14ac:dyDescent="0.2"/>
    <row r="46602" customFormat="1" x14ac:dyDescent="0.2"/>
    <row r="46603" customFormat="1" x14ac:dyDescent="0.2"/>
    <row r="46604" customFormat="1" x14ac:dyDescent="0.2"/>
    <row r="46605" customFormat="1" x14ac:dyDescent="0.2"/>
    <row r="46606" customFormat="1" x14ac:dyDescent="0.2"/>
    <row r="46607" customFormat="1" x14ac:dyDescent="0.2"/>
    <row r="46608" customFormat="1" x14ac:dyDescent="0.2"/>
    <row r="46609" customFormat="1" x14ac:dyDescent="0.2"/>
    <row r="46610" customFormat="1" x14ac:dyDescent="0.2"/>
    <row r="46611" customFormat="1" x14ac:dyDescent="0.2"/>
    <row r="46612" customFormat="1" x14ac:dyDescent="0.2"/>
    <row r="46613" customFormat="1" x14ac:dyDescent="0.2"/>
    <row r="46614" customFormat="1" x14ac:dyDescent="0.2"/>
    <row r="46615" customFormat="1" x14ac:dyDescent="0.2"/>
    <row r="46616" customFormat="1" x14ac:dyDescent="0.2"/>
    <row r="46617" customFormat="1" x14ac:dyDescent="0.2"/>
    <row r="46618" customFormat="1" x14ac:dyDescent="0.2"/>
    <row r="46619" customFormat="1" x14ac:dyDescent="0.2"/>
    <row r="46620" customFormat="1" x14ac:dyDescent="0.2"/>
    <row r="46621" customFormat="1" x14ac:dyDescent="0.2"/>
    <row r="46622" customFormat="1" x14ac:dyDescent="0.2"/>
    <row r="46623" customFormat="1" x14ac:dyDescent="0.2"/>
    <row r="46624" customFormat="1" x14ac:dyDescent="0.2"/>
    <row r="46625" customFormat="1" x14ac:dyDescent="0.2"/>
    <row r="46626" customFormat="1" x14ac:dyDescent="0.2"/>
    <row r="46627" customFormat="1" x14ac:dyDescent="0.2"/>
    <row r="46628" customFormat="1" x14ac:dyDescent="0.2"/>
    <row r="46629" customFormat="1" x14ac:dyDescent="0.2"/>
    <row r="46630" customFormat="1" x14ac:dyDescent="0.2"/>
    <row r="46631" customFormat="1" x14ac:dyDescent="0.2"/>
    <row r="46632" customFormat="1" x14ac:dyDescent="0.2"/>
    <row r="46633" customFormat="1" x14ac:dyDescent="0.2"/>
    <row r="46634" customFormat="1" x14ac:dyDescent="0.2"/>
    <row r="46635" customFormat="1" x14ac:dyDescent="0.2"/>
    <row r="46636" customFormat="1" x14ac:dyDescent="0.2"/>
    <row r="46637" customFormat="1" x14ac:dyDescent="0.2"/>
    <row r="46638" customFormat="1" x14ac:dyDescent="0.2"/>
    <row r="46639" customFormat="1" x14ac:dyDescent="0.2"/>
    <row r="46640" customFormat="1" x14ac:dyDescent="0.2"/>
    <row r="46641" customFormat="1" x14ac:dyDescent="0.2"/>
    <row r="46642" customFormat="1" x14ac:dyDescent="0.2"/>
    <row r="46643" customFormat="1" x14ac:dyDescent="0.2"/>
    <row r="46644" customFormat="1" x14ac:dyDescent="0.2"/>
    <row r="46645" customFormat="1" x14ac:dyDescent="0.2"/>
    <row r="46646" customFormat="1" x14ac:dyDescent="0.2"/>
    <row r="46647" customFormat="1" x14ac:dyDescent="0.2"/>
    <row r="46648" customFormat="1" x14ac:dyDescent="0.2"/>
    <row r="46649" customFormat="1" x14ac:dyDescent="0.2"/>
    <row r="46650" customFormat="1" x14ac:dyDescent="0.2"/>
    <row r="46651" customFormat="1" x14ac:dyDescent="0.2"/>
    <row r="46652" customFormat="1" x14ac:dyDescent="0.2"/>
    <row r="46653" customFormat="1" x14ac:dyDescent="0.2"/>
    <row r="46654" customFormat="1" x14ac:dyDescent="0.2"/>
    <row r="46655" customFormat="1" x14ac:dyDescent="0.2"/>
    <row r="46656" customFormat="1" x14ac:dyDescent="0.2"/>
    <row r="46657" customFormat="1" x14ac:dyDescent="0.2"/>
    <row r="46658" customFormat="1" x14ac:dyDescent="0.2"/>
    <row r="46659" customFormat="1" x14ac:dyDescent="0.2"/>
    <row r="46660" customFormat="1" x14ac:dyDescent="0.2"/>
    <row r="46661" customFormat="1" x14ac:dyDescent="0.2"/>
    <row r="46662" customFormat="1" x14ac:dyDescent="0.2"/>
    <row r="46663" customFormat="1" x14ac:dyDescent="0.2"/>
    <row r="46664" customFormat="1" x14ac:dyDescent="0.2"/>
    <row r="46665" customFormat="1" x14ac:dyDescent="0.2"/>
    <row r="46666" customFormat="1" x14ac:dyDescent="0.2"/>
    <row r="46667" customFormat="1" x14ac:dyDescent="0.2"/>
    <row r="46668" customFormat="1" x14ac:dyDescent="0.2"/>
    <row r="46669" customFormat="1" x14ac:dyDescent="0.2"/>
    <row r="46670" customFormat="1" x14ac:dyDescent="0.2"/>
    <row r="46671" customFormat="1" x14ac:dyDescent="0.2"/>
    <row r="46672" customFormat="1" x14ac:dyDescent="0.2"/>
    <row r="46673" customFormat="1" x14ac:dyDescent="0.2"/>
    <row r="46674" customFormat="1" x14ac:dyDescent="0.2"/>
    <row r="46675" customFormat="1" x14ac:dyDescent="0.2"/>
    <row r="46676" customFormat="1" x14ac:dyDescent="0.2"/>
    <row r="46677" customFormat="1" x14ac:dyDescent="0.2"/>
    <row r="46678" customFormat="1" x14ac:dyDescent="0.2"/>
    <row r="46679" customFormat="1" x14ac:dyDescent="0.2"/>
    <row r="46680" customFormat="1" x14ac:dyDescent="0.2"/>
    <row r="46681" customFormat="1" x14ac:dyDescent="0.2"/>
    <row r="46682" customFormat="1" x14ac:dyDescent="0.2"/>
    <row r="46683" customFormat="1" x14ac:dyDescent="0.2"/>
    <row r="46684" customFormat="1" x14ac:dyDescent="0.2"/>
    <row r="46685" customFormat="1" x14ac:dyDescent="0.2"/>
    <row r="46686" customFormat="1" x14ac:dyDescent="0.2"/>
    <row r="46687" customFormat="1" x14ac:dyDescent="0.2"/>
    <row r="46688" customFormat="1" x14ac:dyDescent="0.2"/>
    <row r="46689" customFormat="1" x14ac:dyDescent="0.2"/>
    <row r="46690" customFormat="1" x14ac:dyDescent="0.2"/>
    <row r="46691" customFormat="1" x14ac:dyDescent="0.2"/>
    <row r="46692" customFormat="1" x14ac:dyDescent="0.2"/>
    <row r="46693" customFormat="1" x14ac:dyDescent="0.2"/>
    <row r="46694" customFormat="1" x14ac:dyDescent="0.2"/>
    <row r="46695" customFormat="1" x14ac:dyDescent="0.2"/>
    <row r="46696" customFormat="1" x14ac:dyDescent="0.2"/>
    <row r="46697" customFormat="1" x14ac:dyDescent="0.2"/>
    <row r="46698" customFormat="1" x14ac:dyDescent="0.2"/>
    <row r="46699" customFormat="1" x14ac:dyDescent="0.2"/>
    <row r="46700" customFormat="1" x14ac:dyDescent="0.2"/>
    <row r="46701" customFormat="1" x14ac:dyDescent="0.2"/>
    <row r="46702" customFormat="1" x14ac:dyDescent="0.2"/>
    <row r="46703" customFormat="1" x14ac:dyDescent="0.2"/>
    <row r="46704" customFormat="1" x14ac:dyDescent="0.2"/>
    <row r="46705" customFormat="1" x14ac:dyDescent="0.2"/>
    <row r="46706" customFormat="1" x14ac:dyDescent="0.2"/>
    <row r="46707" customFormat="1" x14ac:dyDescent="0.2"/>
    <row r="46708" customFormat="1" x14ac:dyDescent="0.2"/>
    <row r="46709" customFormat="1" x14ac:dyDescent="0.2"/>
    <row r="46710" customFormat="1" x14ac:dyDescent="0.2"/>
    <row r="46711" customFormat="1" x14ac:dyDescent="0.2"/>
    <row r="46712" customFormat="1" x14ac:dyDescent="0.2"/>
    <row r="46713" customFormat="1" x14ac:dyDescent="0.2"/>
    <row r="46714" customFormat="1" x14ac:dyDescent="0.2"/>
    <row r="46715" customFormat="1" x14ac:dyDescent="0.2"/>
    <row r="46716" customFormat="1" x14ac:dyDescent="0.2"/>
    <row r="46717" customFormat="1" x14ac:dyDescent="0.2"/>
    <row r="46718" customFormat="1" x14ac:dyDescent="0.2"/>
    <row r="46719" customFormat="1" x14ac:dyDescent="0.2"/>
    <row r="46720" customFormat="1" x14ac:dyDescent="0.2"/>
    <row r="46721" customFormat="1" x14ac:dyDescent="0.2"/>
    <row r="46722" customFormat="1" x14ac:dyDescent="0.2"/>
    <row r="46723" customFormat="1" x14ac:dyDescent="0.2"/>
    <row r="46724" customFormat="1" x14ac:dyDescent="0.2"/>
    <row r="46725" customFormat="1" x14ac:dyDescent="0.2"/>
    <row r="46726" customFormat="1" x14ac:dyDescent="0.2"/>
    <row r="46727" customFormat="1" x14ac:dyDescent="0.2"/>
    <row r="46728" customFormat="1" x14ac:dyDescent="0.2"/>
    <row r="46729" customFormat="1" x14ac:dyDescent="0.2"/>
    <row r="46730" customFormat="1" x14ac:dyDescent="0.2"/>
    <row r="46731" customFormat="1" x14ac:dyDescent="0.2"/>
    <row r="46732" customFormat="1" x14ac:dyDescent="0.2"/>
    <row r="46733" customFormat="1" x14ac:dyDescent="0.2"/>
    <row r="46734" customFormat="1" x14ac:dyDescent="0.2"/>
    <row r="46735" customFormat="1" x14ac:dyDescent="0.2"/>
    <row r="46736" customFormat="1" x14ac:dyDescent="0.2"/>
    <row r="46737" customFormat="1" x14ac:dyDescent="0.2"/>
    <row r="46738" customFormat="1" x14ac:dyDescent="0.2"/>
    <row r="46739" customFormat="1" x14ac:dyDescent="0.2"/>
    <row r="46740" customFormat="1" x14ac:dyDescent="0.2"/>
    <row r="46741" customFormat="1" x14ac:dyDescent="0.2"/>
    <row r="46742" customFormat="1" x14ac:dyDescent="0.2"/>
    <row r="46743" customFormat="1" x14ac:dyDescent="0.2"/>
    <row r="46744" customFormat="1" x14ac:dyDescent="0.2"/>
    <row r="46745" customFormat="1" x14ac:dyDescent="0.2"/>
    <row r="46746" customFormat="1" x14ac:dyDescent="0.2"/>
    <row r="46747" customFormat="1" x14ac:dyDescent="0.2"/>
    <row r="46748" customFormat="1" x14ac:dyDescent="0.2"/>
    <row r="46749" customFormat="1" x14ac:dyDescent="0.2"/>
    <row r="46750" customFormat="1" x14ac:dyDescent="0.2"/>
    <row r="46751" customFormat="1" x14ac:dyDescent="0.2"/>
    <row r="46752" customFormat="1" x14ac:dyDescent="0.2"/>
    <row r="46753" customFormat="1" x14ac:dyDescent="0.2"/>
    <row r="46754" customFormat="1" x14ac:dyDescent="0.2"/>
    <row r="46755" customFormat="1" x14ac:dyDescent="0.2"/>
    <row r="46756" customFormat="1" x14ac:dyDescent="0.2"/>
    <row r="46757" customFormat="1" x14ac:dyDescent="0.2"/>
    <row r="46758" customFormat="1" x14ac:dyDescent="0.2"/>
    <row r="46759" customFormat="1" x14ac:dyDescent="0.2"/>
    <row r="46760" customFormat="1" x14ac:dyDescent="0.2"/>
    <row r="46761" customFormat="1" x14ac:dyDescent="0.2"/>
    <row r="46762" customFormat="1" x14ac:dyDescent="0.2"/>
    <row r="46763" customFormat="1" x14ac:dyDescent="0.2"/>
    <row r="46764" customFormat="1" x14ac:dyDescent="0.2"/>
    <row r="46765" customFormat="1" x14ac:dyDescent="0.2"/>
    <row r="46766" customFormat="1" x14ac:dyDescent="0.2"/>
    <row r="46767" customFormat="1" x14ac:dyDescent="0.2"/>
    <row r="46768" customFormat="1" x14ac:dyDescent="0.2"/>
    <row r="46769" customFormat="1" x14ac:dyDescent="0.2"/>
    <row r="46770" customFormat="1" x14ac:dyDescent="0.2"/>
    <row r="46771" customFormat="1" x14ac:dyDescent="0.2"/>
    <row r="46772" customFormat="1" x14ac:dyDescent="0.2"/>
    <row r="46773" customFormat="1" x14ac:dyDescent="0.2"/>
    <row r="46774" customFormat="1" x14ac:dyDescent="0.2"/>
    <row r="46775" customFormat="1" x14ac:dyDescent="0.2"/>
    <row r="46776" customFormat="1" x14ac:dyDescent="0.2"/>
    <row r="46777" customFormat="1" x14ac:dyDescent="0.2"/>
    <row r="46778" customFormat="1" x14ac:dyDescent="0.2"/>
    <row r="46779" customFormat="1" x14ac:dyDescent="0.2"/>
    <row r="46780" customFormat="1" x14ac:dyDescent="0.2"/>
    <row r="46781" customFormat="1" x14ac:dyDescent="0.2"/>
    <row r="46782" customFormat="1" x14ac:dyDescent="0.2"/>
    <row r="46783" customFormat="1" x14ac:dyDescent="0.2"/>
    <row r="46784" customFormat="1" x14ac:dyDescent="0.2"/>
    <row r="46785" customFormat="1" x14ac:dyDescent="0.2"/>
    <row r="46786" customFormat="1" x14ac:dyDescent="0.2"/>
    <row r="46787" customFormat="1" x14ac:dyDescent="0.2"/>
    <row r="46788" customFormat="1" x14ac:dyDescent="0.2"/>
    <row r="46789" customFormat="1" x14ac:dyDescent="0.2"/>
    <row r="46790" customFormat="1" x14ac:dyDescent="0.2"/>
    <row r="46791" customFormat="1" x14ac:dyDescent="0.2"/>
    <row r="46792" customFormat="1" x14ac:dyDescent="0.2"/>
    <row r="46793" customFormat="1" x14ac:dyDescent="0.2"/>
    <row r="46794" customFormat="1" x14ac:dyDescent="0.2"/>
    <row r="46795" customFormat="1" x14ac:dyDescent="0.2"/>
    <row r="46796" customFormat="1" x14ac:dyDescent="0.2"/>
    <row r="46797" customFormat="1" x14ac:dyDescent="0.2"/>
    <row r="46798" customFormat="1" x14ac:dyDescent="0.2"/>
    <row r="46799" customFormat="1" x14ac:dyDescent="0.2"/>
    <row r="46800" customFormat="1" x14ac:dyDescent="0.2"/>
    <row r="46801" customFormat="1" x14ac:dyDescent="0.2"/>
    <row r="46802" customFormat="1" x14ac:dyDescent="0.2"/>
    <row r="46803" customFormat="1" x14ac:dyDescent="0.2"/>
    <row r="46804" customFormat="1" x14ac:dyDescent="0.2"/>
    <row r="46805" customFormat="1" x14ac:dyDescent="0.2"/>
    <row r="46806" customFormat="1" x14ac:dyDescent="0.2"/>
    <row r="46807" customFormat="1" x14ac:dyDescent="0.2"/>
    <row r="46808" customFormat="1" x14ac:dyDescent="0.2"/>
    <row r="46809" customFormat="1" x14ac:dyDescent="0.2"/>
    <row r="46810" customFormat="1" x14ac:dyDescent="0.2"/>
    <row r="46811" customFormat="1" x14ac:dyDescent="0.2"/>
    <row r="46812" customFormat="1" x14ac:dyDescent="0.2"/>
    <row r="46813" customFormat="1" x14ac:dyDescent="0.2"/>
    <row r="46814" customFormat="1" x14ac:dyDescent="0.2"/>
    <row r="46815" customFormat="1" x14ac:dyDescent="0.2"/>
    <row r="46816" customFormat="1" x14ac:dyDescent="0.2"/>
    <row r="46817" customFormat="1" x14ac:dyDescent="0.2"/>
    <row r="46818" customFormat="1" x14ac:dyDescent="0.2"/>
    <row r="46819" customFormat="1" x14ac:dyDescent="0.2"/>
    <row r="46820" customFormat="1" x14ac:dyDescent="0.2"/>
    <row r="46821" customFormat="1" x14ac:dyDescent="0.2"/>
    <row r="46822" customFormat="1" x14ac:dyDescent="0.2"/>
    <row r="46823" customFormat="1" x14ac:dyDescent="0.2"/>
    <row r="46824" customFormat="1" x14ac:dyDescent="0.2"/>
    <row r="46825" customFormat="1" x14ac:dyDescent="0.2"/>
    <row r="46826" customFormat="1" x14ac:dyDescent="0.2"/>
    <row r="46827" customFormat="1" x14ac:dyDescent="0.2"/>
    <row r="46828" customFormat="1" x14ac:dyDescent="0.2"/>
    <row r="46829" customFormat="1" x14ac:dyDescent="0.2"/>
    <row r="46830" customFormat="1" x14ac:dyDescent="0.2"/>
    <row r="46831" customFormat="1" x14ac:dyDescent="0.2"/>
    <row r="46832" customFormat="1" x14ac:dyDescent="0.2"/>
    <row r="46833" customFormat="1" x14ac:dyDescent="0.2"/>
    <row r="46834" customFormat="1" x14ac:dyDescent="0.2"/>
    <row r="46835" customFormat="1" x14ac:dyDescent="0.2"/>
    <row r="46836" customFormat="1" x14ac:dyDescent="0.2"/>
    <row r="46837" customFormat="1" x14ac:dyDescent="0.2"/>
    <row r="46838" customFormat="1" x14ac:dyDescent="0.2"/>
    <row r="46839" customFormat="1" x14ac:dyDescent="0.2"/>
    <row r="46840" customFormat="1" x14ac:dyDescent="0.2"/>
    <row r="46841" customFormat="1" x14ac:dyDescent="0.2"/>
    <row r="46842" customFormat="1" x14ac:dyDescent="0.2"/>
    <row r="46843" customFormat="1" x14ac:dyDescent="0.2"/>
    <row r="46844" customFormat="1" x14ac:dyDescent="0.2"/>
    <row r="46845" customFormat="1" x14ac:dyDescent="0.2"/>
    <row r="46846" customFormat="1" x14ac:dyDescent="0.2"/>
    <row r="46847" customFormat="1" x14ac:dyDescent="0.2"/>
    <row r="46848" customFormat="1" x14ac:dyDescent="0.2"/>
    <row r="46849" customFormat="1" x14ac:dyDescent="0.2"/>
    <row r="46850" customFormat="1" x14ac:dyDescent="0.2"/>
    <row r="46851" customFormat="1" x14ac:dyDescent="0.2"/>
    <row r="46852" customFormat="1" x14ac:dyDescent="0.2"/>
    <row r="46853" customFormat="1" x14ac:dyDescent="0.2"/>
    <row r="46854" customFormat="1" x14ac:dyDescent="0.2"/>
    <row r="46855" customFormat="1" x14ac:dyDescent="0.2"/>
    <row r="46856" customFormat="1" x14ac:dyDescent="0.2"/>
    <row r="46857" customFormat="1" x14ac:dyDescent="0.2"/>
    <row r="46858" customFormat="1" x14ac:dyDescent="0.2"/>
    <row r="46859" customFormat="1" x14ac:dyDescent="0.2"/>
    <row r="46860" customFormat="1" x14ac:dyDescent="0.2"/>
    <row r="46861" customFormat="1" x14ac:dyDescent="0.2"/>
    <row r="46862" customFormat="1" x14ac:dyDescent="0.2"/>
    <row r="46863" customFormat="1" x14ac:dyDescent="0.2"/>
    <row r="46864" customFormat="1" x14ac:dyDescent="0.2"/>
    <row r="46865" customFormat="1" x14ac:dyDescent="0.2"/>
    <row r="46866" customFormat="1" x14ac:dyDescent="0.2"/>
    <row r="46867" customFormat="1" x14ac:dyDescent="0.2"/>
    <row r="46868" customFormat="1" x14ac:dyDescent="0.2"/>
    <row r="46869" customFormat="1" x14ac:dyDescent="0.2"/>
    <row r="46870" customFormat="1" x14ac:dyDescent="0.2"/>
    <row r="46871" customFormat="1" x14ac:dyDescent="0.2"/>
    <row r="46872" customFormat="1" x14ac:dyDescent="0.2"/>
    <row r="46873" customFormat="1" x14ac:dyDescent="0.2"/>
    <row r="46874" customFormat="1" x14ac:dyDescent="0.2"/>
    <row r="46875" customFormat="1" x14ac:dyDescent="0.2"/>
    <row r="46876" customFormat="1" x14ac:dyDescent="0.2"/>
    <row r="46877" customFormat="1" x14ac:dyDescent="0.2"/>
    <row r="46878" customFormat="1" x14ac:dyDescent="0.2"/>
    <row r="46879" customFormat="1" x14ac:dyDescent="0.2"/>
    <row r="46880" customFormat="1" x14ac:dyDescent="0.2"/>
    <row r="46881" customFormat="1" x14ac:dyDescent="0.2"/>
    <row r="46882" customFormat="1" x14ac:dyDescent="0.2"/>
    <row r="46883" customFormat="1" x14ac:dyDescent="0.2"/>
    <row r="46884" customFormat="1" x14ac:dyDescent="0.2"/>
    <row r="46885" customFormat="1" x14ac:dyDescent="0.2"/>
    <row r="46886" customFormat="1" x14ac:dyDescent="0.2"/>
    <row r="46887" customFormat="1" x14ac:dyDescent="0.2"/>
    <row r="46888" customFormat="1" x14ac:dyDescent="0.2"/>
    <row r="46889" customFormat="1" x14ac:dyDescent="0.2"/>
    <row r="46890" customFormat="1" x14ac:dyDescent="0.2"/>
    <row r="46891" customFormat="1" x14ac:dyDescent="0.2"/>
    <row r="46892" customFormat="1" x14ac:dyDescent="0.2"/>
    <row r="46893" customFormat="1" x14ac:dyDescent="0.2"/>
    <row r="46894" customFormat="1" x14ac:dyDescent="0.2"/>
    <row r="46895" customFormat="1" x14ac:dyDescent="0.2"/>
    <row r="46896" customFormat="1" x14ac:dyDescent="0.2"/>
    <row r="46897" customFormat="1" x14ac:dyDescent="0.2"/>
    <row r="46898" customFormat="1" x14ac:dyDescent="0.2"/>
    <row r="46899" customFormat="1" x14ac:dyDescent="0.2"/>
    <row r="46900" customFormat="1" x14ac:dyDescent="0.2"/>
    <row r="46901" customFormat="1" x14ac:dyDescent="0.2"/>
    <row r="46902" customFormat="1" x14ac:dyDescent="0.2"/>
    <row r="46903" customFormat="1" x14ac:dyDescent="0.2"/>
    <row r="46904" customFormat="1" x14ac:dyDescent="0.2"/>
    <row r="46905" customFormat="1" x14ac:dyDescent="0.2"/>
    <row r="46906" customFormat="1" x14ac:dyDescent="0.2"/>
    <row r="46907" customFormat="1" x14ac:dyDescent="0.2"/>
    <row r="46908" customFormat="1" x14ac:dyDescent="0.2"/>
    <row r="46909" customFormat="1" x14ac:dyDescent="0.2"/>
    <row r="46910" customFormat="1" x14ac:dyDescent="0.2"/>
    <row r="46911" customFormat="1" x14ac:dyDescent="0.2"/>
    <row r="46912" customFormat="1" x14ac:dyDescent="0.2"/>
    <row r="46913" customFormat="1" x14ac:dyDescent="0.2"/>
    <row r="46914" customFormat="1" x14ac:dyDescent="0.2"/>
    <row r="46915" customFormat="1" x14ac:dyDescent="0.2"/>
    <row r="46916" customFormat="1" x14ac:dyDescent="0.2"/>
    <row r="46917" customFormat="1" x14ac:dyDescent="0.2"/>
    <row r="46918" customFormat="1" x14ac:dyDescent="0.2"/>
    <row r="46919" customFormat="1" x14ac:dyDescent="0.2"/>
    <row r="46920" customFormat="1" x14ac:dyDescent="0.2"/>
    <row r="46921" customFormat="1" x14ac:dyDescent="0.2"/>
    <row r="46922" customFormat="1" x14ac:dyDescent="0.2"/>
    <row r="46923" customFormat="1" x14ac:dyDescent="0.2"/>
    <row r="46924" customFormat="1" x14ac:dyDescent="0.2"/>
    <row r="46925" customFormat="1" x14ac:dyDescent="0.2"/>
    <row r="46926" customFormat="1" x14ac:dyDescent="0.2"/>
    <row r="46927" customFormat="1" x14ac:dyDescent="0.2"/>
    <row r="46928" customFormat="1" x14ac:dyDescent="0.2"/>
    <row r="46929" customFormat="1" x14ac:dyDescent="0.2"/>
    <row r="46930" customFormat="1" x14ac:dyDescent="0.2"/>
    <row r="46931" customFormat="1" x14ac:dyDescent="0.2"/>
    <row r="46932" customFormat="1" x14ac:dyDescent="0.2"/>
    <row r="46933" customFormat="1" x14ac:dyDescent="0.2"/>
    <row r="46934" customFormat="1" x14ac:dyDescent="0.2"/>
    <row r="46935" customFormat="1" x14ac:dyDescent="0.2"/>
    <row r="46936" customFormat="1" x14ac:dyDescent="0.2"/>
    <row r="46937" customFormat="1" x14ac:dyDescent="0.2"/>
    <row r="46938" customFormat="1" x14ac:dyDescent="0.2"/>
    <row r="46939" customFormat="1" x14ac:dyDescent="0.2"/>
    <row r="46940" customFormat="1" x14ac:dyDescent="0.2"/>
    <row r="46941" customFormat="1" x14ac:dyDescent="0.2"/>
    <row r="46942" customFormat="1" x14ac:dyDescent="0.2"/>
    <row r="46943" customFormat="1" x14ac:dyDescent="0.2"/>
    <row r="46944" customFormat="1" x14ac:dyDescent="0.2"/>
    <row r="46945" customFormat="1" x14ac:dyDescent="0.2"/>
    <row r="46946" customFormat="1" x14ac:dyDescent="0.2"/>
    <row r="46947" customFormat="1" x14ac:dyDescent="0.2"/>
    <row r="46948" customFormat="1" x14ac:dyDescent="0.2"/>
    <row r="46949" customFormat="1" x14ac:dyDescent="0.2"/>
    <row r="46950" customFormat="1" x14ac:dyDescent="0.2"/>
    <row r="46951" customFormat="1" x14ac:dyDescent="0.2"/>
    <row r="46952" customFormat="1" x14ac:dyDescent="0.2"/>
    <row r="46953" customFormat="1" x14ac:dyDescent="0.2"/>
    <row r="46954" customFormat="1" x14ac:dyDescent="0.2"/>
    <row r="46955" customFormat="1" x14ac:dyDescent="0.2"/>
    <row r="46956" customFormat="1" x14ac:dyDescent="0.2"/>
    <row r="46957" customFormat="1" x14ac:dyDescent="0.2"/>
    <row r="46958" customFormat="1" x14ac:dyDescent="0.2"/>
    <row r="46959" customFormat="1" x14ac:dyDescent="0.2"/>
    <row r="46960" customFormat="1" x14ac:dyDescent="0.2"/>
    <row r="46961" customFormat="1" x14ac:dyDescent="0.2"/>
    <row r="46962" customFormat="1" x14ac:dyDescent="0.2"/>
    <row r="46963" customFormat="1" x14ac:dyDescent="0.2"/>
    <row r="46964" customFormat="1" x14ac:dyDescent="0.2"/>
    <row r="46965" customFormat="1" x14ac:dyDescent="0.2"/>
    <row r="46966" customFormat="1" x14ac:dyDescent="0.2"/>
    <row r="46967" customFormat="1" x14ac:dyDescent="0.2"/>
    <row r="46968" customFormat="1" x14ac:dyDescent="0.2"/>
    <row r="46969" customFormat="1" x14ac:dyDescent="0.2"/>
    <row r="46970" customFormat="1" x14ac:dyDescent="0.2"/>
    <row r="46971" customFormat="1" x14ac:dyDescent="0.2"/>
    <row r="46972" customFormat="1" x14ac:dyDescent="0.2"/>
    <row r="46973" customFormat="1" x14ac:dyDescent="0.2"/>
    <row r="46974" customFormat="1" x14ac:dyDescent="0.2"/>
    <row r="46975" customFormat="1" x14ac:dyDescent="0.2"/>
    <row r="46976" customFormat="1" x14ac:dyDescent="0.2"/>
    <row r="46977" customFormat="1" x14ac:dyDescent="0.2"/>
    <row r="46978" customFormat="1" x14ac:dyDescent="0.2"/>
    <row r="46979" customFormat="1" x14ac:dyDescent="0.2"/>
    <row r="46980" customFormat="1" x14ac:dyDescent="0.2"/>
    <row r="46981" customFormat="1" x14ac:dyDescent="0.2"/>
    <row r="46982" customFormat="1" x14ac:dyDescent="0.2"/>
    <row r="46983" customFormat="1" x14ac:dyDescent="0.2"/>
    <row r="46984" customFormat="1" x14ac:dyDescent="0.2"/>
    <row r="46985" customFormat="1" x14ac:dyDescent="0.2"/>
    <row r="46986" customFormat="1" x14ac:dyDescent="0.2"/>
    <row r="46987" customFormat="1" x14ac:dyDescent="0.2"/>
    <row r="46988" customFormat="1" x14ac:dyDescent="0.2"/>
    <row r="46989" customFormat="1" x14ac:dyDescent="0.2"/>
    <row r="46990" customFormat="1" x14ac:dyDescent="0.2"/>
    <row r="46991" customFormat="1" x14ac:dyDescent="0.2"/>
    <row r="46992" customFormat="1" x14ac:dyDescent="0.2"/>
    <row r="46993" customFormat="1" x14ac:dyDescent="0.2"/>
    <row r="46994" customFormat="1" x14ac:dyDescent="0.2"/>
    <row r="46995" customFormat="1" x14ac:dyDescent="0.2"/>
    <row r="46996" customFormat="1" x14ac:dyDescent="0.2"/>
    <row r="46997" customFormat="1" x14ac:dyDescent="0.2"/>
    <row r="46998" customFormat="1" x14ac:dyDescent="0.2"/>
    <row r="46999" customFormat="1" x14ac:dyDescent="0.2"/>
    <row r="47000" customFormat="1" x14ac:dyDescent="0.2"/>
    <row r="47001" customFormat="1" x14ac:dyDescent="0.2"/>
    <row r="47002" customFormat="1" x14ac:dyDescent="0.2"/>
    <row r="47003" customFormat="1" x14ac:dyDescent="0.2"/>
    <row r="47004" customFormat="1" x14ac:dyDescent="0.2"/>
    <row r="47005" customFormat="1" x14ac:dyDescent="0.2"/>
    <row r="47006" customFormat="1" x14ac:dyDescent="0.2"/>
    <row r="47007" customFormat="1" x14ac:dyDescent="0.2"/>
    <row r="47008" customFormat="1" x14ac:dyDescent="0.2"/>
    <row r="47009" customFormat="1" x14ac:dyDescent="0.2"/>
    <row r="47010" customFormat="1" x14ac:dyDescent="0.2"/>
    <row r="47011" customFormat="1" x14ac:dyDescent="0.2"/>
    <row r="47012" customFormat="1" x14ac:dyDescent="0.2"/>
    <row r="47013" customFormat="1" x14ac:dyDescent="0.2"/>
    <row r="47014" customFormat="1" x14ac:dyDescent="0.2"/>
    <row r="47015" customFormat="1" x14ac:dyDescent="0.2"/>
    <row r="47016" customFormat="1" x14ac:dyDescent="0.2"/>
    <row r="47017" customFormat="1" x14ac:dyDescent="0.2"/>
    <row r="47018" customFormat="1" x14ac:dyDescent="0.2"/>
    <row r="47019" customFormat="1" x14ac:dyDescent="0.2"/>
    <row r="47020" customFormat="1" x14ac:dyDescent="0.2"/>
    <row r="47021" customFormat="1" x14ac:dyDescent="0.2"/>
    <row r="47022" customFormat="1" x14ac:dyDescent="0.2"/>
    <row r="47023" customFormat="1" x14ac:dyDescent="0.2"/>
    <row r="47024" customFormat="1" x14ac:dyDescent="0.2"/>
    <row r="47025" customFormat="1" x14ac:dyDescent="0.2"/>
    <row r="47026" customFormat="1" x14ac:dyDescent="0.2"/>
    <row r="47027" customFormat="1" x14ac:dyDescent="0.2"/>
    <row r="47028" customFormat="1" x14ac:dyDescent="0.2"/>
    <row r="47029" customFormat="1" x14ac:dyDescent="0.2"/>
    <row r="47030" customFormat="1" x14ac:dyDescent="0.2"/>
    <row r="47031" customFormat="1" x14ac:dyDescent="0.2"/>
    <row r="47032" customFormat="1" x14ac:dyDescent="0.2"/>
    <row r="47033" customFormat="1" x14ac:dyDescent="0.2"/>
    <row r="47034" customFormat="1" x14ac:dyDescent="0.2"/>
    <row r="47035" customFormat="1" x14ac:dyDescent="0.2"/>
    <row r="47036" customFormat="1" x14ac:dyDescent="0.2"/>
    <row r="47037" customFormat="1" x14ac:dyDescent="0.2"/>
    <row r="47038" customFormat="1" x14ac:dyDescent="0.2"/>
    <row r="47039" customFormat="1" x14ac:dyDescent="0.2"/>
    <row r="47040" customFormat="1" x14ac:dyDescent="0.2"/>
    <row r="47041" customFormat="1" x14ac:dyDescent="0.2"/>
    <row r="47042" customFormat="1" x14ac:dyDescent="0.2"/>
    <row r="47043" customFormat="1" x14ac:dyDescent="0.2"/>
    <row r="47044" customFormat="1" x14ac:dyDescent="0.2"/>
    <row r="47045" customFormat="1" x14ac:dyDescent="0.2"/>
    <row r="47046" customFormat="1" x14ac:dyDescent="0.2"/>
    <row r="47047" customFormat="1" x14ac:dyDescent="0.2"/>
    <row r="47048" customFormat="1" x14ac:dyDescent="0.2"/>
    <row r="47049" customFormat="1" x14ac:dyDescent="0.2"/>
    <row r="47050" customFormat="1" x14ac:dyDescent="0.2"/>
    <row r="47051" customFormat="1" x14ac:dyDescent="0.2"/>
    <row r="47052" customFormat="1" x14ac:dyDescent="0.2"/>
    <row r="47053" customFormat="1" x14ac:dyDescent="0.2"/>
    <row r="47054" customFormat="1" x14ac:dyDescent="0.2"/>
    <row r="47055" customFormat="1" x14ac:dyDescent="0.2"/>
    <row r="47056" customFormat="1" x14ac:dyDescent="0.2"/>
    <row r="47057" customFormat="1" x14ac:dyDescent="0.2"/>
    <row r="47058" customFormat="1" x14ac:dyDescent="0.2"/>
    <row r="47059" customFormat="1" x14ac:dyDescent="0.2"/>
    <row r="47060" customFormat="1" x14ac:dyDescent="0.2"/>
    <row r="47061" customFormat="1" x14ac:dyDescent="0.2"/>
    <row r="47062" customFormat="1" x14ac:dyDescent="0.2"/>
    <row r="47063" customFormat="1" x14ac:dyDescent="0.2"/>
    <row r="47064" customFormat="1" x14ac:dyDescent="0.2"/>
    <row r="47065" customFormat="1" x14ac:dyDescent="0.2"/>
    <row r="47066" customFormat="1" x14ac:dyDescent="0.2"/>
    <row r="47067" customFormat="1" x14ac:dyDescent="0.2"/>
    <row r="47068" customFormat="1" x14ac:dyDescent="0.2"/>
    <row r="47069" customFormat="1" x14ac:dyDescent="0.2"/>
    <row r="47070" customFormat="1" x14ac:dyDescent="0.2"/>
    <row r="47071" customFormat="1" x14ac:dyDescent="0.2"/>
    <row r="47072" customFormat="1" x14ac:dyDescent="0.2"/>
    <row r="47073" customFormat="1" x14ac:dyDescent="0.2"/>
    <row r="47074" customFormat="1" x14ac:dyDescent="0.2"/>
    <row r="47075" customFormat="1" x14ac:dyDescent="0.2"/>
    <row r="47076" customFormat="1" x14ac:dyDescent="0.2"/>
    <row r="47077" customFormat="1" x14ac:dyDescent="0.2"/>
    <row r="47078" customFormat="1" x14ac:dyDescent="0.2"/>
    <row r="47079" customFormat="1" x14ac:dyDescent="0.2"/>
    <row r="47080" customFormat="1" x14ac:dyDescent="0.2"/>
    <row r="47081" customFormat="1" x14ac:dyDescent="0.2"/>
    <row r="47082" customFormat="1" x14ac:dyDescent="0.2"/>
    <row r="47083" customFormat="1" x14ac:dyDescent="0.2"/>
    <row r="47084" customFormat="1" x14ac:dyDescent="0.2"/>
    <row r="47085" customFormat="1" x14ac:dyDescent="0.2"/>
    <row r="47086" customFormat="1" x14ac:dyDescent="0.2"/>
    <row r="47087" customFormat="1" x14ac:dyDescent="0.2"/>
    <row r="47088" customFormat="1" x14ac:dyDescent="0.2"/>
    <row r="47089" customFormat="1" x14ac:dyDescent="0.2"/>
    <row r="47090" customFormat="1" x14ac:dyDescent="0.2"/>
    <row r="47091" customFormat="1" x14ac:dyDescent="0.2"/>
    <row r="47092" customFormat="1" x14ac:dyDescent="0.2"/>
    <row r="47093" customFormat="1" x14ac:dyDescent="0.2"/>
    <row r="47094" customFormat="1" x14ac:dyDescent="0.2"/>
    <row r="47095" customFormat="1" x14ac:dyDescent="0.2"/>
    <row r="47096" customFormat="1" x14ac:dyDescent="0.2"/>
    <row r="47097" customFormat="1" x14ac:dyDescent="0.2"/>
    <row r="47098" customFormat="1" x14ac:dyDescent="0.2"/>
    <row r="47099" customFormat="1" x14ac:dyDescent="0.2"/>
    <row r="47100" customFormat="1" x14ac:dyDescent="0.2"/>
    <row r="47101" customFormat="1" x14ac:dyDescent="0.2"/>
    <row r="47102" customFormat="1" x14ac:dyDescent="0.2"/>
    <row r="47103" customFormat="1" x14ac:dyDescent="0.2"/>
    <row r="47104" customFormat="1" x14ac:dyDescent="0.2"/>
    <row r="47105" customFormat="1" x14ac:dyDescent="0.2"/>
    <row r="47106" customFormat="1" x14ac:dyDescent="0.2"/>
    <row r="47107" customFormat="1" x14ac:dyDescent="0.2"/>
    <row r="47108" customFormat="1" x14ac:dyDescent="0.2"/>
    <row r="47109" customFormat="1" x14ac:dyDescent="0.2"/>
    <row r="47110" customFormat="1" x14ac:dyDescent="0.2"/>
    <row r="47111" customFormat="1" x14ac:dyDescent="0.2"/>
    <row r="47112" customFormat="1" x14ac:dyDescent="0.2"/>
    <row r="47113" customFormat="1" x14ac:dyDescent="0.2"/>
    <row r="47114" customFormat="1" x14ac:dyDescent="0.2"/>
    <row r="47115" customFormat="1" x14ac:dyDescent="0.2"/>
    <row r="47116" customFormat="1" x14ac:dyDescent="0.2"/>
    <row r="47117" customFormat="1" x14ac:dyDescent="0.2"/>
    <row r="47118" customFormat="1" x14ac:dyDescent="0.2"/>
    <row r="47119" customFormat="1" x14ac:dyDescent="0.2"/>
    <row r="47120" customFormat="1" x14ac:dyDescent="0.2"/>
    <row r="47121" customFormat="1" x14ac:dyDescent="0.2"/>
    <row r="47122" customFormat="1" x14ac:dyDescent="0.2"/>
    <row r="47123" customFormat="1" x14ac:dyDescent="0.2"/>
    <row r="47124" customFormat="1" x14ac:dyDescent="0.2"/>
    <row r="47125" customFormat="1" x14ac:dyDescent="0.2"/>
    <row r="47126" customFormat="1" x14ac:dyDescent="0.2"/>
    <row r="47127" customFormat="1" x14ac:dyDescent="0.2"/>
    <row r="47128" customFormat="1" x14ac:dyDescent="0.2"/>
    <row r="47129" customFormat="1" x14ac:dyDescent="0.2"/>
    <row r="47130" customFormat="1" x14ac:dyDescent="0.2"/>
    <row r="47131" customFormat="1" x14ac:dyDescent="0.2"/>
    <row r="47132" customFormat="1" x14ac:dyDescent="0.2"/>
    <row r="47133" customFormat="1" x14ac:dyDescent="0.2"/>
    <row r="47134" customFormat="1" x14ac:dyDescent="0.2"/>
    <row r="47135" customFormat="1" x14ac:dyDescent="0.2"/>
    <row r="47136" customFormat="1" x14ac:dyDescent="0.2"/>
    <row r="47137" customFormat="1" x14ac:dyDescent="0.2"/>
    <row r="47138" customFormat="1" x14ac:dyDescent="0.2"/>
    <row r="47139" customFormat="1" x14ac:dyDescent="0.2"/>
    <row r="47140" customFormat="1" x14ac:dyDescent="0.2"/>
    <row r="47141" customFormat="1" x14ac:dyDescent="0.2"/>
    <row r="47142" customFormat="1" x14ac:dyDescent="0.2"/>
    <row r="47143" customFormat="1" x14ac:dyDescent="0.2"/>
    <row r="47144" customFormat="1" x14ac:dyDescent="0.2"/>
    <row r="47145" customFormat="1" x14ac:dyDescent="0.2"/>
    <row r="47146" customFormat="1" x14ac:dyDescent="0.2"/>
    <row r="47147" customFormat="1" x14ac:dyDescent="0.2"/>
    <row r="47148" customFormat="1" x14ac:dyDescent="0.2"/>
    <row r="47149" customFormat="1" x14ac:dyDescent="0.2"/>
    <row r="47150" customFormat="1" x14ac:dyDescent="0.2"/>
    <row r="47151" customFormat="1" x14ac:dyDescent="0.2"/>
    <row r="47152" customFormat="1" x14ac:dyDescent="0.2"/>
    <row r="47153" customFormat="1" x14ac:dyDescent="0.2"/>
    <row r="47154" customFormat="1" x14ac:dyDescent="0.2"/>
    <row r="47155" customFormat="1" x14ac:dyDescent="0.2"/>
    <row r="47156" customFormat="1" x14ac:dyDescent="0.2"/>
    <row r="47157" customFormat="1" x14ac:dyDescent="0.2"/>
    <row r="47158" customFormat="1" x14ac:dyDescent="0.2"/>
    <row r="47159" customFormat="1" x14ac:dyDescent="0.2"/>
    <row r="47160" customFormat="1" x14ac:dyDescent="0.2"/>
    <row r="47161" customFormat="1" x14ac:dyDescent="0.2"/>
    <row r="47162" customFormat="1" x14ac:dyDescent="0.2"/>
    <row r="47163" customFormat="1" x14ac:dyDescent="0.2"/>
    <row r="47164" customFormat="1" x14ac:dyDescent="0.2"/>
    <row r="47165" customFormat="1" x14ac:dyDescent="0.2"/>
    <row r="47166" customFormat="1" x14ac:dyDescent="0.2"/>
    <row r="47167" customFormat="1" x14ac:dyDescent="0.2"/>
    <row r="47168" customFormat="1" x14ac:dyDescent="0.2"/>
    <row r="47169" customFormat="1" x14ac:dyDescent="0.2"/>
    <row r="47170" customFormat="1" x14ac:dyDescent="0.2"/>
    <row r="47171" customFormat="1" x14ac:dyDescent="0.2"/>
    <row r="47172" customFormat="1" x14ac:dyDescent="0.2"/>
    <row r="47173" customFormat="1" x14ac:dyDescent="0.2"/>
    <row r="47174" customFormat="1" x14ac:dyDescent="0.2"/>
    <row r="47175" customFormat="1" x14ac:dyDescent="0.2"/>
    <row r="47176" customFormat="1" x14ac:dyDescent="0.2"/>
    <row r="47177" customFormat="1" x14ac:dyDescent="0.2"/>
    <row r="47178" customFormat="1" x14ac:dyDescent="0.2"/>
    <row r="47179" customFormat="1" x14ac:dyDescent="0.2"/>
    <row r="47180" customFormat="1" x14ac:dyDescent="0.2"/>
    <row r="47181" customFormat="1" x14ac:dyDescent="0.2"/>
    <row r="47182" customFormat="1" x14ac:dyDescent="0.2"/>
    <row r="47183" customFormat="1" x14ac:dyDescent="0.2"/>
    <row r="47184" customFormat="1" x14ac:dyDescent="0.2"/>
    <row r="47185" customFormat="1" x14ac:dyDescent="0.2"/>
    <row r="47186" customFormat="1" x14ac:dyDescent="0.2"/>
    <row r="47187" customFormat="1" x14ac:dyDescent="0.2"/>
    <row r="47188" customFormat="1" x14ac:dyDescent="0.2"/>
    <row r="47189" customFormat="1" x14ac:dyDescent="0.2"/>
    <row r="47190" customFormat="1" x14ac:dyDescent="0.2"/>
    <row r="47191" customFormat="1" x14ac:dyDescent="0.2"/>
    <row r="47192" customFormat="1" x14ac:dyDescent="0.2"/>
    <row r="47193" customFormat="1" x14ac:dyDescent="0.2"/>
    <row r="47194" customFormat="1" x14ac:dyDescent="0.2"/>
    <row r="47195" customFormat="1" x14ac:dyDescent="0.2"/>
    <row r="47196" customFormat="1" x14ac:dyDescent="0.2"/>
    <row r="47197" customFormat="1" x14ac:dyDescent="0.2"/>
    <row r="47198" customFormat="1" x14ac:dyDescent="0.2"/>
    <row r="47199" customFormat="1" x14ac:dyDescent="0.2"/>
    <row r="47200" customFormat="1" x14ac:dyDescent="0.2"/>
    <row r="47201" customFormat="1" x14ac:dyDescent="0.2"/>
    <row r="47202" customFormat="1" x14ac:dyDescent="0.2"/>
    <row r="47203" customFormat="1" x14ac:dyDescent="0.2"/>
    <row r="47204" customFormat="1" x14ac:dyDescent="0.2"/>
    <row r="47205" customFormat="1" x14ac:dyDescent="0.2"/>
    <row r="47206" customFormat="1" x14ac:dyDescent="0.2"/>
    <row r="47207" customFormat="1" x14ac:dyDescent="0.2"/>
    <row r="47208" customFormat="1" x14ac:dyDescent="0.2"/>
    <row r="47209" customFormat="1" x14ac:dyDescent="0.2"/>
    <row r="47210" customFormat="1" x14ac:dyDescent="0.2"/>
    <row r="47211" customFormat="1" x14ac:dyDescent="0.2"/>
    <row r="47212" customFormat="1" x14ac:dyDescent="0.2"/>
    <row r="47213" customFormat="1" x14ac:dyDescent="0.2"/>
    <row r="47214" customFormat="1" x14ac:dyDescent="0.2"/>
    <row r="47215" customFormat="1" x14ac:dyDescent="0.2"/>
    <row r="47216" customFormat="1" x14ac:dyDescent="0.2"/>
    <row r="47217" customFormat="1" x14ac:dyDescent="0.2"/>
    <row r="47218" customFormat="1" x14ac:dyDescent="0.2"/>
    <row r="47219" customFormat="1" x14ac:dyDescent="0.2"/>
    <row r="47220" customFormat="1" x14ac:dyDescent="0.2"/>
    <row r="47221" customFormat="1" x14ac:dyDescent="0.2"/>
    <row r="47222" customFormat="1" x14ac:dyDescent="0.2"/>
    <row r="47223" customFormat="1" x14ac:dyDescent="0.2"/>
    <row r="47224" customFormat="1" x14ac:dyDescent="0.2"/>
    <row r="47225" customFormat="1" x14ac:dyDescent="0.2"/>
    <row r="47226" customFormat="1" x14ac:dyDescent="0.2"/>
    <row r="47227" customFormat="1" x14ac:dyDescent="0.2"/>
    <row r="47228" customFormat="1" x14ac:dyDescent="0.2"/>
    <row r="47229" customFormat="1" x14ac:dyDescent="0.2"/>
    <row r="47230" customFormat="1" x14ac:dyDescent="0.2"/>
    <row r="47231" customFormat="1" x14ac:dyDescent="0.2"/>
    <row r="47232" customFormat="1" x14ac:dyDescent="0.2"/>
    <row r="47233" customFormat="1" x14ac:dyDescent="0.2"/>
    <row r="47234" customFormat="1" x14ac:dyDescent="0.2"/>
    <row r="47235" customFormat="1" x14ac:dyDescent="0.2"/>
    <row r="47236" customFormat="1" x14ac:dyDescent="0.2"/>
    <row r="47237" customFormat="1" x14ac:dyDescent="0.2"/>
    <row r="47238" customFormat="1" x14ac:dyDescent="0.2"/>
    <row r="47239" customFormat="1" x14ac:dyDescent="0.2"/>
    <row r="47240" customFormat="1" x14ac:dyDescent="0.2"/>
    <row r="47241" customFormat="1" x14ac:dyDescent="0.2"/>
    <row r="47242" customFormat="1" x14ac:dyDescent="0.2"/>
    <row r="47243" customFormat="1" x14ac:dyDescent="0.2"/>
    <row r="47244" customFormat="1" x14ac:dyDescent="0.2"/>
    <row r="47245" customFormat="1" x14ac:dyDescent="0.2"/>
    <row r="47246" customFormat="1" x14ac:dyDescent="0.2"/>
    <row r="47247" customFormat="1" x14ac:dyDescent="0.2"/>
    <row r="47248" customFormat="1" x14ac:dyDescent="0.2"/>
    <row r="47249" customFormat="1" x14ac:dyDescent="0.2"/>
    <row r="47250" customFormat="1" x14ac:dyDescent="0.2"/>
    <row r="47251" customFormat="1" x14ac:dyDescent="0.2"/>
    <row r="47252" customFormat="1" x14ac:dyDescent="0.2"/>
    <row r="47253" customFormat="1" x14ac:dyDescent="0.2"/>
    <row r="47254" customFormat="1" x14ac:dyDescent="0.2"/>
    <row r="47255" customFormat="1" x14ac:dyDescent="0.2"/>
    <row r="47256" customFormat="1" x14ac:dyDescent="0.2"/>
    <row r="47257" customFormat="1" x14ac:dyDescent="0.2"/>
    <row r="47258" customFormat="1" x14ac:dyDescent="0.2"/>
    <row r="47259" customFormat="1" x14ac:dyDescent="0.2"/>
    <row r="47260" customFormat="1" x14ac:dyDescent="0.2"/>
    <row r="47261" customFormat="1" x14ac:dyDescent="0.2"/>
    <row r="47262" customFormat="1" x14ac:dyDescent="0.2"/>
    <row r="47263" customFormat="1" x14ac:dyDescent="0.2"/>
    <row r="47264" customFormat="1" x14ac:dyDescent="0.2"/>
    <row r="47265" customFormat="1" x14ac:dyDescent="0.2"/>
    <row r="47266" customFormat="1" x14ac:dyDescent="0.2"/>
    <row r="47267" customFormat="1" x14ac:dyDescent="0.2"/>
    <row r="47268" customFormat="1" x14ac:dyDescent="0.2"/>
    <row r="47269" customFormat="1" x14ac:dyDescent="0.2"/>
    <row r="47270" customFormat="1" x14ac:dyDescent="0.2"/>
    <row r="47271" customFormat="1" x14ac:dyDescent="0.2"/>
    <row r="47272" customFormat="1" x14ac:dyDescent="0.2"/>
    <row r="47273" customFormat="1" x14ac:dyDescent="0.2"/>
    <row r="47274" customFormat="1" x14ac:dyDescent="0.2"/>
    <row r="47275" customFormat="1" x14ac:dyDescent="0.2"/>
    <row r="47276" customFormat="1" x14ac:dyDescent="0.2"/>
    <row r="47277" customFormat="1" x14ac:dyDescent="0.2"/>
    <row r="47278" customFormat="1" x14ac:dyDescent="0.2"/>
    <row r="47279" customFormat="1" x14ac:dyDescent="0.2"/>
    <row r="47280" customFormat="1" x14ac:dyDescent="0.2"/>
    <row r="47281" customFormat="1" x14ac:dyDescent="0.2"/>
    <row r="47282" customFormat="1" x14ac:dyDescent="0.2"/>
    <row r="47283" customFormat="1" x14ac:dyDescent="0.2"/>
    <row r="47284" customFormat="1" x14ac:dyDescent="0.2"/>
    <row r="47285" customFormat="1" x14ac:dyDescent="0.2"/>
    <row r="47286" customFormat="1" x14ac:dyDescent="0.2"/>
    <row r="47287" customFormat="1" x14ac:dyDescent="0.2"/>
    <row r="47288" customFormat="1" x14ac:dyDescent="0.2"/>
    <row r="47289" customFormat="1" x14ac:dyDescent="0.2"/>
    <row r="47290" customFormat="1" x14ac:dyDescent="0.2"/>
    <row r="47291" customFormat="1" x14ac:dyDescent="0.2"/>
    <row r="47292" customFormat="1" x14ac:dyDescent="0.2"/>
    <row r="47293" customFormat="1" x14ac:dyDescent="0.2"/>
    <row r="47294" customFormat="1" x14ac:dyDescent="0.2"/>
    <row r="47295" customFormat="1" x14ac:dyDescent="0.2"/>
    <row r="47296" customFormat="1" x14ac:dyDescent="0.2"/>
    <row r="47297" customFormat="1" x14ac:dyDescent="0.2"/>
    <row r="47298" customFormat="1" x14ac:dyDescent="0.2"/>
    <row r="47299" customFormat="1" x14ac:dyDescent="0.2"/>
    <row r="47300" customFormat="1" x14ac:dyDescent="0.2"/>
    <row r="47301" customFormat="1" x14ac:dyDescent="0.2"/>
    <row r="47302" customFormat="1" x14ac:dyDescent="0.2"/>
    <row r="47303" customFormat="1" x14ac:dyDescent="0.2"/>
    <row r="47304" customFormat="1" x14ac:dyDescent="0.2"/>
    <row r="47305" customFormat="1" x14ac:dyDescent="0.2"/>
    <row r="47306" customFormat="1" x14ac:dyDescent="0.2"/>
    <row r="47307" customFormat="1" x14ac:dyDescent="0.2"/>
    <row r="47308" customFormat="1" x14ac:dyDescent="0.2"/>
    <row r="47309" customFormat="1" x14ac:dyDescent="0.2"/>
    <row r="47310" customFormat="1" x14ac:dyDescent="0.2"/>
    <row r="47311" customFormat="1" x14ac:dyDescent="0.2"/>
    <row r="47312" customFormat="1" x14ac:dyDescent="0.2"/>
    <row r="47313" customFormat="1" x14ac:dyDescent="0.2"/>
    <row r="47314" customFormat="1" x14ac:dyDescent="0.2"/>
    <row r="47315" customFormat="1" x14ac:dyDescent="0.2"/>
    <row r="47316" customFormat="1" x14ac:dyDescent="0.2"/>
    <row r="47317" customFormat="1" x14ac:dyDescent="0.2"/>
    <row r="47318" customFormat="1" x14ac:dyDescent="0.2"/>
    <row r="47319" customFormat="1" x14ac:dyDescent="0.2"/>
    <row r="47320" customFormat="1" x14ac:dyDescent="0.2"/>
    <row r="47321" customFormat="1" x14ac:dyDescent="0.2"/>
    <row r="47322" customFormat="1" x14ac:dyDescent="0.2"/>
    <row r="47323" customFormat="1" x14ac:dyDescent="0.2"/>
    <row r="47324" customFormat="1" x14ac:dyDescent="0.2"/>
    <row r="47325" customFormat="1" x14ac:dyDescent="0.2"/>
    <row r="47326" customFormat="1" x14ac:dyDescent="0.2"/>
    <row r="47327" customFormat="1" x14ac:dyDescent="0.2"/>
    <row r="47328" customFormat="1" x14ac:dyDescent="0.2"/>
    <row r="47329" customFormat="1" x14ac:dyDescent="0.2"/>
    <row r="47330" customFormat="1" x14ac:dyDescent="0.2"/>
    <row r="47331" customFormat="1" x14ac:dyDescent="0.2"/>
    <row r="47332" customFormat="1" x14ac:dyDescent="0.2"/>
    <row r="47333" customFormat="1" x14ac:dyDescent="0.2"/>
    <row r="47334" customFormat="1" x14ac:dyDescent="0.2"/>
    <row r="47335" customFormat="1" x14ac:dyDescent="0.2"/>
    <row r="47336" customFormat="1" x14ac:dyDescent="0.2"/>
    <row r="47337" customFormat="1" x14ac:dyDescent="0.2"/>
    <row r="47338" customFormat="1" x14ac:dyDescent="0.2"/>
    <row r="47339" customFormat="1" x14ac:dyDescent="0.2"/>
    <row r="47340" customFormat="1" x14ac:dyDescent="0.2"/>
    <row r="47341" customFormat="1" x14ac:dyDescent="0.2"/>
    <row r="47342" customFormat="1" x14ac:dyDescent="0.2"/>
    <row r="47343" customFormat="1" x14ac:dyDescent="0.2"/>
    <row r="47344" customFormat="1" x14ac:dyDescent="0.2"/>
    <row r="47345" customFormat="1" x14ac:dyDescent="0.2"/>
    <row r="47346" customFormat="1" x14ac:dyDescent="0.2"/>
    <row r="47347" customFormat="1" x14ac:dyDescent="0.2"/>
    <row r="47348" customFormat="1" x14ac:dyDescent="0.2"/>
    <row r="47349" customFormat="1" x14ac:dyDescent="0.2"/>
    <row r="47350" customFormat="1" x14ac:dyDescent="0.2"/>
    <row r="47351" customFormat="1" x14ac:dyDescent="0.2"/>
    <row r="47352" customFormat="1" x14ac:dyDescent="0.2"/>
    <row r="47353" customFormat="1" x14ac:dyDescent="0.2"/>
    <row r="47354" customFormat="1" x14ac:dyDescent="0.2"/>
    <row r="47355" customFormat="1" x14ac:dyDescent="0.2"/>
    <row r="47356" customFormat="1" x14ac:dyDescent="0.2"/>
    <row r="47357" customFormat="1" x14ac:dyDescent="0.2"/>
    <row r="47358" customFormat="1" x14ac:dyDescent="0.2"/>
    <row r="47359" customFormat="1" x14ac:dyDescent="0.2"/>
    <row r="47360" customFormat="1" x14ac:dyDescent="0.2"/>
    <row r="47361" customFormat="1" x14ac:dyDescent="0.2"/>
    <row r="47362" customFormat="1" x14ac:dyDescent="0.2"/>
    <row r="47363" customFormat="1" x14ac:dyDescent="0.2"/>
    <row r="47364" customFormat="1" x14ac:dyDescent="0.2"/>
    <row r="47365" customFormat="1" x14ac:dyDescent="0.2"/>
    <row r="47366" customFormat="1" x14ac:dyDescent="0.2"/>
    <row r="47367" customFormat="1" x14ac:dyDescent="0.2"/>
    <row r="47368" customFormat="1" x14ac:dyDescent="0.2"/>
    <row r="47369" customFormat="1" x14ac:dyDescent="0.2"/>
    <row r="47370" customFormat="1" x14ac:dyDescent="0.2"/>
    <row r="47371" customFormat="1" x14ac:dyDescent="0.2"/>
    <row r="47372" customFormat="1" x14ac:dyDescent="0.2"/>
    <row r="47373" customFormat="1" x14ac:dyDescent="0.2"/>
    <row r="47374" customFormat="1" x14ac:dyDescent="0.2"/>
    <row r="47375" customFormat="1" x14ac:dyDescent="0.2"/>
    <row r="47376" customFormat="1" x14ac:dyDescent="0.2"/>
    <row r="47377" customFormat="1" x14ac:dyDescent="0.2"/>
    <row r="47378" customFormat="1" x14ac:dyDescent="0.2"/>
    <row r="47379" customFormat="1" x14ac:dyDescent="0.2"/>
    <row r="47380" customFormat="1" x14ac:dyDescent="0.2"/>
    <row r="47381" customFormat="1" x14ac:dyDescent="0.2"/>
    <row r="47382" customFormat="1" x14ac:dyDescent="0.2"/>
    <row r="47383" customFormat="1" x14ac:dyDescent="0.2"/>
    <row r="47384" customFormat="1" x14ac:dyDescent="0.2"/>
    <row r="47385" customFormat="1" x14ac:dyDescent="0.2"/>
    <row r="47386" customFormat="1" x14ac:dyDescent="0.2"/>
    <row r="47387" customFormat="1" x14ac:dyDescent="0.2"/>
    <row r="47388" customFormat="1" x14ac:dyDescent="0.2"/>
    <row r="47389" customFormat="1" x14ac:dyDescent="0.2"/>
    <row r="47390" customFormat="1" x14ac:dyDescent="0.2"/>
    <row r="47391" customFormat="1" x14ac:dyDescent="0.2"/>
    <row r="47392" customFormat="1" x14ac:dyDescent="0.2"/>
    <row r="47393" customFormat="1" x14ac:dyDescent="0.2"/>
    <row r="47394" customFormat="1" x14ac:dyDescent="0.2"/>
    <row r="47395" customFormat="1" x14ac:dyDescent="0.2"/>
    <row r="47396" customFormat="1" x14ac:dyDescent="0.2"/>
    <row r="47397" customFormat="1" x14ac:dyDescent="0.2"/>
    <row r="47398" customFormat="1" x14ac:dyDescent="0.2"/>
    <row r="47399" customFormat="1" x14ac:dyDescent="0.2"/>
    <row r="47400" customFormat="1" x14ac:dyDescent="0.2"/>
    <row r="47401" customFormat="1" x14ac:dyDescent="0.2"/>
    <row r="47402" customFormat="1" x14ac:dyDescent="0.2"/>
    <row r="47403" customFormat="1" x14ac:dyDescent="0.2"/>
    <row r="47404" customFormat="1" x14ac:dyDescent="0.2"/>
    <row r="47405" customFormat="1" x14ac:dyDescent="0.2"/>
    <row r="47406" customFormat="1" x14ac:dyDescent="0.2"/>
    <row r="47407" customFormat="1" x14ac:dyDescent="0.2"/>
    <row r="47408" customFormat="1" x14ac:dyDescent="0.2"/>
    <row r="47409" customFormat="1" x14ac:dyDescent="0.2"/>
    <row r="47410" customFormat="1" x14ac:dyDescent="0.2"/>
    <row r="47411" customFormat="1" x14ac:dyDescent="0.2"/>
    <row r="47412" customFormat="1" x14ac:dyDescent="0.2"/>
    <row r="47413" customFormat="1" x14ac:dyDescent="0.2"/>
    <row r="47414" customFormat="1" x14ac:dyDescent="0.2"/>
    <row r="47415" customFormat="1" x14ac:dyDescent="0.2"/>
    <row r="47416" customFormat="1" x14ac:dyDescent="0.2"/>
    <row r="47417" customFormat="1" x14ac:dyDescent="0.2"/>
    <row r="47418" customFormat="1" x14ac:dyDescent="0.2"/>
    <row r="47419" customFormat="1" x14ac:dyDescent="0.2"/>
    <row r="47420" customFormat="1" x14ac:dyDescent="0.2"/>
    <row r="47421" customFormat="1" x14ac:dyDescent="0.2"/>
    <row r="47422" customFormat="1" x14ac:dyDescent="0.2"/>
    <row r="47423" customFormat="1" x14ac:dyDescent="0.2"/>
    <row r="47424" customFormat="1" x14ac:dyDescent="0.2"/>
    <row r="47425" customFormat="1" x14ac:dyDescent="0.2"/>
    <row r="47426" customFormat="1" x14ac:dyDescent="0.2"/>
    <row r="47427" customFormat="1" x14ac:dyDescent="0.2"/>
    <row r="47428" customFormat="1" x14ac:dyDescent="0.2"/>
    <row r="47429" customFormat="1" x14ac:dyDescent="0.2"/>
    <row r="47430" customFormat="1" x14ac:dyDescent="0.2"/>
    <row r="47431" customFormat="1" x14ac:dyDescent="0.2"/>
    <row r="47432" customFormat="1" x14ac:dyDescent="0.2"/>
    <row r="47433" customFormat="1" x14ac:dyDescent="0.2"/>
    <row r="47434" customFormat="1" x14ac:dyDescent="0.2"/>
    <row r="47435" customFormat="1" x14ac:dyDescent="0.2"/>
    <row r="47436" customFormat="1" x14ac:dyDescent="0.2"/>
    <row r="47437" customFormat="1" x14ac:dyDescent="0.2"/>
    <row r="47438" customFormat="1" x14ac:dyDescent="0.2"/>
    <row r="47439" customFormat="1" x14ac:dyDescent="0.2"/>
    <row r="47440" customFormat="1" x14ac:dyDescent="0.2"/>
    <row r="47441" customFormat="1" x14ac:dyDescent="0.2"/>
    <row r="47442" customFormat="1" x14ac:dyDescent="0.2"/>
    <row r="47443" customFormat="1" x14ac:dyDescent="0.2"/>
    <row r="47444" customFormat="1" x14ac:dyDescent="0.2"/>
    <row r="47445" customFormat="1" x14ac:dyDescent="0.2"/>
    <row r="47446" customFormat="1" x14ac:dyDescent="0.2"/>
    <row r="47447" customFormat="1" x14ac:dyDescent="0.2"/>
    <row r="47448" customFormat="1" x14ac:dyDescent="0.2"/>
    <row r="47449" customFormat="1" x14ac:dyDescent="0.2"/>
    <row r="47450" customFormat="1" x14ac:dyDescent="0.2"/>
    <row r="47451" customFormat="1" x14ac:dyDescent="0.2"/>
    <row r="47452" customFormat="1" x14ac:dyDescent="0.2"/>
    <row r="47453" customFormat="1" x14ac:dyDescent="0.2"/>
    <row r="47454" customFormat="1" x14ac:dyDescent="0.2"/>
    <row r="47455" customFormat="1" x14ac:dyDescent="0.2"/>
    <row r="47456" customFormat="1" x14ac:dyDescent="0.2"/>
    <row r="47457" customFormat="1" x14ac:dyDescent="0.2"/>
    <row r="47458" customFormat="1" x14ac:dyDescent="0.2"/>
    <row r="47459" customFormat="1" x14ac:dyDescent="0.2"/>
    <row r="47460" customFormat="1" x14ac:dyDescent="0.2"/>
    <row r="47461" customFormat="1" x14ac:dyDescent="0.2"/>
    <row r="47462" customFormat="1" x14ac:dyDescent="0.2"/>
    <row r="47463" customFormat="1" x14ac:dyDescent="0.2"/>
    <row r="47464" customFormat="1" x14ac:dyDescent="0.2"/>
    <row r="47465" customFormat="1" x14ac:dyDescent="0.2"/>
    <row r="47466" customFormat="1" x14ac:dyDescent="0.2"/>
    <row r="47467" customFormat="1" x14ac:dyDescent="0.2"/>
    <row r="47468" customFormat="1" x14ac:dyDescent="0.2"/>
    <row r="47469" customFormat="1" x14ac:dyDescent="0.2"/>
    <row r="47470" customFormat="1" x14ac:dyDescent="0.2"/>
    <row r="47471" customFormat="1" x14ac:dyDescent="0.2"/>
    <row r="47472" customFormat="1" x14ac:dyDescent="0.2"/>
    <row r="47473" customFormat="1" x14ac:dyDescent="0.2"/>
    <row r="47474" customFormat="1" x14ac:dyDescent="0.2"/>
    <row r="47475" customFormat="1" x14ac:dyDescent="0.2"/>
    <row r="47476" customFormat="1" x14ac:dyDescent="0.2"/>
    <row r="47477" customFormat="1" x14ac:dyDescent="0.2"/>
    <row r="47478" customFormat="1" x14ac:dyDescent="0.2"/>
    <row r="47479" customFormat="1" x14ac:dyDescent="0.2"/>
    <row r="47480" customFormat="1" x14ac:dyDescent="0.2"/>
    <row r="47481" customFormat="1" x14ac:dyDescent="0.2"/>
    <row r="47482" customFormat="1" x14ac:dyDescent="0.2"/>
    <row r="47483" customFormat="1" x14ac:dyDescent="0.2"/>
    <row r="47484" customFormat="1" x14ac:dyDescent="0.2"/>
    <row r="47485" customFormat="1" x14ac:dyDescent="0.2"/>
    <row r="47486" customFormat="1" x14ac:dyDescent="0.2"/>
    <row r="47487" customFormat="1" x14ac:dyDescent="0.2"/>
    <row r="47488" customFormat="1" x14ac:dyDescent="0.2"/>
    <row r="47489" customFormat="1" x14ac:dyDescent="0.2"/>
    <row r="47490" customFormat="1" x14ac:dyDescent="0.2"/>
    <row r="47491" customFormat="1" x14ac:dyDescent="0.2"/>
    <row r="47492" customFormat="1" x14ac:dyDescent="0.2"/>
    <row r="47493" customFormat="1" x14ac:dyDescent="0.2"/>
    <row r="47494" customFormat="1" x14ac:dyDescent="0.2"/>
    <row r="47495" customFormat="1" x14ac:dyDescent="0.2"/>
    <row r="47496" customFormat="1" x14ac:dyDescent="0.2"/>
    <row r="47497" customFormat="1" x14ac:dyDescent="0.2"/>
    <row r="47498" customFormat="1" x14ac:dyDescent="0.2"/>
    <row r="47499" customFormat="1" x14ac:dyDescent="0.2"/>
    <row r="47500" customFormat="1" x14ac:dyDescent="0.2"/>
    <row r="47501" customFormat="1" x14ac:dyDescent="0.2"/>
    <row r="47502" customFormat="1" x14ac:dyDescent="0.2"/>
    <row r="47503" customFormat="1" x14ac:dyDescent="0.2"/>
    <row r="47504" customFormat="1" x14ac:dyDescent="0.2"/>
    <row r="47505" customFormat="1" x14ac:dyDescent="0.2"/>
    <row r="47506" customFormat="1" x14ac:dyDescent="0.2"/>
    <row r="47507" customFormat="1" x14ac:dyDescent="0.2"/>
    <row r="47508" customFormat="1" x14ac:dyDescent="0.2"/>
    <row r="47509" customFormat="1" x14ac:dyDescent="0.2"/>
    <row r="47510" customFormat="1" x14ac:dyDescent="0.2"/>
    <row r="47511" customFormat="1" x14ac:dyDescent="0.2"/>
    <row r="47512" customFormat="1" x14ac:dyDescent="0.2"/>
    <row r="47513" customFormat="1" x14ac:dyDescent="0.2"/>
    <row r="47514" customFormat="1" x14ac:dyDescent="0.2"/>
    <row r="47515" customFormat="1" x14ac:dyDescent="0.2"/>
    <row r="47516" customFormat="1" x14ac:dyDescent="0.2"/>
    <row r="47517" customFormat="1" x14ac:dyDescent="0.2"/>
    <row r="47518" customFormat="1" x14ac:dyDescent="0.2"/>
    <row r="47519" customFormat="1" x14ac:dyDescent="0.2"/>
    <row r="47520" customFormat="1" x14ac:dyDescent="0.2"/>
    <row r="47521" customFormat="1" x14ac:dyDescent="0.2"/>
    <row r="47522" customFormat="1" x14ac:dyDescent="0.2"/>
    <row r="47523" customFormat="1" x14ac:dyDescent="0.2"/>
    <row r="47524" customFormat="1" x14ac:dyDescent="0.2"/>
    <row r="47525" customFormat="1" x14ac:dyDescent="0.2"/>
    <row r="47526" customFormat="1" x14ac:dyDescent="0.2"/>
    <row r="47527" customFormat="1" x14ac:dyDescent="0.2"/>
    <row r="47528" customFormat="1" x14ac:dyDescent="0.2"/>
    <row r="47529" customFormat="1" x14ac:dyDescent="0.2"/>
    <row r="47530" customFormat="1" x14ac:dyDescent="0.2"/>
    <row r="47531" customFormat="1" x14ac:dyDescent="0.2"/>
    <row r="47532" customFormat="1" x14ac:dyDescent="0.2"/>
    <row r="47533" customFormat="1" x14ac:dyDescent="0.2"/>
    <row r="47534" customFormat="1" x14ac:dyDescent="0.2"/>
    <row r="47535" customFormat="1" x14ac:dyDescent="0.2"/>
    <row r="47536" customFormat="1" x14ac:dyDescent="0.2"/>
    <row r="47537" customFormat="1" x14ac:dyDescent="0.2"/>
    <row r="47538" customFormat="1" x14ac:dyDescent="0.2"/>
    <row r="47539" customFormat="1" x14ac:dyDescent="0.2"/>
    <row r="47540" customFormat="1" x14ac:dyDescent="0.2"/>
    <row r="47541" customFormat="1" x14ac:dyDescent="0.2"/>
    <row r="47542" customFormat="1" x14ac:dyDescent="0.2"/>
    <row r="47543" customFormat="1" x14ac:dyDescent="0.2"/>
    <row r="47544" customFormat="1" x14ac:dyDescent="0.2"/>
    <row r="47545" customFormat="1" x14ac:dyDescent="0.2"/>
    <row r="47546" customFormat="1" x14ac:dyDescent="0.2"/>
    <row r="47547" customFormat="1" x14ac:dyDescent="0.2"/>
    <row r="47548" customFormat="1" x14ac:dyDescent="0.2"/>
    <row r="47549" customFormat="1" x14ac:dyDescent="0.2"/>
    <row r="47550" customFormat="1" x14ac:dyDescent="0.2"/>
    <row r="47551" customFormat="1" x14ac:dyDescent="0.2"/>
    <row r="47552" customFormat="1" x14ac:dyDescent="0.2"/>
    <row r="47553" customFormat="1" x14ac:dyDescent="0.2"/>
    <row r="47554" customFormat="1" x14ac:dyDescent="0.2"/>
    <row r="47555" customFormat="1" x14ac:dyDescent="0.2"/>
    <row r="47556" customFormat="1" x14ac:dyDescent="0.2"/>
    <row r="47557" customFormat="1" x14ac:dyDescent="0.2"/>
    <row r="47558" customFormat="1" x14ac:dyDescent="0.2"/>
    <row r="47559" customFormat="1" x14ac:dyDescent="0.2"/>
    <row r="47560" customFormat="1" x14ac:dyDescent="0.2"/>
    <row r="47561" customFormat="1" x14ac:dyDescent="0.2"/>
    <row r="47562" customFormat="1" x14ac:dyDescent="0.2"/>
    <row r="47563" customFormat="1" x14ac:dyDescent="0.2"/>
    <row r="47564" customFormat="1" x14ac:dyDescent="0.2"/>
    <row r="47565" customFormat="1" x14ac:dyDescent="0.2"/>
    <row r="47566" customFormat="1" x14ac:dyDescent="0.2"/>
    <row r="47567" customFormat="1" x14ac:dyDescent="0.2"/>
    <row r="47568" customFormat="1" x14ac:dyDescent="0.2"/>
    <row r="47569" customFormat="1" x14ac:dyDescent="0.2"/>
    <row r="47570" customFormat="1" x14ac:dyDescent="0.2"/>
    <row r="47571" customFormat="1" x14ac:dyDescent="0.2"/>
    <row r="47572" customFormat="1" x14ac:dyDescent="0.2"/>
    <row r="47573" customFormat="1" x14ac:dyDescent="0.2"/>
    <row r="47574" customFormat="1" x14ac:dyDescent="0.2"/>
    <row r="47575" customFormat="1" x14ac:dyDescent="0.2"/>
    <row r="47576" customFormat="1" x14ac:dyDescent="0.2"/>
    <row r="47577" customFormat="1" x14ac:dyDescent="0.2"/>
    <row r="47578" customFormat="1" x14ac:dyDescent="0.2"/>
    <row r="47579" customFormat="1" x14ac:dyDescent="0.2"/>
    <row r="47580" customFormat="1" x14ac:dyDescent="0.2"/>
    <row r="47581" customFormat="1" x14ac:dyDescent="0.2"/>
    <row r="47582" customFormat="1" x14ac:dyDescent="0.2"/>
    <row r="47583" customFormat="1" x14ac:dyDescent="0.2"/>
    <row r="47584" customFormat="1" x14ac:dyDescent="0.2"/>
    <row r="47585" customFormat="1" x14ac:dyDescent="0.2"/>
    <row r="47586" customFormat="1" x14ac:dyDescent="0.2"/>
    <row r="47587" customFormat="1" x14ac:dyDescent="0.2"/>
    <row r="47588" customFormat="1" x14ac:dyDescent="0.2"/>
    <row r="47589" customFormat="1" x14ac:dyDescent="0.2"/>
    <row r="47590" customFormat="1" x14ac:dyDescent="0.2"/>
    <row r="47591" customFormat="1" x14ac:dyDescent="0.2"/>
    <row r="47592" customFormat="1" x14ac:dyDescent="0.2"/>
    <row r="47593" customFormat="1" x14ac:dyDescent="0.2"/>
    <row r="47594" customFormat="1" x14ac:dyDescent="0.2"/>
    <row r="47595" customFormat="1" x14ac:dyDescent="0.2"/>
    <row r="47596" customFormat="1" x14ac:dyDescent="0.2"/>
    <row r="47597" customFormat="1" x14ac:dyDescent="0.2"/>
    <row r="47598" customFormat="1" x14ac:dyDescent="0.2"/>
    <row r="47599" customFormat="1" x14ac:dyDescent="0.2"/>
    <row r="47600" customFormat="1" x14ac:dyDescent="0.2"/>
    <row r="47601" customFormat="1" x14ac:dyDescent="0.2"/>
    <row r="47602" customFormat="1" x14ac:dyDescent="0.2"/>
    <row r="47603" customFormat="1" x14ac:dyDescent="0.2"/>
    <row r="47604" customFormat="1" x14ac:dyDescent="0.2"/>
    <row r="47605" customFormat="1" x14ac:dyDescent="0.2"/>
    <row r="47606" customFormat="1" x14ac:dyDescent="0.2"/>
    <row r="47607" customFormat="1" x14ac:dyDescent="0.2"/>
    <row r="47608" customFormat="1" x14ac:dyDescent="0.2"/>
    <row r="47609" customFormat="1" x14ac:dyDescent="0.2"/>
    <row r="47610" customFormat="1" x14ac:dyDescent="0.2"/>
    <row r="47611" customFormat="1" x14ac:dyDescent="0.2"/>
    <row r="47612" customFormat="1" x14ac:dyDescent="0.2"/>
    <row r="47613" customFormat="1" x14ac:dyDescent="0.2"/>
    <row r="47614" customFormat="1" x14ac:dyDescent="0.2"/>
    <row r="47615" customFormat="1" x14ac:dyDescent="0.2"/>
    <row r="47616" customFormat="1" x14ac:dyDescent="0.2"/>
    <row r="47617" customFormat="1" x14ac:dyDescent="0.2"/>
    <row r="47618" customFormat="1" x14ac:dyDescent="0.2"/>
    <row r="47619" customFormat="1" x14ac:dyDescent="0.2"/>
    <row r="47620" customFormat="1" x14ac:dyDescent="0.2"/>
    <row r="47621" customFormat="1" x14ac:dyDescent="0.2"/>
    <row r="47622" customFormat="1" x14ac:dyDescent="0.2"/>
    <row r="47623" customFormat="1" x14ac:dyDescent="0.2"/>
    <row r="47624" customFormat="1" x14ac:dyDescent="0.2"/>
    <row r="47625" customFormat="1" x14ac:dyDescent="0.2"/>
    <row r="47626" customFormat="1" x14ac:dyDescent="0.2"/>
    <row r="47627" customFormat="1" x14ac:dyDescent="0.2"/>
    <row r="47628" customFormat="1" x14ac:dyDescent="0.2"/>
    <row r="47629" customFormat="1" x14ac:dyDescent="0.2"/>
    <row r="47630" customFormat="1" x14ac:dyDescent="0.2"/>
    <row r="47631" customFormat="1" x14ac:dyDescent="0.2"/>
    <row r="47632" customFormat="1" x14ac:dyDescent="0.2"/>
    <row r="47633" customFormat="1" x14ac:dyDescent="0.2"/>
    <row r="47634" customFormat="1" x14ac:dyDescent="0.2"/>
    <row r="47635" customFormat="1" x14ac:dyDescent="0.2"/>
    <row r="47636" customFormat="1" x14ac:dyDescent="0.2"/>
    <row r="47637" customFormat="1" x14ac:dyDescent="0.2"/>
    <row r="47638" customFormat="1" x14ac:dyDescent="0.2"/>
    <row r="47639" customFormat="1" x14ac:dyDescent="0.2"/>
    <row r="47640" customFormat="1" x14ac:dyDescent="0.2"/>
    <row r="47641" customFormat="1" x14ac:dyDescent="0.2"/>
    <row r="47642" customFormat="1" x14ac:dyDescent="0.2"/>
    <row r="47643" customFormat="1" x14ac:dyDescent="0.2"/>
    <row r="47644" customFormat="1" x14ac:dyDescent="0.2"/>
    <row r="47645" customFormat="1" x14ac:dyDescent="0.2"/>
    <row r="47646" customFormat="1" x14ac:dyDescent="0.2"/>
    <row r="47647" customFormat="1" x14ac:dyDescent="0.2"/>
    <row r="47648" customFormat="1" x14ac:dyDescent="0.2"/>
    <row r="47649" customFormat="1" x14ac:dyDescent="0.2"/>
    <row r="47650" customFormat="1" x14ac:dyDescent="0.2"/>
    <row r="47651" customFormat="1" x14ac:dyDescent="0.2"/>
    <row r="47652" customFormat="1" x14ac:dyDescent="0.2"/>
    <row r="47653" customFormat="1" x14ac:dyDescent="0.2"/>
    <row r="47654" customFormat="1" x14ac:dyDescent="0.2"/>
    <row r="47655" customFormat="1" x14ac:dyDescent="0.2"/>
    <row r="47656" customFormat="1" x14ac:dyDescent="0.2"/>
    <row r="47657" customFormat="1" x14ac:dyDescent="0.2"/>
    <row r="47658" customFormat="1" x14ac:dyDescent="0.2"/>
    <row r="47659" customFormat="1" x14ac:dyDescent="0.2"/>
    <row r="47660" customFormat="1" x14ac:dyDescent="0.2"/>
    <row r="47661" customFormat="1" x14ac:dyDescent="0.2"/>
    <row r="47662" customFormat="1" x14ac:dyDescent="0.2"/>
    <row r="47663" customFormat="1" x14ac:dyDescent="0.2"/>
    <row r="47664" customFormat="1" x14ac:dyDescent="0.2"/>
    <row r="47665" customFormat="1" x14ac:dyDescent="0.2"/>
    <row r="47666" customFormat="1" x14ac:dyDescent="0.2"/>
    <row r="47667" customFormat="1" x14ac:dyDescent="0.2"/>
    <row r="47668" customFormat="1" x14ac:dyDescent="0.2"/>
    <row r="47669" customFormat="1" x14ac:dyDescent="0.2"/>
    <row r="47670" customFormat="1" x14ac:dyDescent="0.2"/>
    <row r="47671" customFormat="1" x14ac:dyDescent="0.2"/>
    <row r="47672" customFormat="1" x14ac:dyDescent="0.2"/>
    <row r="47673" customFormat="1" x14ac:dyDescent="0.2"/>
    <row r="47674" customFormat="1" x14ac:dyDescent="0.2"/>
    <row r="47675" customFormat="1" x14ac:dyDescent="0.2"/>
    <row r="47676" customFormat="1" x14ac:dyDescent="0.2"/>
    <row r="47677" customFormat="1" x14ac:dyDescent="0.2"/>
    <row r="47678" customFormat="1" x14ac:dyDescent="0.2"/>
    <row r="47679" customFormat="1" x14ac:dyDescent="0.2"/>
    <row r="47680" customFormat="1" x14ac:dyDescent="0.2"/>
    <row r="47681" customFormat="1" x14ac:dyDescent="0.2"/>
    <row r="47682" customFormat="1" x14ac:dyDescent="0.2"/>
    <row r="47683" customFormat="1" x14ac:dyDescent="0.2"/>
    <row r="47684" customFormat="1" x14ac:dyDescent="0.2"/>
    <row r="47685" customFormat="1" x14ac:dyDescent="0.2"/>
    <row r="47686" customFormat="1" x14ac:dyDescent="0.2"/>
    <row r="47687" customFormat="1" x14ac:dyDescent="0.2"/>
    <row r="47688" customFormat="1" x14ac:dyDescent="0.2"/>
    <row r="47689" customFormat="1" x14ac:dyDescent="0.2"/>
    <row r="47690" customFormat="1" x14ac:dyDescent="0.2"/>
    <row r="47691" customFormat="1" x14ac:dyDescent="0.2"/>
    <row r="47692" customFormat="1" x14ac:dyDescent="0.2"/>
    <row r="47693" customFormat="1" x14ac:dyDescent="0.2"/>
    <row r="47694" customFormat="1" x14ac:dyDescent="0.2"/>
    <row r="47695" customFormat="1" x14ac:dyDescent="0.2"/>
    <row r="47696" customFormat="1" x14ac:dyDescent="0.2"/>
    <row r="47697" customFormat="1" x14ac:dyDescent="0.2"/>
    <row r="47698" customFormat="1" x14ac:dyDescent="0.2"/>
    <row r="47699" customFormat="1" x14ac:dyDescent="0.2"/>
    <row r="47700" customFormat="1" x14ac:dyDescent="0.2"/>
    <row r="47701" customFormat="1" x14ac:dyDescent="0.2"/>
    <row r="47702" customFormat="1" x14ac:dyDescent="0.2"/>
    <row r="47703" customFormat="1" x14ac:dyDescent="0.2"/>
    <row r="47704" customFormat="1" x14ac:dyDescent="0.2"/>
    <row r="47705" customFormat="1" x14ac:dyDescent="0.2"/>
    <row r="47706" customFormat="1" x14ac:dyDescent="0.2"/>
    <row r="47707" customFormat="1" x14ac:dyDescent="0.2"/>
    <row r="47708" customFormat="1" x14ac:dyDescent="0.2"/>
    <row r="47709" customFormat="1" x14ac:dyDescent="0.2"/>
    <row r="47710" customFormat="1" x14ac:dyDescent="0.2"/>
    <row r="47711" customFormat="1" x14ac:dyDescent="0.2"/>
    <row r="47712" customFormat="1" x14ac:dyDescent="0.2"/>
    <row r="47713" customFormat="1" x14ac:dyDescent="0.2"/>
    <row r="47714" customFormat="1" x14ac:dyDescent="0.2"/>
    <row r="47715" customFormat="1" x14ac:dyDescent="0.2"/>
    <row r="47716" customFormat="1" x14ac:dyDescent="0.2"/>
    <row r="47717" customFormat="1" x14ac:dyDescent="0.2"/>
    <row r="47718" customFormat="1" x14ac:dyDescent="0.2"/>
    <row r="47719" customFormat="1" x14ac:dyDescent="0.2"/>
    <row r="47720" customFormat="1" x14ac:dyDescent="0.2"/>
    <row r="47721" customFormat="1" x14ac:dyDescent="0.2"/>
    <row r="47722" customFormat="1" x14ac:dyDescent="0.2"/>
    <row r="47723" customFormat="1" x14ac:dyDescent="0.2"/>
    <row r="47724" customFormat="1" x14ac:dyDescent="0.2"/>
    <row r="47725" customFormat="1" x14ac:dyDescent="0.2"/>
    <row r="47726" customFormat="1" x14ac:dyDescent="0.2"/>
    <row r="47727" customFormat="1" x14ac:dyDescent="0.2"/>
    <row r="47728" customFormat="1" x14ac:dyDescent="0.2"/>
    <row r="47729" customFormat="1" x14ac:dyDescent="0.2"/>
    <row r="47730" customFormat="1" x14ac:dyDescent="0.2"/>
    <row r="47731" customFormat="1" x14ac:dyDescent="0.2"/>
    <row r="47732" customFormat="1" x14ac:dyDescent="0.2"/>
    <row r="47733" customFormat="1" x14ac:dyDescent="0.2"/>
    <row r="47734" customFormat="1" x14ac:dyDescent="0.2"/>
    <row r="47735" customFormat="1" x14ac:dyDescent="0.2"/>
    <row r="47736" customFormat="1" x14ac:dyDescent="0.2"/>
    <row r="47737" customFormat="1" x14ac:dyDescent="0.2"/>
    <row r="47738" customFormat="1" x14ac:dyDescent="0.2"/>
    <row r="47739" customFormat="1" x14ac:dyDescent="0.2"/>
    <row r="47740" customFormat="1" x14ac:dyDescent="0.2"/>
    <row r="47741" customFormat="1" x14ac:dyDescent="0.2"/>
    <row r="47742" customFormat="1" x14ac:dyDescent="0.2"/>
    <row r="47743" customFormat="1" x14ac:dyDescent="0.2"/>
    <row r="47744" customFormat="1" x14ac:dyDescent="0.2"/>
    <row r="47745" customFormat="1" x14ac:dyDescent="0.2"/>
    <row r="47746" customFormat="1" x14ac:dyDescent="0.2"/>
    <row r="47747" customFormat="1" x14ac:dyDescent="0.2"/>
    <row r="47748" customFormat="1" x14ac:dyDescent="0.2"/>
    <row r="47749" customFormat="1" x14ac:dyDescent="0.2"/>
    <row r="47750" customFormat="1" x14ac:dyDescent="0.2"/>
    <row r="47751" customFormat="1" x14ac:dyDescent="0.2"/>
    <row r="47752" customFormat="1" x14ac:dyDescent="0.2"/>
    <row r="47753" customFormat="1" x14ac:dyDescent="0.2"/>
    <row r="47754" customFormat="1" x14ac:dyDescent="0.2"/>
    <row r="47755" customFormat="1" x14ac:dyDescent="0.2"/>
    <row r="47756" customFormat="1" x14ac:dyDescent="0.2"/>
    <row r="47757" customFormat="1" x14ac:dyDescent="0.2"/>
    <row r="47758" customFormat="1" x14ac:dyDescent="0.2"/>
    <row r="47759" customFormat="1" x14ac:dyDescent="0.2"/>
    <row r="47760" customFormat="1" x14ac:dyDescent="0.2"/>
    <row r="47761" customFormat="1" x14ac:dyDescent="0.2"/>
    <row r="47762" customFormat="1" x14ac:dyDescent="0.2"/>
    <row r="47763" customFormat="1" x14ac:dyDescent="0.2"/>
    <row r="47764" customFormat="1" x14ac:dyDescent="0.2"/>
    <row r="47765" customFormat="1" x14ac:dyDescent="0.2"/>
    <row r="47766" customFormat="1" x14ac:dyDescent="0.2"/>
    <row r="47767" customFormat="1" x14ac:dyDescent="0.2"/>
    <row r="47768" customFormat="1" x14ac:dyDescent="0.2"/>
    <row r="47769" customFormat="1" x14ac:dyDescent="0.2"/>
    <row r="47770" customFormat="1" x14ac:dyDescent="0.2"/>
    <row r="47771" customFormat="1" x14ac:dyDescent="0.2"/>
    <row r="47772" customFormat="1" x14ac:dyDescent="0.2"/>
    <row r="47773" customFormat="1" x14ac:dyDescent="0.2"/>
    <row r="47774" customFormat="1" x14ac:dyDescent="0.2"/>
    <row r="47775" customFormat="1" x14ac:dyDescent="0.2"/>
    <row r="47776" customFormat="1" x14ac:dyDescent="0.2"/>
    <row r="47777" customFormat="1" x14ac:dyDescent="0.2"/>
    <row r="47778" customFormat="1" x14ac:dyDescent="0.2"/>
    <row r="47779" customFormat="1" x14ac:dyDescent="0.2"/>
    <row r="47780" customFormat="1" x14ac:dyDescent="0.2"/>
    <row r="47781" customFormat="1" x14ac:dyDescent="0.2"/>
    <row r="47782" customFormat="1" x14ac:dyDescent="0.2"/>
    <row r="47783" customFormat="1" x14ac:dyDescent="0.2"/>
    <row r="47784" customFormat="1" x14ac:dyDescent="0.2"/>
    <row r="47785" customFormat="1" x14ac:dyDescent="0.2"/>
    <row r="47786" customFormat="1" x14ac:dyDescent="0.2"/>
    <row r="47787" customFormat="1" x14ac:dyDescent="0.2"/>
    <row r="47788" customFormat="1" x14ac:dyDescent="0.2"/>
    <row r="47789" customFormat="1" x14ac:dyDescent="0.2"/>
    <row r="47790" customFormat="1" x14ac:dyDescent="0.2"/>
    <row r="47791" customFormat="1" x14ac:dyDescent="0.2"/>
    <row r="47792" customFormat="1" x14ac:dyDescent="0.2"/>
    <row r="47793" customFormat="1" x14ac:dyDescent="0.2"/>
    <row r="47794" customFormat="1" x14ac:dyDescent="0.2"/>
    <row r="47795" customFormat="1" x14ac:dyDescent="0.2"/>
    <row r="47796" customFormat="1" x14ac:dyDescent="0.2"/>
    <row r="47797" customFormat="1" x14ac:dyDescent="0.2"/>
    <row r="47798" customFormat="1" x14ac:dyDescent="0.2"/>
    <row r="47799" customFormat="1" x14ac:dyDescent="0.2"/>
    <row r="47800" customFormat="1" x14ac:dyDescent="0.2"/>
    <row r="47801" customFormat="1" x14ac:dyDescent="0.2"/>
    <row r="47802" customFormat="1" x14ac:dyDescent="0.2"/>
    <row r="47803" customFormat="1" x14ac:dyDescent="0.2"/>
    <row r="47804" customFormat="1" x14ac:dyDescent="0.2"/>
    <row r="47805" customFormat="1" x14ac:dyDescent="0.2"/>
    <row r="47806" customFormat="1" x14ac:dyDescent="0.2"/>
    <row r="47807" customFormat="1" x14ac:dyDescent="0.2"/>
    <row r="47808" customFormat="1" x14ac:dyDescent="0.2"/>
    <row r="47809" customFormat="1" x14ac:dyDescent="0.2"/>
    <row r="47810" customFormat="1" x14ac:dyDescent="0.2"/>
    <row r="47811" customFormat="1" x14ac:dyDescent="0.2"/>
    <row r="47812" customFormat="1" x14ac:dyDescent="0.2"/>
    <row r="47813" customFormat="1" x14ac:dyDescent="0.2"/>
    <row r="47814" customFormat="1" x14ac:dyDescent="0.2"/>
    <row r="47815" customFormat="1" x14ac:dyDescent="0.2"/>
    <row r="47816" customFormat="1" x14ac:dyDescent="0.2"/>
    <row r="47817" customFormat="1" x14ac:dyDescent="0.2"/>
    <row r="47818" customFormat="1" x14ac:dyDescent="0.2"/>
    <row r="47819" customFormat="1" x14ac:dyDescent="0.2"/>
    <row r="47820" customFormat="1" x14ac:dyDescent="0.2"/>
    <row r="47821" customFormat="1" x14ac:dyDescent="0.2"/>
    <row r="47822" customFormat="1" x14ac:dyDescent="0.2"/>
    <row r="47823" customFormat="1" x14ac:dyDescent="0.2"/>
    <row r="47824" customFormat="1" x14ac:dyDescent="0.2"/>
    <row r="47825" customFormat="1" x14ac:dyDescent="0.2"/>
    <row r="47826" customFormat="1" x14ac:dyDescent="0.2"/>
    <row r="47827" customFormat="1" x14ac:dyDescent="0.2"/>
    <row r="47828" customFormat="1" x14ac:dyDescent="0.2"/>
    <row r="47829" customFormat="1" x14ac:dyDescent="0.2"/>
    <row r="47830" customFormat="1" x14ac:dyDescent="0.2"/>
    <row r="47831" customFormat="1" x14ac:dyDescent="0.2"/>
    <row r="47832" customFormat="1" x14ac:dyDescent="0.2"/>
    <row r="47833" customFormat="1" x14ac:dyDescent="0.2"/>
    <row r="47834" customFormat="1" x14ac:dyDescent="0.2"/>
    <row r="47835" customFormat="1" x14ac:dyDescent="0.2"/>
    <row r="47836" customFormat="1" x14ac:dyDescent="0.2"/>
    <row r="47837" customFormat="1" x14ac:dyDescent="0.2"/>
    <row r="47838" customFormat="1" x14ac:dyDescent="0.2"/>
    <row r="47839" customFormat="1" x14ac:dyDescent="0.2"/>
    <row r="47840" customFormat="1" x14ac:dyDescent="0.2"/>
    <row r="47841" customFormat="1" x14ac:dyDescent="0.2"/>
    <row r="47842" customFormat="1" x14ac:dyDescent="0.2"/>
    <row r="47843" customFormat="1" x14ac:dyDescent="0.2"/>
    <row r="47844" customFormat="1" x14ac:dyDescent="0.2"/>
    <row r="47845" customFormat="1" x14ac:dyDescent="0.2"/>
    <row r="47846" customFormat="1" x14ac:dyDescent="0.2"/>
    <row r="47847" customFormat="1" x14ac:dyDescent="0.2"/>
    <row r="47848" customFormat="1" x14ac:dyDescent="0.2"/>
    <row r="47849" customFormat="1" x14ac:dyDescent="0.2"/>
    <row r="47850" customFormat="1" x14ac:dyDescent="0.2"/>
    <row r="47851" customFormat="1" x14ac:dyDescent="0.2"/>
    <row r="47852" customFormat="1" x14ac:dyDescent="0.2"/>
    <row r="47853" customFormat="1" x14ac:dyDescent="0.2"/>
    <row r="47854" customFormat="1" x14ac:dyDescent="0.2"/>
    <row r="47855" customFormat="1" x14ac:dyDescent="0.2"/>
    <row r="47856" customFormat="1" x14ac:dyDescent="0.2"/>
    <row r="47857" customFormat="1" x14ac:dyDescent="0.2"/>
    <row r="47858" customFormat="1" x14ac:dyDescent="0.2"/>
    <row r="47859" customFormat="1" x14ac:dyDescent="0.2"/>
    <row r="47860" customFormat="1" x14ac:dyDescent="0.2"/>
    <row r="47861" customFormat="1" x14ac:dyDescent="0.2"/>
    <row r="47862" customFormat="1" x14ac:dyDescent="0.2"/>
    <row r="47863" customFormat="1" x14ac:dyDescent="0.2"/>
    <row r="47864" customFormat="1" x14ac:dyDescent="0.2"/>
    <row r="47865" customFormat="1" x14ac:dyDescent="0.2"/>
    <row r="47866" customFormat="1" x14ac:dyDescent="0.2"/>
    <row r="47867" customFormat="1" x14ac:dyDescent="0.2"/>
    <row r="47868" customFormat="1" x14ac:dyDescent="0.2"/>
    <row r="47869" customFormat="1" x14ac:dyDescent="0.2"/>
    <row r="47870" customFormat="1" x14ac:dyDescent="0.2"/>
    <row r="47871" customFormat="1" x14ac:dyDescent="0.2"/>
    <row r="47872" customFormat="1" x14ac:dyDescent="0.2"/>
    <row r="47873" customFormat="1" x14ac:dyDescent="0.2"/>
    <row r="47874" customFormat="1" x14ac:dyDescent="0.2"/>
    <row r="47875" customFormat="1" x14ac:dyDescent="0.2"/>
    <row r="47876" customFormat="1" x14ac:dyDescent="0.2"/>
    <row r="47877" customFormat="1" x14ac:dyDescent="0.2"/>
    <row r="47878" customFormat="1" x14ac:dyDescent="0.2"/>
    <row r="47879" customFormat="1" x14ac:dyDescent="0.2"/>
    <row r="47880" customFormat="1" x14ac:dyDescent="0.2"/>
    <row r="47881" customFormat="1" x14ac:dyDescent="0.2"/>
    <row r="47882" customFormat="1" x14ac:dyDescent="0.2"/>
    <row r="47883" customFormat="1" x14ac:dyDescent="0.2"/>
    <row r="47884" customFormat="1" x14ac:dyDescent="0.2"/>
    <row r="47885" customFormat="1" x14ac:dyDescent="0.2"/>
    <row r="47886" customFormat="1" x14ac:dyDescent="0.2"/>
    <row r="47887" customFormat="1" x14ac:dyDescent="0.2"/>
    <row r="47888" customFormat="1" x14ac:dyDescent="0.2"/>
    <row r="47889" customFormat="1" x14ac:dyDescent="0.2"/>
    <row r="47890" customFormat="1" x14ac:dyDescent="0.2"/>
    <row r="47891" customFormat="1" x14ac:dyDescent="0.2"/>
    <row r="47892" customFormat="1" x14ac:dyDescent="0.2"/>
    <row r="47893" customFormat="1" x14ac:dyDescent="0.2"/>
    <row r="47894" customFormat="1" x14ac:dyDescent="0.2"/>
    <row r="47895" customFormat="1" x14ac:dyDescent="0.2"/>
    <row r="47896" customFormat="1" x14ac:dyDescent="0.2"/>
    <row r="47897" customFormat="1" x14ac:dyDescent="0.2"/>
    <row r="47898" customFormat="1" x14ac:dyDescent="0.2"/>
    <row r="47899" customFormat="1" x14ac:dyDescent="0.2"/>
    <row r="47900" customFormat="1" x14ac:dyDescent="0.2"/>
    <row r="47901" customFormat="1" x14ac:dyDescent="0.2"/>
    <row r="47902" customFormat="1" x14ac:dyDescent="0.2"/>
    <row r="47903" customFormat="1" x14ac:dyDescent="0.2"/>
    <row r="47904" customFormat="1" x14ac:dyDescent="0.2"/>
    <row r="47905" customFormat="1" x14ac:dyDescent="0.2"/>
    <row r="47906" customFormat="1" x14ac:dyDescent="0.2"/>
    <row r="47907" customFormat="1" x14ac:dyDescent="0.2"/>
    <row r="47908" customFormat="1" x14ac:dyDescent="0.2"/>
    <row r="47909" customFormat="1" x14ac:dyDescent="0.2"/>
    <row r="47910" customFormat="1" x14ac:dyDescent="0.2"/>
    <row r="47911" customFormat="1" x14ac:dyDescent="0.2"/>
    <row r="47912" customFormat="1" x14ac:dyDescent="0.2"/>
    <row r="47913" customFormat="1" x14ac:dyDescent="0.2"/>
    <row r="47914" customFormat="1" x14ac:dyDescent="0.2"/>
    <row r="47915" customFormat="1" x14ac:dyDescent="0.2"/>
    <row r="47916" customFormat="1" x14ac:dyDescent="0.2"/>
    <row r="47917" customFormat="1" x14ac:dyDescent="0.2"/>
    <row r="47918" customFormat="1" x14ac:dyDescent="0.2"/>
    <row r="47919" customFormat="1" x14ac:dyDescent="0.2"/>
    <row r="47920" customFormat="1" x14ac:dyDescent="0.2"/>
    <row r="47921" customFormat="1" x14ac:dyDescent="0.2"/>
    <row r="47922" customFormat="1" x14ac:dyDescent="0.2"/>
    <row r="47923" customFormat="1" x14ac:dyDescent="0.2"/>
    <row r="47924" customFormat="1" x14ac:dyDescent="0.2"/>
    <row r="47925" customFormat="1" x14ac:dyDescent="0.2"/>
    <row r="47926" customFormat="1" x14ac:dyDescent="0.2"/>
    <row r="47927" customFormat="1" x14ac:dyDescent="0.2"/>
    <row r="47928" customFormat="1" x14ac:dyDescent="0.2"/>
    <row r="47929" customFormat="1" x14ac:dyDescent="0.2"/>
    <row r="47930" customFormat="1" x14ac:dyDescent="0.2"/>
    <row r="47931" customFormat="1" x14ac:dyDescent="0.2"/>
    <row r="47932" customFormat="1" x14ac:dyDescent="0.2"/>
    <row r="47933" customFormat="1" x14ac:dyDescent="0.2"/>
    <row r="47934" customFormat="1" x14ac:dyDescent="0.2"/>
    <row r="47935" customFormat="1" x14ac:dyDescent="0.2"/>
    <row r="47936" customFormat="1" x14ac:dyDescent="0.2"/>
    <row r="47937" customFormat="1" x14ac:dyDescent="0.2"/>
    <row r="47938" customFormat="1" x14ac:dyDescent="0.2"/>
    <row r="47939" customFormat="1" x14ac:dyDescent="0.2"/>
    <row r="47940" customFormat="1" x14ac:dyDescent="0.2"/>
    <row r="47941" customFormat="1" x14ac:dyDescent="0.2"/>
    <row r="47942" customFormat="1" x14ac:dyDescent="0.2"/>
    <row r="47943" customFormat="1" x14ac:dyDescent="0.2"/>
    <row r="47944" customFormat="1" x14ac:dyDescent="0.2"/>
    <row r="47945" customFormat="1" x14ac:dyDescent="0.2"/>
    <row r="47946" customFormat="1" x14ac:dyDescent="0.2"/>
    <row r="47947" customFormat="1" x14ac:dyDescent="0.2"/>
    <row r="47948" customFormat="1" x14ac:dyDescent="0.2"/>
    <row r="47949" customFormat="1" x14ac:dyDescent="0.2"/>
    <row r="47950" customFormat="1" x14ac:dyDescent="0.2"/>
    <row r="47951" customFormat="1" x14ac:dyDescent="0.2"/>
    <row r="47952" customFormat="1" x14ac:dyDescent="0.2"/>
    <row r="47953" customFormat="1" x14ac:dyDescent="0.2"/>
    <row r="47954" customFormat="1" x14ac:dyDescent="0.2"/>
    <row r="47955" customFormat="1" x14ac:dyDescent="0.2"/>
    <row r="47956" customFormat="1" x14ac:dyDescent="0.2"/>
    <row r="47957" customFormat="1" x14ac:dyDescent="0.2"/>
    <row r="47958" customFormat="1" x14ac:dyDescent="0.2"/>
    <row r="47959" customFormat="1" x14ac:dyDescent="0.2"/>
    <row r="47960" customFormat="1" x14ac:dyDescent="0.2"/>
    <row r="47961" customFormat="1" x14ac:dyDescent="0.2"/>
    <row r="47962" customFormat="1" x14ac:dyDescent="0.2"/>
    <row r="47963" customFormat="1" x14ac:dyDescent="0.2"/>
    <row r="47964" customFormat="1" x14ac:dyDescent="0.2"/>
    <row r="47965" customFormat="1" x14ac:dyDescent="0.2"/>
    <row r="47966" customFormat="1" x14ac:dyDescent="0.2"/>
    <row r="47967" customFormat="1" x14ac:dyDescent="0.2"/>
    <row r="47968" customFormat="1" x14ac:dyDescent="0.2"/>
    <row r="47969" customFormat="1" x14ac:dyDescent="0.2"/>
    <row r="47970" customFormat="1" x14ac:dyDescent="0.2"/>
    <row r="47971" customFormat="1" x14ac:dyDescent="0.2"/>
    <row r="47972" customFormat="1" x14ac:dyDescent="0.2"/>
    <row r="47973" customFormat="1" x14ac:dyDescent="0.2"/>
    <row r="47974" customFormat="1" x14ac:dyDescent="0.2"/>
    <row r="47975" customFormat="1" x14ac:dyDescent="0.2"/>
    <row r="47976" customFormat="1" x14ac:dyDescent="0.2"/>
    <row r="47977" customFormat="1" x14ac:dyDescent="0.2"/>
    <row r="47978" customFormat="1" x14ac:dyDescent="0.2"/>
    <row r="47979" customFormat="1" x14ac:dyDescent="0.2"/>
    <row r="47980" customFormat="1" x14ac:dyDescent="0.2"/>
    <row r="47981" customFormat="1" x14ac:dyDescent="0.2"/>
    <row r="47982" customFormat="1" x14ac:dyDescent="0.2"/>
    <row r="47983" customFormat="1" x14ac:dyDescent="0.2"/>
    <row r="47984" customFormat="1" x14ac:dyDescent="0.2"/>
    <row r="47985" customFormat="1" x14ac:dyDescent="0.2"/>
    <row r="47986" customFormat="1" x14ac:dyDescent="0.2"/>
    <row r="47987" customFormat="1" x14ac:dyDescent="0.2"/>
    <row r="47988" customFormat="1" x14ac:dyDescent="0.2"/>
    <row r="47989" customFormat="1" x14ac:dyDescent="0.2"/>
    <row r="47990" customFormat="1" x14ac:dyDescent="0.2"/>
    <row r="47991" customFormat="1" x14ac:dyDescent="0.2"/>
    <row r="47992" customFormat="1" x14ac:dyDescent="0.2"/>
    <row r="47993" customFormat="1" x14ac:dyDescent="0.2"/>
    <row r="47994" customFormat="1" x14ac:dyDescent="0.2"/>
    <row r="47995" customFormat="1" x14ac:dyDescent="0.2"/>
    <row r="47996" customFormat="1" x14ac:dyDescent="0.2"/>
    <row r="47997" customFormat="1" x14ac:dyDescent="0.2"/>
    <row r="47998" customFormat="1" x14ac:dyDescent="0.2"/>
    <row r="47999" customFormat="1" x14ac:dyDescent="0.2"/>
    <row r="48000" customFormat="1" x14ac:dyDescent="0.2"/>
    <row r="48001" customFormat="1" x14ac:dyDescent="0.2"/>
    <row r="48002" customFormat="1" x14ac:dyDescent="0.2"/>
    <row r="48003" customFormat="1" x14ac:dyDescent="0.2"/>
    <row r="48004" customFormat="1" x14ac:dyDescent="0.2"/>
    <row r="48005" customFormat="1" x14ac:dyDescent="0.2"/>
    <row r="48006" customFormat="1" x14ac:dyDescent="0.2"/>
    <row r="48007" customFormat="1" x14ac:dyDescent="0.2"/>
    <row r="48008" customFormat="1" x14ac:dyDescent="0.2"/>
    <row r="48009" customFormat="1" x14ac:dyDescent="0.2"/>
    <row r="48010" customFormat="1" x14ac:dyDescent="0.2"/>
    <row r="48011" customFormat="1" x14ac:dyDescent="0.2"/>
    <row r="48012" customFormat="1" x14ac:dyDescent="0.2"/>
    <row r="48013" customFormat="1" x14ac:dyDescent="0.2"/>
    <row r="48014" customFormat="1" x14ac:dyDescent="0.2"/>
    <row r="48015" customFormat="1" x14ac:dyDescent="0.2"/>
    <row r="48016" customFormat="1" x14ac:dyDescent="0.2"/>
    <row r="48017" customFormat="1" x14ac:dyDescent="0.2"/>
    <row r="48018" customFormat="1" x14ac:dyDescent="0.2"/>
    <row r="48019" customFormat="1" x14ac:dyDescent="0.2"/>
    <row r="48020" customFormat="1" x14ac:dyDescent="0.2"/>
    <row r="48021" customFormat="1" x14ac:dyDescent="0.2"/>
    <row r="48022" customFormat="1" x14ac:dyDescent="0.2"/>
    <row r="48023" customFormat="1" x14ac:dyDescent="0.2"/>
    <row r="48024" customFormat="1" x14ac:dyDescent="0.2"/>
    <row r="48025" customFormat="1" x14ac:dyDescent="0.2"/>
    <row r="48026" customFormat="1" x14ac:dyDescent="0.2"/>
    <row r="48027" customFormat="1" x14ac:dyDescent="0.2"/>
    <row r="48028" customFormat="1" x14ac:dyDescent="0.2"/>
    <row r="48029" customFormat="1" x14ac:dyDescent="0.2"/>
    <row r="48030" customFormat="1" x14ac:dyDescent="0.2"/>
    <row r="48031" customFormat="1" x14ac:dyDescent="0.2"/>
    <row r="48032" customFormat="1" x14ac:dyDescent="0.2"/>
    <row r="48033" customFormat="1" x14ac:dyDescent="0.2"/>
    <row r="48034" customFormat="1" x14ac:dyDescent="0.2"/>
    <row r="48035" customFormat="1" x14ac:dyDescent="0.2"/>
    <row r="48036" customFormat="1" x14ac:dyDescent="0.2"/>
    <row r="48037" customFormat="1" x14ac:dyDescent="0.2"/>
    <row r="48038" customFormat="1" x14ac:dyDescent="0.2"/>
    <row r="48039" customFormat="1" x14ac:dyDescent="0.2"/>
    <row r="48040" customFormat="1" x14ac:dyDescent="0.2"/>
    <row r="48041" customFormat="1" x14ac:dyDescent="0.2"/>
    <row r="48042" customFormat="1" x14ac:dyDescent="0.2"/>
    <row r="48043" customFormat="1" x14ac:dyDescent="0.2"/>
    <row r="48044" customFormat="1" x14ac:dyDescent="0.2"/>
    <row r="48045" customFormat="1" x14ac:dyDescent="0.2"/>
    <row r="48046" customFormat="1" x14ac:dyDescent="0.2"/>
    <row r="48047" customFormat="1" x14ac:dyDescent="0.2"/>
    <row r="48048" customFormat="1" x14ac:dyDescent="0.2"/>
    <row r="48049" customFormat="1" x14ac:dyDescent="0.2"/>
    <row r="48050" customFormat="1" x14ac:dyDescent="0.2"/>
    <row r="48051" customFormat="1" x14ac:dyDescent="0.2"/>
    <row r="48052" customFormat="1" x14ac:dyDescent="0.2"/>
    <row r="48053" customFormat="1" x14ac:dyDescent="0.2"/>
    <row r="48054" customFormat="1" x14ac:dyDescent="0.2"/>
    <row r="48055" customFormat="1" x14ac:dyDescent="0.2"/>
    <row r="48056" customFormat="1" x14ac:dyDescent="0.2"/>
    <row r="48057" customFormat="1" x14ac:dyDescent="0.2"/>
    <row r="48058" customFormat="1" x14ac:dyDescent="0.2"/>
    <row r="48059" customFormat="1" x14ac:dyDescent="0.2"/>
    <row r="48060" customFormat="1" x14ac:dyDescent="0.2"/>
    <row r="48061" customFormat="1" x14ac:dyDescent="0.2"/>
    <row r="48062" customFormat="1" x14ac:dyDescent="0.2"/>
    <row r="48063" customFormat="1" x14ac:dyDescent="0.2"/>
    <row r="48064" customFormat="1" x14ac:dyDescent="0.2"/>
    <row r="48065" customFormat="1" x14ac:dyDescent="0.2"/>
    <row r="48066" customFormat="1" x14ac:dyDescent="0.2"/>
    <row r="48067" customFormat="1" x14ac:dyDescent="0.2"/>
    <row r="48068" customFormat="1" x14ac:dyDescent="0.2"/>
    <row r="48069" customFormat="1" x14ac:dyDescent="0.2"/>
    <row r="48070" customFormat="1" x14ac:dyDescent="0.2"/>
    <row r="48071" customFormat="1" x14ac:dyDescent="0.2"/>
    <row r="48072" customFormat="1" x14ac:dyDescent="0.2"/>
    <row r="48073" customFormat="1" x14ac:dyDescent="0.2"/>
    <row r="48074" customFormat="1" x14ac:dyDescent="0.2"/>
    <row r="48075" customFormat="1" x14ac:dyDescent="0.2"/>
    <row r="48076" customFormat="1" x14ac:dyDescent="0.2"/>
    <row r="48077" customFormat="1" x14ac:dyDescent="0.2"/>
    <row r="48078" customFormat="1" x14ac:dyDescent="0.2"/>
    <row r="48079" customFormat="1" x14ac:dyDescent="0.2"/>
    <row r="48080" customFormat="1" x14ac:dyDescent="0.2"/>
    <row r="48081" customFormat="1" x14ac:dyDescent="0.2"/>
    <row r="48082" customFormat="1" x14ac:dyDescent="0.2"/>
    <row r="48083" customFormat="1" x14ac:dyDescent="0.2"/>
    <row r="48084" customFormat="1" x14ac:dyDescent="0.2"/>
    <row r="48085" customFormat="1" x14ac:dyDescent="0.2"/>
    <row r="48086" customFormat="1" x14ac:dyDescent="0.2"/>
    <row r="48087" customFormat="1" x14ac:dyDescent="0.2"/>
    <row r="48088" customFormat="1" x14ac:dyDescent="0.2"/>
    <row r="48089" customFormat="1" x14ac:dyDescent="0.2"/>
    <row r="48090" customFormat="1" x14ac:dyDescent="0.2"/>
    <row r="48091" customFormat="1" x14ac:dyDescent="0.2"/>
    <row r="48092" customFormat="1" x14ac:dyDescent="0.2"/>
    <row r="48093" customFormat="1" x14ac:dyDescent="0.2"/>
    <row r="48094" customFormat="1" x14ac:dyDescent="0.2"/>
    <row r="48095" customFormat="1" x14ac:dyDescent="0.2"/>
    <row r="48096" customFormat="1" x14ac:dyDescent="0.2"/>
    <row r="48097" customFormat="1" x14ac:dyDescent="0.2"/>
    <row r="48098" customFormat="1" x14ac:dyDescent="0.2"/>
    <row r="48099" customFormat="1" x14ac:dyDescent="0.2"/>
    <row r="48100" customFormat="1" x14ac:dyDescent="0.2"/>
    <row r="48101" customFormat="1" x14ac:dyDescent="0.2"/>
    <row r="48102" customFormat="1" x14ac:dyDescent="0.2"/>
    <row r="48103" customFormat="1" x14ac:dyDescent="0.2"/>
    <row r="48104" customFormat="1" x14ac:dyDescent="0.2"/>
    <row r="48105" customFormat="1" x14ac:dyDescent="0.2"/>
    <row r="48106" customFormat="1" x14ac:dyDescent="0.2"/>
    <row r="48107" customFormat="1" x14ac:dyDescent="0.2"/>
    <row r="48108" customFormat="1" x14ac:dyDescent="0.2"/>
    <row r="48109" customFormat="1" x14ac:dyDescent="0.2"/>
    <row r="48110" customFormat="1" x14ac:dyDescent="0.2"/>
    <row r="48111" customFormat="1" x14ac:dyDescent="0.2"/>
    <row r="48112" customFormat="1" x14ac:dyDescent="0.2"/>
    <row r="48113" customFormat="1" x14ac:dyDescent="0.2"/>
    <row r="48114" customFormat="1" x14ac:dyDescent="0.2"/>
    <row r="48115" customFormat="1" x14ac:dyDescent="0.2"/>
    <row r="48116" customFormat="1" x14ac:dyDescent="0.2"/>
    <row r="48117" customFormat="1" x14ac:dyDescent="0.2"/>
    <row r="48118" customFormat="1" x14ac:dyDescent="0.2"/>
    <row r="48119" customFormat="1" x14ac:dyDescent="0.2"/>
    <row r="48120" customFormat="1" x14ac:dyDescent="0.2"/>
    <row r="48121" customFormat="1" x14ac:dyDescent="0.2"/>
    <row r="48122" customFormat="1" x14ac:dyDescent="0.2"/>
    <row r="48123" customFormat="1" x14ac:dyDescent="0.2"/>
    <row r="48124" customFormat="1" x14ac:dyDescent="0.2"/>
    <row r="48125" customFormat="1" x14ac:dyDescent="0.2"/>
    <row r="48126" customFormat="1" x14ac:dyDescent="0.2"/>
    <row r="48127" customFormat="1" x14ac:dyDescent="0.2"/>
    <row r="48128" customFormat="1" x14ac:dyDescent="0.2"/>
    <row r="48129" customFormat="1" x14ac:dyDescent="0.2"/>
    <row r="48130" customFormat="1" x14ac:dyDescent="0.2"/>
    <row r="48131" customFormat="1" x14ac:dyDescent="0.2"/>
    <row r="48132" customFormat="1" x14ac:dyDescent="0.2"/>
    <row r="48133" customFormat="1" x14ac:dyDescent="0.2"/>
    <row r="48134" customFormat="1" x14ac:dyDescent="0.2"/>
    <row r="48135" customFormat="1" x14ac:dyDescent="0.2"/>
    <row r="48136" customFormat="1" x14ac:dyDescent="0.2"/>
    <row r="48137" customFormat="1" x14ac:dyDescent="0.2"/>
    <row r="48138" customFormat="1" x14ac:dyDescent="0.2"/>
    <row r="48139" customFormat="1" x14ac:dyDescent="0.2"/>
    <row r="48140" customFormat="1" x14ac:dyDescent="0.2"/>
    <row r="48141" customFormat="1" x14ac:dyDescent="0.2"/>
    <row r="48142" customFormat="1" x14ac:dyDescent="0.2"/>
    <row r="48143" customFormat="1" x14ac:dyDescent="0.2"/>
    <row r="48144" customFormat="1" x14ac:dyDescent="0.2"/>
    <row r="48145" customFormat="1" x14ac:dyDescent="0.2"/>
    <row r="48146" customFormat="1" x14ac:dyDescent="0.2"/>
    <row r="48147" customFormat="1" x14ac:dyDescent="0.2"/>
    <row r="48148" customFormat="1" x14ac:dyDescent="0.2"/>
    <row r="48149" customFormat="1" x14ac:dyDescent="0.2"/>
    <row r="48150" customFormat="1" x14ac:dyDescent="0.2"/>
    <row r="48151" customFormat="1" x14ac:dyDescent="0.2"/>
    <row r="48152" customFormat="1" x14ac:dyDescent="0.2"/>
    <row r="48153" customFormat="1" x14ac:dyDescent="0.2"/>
    <row r="48154" customFormat="1" x14ac:dyDescent="0.2"/>
    <row r="48155" customFormat="1" x14ac:dyDescent="0.2"/>
    <row r="48156" customFormat="1" x14ac:dyDescent="0.2"/>
    <row r="48157" customFormat="1" x14ac:dyDescent="0.2"/>
    <row r="48158" customFormat="1" x14ac:dyDescent="0.2"/>
    <row r="48159" customFormat="1" x14ac:dyDescent="0.2"/>
    <row r="48160" customFormat="1" x14ac:dyDescent="0.2"/>
    <row r="48161" customFormat="1" x14ac:dyDescent="0.2"/>
    <row r="48162" customFormat="1" x14ac:dyDescent="0.2"/>
    <row r="48163" customFormat="1" x14ac:dyDescent="0.2"/>
    <row r="48164" customFormat="1" x14ac:dyDescent="0.2"/>
    <row r="48165" customFormat="1" x14ac:dyDescent="0.2"/>
    <row r="48166" customFormat="1" x14ac:dyDescent="0.2"/>
    <row r="48167" customFormat="1" x14ac:dyDescent="0.2"/>
    <row r="48168" customFormat="1" x14ac:dyDescent="0.2"/>
    <row r="48169" customFormat="1" x14ac:dyDescent="0.2"/>
    <row r="48170" customFormat="1" x14ac:dyDescent="0.2"/>
    <row r="48171" customFormat="1" x14ac:dyDescent="0.2"/>
    <row r="48172" customFormat="1" x14ac:dyDescent="0.2"/>
    <row r="48173" customFormat="1" x14ac:dyDescent="0.2"/>
    <row r="48174" customFormat="1" x14ac:dyDescent="0.2"/>
    <row r="48175" customFormat="1" x14ac:dyDescent="0.2"/>
    <row r="48176" customFormat="1" x14ac:dyDescent="0.2"/>
    <row r="48177" customFormat="1" x14ac:dyDescent="0.2"/>
    <row r="48178" customFormat="1" x14ac:dyDescent="0.2"/>
    <row r="48179" customFormat="1" x14ac:dyDescent="0.2"/>
    <row r="48180" customFormat="1" x14ac:dyDescent="0.2"/>
    <row r="48181" customFormat="1" x14ac:dyDescent="0.2"/>
    <row r="48182" customFormat="1" x14ac:dyDescent="0.2"/>
    <row r="48183" customFormat="1" x14ac:dyDescent="0.2"/>
    <row r="48184" customFormat="1" x14ac:dyDescent="0.2"/>
    <row r="48185" customFormat="1" x14ac:dyDescent="0.2"/>
    <row r="48186" customFormat="1" x14ac:dyDescent="0.2"/>
    <row r="48187" customFormat="1" x14ac:dyDescent="0.2"/>
    <row r="48188" customFormat="1" x14ac:dyDescent="0.2"/>
    <row r="48189" customFormat="1" x14ac:dyDescent="0.2"/>
    <row r="48190" customFormat="1" x14ac:dyDescent="0.2"/>
    <row r="48191" customFormat="1" x14ac:dyDescent="0.2"/>
    <row r="48192" customFormat="1" x14ac:dyDescent="0.2"/>
    <row r="48193" customFormat="1" x14ac:dyDescent="0.2"/>
    <row r="48194" customFormat="1" x14ac:dyDescent="0.2"/>
    <row r="48195" customFormat="1" x14ac:dyDescent="0.2"/>
    <row r="48196" customFormat="1" x14ac:dyDescent="0.2"/>
    <row r="48197" customFormat="1" x14ac:dyDescent="0.2"/>
    <row r="48198" customFormat="1" x14ac:dyDescent="0.2"/>
    <row r="48199" customFormat="1" x14ac:dyDescent="0.2"/>
    <row r="48200" customFormat="1" x14ac:dyDescent="0.2"/>
    <row r="48201" customFormat="1" x14ac:dyDescent="0.2"/>
    <row r="48202" customFormat="1" x14ac:dyDescent="0.2"/>
    <row r="48203" customFormat="1" x14ac:dyDescent="0.2"/>
    <row r="48204" customFormat="1" x14ac:dyDescent="0.2"/>
    <row r="48205" customFormat="1" x14ac:dyDescent="0.2"/>
    <row r="48206" customFormat="1" x14ac:dyDescent="0.2"/>
    <row r="48207" customFormat="1" x14ac:dyDescent="0.2"/>
    <row r="48208" customFormat="1" x14ac:dyDescent="0.2"/>
    <row r="48209" customFormat="1" x14ac:dyDescent="0.2"/>
    <row r="48210" customFormat="1" x14ac:dyDescent="0.2"/>
    <row r="48211" customFormat="1" x14ac:dyDescent="0.2"/>
    <row r="48212" customFormat="1" x14ac:dyDescent="0.2"/>
    <row r="48213" customFormat="1" x14ac:dyDescent="0.2"/>
    <row r="48214" customFormat="1" x14ac:dyDescent="0.2"/>
    <row r="48215" customFormat="1" x14ac:dyDescent="0.2"/>
    <row r="48216" customFormat="1" x14ac:dyDescent="0.2"/>
    <row r="48217" customFormat="1" x14ac:dyDescent="0.2"/>
    <row r="48218" customFormat="1" x14ac:dyDescent="0.2"/>
    <row r="48219" customFormat="1" x14ac:dyDescent="0.2"/>
    <row r="48220" customFormat="1" x14ac:dyDescent="0.2"/>
    <row r="48221" customFormat="1" x14ac:dyDescent="0.2"/>
    <row r="48222" customFormat="1" x14ac:dyDescent="0.2"/>
    <row r="48223" customFormat="1" x14ac:dyDescent="0.2"/>
    <row r="48224" customFormat="1" x14ac:dyDescent="0.2"/>
    <row r="48225" customFormat="1" x14ac:dyDescent="0.2"/>
    <row r="48226" customFormat="1" x14ac:dyDescent="0.2"/>
    <row r="48227" customFormat="1" x14ac:dyDescent="0.2"/>
    <row r="48228" customFormat="1" x14ac:dyDescent="0.2"/>
    <row r="48229" customFormat="1" x14ac:dyDescent="0.2"/>
    <row r="48230" customFormat="1" x14ac:dyDescent="0.2"/>
    <row r="48231" customFormat="1" x14ac:dyDescent="0.2"/>
    <row r="48232" customFormat="1" x14ac:dyDescent="0.2"/>
    <row r="48233" customFormat="1" x14ac:dyDescent="0.2"/>
    <row r="48234" customFormat="1" x14ac:dyDescent="0.2"/>
    <row r="48235" customFormat="1" x14ac:dyDescent="0.2"/>
    <row r="48236" customFormat="1" x14ac:dyDescent="0.2"/>
    <row r="48237" customFormat="1" x14ac:dyDescent="0.2"/>
    <row r="48238" customFormat="1" x14ac:dyDescent="0.2"/>
    <row r="48239" customFormat="1" x14ac:dyDescent="0.2"/>
    <row r="48240" customFormat="1" x14ac:dyDescent="0.2"/>
    <row r="48241" customFormat="1" x14ac:dyDescent="0.2"/>
    <row r="48242" customFormat="1" x14ac:dyDescent="0.2"/>
    <row r="48243" customFormat="1" x14ac:dyDescent="0.2"/>
    <row r="48244" customFormat="1" x14ac:dyDescent="0.2"/>
    <row r="48245" customFormat="1" x14ac:dyDescent="0.2"/>
    <row r="48246" customFormat="1" x14ac:dyDescent="0.2"/>
    <row r="48247" customFormat="1" x14ac:dyDescent="0.2"/>
    <row r="48248" customFormat="1" x14ac:dyDescent="0.2"/>
    <row r="48249" customFormat="1" x14ac:dyDescent="0.2"/>
    <row r="48250" customFormat="1" x14ac:dyDescent="0.2"/>
    <row r="48251" customFormat="1" x14ac:dyDescent="0.2"/>
    <row r="48252" customFormat="1" x14ac:dyDescent="0.2"/>
    <row r="48253" customFormat="1" x14ac:dyDescent="0.2"/>
    <row r="48254" customFormat="1" x14ac:dyDescent="0.2"/>
    <row r="48255" customFormat="1" x14ac:dyDescent="0.2"/>
    <row r="48256" customFormat="1" x14ac:dyDescent="0.2"/>
    <row r="48257" customFormat="1" x14ac:dyDescent="0.2"/>
    <row r="48258" customFormat="1" x14ac:dyDescent="0.2"/>
    <row r="48259" customFormat="1" x14ac:dyDescent="0.2"/>
    <row r="48260" customFormat="1" x14ac:dyDescent="0.2"/>
    <row r="48261" customFormat="1" x14ac:dyDescent="0.2"/>
    <row r="48262" customFormat="1" x14ac:dyDescent="0.2"/>
    <row r="48263" customFormat="1" x14ac:dyDescent="0.2"/>
    <row r="48264" customFormat="1" x14ac:dyDescent="0.2"/>
    <row r="48265" customFormat="1" x14ac:dyDescent="0.2"/>
    <row r="48266" customFormat="1" x14ac:dyDescent="0.2"/>
    <row r="48267" customFormat="1" x14ac:dyDescent="0.2"/>
    <row r="48268" customFormat="1" x14ac:dyDescent="0.2"/>
    <row r="48269" customFormat="1" x14ac:dyDescent="0.2"/>
    <row r="48270" customFormat="1" x14ac:dyDescent="0.2"/>
    <row r="48271" customFormat="1" x14ac:dyDescent="0.2"/>
    <row r="48272" customFormat="1" x14ac:dyDescent="0.2"/>
    <row r="48273" customFormat="1" x14ac:dyDescent="0.2"/>
    <row r="48274" customFormat="1" x14ac:dyDescent="0.2"/>
    <row r="48275" customFormat="1" x14ac:dyDescent="0.2"/>
    <row r="48276" customFormat="1" x14ac:dyDescent="0.2"/>
    <row r="48277" customFormat="1" x14ac:dyDescent="0.2"/>
    <row r="48278" customFormat="1" x14ac:dyDescent="0.2"/>
    <row r="48279" customFormat="1" x14ac:dyDescent="0.2"/>
    <row r="48280" customFormat="1" x14ac:dyDescent="0.2"/>
    <row r="48281" customFormat="1" x14ac:dyDescent="0.2"/>
    <row r="48282" customFormat="1" x14ac:dyDescent="0.2"/>
    <row r="48283" customFormat="1" x14ac:dyDescent="0.2"/>
    <row r="48284" customFormat="1" x14ac:dyDescent="0.2"/>
    <row r="48285" customFormat="1" x14ac:dyDescent="0.2"/>
    <row r="48286" customFormat="1" x14ac:dyDescent="0.2"/>
    <row r="48287" customFormat="1" x14ac:dyDescent="0.2"/>
    <row r="48288" customFormat="1" x14ac:dyDescent="0.2"/>
    <row r="48289" customFormat="1" x14ac:dyDescent="0.2"/>
    <row r="48290" customFormat="1" x14ac:dyDescent="0.2"/>
    <row r="48291" customFormat="1" x14ac:dyDescent="0.2"/>
    <row r="48292" customFormat="1" x14ac:dyDescent="0.2"/>
    <row r="48293" customFormat="1" x14ac:dyDescent="0.2"/>
    <row r="48294" customFormat="1" x14ac:dyDescent="0.2"/>
    <row r="48295" customFormat="1" x14ac:dyDescent="0.2"/>
    <row r="48296" customFormat="1" x14ac:dyDescent="0.2"/>
    <row r="48297" customFormat="1" x14ac:dyDescent="0.2"/>
    <row r="48298" customFormat="1" x14ac:dyDescent="0.2"/>
    <row r="48299" customFormat="1" x14ac:dyDescent="0.2"/>
    <row r="48300" customFormat="1" x14ac:dyDescent="0.2"/>
    <row r="48301" customFormat="1" x14ac:dyDescent="0.2"/>
    <row r="48302" customFormat="1" x14ac:dyDescent="0.2"/>
    <row r="48303" customFormat="1" x14ac:dyDescent="0.2"/>
    <row r="48304" customFormat="1" x14ac:dyDescent="0.2"/>
    <row r="48305" customFormat="1" x14ac:dyDescent="0.2"/>
    <row r="48306" customFormat="1" x14ac:dyDescent="0.2"/>
    <row r="48307" customFormat="1" x14ac:dyDescent="0.2"/>
    <row r="48308" customFormat="1" x14ac:dyDescent="0.2"/>
    <row r="48309" customFormat="1" x14ac:dyDescent="0.2"/>
    <row r="48310" customFormat="1" x14ac:dyDescent="0.2"/>
    <row r="48311" customFormat="1" x14ac:dyDescent="0.2"/>
    <row r="48312" customFormat="1" x14ac:dyDescent="0.2"/>
    <row r="48313" customFormat="1" x14ac:dyDescent="0.2"/>
    <row r="48314" customFormat="1" x14ac:dyDescent="0.2"/>
    <row r="48315" customFormat="1" x14ac:dyDescent="0.2"/>
    <row r="48316" customFormat="1" x14ac:dyDescent="0.2"/>
    <row r="48317" customFormat="1" x14ac:dyDescent="0.2"/>
    <row r="48318" customFormat="1" x14ac:dyDescent="0.2"/>
    <row r="48319" customFormat="1" x14ac:dyDescent="0.2"/>
    <row r="48320" customFormat="1" x14ac:dyDescent="0.2"/>
    <row r="48321" customFormat="1" x14ac:dyDescent="0.2"/>
    <row r="48322" customFormat="1" x14ac:dyDescent="0.2"/>
    <row r="48323" customFormat="1" x14ac:dyDescent="0.2"/>
    <row r="48324" customFormat="1" x14ac:dyDescent="0.2"/>
    <row r="48325" customFormat="1" x14ac:dyDescent="0.2"/>
    <row r="48326" customFormat="1" x14ac:dyDescent="0.2"/>
    <row r="48327" customFormat="1" x14ac:dyDescent="0.2"/>
    <row r="48328" customFormat="1" x14ac:dyDescent="0.2"/>
    <row r="48329" customFormat="1" x14ac:dyDescent="0.2"/>
    <row r="48330" customFormat="1" x14ac:dyDescent="0.2"/>
    <row r="48331" customFormat="1" x14ac:dyDescent="0.2"/>
    <row r="48332" customFormat="1" x14ac:dyDescent="0.2"/>
    <row r="48333" customFormat="1" x14ac:dyDescent="0.2"/>
    <row r="48334" customFormat="1" x14ac:dyDescent="0.2"/>
    <row r="48335" customFormat="1" x14ac:dyDescent="0.2"/>
    <row r="48336" customFormat="1" x14ac:dyDescent="0.2"/>
    <row r="48337" customFormat="1" x14ac:dyDescent="0.2"/>
    <row r="48338" customFormat="1" x14ac:dyDescent="0.2"/>
    <row r="48339" customFormat="1" x14ac:dyDescent="0.2"/>
    <row r="48340" customFormat="1" x14ac:dyDescent="0.2"/>
    <row r="48341" customFormat="1" x14ac:dyDescent="0.2"/>
    <row r="48342" customFormat="1" x14ac:dyDescent="0.2"/>
    <row r="48343" customFormat="1" x14ac:dyDescent="0.2"/>
    <row r="48344" customFormat="1" x14ac:dyDescent="0.2"/>
    <row r="48345" customFormat="1" x14ac:dyDescent="0.2"/>
    <row r="48346" customFormat="1" x14ac:dyDescent="0.2"/>
    <row r="48347" customFormat="1" x14ac:dyDescent="0.2"/>
    <row r="48348" customFormat="1" x14ac:dyDescent="0.2"/>
    <row r="48349" customFormat="1" x14ac:dyDescent="0.2"/>
    <row r="48350" customFormat="1" x14ac:dyDescent="0.2"/>
    <row r="48351" customFormat="1" x14ac:dyDescent="0.2"/>
    <row r="48352" customFormat="1" x14ac:dyDescent="0.2"/>
    <row r="48353" customFormat="1" x14ac:dyDescent="0.2"/>
    <row r="48354" customFormat="1" x14ac:dyDescent="0.2"/>
    <row r="48355" customFormat="1" x14ac:dyDescent="0.2"/>
    <row r="48356" customFormat="1" x14ac:dyDescent="0.2"/>
    <row r="48357" customFormat="1" x14ac:dyDescent="0.2"/>
    <row r="48358" customFormat="1" x14ac:dyDescent="0.2"/>
    <row r="48359" customFormat="1" x14ac:dyDescent="0.2"/>
    <row r="48360" customFormat="1" x14ac:dyDescent="0.2"/>
    <row r="48361" customFormat="1" x14ac:dyDescent="0.2"/>
    <row r="48362" customFormat="1" x14ac:dyDescent="0.2"/>
    <row r="48363" customFormat="1" x14ac:dyDescent="0.2"/>
    <row r="48364" customFormat="1" x14ac:dyDescent="0.2"/>
    <row r="48365" customFormat="1" x14ac:dyDescent="0.2"/>
    <row r="48366" customFormat="1" x14ac:dyDescent="0.2"/>
    <row r="48367" customFormat="1" x14ac:dyDescent="0.2"/>
    <row r="48368" customFormat="1" x14ac:dyDescent="0.2"/>
    <row r="48369" customFormat="1" x14ac:dyDescent="0.2"/>
    <row r="48370" customFormat="1" x14ac:dyDescent="0.2"/>
    <row r="48371" customFormat="1" x14ac:dyDescent="0.2"/>
    <row r="48372" customFormat="1" x14ac:dyDescent="0.2"/>
    <row r="48373" customFormat="1" x14ac:dyDescent="0.2"/>
    <row r="48374" customFormat="1" x14ac:dyDescent="0.2"/>
    <row r="48375" customFormat="1" x14ac:dyDescent="0.2"/>
    <row r="48376" customFormat="1" x14ac:dyDescent="0.2"/>
    <row r="48377" customFormat="1" x14ac:dyDescent="0.2"/>
    <row r="48378" customFormat="1" x14ac:dyDescent="0.2"/>
    <row r="48379" customFormat="1" x14ac:dyDescent="0.2"/>
    <row r="48380" customFormat="1" x14ac:dyDescent="0.2"/>
    <row r="48381" customFormat="1" x14ac:dyDescent="0.2"/>
    <row r="48382" customFormat="1" x14ac:dyDescent="0.2"/>
    <row r="48383" customFormat="1" x14ac:dyDescent="0.2"/>
    <row r="48384" customFormat="1" x14ac:dyDescent="0.2"/>
    <row r="48385" customFormat="1" x14ac:dyDescent="0.2"/>
    <row r="48386" customFormat="1" x14ac:dyDescent="0.2"/>
    <row r="48387" customFormat="1" x14ac:dyDescent="0.2"/>
    <row r="48388" customFormat="1" x14ac:dyDescent="0.2"/>
    <row r="48389" customFormat="1" x14ac:dyDescent="0.2"/>
    <row r="48390" customFormat="1" x14ac:dyDescent="0.2"/>
    <row r="48391" customFormat="1" x14ac:dyDescent="0.2"/>
    <row r="48392" customFormat="1" x14ac:dyDescent="0.2"/>
    <row r="48393" customFormat="1" x14ac:dyDescent="0.2"/>
    <row r="48394" customFormat="1" x14ac:dyDescent="0.2"/>
    <row r="48395" customFormat="1" x14ac:dyDescent="0.2"/>
    <row r="48396" customFormat="1" x14ac:dyDescent="0.2"/>
    <row r="48397" customFormat="1" x14ac:dyDescent="0.2"/>
    <row r="48398" customFormat="1" x14ac:dyDescent="0.2"/>
    <row r="48399" customFormat="1" x14ac:dyDescent="0.2"/>
    <row r="48400" customFormat="1" x14ac:dyDescent="0.2"/>
    <row r="48401" customFormat="1" x14ac:dyDescent="0.2"/>
    <row r="48402" customFormat="1" x14ac:dyDescent="0.2"/>
    <row r="48403" customFormat="1" x14ac:dyDescent="0.2"/>
    <row r="48404" customFormat="1" x14ac:dyDescent="0.2"/>
    <row r="48405" customFormat="1" x14ac:dyDescent="0.2"/>
    <row r="48406" customFormat="1" x14ac:dyDescent="0.2"/>
    <row r="48407" customFormat="1" x14ac:dyDescent="0.2"/>
    <row r="48408" customFormat="1" x14ac:dyDescent="0.2"/>
    <row r="48409" customFormat="1" x14ac:dyDescent="0.2"/>
    <row r="48410" customFormat="1" x14ac:dyDescent="0.2"/>
    <row r="48411" customFormat="1" x14ac:dyDescent="0.2"/>
    <row r="48412" customFormat="1" x14ac:dyDescent="0.2"/>
    <row r="48413" customFormat="1" x14ac:dyDescent="0.2"/>
    <row r="48414" customFormat="1" x14ac:dyDescent="0.2"/>
    <row r="48415" customFormat="1" x14ac:dyDescent="0.2"/>
    <row r="48416" customFormat="1" x14ac:dyDescent="0.2"/>
    <row r="48417" customFormat="1" x14ac:dyDescent="0.2"/>
    <row r="48418" customFormat="1" x14ac:dyDescent="0.2"/>
    <row r="48419" customFormat="1" x14ac:dyDescent="0.2"/>
    <row r="48420" customFormat="1" x14ac:dyDescent="0.2"/>
    <row r="48421" customFormat="1" x14ac:dyDescent="0.2"/>
    <row r="48422" customFormat="1" x14ac:dyDescent="0.2"/>
    <row r="48423" customFormat="1" x14ac:dyDescent="0.2"/>
    <row r="48424" customFormat="1" x14ac:dyDescent="0.2"/>
    <row r="48425" customFormat="1" x14ac:dyDescent="0.2"/>
    <row r="48426" customFormat="1" x14ac:dyDescent="0.2"/>
    <row r="48427" customFormat="1" x14ac:dyDescent="0.2"/>
    <row r="48428" customFormat="1" x14ac:dyDescent="0.2"/>
    <row r="48429" customFormat="1" x14ac:dyDescent="0.2"/>
    <row r="48430" customFormat="1" x14ac:dyDescent="0.2"/>
    <row r="48431" customFormat="1" x14ac:dyDescent="0.2"/>
    <row r="48432" customFormat="1" x14ac:dyDescent="0.2"/>
    <row r="48433" customFormat="1" x14ac:dyDescent="0.2"/>
    <row r="48434" customFormat="1" x14ac:dyDescent="0.2"/>
    <row r="48435" customFormat="1" x14ac:dyDescent="0.2"/>
    <row r="48436" customFormat="1" x14ac:dyDescent="0.2"/>
    <row r="48437" customFormat="1" x14ac:dyDescent="0.2"/>
    <row r="48438" customFormat="1" x14ac:dyDescent="0.2"/>
    <row r="48439" customFormat="1" x14ac:dyDescent="0.2"/>
    <row r="48440" customFormat="1" x14ac:dyDescent="0.2"/>
    <row r="48441" customFormat="1" x14ac:dyDescent="0.2"/>
    <row r="48442" customFormat="1" x14ac:dyDescent="0.2"/>
    <row r="48443" customFormat="1" x14ac:dyDescent="0.2"/>
    <row r="48444" customFormat="1" x14ac:dyDescent="0.2"/>
    <row r="48445" customFormat="1" x14ac:dyDescent="0.2"/>
    <row r="48446" customFormat="1" x14ac:dyDescent="0.2"/>
    <row r="48447" customFormat="1" x14ac:dyDescent="0.2"/>
    <row r="48448" customFormat="1" x14ac:dyDescent="0.2"/>
    <row r="48449" customFormat="1" x14ac:dyDescent="0.2"/>
    <row r="48450" customFormat="1" x14ac:dyDescent="0.2"/>
    <row r="48451" customFormat="1" x14ac:dyDescent="0.2"/>
    <row r="48452" customFormat="1" x14ac:dyDescent="0.2"/>
    <row r="48453" customFormat="1" x14ac:dyDescent="0.2"/>
    <row r="48454" customFormat="1" x14ac:dyDescent="0.2"/>
    <row r="48455" customFormat="1" x14ac:dyDescent="0.2"/>
    <row r="48456" customFormat="1" x14ac:dyDescent="0.2"/>
    <row r="48457" customFormat="1" x14ac:dyDescent="0.2"/>
    <row r="48458" customFormat="1" x14ac:dyDescent="0.2"/>
    <row r="48459" customFormat="1" x14ac:dyDescent="0.2"/>
    <row r="48460" customFormat="1" x14ac:dyDescent="0.2"/>
    <row r="48461" customFormat="1" x14ac:dyDescent="0.2"/>
    <row r="48462" customFormat="1" x14ac:dyDescent="0.2"/>
    <row r="48463" customFormat="1" x14ac:dyDescent="0.2"/>
    <row r="48464" customFormat="1" x14ac:dyDescent="0.2"/>
    <row r="48465" customFormat="1" x14ac:dyDescent="0.2"/>
    <row r="48466" customFormat="1" x14ac:dyDescent="0.2"/>
    <row r="48467" customFormat="1" x14ac:dyDescent="0.2"/>
    <row r="48468" customFormat="1" x14ac:dyDescent="0.2"/>
    <row r="48469" customFormat="1" x14ac:dyDescent="0.2"/>
    <row r="48470" customFormat="1" x14ac:dyDescent="0.2"/>
    <row r="48471" customFormat="1" x14ac:dyDescent="0.2"/>
    <row r="48472" customFormat="1" x14ac:dyDescent="0.2"/>
    <row r="48473" customFormat="1" x14ac:dyDescent="0.2"/>
    <row r="48474" customFormat="1" x14ac:dyDescent="0.2"/>
    <row r="48475" customFormat="1" x14ac:dyDescent="0.2"/>
    <row r="48476" customFormat="1" x14ac:dyDescent="0.2"/>
    <row r="48477" customFormat="1" x14ac:dyDescent="0.2"/>
    <row r="48478" customFormat="1" x14ac:dyDescent="0.2"/>
    <row r="48479" customFormat="1" x14ac:dyDescent="0.2"/>
    <row r="48480" customFormat="1" x14ac:dyDescent="0.2"/>
    <row r="48481" customFormat="1" x14ac:dyDescent="0.2"/>
    <row r="48482" customFormat="1" x14ac:dyDescent="0.2"/>
    <row r="48483" customFormat="1" x14ac:dyDescent="0.2"/>
    <row r="48484" customFormat="1" x14ac:dyDescent="0.2"/>
    <row r="48485" customFormat="1" x14ac:dyDescent="0.2"/>
    <row r="48486" customFormat="1" x14ac:dyDescent="0.2"/>
    <row r="48487" customFormat="1" x14ac:dyDescent="0.2"/>
    <row r="48488" customFormat="1" x14ac:dyDescent="0.2"/>
    <row r="48489" customFormat="1" x14ac:dyDescent="0.2"/>
    <row r="48490" customFormat="1" x14ac:dyDescent="0.2"/>
    <row r="48491" customFormat="1" x14ac:dyDescent="0.2"/>
    <row r="48492" customFormat="1" x14ac:dyDescent="0.2"/>
    <row r="48493" customFormat="1" x14ac:dyDescent="0.2"/>
    <row r="48494" customFormat="1" x14ac:dyDescent="0.2"/>
    <row r="48495" customFormat="1" x14ac:dyDescent="0.2"/>
    <row r="48496" customFormat="1" x14ac:dyDescent="0.2"/>
    <row r="48497" customFormat="1" x14ac:dyDescent="0.2"/>
    <row r="48498" customFormat="1" x14ac:dyDescent="0.2"/>
    <row r="48499" customFormat="1" x14ac:dyDescent="0.2"/>
    <row r="48500" customFormat="1" x14ac:dyDescent="0.2"/>
    <row r="48501" customFormat="1" x14ac:dyDescent="0.2"/>
    <row r="48502" customFormat="1" x14ac:dyDescent="0.2"/>
    <row r="48503" customFormat="1" x14ac:dyDescent="0.2"/>
    <row r="48504" customFormat="1" x14ac:dyDescent="0.2"/>
    <row r="48505" customFormat="1" x14ac:dyDescent="0.2"/>
    <row r="48506" customFormat="1" x14ac:dyDescent="0.2"/>
    <row r="48507" customFormat="1" x14ac:dyDescent="0.2"/>
    <row r="48508" customFormat="1" x14ac:dyDescent="0.2"/>
    <row r="48509" customFormat="1" x14ac:dyDescent="0.2"/>
    <row r="48510" customFormat="1" x14ac:dyDescent="0.2"/>
    <row r="48511" customFormat="1" x14ac:dyDescent="0.2"/>
    <row r="48512" customFormat="1" x14ac:dyDescent="0.2"/>
    <row r="48513" customFormat="1" x14ac:dyDescent="0.2"/>
    <row r="48514" customFormat="1" x14ac:dyDescent="0.2"/>
    <row r="48515" customFormat="1" x14ac:dyDescent="0.2"/>
    <row r="48516" customFormat="1" x14ac:dyDescent="0.2"/>
    <row r="48517" customFormat="1" x14ac:dyDescent="0.2"/>
    <row r="48518" customFormat="1" x14ac:dyDescent="0.2"/>
    <row r="48519" customFormat="1" x14ac:dyDescent="0.2"/>
    <row r="48520" customFormat="1" x14ac:dyDescent="0.2"/>
    <row r="48521" customFormat="1" x14ac:dyDescent="0.2"/>
    <row r="48522" customFormat="1" x14ac:dyDescent="0.2"/>
    <row r="48523" customFormat="1" x14ac:dyDescent="0.2"/>
    <row r="48524" customFormat="1" x14ac:dyDescent="0.2"/>
    <row r="48525" customFormat="1" x14ac:dyDescent="0.2"/>
    <row r="48526" customFormat="1" x14ac:dyDescent="0.2"/>
    <row r="48527" customFormat="1" x14ac:dyDescent="0.2"/>
    <row r="48528" customFormat="1" x14ac:dyDescent="0.2"/>
    <row r="48529" customFormat="1" x14ac:dyDescent="0.2"/>
    <row r="48530" customFormat="1" x14ac:dyDescent="0.2"/>
    <row r="48531" customFormat="1" x14ac:dyDescent="0.2"/>
    <row r="48532" customFormat="1" x14ac:dyDescent="0.2"/>
    <row r="48533" customFormat="1" x14ac:dyDescent="0.2"/>
    <row r="48534" customFormat="1" x14ac:dyDescent="0.2"/>
    <row r="48535" customFormat="1" x14ac:dyDescent="0.2"/>
    <row r="48536" customFormat="1" x14ac:dyDescent="0.2"/>
    <row r="48537" customFormat="1" x14ac:dyDescent="0.2"/>
    <row r="48538" customFormat="1" x14ac:dyDescent="0.2"/>
    <row r="48539" customFormat="1" x14ac:dyDescent="0.2"/>
    <row r="48540" customFormat="1" x14ac:dyDescent="0.2"/>
    <row r="48541" customFormat="1" x14ac:dyDescent="0.2"/>
    <row r="48542" customFormat="1" x14ac:dyDescent="0.2"/>
    <row r="48543" customFormat="1" x14ac:dyDescent="0.2"/>
    <row r="48544" customFormat="1" x14ac:dyDescent="0.2"/>
    <row r="48545" customFormat="1" x14ac:dyDescent="0.2"/>
    <row r="48546" customFormat="1" x14ac:dyDescent="0.2"/>
    <row r="48547" customFormat="1" x14ac:dyDescent="0.2"/>
    <row r="48548" customFormat="1" x14ac:dyDescent="0.2"/>
    <row r="48549" customFormat="1" x14ac:dyDescent="0.2"/>
    <row r="48550" customFormat="1" x14ac:dyDescent="0.2"/>
    <row r="48551" customFormat="1" x14ac:dyDescent="0.2"/>
    <row r="48552" customFormat="1" x14ac:dyDescent="0.2"/>
    <row r="48553" customFormat="1" x14ac:dyDescent="0.2"/>
    <row r="48554" customFormat="1" x14ac:dyDescent="0.2"/>
    <row r="48555" customFormat="1" x14ac:dyDescent="0.2"/>
    <row r="48556" customFormat="1" x14ac:dyDescent="0.2"/>
    <row r="48557" customFormat="1" x14ac:dyDescent="0.2"/>
    <row r="48558" customFormat="1" x14ac:dyDescent="0.2"/>
    <row r="48559" customFormat="1" x14ac:dyDescent="0.2"/>
    <row r="48560" customFormat="1" x14ac:dyDescent="0.2"/>
    <row r="48561" customFormat="1" x14ac:dyDescent="0.2"/>
    <row r="48562" customFormat="1" x14ac:dyDescent="0.2"/>
    <row r="48563" customFormat="1" x14ac:dyDescent="0.2"/>
    <row r="48564" customFormat="1" x14ac:dyDescent="0.2"/>
    <row r="48565" customFormat="1" x14ac:dyDescent="0.2"/>
    <row r="48566" customFormat="1" x14ac:dyDescent="0.2"/>
    <row r="48567" customFormat="1" x14ac:dyDescent="0.2"/>
    <row r="48568" customFormat="1" x14ac:dyDescent="0.2"/>
    <row r="48569" customFormat="1" x14ac:dyDescent="0.2"/>
    <row r="48570" customFormat="1" x14ac:dyDescent="0.2"/>
    <row r="48571" customFormat="1" x14ac:dyDescent="0.2"/>
    <row r="48572" customFormat="1" x14ac:dyDescent="0.2"/>
    <row r="48573" customFormat="1" x14ac:dyDescent="0.2"/>
    <row r="48574" customFormat="1" x14ac:dyDescent="0.2"/>
    <row r="48575" customFormat="1" x14ac:dyDescent="0.2"/>
    <row r="48576" customFormat="1" x14ac:dyDescent="0.2"/>
    <row r="48577" customFormat="1" x14ac:dyDescent="0.2"/>
    <row r="48578" customFormat="1" x14ac:dyDescent="0.2"/>
    <row r="48579" customFormat="1" x14ac:dyDescent="0.2"/>
    <row r="48580" customFormat="1" x14ac:dyDescent="0.2"/>
    <row r="48581" customFormat="1" x14ac:dyDescent="0.2"/>
    <row r="48582" customFormat="1" x14ac:dyDescent="0.2"/>
    <row r="48583" customFormat="1" x14ac:dyDescent="0.2"/>
    <row r="48584" customFormat="1" x14ac:dyDescent="0.2"/>
    <row r="48585" customFormat="1" x14ac:dyDescent="0.2"/>
    <row r="48586" customFormat="1" x14ac:dyDescent="0.2"/>
    <row r="48587" customFormat="1" x14ac:dyDescent="0.2"/>
    <row r="48588" customFormat="1" x14ac:dyDescent="0.2"/>
    <row r="48589" customFormat="1" x14ac:dyDescent="0.2"/>
    <row r="48590" customFormat="1" x14ac:dyDescent="0.2"/>
    <row r="48591" customFormat="1" x14ac:dyDescent="0.2"/>
    <row r="48592" customFormat="1" x14ac:dyDescent="0.2"/>
    <row r="48593" customFormat="1" x14ac:dyDescent="0.2"/>
    <row r="48594" customFormat="1" x14ac:dyDescent="0.2"/>
    <row r="48595" customFormat="1" x14ac:dyDescent="0.2"/>
    <row r="48596" customFormat="1" x14ac:dyDescent="0.2"/>
    <row r="48597" customFormat="1" x14ac:dyDescent="0.2"/>
    <row r="48598" customFormat="1" x14ac:dyDescent="0.2"/>
    <row r="48599" customFormat="1" x14ac:dyDescent="0.2"/>
    <row r="48600" customFormat="1" x14ac:dyDescent="0.2"/>
    <row r="48601" customFormat="1" x14ac:dyDescent="0.2"/>
    <row r="48602" customFormat="1" x14ac:dyDescent="0.2"/>
    <row r="48603" customFormat="1" x14ac:dyDescent="0.2"/>
    <row r="48604" customFormat="1" x14ac:dyDescent="0.2"/>
    <row r="48605" customFormat="1" x14ac:dyDescent="0.2"/>
    <row r="48606" customFormat="1" x14ac:dyDescent="0.2"/>
    <row r="48607" customFormat="1" x14ac:dyDescent="0.2"/>
    <row r="48608" customFormat="1" x14ac:dyDescent="0.2"/>
    <row r="48609" customFormat="1" x14ac:dyDescent="0.2"/>
    <row r="48610" customFormat="1" x14ac:dyDescent="0.2"/>
    <row r="48611" customFormat="1" x14ac:dyDescent="0.2"/>
    <row r="48612" customFormat="1" x14ac:dyDescent="0.2"/>
    <row r="48613" customFormat="1" x14ac:dyDescent="0.2"/>
    <row r="48614" customFormat="1" x14ac:dyDescent="0.2"/>
    <row r="48615" customFormat="1" x14ac:dyDescent="0.2"/>
    <row r="48616" customFormat="1" x14ac:dyDescent="0.2"/>
    <row r="48617" customFormat="1" x14ac:dyDescent="0.2"/>
    <row r="48618" customFormat="1" x14ac:dyDescent="0.2"/>
    <row r="48619" customFormat="1" x14ac:dyDescent="0.2"/>
    <row r="48620" customFormat="1" x14ac:dyDescent="0.2"/>
    <row r="48621" customFormat="1" x14ac:dyDescent="0.2"/>
    <row r="48622" customFormat="1" x14ac:dyDescent="0.2"/>
    <row r="48623" customFormat="1" x14ac:dyDescent="0.2"/>
    <row r="48624" customFormat="1" x14ac:dyDescent="0.2"/>
    <row r="48625" customFormat="1" x14ac:dyDescent="0.2"/>
    <row r="48626" customFormat="1" x14ac:dyDescent="0.2"/>
    <row r="48627" customFormat="1" x14ac:dyDescent="0.2"/>
    <row r="48628" customFormat="1" x14ac:dyDescent="0.2"/>
    <row r="48629" customFormat="1" x14ac:dyDescent="0.2"/>
    <row r="48630" customFormat="1" x14ac:dyDescent="0.2"/>
    <row r="48631" customFormat="1" x14ac:dyDescent="0.2"/>
    <row r="48632" customFormat="1" x14ac:dyDescent="0.2"/>
    <row r="48633" customFormat="1" x14ac:dyDescent="0.2"/>
    <row r="48634" customFormat="1" x14ac:dyDescent="0.2"/>
    <row r="48635" customFormat="1" x14ac:dyDescent="0.2"/>
    <row r="48636" customFormat="1" x14ac:dyDescent="0.2"/>
    <row r="48637" customFormat="1" x14ac:dyDescent="0.2"/>
    <row r="48638" customFormat="1" x14ac:dyDescent="0.2"/>
    <row r="48639" customFormat="1" x14ac:dyDescent="0.2"/>
    <row r="48640" customFormat="1" x14ac:dyDescent="0.2"/>
    <row r="48641" customFormat="1" x14ac:dyDescent="0.2"/>
    <row r="48642" customFormat="1" x14ac:dyDescent="0.2"/>
    <row r="48643" customFormat="1" x14ac:dyDescent="0.2"/>
    <row r="48644" customFormat="1" x14ac:dyDescent="0.2"/>
    <row r="48645" customFormat="1" x14ac:dyDescent="0.2"/>
    <row r="48646" customFormat="1" x14ac:dyDescent="0.2"/>
    <row r="48647" customFormat="1" x14ac:dyDescent="0.2"/>
    <row r="48648" customFormat="1" x14ac:dyDescent="0.2"/>
    <row r="48649" customFormat="1" x14ac:dyDescent="0.2"/>
    <row r="48650" customFormat="1" x14ac:dyDescent="0.2"/>
    <row r="48651" customFormat="1" x14ac:dyDescent="0.2"/>
    <row r="48652" customFormat="1" x14ac:dyDescent="0.2"/>
    <row r="48653" customFormat="1" x14ac:dyDescent="0.2"/>
    <row r="48654" customFormat="1" x14ac:dyDescent="0.2"/>
    <row r="48655" customFormat="1" x14ac:dyDescent="0.2"/>
    <row r="48656" customFormat="1" x14ac:dyDescent="0.2"/>
    <row r="48657" customFormat="1" x14ac:dyDescent="0.2"/>
    <row r="48658" customFormat="1" x14ac:dyDescent="0.2"/>
    <row r="48659" customFormat="1" x14ac:dyDescent="0.2"/>
    <row r="48660" customFormat="1" x14ac:dyDescent="0.2"/>
    <row r="48661" customFormat="1" x14ac:dyDescent="0.2"/>
    <row r="48662" customFormat="1" x14ac:dyDescent="0.2"/>
    <row r="48663" customFormat="1" x14ac:dyDescent="0.2"/>
    <row r="48664" customFormat="1" x14ac:dyDescent="0.2"/>
    <row r="48665" customFormat="1" x14ac:dyDescent="0.2"/>
    <row r="48666" customFormat="1" x14ac:dyDescent="0.2"/>
    <row r="48667" customFormat="1" x14ac:dyDescent="0.2"/>
    <row r="48668" customFormat="1" x14ac:dyDescent="0.2"/>
    <row r="48669" customFormat="1" x14ac:dyDescent="0.2"/>
    <row r="48670" customFormat="1" x14ac:dyDescent="0.2"/>
    <row r="48671" customFormat="1" x14ac:dyDescent="0.2"/>
    <row r="48672" customFormat="1" x14ac:dyDescent="0.2"/>
    <row r="48673" customFormat="1" x14ac:dyDescent="0.2"/>
    <row r="48674" customFormat="1" x14ac:dyDescent="0.2"/>
    <row r="48675" customFormat="1" x14ac:dyDescent="0.2"/>
    <row r="48676" customFormat="1" x14ac:dyDescent="0.2"/>
    <row r="48677" customFormat="1" x14ac:dyDescent="0.2"/>
    <row r="48678" customFormat="1" x14ac:dyDescent="0.2"/>
    <row r="48679" customFormat="1" x14ac:dyDescent="0.2"/>
    <row r="48680" customFormat="1" x14ac:dyDescent="0.2"/>
    <row r="48681" customFormat="1" x14ac:dyDescent="0.2"/>
    <row r="48682" customFormat="1" x14ac:dyDescent="0.2"/>
    <row r="48683" customFormat="1" x14ac:dyDescent="0.2"/>
    <row r="48684" customFormat="1" x14ac:dyDescent="0.2"/>
    <row r="48685" customFormat="1" x14ac:dyDescent="0.2"/>
    <row r="48686" customFormat="1" x14ac:dyDescent="0.2"/>
    <row r="48687" customFormat="1" x14ac:dyDescent="0.2"/>
    <row r="48688" customFormat="1" x14ac:dyDescent="0.2"/>
    <row r="48689" customFormat="1" x14ac:dyDescent="0.2"/>
    <row r="48690" customFormat="1" x14ac:dyDescent="0.2"/>
    <row r="48691" customFormat="1" x14ac:dyDescent="0.2"/>
    <row r="48692" customFormat="1" x14ac:dyDescent="0.2"/>
    <row r="48693" customFormat="1" x14ac:dyDescent="0.2"/>
    <row r="48694" customFormat="1" x14ac:dyDescent="0.2"/>
    <row r="48695" customFormat="1" x14ac:dyDescent="0.2"/>
    <row r="48696" customFormat="1" x14ac:dyDescent="0.2"/>
    <row r="48697" customFormat="1" x14ac:dyDescent="0.2"/>
    <row r="48698" customFormat="1" x14ac:dyDescent="0.2"/>
    <row r="48699" customFormat="1" x14ac:dyDescent="0.2"/>
    <row r="48700" customFormat="1" x14ac:dyDescent="0.2"/>
    <row r="48701" customFormat="1" x14ac:dyDescent="0.2"/>
    <row r="48702" customFormat="1" x14ac:dyDescent="0.2"/>
    <row r="48703" customFormat="1" x14ac:dyDescent="0.2"/>
    <row r="48704" customFormat="1" x14ac:dyDescent="0.2"/>
    <row r="48705" customFormat="1" x14ac:dyDescent="0.2"/>
    <row r="48706" customFormat="1" x14ac:dyDescent="0.2"/>
    <row r="48707" customFormat="1" x14ac:dyDescent="0.2"/>
    <row r="48708" customFormat="1" x14ac:dyDescent="0.2"/>
    <row r="48709" customFormat="1" x14ac:dyDescent="0.2"/>
    <row r="48710" customFormat="1" x14ac:dyDescent="0.2"/>
    <row r="48711" customFormat="1" x14ac:dyDescent="0.2"/>
    <row r="48712" customFormat="1" x14ac:dyDescent="0.2"/>
    <row r="48713" customFormat="1" x14ac:dyDescent="0.2"/>
    <row r="48714" customFormat="1" x14ac:dyDescent="0.2"/>
    <row r="48715" customFormat="1" x14ac:dyDescent="0.2"/>
    <row r="48716" customFormat="1" x14ac:dyDescent="0.2"/>
    <row r="48717" customFormat="1" x14ac:dyDescent="0.2"/>
    <row r="48718" customFormat="1" x14ac:dyDescent="0.2"/>
    <row r="48719" customFormat="1" x14ac:dyDescent="0.2"/>
    <row r="48720" customFormat="1" x14ac:dyDescent="0.2"/>
    <row r="48721" customFormat="1" x14ac:dyDescent="0.2"/>
    <row r="48722" customFormat="1" x14ac:dyDescent="0.2"/>
    <row r="48723" customFormat="1" x14ac:dyDescent="0.2"/>
    <row r="48724" customFormat="1" x14ac:dyDescent="0.2"/>
    <row r="48725" customFormat="1" x14ac:dyDescent="0.2"/>
    <row r="48726" customFormat="1" x14ac:dyDescent="0.2"/>
    <row r="48727" customFormat="1" x14ac:dyDescent="0.2"/>
    <row r="48728" customFormat="1" x14ac:dyDescent="0.2"/>
    <row r="48729" customFormat="1" x14ac:dyDescent="0.2"/>
    <row r="48730" customFormat="1" x14ac:dyDescent="0.2"/>
    <row r="48731" customFormat="1" x14ac:dyDescent="0.2"/>
    <row r="48732" customFormat="1" x14ac:dyDescent="0.2"/>
    <row r="48733" customFormat="1" x14ac:dyDescent="0.2"/>
    <row r="48734" customFormat="1" x14ac:dyDescent="0.2"/>
    <row r="48735" customFormat="1" x14ac:dyDescent="0.2"/>
    <row r="48736" customFormat="1" x14ac:dyDescent="0.2"/>
    <row r="48737" customFormat="1" x14ac:dyDescent="0.2"/>
    <row r="48738" customFormat="1" x14ac:dyDescent="0.2"/>
    <row r="48739" customFormat="1" x14ac:dyDescent="0.2"/>
    <row r="48740" customFormat="1" x14ac:dyDescent="0.2"/>
    <row r="48741" customFormat="1" x14ac:dyDescent="0.2"/>
    <row r="48742" customFormat="1" x14ac:dyDescent="0.2"/>
    <row r="48743" customFormat="1" x14ac:dyDescent="0.2"/>
    <row r="48744" customFormat="1" x14ac:dyDescent="0.2"/>
    <row r="48745" customFormat="1" x14ac:dyDescent="0.2"/>
    <row r="48746" customFormat="1" x14ac:dyDescent="0.2"/>
    <row r="48747" customFormat="1" x14ac:dyDescent="0.2"/>
    <row r="48748" customFormat="1" x14ac:dyDescent="0.2"/>
    <row r="48749" customFormat="1" x14ac:dyDescent="0.2"/>
    <row r="48750" customFormat="1" x14ac:dyDescent="0.2"/>
    <row r="48751" customFormat="1" x14ac:dyDescent="0.2"/>
    <row r="48752" customFormat="1" x14ac:dyDescent="0.2"/>
    <row r="48753" customFormat="1" x14ac:dyDescent="0.2"/>
    <row r="48754" customFormat="1" x14ac:dyDescent="0.2"/>
    <row r="48755" customFormat="1" x14ac:dyDescent="0.2"/>
    <row r="48756" customFormat="1" x14ac:dyDescent="0.2"/>
    <row r="48757" customFormat="1" x14ac:dyDescent="0.2"/>
    <row r="48758" customFormat="1" x14ac:dyDescent="0.2"/>
    <row r="48759" customFormat="1" x14ac:dyDescent="0.2"/>
    <row r="48760" customFormat="1" x14ac:dyDescent="0.2"/>
    <row r="48761" customFormat="1" x14ac:dyDescent="0.2"/>
    <row r="48762" customFormat="1" x14ac:dyDescent="0.2"/>
    <row r="48763" customFormat="1" x14ac:dyDescent="0.2"/>
    <row r="48764" customFormat="1" x14ac:dyDescent="0.2"/>
    <row r="48765" customFormat="1" x14ac:dyDescent="0.2"/>
    <row r="48766" customFormat="1" x14ac:dyDescent="0.2"/>
    <row r="48767" customFormat="1" x14ac:dyDescent="0.2"/>
    <row r="48768" customFormat="1" x14ac:dyDescent="0.2"/>
    <row r="48769" customFormat="1" x14ac:dyDescent="0.2"/>
    <row r="48770" customFormat="1" x14ac:dyDescent="0.2"/>
    <row r="48771" customFormat="1" x14ac:dyDescent="0.2"/>
    <row r="48772" customFormat="1" x14ac:dyDescent="0.2"/>
    <row r="48773" customFormat="1" x14ac:dyDescent="0.2"/>
    <row r="48774" customFormat="1" x14ac:dyDescent="0.2"/>
    <row r="48775" customFormat="1" x14ac:dyDescent="0.2"/>
    <row r="48776" customFormat="1" x14ac:dyDescent="0.2"/>
    <row r="48777" customFormat="1" x14ac:dyDescent="0.2"/>
    <row r="48778" customFormat="1" x14ac:dyDescent="0.2"/>
    <row r="48779" customFormat="1" x14ac:dyDescent="0.2"/>
    <row r="48780" customFormat="1" x14ac:dyDescent="0.2"/>
    <row r="48781" customFormat="1" x14ac:dyDescent="0.2"/>
    <row r="48782" customFormat="1" x14ac:dyDescent="0.2"/>
    <row r="48783" customFormat="1" x14ac:dyDescent="0.2"/>
    <row r="48784" customFormat="1" x14ac:dyDescent="0.2"/>
    <row r="48785" customFormat="1" x14ac:dyDescent="0.2"/>
    <row r="48786" customFormat="1" x14ac:dyDescent="0.2"/>
    <row r="48787" customFormat="1" x14ac:dyDescent="0.2"/>
    <row r="48788" customFormat="1" x14ac:dyDescent="0.2"/>
    <row r="48789" customFormat="1" x14ac:dyDescent="0.2"/>
    <row r="48790" customFormat="1" x14ac:dyDescent="0.2"/>
    <row r="48791" customFormat="1" x14ac:dyDescent="0.2"/>
    <row r="48792" customFormat="1" x14ac:dyDescent="0.2"/>
    <row r="48793" customFormat="1" x14ac:dyDescent="0.2"/>
    <row r="48794" customFormat="1" x14ac:dyDescent="0.2"/>
    <row r="48795" customFormat="1" x14ac:dyDescent="0.2"/>
    <row r="48796" customFormat="1" x14ac:dyDescent="0.2"/>
    <row r="48797" customFormat="1" x14ac:dyDescent="0.2"/>
    <row r="48798" customFormat="1" x14ac:dyDescent="0.2"/>
    <row r="48799" customFormat="1" x14ac:dyDescent="0.2"/>
    <row r="48800" customFormat="1" x14ac:dyDescent="0.2"/>
    <row r="48801" customFormat="1" x14ac:dyDescent="0.2"/>
    <row r="48802" customFormat="1" x14ac:dyDescent="0.2"/>
    <row r="48803" customFormat="1" x14ac:dyDescent="0.2"/>
    <row r="48804" customFormat="1" x14ac:dyDescent="0.2"/>
    <row r="48805" customFormat="1" x14ac:dyDescent="0.2"/>
    <row r="48806" customFormat="1" x14ac:dyDescent="0.2"/>
    <row r="48807" customFormat="1" x14ac:dyDescent="0.2"/>
    <row r="48808" customFormat="1" x14ac:dyDescent="0.2"/>
    <row r="48809" customFormat="1" x14ac:dyDescent="0.2"/>
    <row r="48810" customFormat="1" x14ac:dyDescent="0.2"/>
    <row r="48811" customFormat="1" x14ac:dyDescent="0.2"/>
    <row r="48812" customFormat="1" x14ac:dyDescent="0.2"/>
    <row r="48813" customFormat="1" x14ac:dyDescent="0.2"/>
    <row r="48814" customFormat="1" x14ac:dyDescent="0.2"/>
    <row r="48815" customFormat="1" x14ac:dyDescent="0.2"/>
    <row r="48816" customFormat="1" x14ac:dyDescent="0.2"/>
    <row r="48817" customFormat="1" x14ac:dyDescent="0.2"/>
    <row r="48818" customFormat="1" x14ac:dyDescent="0.2"/>
    <row r="48819" customFormat="1" x14ac:dyDescent="0.2"/>
    <row r="48820" customFormat="1" x14ac:dyDescent="0.2"/>
    <row r="48821" customFormat="1" x14ac:dyDescent="0.2"/>
    <row r="48822" customFormat="1" x14ac:dyDescent="0.2"/>
    <row r="48823" customFormat="1" x14ac:dyDescent="0.2"/>
    <row r="48824" customFormat="1" x14ac:dyDescent="0.2"/>
    <row r="48825" customFormat="1" x14ac:dyDescent="0.2"/>
    <row r="48826" customFormat="1" x14ac:dyDescent="0.2"/>
    <row r="48827" customFormat="1" x14ac:dyDescent="0.2"/>
    <row r="48828" customFormat="1" x14ac:dyDescent="0.2"/>
    <row r="48829" customFormat="1" x14ac:dyDescent="0.2"/>
    <row r="48830" customFormat="1" x14ac:dyDescent="0.2"/>
    <row r="48831" customFormat="1" x14ac:dyDescent="0.2"/>
    <row r="48832" customFormat="1" x14ac:dyDescent="0.2"/>
    <row r="48833" customFormat="1" x14ac:dyDescent="0.2"/>
    <row r="48834" customFormat="1" x14ac:dyDescent="0.2"/>
    <row r="48835" customFormat="1" x14ac:dyDescent="0.2"/>
    <row r="48836" customFormat="1" x14ac:dyDescent="0.2"/>
    <row r="48837" customFormat="1" x14ac:dyDescent="0.2"/>
    <row r="48838" customFormat="1" x14ac:dyDescent="0.2"/>
    <row r="48839" customFormat="1" x14ac:dyDescent="0.2"/>
    <row r="48840" customFormat="1" x14ac:dyDescent="0.2"/>
    <row r="48841" customFormat="1" x14ac:dyDescent="0.2"/>
    <row r="48842" customFormat="1" x14ac:dyDescent="0.2"/>
    <row r="48843" customFormat="1" x14ac:dyDescent="0.2"/>
    <row r="48844" customFormat="1" x14ac:dyDescent="0.2"/>
    <row r="48845" customFormat="1" x14ac:dyDescent="0.2"/>
    <row r="48846" customFormat="1" x14ac:dyDescent="0.2"/>
    <row r="48847" customFormat="1" x14ac:dyDescent="0.2"/>
    <row r="48848" customFormat="1" x14ac:dyDescent="0.2"/>
    <row r="48849" customFormat="1" x14ac:dyDescent="0.2"/>
    <row r="48850" customFormat="1" x14ac:dyDescent="0.2"/>
    <row r="48851" customFormat="1" x14ac:dyDescent="0.2"/>
    <row r="48852" customFormat="1" x14ac:dyDescent="0.2"/>
    <row r="48853" customFormat="1" x14ac:dyDescent="0.2"/>
    <row r="48854" customFormat="1" x14ac:dyDescent="0.2"/>
    <row r="48855" customFormat="1" x14ac:dyDescent="0.2"/>
    <row r="48856" customFormat="1" x14ac:dyDescent="0.2"/>
    <row r="48857" customFormat="1" x14ac:dyDescent="0.2"/>
    <row r="48858" customFormat="1" x14ac:dyDescent="0.2"/>
    <row r="48859" customFormat="1" x14ac:dyDescent="0.2"/>
    <row r="48860" customFormat="1" x14ac:dyDescent="0.2"/>
    <row r="48861" customFormat="1" x14ac:dyDescent="0.2"/>
    <row r="48862" customFormat="1" x14ac:dyDescent="0.2"/>
    <row r="48863" customFormat="1" x14ac:dyDescent="0.2"/>
    <row r="48864" customFormat="1" x14ac:dyDescent="0.2"/>
    <row r="48865" customFormat="1" x14ac:dyDescent="0.2"/>
    <row r="48866" customFormat="1" x14ac:dyDescent="0.2"/>
    <row r="48867" customFormat="1" x14ac:dyDescent="0.2"/>
    <row r="48868" customFormat="1" x14ac:dyDescent="0.2"/>
    <row r="48869" customFormat="1" x14ac:dyDescent="0.2"/>
    <row r="48870" customFormat="1" x14ac:dyDescent="0.2"/>
    <row r="48871" customFormat="1" x14ac:dyDescent="0.2"/>
    <row r="48872" customFormat="1" x14ac:dyDescent="0.2"/>
    <row r="48873" customFormat="1" x14ac:dyDescent="0.2"/>
    <row r="48874" customFormat="1" x14ac:dyDescent="0.2"/>
    <row r="48875" customFormat="1" x14ac:dyDescent="0.2"/>
    <row r="48876" customFormat="1" x14ac:dyDescent="0.2"/>
    <row r="48877" customFormat="1" x14ac:dyDescent="0.2"/>
    <row r="48878" customFormat="1" x14ac:dyDescent="0.2"/>
    <row r="48879" customFormat="1" x14ac:dyDescent="0.2"/>
    <row r="48880" customFormat="1" x14ac:dyDescent="0.2"/>
    <row r="48881" customFormat="1" x14ac:dyDescent="0.2"/>
    <row r="48882" customFormat="1" x14ac:dyDescent="0.2"/>
    <row r="48883" customFormat="1" x14ac:dyDescent="0.2"/>
    <row r="48884" customFormat="1" x14ac:dyDescent="0.2"/>
    <row r="48885" customFormat="1" x14ac:dyDescent="0.2"/>
    <row r="48886" customFormat="1" x14ac:dyDescent="0.2"/>
    <row r="48887" customFormat="1" x14ac:dyDescent="0.2"/>
    <row r="48888" customFormat="1" x14ac:dyDescent="0.2"/>
    <row r="48889" customFormat="1" x14ac:dyDescent="0.2"/>
    <row r="48890" customFormat="1" x14ac:dyDescent="0.2"/>
    <row r="48891" customFormat="1" x14ac:dyDescent="0.2"/>
    <row r="48892" customFormat="1" x14ac:dyDescent="0.2"/>
    <row r="48893" customFormat="1" x14ac:dyDescent="0.2"/>
    <row r="48894" customFormat="1" x14ac:dyDescent="0.2"/>
    <row r="48895" customFormat="1" x14ac:dyDescent="0.2"/>
    <row r="48896" customFormat="1" x14ac:dyDescent="0.2"/>
    <row r="48897" customFormat="1" x14ac:dyDescent="0.2"/>
    <row r="48898" customFormat="1" x14ac:dyDescent="0.2"/>
    <row r="48899" customFormat="1" x14ac:dyDescent="0.2"/>
    <row r="48900" customFormat="1" x14ac:dyDescent="0.2"/>
    <row r="48901" customFormat="1" x14ac:dyDescent="0.2"/>
    <row r="48902" customFormat="1" x14ac:dyDescent="0.2"/>
    <row r="48903" customFormat="1" x14ac:dyDescent="0.2"/>
    <row r="48904" customFormat="1" x14ac:dyDescent="0.2"/>
    <row r="48905" customFormat="1" x14ac:dyDescent="0.2"/>
    <row r="48906" customFormat="1" x14ac:dyDescent="0.2"/>
    <row r="48907" customFormat="1" x14ac:dyDescent="0.2"/>
    <row r="48908" customFormat="1" x14ac:dyDescent="0.2"/>
    <row r="48909" customFormat="1" x14ac:dyDescent="0.2"/>
    <row r="48910" customFormat="1" x14ac:dyDescent="0.2"/>
    <row r="48911" customFormat="1" x14ac:dyDescent="0.2"/>
    <row r="48912" customFormat="1" x14ac:dyDescent="0.2"/>
    <row r="48913" customFormat="1" x14ac:dyDescent="0.2"/>
    <row r="48914" customFormat="1" x14ac:dyDescent="0.2"/>
    <row r="48915" customFormat="1" x14ac:dyDescent="0.2"/>
    <row r="48916" customFormat="1" x14ac:dyDescent="0.2"/>
    <row r="48917" customFormat="1" x14ac:dyDescent="0.2"/>
    <row r="48918" customFormat="1" x14ac:dyDescent="0.2"/>
    <row r="48919" customFormat="1" x14ac:dyDescent="0.2"/>
    <row r="48920" customFormat="1" x14ac:dyDescent="0.2"/>
    <row r="48921" customFormat="1" x14ac:dyDescent="0.2"/>
    <row r="48922" customFormat="1" x14ac:dyDescent="0.2"/>
    <row r="48923" customFormat="1" x14ac:dyDescent="0.2"/>
    <row r="48924" customFormat="1" x14ac:dyDescent="0.2"/>
    <row r="48925" customFormat="1" x14ac:dyDescent="0.2"/>
    <row r="48926" customFormat="1" x14ac:dyDescent="0.2"/>
    <row r="48927" customFormat="1" x14ac:dyDescent="0.2"/>
    <row r="48928" customFormat="1" x14ac:dyDescent="0.2"/>
    <row r="48929" customFormat="1" x14ac:dyDescent="0.2"/>
    <row r="48930" customFormat="1" x14ac:dyDescent="0.2"/>
    <row r="48931" customFormat="1" x14ac:dyDescent="0.2"/>
    <row r="48932" customFormat="1" x14ac:dyDescent="0.2"/>
    <row r="48933" customFormat="1" x14ac:dyDescent="0.2"/>
    <row r="48934" customFormat="1" x14ac:dyDescent="0.2"/>
    <row r="48935" customFormat="1" x14ac:dyDescent="0.2"/>
    <row r="48936" customFormat="1" x14ac:dyDescent="0.2"/>
    <row r="48937" customFormat="1" x14ac:dyDescent="0.2"/>
    <row r="48938" customFormat="1" x14ac:dyDescent="0.2"/>
    <row r="48939" customFormat="1" x14ac:dyDescent="0.2"/>
    <row r="48940" customFormat="1" x14ac:dyDescent="0.2"/>
    <row r="48941" customFormat="1" x14ac:dyDescent="0.2"/>
    <row r="48942" customFormat="1" x14ac:dyDescent="0.2"/>
    <row r="48943" customFormat="1" x14ac:dyDescent="0.2"/>
    <row r="48944" customFormat="1" x14ac:dyDescent="0.2"/>
    <row r="48945" customFormat="1" x14ac:dyDescent="0.2"/>
    <row r="48946" customFormat="1" x14ac:dyDescent="0.2"/>
    <row r="48947" customFormat="1" x14ac:dyDescent="0.2"/>
    <row r="48948" customFormat="1" x14ac:dyDescent="0.2"/>
    <row r="48949" customFormat="1" x14ac:dyDescent="0.2"/>
    <row r="48950" customFormat="1" x14ac:dyDescent="0.2"/>
    <row r="48951" customFormat="1" x14ac:dyDescent="0.2"/>
    <row r="48952" customFormat="1" x14ac:dyDescent="0.2"/>
    <row r="48953" customFormat="1" x14ac:dyDescent="0.2"/>
    <row r="48954" customFormat="1" x14ac:dyDescent="0.2"/>
    <row r="48955" customFormat="1" x14ac:dyDescent="0.2"/>
    <row r="48956" customFormat="1" x14ac:dyDescent="0.2"/>
    <row r="48957" customFormat="1" x14ac:dyDescent="0.2"/>
    <row r="48958" customFormat="1" x14ac:dyDescent="0.2"/>
    <row r="48959" customFormat="1" x14ac:dyDescent="0.2"/>
    <row r="48960" customFormat="1" x14ac:dyDescent="0.2"/>
    <row r="48961" customFormat="1" x14ac:dyDescent="0.2"/>
    <row r="48962" customFormat="1" x14ac:dyDescent="0.2"/>
    <row r="48963" customFormat="1" x14ac:dyDescent="0.2"/>
    <row r="48964" customFormat="1" x14ac:dyDescent="0.2"/>
    <row r="48965" customFormat="1" x14ac:dyDescent="0.2"/>
    <row r="48966" customFormat="1" x14ac:dyDescent="0.2"/>
    <row r="48967" customFormat="1" x14ac:dyDescent="0.2"/>
    <row r="48968" customFormat="1" x14ac:dyDescent="0.2"/>
    <row r="48969" customFormat="1" x14ac:dyDescent="0.2"/>
    <row r="48970" customFormat="1" x14ac:dyDescent="0.2"/>
    <row r="48971" customFormat="1" x14ac:dyDescent="0.2"/>
    <row r="48972" customFormat="1" x14ac:dyDescent="0.2"/>
    <row r="48973" customFormat="1" x14ac:dyDescent="0.2"/>
    <row r="48974" customFormat="1" x14ac:dyDescent="0.2"/>
    <row r="48975" customFormat="1" x14ac:dyDescent="0.2"/>
    <row r="48976" customFormat="1" x14ac:dyDescent="0.2"/>
    <row r="48977" customFormat="1" x14ac:dyDescent="0.2"/>
    <row r="48978" customFormat="1" x14ac:dyDescent="0.2"/>
    <row r="48979" customFormat="1" x14ac:dyDescent="0.2"/>
    <row r="48980" customFormat="1" x14ac:dyDescent="0.2"/>
    <row r="48981" customFormat="1" x14ac:dyDescent="0.2"/>
    <row r="48982" customFormat="1" x14ac:dyDescent="0.2"/>
    <row r="48983" customFormat="1" x14ac:dyDescent="0.2"/>
    <row r="48984" customFormat="1" x14ac:dyDescent="0.2"/>
    <row r="48985" customFormat="1" x14ac:dyDescent="0.2"/>
    <row r="48986" customFormat="1" x14ac:dyDescent="0.2"/>
    <row r="48987" customFormat="1" x14ac:dyDescent="0.2"/>
    <row r="48988" customFormat="1" x14ac:dyDescent="0.2"/>
    <row r="48989" customFormat="1" x14ac:dyDescent="0.2"/>
    <row r="48990" customFormat="1" x14ac:dyDescent="0.2"/>
    <row r="48991" customFormat="1" x14ac:dyDescent="0.2"/>
    <row r="48992" customFormat="1" x14ac:dyDescent="0.2"/>
    <row r="48993" customFormat="1" x14ac:dyDescent="0.2"/>
    <row r="48994" customFormat="1" x14ac:dyDescent="0.2"/>
    <row r="48995" customFormat="1" x14ac:dyDescent="0.2"/>
    <row r="48996" customFormat="1" x14ac:dyDescent="0.2"/>
    <row r="48997" customFormat="1" x14ac:dyDescent="0.2"/>
    <row r="48998" customFormat="1" x14ac:dyDescent="0.2"/>
    <row r="48999" customFormat="1" x14ac:dyDescent="0.2"/>
    <row r="49000" customFormat="1" x14ac:dyDescent="0.2"/>
    <row r="49001" customFormat="1" x14ac:dyDescent="0.2"/>
    <row r="49002" customFormat="1" x14ac:dyDescent="0.2"/>
    <row r="49003" customFormat="1" x14ac:dyDescent="0.2"/>
    <row r="49004" customFormat="1" x14ac:dyDescent="0.2"/>
    <row r="49005" customFormat="1" x14ac:dyDescent="0.2"/>
    <row r="49006" customFormat="1" x14ac:dyDescent="0.2"/>
    <row r="49007" customFormat="1" x14ac:dyDescent="0.2"/>
    <row r="49008" customFormat="1" x14ac:dyDescent="0.2"/>
    <row r="49009" customFormat="1" x14ac:dyDescent="0.2"/>
    <row r="49010" customFormat="1" x14ac:dyDescent="0.2"/>
    <row r="49011" customFormat="1" x14ac:dyDescent="0.2"/>
    <row r="49012" customFormat="1" x14ac:dyDescent="0.2"/>
    <row r="49013" customFormat="1" x14ac:dyDescent="0.2"/>
    <row r="49014" customFormat="1" x14ac:dyDescent="0.2"/>
    <row r="49015" customFormat="1" x14ac:dyDescent="0.2"/>
    <row r="49016" customFormat="1" x14ac:dyDescent="0.2"/>
    <row r="49017" customFormat="1" x14ac:dyDescent="0.2"/>
    <row r="49018" customFormat="1" x14ac:dyDescent="0.2"/>
    <row r="49019" customFormat="1" x14ac:dyDescent="0.2"/>
    <row r="49020" customFormat="1" x14ac:dyDescent="0.2"/>
    <row r="49021" customFormat="1" x14ac:dyDescent="0.2"/>
    <row r="49022" customFormat="1" x14ac:dyDescent="0.2"/>
    <row r="49023" customFormat="1" x14ac:dyDescent="0.2"/>
    <row r="49024" customFormat="1" x14ac:dyDescent="0.2"/>
    <row r="49025" customFormat="1" x14ac:dyDescent="0.2"/>
    <row r="49026" customFormat="1" x14ac:dyDescent="0.2"/>
    <row r="49027" customFormat="1" x14ac:dyDescent="0.2"/>
    <row r="49028" customFormat="1" x14ac:dyDescent="0.2"/>
    <row r="49029" customFormat="1" x14ac:dyDescent="0.2"/>
    <row r="49030" customFormat="1" x14ac:dyDescent="0.2"/>
    <row r="49031" customFormat="1" x14ac:dyDescent="0.2"/>
    <row r="49032" customFormat="1" x14ac:dyDescent="0.2"/>
    <row r="49033" customFormat="1" x14ac:dyDescent="0.2"/>
    <row r="49034" customFormat="1" x14ac:dyDescent="0.2"/>
    <row r="49035" customFormat="1" x14ac:dyDescent="0.2"/>
    <row r="49036" customFormat="1" x14ac:dyDescent="0.2"/>
    <row r="49037" customFormat="1" x14ac:dyDescent="0.2"/>
    <row r="49038" customFormat="1" x14ac:dyDescent="0.2"/>
    <row r="49039" customFormat="1" x14ac:dyDescent="0.2"/>
    <row r="49040" customFormat="1" x14ac:dyDescent="0.2"/>
    <row r="49041" customFormat="1" x14ac:dyDescent="0.2"/>
    <row r="49042" customFormat="1" x14ac:dyDescent="0.2"/>
    <row r="49043" customFormat="1" x14ac:dyDescent="0.2"/>
    <row r="49044" customFormat="1" x14ac:dyDescent="0.2"/>
    <row r="49045" customFormat="1" x14ac:dyDescent="0.2"/>
    <row r="49046" customFormat="1" x14ac:dyDescent="0.2"/>
    <row r="49047" customFormat="1" x14ac:dyDescent="0.2"/>
    <row r="49048" customFormat="1" x14ac:dyDescent="0.2"/>
    <row r="49049" customFormat="1" x14ac:dyDescent="0.2"/>
    <row r="49050" customFormat="1" x14ac:dyDescent="0.2"/>
    <row r="49051" customFormat="1" x14ac:dyDescent="0.2"/>
    <row r="49052" customFormat="1" x14ac:dyDescent="0.2"/>
    <row r="49053" customFormat="1" x14ac:dyDescent="0.2"/>
    <row r="49054" customFormat="1" x14ac:dyDescent="0.2"/>
    <row r="49055" customFormat="1" x14ac:dyDescent="0.2"/>
    <row r="49056" customFormat="1" x14ac:dyDescent="0.2"/>
    <row r="49057" customFormat="1" x14ac:dyDescent="0.2"/>
    <row r="49058" customFormat="1" x14ac:dyDescent="0.2"/>
    <row r="49059" customFormat="1" x14ac:dyDescent="0.2"/>
    <row r="49060" customFormat="1" x14ac:dyDescent="0.2"/>
    <row r="49061" customFormat="1" x14ac:dyDescent="0.2"/>
    <row r="49062" customFormat="1" x14ac:dyDescent="0.2"/>
    <row r="49063" customFormat="1" x14ac:dyDescent="0.2"/>
    <row r="49064" customFormat="1" x14ac:dyDescent="0.2"/>
    <row r="49065" customFormat="1" x14ac:dyDescent="0.2"/>
    <row r="49066" customFormat="1" x14ac:dyDescent="0.2"/>
    <row r="49067" customFormat="1" x14ac:dyDescent="0.2"/>
    <row r="49068" customFormat="1" x14ac:dyDescent="0.2"/>
    <row r="49069" customFormat="1" x14ac:dyDescent="0.2"/>
    <row r="49070" customFormat="1" x14ac:dyDescent="0.2"/>
    <row r="49071" customFormat="1" x14ac:dyDescent="0.2"/>
    <row r="49072" customFormat="1" x14ac:dyDescent="0.2"/>
    <row r="49073" customFormat="1" x14ac:dyDescent="0.2"/>
    <row r="49074" customFormat="1" x14ac:dyDescent="0.2"/>
    <row r="49075" customFormat="1" x14ac:dyDescent="0.2"/>
    <row r="49076" customFormat="1" x14ac:dyDescent="0.2"/>
    <row r="49077" customFormat="1" x14ac:dyDescent="0.2"/>
    <row r="49078" customFormat="1" x14ac:dyDescent="0.2"/>
    <row r="49079" customFormat="1" x14ac:dyDescent="0.2"/>
    <row r="49080" customFormat="1" x14ac:dyDescent="0.2"/>
    <row r="49081" customFormat="1" x14ac:dyDescent="0.2"/>
    <row r="49082" customFormat="1" x14ac:dyDescent="0.2"/>
    <row r="49083" customFormat="1" x14ac:dyDescent="0.2"/>
    <row r="49084" customFormat="1" x14ac:dyDescent="0.2"/>
    <row r="49085" customFormat="1" x14ac:dyDescent="0.2"/>
    <row r="49086" customFormat="1" x14ac:dyDescent="0.2"/>
    <row r="49087" customFormat="1" x14ac:dyDescent="0.2"/>
    <row r="49088" customFormat="1" x14ac:dyDescent="0.2"/>
    <row r="49089" customFormat="1" x14ac:dyDescent="0.2"/>
    <row r="49090" customFormat="1" x14ac:dyDescent="0.2"/>
    <row r="49091" customFormat="1" x14ac:dyDescent="0.2"/>
    <row r="49092" customFormat="1" x14ac:dyDescent="0.2"/>
    <row r="49093" customFormat="1" x14ac:dyDescent="0.2"/>
    <row r="49094" customFormat="1" x14ac:dyDescent="0.2"/>
    <row r="49095" customFormat="1" x14ac:dyDescent="0.2"/>
    <row r="49096" customFormat="1" x14ac:dyDescent="0.2"/>
    <row r="49097" customFormat="1" x14ac:dyDescent="0.2"/>
    <row r="49098" customFormat="1" x14ac:dyDescent="0.2"/>
    <row r="49099" customFormat="1" x14ac:dyDescent="0.2"/>
    <row r="49100" customFormat="1" x14ac:dyDescent="0.2"/>
    <row r="49101" customFormat="1" x14ac:dyDescent="0.2"/>
    <row r="49102" customFormat="1" x14ac:dyDescent="0.2"/>
    <row r="49103" customFormat="1" x14ac:dyDescent="0.2"/>
    <row r="49104" customFormat="1" x14ac:dyDescent="0.2"/>
    <row r="49105" customFormat="1" x14ac:dyDescent="0.2"/>
    <row r="49106" customFormat="1" x14ac:dyDescent="0.2"/>
    <row r="49107" customFormat="1" x14ac:dyDescent="0.2"/>
    <row r="49108" customFormat="1" x14ac:dyDescent="0.2"/>
    <row r="49109" customFormat="1" x14ac:dyDescent="0.2"/>
    <row r="49110" customFormat="1" x14ac:dyDescent="0.2"/>
    <row r="49111" customFormat="1" x14ac:dyDescent="0.2"/>
    <row r="49112" customFormat="1" x14ac:dyDescent="0.2"/>
    <row r="49113" customFormat="1" x14ac:dyDescent="0.2"/>
    <row r="49114" customFormat="1" x14ac:dyDescent="0.2"/>
    <row r="49115" customFormat="1" x14ac:dyDescent="0.2"/>
    <row r="49116" customFormat="1" x14ac:dyDescent="0.2"/>
    <row r="49117" customFormat="1" x14ac:dyDescent="0.2"/>
    <row r="49118" customFormat="1" x14ac:dyDescent="0.2"/>
    <row r="49119" customFormat="1" x14ac:dyDescent="0.2"/>
    <row r="49120" customFormat="1" x14ac:dyDescent="0.2"/>
    <row r="49121" customFormat="1" x14ac:dyDescent="0.2"/>
    <row r="49122" customFormat="1" x14ac:dyDescent="0.2"/>
    <row r="49123" customFormat="1" x14ac:dyDescent="0.2"/>
    <row r="49124" customFormat="1" x14ac:dyDescent="0.2"/>
    <row r="49125" customFormat="1" x14ac:dyDescent="0.2"/>
    <row r="49126" customFormat="1" x14ac:dyDescent="0.2"/>
    <row r="49127" customFormat="1" x14ac:dyDescent="0.2"/>
    <row r="49128" customFormat="1" x14ac:dyDescent="0.2"/>
    <row r="49129" customFormat="1" x14ac:dyDescent="0.2"/>
    <row r="49130" customFormat="1" x14ac:dyDescent="0.2"/>
    <row r="49131" customFormat="1" x14ac:dyDescent="0.2"/>
    <row r="49132" customFormat="1" x14ac:dyDescent="0.2"/>
    <row r="49133" customFormat="1" x14ac:dyDescent="0.2"/>
    <row r="49134" customFormat="1" x14ac:dyDescent="0.2"/>
    <row r="49135" customFormat="1" x14ac:dyDescent="0.2"/>
    <row r="49136" customFormat="1" x14ac:dyDescent="0.2"/>
    <row r="49137" customFormat="1" x14ac:dyDescent="0.2"/>
    <row r="49138" customFormat="1" x14ac:dyDescent="0.2"/>
    <row r="49139" customFormat="1" x14ac:dyDescent="0.2"/>
    <row r="49140" customFormat="1" x14ac:dyDescent="0.2"/>
    <row r="49141" customFormat="1" x14ac:dyDescent="0.2"/>
    <row r="49142" customFormat="1" x14ac:dyDescent="0.2"/>
    <row r="49143" customFormat="1" x14ac:dyDescent="0.2"/>
    <row r="49144" customFormat="1" x14ac:dyDescent="0.2"/>
    <row r="49145" customFormat="1" x14ac:dyDescent="0.2"/>
    <row r="49146" customFormat="1" x14ac:dyDescent="0.2"/>
    <row r="49147" customFormat="1" x14ac:dyDescent="0.2"/>
    <row r="49148" customFormat="1" x14ac:dyDescent="0.2"/>
    <row r="49149" customFormat="1" x14ac:dyDescent="0.2"/>
    <row r="49150" customFormat="1" x14ac:dyDescent="0.2"/>
    <row r="49151" customFormat="1" x14ac:dyDescent="0.2"/>
    <row r="49152" customFormat="1" x14ac:dyDescent="0.2"/>
    <row r="49153" customFormat="1" x14ac:dyDescent="0.2"/>
    <row r="49154" customFormat="1" x14ac:dyDescent="0.2"/>
    <row r="49155" customFormat="1" x14ac:dyDescent="0.2"/>
    <row r="49156" customFormat="1" x14ac:dyDescent="0.2"/>
    <row r="49157" customFormat="1" x14ac:dyDescent="0.2"/>
    <row r="49158" customFormat="1" x14ac:dyDescent="0.2"/>
    <row r="49159" customFormat="1" x14ac:dyDescent="0.2"/>
    <row r="49160" customFormat="1" x14ac:dyDescent="0.2"/>
    <row r="49161" customFormat="1" x14ac:dyDescent="0.2"/>
    <row r="49162" customFormat="1" x14ac:dyDescent="0.2"/>
    <row r="49163" customFormat="1" x14ac:dyDescent="0.2"/>
    <row r="49164" customFormat="1" x14ac:dyDescent="0.2"/>
    <row r="49165" customFormat="1" x14ac:dyDescent="0.2"/>
    <row r="49166" customFormat="1" x14ac:dyDescent="0.2"/>
    <row r="49167" customFormat="1" x14ac:dyDescent="0.2"/>
    <row r="49168" customFormat="1" x14ac:dyDescent="0.2"/>
    <row r="49169" customFormat="1" x14ac:dyDescent="0.2"/>
    <row r="49170" customFormat="1" x14ac:dyDescent="0.2"/>
    <row r="49171" customFormat="1" x14ac:dyDescent="0.2"/>
    <row r="49172" customFormat="1" x14ac:dyDescent="0.2"/>
    <row r="49173" customFormat="1" x14ac:dyDescent="0.2"/>
    <row r="49174" customFormat="1" x14ac:dyDescent="0.2"/>
    <row r="49175" customFormat="1" x14ac:dyDescent="0.2"/>
    <row r="49176" customFormat="1" x14ac:dyDescent="0.2"/>
    <row r="49177" customFormat="1" x14ac:dyDescent="0.2"/>
    <row r="49178" customFormat="1" x14ac:dyDescent="0.2"/>
    <row r="49179" customFormat="1" x14ac:dyDescent="0.2"/>
    <row r="49180" customFormat="1" x14ac:dyDescent="0.2"/>
    <row r="49181" customFormat="1" x14ac:dyDescent="0.2"/>
    <row r="49182" customFormat="1" x14ac:dyDescent="0.2"/>
    <row r="49183" customFormat="1" x14ac:dyDescent="0.2"/>
    <row r="49184" customFormat="1" x14ac:dyDescent="0.2"/>
    <row r="49185" customFormat="1" x14ac:dyDescent="0.2"/>
    <row r="49186" customFormat="1" x14ac:dyDescent="0.2"/>
    <row r="49187" customFormat="1" x14ac:dyDescent="0.2"/>
    <row r="49188" customFormat="1" x14ac:dyDescent="0.2"/>
    <row r="49189" customFormat="1" x14ac:dyDescent="0.2"/>
    <row r="49190" customFormat="1" x14ac:dyDescent="0.2"/>
    <row r="49191" customFormat="1" x14ac:dyDescent="0.2"/>
    <row r="49192" customFormat="1" x14ac:dyDescent="0.2"/>
    <row r="49193" customFormat="1" x14ac:dyDescent="0.2"/>
    <row r="49194" customFormat="1" x14ac:dyDescent="0.2"/>
    <row r="49195" customFormat="1" x14ac:dyDescent="0.2"/>
    <row r="49196" customFormat="1" x14ac:dyDescent="0.2"/>
    <row r="49197" customFormat="1" x14ac:dyDescent="0.2"/>
    <row r="49198" customFormat="1" x14ac:dyDescent="0.2"/>
    <row r="49199" customFormat="1" x14ac:dyDescent="0.2"/>
    <row r="49200" customFormat="1" x14ac:dyDescent="0.2"/>
    <row r="49201" customFormat="1" x14ac:dyDescent="0.2"/>
    <row r="49202" customFormat="1" x14ac:dyDescent="0.2"/>
    <row r="49203" customFormat="1" x14ac:dyDescent="0.2"/>
    <row r="49204" customFormat="1" x14ac:dyDescent="0.2"/>
    <row r="49205" customFormat="1" x14ac:dyDescent="0.2"/>
    <row r="49206" customFormat="1" x14ac:dyDescent="0.2"/>
    <row r="49207" customFormat="1" x14ac:dyDescent="0.2"/>
    <row r="49208" customFormat="1" x14ac:dyDescent="0.2"/>
    <row r="49209" customFormat="1" x14ac:dyDescent="0.2"/>
    <row r="49210" customFormat="1" x14ac:dyDescent="0.2"/>
    <row r="49211" customFormat="1" x14ac:dyDescent="0.2"/>
    <row r="49212" customFormat="1" x14ac:dyDescent="0.2"/>
    <row r="49213" customFormat="1" x14ac:dyDescent="0.2"/>
    <row r="49214" customFormat="1" x14ac:dyDescent="0.2"/>
    <row r="49215" customFormat="1" x14ac:dyDescent="0.2"/>
    <row r="49216" customFormat="1" x14ac:dyDescent="0.2"/>
    <row r="49217" customFormat="1" x14ac:dyDescent="0.2"/>
    <row r="49218" customFormat="1" x14ac:dyDescent="0.2"/>
    <row r="49219" customFormat="1" x14ac:dyDescent="0.2"/>
    <row r="49220" customFormat="1" x14ac:dyDescent="0.2"/>
    <row r="49221" customFormat="1" x14ac:dyDescent="0.2"/>
    <row r="49222" customFormat="1" x14ac:dyDescent="0.2"/>
    <row r="49223" customFormat="1" x14ac:dyDescent="0.2"/>
    <row r="49224" customFormat="1" x14ac:dyDescent="0.2"/>
    <row r="49225" customFormat="1" x14ac:dyDescent="0.2"/>
    <row r="49226" customFormat="1" x14ac:dyDescent="0.2"/>
    <row r="49227" customFormat="1" x14ac:dyDescent="0.2"/>
    <row r="49228" customFormat="1" x14ac:dyDescent="0.2"/>
    <row r="49229" customFormat="1" x14ac:dyDescent="0.2"/>
    <row r="49230" customFormat="1" x14ac:dyDescent="0.2"/>
    <row r="49231" customFormat="1" x14ac:dyDescent="0.2"/>
    <row r="49232" customFormat="1" x14ac:dyDescent="0.2"/>
    <row r="49233" customFormat="1" x14ac:dyDescent="0.2"/>
    <row r="49234" customFormat="1" x14ac:dyDescent="0.2"/>
    <row r="49235" customFormat="1" x14ac:dyDescent="0.2"/>
    <row r="49236" customFormat="1" x14ac:dyDescent="0.2"/>
    <row r="49237" customFormat="1" x14ac:dyDescent="0.2"/>
    <row r="49238" customFormat="1" x14ac:dyDescent="0.2"/>
    <row r="49239" customFormat="1" x14ac:dyDescent="0.2"/>
    <row r="49240" customFormat="1" x14ac:dyDescent="0.2"/>
    <row r="49241" customFormat="1" x14ac:dyDescent="0.2"/>
    <row r="49242" customFormat="1" x14ac:dyDescent="0.2"/>
    <row r="49243" customFormat="1" x14ac:dyDescent="0.2"/>
    <row r="49244" customFormat="1" x14ac:dyDescent="0.2"/>
    <row r="49245" customFormat="1" x14ac:dyDescent="0.2"/>
    <row r="49246" customFormat="1" x14ac:dyDescent="0.2"/>
    <row r="49247" customFormat="1" x14ac:dyDescent="0.2"/>
    <row r="49248" customFormat="1" x14ac:dyDescent="0.2"/>
    <row r="49249" customFormat="1" x14ac:dyDescent="0.2"/>
    <row r="49250" customFormat="1" x14ac:dyDescent="0.2"/>
    <row r="49251" customFormat="1" x14ac:dyDescent="0.2"/>
    <row r="49252" customFormat="1" x14ac:dyDescent="0.2"/>
    <row r="49253" customFormat="1" x14ac:dyDescent="0.2"/>
    <row r="49254" customFormat="1" x14ac:dyDescent="0.2"/>
    <row r="49255" customFormat="1" x14ac:dyDescent="0.2"/>
    <row r="49256" customFormat="1" x14ac:dyDescent="0.2"/>
    <row r="49257" customFormat="1" x14ac:dyDescent="0.2"/>
    <row r="49258" customFormat="1" x14ac:dyDescent="0.2"/>
    <row r="49259" customFormat="1" x14ac:dyDescent="0.2"/>
    <row r="49260" customFormat="1" x14ac:dyDescent="0.2"/>
    <row r="49261" customFormat="1" x14ac:dyDescent="0.2"/>
    <row r="49262" customFormat="1" x14ac:dyDescent="0.2"/>
    <row r="49263" customFormat="1" x14ac:dyDescent="0.2"/>
    <row r="49264" customFormat="1" x14ac:dyDescent="0.2"/>
    <row r="49265" customFormat="1" x14ac:dyDescent="0.2"/>
    <row r="49266" customFormat="1" x14ac:dyDescent="0.2"/>
    <row r="49267" customFormat="1" x14ac:dyDescent="0.2"/>
    <row r="49268" customFormat="1" x14ac:dyDescent="0.2"/>
    <row r="49269" customFormat="1" x14ac:dyDescent="0.2"/>
    <row r="49270" customFormat="1" x14ac:dyDescent="0.2"/>
    <row r="49271" customFormat="1" x14ac:dyDescent="0.2"/>
    <row r="49272" customFormat="1" x14ac:dyDescent="0.2"/>
    <row r="49273" customFormat="1" x14ac:dyDescent="0.2"/>
    <row r="49274" customFormat="1" x14ac:dyDescent="0.2"/>
    <row r="49275" customFormat="1" x14ac:dyDescent="0.2"/>
    <row r="49276" customFormat="1" x14ac:dyDescent="0.2"/>
    <row r="49277" customFormat="1" x14ac:dyDescent="0.2"/>
    <row r="49278" customFormat="1" x14ac:dyDescent="0.2"/>
    <row r="49279" customFormat="1" x14ac:dyDescent="0.2"/>
    <row r="49280" customFormat="1" x14ac:dyDescent="0.2"/>
    <row r="49281" customFormat="1" x14ac:dyDescent="0.2"/>
    <row r="49282" customFormat="1" x14ac:dyDescent="0.2"/>
    <row r="49283" customFormat="1" x14ac:dyDescent="0.2"/>
    <row r="49284" customFormat="1" x14ac:dyDescent="0.2"/>
    <row r="49285" customFormat="1" x14ac:dyDescent="0.2"/>
    <row r="49286" customFormat="1" x14ac:dyDescent="0.2"/>
    <row r="49287" customFormat="1" x14ac:dyDescent="0.2"/>
    <row r="49288" customFormat="1" x14ac:dyDescent="0.2"/>
    <row r="49289" customFormat="1" x14ac:dyDescent="0.2"/>
    <row r="49290" customFormat="1" x14ac:dyDescent="0.2"/>
    <row r="49291" customFormat="1" x14ac:dyDescent="0.2"/>
    <row r="49292" customFormat="1" x14ac:dyDescent="0.2"/>
    <row r="49293" customFormat="1" x14ac:dyDescent="0.2"/>
    <row r="49294" customFormat="1" x14ac:dyDescent="0.2"/>
    <row r="49295" customFormat="1" x14ac:dyDescent="0.2"/>
    <row r="49296" customFormat="1" x14ac:dyDescent="0.2"/>
    <row r="49297" customFormat="1" x14ac:dyDescent="0.2"/>
    <row r="49298" customFormat="1" x14ac:dyDescent="0.2"/>
    <row r="49299" customFormat="1" x14ac:dyDescent="0.2"/>
    <row r="49300" customFormat="1" x14ac:dyDescent="0.2"/>
    <row r="49301" customFormat="1" x14ac:dyDescent="0.2"/>
    <row r="49302" customFormat="1" x14ac:dyDescent="0.2"/>
    <row r="49303" customFormat="1" x14ac:dyDescent="0.2"/>
    <row r="49304" customFormat="1" x14ac:dyDescent="0.2"/>
    <row r="49305" customFormat="1" x14ac:dyDescent="0.2"/>
    <row r="49306" customFormat="1" x14ac:dyDescent="0.2"/>
    <row r="49307" customFormat="1" x14ac:dyDescent="0.2"/>
    <row r="49308" customFormat="1" x14ac:dyDescent="0.2"/>
    <row r="49309" customFormat="1" x14ac:dyDescent="0.2"/>
    <row r="49310" customFormat="1" x14ac:dyDescent="0.2"/>
    <row r="49311" customFormat="1" x14ac:dyDescent="0.2"/>
    <row r="49312" customFormat="1" x14ac:dyDescent="0.2"/>
    <row r="49313" customFormat="1" x14ac:dyDescent="0.2"/>
    <row r="49314" customFormat="1" x14ac:dyDescent="0.2"/>
    <row r="49315" customFormat="1" x14ac:dyDescent="0.2"/>
    <row r="49316" customFormat="1" x14ac:dyDescent="0.2"/>
    <row r="49317" customFormat="1" x14ac:dyDescent="0.2"/>
    <row r="49318" customFormat="1" x14ac:dyDescent="0.2"/>
    <row r="49319" customFormat="1" x14ac:dyDescent="0.2"/>
    <row r="49320" customFormat="1" x14ac:dyDescent="0.2"/>
    <row r="49321" customFormat="1" x14ac:dyDescent="0.2"/>
    <row r="49322" customFormat="1" x14ac:dyDescent="0.2"/>
    <row r="49323" customFormat="1" x14ac:dyDescent="0.2"/>
    <row r="49324" customFormat="1" x14ac:dyDescent="0.2"/>
    <row r="49325" customFormat="1" x14ac:dyDescent="0.2"/>
    <row r="49326" customFormat="1" x14ac:dyDescent="0.2"/>
    <row r="49327" customFormat="1" x14ac:dyDescent="0.2"/>
    <row r="49328" customFormat="1" x14ac:dyDescent="0.2"/>
    <row r="49329" customFormat="1" x14ac:dyDescent="0.2"/>
    <row r="49330" customFormat="1" x14ac:dyDescent="0.2"/>
    <row r="49331" customFormat="1" x14ac:dyDescent="0.2"/>
    <row r="49332" customFormat="1" x14ac:dyDescent="0.2"/>
    <row r="49333" customFormat="1" x14ac:dyDescent="0.2"/>
    <row r="49334" customFormat="1" x14ac:dyDescent="0.2"/>
    <row r="49335" customFormat="1" x14ac:dyDescent="0.2"/>
    <row r="49336" customFormat="1" x14ac:dyDescent="0.2"/>
    <row r="49337" customFormat="1" x14ac:dyDescent="0.2"/>
    <row r="49338" customFormat="1" x14ac:dyDescent="0.2"/>
    <row r="49339" customFormat="1" x14ac:dyDescent="0.2"/>
    <row r="49340" customFormat="1" x14ac:dyDescent="0.2"/>
    <row r="49341" customFormat="1" x14ac:dyDescent="0.2"/>
    <row r="49342" customFormat="1" x14ac:dyDescent="0.2"/>
    <row r="49343" customFormat="1" x14ac:dyDescent="0.2"/>
    <row r="49344" customFormat="1" x14ac:dyDescent="0.2"/>
    <row r="49345" customFormat="1" x14ac:dyDescent="0.2"/>
    <row r="49346" customFormat="1" x14ac:dyDescent="0.2"/>
    <row r="49347" customFormat="1" x14ac:dyDescent="0.2"/>
    <row r="49348" customFormat="1" x14ac:dyDescent="0.2"/>
    <row r="49349" customFormat="1" x14ac:dyDescent="0.2"/>
    <row r="49350" customFormat="1" x14ac:dyDescent="0.2"/>
    <row r="49351" customFormat="1" x14ac:dyDescent="0.2"/>
    <row r="49352" customFormat="1" x14ac:dyDescent="0.2"/>
    <row r="49353" customFormat="1" x14ac:dyDescent="0.2"/>
    <row r="49354" customFormat="1" x14ac:dyDescent="0.2"/>
    <row r="49355" customFormat="1" x14ac:dyDescent="0.2"/>
    <row r="49356" customFormat="1" x14ac:dyDescent="0.2"/>
    <row r="49357" customFormat="1" x14ac:dyDescent="0.2"/>
    <row r="49358" customFormat="1" x14ac:dyDescent="0.2"/>
    <row r="49359" customFormat="1" x14ac:dyDescent="0.2"/>
    <row r="49360" customFormat="1" x14ac:dyDescent="0.2"/>
    <row r="49361" customFormat="1" x14ac:dyDescent="0.2"/>
    <row r="49362" customFormat="1" x14ac:dyDescent="0.2"/>
    <row r="49363" customFormat="1" x14ac:dyDescent="0.2"/>
    <row r="49364" customFormat="1" x14ac:dyDescent="0.2"/>
    <row r="49365" customFormat="1" x14ac:dyDescent="0.2"/>
    <row r="49366" customFormat="1" x14ac:dyDescent="0.2"/>
    <row r="49367" customFormat="1" x14ac:dyDescent="0.2"/>
    <row r="49368" customFormat="1" x14ac:dyDescent="0.2"/>
    <row r="49369" customFormat="1" x14ac:dyDescent="0.2"/>
    <row r="49370" customFormat="1" x14ac:dyDescent="0.2"/>
    <row r="49371" customFormat="1" x14ac:dyDescent="0.2"/>
    <row r="49372" customFormat="1" x14ac:dyDescent="0.2"/>
    <row r="49373" customFormat="1" x14ac:dyDescent="0.2"/>
    <row r="49374" customFormat="1" x14ac:dyDescent="0.2"/>
    <row r="49375" customFormat="1" x14ac:dyDescent="0.2"/>
    <row r="49376" customFormat="1" x14ac:dyDescent="0.2"/>
    <row r="49377" customFormat="1" x14ac:dyDescent="0.2"/>
    <row r="49378" customFormat="1" x14ac:dyDescent="0.2"/>
    <row r="49379" customFormat="1" x14ac:dyDescent="0.2"/>
    <row r="49380" customFormat="1" x14ac:dyDescent="0.2"/>
    <row r="49381" customFormat="1" x14ac:dyDescent="0.2"/>
    <row r="49382" customFormat="1" x14ac:dyDescent="0.2"/>
    <row r="49383" customFormat="1" x14ac:dyDescent="0.2"/>
    <row r="49384" customFormat="1" x14ac:dyDescent="0.2"/>
    <row r="49385" customFormat="1" x14ac:dyDescent="0.2"/>
    <row r="49386" customFormat="1" x14ac:dyDescent="0.2"/>
    <row r="49387" customFormat="1" x14ac:dyDescent="0.2"/>
    <row r="49388" customFormat="1" x14ac:dyDescent="0.2"/>
    <row r="49389" customFormat="1" x14ac:dyDescent="0.2"/>
    <row r="49390" customFormat="1" x14ac:dyDescent="0.2"/>
    <row r="49391" customFormat="1" x14ac:dyDescent="0.2"/>
    <row r="49392" customFormat="1" x14ac:dyDescent="0.2"/>
    <row r="49393" customFormat="1" x14ac:dyDescent="0.2"/>
    <row r="49394" customFormat="1" x14ac:dyDescent="0.2"/>
    <row r="49395" customFormat="1" x14ac:dyDescent="0.2"/>
    <row r="49396" customFormat="1" x14ac:dyDescent="0.2"/>
    <row r="49397" customFormat="1" x14ac:dyDescent="0.2"/>
    <row r="49398" customFormat="1" x14ac:dyDescent="0.2"/>
    <row r="49399" customFormat="1" x14ac:dyDescent="0.2"/>
    <row r="49400" customFormat="1" x14ac:dyDescent="0.2"/>
    <row r="49401" customFormat="1" x14ac:dyDescent="0.2"/>
    <row r="49402" customFormat="1" x14ac:dyDescent="0.2"/>
    <row r="49403" customFormat="1" x14ac:dyDescent="0.2"/>
    <row r="49404" customFormat="1" x14ac:dyDescent="0.2"/>
    <row r="49405" customFormat="1" x14ac:dyDescent="0.2"/>
    <row r="49406" customFormat="1" x14ac:dyDescent="0.2"/>
    <row r="49407" customFormat="1" x14ac:dyDescent="0.2"/>
    <row r="49408" customFormat="1" x14ac:dyDescent="0.2"/>
    <row r="49409" customFormat="1" x14ac:dyDescent="0.2"/>
    <row r="49410" customFormat="1" x14ac:dyDescent="0.2"/>
    <row r="49411" customFormat="1" x14ac:dyDescent="0.2"/>
    <row r="49412" customFormat="1" x14ac:dyDescent="0.2"/>
    <row r="49413" customFormat="1" x14ac:dyDescent="0.2"/>
    <row r="49414" customFormat="1" x14ac:dyDescent="0.2"/>
    <row r="49415" customFormat="1" x14ac:dyDescent="0.2"/>
    <row r="49416" customFormat="1" x14ac:dyDescent="0.2"/>
    <row r="49417" customFormat="1" x14ac:dyDescent="0.2"/>
    <row r="49418" customFormat="1" x14ac:dyDescent="0.2"/>
    <row r="49419" customFormat="1" x14ac:dyDescent="0.2"/>
    <row r="49420" customFormat="1" x14ac:dyDescent="0.2"/>
    <row r="49421" customFormat="1" x14ac:dyDescent="0.2"/>
    <row r="49422" customFormat="1" x14ac:dyDescent="0.2"/>
    <row r="49423" customFormat="1" x14ac:dyDescent="0.2"/>
    <row r="49424" customFormat="1" x14ac:dyDescent="0.2"/>
    <row r="49425" customFormat="1" x14ac:dyDescent="0.2"/>
    <row r="49426" customFormat="1" x14ac:dyDescent="0.2"/>
    <row r="49427" customFormat="1" x14ac:dyDescent="0.2"/>
    <row r="49428" customFormat="1" x14ac:dyDescent="0.2"/>
    <row r="49429" customFormat="1" x14ac:dyDescent="0.2"/>
    <row r="49430" customFormat="1" x14ac:dyDescent="0.2"/>
    <row r="49431" customFormat="1" x14ac:dyDescent="0.2"/>
    <row r="49432" customFormat="1" x14ac:dyDescent="0.2"/>
    <row r="49433" customFormat="1" x14ac:dyDescent="0.2"/>
    <row r="49434" customFormat="1" x14ac:dyDescent="0.2"/>
    <row r="49435" customFormat="1" x14ac:dyDescent="0.2"/>
    <row r="49436" customFormat="1" x14ac:dyDescent="0.2"/>
    <row r="49437" customFormat="1" x14ac:dyDescent="0.2"/>
    <row r="49438" customFormat="1" x14ac:dyDescent="0.2"/>
    <row r="49439" customFormat="1" x14ac:dyDescent="0.2"/>
    <row r="49440" customFormat="1" x14ac:dyDescent="0.2"/>
    <row r="49441" customFormat="1" x14ac:dyDescent="0.2"/>
    <row r="49442" customFormat="1" x14ac:dyDescent="0.2"/>
    <row r="49443" customFormat="1" x14ac:dyDescent="0.2"/>
    <row r="49444" customFormat="1" x14ac:dyDescent="0.2"/>
    <row r="49445" customFormat="1" x14ac:dyDescent="0.2"/>
    <row r="49446" customFormat="1" x14ac:dyDescent="0.2"/>
    <row r="49447" customFormat="1" x14ac:dyDescent="0.2"/>
    <row r="49448" customFormat="1" x14ac:dyDescent="0.2"/>
    <row r="49449" customFormat="1" x14ac:dyDescent="0.2"/>
    <row r="49450" customFormat="1" x14ac:dyDescent="0.2"/>
    <row r="49451" customFormat="1" x14ac:dyDescent="0.2"/>
    <row r="49452" customFormat="1" x14ac:dyDescent="0.2"/>
    <row r="49453" customFormat="1" x14ac:dyDescent="0.2"/>
    <row r="49454" customFormat="1" x14ac:dyDescent="0.2"/>
    <row r="49455" customFormat="1" x14ac:dyDescent="0.2"/>
    <row r="49456" customFormat="1" x14ac:dyDescent="0.2"/>
    <row r="49457" customFormat="1" x14ac:dyDescent="0.2"/>
    <row r="49458" customFormat="1" x14ac:dyDescent="0.2"/>
    <row r="49459" customFormat="1" x14ac:dyDescent="0.2"/>
    <row r="49460" customFormat="1" x14ac:dyDescent="0.2"/>
    <row r="49461" customFormat="1" x14ac:dyDescent="0.2"/>
    <row r="49462" customFormat="1" x14ac:dyDescent="0.2"/>
    <row r="49463" customFormat="1" x14ac:dyDescent="0.2"/>
    <row r="49464" customFormat="1" x14ac:dyDescent="0.2"/>
    <row r="49465" customFormat="1" x14ac:dyDescent="0.2"/>
    <row r="49466" customFormat="1" x14ac:dyDescent="0.2"/>
    <row r="49467" customFormat="1" x14ac:dyDescent="0.2"/>
    <row r="49468" customFormat="1" x14ac:dyDescent="0.2"/>
    <row r="49469" customFormat="1" x14ac:dyDescent="0.2"/>
    <row r="49470" customFormat="1" x14ac:dyDescent="0.2"/>
    <row r="49471" customFormat="1" x14ac:dyDescent="0.2"/>
    <row r="49472" customFormat="1" x14ac:dyDescent="0.2"/>
    <row r="49473" customFormat="1" x14ac:dyDescent="0.2"/>
    <row r="49474" customFormat="1" x14ac:dyDescent="0.2"/>
    <row r="49475" customFormat="1" x14ac:dyDescent="0.2"/>
    <row r="49476" customFormat="1" x14ac:dyDescent="0.2"/>
    <row r="49477" customFormat="1" x14ac:dyDescent="0.2"/>
    <row r="49478" customFormat="1" x14ac:dyDescent="0.2"/>
    <row r="49479" customFormat="1" x14ac:dyDescent="0.2"/>
    <row r="49480" customFormat="1" x14ac:dyDescent="0.2"/>
    <row r="49481" customFormat="1" x14ac:dyDescent="0.2"/>
    <row r="49482" customFormat="1" x14ac:dyDescent="0.2"/>
    <row r="49483" customFormat="1" x14ac:dyDescent="0.2"/>
    <row r="49484" customFormat="1" x14ac:dyDescent="0.2"/>
    <row r="49485" customFormat="1" x14ac:dyDescent="0.2"/>
    <row r="49486" customFormat="1" x14ac:dyDescent="0.2"/>
    <row r="49487" customFormat="1" x14ac:dyDescent="0.2"/>
    <row r="49488" customFormat="1" x14ac:dyDescent="0.2"/>
    <row r="49489" customFormat="1" x14ac:dyDescent="0.2"/>
    <row r="49490" customFormat="1" x14ac:dyDescent="0.2"/>
    <row r="49491" customFormat="1" x14ac:dyDescent="0.2"/>
    <row r="49492" customFormat="1" x14ac:dyDescent="0.2"/>
    <row r="49493" customFormat="1" x14ac:dyDescent="0.2"/>
    <row r="49494" customFormat="1" x14ac:dyDescent="0.2"/>
    <row r="49495" customFormat="1" x14ac:dyDescent="0.2"/>
    <row r="49496" customFormat="1" x14ac:dyDescent="0.2"/>
    <row r="49497" customFormat="1" x14ac:dyDescent="0.2"/>
    <row r="49498" customFormat="1" x14ac:dyDescent="0.2"/>
    <row r="49499" customFormat="1" x14ac:dyDescent="0.2"/>
    <row r="49500" customFormat="1" x14ac:dyDescent="0.2"/>
    <row r="49501" customFormat="1" x14ac:dyDescent="0.2"/>
    <row r="49502" customFormat="1" x14ac:dyDescent="0.2"/>
    <row r="49503" customFormat="1" x14ac:dyDescent="0.2"/>
    <row r="49504" customFormat="1" x14ac:dyDescent="0.2"/>
    <row r="49505" customFormat="1" x14ac:dyDescent="0.2"/>
    <row r="49506" customFormat="1" x14ac:dyDescent="0.2"/>
    <row r="49507" customFormat="1" x14ac:dyDescent="0.2"/>
    <row r="49508" customFormat="1" x14ac:dyDescent="0.2"/>
    <row r="49509" customFormat="1" x14ac:dyDescent="0.2"/>
    <row r="49510" customFormat="1" x14ac:dyDescent="0.2"/>
    <row r="49511" customFormat="1" x14ac:dyDescent="0.2"/>
    <row r="49512" customFormat="1" x14ac:dyDescent="0.2"/>
    <row r="49513" customFormat="1" x14ac:dyDescent="0.2"/>
    <row r="49514" customFormat="1" x14ac:dyDescent="0.2"/>
    <row r="49515" customFormat="1" x14ac:dyDescent="0.2"/>
    <row r="49516" customFormat="1" x14ac:dyDescent="0.2"/>
    <row r="49517" customFormat="1" x14ac:dyDescent="0.2"/>
    <row r="49518" customFormat="1" x14ac:dyDescent="0.2"/>
    <row r="49519" customFormat="1" x14ac:dyDescent="0.2"/>
    <row r="49520" customFormat="1" x14ac:dyDescent="0.2"/>
    <row r="49521" customFormat="1" x14ac:dyDescent="0.2"/>
    <row r="49522" customFormat="1" x14ac:dyDescent="0.2"/>
    <row r="49523" customFormat="1" x14ac:dyDescent="0.2"/>
    <row r="49524" customFormat="1" x14ac:dyDescent="0.2"/>
    <row r="49525" customFormat="1" x14ac:dyDescent="0.2"/>
    <row r="49526" customFormat="1" x14ac:dyDescent="0.2"/>
    <row r="49527" customFormat="1" x14ac:dyDescent="0.2"/>
    <row r="49528" customFormat="1" x14ac:dyDescent="0.2"/>
    <row r="49529" customFormat="1" x14ac:dyDescent="0.2"/>
    <row r="49530" customFormat="1" x14ac:dyDescent="0.2"/>
    <row r="49531" customFormat="1" x14ac:dyDescent="0.2"/>
    <row r="49532" customFormat="1" x14ac:dyDescent="0.2"/>
    <row r="49533" customFormat="1" x14ac:dyDescent="0.2"/>
    <row r="49534" customFormat="1" x14ac:dyDescent="0.2"/>
    <row r="49535" customFormat="1" x14ac:dyDescent="0.2"/>
    <row r="49536" customFormat="1" x14ac:dyDescent="0.2"/>
    <row r="49537" customFormat="1" x14ac:dyDescent="0.2"/>
    <row r="49538" customFormat="1" x14ac:dyDescent="0.2"/>
    <row r="49539" customFormat="1" x14ac:dyDescent="0.2"/>
    <row r="49540" customFormat="1" x14ac:dyDescent="0.2"/>
    <row r="49541" customFormat="1" x14ac:dyDescent="0.2"/>
    <row r="49542" customFormat="1" x14ac:dyDescent="0.2"/>
    <row r="49543" customFormat="1" x14ac:dyDescent="0.2"/>
    <row r="49544" customFormat="1" x14ac:dyDescent="0.2"/>
    <row r="49545" customFormat="1" x14ac:dyDescent="0.2"/>
    <row r="49546" customFormat="1" x14ac:dyDescent="0.2"/>
    <row r="49547" customFormat="1" x14ac:dyDescent="0.2"/>
    <row r="49548" customFormat="1" x14ac:dyDescent="0.2"/>
    <row r="49549" customFormat="1" x14ac:dyDescent="0.2"/>
    <row r="49550" customFormat="1" x14ac:dyDescent="0.2"/>
    <row r="49551" customFormat="1" x14ac:dyDescent="0.2"/>
    <row r="49552" customFormat="1" x14ac:dyDescent="0.2"/>
    <row r="49553" customFormat="1" x14ac:dyDescent="0.2"/>
    <row r="49554" customFormat="1" x14ac:dyDescent="0.2"/>
    <row r="49555" customFormat="1" x14ac:dyDescent="0.2"/>
    <row r="49556" customFormat="1" x14ac:dyDescent="0.2"/>
    <row r="49557" customFormat="1" x14ac:dyDescent="0.2"/>
    <row r="49558" customFormat="1" x14ac:dyDescent="0.2"/>
    <row r="49559" customFormat="1" x14ac:dyDescent="0.2"/>
    <row r="49560" customFormat="1" x14ac:dyDescent="0.2"/>
    <row r="49561" customFormat="1" x14ac:dyDescent="0.2"/>
    <row r="49562" customFormat="1" x14ac:dyDescent="0.2"/>
    <row r="49563" customFormat="1" x14ac:dyDescent="0.2"/>
    <row r="49564" customFormat="1" x14ac:dyDescent="0.2"/>
    <row r="49565" customFormat="1" x14ac:dyDescent="0.2"/>
    <row r="49566" customFormat="1" x14ac:dyDescent="0.2"/>
    <row r="49567" customFormat="1" x14ac:dyDescent="0.2"/>
    <row r="49568" customFormat="1" x14ac:dyDescent="0.2"/>
    <row r="49569" customFormat="1" x14ac:dyDescent="0.2"/>
    <row r="49570" customFormat="1" x14ac:dyDescent="0.2"/>
    <row r="49571" customFormat="1" x14ac:dyDescent="0.2"/>
    <row r="49572" customFormat="1" x14ac:dyDescent="0.2"/>
    <row r="49573" customFormat="1" x14ac:dyDescent="0.2"/>
    <row r="49574" customFormat="1" x14ac:dyDescent="0.2"/>
    <row r="49575" customFormat="1" x14ac:dyDescent="0.2"/>
    <row r="49576" customFormat="1" x14ac:dyDescent="0.2"/>
    <row r="49577" customFormat="1" x14ac:dyDescent="0.2"/>
    <row r="49578" customFormat="1" x14ac:dyDescent="0.2"/>
    <row r="49579" customFormat="1" x14ac:dyDescent="0.2"/>
    <row r="49580" customFormat="1" x14ac:dyDescent="0.2"/>
    <row r="49581" customFormat="1" x14ac:dyDescent="0.2"/>
    <row r="49582" customFormat="1" x14ac:dyDescent="0.2"/>
    <row r="49583" customFormat="1" x14ac:dyDescent="0.2"/>
    <row r="49584" customFormat="1" x14ac:dyDescent="0.2"/>
    <row r="49585" customFormat="1" x14ac:dyDescent="0.2"/>
    <row r="49586" customFormat="1" x14ac:dyDescent="0.2"/>
    <row r="49587" customFormat="1" x14ac:dyDescent="0.2"/>
    <row r="49588" customFormat="1" x14ac:dyDescent="0.2"/>
    <row r="49589" customFormat="1" x14ac:dyDescent="0.2"/>
    <row r="49590" customFormat="1" x14ac:dyDescent="0.2"/>
    <row r="49591" customFormat="1" x14ac:dyDescent="0.2"/>
    <row r="49592" customFormat="1" x14ac:dyDescent="0.2"/>
    <row r="49593" customFormat="1" x14ac:dyDescent="0.2"/>
    <row r="49594" customFormat="1" x14ac:dyDescent="0.2"/>
    <row r="49595" customFormat="1" x14ac:dyDescent="0.2"/>
    <row r="49596" customFormat="1" x14ac:dyDescent="0.2"/>
    <row r="49597" customFormat="1" x14ac:dyDescent="0.2"/>
    <row r="49598" customFormat="1" x14ac:dyDescent="0.2"/>
    <row r="49599" customFormat="1" x14ac:dyDescent="0.2"/>
    <row r="49600" customFormat="1" x14ac:dyDescent="0.2"/>
    <row r="49601" customFormat="1" x14ac:dyDescent="0.2"/>
    <row r="49602" customFormat="1" x14ac:dyDescent="0.2"/>
    <row r="49603" customFormat="1" x14ac:dyDescent="0.2"/>
    <row r="49604" customFormat="1" x14ac:dyDescent="0.2"/>
    <row r="49605" customFormat="1" x14ac:dyDescent="0.2"/>
    <row r="49606" customFormat="1" x14ac:dyDescent="0.2"/>
    <row r="49607" customFormat="1" x14ac:dyDescent="0.2"/>
    <row r="49608" customFormat="1" x14ac:dyDescent="0.2"/>
    <row r="49609" customFormat="1" x14ac:dyDescent="0.2"/>
    <row r="49610" customFormat="1" x14ac:dyDescent="0.2"/>
    <row r="49611" customFormat="1" x14ac:dyDescent="0.2"/>
    <row r="49612" customFormat="1" x14ac:dyDescent="0.2"/>
    <row r="49613" customFormat="1" x14ac:dyDescent="0.2"/>
    <row r="49614" customFormat="1" x14ac:dyDescent="0.2"/>
    <row r="49615" customFormat="1" x14ac:dyDescent="0.2"/>
    <row r="49616" customFormat="1" x14ac:dyDescent="0.2"/>
    <row r="49617" customFormat="1" x14ac:dyDescent="0.2"/>
    <row r="49618" customFormat="1" x14ac:dyDescent="0.2"/>
    <row r="49619" customFormat="1" x14ac:dyDescent="0.2"/>
    <row r="49620" customFormat="1" x14ac:dyDescent="0.2"/>
    <row r="49621" customFormat="1" x14ac:dyDescent="0.2"/>
    <row r="49622" customFormat="1" x14ac:dyDescent="0.2"/>
    <row r="49623" customFormat="1" x14ac:dyDescent="0.2"/>
    <row r="49624" customFormat="1" x14ac:dyDescent="0.2"/>
    <row r="49625" customFormat="1" x14ac:dyDescent="0.2"/>
    <row r="49626" customFormat="1" x14ac:dyDescent="0.2"/>
    <row r="49627" customFormat="1" x14ac:dyDescent="0.2"/>
    <row r="49628" customFormat="1" x14ac:dyDescent="0.2"/>
    <row r="49629" customFormat="1" x14ac:dyDescent="0.2"/>
    <row r="49630" customFormat="1" x14ac:dyDescent="0.2"/>
    <row r="49631" customFormat="1" x14ac:dyDescent="0.2"/>
    <row r="49632" customFormat="1" x14ac:dyDescent="0.2"/>
    <row r="49633" customFormat="1" x14ac:dyDescent="0.2"/>
    <row r="49634" customFormat="1" x14ac:dyDescent="0.2"/>
    <row r="49635" customFormat="1" x14ac:dyDescent="0.2"/>
    <row r="49636" customFormat="1" x14ac:dyDescent="0.2"/>
    <row r="49637" customFormat="1" x14ac:dyDescent="0.2"/>
    <row r="49638" customFormat="1" x14ac:dyDescent="0.2"/>
    <row r="49639" customFormat="1" x14ac:dyDescent="0.2"/>
    <row r="49640" customFormat="1" x14ac:dyDescent="0.2"/>
    <row r="49641" customFormat="1" x14ac:dyDescent="0.2"/>
    <row r="49642" customFormat="1" x14ac:dyDescent="0.2"/>
    <row r="49643" customFormat="1" x14ac:dyDescent="0.2"/>
    <row r="49644" customFormat="1" x14ac:dyDescent="0.2"/>
    <row r="49645" customFormat="1" x14ac:dyDescent="0.2"/>
    <row r="49646" customFormat="1" x14ac:dyDescent="0.2"/>
    <row r="49647" customFormat="1" x14ac:dyDescent="0.2"/>
    <row r="49648" customFormat="1" x14ac:dyDescent="0.2"/>
    <row r="49649" customFormat="1" x14ac:dyDescent="0.2"/>
    <row r="49650" customFormat="1" x14ac:dyDescent="0.2"/>
    <row r="49651" customFormat="1" x14ac:dyDescent="0.2"/>
    <row r="49652" customFormat="1" x14ac:dyDescent="0.2"/>
    <row r="49653" customFormat="1" x14ac:dyDescent="0.2"/>
    <row r="49654" customFormat="1" x14ac:dyDescent="0.2"/>
    <row r="49655" customFormat="1" x14ac:dyDescent="0.2"/>
    <row r="49656" customFormat="1" x14ac:dyDescent="0.2"/>
    <row r="49657" customFormat="1" x14ac:dyDescent="0.2"/>
    <row r="49658" customFormat="1" x14ac:dyDescent="0.2"/>
    <row r="49659" customFormat="1" x14ac:dyDescent="0.2"/>
    <row r="49660" customFormat="1" x14ac:dyDescent="0.2"/>
    <row r="49661" customFormat="1" x14ac:dyDescent="0.2"/>
    <row r="49662" customFormat="1" x14ac:dyDescent="0.2"/>
    <row r="49663" customFormat="1" x14ac:dyDescent="0.2"/>
    <row r="49664" customFormat="1" x14ac:dyDescent="0.2"/>
    <row r="49665" customFormat="1" x14ac:dyDescent="0.2"/>
    <row r="49666" customFormat="1" x14ac:dyDescent="0.2"/>
    <row r="49667" customFormat="1" x14ac:dyDescent="0.2"/>
    <row r="49668" customFormat="1" x14ac:dyDescent="0.2"/>
    <row r="49669" customFormat="1" x14ac:dyDescent="0.2"/>
    <row r="49670" customFormat="1" x14ac:dyDescent="0.2"/>
    <row r="49671" customFormat="1" x14ac:dyDescent="0.2"/>
    <row r="49672" customFormat="1" x14ac:dyDescent="0.2"/>
    <row r="49673" customFormat="1" x14ac:dyDescent="0.2"/>
    <row r="49674" customFormat="1" x14ac:dyDescent="0.2"/>
    <row r="49675" customFormat="1" x14ac:dyDescent="0.2"/>
    <row r="49676" customFormat="1" x14ac:dyDescent="0.2"/>
    <row r="49677" customFormat="1" x14ac:dyDescent="0.2"/>
    <row r="49678" customFormat="1" x14ac:dyDescent="0.2"/>
    <row r="49679" customFormat="1" x14ac:dyDescent="0.2"/>
    <row r="49680" customFormat="1" x14ac:dyDescent="0.2"/>
    <row r="49681" customFormat="1" x14ac:dyDescent="0.2"/>
    <row r="49682" customFormat="1" x14ac:dyDescent="0.2"/>
    <row r="49683" customFormat="1" x14ac:dyDescent="0.2"/>
    <row r="49684" customFormat="1" x14ac:dyDescent="0.2"/>
    <row r="49685" customFormat="1" x14ac:dyDescent="0.2"/>
    <row r="49686" customFormat="1" x14ac:dyDescent="0.2"/>
    <row r="49687" customFormat="1" x14ac:dyDescent="0.2"/>
    <row r="49688" customFormat="1" x14ac:dyDescent="0.2"/>
    <row r="49689" customFormat="1" x14ac:dyDescent="0.2"/>
    <row r="49690" customFormat="1" x14ac:dyDescent="0.2"/>
    <row r="49691" customFormat="1" x14ac:dyDescent="0.2"/>
    <row r="49692" customFormat="1" x14ac:dyDescent="0.2"/>
    <row r="49693" customFormat="1" x14ac:dyDescent="0.2"/>
    <row r="49694" customFormat="1" x14ac:dyDescent="0.2"/>
    <row r="49695" customFormat="1" x14ac:dyDescent="0.2"/>
    <row r="49696" customFormat="1" x14ac:dyDescent="0.2"/>
    <row r="49697" customFormat="1" x14ac:dyDescent="0.2"/>
    <row r="49698" customFormat="1" x14ac:dyDescent="0.2"/>
    <row r="49699" customFormat="1" x14ac:dyDescent="0.2"/>
    <row r="49700" customFormat="1" x14ac:dyDescent="0.2"/>
    <row r="49701" customFormat="1" x14ac:dyDescent="0.2"/>
    <row r="49702" customFormat="1" x14ac:dyDescent="0.2"/>
    <row r="49703" customFormat="1" x14ac:dyDescent="0.2"/>
    <row r="49704" customFormat="1" x14ac:dyDescent="0.2"/>
    <row r="49705" customFormat="1" x14ac:dyDescent="0.2"/>
    <row r="49706" customFormat="1" x14ac:dyDescent="0.2"/>
    <row r="49707" customFormat="1" x14ac:dyDescent="0.2"/>
    <row r="49708" customFormat="1" x14ac:dyDescent="0.2"/>
    <row r="49709" customFormat="1" x14ac:dyDescent="0.2"/>
    <row r="49710" customFormat="1" x14ac:dyDescent="0.2"/>
    <row r="49711" customFormat="1" x14ac:dyDescent="0.2"/>
    <row r="49712" customFormat="1" x14ac:dyDescent="0.2"/>
    <row r="49713" customFormat="1" x14ac:dyDescent="0.2"/>
    <row r="49714" customFormat="1" x14ac:dyDescent="0.2"/>
    <row r="49715" customFormat="1" x14ac:dyDescent="0.2"/>
    <row r="49716" customFormat="1" x14ac:dyDescent="0.2"/>
    <row r="49717" customFormat="1" x14ac:dyDescent="0.2"/>
    <row r="49718" customFormat="1" x14ac:dyDescent="0.2"/>
    <row r="49719" customFormat="1" x14ac:dyDescent="0.2"/>
    <row r="49720" customFormat="1" x14ac:dyDescent="0.2"/>
    <row r="49721" customFormat="1" x14ac:dyDescent="0.2"/>
    <row r="49722" customFormat="1" x14ac:dyDescent="0.2"/>
    <row r="49723" customFormat="1" x14ac:dyDescent="0.2"/>
    <row r="49724" customFormat="1" x14ac:dyDescent="0.2"/>
    <row r="49725" customFormat="1" x14ac:dyDescent="0.2"/>
    <row r="49726" customFormat="1" x14ac:dyDescent="0.2"/>
    <row r="49727" customFormat="1" x14ac:dyDescent="0.2"/>
    <row r="49728" customFormat="1" x14ac:dyDescent="0.2"/>
    <row r="49729" customFormat="1" x14ac:dyDescent="0.2"/>
    <row r="49730" customFormat="1" x14ac:dyDescent="0.2"/>
    <row r="49731" customFormat="1" x14ac:dyDescent="0.2"/>
    <row r="49732" customFormat="1" x14ac:dyDescent="0.2"/>
    <row r="49733" customFormat="1" x14ac:dyDescent="0.2"/>
    <row r="49734" customFormat="1" x14ac:dyDescent="0.2"/>
    <row r="49735" customFormat="1" x14ac:dyDescent="0.2"/>
    <row r="49736" customFormat="1" x14ac:dyDescent="0.2"/>
    <row r="49737" customFormat="1" x14ac:dyDescent="0.2"/>
    <row r="49738" customFormat="1" x14ac:dyDescent="0.2"/>
    <row r="49739" customFormat="1" x14ac:dyDescent="0.2"/>
    <row r="49740" customFormat="1" x14ac:dyDescent="0.2"/>
    <row r="49741" customFormat="1" x14ac:dyDescent="0.2"/>
    <row r="49742" customFormat="1" x14ac:dyDescent="0.2"/>
    <row r="49743" customFormat="1" x14ac:dyDescent="0.2"/>
    <row r="49744" customFormat="1" x14ac:dyDescent="0.2"/>
    <row r="49745" customFormat="1" x14ac:dyDescent="0.2"/>
    <row r="49746" customFormat="1" x14ac:dyDescent="0.2"/>
    <row r="49747" customFormat="1" x14ac:dyDescent="0.2"/>
    <row r="49748" customFormat="1" x14ac:dyDescent="0.2"/>
    <row r="49749" customFormat="1" x14ac:dyDescent="0.2"/>
    <row r="49750" customFormat="1" x14ac:dyDescent="0.2"/>
    <row r="49751" customFormat="1" x14ac:dyDescent="0.2"/>
    <row r="49752" customFormat="1" x14ac:dyDescent="0.2"/>
    <row r="49753" customFormat="1" x14ac:dyDescent="0.2"/>
    <row r="49754" customFormat="1" x14ac:dyDescent="0.2"/>
    <row r="49755" customFormat="1" x14ac:dyDescent="0.2"/>
    <row r="49756" customFormat="1" x14ac:dyDescent="0.2"/>
    <row r="49757" customFormat="1" x14ac:dyDescent="0.2"/>
    <row r="49758" customFormat="1" x14ac:dyDescent="0.2"/>
    <row r="49759" customFormat="1" x14ac:dyDescent="0.2"/>
    <row r="49760" customFormat="1" x14ac:dyDescent="0.2"/>
    <row r="49761" customFormat="1" x14ac:dyDescent="0.2"/>
    <row r="49762" customFormat="1" x14ac:dyDescent="0.2"/>
    <row r="49763" customFormat="1" x14ac:dyDescent="0.2"/>
    <row r="49764" customFormat="1" x14ac:dyDescent="0.2"/>
    <row r="49765" customFormat="1" x14ac:dyDescent="0.2"/>
    <row r="49766" customFormat="1" x14ac:dyDescent="0.2"/>
    <row r="49767" customFormat="1" x14ac:dyDescent="0.2"/>
    <row r="49768" customFormat="1" x14ac:dyDescent="0.2"/>
    <row r="49769" customFormat="1" x14ac:dyDescent="0.2"/>
    <row r="49770" customFormat="1" x14ac:dyDescent="0.2"/>
    <row r="49771" customFormat="1" x14ac:dyDescent="0.2"/>
    <row r="49772" customFormat="1" x14ac:dyDescent="0.2"/>
    <row r="49773" customFormat="1" x14ac:dyDescent="0.2"/>
    <row r="49774" customFormat="1" x14ac:dyDescent="0.2"/>
    <row r="49775" customFormat="1" x14ac:dyDescent="0.2"/>
    <row r="49776" customFormat="1" x14ac:dyDescent="0.2"/>
    <row r="49777" customFormat="1" x14ac:dyDescent="0.2"/>
    <row r="49778" customFormat="1" x14ac:dyDescent="0.2"/>
    <row r="49779" customFormat="1" x14ac:dyDescent="0.2"/>
    <row r="49780" customFormat="1" x14ac:dyDescent="0.2"/>
    <row r="49781" customFormat="1" x14ac:dyDescent="0.2"/>
    <row r="49782" customFormat="1" x14ac:dyDescent="0.2"/>
    <row r="49783" customFormat="1" x14ac:dyDescent="0.2"/>
    <row r="49784" customFormat="1" x14ac:dyDescent="0.2"/>
    <row r="49785" customFormat="1" x14ac:dyDescent="0.2"/>
    <row r="49786" customFormat="1" x14ac:dyDescent="0.2"/>
    <row r="49787" customFormat="1" x14ac:dyDescent="0.2"/>
    <row r="49788" customFormat="1" x14ac:dyDescent="0.2"/>
    <row r="49789" customFormat="1" x14ac:dyDescent="0.2"/>
    <row r="49790" customFormat="1" x14ac:dyDescent="0.2"/>
    <row r="49791" customFormat="1" x14ac:dyDescent="0.2"/>
    <row r="49792" customFormat="1" x14ac:dyDescent="0.2"/>
    <row r="49793" customFormat="1" x14ac:dyDescent="0.2"/>
    <row r="49794" customFormat="1" x14ac:dyDescent="0.2"/>
    <row r="49795" customFormat="1" x14ac:dyDescent="0.2"/>
    <row r="49796" customFormat="1" x14ac:dyDescent="0.2"/>
    <row r="49797" customFormat="1" x14ac:dyDescent="0.2"/>
    <row r="49798" customFormat="1" x14ac:dyDescent="0.2"/>
    <row r="49799" customFormat="1" x14ac:dyDescent="0.2"/>
    <row r="49800" customFormat="1" x14ac:dyDescent="0.2"/>
    <row r="49801" customFormat="1" x14ac:dyDescent="0.2"/>
    <row r="49802" customFormat="1" x14ac:dyDescent="0.2"/>
    <row r="49803" customFormat="1" x14ac:dyDescent="0.2"/>
    <row r="49804" customFormat="1" x14ac:dyDescent="0.2"/>
    <row r="49805" customFormat="1" x14ac:dyDescent="0.2"/>
    <row r="49806" customFormat="1" x14ac:dyDescent="0.2"/>
    <row r="49807" customFormat="1" x14ac:dyDescent="0.2"/>
    <row r="49808" customFormat="1" x14ac:dyDescent="0.2"/>
    <row r="49809" customFormat="1" x14ac:dyDescent="0.2"/>
    <row r="49810" customFormat="1" x14ac:dyDescent="0.2"/>
    <row r="49811" customFormat="1" x14ac:dyDescent="0.2"/>
    <row r="49812" customFormat="1" x14ac:dyDescent="0.2"/>
    <row r="49813" customFormat="1" x14ac:dyDescent="0.2"/>
    <row r="49814" customFormat="1" x14ac:dyDescent="0.2"/>
    <row r="49815" customFormat="1" x14ac:dyDescent="0.2"/>
    <row r="49816" customFormat="1" x14ac:dyDescent="0.2"/>
    <row r="49817" customFormat="1" x14ac:dyDescent="0.2"/>
    <row r="49818" customFormat="1" x14ac:dyDescent="0.2"/>
    <row r="49819" customFormat="1" x14ac:dyDescent="0.2"/>
    <row r="49820" customFormat="1" x14ac:dyDescent="0.2"/>
    <row r="49821" customFormat="1" x14ac:dyDescent="0.2"/>
    <row r="49822" customFormat="1" x14ac:dyDescent="0.2"/>
    <row r="49823" customFormat="1" x14ac:dyDescent="0.2"/>
    <row r="49824" customFormat="1" x14ac:dyDescent="0.2"/>
    <row r="49825" customFormat="1" x14ac:dyDescent="0.2"/>
    <row r="49826" customFormat="1" x14ac:dyDescent="0.2"/>
    <row r="49827" customFormat="1" x14ac:dyDescent="0.2"/>
    <row r="49828" customFormat="1" x14ac:dyDescent="0.2"/>
    <row r="49829" customFormat="1" x14ac:dyDescent="0.2"/>
    <row r="49830" customFormat="1" x14ac:dyDescent="0.2"/>
    <row r="49831" customFormat="1" x14ac:dyDescent="0.2"/>
    <row r="49832" customFormat="1" x14ac:dyDescent="0.2"/>
    <row r="49833" customFormat="1" x14ac:dyDescent="0.2"/>
    <row r="49834" customFormat="1" x14ac:dyDescent="0.2"/>
    <row r="49835" customFormat="1" x14ac:dyDescent="0.2"/>
    <row r="49836" customFormat="1" x14ac:dyDescent="0.2"/>
    <row r="49837" customFormat="1" x14ac:dyDescent="0.2"/>
    <row r="49838" customFormat="1" x14ac:dyDescent="0.2"/>
    <row r="49839" customFormat="1" x14ac:dyDescent="0.2"/>
    <row r="49840" customFormat="1" x14ac:dyDescent="0.2"/>
    <row r="49841" customFormat="1" x14ac:dyDescent="0.2"/>
    <row r="49842" customFormat="1" x14ac:dyDescent="0.2"/>
    <row r="49843" customFormat="1" x14ac:dyDescent="0.2"/>
    <row r="49844" customFormat="1" x14ac:dyDescent="0.2"/>
    <row r="49845" customFormat="1" x14ac:dyDescent="0.2"/>
    <row r="49846" customFormat="1" x14ac:dyDescent="0.2"/>
    <row r="49847" customFormat="1" x14ac:dyDescent="0.2"/>
    <row r="49848" customFormat="1" x14ac:dyDescent="0.2"/>
    <row r="49849" customFormat="1" x14ac:dyDescent="0.2"/>
    <row r="49850" customFormat="1" x14ac:dyDescent="0.2"/>
    <row r="49851" customFormat="1" x14ac:dyDescent="0.2"/>
    <row r="49852" customFormat="1" x14ac:dyDescent="0.2"/>
    <row r="49853" customFormat="1" x14ac:dyDescent="0.2"/>
    <row r="49854" customFormat="1" x14ac:dyDescent="0.2"/>
    <row r="49855" customFormat="1" x14ac:dyDescent="0.2"/>
    <row r="49856" customFormat="1" x14ac:dyDescent="0.2"/>
    <row r="49857" customFormat="1" x14ac:dyDescent="0.2"/>
    <row r="49858" customFormat="1" x14ac:dyDescent="0.2"/>
    <row r="49859" customFormat="1" x14ac:dyDescent="0.2"/>
    <row r="49860" customFormat="1" x14ac:dyDescent="0.2"/>
    <row r="49861" customFormat="1" x14ac:dyDescent="0.2"/>
    <row r="49862" customFormat="1" x14ac:dyDescent="0.2"/>
    <row r="49863" customFormat="1" x14ac:dyDescent="0.2"/>
    <row r="49864" customFormat="1" x14ac:dyDescent="0.2"/>
    <row r="49865" customFormat="1" x14ac:dyDescent="0.2"/>
    <row r="49866" customFormat="1" x14ac:dyDescent="0.2"/>
    <row r="49867" customFormat="1" x14ac:dyDescent="0.2"/>
    <row r="49868" customFormat="1" x14ac:dyDescent="0.2"/>
    <row r="49869" customFormat="1" x14ac:dyDescent="0.2"/>
    <row r="49870" customFormat="1" x14ac:dyDescent="0.2"/>
    <row r="49871" customFormat="1" x14ac:dyDescent="0.2"/>
    <row r="49872" customFormat="1" x14ac:dyDescent="0.2"/>
    <row r="49873" customFormat="1" x14ac:dyDescent="0.2"/>
    <row r="49874" customFormat="1" x14ac:dyDescent="0.2"/>
    <row r="49875" customFormat="1" x14ac:dyDescent="0.2"/>
    <row r="49876" customFormat="1" x14ac:dyDescent="0.2"/>
    <row r="49877" customFormat="1" x14ac:dyDescent="0.2"/>
    <row r="49878" customFormat="1" x14ac:dyDescent="0.2"/>
    <row r="49879" customFormat="1" x14ac:dyDescent="0.2"/>
    <row r="49880" customFormat="1" x14ac:dyDescent="0.2"/>
    <row r="49881" customFormat="1" x14ac:dyDescent="0.2"/>
    <row r="49882" customFormat="1" x14ac:dyDescent="0.2"/>
    <row r="49883" customFormat="1" x14ac:dyDescent="0.2"/>
    <row r="49884" customFormat="1" x14ac:dyDescent="0.2"/>
    <row r="49885" customFormat="1" x14ac:dyDescent="0.2"/>
    <row r="49886" customFormat="1" x14ac:dyDescent="0.2"/>
    <row r="49887" customFormat="1" x14ac:dyDescent="0.2"/>
    <row r="49888" customFormat="1" x14ac:dyDescent="0.2"/>
    <row r="49889" customFormat="1" x14ac:dyDescent="0.2"/>
    <row r="49890" customFormat="1" x14ac:dyDescent="0.2"/>
    <row r="49891" customFormat="1" x14ac:dyDescent="0.2"/>
    <row r="49892" customFormat="1" x14ac:dyDescent="0.2"/>
    <row r="49893" customFormat="1" x14ac:dyDescent="0.2"/>
    <row r="49894" customFormat="1" x14ac:dyDescent="0.2"/>
    <row r="49895" customFormat="1" x14ac:dyDescent="0.2"/>
    <row r="49896" customFormat="1" x14ac:dyDescent="0.2"/>
    <row r="49897" customFormat="1" x14ac:dyDescent="0.2"/>
    <row r="49898" customFormat="1" x14ac:dyDescent="0.2"/>
    <row r="49899" customFormat="1" x14ac:dyDescent="0.2"/>
    <row r="49900" customFormat="1" x14ac:dyDescent="0.2"/>
    <row r="49901" customFormat="1" x14ac:dyDescent="0.2"/>
    <row r="49902" customFormat="1" x14ac:dyDescent="0.2"/>
    <row r="49903" customFormat="1" x14ac:dyDescent="0.2"/>
    <row r="49904" customFormat="1" x14ac:dyDescent="0.2"/>
    <row r="49905" customFormat="1" x14ac:dyDescent="0.2"/>
    <row r="49906" customFormat="1" x14ac:dyDescent="0.2"/>
    <row r="49907" customFormat="1" x14ac:dyDescent="0.2"/>
    <row r="49908" customFormat="1" x14ac:dyDescent="0.2"/>
    <row r="49909" customFormat="1" x14ac:dyDescent="0.2"/>
    <row r="49910" customFormat="1" x14ac:dyDescent="0.2"/>
    <row r="49911" customFormat="1" x14ac:dyDescent="0.2"/>
    <row r="49912" customFormat="1" x14ac:dyDescent="0.2"/>
    <row r="49913" customFormat="1" x14ac:dyDescent="0.2"/>
    <row r="49914" customFormat="1" x14ac:dyDescent="0.2"/>
    <row r="49915" customFormat="1" x14ac:dyDescent="0.2"/>
    <row r="49916" customFormat="1" x14ac:dyDescent="0.2"/>
    <row r="49917" customFormat="1" x14ac:dyDescent="0.2"/>
    <row r="49918" customFormat="1" x14ac:dyDescent="0.2"/>
    <row r="49919" customFormat="1" x14ac:dyDescent="0.2"/>
    <row r="49920" customFormat="1" x14ac:dyDescent="0.2"/>
    <row r="49921" customFormat="1" x14ac:dyDescent="0.2"/>
    <row r="49922" customFormat="1" x14ac:dyDescent="0.2"/>
    <row r="49923" customFormat="1" x14ac:dyDescent="0.2"/>
    <row r="49924" customFormat="1" x14ac:dyDescent="0.2"/>
    <row r="49925" customFormat="1" x14ac:dyDescent="0.2"/>
    <row r="49926" customFormat="1" x14ac:dyDescent="0.2"/>
    <row r="49927" customFormat="1" x14ac:dyDescent="0.2"/>
    <row r="49928" customFormat="1" x14ac:dyDescent="0.2"/>
    <row r="49929" customFormat="1" x14ac:dyDescent="0.2"/>
    <row r="49930" customFormat="1" x14ac:dyDescent="0.2"/>
    <row r="49931" customFormat="1" x14ac:dyDescent="0.2"/>
    <row r="49932" customFormat="1" x14ac:dyDescent="0.2"/>
    <row r="49933" customFormat="1" x14ac:dyDescent="0.2"/>
    <row r="49934" customFormat="1" x14ac:dyDescent="0.2"/>
    <row r="49935" customFormat="1" x14ac:dyDescent="0.2"/>
    <row r="49936" customFormat="1" x14ac:dyDescent="0.2"/>
    <row r="49937" customFormat="1" x14ac:dyDescent="0.2"/>
    <row r="49938" customFormat="1" x14ac:dyDescent="0.2"/>
    <row r="49939" customFormat="1" x14ac:dyDescent="0.2"/>
    <row r="49940" customFormat="1" x14ac:dyDescent="0.2"/>
    <row r="49941" customFormat="1" x14ac:dyDescent="0.2"/>
    <row r="49942" customFormat="1" x14ac:dyDescent="0.2"/>
    <row r="49943" customFormat="1" x14ac:dyDescent="0.2"/>
    <row r="49944" customFormat="1" x14ac:dyDescent="0.2"/>
    <row r="49945" customFormat="1" x14ac:dyDescent="0.2"/>
    <row r="49946" customFormat="1" x14ac:dyDescent="0.2"/>
    <row r="49947" customFormat="1" x14ac:dyDescent="0.2"/>
    <row r="49948" customFormat="1" x14ac:dyDescent="0.2"/>
    <row r="49949" customFormat="1" x14ac:dyDescent="0.2"/>
    <row r="49950" customFormat="1" x14ac:dyDescent="0.2"/>
    <row r="49951" customFormat="1" x14ac:dyDescent="0.2"/>
    <row r="49952" customFormat="1" x14ac:dyDescent="0.2"/>
    <row r="49953" customFormat="1" x14ac:dyDescent="0.2"/>
    <row r="49954" customFormat="1" x14ac:dyDescent="0.2"/>
    <row r="49955" customFormat="1" x14ac:dyDescent="0.2"/>
    <row r="49956" customFormat="1" x14ac:dyDescent="0.2"/>
    <row r="49957" customFormat="1" x14ac:dyDescent="0.2"/>
    <row r="49958" customFormat="1" x14ac:dyDescent="0.2"/>
    <row r="49959" customFormat="1" x14ac:dyDescent="0.2"/>
    <row r="49960" customFormat="1" x14ac:dyDescent="0.2"/>
    <row r="49961" customFormat="1" x14ac:dyDescent="0.2"/>
    <row r="49962" customFormat="1" x14ac:dyDescent="0.2"/>
    <row r="49963" customFormat="1" x14ac:dyDescent="0.2"/>
    <row r="49964" customFormat="1" x14ac:dyDescent="0.2"/>
    <row r="49965" customFormat="1" x14ac:dyDescent="0.2"/>
    <row r="49966" customFormat="1" x14ac:dyDescent="0.2"/>
    <row r="49967" customFormat="1" x14ac:dyDescent="0.2"/>
    <row r="49968" customFormat="1" x14ac:dyDescent="0.2"/>
    <row r="49969" customFormat="1" x14ac:dyDescent="0.2"/>
    <row r="49970" customFormat="1" x14ac:dyDescent="0.2"/>
    <row r="49971" customFormat="1" x14ac:dyDescent="0.2"/>
    <row r="49972" customFormat="1" x14ac:dyDescent="0.2"/>
    <row r="49973" customFormat="1" x14ac:dyDescent="0.2"/>
    <row r="49974" customFormat="1" x14ac:dyDescent="0.2"/>
    <row r="49975" customFormat="1" x14ac:dyDescent="0.2"/>
    <row r="49976" customFormat="1" x14ac:dyDescent="0.2"/>
    <row r="49977" customFormat="1" x14ac:dyDescent="0.2"/>
    <row r="49978" customFormat="1" x14ac:dyDescent="0.2"/>
    <row r="49979" customFormat="1" x14ac:dyDescent="0.2"/>
    <row r="49980" customFormat="1" x14ac:dyDescent="0.2"/>
    <row r="49981" customFormat="1" x14ac:dyDescent="0.2"/>
    <row r="49982" customFormat="1" x14ac:dyDescent="0.2"/>
    <row r="49983" customFormat="1" x14ac:dyDescent="0.2"/>
    <row r="49984" customFormat="1" x14ac:dyDescent="0.2"/>
    <row r="49985" customFormat="1" x14ac:dyDescent="0.2"/>
    <row r="49986" customFormat="1" x14ac:dyDescent="0.2"/>
    <row r="49987" customFormat="1" x14ac:dyDescent="0.2"/>
    <row r="49988" customFormat="1" x14ac:dyDescent="0.2"/>
    <row r="49989" customFormat="1" x14ac:dyDescent="0.2"/>
    <row r="49990" customFormat="1" x14ac:dyDescent="0.2"/>
    <row r="49991" customFormat="1" x14ac:dyDescent="0.2"/>
    <row r="49992" customFormat="1" x14ac:dyDescent="0.2"/>
    <row r="49993" customFormat="1" x14ac:dyDescent="0.2"/>
    <row r="49994" customFormat="1" x14ac:dyDescent="0.2"/>
    <row r="49995" customFormat="1" x14ac:dyDescent="0.2"/>
    <row r="49996" customFormat="1" x14ac:dyDescent="0.2"/>
    <row r="49997" customFormat="1" x14ac:dyDescent="0.2"/>
    <row r="49998" customFormat="1" x14ac:dyDescent="0.2"/>
    <row r="49999" customFormat="1" x14ac:dyDescent="0.2"/>
    <row r="50000" customFormat="1" x14ac:dyDescent="0.2"/>
    <row r="50001" customFormat="1" x14ac:dyDescent="0.2"/>
    <row r="50002" customFormat="1" x14ac:dyDescent="0.2"/>
    <row r="50003" customFormat="1" x14ac:dyDescent="0.2"/>
    <row r="50004" customFormat="1" x14ac:dyDescent="0.2"/>
    <row r="50005" customFormat="1" x14ac:dyDescent="0.2"/>
    <row r="50006" customFormat="1" x14ac:dyDescent="0.2"/>
    <row r="50007" customFormat="1" x14ac:dyDescent="0.2"/>
    <row r="50008" customFormat="1" x14ac:dyDescent="0.2"/>
    <row r="50009" customFormat="1" x14ac:dyDescent="0.2"/>
    <row r="50010" customFormat="1" x14ac:dyDescent="0.2"/>
    <row r="50011" customFormat="1" x14ac:dyDescent="0.2"/>
    <row r="50012" customFormat="1" x14ac:dyDescent="0.2"/>
    <row r="50013" customFormat="1" x14ac:dyDescent="0.2"/>
    <row r="50014" customFormat="1" x14ac:dyDescent="0.2"/>
    <row r="50015" customFormat="1" x14ac:dyDescent="0.2"/>
    <row r="50016" customFormat="1" x14ac:dyDescent="0.2"/>
    <row r="50017" customFormat="1" x14ac:dyDescent="0.2"/>
    <row r="50018" customFormat="1" x14ac:dyDescent="0.2"/>
    <row r="50019" customFormat="1" x14ac:dyDescent="0.2"/>
    <row r="50020" customFormat="1" x14ac:dyDescent="0.2"/>
    <row r="50021" customFormat="1" x14ac:dyDescent="0.2"/>
    <row r="50022" customFormat="1" x14ac:dyDescent="0.2"/>
    <row r="50023" customFormat="1" x14ac:dyDescent="0.2"/>
    <row r="50024" customFormat="1" x14ac:dyDescent="0.2"/>
    <row r="50025" customFormat="1" x14ac:dyDescent="0.2"/>
    <row r="50026" customFormat="1" x14ac:dyDescent="0.2"/>
    <row r="50027" customFormat="1" x14ac:dyDescent="0.2"/>
    <row r="50028" customFormat="1" x14ac:dyDescent="0.2"/>
    <row r="50029" customFormat="1" x14ac:dyDescent="0.2"/>
    <row r="50030" customFormat="1" x14ac:dyDescent="0.2"/>
    <row r="50031" customFormat="1" x14ac:dyDescent="0.2"/>
    <row r="50032" customFormat="1" x14ac:dyDescent="0.2"/>
    <row r="50033" customFormat="1" x14ac:dyDescent="0.2"/>
    <row r="50034" customFormat="1" x14ac:dyDescent="0.2"/>
    <row r="50035" customFormat="1" x14ac:dyDescent="0.2"/>
    <row r="50036" customFormat="1" x14ac:dyDescent="0.2"/>
    <row r="50037" customFormat="1" x14ac:dyDescent="0.2"/>
    <row r="50038" customFormat="1" x14ac:dyDescent="0.2"/>
    <row r="50039" customFormat="1" x14ac:dyDescent="0.2"/>
    <row r="50040" customFormat="1" x14ac:dyDescent="0.2"/>
    <row r="50041" customFormat="1" x14ac:dyDescent="0.2"/>
    <row r="50042" customFormat="1" x14ac:dyDescent="0.2"/>
    <row r="50043" customFormat="1" x14ac:dyDescent="0.2"/>
    <row r="50044" customFormat="1" x14ac:dyDescent="0.2"/>
    <row r="50045" customFormat="1" x14ac:dyDescent="0.2"/>
    <row r="50046" customFormat="1" x14ac:dyDescent="0.2"/>
    <row r="50047" customFormat="1" x14ac:dyDescent="0.2"/>
    <row r="50048" customFormat="1" x14ac:dyDescent="0.2"/>
    <row r="50049" customFormat="1" x14ac:dyDescent="0.2"/>
    <row r="50050" customFormat="1" x14ac:dyDescent="0.2"/>
    <row r="50051" customFormat="1" x14ac:dyDescent="0.2"/>
    <row r="50052" customFormat="1" x14ac:dyDescent="0.2"/>
    <row r="50053" customFormat="1" x14ac:dyDescent="0.2"/>
    <row r="50054" customFormat="1" x14ac:dyDescent="0.2"/>
    <row r="50055" customFormat="1" x14ac:dyDescent="0.2"/>
    <row r="50056" customFormat="1" x14ac:dyDescent="0.2"/>
    <row r="50057" customFormat="1" x14ac:dyDescent="0.2"/>
    <row r="50058" customFormat="1" x14ac:dyDescent="0.2"/>
    <row r="50059" customFormat="1" x14ac:dyDescent="0.2"/>
    <row r="50060" customFormat="1" x14ac:dyDescent="0.2"/>
    <row r="50061" customFormat="1" x14ac:dyDescent="0.2"/>
    <row r="50062" customFormat="1" x14ac:dyDescent="0.2"/>
    <row r="50063" customFormat="1" x14ac:dyDescent="0.2"/>
    <row r="50064" customFormat="1" x14ac:dyDescent="0.2"/>
    <row r="50065" customFormat="1" x14ac:dyDescent="0.2"/>
    <row r="50066" customFormat="1" x14ac:dyDescent="0.2"/>
    <row r="50067" customFormat="1" x14ac:dyDescent="0.2"/>
    <row r="50068" customFormat="1" x14ac:dyDescent="0.2"/>
    <row r="50069" customFormat="1" x14ac:dyDescent="0.2"/>
    <row r="50070" customFormat="1" x14ac:dyDescent="0.2"/>
    <row r="50071" customFormat="1" x14ac:dyDescent="0.2"/>
    <row r="50072" customFormat="1" x14ac:dyDescent="0.2"/>
    <row r="50073" customFormat="1" x14ac:dyDescent="0.2"/>
    <row r="50074" customFormat="1" x14ac:dyDescent="0.2"/>
    <row r="50075" customFormat="1" x14ac:dyDescent="0.2"/>
    <row r="50076" customFormat="1" x14ac:dyDescent="0.2"/>
    <row r="50077" customFormat="1" x14ac:dyDescent="0.2"/>
    <row r="50078" customFormat="1" x14ac:dyDescent="0.2"/>
    <row r="50079" customFormat="1" x14ac:dyDescent="0.2"/>
    <row r="50080" customFormat="1" x14ac:dyDescent="0.2"/>
    <row r="50081" customFormat="1" x14ac:dyDescent="0.2"/>
    <row r="50082" customFormat="1" x14ac:dyDescent="0.2"/>
    <row r="50083" customFormat="1" x14ac:dyDescent="0.2"/>
    <row r="50084" customFormat="1" x14ac:dyDescent="0.2"/>
    <row r="50085" customFormat="1" x14ac:dyDescent="0.2"/>
    <row r="50086" customFormat="1" x14ac:dyDescent="0.2"/>
    <row r="50087" customFormat="1" x14ac:dyDescent="0.2"/>
    <row r="50088" customFormat="1" x14ac:dyDescent="0.2"/>
    <row r="50089" customFormat="1" x14ac:dyDescent="0.2"/>
    <row r="50090" customFormat="1" x14ac:dyDescent="0.2"/>
    <row r="50091" customFormat="1" x14ac:dyDescent="0.2"/>
    <row r="50092" customFormat="1" x14ac:dyDescent="0.2"/>
    <row r="50093" customFormat="1" x14ac:dyDescent="0.2"/>
    <row r="50094" customFormat="1" x14ac:dyDescent="0.2"/>
    <row r="50095" customFormat="1" x14ac:dyDescent="0.2"/>
    <row r="50096" customFormat="1" x14ac:dyDescent="0.2"/>
    <row r="50097" customFormat="1" x14ac:dyDescent="0.2"/>
    <row r="50098" customFormat="1" x14ac:dyDescent="0.2"/>
    <row r="50099" customFormat="1" x14ac:dyDescent="0.2"/>
    <row r="50100" customFormat="1" x14ac:dyDescent="0.2"/>
    <row r="50101" customFormat="1" x14ac:dyDescent="0.2"/>
    <row r="50102" customFormat="1" x14ac:dyDescent="0.2"/>
    <row r="50103" customFormat="1" x14ac:dyDescent="0.2"/>
    <row r="50104" customFormat="1" x14ac:dyDescent="0.2"/>
    <row r="50105" customFormat="1" x14ac:dyDescent="0.2"/>
    <row r="50106" customFormat="1" x14ac:dyDescent="0.2"/>
    <row r="50107" customFormat="1" x14ac:dyDescent="0.2"/>
    <row r="50108" customFormat="1" x14ac:dyDescent="0.2"/>
    <row r="50109" customFormat="1" x14ac:dyDescent="0.2"/>
    <row r="50110" customFormat="1" x14ac:dyDescent="0.2"/>
    <row r="50111" customFormat="1" x14ac:dyDescent="0.2"/>
    <row r="50112" customFormat="1" x14ac:dyDescent="0.2"/>
    <row r="50113" customFormat="1" x14ac:dyDescent="0.2"/>
    <row r="50114" customFormat="1" x14ac:dyDescent="0.2"/>
    <row r="50115" customFormat="1" x14ac:dyDescent="0.2"/>
    <row r="50116" customFormat="1" x14ac:dyDescent="0.2"/>
    <row r="50117" customFormat="1" x14ac:dyDescent="0.2"/>
    <row r="50118" customFormat="1" x14ac:dyDescent="0.2"/>
    <row r="50119" customFormat="1" x14ac:dyDescent="0.2"/>
    <row r="50120" customFormat="1" x14ac:dyDescent="0.2"/>
    <row r="50121" customFormat="1" x14ac:dyDescent="0.2"/>
    <row r="50122" customFormat="1" x14ac:dyDescent="0.2"/>
    <row r="50123" customFormat="1" x14ac:dyDescent="0.2"/>
    <row r="50124" customFormat="1" x14ac:dyDescent="0.2"/>
    <row r="50125" customFormat="1" x14ac:dyDescent="0.2"/>
    <row r="50126" customFormat="1" x14ac:dyDescent="0.2"/>
    <row r="50127" customFormat="1" x14ac:dyDescent="0.2"/>
    <row r="50128" customFormat="1" x14ac:dyDescent="0.2"/>
    <row r="50129" customFormat="1" x14ac:dyDescent="0.2"/>
    <row r="50130" customFormat="1" x14ac:dyDescent="0.2"/>
    <row r="50131" customFormat="1" x14ac:dyDescent="0.2"/>
    <row r="50132" customFormat="1" x14ac:dyDescent="0.2"/>
    <row r="50133" customFormat="1" x14ac:dyDescent="0.2"/>
    <row r="50134" customFormat="1" x14ac:dyDescent="0.2"/>
    <row r="50135" customFormat="1" x14ac:dyDescent="0.2"/>
    <row r="50136" customFormat="1" x14ac:dyDescent="0.2"/>
    <row r="50137" customFormat="1" x14ac:dyDescent="0.2"/>
    <row r="50138" customFormat="1" x14ac:dyDescent="0.2"/>
    <row r="50139" customFormat="1" x14ac:dyDescent="0.2"/>
    <row r="50140" customFormat="1" x14ac:dyDescent="0.2"/>
    <row r="50141" customFormat="1" x14ac:dyDescent="0.2"/>
    <row r="50142" customFormat="1" x14ac:dyDescent="0.2"/>
    <row r="50143" customFormat="1" x14ac:dyDescent="0.2"/>
    <row r="50144" customFormat="1" x14ac:dyDescent="0.2"/>
    <row r="50145" customFormat="1" x14ac:dyDescent="0.2"/>
    <row r="50146" customFormat="1" x14ac:dyDescent="0.2"/>
    <row r="50147" customFormat="1" x14ac:dyDescent="0.2"/>
    <row r="50148" customFormat="1" x14ac:dyDescent="0.2"/>
    <row r="50149" customFormat="1" x14ac:dyDescent="0.2"/>
    <row r="50150" customFormat="1" x14ac:dyDescent="0.2"/>
    <row r="50151" customFormat="1" x14ac:dyDescent="0.2"/>
    <row r="50152" customFormat="1" x14ac:dyDescent="0.2"/>
    <row r="50153" customFormat="1" x14ac:dyDescent="0.2"/>
    <row r="50154" customFormat="1" x14ac:dyDescent="0.2"/>
    <row r="50155" customFormat="1" x14ac:dyDescent="0.2"/>
    <row r="50156" customFormat="1" x14ac:dyDescent="0.2"/>
    <row r="50157" customFormat="1" x14ac:dyDescent="0.2"/>
    <row r="50158" customFormat="1" x14ac:dyDescent="0.2"/>
    <row r="50159" customFormat="1" x14ac:dyDescent="0.2"/>
    <row r="50160" customFormat="1" x14ac:dyDescent="0.2"/>
    <row r="50161" customFormat="1" x14ac:dyDescent="0.2"/>
    <row r="50162" customFormat="1" x14ac:dyDescent="0.2"/>
    <row r="50163" customFormat="1" x14ac:dyDescent="0.2"/>
    <row r="50164" customFormat="1" x14ac:dyDescent="0.2"/>
    <row r="50165" customFormat="1" x14ac:dyDescent="0.2"/>
    <row r="50166" customFormat="1" x14ac:dyDescent="0.2"/>
    <row r="50167" customFormat="1" x14ac:dyDescent="0.2"/>
    <row r="50168" customFormat="1" x14ac:dyDescent="0.2"/>
    <row r="50169" customFormat="1" x14ac:dyDescent="0.2"/>
    <row r="50170" customFormat="1" x14ac:dyDescent="0.2"/>
    <row r="50171" customFormat="1" x14ac:dyDescent="0.2"/>
    <row r="50172" customFormat="1" x14ac:dyDescent="0.2"/>
    <row r="50173" customFormat="1" x14ac:dyDescent="0.2"/>
    <row r="50174" customFormat="1" x14ac:dyDescent="0.2"/>
    <row r="50175" customFormat="1" x14ac:dyDescent="0.2"/>
    <row r="50176" customFormat="1" x14ac:dyDescent="0.2"/>
    <row r="50177" customFormat="1" x14ac:dyDescent="0.2"/>
    <row r="50178" customFormat="1" x14ac:dyDescent="0.2"/>
    <row r="50179" customFormat="1" x14ac:dyDescent="0.2"/>
    <row r="50180" customFormat="1" x14ac:dyDescent="0.2"/>
    <row r="50181" customFormat="1" x14ac:dyDescent="0.2"/>
    <row r="50182" customFormat="1" x14ac:dyDescent="0.2"/>
    <row r="50183" customFormat="1" x14ac:dyDescent="0.2"/>
    <row r="50184" customFormat="1" x14ac:dyDescent="0.2"/>
    <row r="50185" customFormat="1" x14ac:dyDescent="0.2"/>
    <row r="50186" customFormat="1" x14ac:dyDescent="0.2"/>
    <row r="50187" customFormat="1" x14ac:dyDescent="0.2"/>
    <row r="50188" customFormat="1" x14ac:dyDescent="0.2"/>
    <row r="50189" customFormat="1" x14ac:dyDescent="0.2"/>
    <row r="50190" customFormat="1" x14ac:dyDescent="0.2"/>
    <row r="50191" customFormat="1" x14ac:dyDescent="0.2"/>
    <row r="50192" customFormat="1" x14ac:dyDescent="0.2"/>
    <row r="50193" customFormat="1" x14ac:dyDescent="0.2"/>
    <row r="50194" customFormat="1" x14ac:dyDescent="0.2"/>
    <row r="50195" customFormat="1" x14ac:dyDescent="0.2"/>
    <row r="50196" customFormat="1" x14ac:dyDescent="0.2"/>
    <row r="50197" customFormat="1" x14ac:dyDescent="0.2"/>
    <row r="50198" customFormat="1" x14ac:dyDescent="0.2"/>
    <row r="50199" customFormat="1" x14ac:dyDescent="0.2"/>
    <row r="50200" customFormat="1" x14ac:dyDescent="0.2"/>
    <row r="50201" customFormat="1" x14ac:dyDescent="0.2"/>
    <row r="50202" customFormat="1" x14ac:dyDescent="0.2"/>
    <row r="50203" customFormat="1" x14ac:dyDescent="0.2"/>
    <row r="50204" customFormat="1" x14ac:dyDescent="0.2"/>
    <row r="50205" customFormat="1" x14ac:dyDescent="0.2"/>
    <row r="50206" customFormat="1" x14ac:dyDescent="0.2"/>
    <row r="50207" customFormat="1" x14ac:dyDescent="0.2"/>
    <row r="50208" customFormat="1" x14ac:dyDescent="0.2"/>
    <row r="50209" customFormat="1" x14ac:dyDescent="0.2"/>
    <row r="50210" customFormat="1" x14ac:dyDescent="0.2"/>
    <row r="50211" customFormat="1" x14ac:dyDescent="0.2"/>
    <row r="50212" customFormat="1" x14ac:dyDescent="0.2"/>
    <row r="50213" customFormat="1" x14ac:dyDescent="0.2"/>
    <row r="50214" customFormat="1" x14ac:dyDescent="0.2"/>
    <row r="50215" customFormat="1" x14ac:dyDescent="0.2"/>
    <row r="50216" customFormat="1" x14ac:dyDescent="0.2"/>
    <row r="50217" customFormat="1" x14ac:dyDescent="0.2"/>
    <row r="50218" customFormat="1" x14ac:dyDescent="0.2"/>
    <row r="50219" customFormat="1" x14ac:dyDescent="0.2"/>
    <row r="50220" customFormat="1" x14ac:dyDescent="0.2"/>
    <row r="50221" customFormat="1" x14ac:dyDescent="0.2"/>
    <row r="50222" customFormat="1" x14ac:dyDescent="0.2"/>
    <row r="50223" customFormat="1" x14ac:dyDescent="0.2"/>
    <row r="50224" customFormat="1" x14ac:dyDescent="0.2"/>
    <row r="50225" customFormat="1" x14ac:dyDescent="0.2"/>
    <row r="50226" customFormat="1" x14ac:dyDescent="0.2"/>
    <row r="50227" customFormat="1" x14ac:dyDescent="0.2"/>
    <row r="50228" customFormat="1" x14ac:dyDescent="0.2"/>
    <row r="50229" customFormat="1" x14ac:dyDescent="0.2"/>
    <row r="50230" customFormat="1" x14ac:dyDescent="0.2"/>
    <row r="50231" customFormat="1" x14ac:dyDescent="0.2"/>
    <row r="50232" customFormat="1" x14ac:dyDescent="0.2"/>
    <row r="50233" customFormat="1" x14ac:dyDescent="0.2"/>
    <row r="50234" customFormat="1" x14ac:dyDescent="0.2"/>
    <row r="50235" customFormat="1" x14ac:dyDescent="0.2"/>
    <row r="50236" customFormat="1" x14ac:dyDescent="0.2"/>
    <row r="50237" customFormat="1" x14ac:dyDescent="0.2"/>
    <row r="50238" customFormat="1" x14ac:dyDescent="0.2"/>
    <row r="50239" customFormat="1" x14ac:dyDescent="0.2"/>
    <row r="50240" customFormat="1" x14ac:dyDescent="0.2"/>
    <row r="50241" customFormat="1" x14ac:dyDescent="0.2"/>
    <row r="50242" customFormat="1" x14ac:dyDescent="0.2"/>
    <row r="50243" customFormat="1" x14ac:dyDescent="0.2"/>
    <row r="50244" customFormat="1" x14ac:dyDescent="0.2"/>
    <row r="50245" customFormat="1" x14ac:dyDescent="0.2"/>
    <row r="50246" customFormat="1" x14ac:dyDescent="0.2"/>
    <row r="50247" customFormat="1" x14ac:dyDescent="0.2"/>
    <row r="50248" customFormat="1" x14ac:dyDescent="0.2"/>
    <row r="50249" customFormat="1" x14ac:dyDescent="0.2"/>
    <row r="50250" customFormat="1" x14ac:dyDescent="0.2"/>
    <row r="50251" customFormat="1" x14ac:dyDescent="0.2"/>
    <row r="50252" customFormat="1" x14ac:dyDescent="0.2"/>
    <row r="50253" customFormat="1" x14ac:dyDescent="0.2"/>
    <row r="50254" customFormat="1" x14ac:dyDescent="0.2"/>
    <row r="50255" customFormat="1" x14ac:dyDescent="0.2"/>
    <row r="50256" customFormat="1" x14ac:dyDescent="0.2"/>
    <row r="50257" customFormat="1" x14ac:dyDescent="0.2"/>
    <row r="50258" customFormat="1" x14ac:dyDescent="0.2"/>
    <row r="50259" customFormat="1" x14ac:dyDescent="0.2"/>
    <row r="50260" customFormat="1" x14ac:dyDescent="0.2"/>
    <row r="50261" customFormat="1" x14ac:dyDescent="0.2"/>
    <row r="50262" customFormat="1" x14ac:dyDescent="0.2"/>
    <row r="50263" customFormat="1" x14ac:dyDescent="0.2"/>
    <row r="50264" customFormat="1" x14ac:dyDescent="0.2"/>
    <row r="50265" customFormat="1" x14ac:dyDescent="0.2"/>
    <row r="50266" customFormat="1" x14ac:dyDescent="0.2"/>
    <row r="50267" customFormat="1" x14ac:dyDescent="0.2"/>
    <row r="50268" customFormat="1" x14ac:dyDescent="0.2"/>
    <row r="50269" customFormat="1" x14ac:dyDescent="0.2"/>
    <row r="50270" customFormat="1" x14ac:dyDescent="0.2"/>
    <row r="50271" customFormat="1" x14ac:dyDescent="0.2"/>
    <row r="50272" customFormat="1" x14ac:dyDescent="0.2"/>
    <row r="50273" customFormat="1" x14ac:dyDescent="0.2"/>
    <row r="50274" customFormat="1" x14ac:dyDescent="0.2"/>
    <row r="50275" customFormat="1" x14ac:dyDescent="0.2"/>
    <row r="50276" customFormat="1" x14ac:dyDescent="0.2"/>
    <row r="50277" customFormat="1" x14ac:dyDescent="0.2"/>
    <row r="50278" customFormat="1" x14ac:dyDescent="0.2"/>
    <row r="50279" customFormat="1" x14ac:dyDescent="0.2"/>
    <row r="50280" customFormat="1" x14ac:dyDescent="0.2"/>
    <row r="50281" customFormat="1" x14ac:dyDescent="0.2"/>
    <row r="50282" customFormat="1" x14ac:dyDescent="0.2"/>
    <row r="50283" customFormat="1" x14ac:dyDescent="0.2"/>
    <row r="50284" customFormat="1" x14ac:dyDescent="0.2"/>
    <row r="50285" customFormat="1" x14ac:dyDescent="0.2"/>
    <row r="50286" customFormat="1" x14ac:dyDescent="0.2"/>
    <row r="50287" customFormat="1" x14ac:dyDescent="0.2"/>
    <row r="50288" customFormat="1" x14ac:dyDescent="0.2"/>
    <row r="50289" customFormat="1" x14ac:dyDescent="0.2"/>
    <row r="50290" customFormat="1" x14ac:dyDescent="0.2"/>
    <row r="50291" customFormat="1" x14ac:dyDescent="0.2"/>
    <row r="50292" customFormat="1" x14ac:dyDescent="0.2"/>
    <row r="50293" customFormat="1" x14ac:dyDescent="0.2"/>
    <row r="50294" customFormat="1" x14ac:dyDescent="0.2"/>
    <row r="50295" customFormat="1" x14ac:dyDescent="0.2"/>
    <row r="50296" customFormat="1" x14ac:dyDescent="0.2"/>
    <row r="50297" customFormat="1" x14ac:dyDescent="0.2"/>
    <row r="50298" customFormat="1" x14ac:dyDescent="0.2"/>
    <row r="50299" customFormat="1" x14ac:dyDescent="0.2"/>
    <row r="50300" customFormat="1" x14ac:dyDescent="0.2"/>
    <row r="50301" customFormat="1" x14ac:dyDescent="0.2"/>
    <row r="50302" customFormat="1" x14ac:dyDescent="0.2"/>
    <row r="50303" customFormat="1" x14ac:dyDescent="0.2"/>
    <row r="50304" customFormat="1" x14ac:dyDescent="0.2"/>
    <row r="50305" customFormat="1" x14ac:dyDescent="0.2"/>
    <row r="50306" customFormat="1" x14ac:dyDescent="0.2"/>
    <row r="50307" customFormat="1" x14ac:dyDescent="0.2"/>
    <row r="50308" customFormat="1" x14ac:dyDescent="0.2"/>
    <row r="50309" customFormat="1" x14ac:dyDescent="0.2"/>
    <row r="50310" customFormat="1" x14ac:dyDescent="0.2"/>
    <row r="50311" customFormat="1" x14ac:dyDescent="0.2"/>
    <row r="50312" customFormat="1" x14ac:dyDescent="0.2"/>
    <row r="50313" customFormat="1" x14ac:dyDescent="0.2"/>
    <row r="50314" customFormat="1" x14ac:dyDescent="0.2"/>
    <row r="50315" customFormat="1" x14ac:dyDescent="0.2"/>
    <row r="50316" customFormat="1" x14ac:dyDescent="0.2"/>
    <row r="50317" customFormat="1" x14ac:dyDescent="0.2"/>
    <row r="50318" customFormat="1" x14ac:dyDescent="0.2"/>
    <row r="50319" customFormat="1" x14ac:dyDescent="0.2"/>
    <row r="50320" customFormat="1" x14ac:dyDescent="0.2"/>
    <row r="50321" customFormat="1" x14ac:dyDescent="0.2"/>
    <row r="50322" customFormat="1" x14ac:dyDescent="0.2"/>
    <row r="50323" customFormat="1" x14ac:dyDescent="0.2"/>
    <row r="50324" customFormat="1" x14ac:dyDescent="0.2"/>
    <row r="50325" customFormat="1" x14ac:dyDescent="0.2"/>
    <row r="50326" customFormat="1" x14ac:dyDescent="0.2"/>
    <row r="50327" customFormat="1" x14ac:dyDescent="0.2"/>
    <row r="50328" customFormat="1" x14ac:dyDescent="0.2"/>
    <row r="50329" customFormat="1" x14ac:dyDescent="0.2"/>
    <row r="50330" customFormat="1" x14ac:dyDescent="0.2"/>
    <row r="50331" customFormat="1" x14ac:dyDescent="0.2"/>
    <row r="50332" customFormat="1" x14ac:dyDescent="0.2"/>
    <row r="50333" customFormat="1" x14ac:dyDescent="0.2"/>
    <row r="50334" customFormat="1" x14ac:dyDescent="0.2"/>
    <row r="50335" customFormat="1" x14ac:dyDescent="0.2"/>
    <row r="50336" customFormat="1" x14ac:dyDescent="0.2"/>
    <row r="50337" customFormat="1" x14ac:dyDescent="0.2"/>
    <row r="50338" customFormat="1" x14ac:dyDescent="0.2"/>
    <row r="50339" customFormat="1" x14ac:dyDescent="0.2"/>
    <row r="50340" customFormat="1" x14ac:dyDescent="0.2"/>
    <row r="50341" customFormat="1" x14ac:dyDescent="0.2"/>
    <row r="50342" customFormat="1" x14ac:dyDescent="0.2"/>
    <row r="50343" customFormat="1" x14ac:dyDescent="0.2"/>
    <row r="50344" customFormat="1" x14ac:dyDescent="0.2"/>
    <row r="50345" customFormat="1" x14ac:dyDescent="0.2"/>
    <row r="50346" customFormat="1" x14ac:dyDescent="0.2"/>
    <row r="50347" customFormat="1" x14ac:dyDescent="0.2"/>
    <row r="50348" customFormat="1" x14ac:dyDescent="0.2"/>
    <row r="50349" customFormat="1" x14ac:dyDescent="0.2"/>
    <row r="50350" customFormat="1" x14ac:dyDescent="0.2"/>
    <row r="50351" customFormat="1" x14ac:dyDescent="0.2"/>
    <row r="50352" customFormat="1" x14ac:dyDescent="0.2"/>
    <row r="50353" customFormat="1" x14ac:dyDescent="0.2"/>
    <row r="50354" customFormat="1" x14ac:dyDescent="0.2"/>
    <row r="50355" customFormat="1" x14ac:dyDescent="0.2"/>
    <row r="50356" customFormat="1" x14ac:dyDescent="0.2"/>
    <row r="50357" customFormat="1" x14ac:dyDescent="0.2"/>
    <row r="50358" customFormat="1" x14ac:dyDescent="0.2"/>
    <row r="50359" customFormat="1" x14ac:dyDescent="0.2"/>
    <row r="50360" customFormat="1" x14ac:dyDescent="0.2"/>
    <row r="50361" customFormat="1" x14ac:dyDescent="0.2"/>
    <row r="50362" customFormat="1" x14ac:dyDescent="0.2"/>
    <row r="50363" customFormat="1" x14ac:dyDescent="0.2"/>
    <row r="50364" customFormat="1" x14ac:dyDescent="0.2"/>
    <row r="50365" customFormat="1" x14ac:dyDescent="0.2"/>
    <row r="50366" customFormat="1" x14ac:dyDescent="0.2"/>
    <row r="50367" customFormat="1" x14ac:dyDescent="0.2"/>
    <row r="50368" customFormat="1" x14ac:dyDescent="0.2"/>
    <row r="50369" customFormat="1" x14ac:dyDescent="0.2"/>
    <row r="50370" customFormat="1" x14ac:dyDescent="0.2"/>
    <row r="50371" customFormat="1" x14ac:dyDescent="0.2"/>
    <row r="50372" customFormat="1" x14ac:dyDescent="0.2"/>
    <row r="50373" customFormat="1" x14ac:dyDescent="0.2"/>
    <row r="50374" customFormat="1" x14ac:dyDescent="0.2"/>
    <row r="50375" customFormat="1" x14ac:dyDescent="0.2"/>
    <row r="50376" customFormat="1" x14ac:dyDescent="0.2"/>
    <row r="50377" customFormat="1" x14ac:dyDescent="0.2"/>
    <row r="50378" customFormat="1" x14ac:dyDescent="0.2"/>
    <row r="50379" customFormat="1" x14ac:dyDescent="0.2"/>
    <row r="50380" customFormat="1" x14ac:dyDescent="0.2"/>
    <row r="50381" customFormat="1" x14ac:dyDescent="0.2"/>
    <row r="50382" customFormat="1" x14ac:dyDescent="0.2"/>
    <row r="50383" customFormat="1" x14ac:dyDescent="0.2"/>
    <row r="50384" customFormat="1" x14ac:dyDescent="0.2"/>
    <row r="50385" customFormat="1" x14ac:dyDescent="0.2"/>
    <row r="50386" customFormat="1" x14ac:dyDescent="0.2"/>
    <row r="50387" customFormat="1" x14ac:dyDescent="0.2"/>
    <row r="50388" customFormat="1" x14ac:dyDescent="0.2"/>
    <row r="50389" customFormat="1" x14ac:dyDescent="0.2"/>
    <row r="50390" customFormat="1" x14ac:dyDescent="0.2"/>
    <row r="50391" customFormat="1" x14ac:dyDescent="0.2"/>
    <row r="50392" customFormat="1" x14ac:dyDescent="0.2"/>
    <row r="50393" customFormat="1" x14ac:dyDescent="0.2"/>
    <row r="50394" customFormat="1" x14ac:dyDescent="0.2"/>
    <row r="50395" customFormat="1" x14ac:dyDescent="0.2"/>
    <row r="50396" customFormat="1" x14ac:dyDescent="0.2"/>
    <row r="50397" customFormat="1" x14ac:dyDescent="0.2"/>
    <row r="50398" customFormat="1" x14ac:dyDescent="0.2"/>
    <row r="50399" customFormat="1" x14ac:dyDescent="0.2"/>
    <row r="50400" customFormat="1" x14ac:dyDescent="0.2"/>
    <row r="50401" customFormat="1" x14ac:dyDescent="0.2"/>
    <row r="50402" customFormat="1" x14ac:dyDescent="0.2"/>
    <row r="50403" customFormat="1" x14ac:dyDescent="0.2"/>
    <row r="50404" customFormat="1" x14ac:dyDescent="0.2"/>
    <row r="50405" customFormat="1" x14ac:dyDescent="0.2"/>
    <row r="50406" customFormat="1" x14ac:dyDescent="0.2"/>
    <row r="50407" customFormat="1" x14ac:dyDescent="0.2"/>
    <row r="50408" customFormat="1" x14ac:dyDescent="0.2"/>
    <row r="50409" customFormat="1" x14ac:dyDescent="0.2"/>
    <row r="50410" customFormat="1" x14ac:dyDescent="0.2"/>
    <row r="50411" customFormat="1" x14ac:dyDescent="0.2"/>
    <row r="50412" customFormat="1" x14ac:dyDescent="0.2"/>
    <row r="50413" customFormat="1" x14ac:dyDescent="0.2"/>
    <row r="50414" customFormat="1" x14ac:dyDescent="0.2"/>
    <row r="50415" customFormat="1" x14ac:dyDescent="0.2"/>
    <row r="50416" customFormat="1" x14ac:dyDescent="0.2"/>
    <row r="50417" customFormat="1" x14ac:dyDescent="0.2"/>
    <row r="50418" customFormat="1" x14ac:dyDescent="0.2"/>
    <row r="50419" customFormat="1" x14ac:dyDescent="0.2"/>
    <row r="50420" customFormat="1" x14ac:dyDescent="0.2"/>
    <row r="50421" customFormat="1" x14ac:dyDescent="0.2"/>
    <row r="50422" customFormat="1" x14ac:dyDescent="0.2"/>
    <row r="50423" customFormat="1" x14ac:dyDescent="0.2"/>
    <row r="50424" customFormat="1" x14ac:dyDescent="0.2"/>
    <row r="50425" customFormat="1" x14ac:dyDescent="0.2"/>
    <row r="50426" customFormat="1" x14ac:dyDescent="0.2"/>
    <row r="50427" customFormat="1" x14ac:dyDescent="0.2"/>
    <row r="50428" customFormat="1" x14ac:dyDescent="0.2"/>
    <row r="50429" customFormat="1" x14ac:dyDescent="0.2"/>
    <row r="50430" customFormat="1" x14ac:dyDescent="0.2"/>
    <row r="50431" customFormat="1" x14ac:dyDescent="0.2"/>
    <row r="50432" customFormat="1" x14ac:dyDescent="0.2"/>
    <row r="50433" customFormat="1" x14ac:dyDescent="0.2"/>
    <row r="50434" customFormat="1" x14ac:dyDescent="0.2"/>
    <row r="50435" customFormat="1" x14ac:dyDescent="0.2"/>
    <row r="50436" customFormat="1" x14ac:dyDescent="0.2"/>
    <row r="50437" customFormat="1" x14ac:dyDescent="0.2"/>
    <row r="50438" customFormat="1" x14ac:dyDescent="0.2"/>
    <row r="50439" customFormat="1" x14ac:dyDescent="0.2"/>
    <row r="50440" customFormat="1" x14ac:dyDescent="0.2"/>
    <row r="50441" customFormat="1" x14ac:dyDescent="0.2"/>
    <row r="50442" customFormat="1" x14ac:dyDescent="0.2"/>
    <row r="50443" customFormat="1" x14ac:dyDescent="0.2"/>
    <row r="50444" customFormat="1" x14ac:dyDescent="0.2"/>
    <row r="50445" customFormat="1" x14ac:dyDescent="0.2"/>
    <row r="50446" customFormat="1" x14ac:dyDescent="0.2"/>
    <row r="50447" customFormat="1" x14ac:dyDescent="0.2"/>
    <row r="50448" customFormat="1" x14ac:dyDescent="0.2"/>
    <row r="50449" customFormat="1" x14ac:dyDescent="0.2"/>
    <row r="50450" customFormat="1" x14ac:dyDescent="0.2"/>
    <row r="50451" customFormat="1" x14ac:dyDescent="0.2"/>
    <row r="50452" customFormat="1" x14ac:dyDescent="0.2"/>
    <row r="50453" customFormat="1" x14ac:dyDescent="0.2"/>
    <row r="50454" customFormat="1" x14ac:dyDescent="0.2"/>
    <row r="50455" customFormat="1" x14ac:dyDescent="0.2"/>
    <row r="50456" customFormat="1" x14ac:dyDescent="0.2"/>
    <row r="50457" customFormat="1" x14ac:dyDescent="0.2"/>
    <row r="50458" customFormat="1" x14ac:dyDescent="0.2"/>
    <row r="50459" customFormat="1" x14ac:dyDescent="0.2"/>
    <row r="50460" customFormat="1" x14ac:dyDescent="0.2"/>
    <row r="50461" customFormat="1" x14ac:dyDescent="0.2"/>
    <row r="50462" customFormat="1" x14ac:dyDescent="0.2"/>
    <row r="50463" customFormat="1" x14ac:dyDescent="0.2"/>
    <row r="50464" customFormat="1" x14ac:dyDescent="0.2"/>
    <row r="50465" customFormat="1" x14ac:dyDescent="0.2"/>
    <row r="50466" customFormat="1" x14ac:dyDescent="0.2"/>
    <row r="50467" customFormat="1" x14ac:dyDescent="0.2"/>
    <row r="50468" customFormat="1" x14ac:dyDescent="0.2"/>
    <row r="50469" customFormat="1" x14ac:dyDescent="0.2"/>
    <row r="50470" customFormat="1" x14ac:dyDescent="0.2"/>
    <row r="50471" customFormat="1" x14ac:dyDescent="0.2"/>
    <row r="50472" customFormat="1" x14ac:dyDescent="0.2"/>
    <row r="50473" customFormat="1" x14ac:dyDescent="0.2"/>
    <row r="50474" customFormat="1" x14ac:dyDescent="0.2"/>
    <row r="50475" customFormat="1" x14ac:dyDescent="0.2"/>
    <row r="50476" customFormat="1" x14ac:dyDescent="0.2"/>
    <row r="50477" customFormat="1" x14ac:dyDescent="0.2"/>
    <row r="50478" customFormat="1" x14ac:dyDescent="0.2"/>
    <row r="50479" customFormat="1" x14ac:dyDescent="0.2"/>
    <row r="50480" customFormat="1" x14ac:dyDescent="0.2"/>
    <row r="50481" customFormat="1" x14ac:dyDescent="0.2"/>
    <row r="50482" customFormat="1" x14ac:dyDescent="0.2"/>
    <row r="50483" customFormat="1" x14ac:dyDescent="0.2"/>
    <row r="50484" customFormat="1" x14ac:dyDescent="0.2"/>
    <row r="50485" customFormat="1" x14ac:dyDescent="0.2"/>
    <row r="50486" customFormat="1" x14ac:dyDescent="0.2"/>
    <row r="50487" customFormat="1" x14ac:dyDescent="0.2"/>
    <row r="50488" customFormat="1" x14ac:dyDescent="0.2"/>
    <row r="50489" customFormat="1" x14ac:dyDescent="0.2"/>
    <row r="50490" customFormat="1" x14ac:dyDescent="0.2"/>
    <row r="50491" customFormat="1" x14ac:dyDescent="0.2"/>
    <row r="50492" customFormat="1" x14ac:dyDescent="0.2"/>
    <row r="50493" customFormat="1" x14ac:dyDescent="0.2"/>
    <row r="50494" customFormat="1" x14ac:dyDescent="0.2"/>
    <row r="50495" customFormat="1" x14ac:dyDescent="0.2"/>
    <row r="50496" customFormat="1" x14ac:dyDescent="0.2"/>
    <row r="50497" customFormat="1" x14ac:dyDescent="0.2"/>
    <row r="50498" customFormat="1" x14ac:dyDescent="0.2"/>
    <row r="50499" customFormat="1" x14ac:dyDescent="0.2"/>
    <row r="50500" customFormat="1" x14ac:dyDescent="0.2"/>
    <row r="50501" customFormat="1" x14ac:dyDescent="0.2"/>
    <row r="50502" customFormat="1" x14ac:dyDescent="0.2"/>
    <row r="50503" customFormat="1" x14ac:dyDescent="0.2"/>
    <row r="50504" customFormat="1" x14ac:dyDescent="0.2"/>
    <row r="50505" customFormat="1" x14ac:dyDescent="0.2"/>
    <row r="50506" customFormat="1" x14ac:dyDescent="0.2"/>
    <row r="50507" customFormat="1" x14ac:dyDescent="0.2"/>
    <row r="50508" customFormat="1" x14ac:dyDescent="0.2"/>
    <row r="50509" customFormat="1" x14ac:dyDescent="0.2"/>
    <row r="50510" customFormat="1" x14ac:dyDescent="0.2"/>
    <row r="50511" customFormat="1" x14ac:dyDescent="0.2"/>
    <row r="50512" customFormat="1" x14ac:dyDescent="0.2"/>
    <row r="50513" customFormat="1" x14ac:dyDescent="0.2"/>
    <row r="50514" customFormat="1" x14ac:dyDescent="0.2"/>
    <row r="50515" customFormat="1" x14ac:dyDescent="0.2"/>
    <row r="50516" customFormat="1" x14ac:dyDescent="0.2"/>
    <row r="50517" customFormat="1" x14ac:dyDescent="0.2"/>
    <row r="50518" customFormat="1" x14ac:dyDescent="0.2"/>
    <row r="50519" customFormat="1" x14ac:dyDescent="0.2"/>
    <row r="50520" customFormat="1" x14ac:dyDescent="0.2"/>
    <row r="50521" customFormat="1" x14ac:dyDescent="0.2"/>
    <row r="50522" customFormat="1" x14ac:dyDescent="0.2"/>
    <row r="50523" customFormat="1" x14ac:dyDescent="0.2"/>
    <row r="50524" customFormat="1" x14ac:dyDescent="0.2"/>
    <row r="50525" customFormat="1" x14ac:dyDescent="0.2"/>
    <row r="50526" customFormat="1" x14ac:dyDescent="0.2"/>
    <row r="50527" customFormat="1" x14ac:dyDescent="0.2"/>
    <row r="50528" customFormat="1" x14ac:dyDescent="0.2"/>
    <row r="50529" customFormat="1" x14ac:dyDescent="0.2"/>
    <row r="50530" customFormat="1" x14ac:dyDescent="0.2"/>
    <row r="50531" customFormat="1" x14ac:dyDescent="0.2"/>
    <row r="50532" customFormat="1" x14ac:dyDescent="0.2"/>
    <row r="50533" customFormat="1" x14ac:dyDescent="0.2"/>
    <row r="50534" customFormat="1" x14ac:dyDescent="0.2"/>
    <row r="50535" customFormat="1" x14ac:dyDescent="0.2"/>
    <row r="50536" customFormat="1" x14ac:dyDescent="0.2"/>
    <row r="50537" customFormat="1" x14ac:dyDescent="0.2"/>
    <row r="50538" customFormat="1" x14ac:dyDescent="0.2"/>
    <row r="50539" customFormat="1" x14ac:dyDescent="0.2"/>
    <row r="50540" customFormat="1" x14ac:dyDescent="0.2"/>
    <row r="50541" customFormat="1" x14ac:dyDescent="0.2"/>
    <row r="50542" customFormat="1" x14ac:dyDescent="0.2"/>
    <row r="50543" customFormat="1" x14ac:dyDescent="0.2"/>
    <row r="50544" customFormat="1" x14ac:dyDescent="0.2"/>
    <row r="50545" customFormat="1" x14ac:dyDescent="0.2"/>
    <row r="50546" customFormat="1" x14ac:dyDescent="0.2"/>
    <row r="50547" customFormat="1" x14ac:dyDescent="0.2"/>
    <row r="50548" customFormat="1" x14ac:dyDescent="0.2"/>
    <row r="50549" customFormat="1" x14ac:dyDescent="0.2"/>
    <row r="50550" customFormat="1" x14ac:dyDescent="0.2"/>
    <row r="50551" customFormat="1" x14ac:dyDescent="0.2"/>
    <row r="50552" customFormat="1" x14ac:dyDescent="0.2"/>
    <row r="50553" customFormat="1" x14ac:dyDescent="0.2"/>
    <row r="50554" customFormat="1" x14ac:dyDescent="0.2"/>
    <row r="50555" customFormat="1" x14ac:dyDescent="0.2"/>
    <row r="50556" customFormat="1" x14ac:dyDescent="0.2"/>
    <row r="50557" customFormat="1" x14ac:dyDescent="0.2"/>
    <row r="50558" customFormat="1" x14ac:dyDescent="0.2"/>
    <row r="50559" customFormat="1" x14ac:dyDescent="0.2"/>
    <row r="50560" customFormat="1" x14ac:dyDescent="0.2"/>
    <row r="50561" customFormat="1" x14ac:dyDescent="0.2"/>
    <row r="50562" customFormat="1" x14ac:dyDescent="0.2"/>
    <row r="50563" customFormat="1" x14ac:dyDescent="0.2"/>
    <row r="50564" customFormat="1" x14ac:dyDescent="0.2"/>
    <row r="50565" customFormat="1" x14ac:dyDescent="0.2"/>
    <row r="50566" customFormat="1" x14ac:dyDescent="0.2"/>
    <row r="50567" customFormat="1" x14ac:dyDescent="0.2"/>
    <row r="50568" customFormat="1" x14ac:dyDescent="0.2"/>
    <row r="50569" customFormat="1" x14ac:dyDescent="0.2"/>
    <row r="50570" customFormat="1" x14ac:dyDescent="0.2"/>
    <row r="50571" customFormat="1" x14ac:dyDescent="0.2"/>
    <row r="50572" customFormat="1" x14ac:dyDescent="0.2"/>
    <row r="50573" customFormat="1" x14ac:dyDescent="0.2"/>
    <row r="50574" customFormat="1" x14ac:dyDescent="0.2"/>
    <row r="50575" customFormat="1" x14ac:dyDescent="0.2"/>
    <row r="50576" customFormat="1" x14ac:dyDescent="0.2"/>
    <row r="50577" customFormat="1" x14ac:dyDescent="0.2"/>
    <row r="50578" customFormat="1" x14ac:dyDescent="0.2"/>
    <row r="50579" customFormat="1" x14ac:dyDescent="0.2"/>
    <row r="50580" customFormat="1" x14ac:dyDescent="0.2"/>
    <row r="50581" customFormat="1" x14ac:dyDescent="0.2"/>
    <row r="50582" customFormat="1" x14ac:dyDescent="0.2"/>
    <row r="50583" customFormat="1" x14ac:dyDescent="0.2"/>
    <row r="50584" customFormat="1" x14ac:dyDescent="0.2"/>
    <row r="50585" customFormat="1" x14ac:dyDescent="0.2"/>
    <row r="50586" customFormat="1" x14ac:dyDescent="0.2"/>
    <row r="50587" customFormat="1" x14ac:dyDescent="0.2"/>
    <row r="50588" customFormat="1" x14ac:dyDescent="0.2"/>
    <row r="50589" customFormat="1" x14ac:dyDescent="0.2"/>
    <row r="50590" customFormat="1" x14ac:dyDescent="0.2"/>
    <row r="50591" customFormat="1" x14ac:dyDescent="0.2"/>
    <row r="50592" customFormat="1" x14ac:dyDescent="0.2"/>
    <row r="50593" customFormat="1" x14ac:dyDescent="0.2"/>
    <row r="50594" customFormat="1" x14ac:dyDescent="0.2"/>
    <row r="50595" customFormat="1" x14ac:dyDescent="0.2"/>
    <row r="50596" customFormat="1" x14ac:dyDescent="0.2"/>
    <row r="50597" customFormat="1" x14ac:dyDescent="0.2"/>
    <row r="50598" customFormat="1" x14ac:dyDescent="0.2"/>
    <row r="50599" customFormat="1" x14ac:dyDescent="0.2"/>
    <row r="50600" customFormat="1" x14ac:dyDescent="0.2"/>
    <row r="50601" customFormat="1" x14ac:dyDescent="0.2"/>
    <row r="50602" customFormat="1" x14ac:dyDescent="0.2"/>
    <row r="50603" customFormat="1" x14ac:dyDescent="0.2"/>
    <row r="50604" customFormat="1" x14ac:dyDescent="0.2"/>
    <row r="50605" customFormat="1" x14ac:dyDescent="0.2"/>
    <row r="50606" customFormat="1" x14ac:dyDescent="0.2"/>
    <row r="50607" customFormat="1" x14ac:dyDescent="0.2"/>
    <row r="50608" customFormat="1" x14ac:dyDescent="0.2"/>
    <row r="50609" customFormat="1" x14ac:dyDescent="0.2"/>
    <row r="50610" customFormat="1" x14ac:dyDescent="0.2"/>
    <row r="50611" customFormat="1" x14ac:dyDescent="0.2"/>
    <row r="50612" customFormat="1" x14ac:dyDescent="0.2"/>
    <row r="50613" customFormat="1" x14ac:dyDescent="0.2"/>
    <row r="50614" customFormat="1" x14ac:dyDescent="0.2"/>
    <row r="50615" customFormat="1" x14ac:dyDescent="0.2"/>
    <row r="50616" customFormat="1" x14ac:dyDescent="0.2"/>
    <row r="50617" customFormat="1" x14ac:dyDescent="0.2"/>
    <row r="50618" customFormat="1" x14ac:dyDescent="0.2"/>
    <row r="50619" customFormat="1" x14ac:dyDescent="0.2"/>
    <row r="50620" customFormat="1" x14ac:dyDescent="0.2"/>
    <row r="50621" customFormat="1" x14ac:dyDescent="0.2"/>
    <row r="50622" customFormat="1" x14ac:dyDescent="0.2"/>
    <row r="50623" customFormat="1" x14ac:dyDescent="0.2"/>
    <row r="50624" customFormat="1" x14ac:dyDescent="0.2"/>
    <row r="50625" customFormat="1" x14ac:dyDescent="0.2"/>
    <row r="50626" customFormat="1" x14ac:dyDescent="0.2"/>
    <row r="50627" customFormat="1" x14ac:dyDescent="0.2"/>
    <row r="50628" customFormat="1" x14ac:dyDescent="0.2"/>
    <row r="50629" customFormat="1" x14ac:dyDescent="0.2"/>
    <row r="50630" customFormat="1" x14ac:dyDescent="0.2"/>
    <row r="50631" customFormat="1" x14ac:dyDescent="0.2"/>
    <row r="50632" customFormat="1" x14ac:dyDescent="0.2"/>
    <row r="50633" customFormat="1" x14ac:dyDescent="0.2"/>
    <row r="50634" customFormat="1" x14ac:dyDescent="0.2"/>
    <row r="50635" customFormat="1" x14ac:dyDescent="0.2"/>
    <row r="50636" customFormat="1" x14ac:dyDescent="0.2"/>
    <row r="50637" customFormat="1" x14ac:dyDescent="0.2"/>
    <row r="50638" customFormat="1" x14ac:dyDescent="0.2"/>
    <row r="50639" customFormat="1" x14ac:dyDescent="0.2"/>
    <row r="50640" customFormat="1" x14ac:dyDescent="0.2"/>
    <row r="50641" customFormat="1" x14ac:dyDescent="0.2"/>
    <row r="50642" customFormat="1" x14ac:dyDescent="0.2"/>
    <row r="50643" customFormat="1" x14ac:dyDescent="0.2"/>
    <row r="50644" customFormat="1" x14ac:dyDescent="0.2"/>
    <row r="50645" customFormat="1" x14ac:dyDescent="0.2"/>
    <row r="50646" customFormat="1" x14ac:dyDescent="0.2"/>
    <row r="50647" customFormat="1" x14ac:dyDescent="0.2"/>
    <row r="50648" customFormat="1" x14ac:dyDescent="0.2"/>
    <row r="50649" customFormat="1" x14ac:dyDescent="0.2"/>
    <row r="50650" customFormat="1" x14ac:dyDescent="0.2"/>
    <row r="50651" customFormat="1" x14ac:dyDescent="0.2"/>
    <row r="50652" customFormat="1" x14ac:dyDescent="0.2"/>
    <row r="50653" customFormat="1" x14ac:dyDescent="0.2"/>
    <row r="50654" customFormat="1" x14ac:dyDescent="0.2"/>
    <row r="50655" customFormat="1" x14ac:dyDescent="0.2"/>
    <row r="50656" customFormat="1" x14ac:dyDescent="0.2"/>
    <row r="50657" customFormat="1" x14ac:dyDescent="0.2"/>
    <row r="50658" customFormat="1" x14ac:dyDescent="0.2"/>
    <row r="50659" customFormat="1" x14ac:dyDescent="0.2"/>
    <row r="50660" customFormat="1" x14ac:dyDescent="0.2"/>
    <row r="50661" customFormat="1" x14ac:dyDescent="0.2"/>
    <row r="50662" customFormat="1" x14ac:dyDescent="0.2"/>
    <row r="50663" customFormat="1" x14ac:dyDescent="0.2"/>
    <row r="50664" customFormat="1" x14ac:dyDescent="0.2"/>
    <row r="50665" customFormat="1" x14ac:dyDescent="0.2"/>
    <row r="50666" customFormat="1" x14ac:dyDescent="0.2"/>
    <row r="50667" customFormat="1" x14ac:dyDescent="0.2"/>
    <row r="50668" customFormat="1" x14ac:dyDescent="0.2"/>
    <row r="50669" customFormat="1" x14ac:dyDescent="0.2"/>
    <row r="50670" customFormat="1" x14ac:dyDescent="0.2"/>
    <row r="50671" customFormat="1" x14ac:dyDescent="0.2"/>
    <row r="50672" customFormat="1" x14ac:dyDescent="0.2"/>
    <row r="50673" customFormat="1" x14ac:dyDescent="0.2"/>
    <row r="50674" customFormat="1" x14ac:dyDescent="0.2"/>
    <row r="50675" customFormat="1" x14ac:dyDescent="0.2"/>
    <row r="50676" customFormat="1" x14ac:dyDescent="0.2"/>
    <row r="50677" customFormat="1" x14ac:dyDescent="0.2"/>
    <row r="50678" customFormat="1" x14ac:dyDescent="0.2"/>
    <row r="50679" customFormat="1" x14ac:dyDescent="0.2"/>
    <row r="50680" customFormat="1" x14ac:dyDescent="0.2"/>
    <row r="50681" customFormat="1" x14ac:dyDescent="0.2"/>
    <row r="50682" customFormat="1" x14ac:dyDescent="0.2"/>
    <row r="50683" customFormat="1" x14ac:dyDescent="0.2"/>
    <row r="50684" customFormat="1" x14ac:dyDescent="0.2"/>
    <row r="50685" customFormat="1" x14ac:dyDescent="0.2"/>
    <row r="50686" customFormat="1" x14ac:dyDescent="0.2"/>
    <row r="50687" customFormat="1" x14ac:dyDescent="0.2"/>
    <row r="50688" customFormat="1" x14ac:dyDescent="0.2"/>
    <row r="50689" customFormat="1" x14ac:dyDescent="0.2"/>
    <row r="50690" customFormat="1" x14ac:dyDescent="0.2"/>
    <row r="50691" customFormat="1" x14ac:dyDescent="0.2"/>
    <row r="50692" customFormat="1" x14ac:dyDescent="0.2"/>
    <row r="50693" customFormat="1" x14ac:dyDescent="0.2"/>
    <row r="50694" customFormat="1" x14ac:dyDescent="0.2"/>
    <row r="50695" customFormat="1" x14ac:dyDescent="0.2"/>
    <row r="50696" customFormat="1" x14ac:dyDescent="0.2"/>
    <row r="50697" customFormat="1" x14ac:dyDescent="0.2"/>
    <row r="50698" customFormat="1" x14ac:dyDescent="0.2"/>
    <row r="50699" customFormat="1" x14ac:dyDescent="0.2"/>
    <row r="50700" customFormat="1" x14ac:dyDescent="0.2"/>
    <row r="50701" customFormat="1" x14ac:dyDescent="0.2"/>
    <row r="50702" customFormat="1" x14ac:dyDescent="0.2"/>
    <row r="50703" customFormat="1" x14ac:dyDescent="0.2"/>
    <row r="50704" customFormat="1" x14ac:dyDescent="0.2"/>
    <row r="50705" customFormat="1" x14ac:dyDescent="0.2"/>
    <row r="50706" customFormat="1" x14ac:dyDescent="0.2"/>
    <row r="50707" customFormat="1" x14ac:dyDescent="0.2"/>
    <row r="50708" customFormat="1" x14ac:dyDescent="0.2"/>
    <row r="50709" customFormat="1" x14ac:dyDescent="0.2"/>
    <row r="50710" customFormat="1" x14ac:dyDescent="0.2"/>
    <row r="50711" customFormat="1" x14ac:dyDescent="0.2"/>
    <row r="50712" customFormat="1" x14ac:dyDescent="0.2"/>
    <row r="50713" customFormat="1" x14ac:dyDescent="0.2"/>
    <row r="50714" customFormat="1" x14ac:dyDescent="0.2"/>
    <row r="50715" customFormat="1" x14ac:dyDescent="0.2"/>
    <row r="50716" customFormat="1" x14ac:dyDescent="0.2"/>
    <row r="50717" customFormat="1" x14ac:dyDescent="0.2"/>
    <row r="50718" customFormat="1" x14ac:dyDescent="0.2"/>
    <row r="50719" customFormat="1" x14ac:dyDescent="0.2"/>
    <row r="50720" customFormat="1" x14ac:dyDescent="0.2"/>
    <row r="50721" customFormat="1" x14ac:dyDescent="0.2"/>
    <row r="50722" customFormat="1" x14ac:dyDescent="0.2"/>
    <row r="50723" customFormat="1" x14ac:dyDescent="0.2"/>
    <row r="50724" customFormat="1" x14ac:dyDescent="0.2"/>
    <row r="50725" customFormat="1" x14ac:dyDescent="0.2"/>
    <row r="50726" customFormat="1" x14ac:dyDescent="0.2"/>
    <row r="50727" customFormat="1" x14ac:dyDescent="0.2"/>
    <row r="50728" customFormat="1" x14ac:dyDescent="0.2"/>
    <row r="50729" customFormat="1" x14ac:dyDescent="0.2"/>
    <row r="50730" customFormat="1" x14ac:dyDescent="0.2"/>
    <row r="50731" customFormat="1" x14ac:dyDescent="0.2"/>
    <row r="50732" customFormat="1" x14ac:dyDescent="0.2"/>
    <row r="50733" customFormat="1" x14ac:dyDescent="0.2"/>
    <row r="50734" customFormat="1" x14ac:dyDescent="0.2"/>
    <row r="50735" customFormat="1" x14ac:dyDescent="0.2"/>
    <row r="50736" customFormat="1" x14ac:dyDescent="0.2"/>
    <row r="50737" customFormat="1" x14ac:dyDescent="0.2"/>
    <row r="50738" customFormat="1" x14ac:dyDescent="0.2"/>
    <row r="50739" customFormat="1" x14ac:dyDescent="0.2"/>
    <row r="50740" customFormat="1" x14ac:dyDescent="0.2"/>
    <row r="50741" customFormat="1" x14ac:dyDescent="0.2"/>
    <row r="50742" customFormat="1" x14ac:dyDescent="0.2"/>
    <row r="50743" customFormat="1" x14ac:dyDescent="0.2"/>
    <row r="50744" customFormat="1" x14ac:dyDescent="0.2"/>
    <row r="50745" customFormat="1" x14ac:dyDescent="0.2"/>
    <row r="50746" customFormat="1" x14ac:dyDescent="0.2"/>
    <row r="50747" customFormat="1" x14ac:dyDescent="0.2"/>
    <row r="50748" customFormat="1" x14ac:dyDescent="0.2"/>
    <row r="50749" customFormat="1" x14ac:dyDescent="0.2"/>
    <row r="50750" customFormat="1" x14ac:dyDescent="0.2"/>
    <row r="50751" customFormat="1" x14ac:dyDescent="0.2"/>
    <row r="50752" customFormat="1" x14ac:dyDescent="0.2"/>
    <row r="50753" customFormat="1" x14ac:dyDescent="0.2"/>
    <row r="50754" customFormat="1" x14ac:dyDescent="0.2"/>
    <row r="50755" customFormat="1" x14ac:dyDescent="0.2"/>
    <row r="50756" customFormat="1" x14ac:dyDescent="0.2"/>
    <row r="50757" customFormat="1" x14ac:dyDescent="0.2"/>
    <row r="50758" customFormat="1" x14ac:dyDescent="0.2"/>
    <row r="50759" customFormat="1" x14ac:dyDescent="0.2"/>
    <row r="50760" customFormat="1" x14ac:dyDescent="0.2"/>
    <row r="50761" customFormat="1" x14ac:dyDescent="0.2"/>
    <row r="50762" customFormat="1" x14ac:dyDescent="0.2"/>
    <row r="50763" customFormat="1" x14ac:dyDescent="0.2"/>
    <row r="50764" customFormat="1" x14ac:dyDescent="0.2"/>
    <row r="50765" customFormat="1" x14ac:dyDescent="0.2"/>
    <row r="50766" customFormat="1" x14ac:dyDescent="0.2"/>
    <row r="50767" customFormat="1" x14ac:dyDescent="0.2"/>
    <row r="50768" customFormat="1" x14ac:dyDescent="0.2"/>
    <row r="50769" customFormat="1" x14ac:dyDescent="0.2"/>
    <row r="50770" customFormat="1" x14ac:dyDescent="0.2"/>
    <row r="50771" customFormat="1" x14ac:dyDescent="0.2"/>
    <row r="50772" customFormat="1" x14ac:dyDescent="0.2"/>
    <row r="50773" customFormat="1" x14ac:dyDescent="0.2"/>
    <row r="50774" customFormat="1" x14ac:dyDescent="0.2"/>
    <row r="50775" customFormat="1" x14ac:dyDescent="0.2"/>
    <row r="50776" customFormat="1" x14ac:dyDescent="0.2"/>
    <row r="50777" customFormat="1" x14ac:dyDescent="0.2"/>
    <row r="50778" customFormat="1" x14ac:dyDescent="0.2"/>
    <row r="50779" customFormat="1" x14ac:dyDescent="0.2"/>
    <row r="50780" customFormat="1" x14ac:dyDescent="0.2"/>
    <row r="50781" customFormat="1" x14ac:dyDescent="0.2"/>
    <row r="50782" customFormat="1" x14ac:dyDescent="0.2"/>
    <row r="50783" customFormat="1" x14ac:dyDescent="0.2"/>
    <row r="50784" customFormat="1" x14ac:dyDescent="0.2"/>
    <row r="50785" customFormat="1" x14ac:dyDescent="0.2"/>
    <row r="50786" customFormat="1" x14ac:dyDescent="0.2"/>
    <row r="50787" customFormat="1" x14ac:dyDescent="0.2"/>
    <row r="50788" customFormat="1" x14ac:dyDescent="0.2"/>
    <row r="50789" customFormat="1" x14ac:dyDescent="0.2"/>
    <row r="50790" customFormat="1" x14ac:dyDescent="0.2"/>
    <row r="50791" customFormat="1" x14ac:dyDescent="0.2"/>
    <row r="50792" customFormat="1" x14ac:dyDescent="0.2"/>
    <row r="50793" customFormat="1" x14ac:dyDescent="0.2"/>
    <row r="50794" customFormat="1" x14ac:dyDescent="0.2"/>
    <row r="50795" customFormat="1" x14ac:dyDescent="0.2"/>
    <row r="50796" customFormat="1" x14ac:dyDescent="0.2"/>
    <row r="50797" customFormat="1" x14ac:dyDescent="0.2"/>
    <row r="50798" customFormat="1" x14ac:dyDescent="0.2"/>
    <row r="50799" customFormat="1" x14ac:dyDescent="0.2"/>
    <row r="50800" customFormat="1" x14ac:dyDescent="0.2"/>
    <row r="50801" customFormat="1" x14ac:dyDescent="0.2"/>
    <row r="50802" customFormat="1" x14ac:dyDescent="0.2"/>
    <row r="50803" customFormat="1" x14ac:dyDescent="0.2"/>
    <row r="50804" customFormat="1" x14ac:dyDescent="0.2"/>
    <row r="50805" customFormat="1" x14ac:dyDescent="0.2"/>
    <row r="50806" customFormat="1" x14ac:dyDescent="0.2"/>
    <row r="50807" customFormat="1" x14ac:dyDescent="0.2"/>
    <row r="50808" customFormat="1" x14ac:dyDescent="0.2"/>
    <row r="50809" customFormat="1" x14ac:dyDescent="0.2"/>
    <row r="50810" customFormat="1" x14ac:dyDescent="0.2"/>
    <row r="50811" customFormat="1" x14ac:dyDescent="0.2"/>
    <row r="50812" customFormat="1" x14ac:dyDescent="0.2"/>
    <row r="50813" customFormat="1" x14ac:dyDescent="0.2"/>
    <row r="50814" customFormat="1" x14ac:dyDescent="0.2"/>
    <row r="50815" customFormat="1" x14ac:dyDescent="0.2"/>
    <row r="50816" customFormat="1" x14ac:dyDescent="0.2"/>
    <row r="50817" customFormat="1" x14ac:dyDescent="0.2"/>
    <row r="50818" customFormat="1" x14ac:dyDescent="0.2"/>
    <row r="50819" customFormat="1" x14ac:dyDescent="0.2"/>
    <row r="50820" customFormat="1" x14ac:dyDescent="0.2"/>
    <row r="50821" customFormat="1" x14ac:dyDescent="0.2"/>
    <row r="50822" customFormat="1" x14ac:dyDescent="0.2"/>
    <row r="50823" customFormat="1" x14ac:dyDescent="0.2"/>
    <row r="50824" customFormat="1" x14ac:dyDescent="0.2"/>
    <row r="50825" customFormat="1" x14ac:dyDescent="0.2"/>
    <row r="50826" customFormat="1" x14ac:dyDescent="0.2"/>
    <row r="50827" customFormat="1" x14ac:dyDescent="0.2"/>
    <row r="50828" customFormat="1" x14ac:dyDescent="0.2"/>
    <row r="50829" customFormat="1" x14ac:dyDescent="0.2"/>
    <row r="50830" customFormat="1" x14ac:dyDescent="0.2"/>
    <row r="50831" customFormat="1" x14ac:dyDescent="0.2"/>
    <row r="50832" customFormat="1" x14ac:dyDescent="0.2"/>
    <row r="50833" customFormat="1" x14ac:dyDescent="0.2"/>
    <row r="50834" customFormat="1" x14ac:dyDescent="0.2"/>
    <row r="50835" customFormat="1" x14ac:dyDescent="0.2"/>
    <row r="50836" customFormat="1" x14ac:dyDescent="0.2"/>
    <row r="50837" customFormat="1" x14ac:dyDescent="0.2"/>
    <row r="50838" customFormat="1" x14ac:dyDescent="0.2"/>
    <row r="50839" customFormat="1" x14ac:dyDescent="0.2"/>
    <row r="50840" customFormat="1" x14ac:dyDescent="0.2"/>
    <row r="50841" customFormat="1" x14ac:dyDescent="0.2"/>
    <row r="50842" customFormat="1" x14ac:dyDescent="0.2"/>
    <row r="50843" customFormat="1" x14ac:dyDescent="0.2"/>
    <row r="50844" customFormat="1" x14ac:dyDescent="0.2"/>
    <row r="50845" customFormat="1" x14ac:dyDescent="0.2"/>
    <row r="50846" customFormat="1" x14ac:dyDescent="0.2"/>
    <row r="50847" customFormat="1" x14ac:dyDescent="0.2"/>
    <row r="50848" customFormat="1" x14ac:dyDescent="0.2"/>
    <row r="50849" customFormat="1" x14ac:dyDescent="0.2"/>
    <row r="50850" customFormat="1" x14ac:dyDescent="0.2"/>
    <row r="50851" customFormat="1" x14ac:dyDescent="0.2"/>
    <row r="50852" customFormat="1" x14ac:dyDescent="0.2"/>
    <row r="50853" customFormat="1" x14ac:dyDescent="0.2"/>
    <row r="50854" customFormat="1" x14ac:dyDescent="0.2"/>
    <row r="50855" customFormat="1" x14ac:dyDescent="0.2"/>
    <row r="50856" customFormat="1" x14ac:dyDescent="0.2"/>
    <row r="50857" customFormat="1" x14ac:dyDescent="0.2"/>
    <row r="50858" customFormat="1" x14ac:dyDescent="0.2"/>
    <row r="50859" customFormat="1" x14ac:dyDescent="0.2"/>
    <row r="50860" customFormat="1" x14ac:dyDescent="0.2"/>
    <row r="50861" customFormat="1" x14ac:dyDescent="0.2"/>
    <row r="50862" customFormat="1" x14ac:dyDescent="0.2"/>
    <row r="50863" customFormat="1" x14ac:dyDescent="0.2"/>
    <row r="50864" customFormat="1" x14ac:dyDescent="0.2"/>
    <row r="50865" customFormat="1" x14ac:dyDescent="0.2"/>
    <row r="50866" customFormat="1" x14ac:dyDescent="0.2"/>
    <row r="50867" customFormat="1" x14ac:dyDescent="0.2"/>
    <row r="50868" customFormat="1" x14ac:dyDescent="0.2"/>
    <row r="50869" customFormat="1" x14ac:dyDescent="0.2"/>
    <row r="50870" customFormat="1" x14ac:dyDescent="0.2"/>
    <row r="50871" customFormat="1" x14ac:dyDescent="0.2"/>
    <row r="50872" customFormat="1" x14ac:dyDescent="0.2"/>
    <row r="50873" customFormat="1" x14ac:dyDescent="0.2"/>
    <row r="50874" customFormat="1" x14ac:dyDescent="0.2"/>
    <row r="50875" customFormat="1" x14ac:dyDescent="0.2"/>
    <row r="50876" customFormat="1" x14ac:dyDescent="0.2"/>
    <row r="50877" customFormat="1" x14ac:dyDescent="0.2"/>
    <row r="50878" customFormat="1" x14ac:dyDescent="0.2"/>
    <row r="50879" customFormat="1" x14ac:dyDescent="0.2"/>
    <row r="50880" customFormat="1" x14ac:dyDescent="0.2"/>
    <row r="50881" customFormat="1" x14ac:dyDescent="0.2"/>
    <row r="50882" customFormat="1" x14ac:dyDescent="0.2"/>
    <row r="50883" customFormat="1" x14ac:dyDescent="0.2"/>
    <row r="50884" customFormat="1" x14ac:dyDescent="0.2"/>
    <row r="50885" customFormat="1" x14ac:dyDescent="0.2"/>
    <row r="50886" customFormat="1" x14ac:dyDescent="0.2"/>
    <row r="50887" customFormat="1" x14ac:dyDescent="0.2"/>
    <row r="50888" customFormat="1" x14ac:dyDescent="0.2"/>
    <row r="50889" customFormat="1" x14ac:dyDescent="0.2"/>
    <row r="50890" customFormat="1" x14ac:dyDescent="0.2"/>
    <row r="50891" customFormat="1" x14ac:dyDescent="0.2"/>
    <row r="50892" customFormat="1" x14ac:dyDescent="0.2"/>
    <row r="50893" customFormat="1" x14ac:dyDescent="0.2"/>
    <row r="50894" customFormat="1" x14ac:dyDescent="0.2"/>
    <row r="50895" customFormat="1" x14ac:dyDescent="0.2"/>
    <row r="50896" customFormat="1" x14ac:dyDescent="0.2"/>
    <row r="50897" customFormat="1" x14ac:dyDescent="0.2"/>
    <row r="50898" customFormat="1" x14ac:dyDescent="0.2"/>
    <row r="50899" customFormat="1" x14ac:dyDescent="0.2"/>
    <row r="50900" customFormat="1" x14ac:dyDescent="0.2"/>
    <row r="50901" customFormat="1" x14ac:dyDescent="0.2"/>
    <row r="50902" customFormat="1" x14ac:dyDescent="0.2"/>
    <row r="50903" customFormat="1" x14ac:dyDescent="0.2"/>
    <row r="50904" customFormat="1" x14ac:dyDescent="0.2"/>
    <row r="50905" customFormat="1" x14ac:dyDescent="0.2"/>
    <row r="50906" customFormat="1" x14ac:dyDescent="0.2"/>
    <row r="50907" customFormat="1" x14ac:dyDescent="0.2"/>
    <row r="50908" customFormat="1" x14ac:dyDescent="0.2"/>
    <row r="50909" customFormat="1" x14ac:dyDescent="0.2"/>
    <row r="50910" customFormat="1" x14ac:dyDescent="0.2"/>
    <row r="50911" customFormat="1" x14ac:dyDescent="0.2"/>
    <row r="50912" customFormat="1" x14ac:dyDescent="0.2"/>
    <row r="50913" customFormat="1" x14ac:dyDescent="0.2"/>
    <row r="50914" customFormat="1" x14ac:dyDescent="0.2"/>
    <row r="50915" customFormat="1" x14ac:dyDescent="0.2"/>
    <row r="50916" customFormat="1" x14ac:dyDescent="0.2"/>
    <row r="50917" customFormat="1" x14ac:dyDescent="0.2"/>
    <row r="50918" customFormat="1" x14ac:dyDescent="0.2"/>
    <row r="50919" customFormat="1" x14ac:dyDescent="0.2"/>
    <row r="50920" customFormat="1" x14ac:dyDescent="0.2"/>
    <row r="50921" customFormat="1" x14ac:dyDescent="0.2"/>
    <row r="50922" customFormat="1" x14ac:dyDescent="0.2"/>
    <row r="50923" customFormat="1" x14ac:dyDescent="0.2"/>
    <row r="50924" customFormat="1" x14ac:dyDescent="0.2"/>
    <row r="50925" customFormat="1" x14ac:dyDescent="0.2"/>
    <row r="50926" customFormat="1" x14ac:dyDescent="0.2"/>
    <row r="50927" customFormat="1" x14ac:dyDescent="0.2"/>
    <row r="50928" customFormat="1" x14ac:dyDescent="0.2"/>
    <row r="50929" customFormat="1" x14ac:dyDescent="0.2"/>
    <row r="50930" customFormat="1" x14ac:dyDescent="0.2"/>
    <row r="50931" customFormat="1" x14ac:dyDescent="0.2"/>
    <row r="50932" customFormat="1" x14ac:dyDescent="0.2"/>
    <row r="50933" customFormat="1" x14ac:dyDescent="0.2"/>
    <row r="50934" customFormat="1" x14ac:dyDescent="0.2"/>
    <row r="50935" customFormat="1" x14ac:dyDescent="0.2"/>
    <row r="50936" customFormat="1" x14ac:dyDescent="0.2"/>
    <row r="50937" customFormat="1" x14ac:dyDescent="0.2"/>
    <row r="50938" customFormat="1" x14ac:dyDescent="0.2"/>
    <row r="50939" customFormat="1" x14ac:dyDescent="0.2"/>
    <row r="50940" customFormat="1" x14ac:dyDescent="0.2"/>
    <row r="50941" customFormat="1" x14ac:dyDescent="0.2"/>
    <row r="50942" customFormat="1" x14ac:dyDescent="0.2"/>
    <row r="50943" customFormat="1" x14ac:dyDescent="0.2"/>
    <row r="50944" customFormat="1" x14ac:dyDescent="0.2"/>
    <row r="50945" customFormat="1" x14ac:dyDescent="0.2"/>
    <row r="50946" customFormat="1" x14ac:dyDescent="0.2"/>
    <row r="50947" customFormat="1" x14ac:dyDescent="0.2"/>
    <row r="50948" customFormat="1" x14ac:dyDescent="0.2"/>
    <row r="50949" customFormat="1" x14ac:dyDescent="0.2"/>
    <row r="50950" customFormat="1" x14ac:dyDescent="0.2"/>
    <row r="50951" customFormat="1" x14ac:dyDescent="0.2"/>
    <row r="50952" customFormat="1" x14ac:dyDescent="0.2"/>
    <row r="50953" customFormat="1" x14ac:dyDescent="0.2"/>
    <row r="50954" customFormat="1" x14ac:dyDescent="0.2"/>
    <row r="50955" customFormat="1" x14ac:dyDescent="0.2"/>
    <row r="50956" customFormat="1" x14ac:dyDescent="0.2"/>
    <row r="50957" customFormat="1" x14ac:dyDescent="0.2"/>
    <row r="50958" customFormat="1" x14ac:dyDescent="0.2"/>
    <row r="50959" customFormat="1" x14ac:dyDescent="0.2"/>
    <row r="50960" customFormat="1" x14ac:dyDescent="0.2"/>
    <row r="50961" customFormat="1" x14ac:dyDescent="0.2"/>
    <row r="50962" customFormat="1" x14ac:dyDescent="0.2"/>
    <row r="50963" customFormat="1" x14ac:dyDescent="0.2"/>
    <row r="50964" customFormat="1" x14ac:dyDescent="0.2"/>
    <row r="50965" customFormat="1" x14ac:dyDescent="0.2"/>
    <row r="50966" customFormat="1" x14ac:dyDescent="0.2"/>
    <row r="50967" customFormat="1" x14ac:dyDescent="0.2"/>
    <row r="50968" customFormat="1" x14ac:dyDescent="0.2"/>
    <row r="50969" customFormat="1" x14ac:dyDescent="0.2"/>
    <row r="50970" customFormat="1" x14ac:dyDescent="0.2"/>
    <row r="50971" customFormat="1" x14ac:dyDescent="0.2"/>
    <row r="50972" customFormat="1" x14ac:dyDescent="0.2"/>
    <row r="50973" customFormat="1" x14ac:dyDescent="0.2"/>
    <row r="50974" customFormat="1" x14ac:dyDescent="0.2"/>
    <row r="50975" customFormat="1" x14ac:dyDescent="0.2"/>
    <row r="50976" customFormat="1" x14ac:dyDescent="0.2"/>
    <row r="50977" customFormat="1" x14ac:dyDescent="0.2"/>
    <row r="50978" customFormat="1" x14ac:dyDescent="0.2"/>
    <row r="50979" customFormat="1" x14ac:dyDescent="0.2"/>
    <row r="50980" customFormat="1" x14ac:dyDescent="0.2"/>
    <row r="50981" customFormat="1" x14ac:dyDescent="0.2"/>
    <row r="50982" customFormat="1" x14ac:dyDescent="0.2"/>
    <row r="50983" customFormat="1" x14ac:dyDescent="0.2"/>
    <row r="50984" customFormat="1" x14ac:dyDescent="0.2"/>
    <row r="50985" customFormat="1" x14ac:dyDescent="0.2"/>
    <row r="50986" customFormat="1" x14ac:dyDescent="0.2"/>
    <row r="50987" customFormat="1" x14ac:dyDescent="0.2"/>
    <row r="50988" customFormat="1" x14ac:dyDescent="0.2"/>
    <row r="50989" customFormat="1" x14ac:dyDescent="0.2"/>
    <row r="50990" customFormat="1" x14ac:dyDescent="0.2"/>
    <row r="50991" customFormat="1" x14ac:dyDescent="0.2"/>
    <row r="50992" customFormat="1" x14ac:dyDescent="0.2"/>
    <row r="50993" customFormat="1" x14ac:dyDescent="0.2"/>
    <row r="50994" customFormat="1" x14ac:dyDescent="0.2"/>
    <row r="50995" customFormat="1" x14ac:dyDescent="0.2"/>
    <row r="50996" customFormat="1" x14ac:dyDescent="0.2"/>
    <row r="50997" customFormat="1" x14ac:dyDescent="0.2"/>
    <row r="50998" customFormat="1" x14ac:dyDescent="0.2"/>
    <row r="50999" customFormat="1" x14ac:dyDescent="0.2"/>
    <row r="51000" customFormat="1" x14ac:dyDescent="0.2"/>
    <row r="51001" customFormat="1" x14ac:dyDescent="0.2"/>
    <row r="51002" customFormat="1" x14ac:dyDescent="0.2"/>
    <row r="51003" customFormat="1" x14ac:dyDescent="0.2"/>
    <row r="51004" customFormat="1" x14ac:dyDescent="0.2"/>
    <row r="51005" customFormat="1" x14ac:dyDescent="0.2"/>
    <row r="51006" customFormat="1" x14ac:dyDescent="0.2"/>
    <row r="51007" customFormat="1" x14ac:dyDescent="0.2"/>
    <row r="51008" customFormat="1" x14ac:dyDescent="0.2"/>
    <row r="51009" customFormat="1" x14ac:dyDescent="0.2"/>
    <row r="51010" customFormat="1" x14ac:dyDescent="0.2"/>
    <row r="51011" customFormat="1" x14ac:dyDescent="0.2"/>
    <row r="51012" customFormat="1" x14ac:dyDescent="0.2"/>
    <row r="51013" customFormat="1" x14ac:dyDescent="0.2"/>
    <row r="51014" customFormat="1" x14ac:dyDescent="0.2"/>
    <row r="51015" customFormat="1" x14ac:dyDescent="0.2"/>
    <row r="51016" customFormat="1" x14ac:dyDescent="0.2"/>
    <row r="51017" customFormat="1" x14ac:dyDescent="0.2"/>
    <row r="51018" customFormat="1" x14ac:dyDescent="0.2"/>
    <row r="51019" customFormat="1" x14ac:dyDescent="0.2"/>
    <row r="51020" customFormat="1" x14ac:dyDescent="0.2"/>
    <row r="51021" customFormat="1" x14ac:dyDescent="0.2"/>
    <row r="51022" customFormat="1" x14ac:dyDescent="0.2"/>
    <row r="51023" customFormat="1" x14ac:dyDescent="0.2"/>
    <row r="51024" customFormat="1" x14ac:dyDescent="0.2"/>
    <row r="51025" customFormat="1" x14ac:dyDescent="0.2"/>
    <row r="51026" customFormat="1" x14ac:dyDescent="0.2"/>
    <row r="51027" customFormat="1" x14ac:dyDescent="0.2"/>
    <row r="51028" customFormat="1" x14ac:dyDescent="0.2"/>
    <row r="51029" customFormat="1" x14ac:dyDescent="0.2"/>
    <row r="51030" customFormat="1" x14ac:dyDescent="0.2"/>
    <row r="51031" customFormat="1" x14ac:dyDescent="0.2"/>
    <row r="51032" customFormat="1" x14ac:dyDescent="0.2"/>
    <row r="51033" customFormat="1" x14ac:dyDescent="0.2"/>
    <row r="51034" customFormat="1" x14ac:dyDescent="0.2"/>
    <row r="51035" customFormat="1" x14ac:dyDescent="0.2"/>
    <row r="51036" customFormat="1" x14ac:dyDescent="0.2"/>
    <row r="51037" customFormat="1" x14ac:dyDescent="0.2"/>
    <row r="51038" customFormat="1" x14ac:dyDescent="0.2"/>
    <row r="51039" customFormat="1" x14ac:dyDescent="0.2"/>
    <row r="51040" customFormat="1" x14ac:dyDescent="0.2"/>
    <row r="51041" customFormat="1" x14ac:dyDescent="0.2"/>
    <row r="51042" customFormat="1" x14ac:dyDescent="0.2"/>
    <row r="51043" customFormat="1" x14ac:dyDescent="0.2"/>
    <row r="51044" customFormat="1" x14ac:dyDescent="0.2"/>
    <row r="51045" customFormat="1" x14ac:dyDescent="0.2"/>
    <row r="51046" customFormat="1" x14ac:dyDescent="0.2"/>
    <row r="51047" customFormat="1" x14ac:dyDescent="0.2"/>
    <row r="51048" customFormat="1" x14ac:dyDescent="0.2"/>
    <row r="51049" customFormat="1" x14ac:dyDescent="0.2"/>
    <row r="51050" customFormat="1" x14ac:dyDescent="0.2"/>
    <row r="51051" customFormat="1" x14ac:dyDescent="0.2"/>
    <row r="51052" customFormat="1" x14ac:dyDescent="0.2"/>
    <row r="51053" customFormat="1" x14ac:dyDescent="0.2"/>
    <row r="51054" customFormat="1" x14ac:dyDescent="0.2"/>
    <row r="51055" customFormat="1" x14ac:dyDescent="0.2"/>
    <row r="51056" customFormat="1" x14ac:dyDescent="0.2"/>
    <row r="51057" customFormat="1" x14ac:dyDescent="0.2"/>
    <row r="51058" customFormat="1" x14ac:dyDescent="0.2"/>
    <row r="51059" customFormat="1" x14ac:dyDescent="0.2"/>
    <row r="51060" customFormat="1" x14ac:dyDescent="0.2"/>
    <row r="51061" customFormat="1" x14ac:dyDescent="0.2"/>
    <row r="51062" customFormat="1" x14ac:dyDescent="0.2"/>
    <row r="51063" customFormat="1" x14ac:dyDescent="0.2"/>
    <row r="51064" customFormat="1" x14ac:dyDescent="0.2"/>
    <row r="51065" customFormat="1" x14ac:dyDescent="0.2"/>
    <row r="51066" customFormat="1" x14ac:dyDescent="0.2"/>
    <row r="51067" customFormat="1" x14ac:dyDescent="0.2"/>
    <row r="51068" customFormat="1" x14ac:dyDescent="0.2"/>
    <row r="51069" customFormat="1" x14ac:dyDescent="0.2"/>
    <row r="51070" customFormat="1" x14ac:dyDescent="0.2"/>
    <row r="51071" customFormat="1" x14ac:dyDescent="0.2"/>
    <row r="51072" customFormat="1" x14ac:dyDescent="0.2"/>
    <row r="51073" customFormat="1" x14ac:dyDescent="0.2"/>
    <row r="51074" customFormat="1" x14ac:dyDescent="0.2"/>
    <row r="51075" customFormat="1" x14ac:dyDescent="0.2"/>
    <row r="51076" customFormat="1" x14ac:dyDescent="0.2"/>
    <row r="51077" customFormat="1" x14ac:dyDescent="0.2"/>
    <row r="51078" customFormat="1" x14ac:dyDescent="0.2"/>
    <row r="51079" customFormat="1" x14ac:dyDescent="0.2"/>
    <row r="51080" customFormat="1" x14ac:dyDescent="0.2"/>
    <row r="51081" customFormat="1" x14ac:dyDescent="0.2"/>
    <row r="51082" customFormat="1" x14ac:dyDescent="0.2"/>
    <row r="51083" customFormat="1" x14ac:dyDescent="0.2"/>
    <row r="51084" customFormat="1" x14ac:dyDescent="0.2"/>
    <row r="51085" customFormat="1" x14ac:dyDescent="0.2"/>
    <row r="51086" customFormat="1" x14ac:dyDescent="0.2"/>
    <row r="51087" customFormat="1" x14ac:dyDescent="0.2"/>
    <row r="51088" customFormat="1" x14ac:dyDescent="0.2"/>
    <row r="51089" customFormat="1" x14ac:dyDescent="0.2"/>
    <row r="51090" customFormat="1" x14ac:dyDescent="0.2"/>
    <row r="51091" customFormat="1" x14ac:dyDescent="0.2"/>
    <row r="51092" customFormat="1" x14ac:dyDescent="0.2"/>
    <row r="51093" customFormat="1" x14ac:dyDescent="0.2"/>
    <row r="51094" customFormat="1" x14ac:dyDescent="0.2"/>
    <row r="51095" customFormat="1" x14ac:dyDescent="0.2"/>
    <row r="51096" customFormat="1" x14ac:dyDescent="0.2"/>
    <row r="51097" customFormat="1" x14ac:dyDescent="0.2"/>
    <row r="51098" customFormat="1" x14ac:dyDescent="0.2"/>
    <row r="51099" customFormat="1" x14ac:dyDescent="0.2"/>
    <row r="51100" customFormat="1" x14ac:dyDescent="0.2"/>
    <row r="51101" customFormat="1" x14ac:dyDescent="0.2"/>
    <row r="51102" customFormat="1" x14ac:dyDescent="0.2"/>
    <row r="51103" customFormat="1" x14ac:dyDescent="0.2"/>
    <row r="51104" customFormat="1" x14ac:dyDescent="0.2"/>
    <row r="51105" customFormat="1" x14ac:dyDescent="0.2"/>
    <row r="51106" customFormat="1" x14ac:dyDescent="0.2"/>
    <row r="51107" customFormat="1" x14ac:dyDescent="0.2"/>
    <row r="51108" customFormat="1" x14ac:dyDescent="0.2"/>
    <row r="51109" customFormat="1" x14ac:dyDescent="0.2"/>
    <row r="51110" customFormat="1" x14ac:dyDescent="0.2"/>
    <row r="51111" customFormat="1" x14ac:dyDescent="0.2"/>
    <row r="51112" customFormat="1" x14ac:dyDescent="0.2"/>
    <row r="51113" customFormat="1" x14ac:dyDescent="0.2"/>
    <row r="51114" customFormat="1" x14ac:dyDescent="0.2"/>
    <row r="51115" customFormat="1" x14ac:dyDescent="0.2"/>
    <row r="51116" customFormat="1" x14ac:dyDescent="0.2"/>
    <row r="51117" customFormat="1" x14ac:dyDescent="0.2"/>
    <row r="51118" customFormat="1" x14ac:dyDescent="0.2"/>
    <row r="51119" customFormat="1" x14ac:dyDescent="0.2"/>
    <row r="51120" customFormat="1" x14ac:dyDescent="0.2"/>
    <row r="51121" customFormat="1" x14ac:dyDescent="0.2"/>
    <row r="51122" customFormat="1" x14ac:dyDescent="0.2"/>
    <row r="51123" customFormat="1" x14ac:dyDescent="0.2"/>
    <row r="51124" customFormat="1" x14ac:dyDescent="0.2"/>
    <row r="51125" customFormat="1" x14ac:dyDescent="0.2"/>
    <row r="51126" customFormat="1" x14ac:dyDescent="0.2"/>
    <row r="51127" customFormat="1" x14ac:dyDescent="0.2"/>
    <row r="51128" customFormat="1" x14ac:dyDescent="0.2"/>
    <row r="51129" customFormat="1" x14ac:dyDescent="0.2"/>
    <row r="51130" customFormat="1" x14ac:dyDescent="0.2"/>
    <row r="51131" customFormat="1" x14ac:dyDescent="0.2"/>
    <row r="51132" customFormat="1" x14ac:dyDescent="0.2"/>
    <row r="51133" customFormat="1" x14ac:dyDescent="0.2"/>
    <row r="51134" customFormat="1" x14ac:dyDescent="0.2"/>
    <row r="51135" customFormat="1" x14ac:dyDescent="0.2"/>
    <row r="51136" customFormat="1" x14ac:dyDescent="0.2"/>
    <row r="51137" customFormat="1" x14ac:dyDescent="0.2"/>
    <row r="51138" customFormat="1" x14ac:dyDescent="0.2"/>
    <row r="51139" customFormat="1" x14ac:dyDescent="0.2"/>
    <row r="51140" customFormat="1" x14ac:dyDescent="0.2"/>
    <row r="51141" customFormat="1" x14ac:dyDescent="0.2"/>
    <row r="51142" customFormat="1" x14ac:dyDescent="0.2"/>
    <row r="51143" customFormat="1" x14ac:dyDescent="0.2"/>
    <row r="51144" customFormat="1" x14ac:dyDescent="0.2"/>
    <row r="51145" customFormat="1" x14ac:dyDescent="0.2"/>
    <row r="51146" customFormat="1" x14ac:dyDescent="0.2"/>
    <row r="51147" customFormat="1" x14ac:dyDescent="0.2"/>
    <row r="51148" customFormat="1" x14ac:dyDescent="0.2"/>
    <row r="51149" customFormat="1" x14ac:dyDescent="0.2"/>
    <row r="51150" customFormat="1" x14ac:dyDescent="0.2"/>
    <row r="51151" customFormat="1" x14ac:dyDescent="0.2"/>
    <row r="51152" customFormat="1" x14ac:dyDescent="0.2"/>
    <row r="51153" customFormat="1" x14ac:dyDescent="0.2"/>
    <row r="51154" customFormat="1" x14ac:dyDescent="0.2"/>
    <row r="51155" customFormat="1" x14ac:dyDescent="0.2"/>
    <row r="51156" customFormat="1" x14ac:dyDescent="0.2"/>
    <row r="51157" customFormat="1" x14ac:dyDescent="0.2"/>
    <row r="51158" customFormat="1" x14ac:dyDescent="0.2"/>
    <row r="51159" customFormat="1" x14ac:dyDescent="0.2"/>
    <row r="51160" customFormat="1" x14ac:dyDescent="0.2"/>
    <row r="51161" customFormat="1" x14ac:dyDescent="0.2"/>
    <row r="51162" customFormat="1" x14ac:dyDescent="0.2"/>
    <row r="51163" customFormat="1" x14ac:dyDescent="0.2"/>
    <row r="51164" customFormat="1" x14ac:dyDescent="0.2"/>
    <row r="51165" customFormat="1" x14ac:dyDescent="0.2"/>
    <row r="51166" customFormat="1" x14ac:dyDescent="0.2"/>
    <row r="51167" customFormat="1" x14ac:dyDescent="0.2"/>
    <row r="51168" customFormat="1" x14ac:dyDescent="0.2"/>
    <row r="51169" customFormat="1" x14ac:dyDescent="0.2"/>
    <row r="51170" customFormat="1" x14ac:dyDescent="0.2"/>
    <row r="51171" customFormat="1" x14ac:dyDescent="0.2"/>
    <row r="51172" customFormat="1" x14ac:dyDescent="0.2"/>
    <row r="51173" customFormat="1" x14ac:dyDescent="0.2"/>
    <row r="51174" customFormat="1" x14ac:dyDescent="0.2"/>
    <row r="51175" customFormat="1" x14ac:dyDescent="0.2"/>
    <row r="51176" customFormat="1" x14ac:dyDescent="0.2"/>
    <row r="51177" customFormat="1" x14ac:dyDescent="0.2"/>
    <row r="51178" customFormat="1" x14ac:dyDescent="0.2"/>
    <row r="51179" customFormat="1" x14ac:dyDescent="0.2"/>
    <row r="51180" customFormat="1" x14ac:dyDescent="0.2"/>
    <row r="51181" customFormat="1" x14ac:dyDescent="0.2"/>
    <row r="51182" customFormat="1" x14ac:dyDescent="0.2"/>
    <row r="51183" customFormat="1" x14ac:dyDescent="0.2"/>
    <row r="51184" customFormat="1" x14ac:dyDescent="0.2"/>
    <row r="51185" customFormat="1" x14ac:dyDescent="0.2"/>
    <row r="51186" customFormat="1" x14ac:dyDescent="0.2"/>
    <row r="51187" customFormat="1" x14ac:dyDescent="0.2"/>
    <row r="51188" customFormat="1" x14ac:dyDescent="0.2"/>
    <row r="51189" customFormat="1" x14ac:dyDescent="0.2"/>
    <row r="51190" customFormat="1" x14ac:dyDescent="0.2"/>
    <row r="51191" customFormat="1" x14ac:dyDescent="0.2"/>
    <row r="51192" customFormat="1" x14ac:dyDescent="0.2"/>
    <row r="51193" customFormat="1" x14ac:dyDescent="0.2"/>
    <row r="51194" customFormat="1" x14ac:dyDescent="0.2"/>
    <row r="51195" customFormat="1" x14ac:dyDescent="0.2"/>
    <row r="51196" customFormat="1" x14ac:dyDescent="0.2"/>
    <row r="51197" customFormat="1" x14ac:dyDescent="0.2"/>
    <row r="51198" customFormat="1" x14ac:dyDescent="0.2"/>
    <row r="51199" customFormat="1" x14ac:dyDescent="0.2"/>
    <row r="51200" customFormat="1" x14ac:dyDescent="0.2"/>
    <row r="51201" customFormat="1" x14ac:dyDescent="0.2"/>
    <row r="51202" customFormat="1" x14ac:dyDescent="0.2"/>
    <row r="51203" customFormat="1" x14ac:dyDescent="0.2"/>
    <row r="51204" customFormat="1" x14ac:dyDescent="0.2"/>
    <row r="51205" customFormat="1" x14ac:dyDescent="0.2"/>
    <row r="51206" customFormat="1" x14ac:dyDescent="0.2"/>
    <row r="51207" customFormat="1" x14ac:dyDescent="0.2"/>
    <row r="51208" customFormat="1" x14ac:dyDescent="0.2"/>
    <row r="51209" customFormat="1" x14ac:dyDescent="0.2"/>
    <row r="51210" customFormat="1" x14ac:dyDescent="0.2"/>
    <row r="51211" customFormat="1" x14ac:dyDescent="0.2"/>
    <row r="51212" customFormat="1" x14ac:dyDescent="0.2"/>
    <row r="51213" customFormat="1" x14ac:dyDescent="0.2"/>
    <row r="51214" customFormat="1" x14ac:dyDescent="0.2"/>
    <row r="51215" customFormat="1" x14ac:dyDescent="0.2"/>
    <row r="51216" customFormat="1" x14ac:dyDescent="0.2"/>
    <row r="51217" customFormat="1" x14ac:dyDescent="0.2"/>
    <row r="51218" customFormat="1" x14ac:dyDescent="0.2"/>
    <row r="51219" customFormat="1" x14ac:dyDescent="0.2"/>
    <row r="51220" customFormat="1" x14ac:dyDescent="0.2"/>
    <row r="51221" customFormat="1" x14ac:dyDescent="0.2"/>
    <row r="51222" customFormat="1" x14ac:dyDescent="0.2"/>
    <row r="51223" customFormat="1" x14ac:dyDescent="0.2"/>
    <row r="51224" customFormat="1" x14ac:dyDescent="0.2"/>
    <row r="51225" customFormat="1" x14ac:dyDescent="0.2"/>
    <row r="51226" customFormat="1" x14ac:dyDescent="0.2"/>
    <row r="51227" customFormat="1" x14ac:dyDescent="0.2"/>
    <row r="51228" customFormat="1" x14ac:dyDescent="0.2"/>
    <row r="51229" customFormat="1" x14ac:dyDescent="0.2"/>
    <row r="51230" customFormat="1" x14ac:dyDescent="0.2"/>
    <row r="51231" customFormat="1" x14ac:dyDescent="0.2"/>
    <row r="51232" customFormat="1" x14ac:dyDescent="0.2"/>
    <row r="51233" customFormat="1" x14ac:dyDescent="0.2"/>
    <row r="51234" customFormat="1" x14ac:dyDescent="0.2"/>
    <row r="51235" customFormat="1" x14ac:dyDescent="0.2"/>
    <row r="51236" customFormat="1" x14ac:dyDescent="0.2"/>
    <row r="51237" customFormat="1" x14ac:dyDescent="0.2"/>
    <row r="51238" customFormat="1" x14ac:dyDescent="0.2"/>
    <row r="51239" customFormat="1" x14ac:dyDescent="0.2"/>
    <row r="51240" customFormat="1" x14ac:dyDescent="0.2"/>
    <row r="51241" customFormat="1" x14ac:dyDescent="0.2"/>
    <row r="51242" customFormat="1" x14ac:dyDescent="0.2"/>
    <row r="51243" customFormat="1" x14ac:dyDescent="0.2"/>
    <row r="51244" customFormat="1" x14ac:dyDescent="0.2"/>
    <row r="51245" customFormat="1" x14ac:dyDescent="0.2"/>
    <row r="51246" customFormat="1" x14ac:dyDescent="0.2"/>
    <row r="51247" customFormat="1" x14ac:dyDescent="0.2"/>
    <row r="51248" customFormat="1" x14ac:dyDescent="0.2"/>
    <row r="51249" customFormat="1" x14ac:dyDescent="0.2"/>
    <row r="51250" customFormat="1" x14ac:dyDescent="0.2"/>
    <row r="51251" customFormat="1" x14ac:dyDescent="0.2"/>
    <row r="51252" customFormat="1" x14ac:dyDescent="0.2"/>
    <row r="51253" customFormat="1" x14ac:dyDescent="0.2"/>
    <row r="51254" customFormat="1" x14ac:dyDescent="0.2"/>
    <row r="51255" customFormat="1" x14ac:dyDescent="0.2"/>
    <row r="51256" customFormat="1" x14ac:dyDescent="0.2"/>
    <row r="51257" customFormat="1" x14ac:dyDescent="0.2"/>
    <row r="51258" customFormat="1" x14ac:dyDescent="0.2"/>
    <row r="51259" customFormat="1" x14ac:dyDescent="0.2"/>
    <row r="51260" customFormat="1" x14ac:dyDescent="0.2"/>
    <row r="51261" customFormat="1" x14ac:dyDescent="0.2"/>
    <row r="51262" customFormat="1" x14ac:dyDescent="0.2"/>
    <row r="51263" customFormat="1" x14ac:dyDescent="0.2"/>
    <row r="51264" customFormat="1" x14ac:dyDescent="0.2"/>
    <row r="51265" customFormat="1" x14ac:dyDescent="0.2"/>
    <row r="51266" customFormat="1" x14ac:dyDescent="0.2"/>
    <row r="51267" customFormat="1" x14ac:dyDescent="0.2"/>
    <row r="51268" customFormat="1" x14ac:dyDescent="0.2"/>
    <row r="51269" customFormat="1" x14ac:dyDescent="0.2"/>
    <row r="51270" customFormat="1" x14ac:dyDescent="0.2"/>
    <row r="51271" customFormat="1" x14ac:dyDescent="0.2"/>
    <row r="51272" customFormat="1" x14ac:dyDescent="0.2"/>
    <row r="51273" customFormat="1" x14ac:dyDescent="0.2"/>
    <row r="51274" customFormat="1" x14ac:dyDescent="0.2"/>
    <row r="51275" customFormat="1" x14ac:dyDescent="0.2"/>
    <row r="51276" customFormat="1" x14ac:dyDescent="0.2"/>
    <row r="51277" customFormat="1" x14ac:dyDescent="0.2"/>
    <row r="51278" customFormat="1" x14ac:dyDescent="0.2"/>
    <row r="51279" customFormat="1" x14ac:dyDescent="0.2"/>
    <row r="51280" customFormat="1" x14ac:dyDescent="0.2"/>
    <row r="51281" customFormat="1" x14ac:dyDescent="0.2"/>
    <row r="51282" customFormat="1" x14ac:dyDescent="0.2"/>
    <row r="51283" customFormat="1" x14ac:dyDescent="0.2"/>
    <row r="51284" customFormat="1" x14ac:dyDescent="0.2"/>
    <row r="51285" customFormat="1" x14ac:dyDescent="0.2"/>
    <row r="51286" customFormat="1" x14ac:dyDescent="0.2"/>
    <row r="51287" customFormat="1" x14ac:dyDescent="0.2"/>
    <row r="51288" customFormat="1" x14ac:dyDescent="0.2"/>
    <row r="51289" customFormat="1" x14ac:dyDescent="0.2"/>
    <row r="51290" customFormat="1" x14ac:dyDescent="0.2"/>
    <row r="51291" customFormat="1" x14ac:dyDescent="0.2"/>
    <row r="51292" customFormat="1" x14ac:dyDescent="0.2"/>
    <row r="51293" customFormat="1" x14ac:dyDescent="0.2"/>
    <row r="51294" customFormat="1" x14ac:dyDescent="0.2"/>
    <row r="51295" customFormat="1" x14ac:dyDescent="0.2"/>
    <row r="51296" customFormat="1" x14ac:dyDescent="0.2"/>
    <row r="51297" customFormat="1" x14ac:dyDescent="0.2"/>
    <row r="51298" customFormat="1" x14ac:dyDescent="0.2"/>
    <row r="51299" customFormat="1" x14ac:dyDescent="0.2"/>
    <row r="51300" customFormat="1" x14ac:dyDescent="0.2"/>
    <row r="51301" customFormat="1" x14ac:dyDescent="0.2"/>
    <row r="51302" customFormat="1" x14ac:dyDescent="0.2"/>
    <row r="51303" customFormat="1" x14ac:dyDescent="0.2"/>
    <row r="51304" customFormat="1" x14ac:dyDescent="0.2"/>
    <row r="51305" customFormat="1" x14ac:dyDescent="0.2"/>
    <row r="51306" customFormat="1" x14ac:dyDescent="0.2"/>
    <row r="51307" customFormat="1" x14ac:dyDescent="0.2"/>
    <row r="51308" customFormat="1" x14ac:dyDescent="0.2"/>
    <row r="51309" customFormat="1" x14ac:dyDescent="0.2"/>
    <row r="51310" customFormat="1" x14ac:dyDescent="0.2"/>
    <row r="51311" customFormat="1" x14ac:dyDescent="0.2"/>
    <row r="51312" customFormat="1" x14ac:dyDescent="0.2"/>
    <row r="51313" customFormat="1" x14ac:dyDescent="0.2"/>
    <row r="51314" customFormat="1" x14ac:dyDescent="0.2"/>
    <row r="51315" customFormat="1" x14ac:dyDescent="0.2"/>
    <row r="51316" customFormat="1" x14ac:dyDescent="0.2"/>
    <row r="51317" customFormat="1" x14ac:dyDescent="0.2"/>
    <row r="51318" customFormat="1" x14ac:dyDescent="0.2"/>
    <row r="51319" customFormat="1" x14ac:dyDescent="0.2"/>
    <row r="51320" customFormat="1" x14ac:dyDescent="0.2"/>
    <row r="51321" customFormat="1" x14ac:dyDescent="0.2"/>
    <row r="51322" customFormat="1" x14ac:dyDescent="0.2"/>
    <row r="51323" customFormat="1" x14ac:dyDescent="0.2"/>
    <row r="51324" customFormat="1" x14ac:dyDescent="0.2"/>
    <row r="51325" customFormat="1" x14ac:dyDescent="0.2"/>
    <row r="51326" customFormat="1" x14ac:dyDescent="0.2"/>
    <row r="51327" customFormat="1" x14ac:dyDescent="0.2"/>
    <row r="51328" customFormat="1" x14ac:dyDescent="0.2"/>
    <row r="51329" customFormat="1" x14ac:dyDescent="0.2"/>
    <row r="51330" customFormat="1" x14ac:dyDescent="0.2"/>
    <row r="51331" customFormat="1" x14ac:dyDescent="0.2"/>
    <row r="51332" customFormat="1" x14ac:dyDescent="0.2"/>
    <row r="51333" customFormat="1" x14ac:dyDescent="0.2"/>
    <row r="51334" customFormat="1" x14ac:dyDescent="0.2"/>
    <row r="51335" customFormat="1" x14ac:dyDescent="0.2"/>
    <row r="51336" customFormat="1" x14ac:dyDescent="0.2"/>
    <row r="51337" customFormat="1" x14ac:dyDescent="0.2"/>
    <row r="51338" customFormat="1" x14ac:dyDescent="0.2"/>
    <row r="51339" customFormat="1" x14ac:dyDescent="0.2"/>
    <row r="51340" customFormat="1" x14ac:dyDescent="0.2"/>
    <row r="51341" customFormat="1" x14ac:dyDescent="0.2"/>
    <row r="51342" customFormat="1" x14ac:dyDescent="0.2"/>
    <row r="51343" customFormat="1" x14ac:dyDescent="0.2"/>
    <row r="51344" customFormat="1" x14ac:dyDescent="0.2"/>
    <row r="51345" customFormat="1" x14ac:dyDescent="0.2"/>
    <row r="51346" customFormat="1" x14ac:dyDescent="0.2"/>
    <row r="51347" customFormat="1" x14ac:dyDescent="0.2"/>
    <row r="51348" customFormat="1" x14ac:dyDescent="0.2"/>
    <row r="51349" customFormat="1" x14ac:dyDescent="0.2"/>
    <row r="51350" customFormat="1" x14ac:dyDescent="0.2"/>
    <row r="51351" customFormat="1" x14ac:dyDescent="0.2"/>
    <row r="51352" customFormat="1" x14ac:dyDescent="0.2"/>
    <row r="51353" customFormat="1" x14ac:dyDescent="0.2"/>
    <row r="51354" customFormat="1" x14ac:dyDescent="0.2"/>
    <row r="51355" customFormat="1" x14ac:dyDescent="0.2"/>
    <row r="51356" customFormat="1" x14ac:dyDescent="0.2"/>
    <row r="51357" customFormat="1" x14ac:dyDescent="0.2"/>
    <row r="51358" customFormat="1" x14ac:dyDescent="0.2"/>
    <row r="51359" customFormat="1" x14ac:dyDescent="0.2"/>
    <row r="51360" customFormat="1" x14ac:dyDescent="0.2"/>
    <row r="51361" customFormat="1" x14ac:dyDescent="0.2"/>
    <row r="51362" customFormat="1" x14ac:dyDescent="0.2"/>
    <row r="51363" customFormat="1" x14ac:dyDescent="0.2"/>
    <row r="51364" customFormat="1" x14ac:dyDescent="0.2"/>
    <row r="51365" customFormat="1" x14ac:dyDescent="0.2"/>
    <row r="51366" customFormat="1" x14ac:dyDescent="0.2"/>
    <row r="51367" customFormat="1" x14ac:dyDescent="0.2"/>
    <row r="51368" customFormat="1" x14ac:dyDescent="0.2"/>
    <row r="51369" customFormat="1" x14ac:dyDescent="0.2"/>
    <row r="51370" customFormat="1" x14ac:dyDescent="0.2"/>
    <row r="51371" customFormat="1" x14ac:dyDescent="0.2"/>
    <row r="51372" customFormat="1" x14ac:dyDescent="0.2"/>
    <row r="51373" customFormat="1" x14ac:dyDescent="0.2"/>
    <row r="51374" customFormat="1" x14ac:dyDescent="0.2"/>
    <row r="51375" customFormat="1" x14ac:dyDescent="0.2"/>
    <row r="51376" customFormat="1" x14ac:dyDescent="0.2"/>
    <row r="51377" customFormat="1" x14ac:dyDescent="0.2"/>
    <row r="51378" customFormat="1" x14ac:dyDescent="0.2"/>
    <row r="51379" customFormat="1" x14ac:dyDescent="0.2"/>
    <row r="51380" customFormat="1" x14ac:dyDescent="0.2"/>
    <row r="51381" customFormat="1" x14ac:dyDescent="0.2"/>
    <row r="51382" customFormat="1" x14ac:dyDescent="0.2"/>
    <row r="51383" customFormat="1" x14ac:dyDescent="0.2"/>
    <row r="51384" customFormat="1" x14ac:dyDescent="0.2"/>
    <row r="51385" customFormat="1" x14ac:dyDescent="0.2"/>
    <row r="51386" customFormat="1" x14ac:dyDescent="0.2"/>
    <row r="51387" customFormat="1" x14ac:dyDescent="0.2"/>
    <row r="51388" customFormat="1" x14ac:dyDescent="0.2"/>
    <row r="51389" customFormat="1" x14ac:dyDescent="0.2"/>
    <row r="51390" customFormat="1" x14ac:dyDescent="0.2"/>
    <row r="51391" customFormat="1" x14ac:dyDescent="0.2"/>
    <row r="51392" customFormat="1" x14ac:dyDescent="0.2"/>
    <row r="51393" customFormat="1" x14ac:dyDescent="0.2"/>
    <row r="51394" customFormat="1" x14ac:dyDescent="0.2"/>
    <row r="51395" customFormat="1" x14ac:dyDescent="0.2"/>
    <row r="51396" customFormat="1" x14ac:dyDescent="0.2"/>
    <row r="51397" customFormat="1" x14ac:dyDescent="0.2"/>
    <row r="51398" customFormat="1" x14ac:dyDescent="0.2"/>
    <row r="51399" customFormat="1" x14ac:dyDescent="0.2"/>
    <row r="51400" customFormat="1" x14ac:dyDescent="0.2"/>
    <row r="51401" customFormat="1" x14ac:dyDescent="0.2"/>
    <row r="51402" customFormat="1" x14ac:dyDescent="0.2"/>
    <row r="51403" customFormat="1" x14ac:dyDescent="0.2"/>
    <row r="51404" customFormat="1" x14ac:dyDescent="0.2"/>
    <row r="51405" customFormat="1" x14ac:dyDescent="0.2"/>
    <row r="51406" customFormat="1" x14ac:dyDescent="0.2"/>
    <row r="51407" customFormat="1" x14ac:dyDescent="0.2"/>
    <row r="51408" customFormat="1" x14ac:dyDescent="0.2"/>
    <row r="51409" customFormat="1" x14ac:dyDescent="0.2"/>
    <row r="51410" customFormat="1" x14ac:dyDescent="0.2"/>
    <row r="51411" customFormat="1" x14ac:dyDescent="0.2"/>
    <row r="51412" customFormat="1" x14ac:dyDescent="0.2"/>
    <row r="51413" customFormat="1" x14ac:dyDescent="0.2"/>
    <row r="51414" customFormat="1" x14ac:dyDescent="0.2"/>
    <row r="51415" customFormat="1" x14ac:dyDescent="0.2"/>
    <row r="51416" customFormat="1" x14ac:dyDescent="0.2"/>
    <row r="51417" customFormat="1" x14ac:dyDescent="0.2"/>
    <row r="51418" customFormat="1" x14ac:dyDescent="0.2"/>
    <row r="51419" customFormat="1" x14ac:dyDescent="0.2"/>
    <row r="51420" customFormat="1" x14ac:dyDescent="0.2"/>
    <row r="51421" customFormat="1" x14ac:dyDescent="0.2"/>
    <row r="51422" customFormat="1" x14ac:dyDescent="0.2"/>
    <row r="51423" customFormat="1" x14ac:dyDescent="0.2"/>
    <row r="51424" customFormat="1" x14ac:dyDescent="0.2"/>
    <row r="51425" customFormat="1" x14ac:dyDescent="0.2"/>
    <row r="51426" customFormat="1" x14ac:dyDescent="0.2"/>
    <row r="51427" customFormat="1" x14ac:dyDescent="0.2"/>
    <row r="51428" customFormat="1" x14ac:dyDescent="0.2"/>
    <row r="51429" customFormat="1" x14ac:dyDescent="0.2"/>
    <row r="51430" customFormat="1" x14ac:dyDescent="0.2"/>
    <row r="51431" customFormat="1" x14ac:dyDescent="0.2"/>
    <row r="51432" customFormat="1" x14ac:dyDescent="0.2"/>
    <row r="51433" customFormat="1" x14ac:dyDescent="0.2"/>
    <row r="51434" customFormat="1" x14ac:dyDescent="0.2"/>
    <row r="51435" customFormat="1" x14ac:dyDescent="0.2"/>
    <row r="51436" customFormat="1" x14ac:dyDescent="0.2"/>
    <row r="51437" customFormat="1" x14ac:dyDescent="0.2"/>
    <row r="51438" customFormat="1" x14ac:dyDescent="0.2"/>
    <row r="51439" customFormat="1" x14ac:dyDescent="0.2"/>
    <row r="51440" customFormat="1" x14ac:dyDescent="0.2"/>
    <row r="51441" customFormat="1" x14ac:dyDescent="0.2"/>
    <row r="51442" customFormat="1" x14ac:dyDescent="0.2"/>
    <row r="51443" customFormat="1" x14ac:dyDescent="0.2"/>
    <row r="51444" customFormat="1" x14ac:dyDescent="0.2"/>
    <row r="51445" customFormat="1" x14ac:dyDescent="0.2"/>
    <row r="51446" customFormat="1" x14ac:dyDescent="0.2"/>
    <row r="51447" customFormat="1" x14ac:dyDescent="0.2"/>
    <row r="51448" customFormat="1" x14ac:dyDescent="0.2"/>
    <row r="51449" customFormat="1" x14ac:dyDescent="0.2"/>
    <row r="51450" customFormat="1" x14ac:dyDescent="0.2"/>
    <row r="51451" customFormat="1" x14ac:dyDescent="0.2"/>
    <row r="51452" customFormat="1" x14ac:dyDescent="0.2"/>
    <row r="51453" customFormat="1" x14ac:dyDescent="0.2"/>
    <row r="51454" customFormat="1" x14ac:dyDescent="0.2"/>
    <row r="51455" customFormat="1" x14ac:dyDescent="0.2"/>
    <row r="51456" customFormat="1" x14ac:dyDescent="0.2"/>
    <row r="51457" customFormat="1" x14ac:dyDescent="0.2"/>
    <row r="51458" customFormat="1" x14ac:dyDescent="0.2"/>
    <row r="51459" customFormat="1" x14ac:dyDescent="0.2"/>
    <row r="51460" customFormat="1" x14ac:dyDescent="0.2"/>
    <row r="51461" customFormat="1" x14ac:dyDescent="0.2"/>
    <row r="51462" customFormat="1" x14ac:dyDescent="0.2"/>
    <row r="51463" customFormat="1" x14ac:dyDescent="0.2"/>
    <row r="51464" customFormat="1" x14ac:dyDescent="0.2"/>
    <row r="51465" customFormat="1" x14ac:dyDescent="0.2"/>
    <row r="51466" customFormat="1" x14ac:dyDescent="0.2"/>
    <row r="51467" customFormat="1" x14ac:dyDescent="0.2"/>
    <row r="51468" customFormat="1" x14ac:dyDescent="0.2"/>
    <row r="51469" customFormat="1" x14ac:dyDescent="0.2"/>
    <row r="51470" customFormat="1" x14ac:dyDescent="0.2"/>
    <row r="51471" customFormat="1" x14ac:dyDescent="0.2"/>
    <row r="51472" customFormat="1" x14ac:dyDescent="0.2"/>
    <row r="51473" customFormat="1" x14ac:dyDescent="0.2"/>
    <row r="51474" customFormat="1" x14ac:dyDescent="0.2"/>
    <row r="51475" customFormat="1" x14ac:dyDescent="0.2"/>
    <row r="51476" customFormat="1" x14ac:dyDescent="0.2"/>
    <row r="51477" customFormat="1" x14ac:dyDescent="0.2"/>
    <row r="51478" customFormat="1" x14ac:dyDescent="0.2"/>
    <row r="51479" customFormat="1" x14ac:dyDescent="0.2"/>
    <row r="51480" customFormat="1" x14ac:dyDescent="0.2"/>
    <row r="51481" customFormat="1" x14ac:dyDescent="0.2"/>
    <row r="51482" customFormat="1" x14ac:dyDescent="0.2"/>
    <row r="51483" customFormat="1" x14ac:dyDescent="0.2"/>
    <row r="51484" customFormat="1" x14ac:dyDescent="0.2"/>
    <row r="51485" customFormat="1" x14ac:dyDescent="0.2"/>
    <row r="51486" customFormat="1" x14ac:dyDescent="0.2"/>
    <row r="51487" customFormat="1" x14ac:dyDescent="0.2"/>
    <row r="51488" customFormat="1" x14ac:dyDescent="0.2"/>
    <row r="51489" customFormat="1" x14ac:dyDescent="0.2"/>
    <row r="51490" customFormat="1" x14ac:dyDescent="0.2"/>
    <row r="51491" customFormat="1" x14ac:dyDescent="0.2"/>
    <row r="51492" customFormat="1" x14ac:dyDescent="0.2"/>
    <row r="51493" customFormat="1" x14ac:dyDescent="0.2"/>
    <row r="51494" customFormat="1" x14ac:dyDescent="0.2"/>
    <row r="51495" customFormat="1" x14ac:dyDescent="0.2"/>
    <row r="51496" customFormat="1" x14ac:dyDescent="0.2"/>
    <row r="51497" customFormat="1" x14ac:dyDescent="0.2"/>
    <row r="51498" customFormat="1" x14ac:dyDescent="0.2"/>
    <row r="51499" customFormat="1" x14ac:dyDescent="0.2"/>
    <row r="51500" customFormat="1" x14ac:dyDescent="0.2"/>
    <row r="51501" customFormat="1" x14ac:dyDescent="0.2"/>
    <row r="51502" customFormat="1" x14ac:dyDescent="0.2"/>
    <row r="51503" customFormat="1" x14ac:dyDescent="0.2"/>
    <row r="51504" customFormat="1" x14ac:dyDescent="0.2"/>
    <row r="51505" customFormat="1" x14ac:dyDescent="0.2"/>
    <row r="51506" customFormat="1" x14ac:dyDescent="0.2"/>
    <row r="51507" customFormat="1" x14ac:dyDescent="0.2"/>
    <row r="51508" customFormat="1" x14ac:dyDescent="0.2"/>
    <row r="51509" customFormat="1" x14ac:dyDescent="0.2"/>
    <row r="51510" customFormat="1" x14ac:dyDescent="0.2"/>
    <row r="51511" customFormat="1" x14ac:dyDescent="0.2"/>
    <row r="51512" customFormat="1" x14ac:dyDescent="0.2"/>
    <row r="51513" customFormat="1" x14ac:dyDescent="0.2"/>
    <row r="51514" customFormat="1" x14ac:dyDescent="0.2"/>
    <row r="51515" customFormat="1" x14ac:dyDescent="0.2"/>
    <row r="51516" customFormat="1" x14ac:dyDescent="0.2"/>
    <row r="51517" customFormat="1" x14ac:dyDescent="0.2"/>
    <row r="51518" customFormat="1" x14ac:dyDescent="0.2"/>
    <row r="51519" customFormat="1" x14ac:dyDescent="0.2"/>
    <row r="51520" customFormat="1" x14ac:dyDescent="0.2"/>
    <row r="51521" customFormat="1" x14ac:dyDescent="0.2"/>
    <row r="51522" customFormat="1" x14ac:dyDescent="0.2"/>
    <row r="51523" customFormat="1" x14ac:dyDescent="0.2"/>
    <row r="51524" customFormat="1" x14ac:dyDescent="0.2"/>
    <row r="51525" customFormat="1" x14ac:dyDescent="0.2"/>
    <row r="51526" customFormat="1" x14ac:dyDescent="0.2"/>
    <row r="51527" customFormat="1" x14ac:dyDescent="0.2"/>
    <row r="51528" customFormat="1" x14ac:dyDescent="0.2"/>
    <row r="51529" customFormat="1" x14ac:dyDescent="0.2"/>
    <row r="51530" customFormat="1" x14ac:dyDescent="0.2"/>
    <row r="51531" customFormat="1" x14ac:dyDescent="0.2"/>
    <row r="51532" customFormat="1" x14ac:dyDescent="0.2"/>
    <row r="51533" customFormat="1" x14ac:dyDescent="0.2"/>
    <row r="51534" customFormat="1" x14ac:dyDescent="0.2"/>
    <row r="51535" customFormat="1" x14ac:dyDescent="0.2"/>
    <row r="51536" customFormat="1" x14ac:dyDescent="0.2"/>
    <row r="51537" customFormat="1" x14ac:dyDescent="0.2"/>
    <row r="51538" customFormat="1" x14ac:dyDescent="0.2"/>
    <row r="51539" customFormat="1" x14ac:dyDescent="0.2"/>
    <row r="51540" customFormat="1" x14ac:dyDescent="0.2"/>
    <row r="51541" customFormat="1" x14ac:dyDescent="0.2"/>
    <row r="51542" customFormat="1" x14ac:dyDescent="0.2"/>
    <row r="51543" customFormat="1" x14ac:dyDescent="0.2"/>
    <row r="51544" customFormat="1" x14ac:dyDescent="0.2"/>
    <row r="51545" customFormat="1" x14ac:dyDescent="0.2"/>
    <row r="51546" customFormat="1" x14ac:dyDescent="0.2"/>
    <row r="51547" customFormat="1" x14ac:dyDescent="0.2"/>
    <row r="51548" customFormat="1" x14ac:dyDescent="0.2"/>
    <row r="51549" customFormat="1" x14ac:dyDescent="0.2"/>
    <row r="51550" customFormat="1" x14ac:dyDescent="0.2"/>
    <row r="51551" customFormat="1" x14ac:dyDescent="0.2"/>
    <row r="51552" customFormat="1" x14ac:dyDescent="0.2"/>
    <row r="51553" customFormat="1" x14ac:dyDescent="0.2"/>
    <row r="51554" customFormat="1" x14ac:dyDescent="0.2"/>
    <row r="51555" customFormat="1" x14ac:dyDescent="0.2"/>
    <row r="51556" customFormat="1" x14ac:dyDescent="0.2"/>
    <row r="51557" customFormat="1" x14ac:dyDescent="0.2"/>
    <row r="51558" customFormat="1" x14ac:dyDescent="0.2"/>
    <row r="51559" customFormat="1" x14ac:dyDescent="0.2"/>
    <row r="51560" customFormat="1" x14ac:dyDescent="0.2"/>
    <row r="51561" customFormat="1" x14ac:dyDescent="0.2"/>
    <row r="51562" customFormat="1" x14ac:dyDescent="0.2"/>
    <row r="51563" customFormat="1" x14ac:dyDescent="0.2"/>
    <row r="51564" customFormat="1" x14ac:dyDescent="0.2"/>
    <row r="51565" customFormat="1" x14ac:dyDescent="0.2"/>
    <row r="51566" customFormat="1" x14ac:dyDescent="0.2"/>
    <row r="51567" customFormat="1" x14ac:dyDescent="0.2"/>
    <row r="51568" customFormat="1" x14ac:dyDescent="0.2"/>
    <row r="51569" customFormat="1" x14ac:dyDescent="0.2"/>
    <row r="51570" customFormat="1" x14ac:dyDescent="0.2"/>
    <row r="51571" customFormat="1" x14ac:dyDescent="0.2"/>
    <row r="51572" customFormat="1" x14ac:dyDescent="0.2"/>
    <row r="51573" customFormat="1" x14ac:dyDescent="0.2"/>
    <row r="51574" customFormat="1" x14ac:dyDescent="0.2"/>
    <row r="51575" customFormat="1" x14ac:dyDescent="0.2"/>
    <row r="51576" customFormat="1" x14ac:dyDescent="0.2"/>
    <row r="51577" customFormat="1" x14ac:dyDescent="0.2"/>
    <row r="51578" customFormat="1" x14ac:dyDescent="0.2"/>
    <row r="51579" customFormat="1" x14ac:dyDescent="0.2"/>
    <row r="51580" customFormat="1" x14ac:dyDescent="0.2"/>
    <row r="51581" customFormat="1" x14ac:dyDescent="0.2"/>
    <row r="51582" customFormat="1" x14ac:dyDescent="0.2"/>
    <row r="51583" customFormat="1" x14ac:dyDescent="0.2"/>
    <row r="51584" customFormat="1" x14ac:dyDescent="0.2"/>
    <row r="51585" customFormat="1" x14ac:dyDescent="0.2"/>
    <row r="51586" customFormat="1" x14ac:dyDescent="0.2"/>
    <row r="51587" customFormat="1" x14ac:dyDescent="0.2"/>
    <row r="51588" customFormat="1" x14ac:dyDescent="0.2"/>
    <row r="51589" customFormat="1" x14ac:dyDescent="0.2"/>
    <row r="51590" customFormat="1" x14ac:dyDescent="0.2"/>
    <row r="51591" customFormat="1" x14ac:dyDescent="0.2"/>
    <row r="51592" customFormat="1" x14ac:dyDescent="0.2"/>
    <row r="51593" customFormat="1" x14ac:dyDescent="0.2"/>
    <row r="51594" customFormat="1" x14ac:dyDescent="0.2"/>
    <row r="51595" customFormat="1" x14ac:dyDescent="0.2"/>
    <row r="51596" customFormat="1" x14ac:dyDescent="0.2"/>
    <row r="51597" customFormat="1" x14ac:dyDescent="0.2"/>
    <row r="51598" customFormat="1" x14ac:dyDescent="0.2"/>
    <row r="51599" customFormat="1" x14ac:dyDescent="0.2"/>
    <row r="51600" customFormat="1" x14ac:dyDescent="0.2"/>
    <row r="51601" customFormat="1" x14ac:dyDescent="0.2"/>
    <row r="51602" customFormat="1" x14ac:dyDescent="0.2"/>
    <row r="51603" customFormat="1" x14ac:dyDescent="0.2"/>
    <row r="51604" customFormat="1" x14ac:dyDescent="0.2"/>
    <row r="51605" customFormat="1" x14ac:dyDescent="0.2"/>
    <row r="51606" customFormat="1" x14ac:dyDescent="0.2"/>
    <row r="51607" customFormat="1" x14ac:dyDescent="0.2"/>
    <row r="51608" customFormat="1" x14ac:dyDescent="0.2"/>
    <row r="51609" customFormat="1" x14ac:dyDescent="0.2"/>
    <row r="51610" customFormat="1" x14ac:dyDescent="0.2"/>
    <row r="51611" customFormat="1" x14ac:dyDescent="0.2"/>
    <row r="51612" customFormat="1" x14ac:dyDescent="0.2"/>
    <row r="51613" customFormat="1" x14ac:dyDescent="0.2"/>
    <row r="51614" customFormat="1" x14ac:dyDescent="0.2"/>
    <row r="51615" customFormat="1" x14ac:dyDescent="0.2"/>
    <row r="51616" customFormat="1" x14ac:dyDescent="0.2"/>
    <row r="51617" customFormat="1" x14ac:dyDescent="0.2"/>
    <row r="51618" customFormat="1" x14ac:dyDescent="0.2"/>
    <row r="51619" customFormat="1" x14ac:dyDescent="0.2"/>
    <row r="51620" customFormat="1" x14ac:dyDescent="0.2"/>
    <row r="51621" customFormat="1" x14ac:dyDescent="0.2"/>
    <row r="51622" customFormat="1" x14ac:dyDescent="0.2"/>
    <row r="51623" customFormat="1" x14ac:dyDescent="0.2"/>
    <row r="51624" customFormat="1" x14ac:dyDescent="0.2"/>
    <row r="51625" customFormat="1" x14ac:dyDescent="0.2"/>
    <row r="51626" customFormat="1" x14ac:dyDescent="0.2"/>
    <row r="51627" customFormat="1" x14ac:dyDescent="0.2"/>
    <row r="51628" customFormat="1" x14ac:dyDescent="0.2"/>
    <row r="51629" customFormat="1" x14ac:dyDescent="0.2"/>
    <row r="51630" customFormat="1" x14ac:dyDescent="0.2"/>
    <row r="51631" customFormat="1" x14ac:dyDescent="0.2"/>
    <row r="51632" customFormat="1" x14ac:dyDescent="0.2"/>
    <row r="51633" customFormat="1" x14ac:dyDescent="0.2"/>
    <row r="51634" customFormat="1" x14ac:dyDescent="0.2"/>
    <row r="51635" customFormat="1" x14ac:dyDescent="0.2"/>
    <row r="51636" customFormat="1" x14ac:dyDescent="0.2"/>
    <row r="51637" customFormat="1" x14ac:dyDescent="0.2"/>
    <row r="51638" customFormat="1" x14ac:dyDescent="0.2"/>
    <row r="51639" customFormat="1" x14ac:dyDescent="0.2"/>
    <row r="51640" customFormat="1" x14ac:dyDescent="0.2"/>
    <row r="51641" customFormat="1" x14ac:dyDescent="0.2"/>
    <row r="51642" customFormat="1" x14ac:dyDescent="0.2"/>
    <row r="51643" customFormat="1" x14ac:dyDescent="0.2"/>
    <row r="51644" customFormat="1" x14ac:dyDescent="0.2"/>
    <row r="51645" customFormat="1" x14ac:dyDescent="0.2"/>
    <row r="51646" customFormat="1" x14ac:dyDescent="0.2"/>
    <row r="51647" customFormat="1" x14ac:dyDescent="0.2"/>
    <row r="51648" customFormat="1" x14ac:dyDescent="0.2"/>
    <row r="51649" customFormat="1" x14ac:dyDescent="0.2"/>
    <row r="51650" customFormat="1" x14ac:dyDescent="0.2"/>
    <row r="51651" customFormat="1" x14ac:dyDescent="0.2"/>
    <row r="51652" customFormat="1" x14ac:dyDescent="0.2"/>
    <row r="51653" customFormat="1" x14ac:dyDescent="0.2"/>
    <row r="51654" customFormat="1" x14ac:dyDescent="0.2"/>
    <row r="51655" customFormat="1" x14ac:dyDescent="0.2"/>
    <row r="51656" customFormat="1" x14ac:dyDescent="0.2"/>
    <row r="51657" customFormat="1" x14ac:dyDescent="0.2"/>
    <row r="51658" customFormat="1" x14ac:dyDescent="0.2"/>
    <row r="51659" customFormat="1" x14ac:dyDescent="0.2"/>
    <row r="51660" customFormat="1" x14ac:dyDescent="0.2"/>
    <row r="51661" customFormat="1" x14ac:dyDescent="0.2"/>
    <row r="51662" customFormat="1" x14ac:dyDescent="0.2"/>
    <row r="51663" customFormat="1" x14ac:dyDescent="0.2"/>
    <row r="51664" customFormat="1" x14ac:dyDescent="0.2"/>
    <row r="51665" customFormat="1" x14ac:dyDescent="0.2"/>
    <row r="51666" customFormat="1" x14ac:dyDescent="0.2"/>
    <row r="51667" customFormat="1" x14ac:dyDescent="0.2"/>
    <row r="51668" customFormat="1" x14ac:dyDescent="0.2"/>
    <row r="51669" customFormat="1" x14ac:dyDescent="0.2"/>
    <row r="51670" customFormat="1" x14ac:dyDescent="0.2"/>
    <row r="51671" customFormat="1" x14ac:dyDescent="0.2"/>
    <row r="51672" customFormat="1" x14ac:dyDescent="0.2"/>
    <row r="51673" customFormat="1" x14ac:dyDescent="0.2"/>
    <row r="51674" customFormat="1" x14ac:dyDescent="0.2"/>
    <row r="51675" customFormat="1" x14ac:dyDescent="0.2"/>
    <row r="51676" customFormat="1" x14ac:dyDescent="0.2"/>
    <row r="51677" customFormat="1" x14ac:dyDescent="0.2"/>
    <row r="51678" customFormat="1" x14ac:dyDescent="0.2"/>
    <row r="51679" customFormat="1" x14ac:dyDescent="0.2"/>
    <row r="51680" customFormat="1" x14ac:dyDescent="0.2"/>
    <row r="51681" customFormat="1" x14ac:dyDescent="0.2"/>
    <row r="51682" customFormat="1" x14ac:dyDescent="0.2"/>
    <row r="51683" customFormat="1" x14ac:dyDescent="0.2"/>
    <row r="51684" customFormat="1" x14ac:dyDescent="0.2"/>
    <row r="51685" customFormat="1" x14ac:dyDescent="0.2"/>
    <row r="51686" customFormat="1" x14ac:dyDescent="0.2"/>
    <row r="51687" customFormat="1" x14ac:dyDescent="0.2"/>
    <row r="51688" customFormat="1" x14ac:dyDescent="0.2"/>
    <row r="51689" customFormat="1" x14ac:dyDescent="0.2"/>
    <row r="51690" customFormat="1" x14ac:dyDescent="0.2"/>
    <row r="51691" customFormat="1" x14ac:dyDescent="0.2"/>
    <row r="51692" customFormat="1" x14ac:dyDescent="0.2"/>
    <row r="51693" customFormat="1" x14ac:dyDescent="0.2"/>
    <row r="51694" customFormat="1" x14ac:dyDescent="0.2"/>
    <row r="51695" customFormat="1" x14ac:dyDescent="0.2"/>
    <row r="51696" customFormat="1" x14ac:dyDescent="0.2"/>
    <row r="51697" customFormat="1" x14ac:dyDescent="0.2"/>
    <row r="51698" customFormat="1" x14ac:dyDescent="0.2"/>
    <row r="51699" customFormat="1" x14ac:dyDescent="0.2"/>
    <row r="51700" customFormat="1" x14ac:dyDescent="0.2"/>
    <row r="51701" customFormat="1" x14ac:dyDescent="0.2"/>
    <row r="51702" customFormat="1" x14ac:dyDescent="0.2"/>
    <row r="51703" customFormat="1" x14ac:dyDescent="0.2"/>
    <row r="51704" customFormat="1" x14ac:dyDescent="0.2"/>
    <row r="51705" customFormat="1" x14ac:dyDescent="0.2"/>
    <row r="51706" customFormat="1" x14ac:dyDescent="0.2"/>
    <row r="51707" customFormat="1" x14ac:dyDescent="0.2"/>
    <row r="51708" customFormat="1" x14ac:dyDescent="0.2"/>
    <row r="51709" customFormat="1" x14ac:dyDescent="0.2"/>
    <row r="51710" customFormat="1" x14ac:dyDescent="0.2"/>
    <row r="51711" customFormat="1" x14ac:dyDescent="0.2"/>
    <row r="51712" customFormat="1" x14ac:dyDescent="0.2"/>
    <row r="51713" customFormat="1" x14ac:dyDescent="0.2"/>
    <row r="51714" customFormat="1" x14ac:dyDescent="0.2"/>
    <row r="51715" customFormat="1" x14ac:dyDescent="0.2"/>
    <row r="51716" customFormat="1" x14ac:dyDescent="0.2"/>
    <row r="51717" customFormat="1" x14ac:dyDescent="0.2"/>
    <row r="51718" customFormat="1" x14ac:dyDescent="0.2"/>
    <row r="51719" customFormat="1" x14ac:dyDescent="0.2"/>
    <row r="51720" customFormat="1" x14ac:dyDescent="0.2"/>
    <row r="51721" customFormat="1" x14ac:dyDescent="0.2"/>
    <row r="51722" customFormat="1" x14ac:dyDescent="0.2"/>
    <row r="51723" customFormat="1" x14ac:dyDescent="0.2"/>
    <row r="51724" customFormat="1" x14ac:dyDescent="0.2"/>
    <row r="51725" customFormat="1" x14ac:dyDescent="0.2"/>
    <row r="51726" customFormat="1" x14ac:dyDescent="0.2"/>
    <row r="51727" customFormat="1" x14ac:dyDescent="0.2"/>
    <row r="51728" customFormat="1" x14ac:dyDescent="0.2"/>
    <row r="51729" customFormat="1" x14ac:dyDescent="0.2"/>
    <row r="51730" customFormat="1" x14ac:dyDescent="0.2"/>
    <row r="51731" customFormat="1" x14ac:dyDescent="0.2"/>
    <row r="51732" customFormat="1" x14ac:dyDescent="0.2"/>
    <row r="51733" customFormat="1" x14ac:dyDescent="0.2"/>
    <row r="51734" customFormat="1" x14ac:dyDescent="0.2"/>
    <row r="51735" customFormat="1" x14ac:dyDescent="0.2"/>
    <row r="51736" customFormat="1" x14ac:dyDescent="0.2"/>
    <row r="51737" customFormat="1" x14ac:dyDescent="0.2"/>
    <row r="51738" customFormat="1" x14ac:dyDescent="0.2"/>
    <row r="51739" customFormat="1" x14ac:dyDescent="0.2"/>
    <row r="51740" customFormat="1" x14ac:dyDescent="0.2"/>
    <row r="51741" customFormat="1" x14ac:dyDescent="0.2"/>
    <row r="51742" customFormat="1" x14ac:dyDescent="0.2"/>
    <row r="51743" customFormat="1" x14ac:dyDescent="0.2"/>
    <row r="51744" customFormat="1" x14ac:dyDescent="0.2"/>
    <row r="51745" customFormat="1" x14ac:dyDescent="0.2"/>
    <row r="51746" customFormat="1" x14ac:dyDescent="0.2"/>
    <row r="51747" customFormat="1" x14ac:dyDescent="0.2"/>
    <row r="51748" customFormat="1" x14ac:dyDescent="0.2"/>
    <row r="51749" customFormat="1" x14ac:dyDescent="0.2"/>
    <row r="51750" customFormat="1" x14ac:dyDescent="0.2"/>
    <row r="51751" customFormat="1" x14ac:dyDescent="0.2"/>
    <row r="51752" customFormat="1" x14ac:dyDescent="0.2"/>
    <row r="51753" customFormat="1" x14ac:dyDescent="0.2"/>
    <row r="51754" customFormat="1" x14ac:dyDescent="0.2"/>
    <row r="51755" customFormat="1" x14ac:dyDescent="0.2"/>
    <row r="51756" customFormat="1" x14ac:dyDescent="0.2"/>
    <row r="51757" customFormat="1" x14ac:dyDescent="0.2"/>
    <row r="51758" customFormat="1" x14ac:dyDescent="0.2"/>
    <row r="51759" customFormat="1" x14ac:dyDescent="0.2"/>
    <row r="51760" customFormat="1" x14ac:dyDescent="0.2"/>
    <row r="51761" customFormat="1" x14ac:dyDescent="0.2"/>
    <row r="51762" customFormat="1" x14ac:dyDescent="0.2"/>
    <row r="51763" customFormat="1" x14ac:dyDescent="0.2"/>
    <row r="51764" customFormat="1" x14ac:dyDescent="0.2"/>
    <row r="51765" customFormat="1" x14ac:dyDescent="0.2"/>
    <row r="51766" customFormat="1" x14ac:dyDescent="0.2"/>
    <row r="51767" customFormat="1" x14ac:dyDescent="0.2"/>
    <row r="51768" customFormat="1" x14ac:dyDescent="0.2"/>
    <row r="51769" customFormat="1" x14ac:dyDescent="0.2"/>
    <row r="51770" customFormat="1" x14ac:dyDescent="0.2"/>
    <row r="51771" customFormat="1" x14ac:dyDescent="0.2"/>
    <row r="51772" customFormat="1" x14ac:dyDescent="0.2"/>
    <row r="51773" customFormat="1" x14ac:dyDescent="0.2"/>
    <row r="51774" customFormat="1" x14ac:dyDescent="0.2"/>
    <row r="51775" customFormat="1" x14ac:dyDescent="0.2"/>
    <row r="51776" customFormat="1" x14ac:dyDescent="0.2"/>
    <row r="51777" customFormat="1" x14ac:dyDescent="0.2"/>
    <row r="51778" customFormat="1" x14ac:dyDescent="0.2"/>
    <row r="51779" customFormat="1" x14ac:dyDescent="0.2"/>
    <row r="51780" customFormat="1" x14ac:dyDescent="0.2"/>
    <row r="51781" customFormat="1" x14ac:dyDescent="0.2"/>
    <row r="51782" customFormat="1" x14ac:dyDescent="0.2"/>
    <row r="51783" customFormat="1" x14ac:dyDescent="0.2"/>
    <row r="51784" customFormat="1" x14ac:dyDescent="0.2"/>
    <row r="51785" customFormat="1" x14ac:dyDescent="0.2"/>
    <row r="51786" customFormat="1" x14ac:dyDescent="0.2"/>
    <row r="51787" customFormat="1" x14ac:dyDescent="0.2"/>
    <row r="51788" customFormat="1" x14ac:dyDescent="0.2"/>
    <row r="51789" customFormat="1" x14ac:dyDescent="0.2"/>
    <row r="51790" customFormat="1" x14ac:dyDescent="0.2"/>
    <row r="51791" customFormat="1" x14ac:dyDescent="0.2"/>
    <row r="51792" customFormat="1" x14ac:dyDescent="0.2"/>
    <row r="51793" customFormat="1" x14ac:dyDescent="0.2"/>
    <row r="51794" customFormat="1" x14ac:dyDescent="0.2"/>
    <row r="51795" customFormat="1" x14ac:dyDescent="0.2"/>
    <row r="51796" customFormat="1" x14ac:dyDescent="0.2"/>
    <row r="51797" customFormat="1" x14ac:dyDescent="0.2"/>
    <row r="51798" customFormat="1" x14ac:dyDescent="0.2"/>
    <row r="51799" customFormat="1" x14ac:dyDescent="0.2"/>
    <row r="51800" customFormat="1" x14ac:dyDescent="0.2"/>
    <row r="51801" customFormat="1" x14ac:dyDescent="0.2"/>
    <row r="51802" customFormat="1" x14ac:dyDescent="0.2"/>
    <row r="51803" customFormat="1" x14ac:dyDescent="0.2"/>
    <row r="51804" customFormat="1" x14ac:dyDescent="0.2"/>
    <row r="51805" customFormat="1" x14ac:dyDescent="0.2"/>
    <row r="51806" customFormat="1" x14ac:dyDescent="0.2"/>
    <row r="51807" customFormat="1" x14ac:dyDescent="0.2"/>
    <row r="51808" customFormat="1" x14ac:dyDescent="0.2"/>
    <row r="51809" customFormat="1" x14ac:dyDescent="0.2"/>
    <row r="51810" customFormat="1" x14ac:dyDescent="0.2"/>
    <row r="51811" customFormat="1" x14ac:dyDescent="0.2"/>
    <row r="51812" customFormat="1" x14ac:dyDescent="0.2"/>
    <row r="51813" customFormat="1" x14ac:dyDescent="0.2"/>
    <row r="51814" customFormat="1" x14ac:dyDescent="0.2"/>
    <row r="51815" customFormat="1" x14ac:dyDescent="0.2"/>
    <row r="51816" customFormat="1" x14ac:dyDescent="0.2"/>
    <row r="51817" customFormat="1" x14ac:dyDescent="0.2"/>
    <row r="51818" customFormat="1" x14ac:dyDescent="0.2"/>
    <row r="51819" customFormat="1" x14ac:dyDescent="0.2"/>
    <row r="51820" customFormat="1" x14ac:dyDescent="0.2"/>
    <row r="51821" customFormat="1" x14ac:dyDescent="0.2"/>
    <row r="51822" customFormat="1" x14ac:dyDescent="0.2"/>
    <row r="51823" customFormat="1" x14ac:dyDescent="0.2"/>
    <row r="51824" customFormat="1" x14ac:dyDescent="0.2"/>
    <row r="51825" customFormat="1" x14ac:dyDescent="0.2"/>
    <row r="51826" customFormat="1" x14ac:dyDescent="0.2"/>
    <row r="51827" customFormat="1" x14ac:dyDescent="0.2"/>
    <row r="51828" customFormat="1" x14ac:dyDescent="0.2"/>
    <row r="51829" customFormat="1" x14ac:dyDescent="0.2"/>
    <row r="51830" customFormat="1" x14ac:dyDescent="0.2"/>
    <row r="51831" customFormat="1" x14ac:dyDescent="0.2"/>
    <row r="51832" customFormat="1" x14ac:dyDescent="0.2"/>
    <row r="51833" customFormat="1" x14ac:dyDescent="0.2"/>
    <row r="51834" customFormat="1" x14ac:dyDescent="0.2"/>
    <row r="51835" customFormat="1" x14ac:dyDescent="0.2"/>
    <row r="51836" customFormat="1" x14ac:dyDescent="0.2"/>
    <row r="51837" customFormat="1" x14ac:dyDescent="0.2"/>
    <row r="51838" customFormat="1" x14ac:dyDescent="0.2"/>
    <row r="51839" customFormat="1" x14ac:dyDescent="0.2"/>
    <row r="51840" customFormat="1" x14ac:dyDescent="0.2"/>
    <row r="51841" customFormat="1" x14ac:dyDescent="0.2"/>
    <row r="51842" customFormat="1" x14ac:dyDescent="0.2"/>
    <row r="51843" customFormat="1" x14ac:dyDescent="0.2"/>
    <row r="51844" customFormat="1" x14ac:dyDescent="0.2"/>
    <row r="51845" customFormat="1" x14ac:dyDescent="0.2"/>
    <row r="51846" customFormat="1" x14ac:dyDescent="0.2"/>
    <row r="51847" customFormat="1" x14ac:dyDescent="0.2"/>
    <row r="51848" customFormat="1" x14ac:dyDescent="0.2"/>
    <row r="51849" customFormat="1" x14ac:dyDescent="0.2"/>
    <row r="51850" customFormat="1" x14ac:dyDescent="0.2"/>
    <row r="51851" customFormat="1" x14ac:dyDescent="0.2"/>
    <row r="51852" customFormat="1" x14ac:dyDescent="0.2"/>
    <row r="51853" customFormat="1" x14ac:dyDescent="0.2"/>
    <row r="51854" customFormat="1" x14ac:dyDescent="0.2"/>
    <row r="51855" customFormat="1" x14ac:dyDescent="0.2"/>
    <row r="51856" customFormat="1" x14ac:dyDescent="0.2"/>
    <row r="51857" customFormat="1" x14ac:dyDescent="0.2"/>
    <row r="51858" customFormat="1" x14ac:dyDescent="0.2"/>
    <row r="51859" customFormat="1" x14ac:dyDescent="0.2"/>
    <row r="51860" customFormat="1" x14ac:dyDescent="0.2"/>
    <row r="51861" customFormat="1" x14ac:dyDescent="0.2"/>
    <row r="51862" customFormat="1" x14ac:dyDescent="0.2"/>
    <row r="51863" customFormat="1" x14ac:dyDescent="0.2"/>
    <row r="51864" customFormat="1" x14ac:dyDescent="0.2"/>
    <row r="51865" customFormat="1" x14ac:dyDescent="0.2"/>
    <row r="51866" customFormat="1" x14ac:dyDescent="0.2"/>
    <row r="51867" customFormat="1" x14ac:dyDescent="0.2"/>
    <row r="51868" customFormat="1" x14ac:dyDescent="0.2"/>
    <row r="51869" customFormat="1" x14ac:dyDescent="0.2"/>
    <row r="51870" customFormat="1" x14ac:dyDescent="0.2"/>
    <row r="51871" customFormat="1" x14ac:dyDescent="0.2"/>
    <row r="51872" customFormat="1" x14ac:dyDescent="0.2"/>
    <row r="51873" customFormat="1" x14ac:dyDescent="0.2"/>
    <row r="51874" customFormat="1" x14ac:dyDescent="0.2"/>
    <row r="51875" customFormat="1" x14ac:dyDescent="0.2"/>
    <row r="51876" customFormat="1" x14ac:dyDescent="0.2"/>
    <row r="51877" customFormat="1" x14ac:dyDescent="0.2"/>
    <row r="51878" customFormat="1" x14ac:dyDescent="0.2"/>
    <row r="51879" customFormat="1" x14ac:dyDescent="0.2"/>
    <row r="51880" customFormat="1" x14ac:dyDescent="0.2"/>
    <row r="51881" customFormat="1" x14ac:dyDescent="0.2"/>
    <row r="51882" customFormat="1" x14ac:dyDescent="0.2"/>
    <row r="51883" customFormat="1" x14ac:dyDescent="0.2"/>
    <row r="51884" customFormat="1" x14ac:dyDescent="0.2"/>
    <row r="51885" customFormat="1" x14ac:dyDescent="0.2"/>
    <row r="51886" customFormat="1" x14ac:dyDescent="0.2"/>
    <row r="51887" customFormat="1" x14ac:dyDescent="0.2"/>
    <row r="51888" customFormat="1" x14ac:dyDescent="0.2"/>
    <row r="51889" customFormat="1" x14ac:dyDescent="0.2"/>
    <row r="51890" customFormat="1" x14ac:dyDescent="0.2"/>
    <row r="51891" customFormat="1" x14ac:dyDescent="0.2"/>
    <row r="51892" customFormat="1" x14ac:dyDescent="0.2"/>
    <row r="51893" customFormat="1" x14ac:dyDescent="0.2"/>
    <row r="51894" customFormat="1" x14ac:dyDescent="0.2"/>
    <row r="51895" customFormat="1" x14ac:dyDescent="0.2"/>
    <row r="51896" customFormat="1" x14ac:dyDescent="0.2"/>
    <row r="51897" customFormat="1" x14ac:dyDescent="0.2"/>
    <row r="51898" customFormat="1" x14ac:dyDescent="0.2"/>
    <row r="51899" customFormat="1" x14ac:dyDescent="0.2"/>
    <row r="51900" customFormat="1" x14ac:dyDescent="0.2"/>
    <row r="51901" customFormat="1" x14ac:dyDescent="0.2"/>
    <row r="51902" customFormat="1" x14ac:dyDescent="0.2"/>
    <row r="51903" customFormat="1" x14ac:dyDescent="0.2"/>
    <row r="51904" customFormat="1" x14ac:dyDescent="0.2"/>
    <row r="51905" customFormat="1" x14ac:dyDescent="0.2"/>
    <row r="51906" customFormat="1" x14ac:dyDescent="0.2"/>
    <row r="51907" customFormat="1" x14ac:dyDescent="0.2"/>
    <row r="51908" customFormat="1" x14ac:dyDescent="0.2"/>
    <row r="51909" customFormat="1" x14ac:dyDescent="0.2"/>
    <row r="51910" customFormat="1" x14ac:dyDescent="0.2"/>
    <row r="51911" customFormat="1" x14ac:dyDescent="0.2"/>
    <row r="51912" customFormat="1" x14ac:dyDescent="0.2"/>
    <row r="51913" customFormat="1" x14ac:dyDescent="0.2"/>
    <row r="51914" customFormat="1" x14ac:dyDescent="0.2"/>
    <row r="51915" customFormat="1" x14ac:dyDescent="0.2"/>
    <row r="51916" customFormat="1" x14ac:dyDescent="0.2"/>
    <row r="51917" customFormat="1" x14ac:dyDescent="0.2"/>
    <row r="51918" customFormat="1" x14ac:dyDescent="0.2"/>
    <row r="51919" customFormat="1" x14ac:dyDescent="0.2"/>
    <row r="51920" customFormat="1" x14ac:dyDescent="0.2"/>
    <row r="51921" customFormat="1" x14ac:dyDescent="0.2"/>
    <row r="51922" customFormat="1" x14ac:dyDescent="0.2"/>
    <row r="51923" customFormat="1" x14ac:dyDescent="0.2"/>
    <row r="51924" customFormat="1" x14ac:dyDescent="0.2"/>
    <row r="51925" customFormat="1" x14ac:dyDescent="0.2"/>
    <row r="51926" customFormat="1" x14ac:dyDescent="0.2"/>
    <row r="51927" customFormat="1" x14ac:dyDescent="0.2"/>
    <row r="51928" customFormat="1" x14ac:dyDescent="0.2"/>
    <row r="51929" customFormat="1" x14ac:dyDescent="0.2"/>
    <row r="51930" customFormat="1" x14ac:dyDescent="0.2"/>
    <row r="51931" customFormat="1" x14ac:dyDescent="0.2"/>
    <row r="51932" customFormat="1" x14ac:dyDescent="0.2"/>
    <row r="51933" customFormat="1" x14ac:dyDescent="0.2"/>
    <row r="51934" customFormat="1" x14ac:dyDescent="0.2"/>
    <row r="51935" customFormat="1" x14ac:dyDescent="0.2"/>
    <row r="51936" customFormat="1" x14ac:dyDescent="0.2"/>
    <row r="51937" customFormat="1" x14ac:dyDescent="0.2"/>
    <row r="51938" customFormat="1" x14ac:dyDescent="0.2"/>
    <row r="51939" customFormat="1" x14ac:dyDescent="0.2"/>
    <row r="51940" customFormat="1" x14ac:dyDescent="0.2"/>
    <row r="51941" customFormat="1" x14ac:dyDescent="0.2"/>
    <row r="51942" customFormat="1" x14ac:dyDescent="0.2"/>
    <row r="51943" customFormat="1" x14ac:dyDescent="0.2"/>
    <row r="51944" customFormat="1" x14ac:dyDescent="0.2"/>
    <row r="51945" customFormat="1" x14ac:dyDescent="0.2"/>
    <row r="51946" customFormat="1" x14ac:dyDescent="0.2"/>
    <row r="51947" customFormat="1" x14ac:dyDescent="0.2"/>
    <row r="51948" customFormat="1" x14ac:dyDescent="0.2"/>
    <row r="51949" customFormat="1" x14ac:dyDescent="0.2"/>
    <row r="51950" customFormat="1" x14ac:dyDescent="0.2"/>
    <row r="51951" customFormat="1" x14ac:dyDescent="0.2"/>
    <row r="51952" customFormat="1" x14ac:dyDescent="0.2"/>
    <row r="51953" customFormat="1" x14ac:dyDescent="0.2"/>
    <row r="51954" customFormat="1" x14ac:dyDescent="0.2"/>
    <row r="51955" customFormat="1" x14ac:dyDescent="0.2"/>
    <row r="51956" customFormat="1" x14ac:dyDescent="0.2"/>
    <row r="51957" customFormat="1" x14ac:dyDescent="0.2"/>
    <row r="51958" customFormat="1" x14ac:dyDescent="0.2"/>
    <row r="51959" customFormat="1" x14ac:dyDescent="0.2"/>
    <row r="51960" customFormat="1" x14ac:dyDescent="0.2"/>
    <row r="51961" customFormat="1" x14ac:dyDescent="0.2"/>
    <row r="51962" customFormat="1" x14ac:dyDescent="0.2"/>
    <row r="51963" customFormat="1" x14ac:dyDescent="0.2"/>
    <row r="51964" customFormat="1" x14ac:dyDescent="0.2"/>
    <row r="51965" customFormat="1" x14ac:dyDescent="0.2"/>
    <row r="51966" customFormat="1" x14ac:dyDescent="0.2"/>
    <row r="51967" customFormat="1" x14ac:dyDescent="0.2"/>
    <row r="51968" customFormat="1" x14ac:dyDescent="0.2"/>
    <row r="51969" customFormat="1" x14ac:dyDescent="0.2"/>
    <row r="51970" customFormat="1" x14ac:dyDescent="0.2"/>
    <row r="51971" customFormat="1" x14ac:dyDescent="0.2"/>
    <row r="51972" customFormat="1" x14ac:dyDescent="0.2"/>
    <row r="51973" customFormat="1" x14ac:dyDescent="0.2"/>
    <row r="51974" customFormat="1" x14ac:dyDescent="0.2"/>
    <row r="51975" customFormat="1" x14ac:dyDescent="0.2"/>
    <row r="51976" customFormat="1" x14ac:dyDescent="0.2"/>
    <row r="51977" customFormat="1" x14ac:dyDescent="0.2"/>
    <row r="51978" customFormat="1" x14ac:dyDescent="0.2"/>
    <row r="51979" customFormat="1" x14ac:dyDescent="0.2"/>
    <row r="51980" customFormat="1" x14ac:dyDescent="0.2"/>
    <row r="51981" customFormat="1" x14ac:dyDescent="0.2"/>
    <row r="51982" customFormat="1" x14ac:dyDescent="0.2"/>
    <row r="51983" customFormat="1" x14ac:dyDescent="0.2"/>
    <row r="51984" customFormat="1" x14ac:dyDescent="0.2"/>
    <row r="51985" customFormat="1" x14ac:dyDescent="0.2"/>
    <row r="51986" customFormat="1" x14ac:dyDescent="0.2"/>
    <row r="51987" customFormat="1" x14ac:dyDescent="0.2"/>
    <row r="51988" customFormat="1" x14ac:dyDescent="0.2"/>
    <row r="51989" customFormat="1" x14ac:dyDescent="0.2"/>
    <row r="51990" customFormat="1" x14ac:dyDescent="0.2"/>
    <row r="51991" customFormat="1" x14ac:dyDescent="0.2"/>
    <row r="51992" customFormat="1" x14ac:dyDescent="0.2"/>
    <row r="51993" customFormat="1" x14ac:dyDescent="0.2"/>
    <row r="51994" customFormat="1" x14ac:dyDescent="0.2"/>
    <row r="51995" customFormat="1" x14ac:dyDescent="0.2"/>
    <row r="51996" customFormat="1" x14ac:dyDescent="0.2"/>
    <row r="51997" customFormat="1" x14ac:dyDescent="0.2"/>
    <row r="51998" customFormat="1" x14ac:dyDescent="0.2"/>
    <row r="51999" customFormat="1" x14ac:dyDescent="0.2"/>
    <row r="52000" customFormat="1" x14ac:dyDescent="0.2"/>
    <row r="52001" customFormat="1" x14ac:dyDescent="0.2"/>
    <row r="52002" customFormat="1" x14ac:dyDescent="0.2"/>
    <row r="52003" customFormat="1" x14ac:dyDescent="0.2"/>
    <row r="52004" customFormat="1" x14ac:dyDescent="0.2"/>
    <row r="52005" customFormat="1" x14ac:dyDescent="0.2"/>
    <row r="52006" customFormat="1" x14ac:dyDescent="0.2"/>
    <row r="52007" customFormat="1" x14ac:dyDescent="0.2"/>
    <row r="52008" customFormat="1" x14ac:dyDescent="0.2"/>
    <row r="52009" customFormat="1" x14ac:dyDescent="0.2"/>
    <row r="52010" customFormat="1" x14ac:dyDescent="0.2"/>
    <row r="52011" customFormat="1" x14ac:dyDescent="0.2"/>
    <row r="52012" customFormat="1" x14ac:dyDescent="0.2"/>
    <row r="52013" customFormat="1" x14ac:dyDescent="0.2"/>
    <row r="52014" customFormat="1" x14ac:dyDescent="0.2"/>
    <row r="52015" customFormat="1" x14ac:dyDescent="0.2"/>
    <row r="52016" customFormat="1" x14ac:dyDescent="0.2"/>
    <row r="52017" customFormat="1" x14ac:dyDescent="0.2"/>
    <row r="52018" customFormat="1" x14ac:dyDescent="0.2"/>
    <row r="52019" customFormat="1" x14ac:dyDescent="0.2"/>
    <row r="52020" customFormat="1" x14ac:dyDescent="0.2"/>
    <row r="52021" customFormat="1" x14ac:dyDescent="0.2"/>
    <row r="52022" customFormat="1" x14ac:dyDescent="0.2"/>
    <row r="52023" customFormat="1" x14ac:dyDescent="0.2"/>
    <row r="52024" customFormat="1" x14ac:dyDescent="0.2"/>
    <row r="52025" customFormat="1" x14ac:dyDescent="0.2"/>
    <row r="52026" customFormat="1" x14ac:dyDescent="0.2"/>
    <row r="52027" customFormat="1" x14ac:dyDescent="0.2"/>
    <row r="52028" customFormat="1" x14ac:dyDescent="0.2"/>
    <row r="52029" customFormat="1" x14ac:dyDescent="0.2"/>
    <row r="52030" customFormat="1" x14ac:dyDescent="0.2"/>
    <row r="52031" customFormat="1" x14ac:dyDescent="0.2"/>
    <row r="52032" customFormat="1" x14ac:dyDescent="0.2"/>
    <row r="52033" customFormat="1" x14ac:dyDescent="0.2"/>
    <row r="52034" customFormat="1" x14ac:dyDescent="0.2"/>
    <row r="52035" customFormat="1" x14ac:dyDescent="0.2"/>
    <row r="52036" customFormat="1" x14ac:dyDescent="0.2"/>
    <row r="52037" customFormat="1" x14ac:dyDescent="0.2"/>
    <row r="52038" customFormat="1" x14ac:dyDescent="0.2"/>
    <row r="52039" customFormat="1" x14ac:dyDescent="0.2"/>
    <row r="52040" customFormat="1" x14ac:dyDescent="0.2"/>
    <row r="52041" customFormat="1" x14ac:dyDescent="0.2"/>
    <row r="52042" customFormat="1" x14ac:dyDescent="0.2"/>
    <row r="52043" customFormat="1" x14ac:dyDescent="0.2"/>
    <row r="52044" customFormat="1" x14ac:dyDescent="0.2"/>
    <row r="52045" customFormat="1" x14ac:dyDescent="0.2"/>
    <row r="52046" customFormat="1" x14ac:dyDescent="0.2"/>
    <row r="52047" customFormat="1" x14ac:dyDescent="0.2"/>
    <row r="52048" customFormat="1" x14ac:dyDescent="0.2"/>
    <row r="52049" customFormat="1" x14ac:dyDescent="0.2"/>
    <row r="52050" customFormat="1" x14ac:dyDescent="0.2"/>
    <row r="52051" customFormat="1" x14ac:dyDescent="0.2"/>
    <row r="52052" customFormat="1" x14ac:dyDescent="0.2"/>
    <row r="52053" customFormat="1" x14ac:dyDescent="0.2"/>
    <row r="52054" customFormat="1" x14ac:dyDescent="0.2"/>
    <row r="52055" customFormat="1" x14ac:dyDescent="0.2"/>
    <row r="52056" customFormat="1" x14ac:dyDescent="0.2"/>
    <row r="52057" customFormat="1" x14ac:dyDescent="0.2"/>
    <row r="52058" customFormat="1" x14ac:dyDescent="0.2"/>
    <row r="52059" customFormat="1" x14ac:dyDescent="0.2"/>
    <row r="52060" customFormat="1" x14ac:dyDescent="0.2"/>
    <row r="52061" customFormat="1" x14ac:dyDescent="0.2"/>
    <row r="52062" customFormat="1" x14ac:dyDescent="0.2"/>
    <row r="52063" customFormat="1" x14ac:dyDescent="0.2"/>
    <row r="52064" customFormat="1" x14ac:dyDescent="0.2"/>
    <row r="52065" customFormat="1" x14ac:dyDescent="0.2"/>
    <row r="52066" customFormat="1" x14ac:dyDescent="0.2"/>
    <row r="52067" customFormat="1" x14ac:dyDescent="0.2"/>
    <row r="52068" customFormat="1" x14ac:dyDescent="0.2"/>
    <row r="52069" customFormat="1" x14ac:dyDescent="0.2"/>
    <row r="52070" customFormat="1" x14ac:dyDescent="0.2"/>
    <row r="52071" customFormat="1" x14ac:dyDescent="0.2"/>
    <row r="52072" customFormat="1" x14ac:dyDescent="0.2"/>
    <row r="52073" customFormat="1" x14ac:dyDescent="0.2"/>
    <row r="52074" customFormat="1" x14ac:dyDescent="0.2"/>
    <row r="52075" customFormat="1" x14ac:dyDescent="0.2"/>
    <row r="52076" customFormat="1" x14ac:dyDescent="0.2"/>
    <row r="52077" customFormat="1" x14ac:dyDescent="0.2"/>
    <row r="52078" customFormat="1" x14ac:dyDescent="0.2"/>
    <row r="52079" customFormat="1" x14ac:dyDescent="0.2"/>
    <row r="52080" customFormat="1" x14ac:dyDescent="0.2"/>
    <row r="52081" customFormat="1" x14ac:dyDescent="0.2"/>
    <row r="52082" customFormat="1" x14ac:dyDescent="0.2"/>
    <row r="52083" customFormat="1" x14ac:dyDescent="0.2"/>
    <row r="52084" customFormat="1" x14ac:dyDescent="0.2"/>
    <row r="52085" customFormat="1" x14ac:dyDescent="0.2"/>
    <row r="52086" customFormat="1" x14ac:dyDescent="0.2"/>
    <row r="52087" customFormat="1" x14ac:dyDescent="0.2"/>
    <row r="52088" customFormat="1" x14ac:dyDescent="0.2"/>
    <row r="52089" customFormat="1" x14ac:dyDescent="0.2"/>
    <row r="52090" customFormat="1" x14ac:dyDescent="0.2"/>
    <row r="52091" customFormat="1" x14ac:dyDescent="0.2"/>
    <row r="52092" customFormat="1" x14ac:dyDescent="0.2"/>
    <row r="52093" customFormat="1" x14ac:dyDescent="0.2"/>
    <row r="52094" customFormat="1" x14ac:dyDescent="0.2"/>
    <row r="52095" customFormat="1" x14ac:dyDescent="0.2"/>
    <row r="52096" customFormat="1" x14ac:dyDescent="0.2"/>
    <row r="52097" customFormat="1" x14ac:dyDescent="0.2"/>
    <row r="52098" customFormat="1" x14ac:dyDescent="0.2"/>
    <row r="52099" customFormat="1" x14ac:dyDescent="0.2"/>
    <row r="52100" customFormat="1" x14ac:dyDescent="0.2"/>
    <row r="52101" customFormat="1" x14ac:dyDescent="0.2"/>
    <row r="52102" customFormat="1" x14ac:dyDescent="0.2"/>
    <row r="52103" customFormat="1" x14ac:dyDescent="0.2"/>
    <row r="52104" customFormat="1" x14ac:dyDescent="0.2"/>
    <row r="52105" customFormat="1" x14ac:dyDescent="0.2"/>
    <row r="52106" customFormat="1" x14ac:dyDescent="0.2"/>
    <row r="52107" customFormat="1" x14ac:dyDescent="0.2"/>
    <row r="52108" customFormat="1" x14ac:dyDescent="0.2"/>
    <row r="52109" customFormat="1" x14ac:dyDescent="0.2"/>
    <row r="52110" customFormat="1" x14ac:dyDescent="0.2"/>
    <row r="52111" customFormat="1" x14ac:dyDescent="0.2"/>
    <row r="52112" customFormat="1" x14ac:dyDescent="0.2"/>
    <row r="52113" customFormat="1" x14ac:dyDescent="0.2"/>
    <row r="52114" customFormat="1" x14ac:dyDescent="0.2"/>
    <row r="52115" customFormat="1" x14ac:dyDescent="0.2"/>
    <row r="52116" customFormat="1" x14ac:dyDescent="0.2"/>
    <row r="52117" customFormat="1" x14ac:dyDescent="0.2"/>
    <row r="52118" customFormat="1" x14ac:dyDescent="0.2"/>
    <row r="52119" customFormat="1" x14ac:dyDescent="0.2"/>
    <row r="52120" customFormat="1" x14ac:dyDescent="0.2"/>
    <row r="52121" customFormat="1" x14ac:dyDescent="0.2"/>
    <row r="52122" customFormat="1" x14ac:dyDescent="0.2"/>
    <row r="52123" customFormat="1" x14ac:dyDescent="0.2"/>
    <row r="52124" customFormat="1" x14ac:dyDescent="0.2"/>
    <row r="52125" customFormat="1" x14ac:dyDescent="0.2"/>
    <row r="52126" customFormat="1" x14ac:dyDescent="0.2"/>
    <row r="52127" customFormat="1" x14ac:dyDescent="0.2"/>
    <row r="52128" customFormat="1" x14ac:dyDescent="0.2"/>
    <row r="52129" customFormat="1" x14ac:dyDescent="0.2"/>
    <row r="52130" customFormat="1" x14ac:dyDescent="0.2"/>
    <row r="52131" customFormat="1" x14ac:dyDescent="0.2"/>
    <row r="52132" customFormat="1" x14ac:dyDescent="0.2"/>
    <row r="52133" customFormat="1" x14ac:dyDescent="0.2"/>
    <row r="52134" customFormat="1" x14ac:dyDescent="0.2"/>
    <row r="52135" customFormat="1" x14ac:dyDescent="0.2"/>
    <row r="52136" customFormat="1" x14ac:dyDescent="0.2"/>
    <row r="52137" customFormat="1" x14ac:dyDescent="0.2"/>
    <row r="52138" customFormat="1" x14ac:dyDescent="0.2"/>
    <row r="52139" customFormat="1" x14ac:dyDescent="0.2"/>
    <row r="52140" customFormat="1" x14ac:dyDescent="0.2"/>
    <row r="52141" customFormat="1" x14ac:dyDescent="0.2"/>
    <row r="52142" customFormat="1" x14ac:dyDescent="0.2"/>
    <row r="52143" customFormat="1" x14ac:dyDescent="0.2"/>
    <row r="52144" customFormat="1" x14ac:dyDescent="0.2"/>
    <row r="52145" customFormat="1" x14ac:dyDescent="0.2"/>
    <row r="52146" customFormat="1" x14ac:dyDescent="0.2"/>
    <row r="52147" customFormat="1" x14ac:dyDescent="0.2"/>
    <row r="52148" customFormat="1" x14ac:dyDescent="0.2"/>
    <row r="52149" customFormat="1" x14ac:dyDescent="0.2"/>
    <row r="52150" customFormat="1" x14ac:dyDescent="0.2"/>
    <row r="52151" customFormat="1" x14ac:dyDescent="0.2"/>
    <row r="52152" customFormat="1" x14ac:dyDescent="0.2"/>
    <row r="52153" customFormat="1" x14ac:dyDescent="0.2"/>
    <row r="52154" customFormat="1" x14ac:dyDescent="0.2"/>
    <row r="52155" customFormat="1" x14ac:dyDescent="0.2"/>
    <row r="52156" customFormat="1" x14ac:dyDescent="0.2"/>
    <row r="52157" customFormat="1" x14ac:dyDescent="0.2"/>
    <row r="52158" customFormat="1" x14ac:dyDescent="0.2"/>
    <row r="52159" customFormat="1" x14ac:dyDescent="0.2"/>
    <row r="52160" customFormat="1" x14ac:dyDescent="0.2"/>
    <row r="52161" customFormat="1" x14ac:dyDescent="0.2"/>
    <row r="52162" customFormat="1" x14ac:dyDescent="0.2"/>
    <row r="52163" customFormat="1" x14ac:dyDescent="0.2"/>
    <row r="52164" customFormat="1" x14ac:dyDescent="0.2"/>
    <row r="52165" customFormat="1" x14ac:dyDescent="0.2"/>
    <row r="52166" customFormat="1" x14ac:dyDescent="0.2"/>
    <row r="52167" customFormat="1" x14ac:dyDescent="0.2"/>
    <row r="52168" customFormat="1" x14ac:dyDescent="0.2"/>
    <row r="52169" customFormat="1" x14ac:dyDescent="0.2"/>
    <row r="52170" customFormat="1" x14ac:dyDescent="0.2"/>
    <row r="52171" customFormat="1" x14ac:dyDescent="0.2"/>
    <row r="52172" customFormat="1" x14ac:dyDescent="0.2"/>
    <row r="52173" customFormat="1" x14ac:dyDescent="0.2"/>
    <row r="52174" customFormat="1" x14ac:dyDescent="0.2"/>
    <row r="52175" customFormat="1" x14ac:dyDescent="0.2"/>
    <row r="52176" customFormat="1" x14ac:dyDescent="0.2"/>
    <row r="52177" customFormat="1" x14ac:dyDescent="0.2"/>
    <row r="52178" customFormat="1" x14ac:dyDescent="0.2"/>
    <row r="52179" customFormat="1" x14ac:dyDescent="0.2"/>
    <row r="52180" customFormat="1" x14ac:dyDescent="0.2"/>
    <row r="52181" customFormat="1" x14ac:dyDescent="0.2"/>
    <row r="52182" customFormat="1" x14ac:dyDescent="0.2"/>
    <row r="52183" customFormat="1" x14ac:dyDescent="0.2"/>
    <row r="52184" customFormat="1" x14ac:dyDescent="0.2"/>
    <row r="52185" customFormat="1" x14ac:dyDescent="0.2"/>
    <row r="52186" customFormat="1" x14ac:dyDescent="0.2"/>
    <row r="52187" customFormat="1" x14ac:dyDescent="0.2"/>
    <row r="52188" customFormat="1" x14ac:dyDescent="0.2"/>
    <row r="52189" customFormat="1" x14ac:dyDescent="0.2"/>
    <row r="52190" customFormat="1" x14ac:dyDescent="0.2"/>
    <row r="52191" customFormat="1" x14ac:dyDescent="0.2"/>
    <row r="52192" customFormat="1" x14ac:dyDescent="0.2"/>
    <row r="52193" customFormat="1" x14ac:dyDescent="0.2"/>
    <row r="52194" customFormat="1" x14ac:dyDescent="0.2"/>
    <row r="52195" customFormat="1" x14ac:dyDescent="0.2"/>
    <row r="52196" customFormat="1" x14ac:dyDescent="0.2"/>
    <row r="52197" customFormat="1" x14ac:dyDescent="0.2"/>
    <row r="52198" customFormat="1" x14ac:dyDescent="0.2"/>
    <row r="52199" customFormat="1" x14ac:dyDescent="0.2"/>
    <row r="52200" customFormat="1" x14ac:dyDescent="0.2"/>
    <row r="52201" customFormat="1" x14ac:dyDescent="0.2"/>
    <row r="52202" customFormat="1" x14ac:dyDescent="0.2"/>
    <row r="52203" customFormat="1" x14ac:dyDescent="0.2"/>
    <row r="52204" customFormat="1" x14ac:dyDescent="0.2"/>
    <row r="52205" customFormat="1" x14ac:dyDescent="0.2"/>
    <row r="52206" customFormat="1" x14ac:dyDescent="0.2"/>
    <row r="52207" customFormat="1" x14ac:dyDescent="0.2"/>
    <row r="52208" customFormat="1" x14ac:dyDescent="0.2"/>
    <row r="52209" customFormat="1" x14ac:dyDescent="0.2"/>
    <row r="52210" customFormat="1" x14ac:dyDescent="0.2"/>
    <row r="52211" customFormat="1" x14ac:dyDescent="0.2"/>
    <row r="52212" customFormat="1" x14ac:dyDescent="0.2"/>
    <row r="52213" customFormat="1" x14ac:dyDescent="0.2"/>
    <row r="52214" customFormat="1" x14ac:dyDescent="0.2"/>
    <row r="52215" customFormat="1" x14ac:dyDescent="0.2"/>
    <row r="52216" customFormat="1" x14ac:dyDescent="0.2"/>
    <row r="52217" customFormat="1" x14ac:dyDescent="0.2"/>
    <row r="52218" customFormat="1" x14ac:dyDescent="0.2"/>
    <row r="52219" customFormat="1" x14ac:dyDescent="0.2"/>
    <row r="52220" customFormat="1" x14ac:dyDescent="0.2"/>
    <row r="52221" customFormat="1" x14ac:dyDescent="0.2"/>
    <row r="52222" customFormat="1" x14ac:dyDescent="0.2"/>
    <row r="52223" customFormat="1" x14ac:dyDescent="0.2"/>
    <row r="52224" customFormat="1" x14ac:dyDescent="0.2"/>
    <row r="52225" customFormat="1" x14ac:dyDescent="0.2"/>
    <row r="52226" customFormat="1" x14ac:dyDescent="0.2"/>
    <row r="52227" customFormat="1" x14ac:dyDescent="0.2"/>
    <row r="52228" customFormat="1" x14ac:dyDescent="0.2"/>
    <row r="52229" customFormat="1" x14ac:dyDescent="0.2"/>
    <row r="52230" customFormat="1" x14ac:dyDescent="0.2"/>
    <row r="52231" customFormat="1" x14ac:dyDescent="0.2"/>
    <row r="52232" customFormat="1" x14ac:dyDescent="0.2"/>
    <row r="52233" customFormat="1" x14ac:dyDescent="0.2"/>
    <row r="52234" customFormat="1" x14ac:dyDescent="0.2"/>
    <row r="52235" customFormat="1" x14ac:dyDescent="0.2"/>
    <row r="52236" customFormat="1" x14ac:dyDescent="0.2"/>
    <row r="52237" customFormat="1" x14ac:dyDescent="0.2"/>
    <row r="52238" customFormat="1" x14ac:dyDescent="0.2"/>
    <row r="52239" customFormat="1" x14ac:dyDescent="0.2"/>
    <row r="52240" customFormat="1" x14ac:dyDescent="0.2"/>
    <row r="52241" customFormat="1" x14ac:dyDescent="0.2"/>
    <row r="52242" customFormat="1" x14ac:dyDescent="0.2"/>
    <row r="52243" customFormat="1" x14ac:dyDescent="0.2"/>
    <row r="52244" customFormat="1" x14ac:dyDescent="0.2"/>
    <row r="52245" customFormat="1" x14ac:dyDescent="0.2"/>
    <row r="52246" customFormat="1" x14ac:dyDescent="0.2"/>
    <row r="52247" customFormat="1" x14ac:dyDescent="0.2"/>
    <row r="52248" customFormat="1" x14ac:dyDescent="0.2"/>
    <row r="52249" customFormat="1" x14ac:dyDescent="0.2"/>
    <row r="52250" customFormat="1" x14ac:dyDescent="0.2"/>
    <row r="52251" customFormat="1" x14ac:dyDescent="0.2"/>
    <row r="52252" customFormat="1" x14ac:dyDescent="0.2"/>
    <row r="52253" customFormat="1" x14ac:dyDescent="0.2"/>
    <row r="52254" customFormat="1" x14ac:dyDescent="0.2"/>
    <row r="52255" customFormat="1" x14ac:dyDescent="0.2"/>
    <row r="52256" customFormat="1" x14ac:dyDescent="0.2"/>
    <row r="52257" customFormat="1" x14ac:dyDescent="0.2"/>
    <row r="52258" customFormat="1" x14ac:dyDescent="0.2"/>
    <row r="52259" customFormat="1" x14ac:dyDescent="0.2"/>
    <row r="52260" customFormat="1" x14ac:dyDescent="0.2"/>
    <row r="52261" customFormat="1" x14ac:dyDescent="0.2"/>
    <row r="52262" customFormat="1" x14ac:dyDescent="0.2"/>
    <row r="52263" customFormat="1" x14ac:dyDescent="0.2"/>
    <row r="52264" customFormat="1" x14ac:dyDescent="0.2"/>
    <row r="52265" customFormat="1" x14ac:dyDescent="0.2"/>
    <row r="52266" customFormat="1" x14ac:dyDescent="0.2"/>
    <row r="52267" customFormat="1" x14ac:dyDescent="0.2"/>
    <row r="52268" customFormat="1" x14ac:dyDescent="0.2"/>
    <row r="52269" customFormat="1" x14ac:dyDescent="0.2"/>
    <row r="52270" customFormat="1" x14ac:dyDescent="0.2"/>
    <row r="52271" customFormat="1" x14ac:dyDescent="0.2"/>
    <row r="52272" customFormat="1" x14ac:dyDescent="0.2"/>
    <row r="52273" customFormat="1" x14ac:dyDescent="0.2"/>
    <row r="52274" customFormat="1" x14ac:dyDescent="0.2"/>
    <row r="52275" customFormat="1" x14ac:dyDescent="0.2"/>
    <row r="52276" customFormat="1" x14ac:dyDescent="0.2"/>
    <row r="52277" customFormat="1" x14ac:dyDescent="0.2"/>
    <row r="52278" customFormat="1" x14ac:dyDescent="0.2"/>
    <row r="52279" customFormat="1" x14ac:dyDescent="0.2"/>
    <row r="52280" customFormat="1" x14ac:dyDescent="0.2"/>
    <row r="52281" customFormat="1" x14ac:dyDescent="0.2"/>
    <row r="52282" customFormat="1" x14ac:dyDescent="0.2"/>
    <row r="52283" customFormat="1" x14ac:dyDescent="0.2"/>
    <row r="52284" customFormat="1" x14ac:dyDescent="0.2"/>
    <row r="52285" customFormat="1" x14ac:dyDescent="0.2"/>
    <row r="52286" customFormat="1" x14ac:dyDescent="0.2"/>
    <row r="52287" customFormat="1" x14ac:dyDescent="0.2"/>
    <row r="52288" customFormat="1" x14ac:dyDescent="0.2"/>
    <row r="52289" customFormat="1" x14ac:dyDescent="0.2"/>
    <row r="52290" customFormat="1" x14ac:dyDescent="0.2"/>
    <row r="52291" customFormat="1" x14ac:dyDescent="0.2"/>
    <row r="52292" customFormat="1" x14ac:dyDescent="0.2"/>
    <row r="52293" customFormat="1" x14ac:dyDescent="0.2"/>
    <row r="52294" customFormat="1" x14ac:dyDescent="0.2"/>
    <row r="52295" customFormat="1" x14ac:dyDescent="0.2"/>
    <row r="52296" customFormat="1" x14ac:dyDescent="0.2"/>
    <row r="52297" customFormat="1" x14ac:dyDescent="0.2"/>
    <row r="52298" customFormat="1" x14ac:dyDescent="0.2"/>
    <row r="52299" customFormat="1" x14ac:dyDescent="0.2"/>
    <row r="52300" customFormat="1" x14ac:dyDescent="0.2"/>
    <row r="52301" customFormat="1" x14ac:dyDescent="0.2"/>
    <row r="52302" customFormat="1" x14ac:dyDescent="0.2"/>
    <row r="52303" customFormat="1" x14ac:dyDescent="0.2"/>
    <row r="52304" customFormat="1" x14ac:dyDescent="0.2"/>
    <row r="52305" customFormat="1" x14ac:dyDescent="0.2"/>
    <row r="52306" customFormat="1" x14ac:dyDescent="0.2"/>
    <row r="52307" customFormat="1" x14ac:dyDescent="0.2"/>
    <row r="52308" customFormat="1" x14ac:dyDescent="0.2"/>
    <row r="52309" customFormat="1" x14ac:dyDescent="0.2"/>
    <row r="52310" customFormat="1" x14ac:dyDescent="0.2"/>
    <row r="52311" customFormat="1" x14ac:dyDescent="0.2"/>
    <row r="52312" customFormat="1" x14ac:dyDescent="0.2"/>
    <row r="52313" customFormat="1" x14ac:dyDescent="0.2"/>
    <row r="52314" customFormat="1" x14ac:dyDescent="0.2"/>
    <row r="52315" customFormat="1" x14ac:dyDescent="0.2"/>
    <row r="52316" customFormat="1" x14ac:dyDescent="0.2"/>
    <row r="52317" customFormat="1" x14ac:dyDescent="0.2"/>
    <row r="52318" customFormat="1" x14ac:dyDescent="0.2"/>
    <row r="52319" customFormat="1" x14ac:dyDescent="0.2"/>
    <row r="52320" customFormat="1" x14ac:dyDescent="0.2"/>
    <row r="52321" customFormat="1" x14ac:dyDescent="0.2"/>
    <row r="52322" customFormat="1" x14ac:dyDescent="0.2"/>
    <row r="52323" customFormat="1" x14ac:dyDescent="0.2"/>
    <row r="52324" customFormat="1" x14ac:dyDescent="0.2"/>
    <row r="52325" customFormat="1" x14ac:dyDescent="0.2"/>
    <row r="52326" customFormat="1" x14ac:dyDescent="0.2"/>
    <row r="52327" customFormat="1" x14ac:dyDescent="0.2"/>
    <row r="52328" customFormat="1" x14ac:dyDescent="0.2"/>
    <row r="52329" customFormat="1" x14ac:dyDescent="0.2"/>
    <row r="52330" customFormat="1" x14ac:dyDescent="0.2"/>
    <row r="52331" customFormat="1" x14ac:dyDescent="0.2"/>
    <row r="52332" customFormat="1" x14ac:dyDescent="0.2"/>
    <row r="52333" customFormat="1" x14ac:dyDescent="0.2"/>
    <row r="52334" customFormat="1" x14ac:dyDescent="0.2"/>
    <row r="52335" customFormat="1" x14ac:dyDescent="0.2"/>
    <row r="52336" customFormat="1" x14ac:dyDescent="0.2"/>
    <row r="52337" customFormat="1" x14ac:dyDescent="0.2"/>
    <row r="52338" customFormat="1" x14ac:dyDescent="0.2"/>
    <row r="52339" customFormat="1" x14ac:dyDescent="0.2"/>
    <row r="52340" customFormat="1" x14ac:dyDescent="0.2"/>
    <row r="52341" customFormat="1" x14ac:dyDescent="0.2"/>
    <row r="52342" customFormat="1" x14ac:dyDescent="0.2"/>
    <row r="52343" customFormat="1" x14ac:dyDescent="0.2"/>
    <row r="52344" customFormat="1" x14ac:dyDescent="0.2"/>
    <row r="52345" customFormat="1" x14ac:dyDescent="0.2"/>
    <row r="52346" customFormat="1" x14ac:dyDescent="0.2"/>
    <row r="52347" customFormat="1" x14ac:dyDescent="0.2"/>
    <row r="52348" customFormat="1" x14ac:dyDescent="0.2"/>
    <row r="52349" customFormat="1" x14ac:dyDescent="0.2"/>
    <row r="52350" customFormat="1" x14ac:dyDescent="0.2"/>
    <row r="52351" customFormat="1" x14ac:dyDescent="0.2"/>
    <row r="52352" customFormat="1" x14ac:dyDescent="0.2"/>
    <row r="52353" customFormat="1" x14ac:dyDescent="0.2"/>
    <row r="52354" customFormat="1" x14ac:dyDescent="0.2"/>
    <row r="52355" customFormat="1" x14ac:dyDescent="0.2"/>
    <row r="52356" customFormat="1" x14ac:dyDescent="0.2"/>
    <row r="52357" customFormat="1" x14ac:dyDescent="0.2"/>
    <row r="52358" customFormat="1" x14ac:dyDescent="0.2"/>
    <row r="52359" customFormat="1" x14ac:dyDescent="0.2"/>
    <row r="52360" customFormat="1" x14ac:dyDescent="0.2"/>
    <row r="52361" customFormat="1" x14ac:dyDescent="0.2"/>
    <row r="52362" customFormat="1" x14ac:dyDescent="0.2"/>
    <row r="52363" customFormat="1" x14ac:dyDescent="0.2"/>
    <row r="52364" customFormat="1" x14ac:dyDescent="0.2"/>
    <row r="52365" customFormat="1" x14ac:dyDescent="0.2"/>
    <row r="52366" customFormat="1" x14ac:dyDescent="0.2"/>
    <row r="52367" customFormat="1" x14ac:dyDescent="0.2"/>
    <row r="52368" customFormat="1" x14ac:dyDescent="0.2"/>
    <row r="52369" customFormat="1" x14ac:dyDescent="0.2"/>
    <row r="52370" customFormat="1" x14ac:dyDescent="0.2"/>
    <row r="52371" customFormat="1" x14ac:dyDescent="0.2"/>
    <row r="52372" customFormat="1" x14ac:dyDescent="0.2"/>
    <row r="52373" customFormat="1" x14ac:dyDescent="0.2"/>
    <row r="52374" customFormat="1" x14ac:dyDescent="0.2"/>
    <row r="52375" customFormat="1" x14ac:dyDescent="0.2"/>
    <row r="52376" customFormat="1" x14ac:dyDescent="0.2"/>
    <row r="52377" customFormat="1" x14ac:dyDescent="0.2"/>
    <row r="52378" customFormat="1" x14ac:dyDescent="0.2"/>
    <row r="52379" customFormat="1" x14ac:dyDescent="0.2"/>
    <row r="52380" customFormat="1" x14ac:dyDescent="0.2"/>
    <row r="52381" customFormat="1" x14ac:dyDescent="0.2"/>
    <row r="52382" customFormat="1" x14ac:dyDescent="0.2"/>
    <row r="52383" customFormat="1" x14ac:dyDescent="0.2"/>
    <row r="52384" customFormat="1" x14ac:dyDescent="0.2"/>
    <row r="52385" customFormat="1" x14ac:dyDescent="0.2"/>
    <row r="52386" customFormat="1" x14ac:dyDescent="0.2"/>
    <row r="52387" customFormat="1" x14ac:dyDescent="0.2"/>
    <row r="52388" customFormat="1" x14ac:dyDescent="0.2"/>
    <row r="52389" customFormat="1" x14ac:dyDescent="0.2"/>
    <row r="52390" customFormat="1" x14ac:dyDescent="0.2"/>
    <row r="52391" customFormat="1" x14ac:dyDescent="0.2"/>
    <row r="52392" customFormat="1" x14ac:dyDescent="0.2"/>
    <row r="52393" customFormat="1" x14ac:dyDescent="0.2"/>
    <row r="52394" customFormat="1" x14ac:dyDescent="0.2"/>
    <row r="52395" customFormat="1" x14ac:dyDescent="0.2"/>
    <row r="52396" customFormat="1" x14ac:dyDescent="0.2"/>
    <row r="52397" customFormat="1" x14ac:dyDescent="0.2"/>
    <row r="52398" customFormat="1" x14ac:dyDescent="0.2"/>
    <row r="52399" customFormat="1" x14ac:dyDescent="0.2"/>
    <row r="52400" customFormat="1" x14ac:dyDescent="0.2"/>
    <row r="52401" customFormat="1" x14ac:dyDescent="0.2"/>
    <row r="52402" customFormat="1" x14ac:dyDescent="0.2"/>
    <row r="52403" customFormat="1" x14ac:dyDescent="0.2"/>
    <row r="52404" customFormat="1" x14ac:dyDescent="0.2"/>
    <row r="52405" customFormat="1" x14ac:dyDescent="0.2"/>
    <row r="52406" customFormat="1" x14ac:dyDescent="0.2"/>
    <row r="52407" customFormat="1" x14ac:dyDescent="0.2"/>
    <row r="52408" customFormat="1" x14ac:dyDescent="0.2"/>
    <row r="52409" customFormat="1" x14ac:dyDescent="0.2"/>
    <row r="52410" customFormat="1" x14ac:dyDescent="0.2"/>
    <row r="52411" customFormat="1" x14ac:dyDescent="0.2"/>
    <row r="52412" customFormat="1" x14ac:dyDescent="0.2"/>
    <row r="52413" customFormat="1" x14ac:dyDescent="0.2"/>
    <row r="52414" customFormat="1" x14ac:dyDescent="0.2"/>
    <row r="52415" customFormat="1" x14ac:dyDescent="0.2"/>
    <row r="52416" customFormat="1" x14ac:dyDescent="0.2"/>
    <row r="52417" customFormat="1" x14ac:dyDescent="0.2"/>
    <row r="52418" customFormat="1" x14ac:dyDescent="0.2"/>
    <row r="52419" customFormat="1" x14ac:dyDescent="0.2"/>
    <row r="52420" customFormat="1" x14ac:dyDescent="0.2"/>
    <row r="52421" customFormat="1" x14ac:dyDescent="0.2"/>
    <row r="52422" customFormat="1" x14ac:dyDescent="0.2"/>
    <row r="52423" customFormat="1" x14ac:dyDescent="0.2"/>
    <row r="52424" customFormat="1" x14ac:dyDescent="0.2"/>
    <row r="52425" customFormat="1" x14ac:dyDescent="0.2"/>
    <row r="52426" customFormat="1" x14ac:dyDescent="0.2"/>
    <row r="52427" customFormat="1" x14ac:dyDescent="0.2"/>
    <row r="52428" customFormat="1" x14ac:dyDescent="0.2"/>
    <row r="52429" customFormat="1" x14ac:dyDescent="0.2"/>
    <row r="52430" customFormat="1" x14ac:dyDescent="0.2"/>
    <row r="52431" customFormat="1" x14ac:dyDescent="0.2"/>
    <row r="52432" customFormat="1" x14ac:dyDescent="0.2"/>
    <row r="52433" customFormat="1" x14ac:dyDescent="0.2"/>
    <row r="52434" customFormat="1" x14ac:dyDescent="0.2"/>
    <row r="52435" customFormat="1" x14ac:dyDescent="0.2"/>
    <row r="52436" customFormat="1" x14ac:dyDescent="0.2"/>
    <row r="52437" customFormat="1" x14ac:dyDescent="0.2"/>
    <row r="52438" customFormat="1" x14ac:dyDescent="0.2"/>
    <row r="52439" customFormat="1" x14ac:dyDescent="0.2"/>
    <row r="52440" customFormat="1" x14ac:dyDescent="0.2"/>
    <row r="52441" customFormat="1" x14ac:dyDescent="0.2"/>
    <row r="52442" customFormat="1" x14ac:dyDescent="0.2"/>
    <row r="52443" customFormat="1" x14ac:dyDescent="0.2"/>
    <row r="52444" customFormat="1" x14ac:dyDescent="0.2"/>
    <row r="52445" customFormat="1" x14ac:dyDescent="0.2"/>
    <row r="52446" customFormat="1" x14ac:dyDescent="0.2"/>
    <row r="52447" customFormat="1" x14ac:dyDescent="0.2"/>
    <row r="52448" customFormat="1" x14ac:dyDescent="0.2"/>
    <row r="52449" customFormat="1" x14ac:dyDescent="0.2"/>
    <row r="52450" customFormat="1" x14ac:dyDescent="0.2"/>
    <row r="52451" customFormat="1" x14ac:dyDescent="0.2"/>
    <row r="52452" customFormat="1" x14ac:dyDescent="0.2"/>
    <row r="52453" customFormat="1" x14ac:dyDescent="0.2"/>
    <row r="52454" customFormat="1" x14ac:dyDescent="0.2"/>
    <row r="52455" customFormat="1" x14ac:dyDescent="0.2"/>
    <row r="52456" customFormat="1" x14ac:dyDescent="0.2"/>
    <row r="52457" customFormat="1" x14ac:dyDescent="0.2"/>
    <row r="52458" customFormat="1" x14ac:dyDescent="0.2"/>
    <row r="52459" customFormat="1" x14ac:dyDescent="0.2"/>
    <row r="52460" customFormat="1" x14ac:dyDescent="0.2"/>
    <row r="52461" customFormat="1" x14ac:dyDescent="0.2"/>
    <row r="52462" customFormat="1" x14ac:dyDescent="0.2"/>
    <row r="52463" customFormat="1" x14ac:dyDescent="0.2"/>
    <row r="52464" customFormat="1" x14ac:dyDescent="0.2"/>
    <row r="52465" customFormat="1" x14ac:dyDescent="0.2"/>
    <row r="52466" customFormat="1" x14ac:dyDescent="0.2"/>
    <row r="52467" customFormat="1" x14ac:dyDescent="0.2"/>
    <row r="52468" customFormat="1" x14ac:dyDescent="0.2"/>
    <row r="52469" customFormat="1" x14ac:dyDescent="0.2"/>
    <row r="52470" customFormat="1" x14ac:dyDescent="0.2"/>
    <row r="52471" customFormat="1" x14ac:dyDescent="0.2"/>
    <row r="52472" customFormat="1" x14ac:dyDescent="0.2"/>
    <row r="52473" customFormat="1" x14ac:dyDescent="0.2"/>
    <row r="52474" customFormat="1" x14ac:dyDescent="0.2"/>
    <row r="52475" customFormat="1" x14ac:dyDescent="0.2"/>
    <row r="52476" customFormat="1" x14ac:dyDescent="0.2"/>
    <row r="52477" customFormat="1" x14ac:dyDescent="0.2"/>
    <row r="52478" customFormat="1" x14ac:dyDescent="0.2"/>
    <row r="52479" customFormat="1" x14ac:dyDescent="0.2"/>
    <row r="52480" customFormat="1" x14ac:dyDescent="0.2"/>
    <row r="52481" customFormat="1" x14ac:dyDescent="0.2"/>
    <row r="52482" customFormat="1" x14ac:dyDescent="0.2"/>
    <row r="52483" customFormat="1" x14ac:dyDescent="0.2"/>
    <row r="52484" customFormat="1" x14ac:dyDescent="0.2"/>
    <row r="52485" customFormat="1" x14ac:dyDescent="0.2"/>
    <row r="52486" customFormat="1" x14ac:dyDescent="0.2"/>
    <row r="52487" customFormat="1" x14ac:dyDescent="0.2"/>
    <row r="52488" customFormat="1" x14ac:dyDescent="0.2"/>
    <row r="52489" customFormat="1" x14ac:dyDescent="0.2"/>
    <row r="52490" customFormat="1" x14ac:dyDescent="0.2"/>
    <row r="52491" customFormat="1" x14ac:dyDescent="0.2"/>
    <row r="52492" customFormat="1" x14ac:dyDescent="0.2"/>
    <row r="52493" customFormat="1" x14ac:dyDescent="0.2"/>
    <row r="52494" customFormat="1" x14ac:dyDescent="0.2"/>
    <row r="52495" customFormat="1" x14ac:dyDescent="0.2"/>
    <row r="52496" customFormat="1" x14ac:dyDescent="0.2"/>
    <row r="52497" customFormat="1" x14ac:dyDescent="0.2"/>
    <row r="52498" customFormat="1" x14ac:dyDescent="0.2"/>
    <row r="52499" customFormat="1" x14ac:dyDescent="0.2"/>
    <row r="52500" customFormat="1" x14ac:dyDescent="0.2"/>
    <row r="52501" customFormat="1" x14ac:dyDescent="0.2"/>
    <row r="52502" customFormat="1" x14ac:dyDescent="0.2"/>
    <row r="52503" customFormat="1" x14ac:dyDescent="0.2"/>
    <row r="52504" customFormat="1" x14ac:dyDescent="0.2"/>
    <row r="52505" customFormat="1" x14ac:dyDescent="0.2"/>
    <row r="52506" customFormat="1" x14ac:dyDescent="0.2"/>
    <row r="52507" customFormat="1" x14ac:dyDescent="0.2"/>
    <row r="52508" customFormat="1" x14ac:dyDescent="0.2"/>
    <row r="52509" customFormat="1" x14ac:dyDescent="0.2"/>
    <row r="52510" customFormat="1" x14ac:dyDescent="0.2"/>
    <row r="52511" customFormat="1" x14ac:dyDescent="0.2"/>
    <row r="52512" customFormat="1" x14ac:dyDescent="0.2"/>
    <row r="52513" customFormat="1" x14ac:dyDescent="0.2"/>
    <row r="52514" customFormat="1" x14ac:dyDescent="0.2"/>
    <row r="52515" customFormat="1" x14ac:dyDescent="0.2"/>
    <row r="52516" customFormat="1" x14ac:dyDescent="0.2"/>
    <row r="52517" customFormat="1" x14ac:dyDescent="0.2"/>
    <row r="52518" customFormat="1" x14ac:dyDescent="0.2"/>
    <row r="52519" customFormat="1" x14ac:dyDescent="0.2"/>
    <row r="52520" customFormat="1" x14ac:dyDescent="0.2"/>
    <row r="52521" customFormat="1" x14ac:dyDescent="0.2"/>
    <row r="52522" customFormat="1" x14ac:dyDescent="0.2"/>
    <row r="52523" customFormat="1" x14ac:dyDescent="0.2"/>
    <row r="52524" customFormat="1" x14ac:dyDescent="0.2"/>
    <row r="52525" customFormat="1" x14ac:dyDescent="0.2"/>
    <row r="52526" customFormat="1" x14ac:dyDescent="0.2"/>
    <row r="52527" customFormat="1" x14ac:dyDescent="0.2"/>
    <row r="52528" customFormat="1" x14ac:dyDescent="0.2"/>
    <row r="52529" customFormat="1" x14ac:dyDescent="0.2"/>
    <row r="52530" customFormat="1" x14ac:dyDescent="0.2"/>
    <row r="52531" customFormat="1" x14ac:dyDescent="0.2"/>
    <row r="52532" customFormat="1" x14ac:dyDescent="0.2"/>
    <row r="52533" customFormat="1" x14ac:dyDescent="0.2"/>
    <row r="52534" customFormat="1" x14ac:dyDescent="0.2"/>
    <row r="52535" customFormat="1" x14ac:dyDescent="0.2"/>
    <row r="52536" customFormat="1" x14ac:dyDescent="0.2"/>
    <row r="52537" customFormat="1" x14ac:dyDescent="0.2"/>
    <row r="52538" customFormat="1" x14ac:dyDescent="0.2"/>
    <row r="52539" customFormat="1" x14ac:dyDescent="0.2"/>
    <row r="52540" customFormat="1" x14ac:dyDescent="0.2"/>
    <row r="52541" customFormat="1" x14ac:dyDescent="0.2"/>
    <row r="52542" customFormat="1" x14ac:dyDescent="0.2"/>
    <row r="52543" customFormat="1" x14ac:dyDescent="0.2"/>
    <row r="52544" customFormat="1" x14ac:dyDescent="0.2"/>
    <row r="52545" customFormat="1" x14ac:dyDescent="0.2"/>
    <row r="52546" customFormat="1" x14ac:dyDescent="0.2"/>
    <row r="52547" customFormat="1" x14ac:dyDescent="0.2"/>
    <row r="52548" customFormat="1" x14ac:dyDescent="0.2"/>
    <row r="52549" customFormat="1" x14ac:dyDescent="0.2"/>
    <row r="52550" customFormat="1" x14ac:dyDescent="0.2"/>
    <row r="52551" customFormat="1" x14ac:dyDescent="0.2"/>
    <row r="52552" customFormat="1" x14ac:dyDescent="0.2"/>
    <row r="52553" customFormat="1" x14ac:dyDescent="0.2"/>
    <row r="52554" customFormat="1" x14ac:dyDescent="0.2"/>
    <row r="52555" customFormat="1" x14ac:dyDescent="0.2"/>
    <row r="52556" customFormat="1" x14ac:dyDescent="0.2"/>
    <row r="52557" customFormat="1" x14ac:dyDescent="0.2"/>
    <row r="52558" customFormat="1" x14ac:dyDescent="0.2"/>
    <row r="52559" customFormat="1" x14ac:dyDescent="0.2"/>
    <row r="52560" customFormat="1" x14ac:dyDescent="0.2"/>
    <row r="52561" customFormat="1" x14ac:dyDescent="0.2"/>
    <row r="52562" customFormat="1" x14ac:dyDescent="0.2"/>
    <row r="52563" customFormat="1" x14ac:dyDescent="0.2"/>
    <row r="52564" customFormat="1" x14ac:dyDescent="0.2"/>
    <row r="52565" customFormat="1" x14ac:dyDescent="0.2"/>
    <row r="52566" customFormat="1" x14ac:dyDescent="0.2"/>
    <row r="52567" customFormat="1" x14ac:dyDescent="0.2"/>
    <row r="52568" customFormat="1" x14ac:dyDescent="0.2"/>
    <row r="52569" customFormat="1" x14ac:dyDescent="0.2"/>
    <row r="52570" customFormat="1" x14ac:dyDescent="0.2"/>
    <row r="52571" customFormat="1" x14ac:dyDescent="0.2"/>
    <row r="52572" customFormat="1" x14ac:dyDescent="0.2"/>
    <row r="52573" customFormat="1" x14ac:dyDescent="0.2"/>
    <row r="52574" customFormat="1" x14ac:dyDescent="0.2"/>
    <row r="52575" customFormat="1" x14ac:dyDescent="0.2"/>
    <row r="52576" customFormat="1" x14ac:dyDescent="0.2"/>
    <row r="52577" customFormat="1" x14ac:dyDescent="0.2"/>
    <row r="52578" customFormat="1" x14ac:dyDescent="0.2"/>
    <row r="52579" customFormat="1" x14ac:dyDescent="0.2"/>
    <row r="52580" customFormat="1" x14ac:dyDescent="0.2"/>
    <row r="52581" customFormat="1" x14ac:dyDescent="0.2"/>
    <row r="52582" customFormat="1" x14ac:dyDescent="0.2"/>
    <row r="52583" customFormat="1" x14ac:dyDescent="0.2"/>
    <row r="52584" customFormat="1" x14ac:dyDescent="0.2"/>
    <row r="52585" customFormat="1" x14ac:dyDescent="0.2"/>
    <row r="52586" customFormat="1" x14ac:dyDescent="0.2"/>
    <row r="52587" customFormat="1" x14ac:dyDescent="0.2"/>
    <row r="52588" customFormat="1" x14ac:dyDescent="0.2"/>
    <row r="52589" customFormat="1" x14ac:dyDescent="0.2"/>
    <row r="52590" customFormat="1" x14ac:dyDescent="0.2"/>
    <row r="52591" customFormat="1" x14ac:dyDescent="0.2"/>
    <row r="52592" customFormat="1" x14ac:dyDescent="0.2"/>
    <row r="52593" customFormat="1" x14ac:dyDescent="0.2"/>
    <row r="52594" customFormat="1" x14ac:dyDescent="0.2"/>
    <row r="52595" customFormat="1" x14ac:dyDescent="0.2"/>
    <row r="52596" customFormat="1" x14ac:dyDescent="0.2"/>
    <row r="52597" customFormat="1" x14ac:dyDescent="0.2"/>
    <row r="52598" customFormat="1" x14ac:dyDescent="0.2"/>
    <row r="52599" customFormat="1" x14ac:dyDescent="0.2"/>
    <row r="52600" customFormat="1" x14ac:dyDescent="0.2"/>
    <row r="52601" customFormat="1" x14ac:dyDescent="0.2"/>
    <row r="52602" customFormat="1" x14ac:dyDescent="0.2"/>
    <row r="52603" customFormat="1" x14ac:dyDescent="0.2"/>
    <row r="52604" customFormat="1" x14ac:dyDescent="0.2"/>
    <row r="52605" customFormat="1" x14ac:dyDescent="0.2"/>
    <row r="52606" customFormat="1" x14ac:dyDescent="0.2"/>
    <row r="52607" customFormat="1" x14ac:dyDescent="0.2"/>
    <row r="52608" customFormat="1" x14ac:dyDescent="0.2"/>
    <row r="52609" customFormat="1" x14ac:dyDescent="0.2"/>
    <row r="52610" customFormat="1" x14ac:dyDescent="0.2"/>
    <row r="52611" customFormat="1" x14ac:dyDescent="0.2"/>
    <row r="52612" customFormat="1" x14ac:dyDescent="0.2"/>
    <row r="52613" customFormat="1" x14ac:dyDescent="0.2"/>
    <row r="52614" customFormat="1" x14ac:dyDescent="0.2"/>
    <row r="52615" customFormat="1" x14ac:dyDescent="0.2"/>
    <row r="52616" customFormat="1" x14ac:dyDescent="0.2"/>
    <row r="52617" customFormat="1" x14ac:dyDescent="0.2"/>
    <row r="52618" customFormat="1" x14ac:dyDescent="0.2"/>
    <row r="52619" customFormat="1" x14ac:dyDescent="0.2"/>
    <row r="52620" customFormat="1" x14ac:dyDescent="0.2"/>
    <row r="52621" customFormat="1" x14ac:dyDescent="0.2"/>
    <row r="52622" customFormat="1" x14ac:dyDescent="0.2"/>
    <row r="52623" customFormat="1" x14ac:dyDescent="0.2"/>
    <row r="52624" customFormat="1" x14ac:dyDescent="0.2"/>
    <row r="52625" customFormat="1" x14ac:dyDescent="0.2"/>
    <row r="52626" customFormat="1" x14ac:dyDescent="0.2"/>
    <row r="52627" customFormat="1" x14ac:dyDescent="0.2"/>
    <row r="52628" customFormat="1" x14ac:dyDescent="0.2"/>
    <row r="52629" customFormat="1" x14ac:dyDescent="0.2"/>
    <row r="52630" customFormat="1" x14ac:dyDescent="0.2"/>
    <row r="52631" customFormat="1" x14ac:dyDescent="0.2"/>
    <row r="52632" customFormat="1" x14ac:dyDescent="0.2"/>
    <row r="52633" customFormat="1" x14ac:dyDescent="0.2"/>
    <row r="52634" customFormat="1" x14ac:dyDescent="0.2"/>
    <row r="52635" customFormat="1" x14ac:dyDescent="0.2"/>
    <row r="52636" customFormat="1" x14ac:dyDescent="0.2"/>
    <row r="52637" customFormat="1" x14ac:dyDescent="0.2"/>
    <row r="52638" customFormat="1" x14ac:dyDescent="0.2"/>
    <row r="52639" customFormat="1" x14ac:dyDescent="0.2"/>
    <row r="52640" customFormat="1" x14ac:dyDescent="0.2"/>
    <row r="52641" customFormat="1" x14ac:dyDescent="0.2"/>
    <row r="52642" customFormat="1" x14ac:dyDescent="0.2"/>
    <row r="52643" customFormat="1" x14ac:dyDescent="0.2"/>
    <row r="52644" customFormat="1" x14ac:dyDescent="0.2"/>
    <row r="52645" customFormat="1" x14ac:dyDescent="0.2"/>
    <row r="52646" customFormat="1" x14ac:dyDescent="0.2"/>
    <row r="52647" customFormat="1" x14ac:dyDescent="0.2"/>
    <row r="52648" customFormat="1" x14ac:dyDescent="0.2"/>
    <row r="52649" customFormat="1" x14ac:dyDescent="0.2"/>
    <row r="52650" customFormat="1" x14ac:dyDescent="0.2"/>
    <row r="52651" customFormat="1" x14ac:dyDescent="0.2"/>
    <row r="52652" customFormat="1" x14ac:dyDescent="0.2"/>
    <row r="52653" customFormat="1" x14ac:dyDescent="0.2"/>
    <row r="52654" customFormat="1" x14ac:dyDescent="0.2"/>
    <row r="52655" customFormat="1" x14ac:dyDescent="0.2"/>
    <row r="52656" customFormat="1" x14ac:dyDescent="0.2"/>
    <row r="52657" customFormat="1" x14ac:dyDescent="0.2"/>
    <row r="52658" customFormat="1" x14ac:dyDescent="0.2"/>
    <row r="52659" customFormat="1" x14ac:dyDescent="0.2"/>
    <row r="52660" customFormat="1" x14ac:dyDescent="0.2"/>
    <row r="52661" customFormat="1" x14ac:dyDescent="0.2"/>
    <row r="52662" customFormat="1" x14ac:dyDescent="0.2"/>
    <row r="52663" customFormat="1" x14ac:dyDescent="0.2"/>
    <row r="52664" customFormat="1" x14ac:dyDescent="0.2"/>
    <row r="52665" customFormat="1" x14ac:dyDescent="0.2"/>
    <row r="52666" customFormat="1" x14ac:dyDescent="0.2"/>
    <row r="52667" customFormat="1" x14ac:dyDescent="0.2"/>
    <row r="52668" customFormat="1" x14ac:dyDescent="0.2"/>
    <row r="52669" customFormat="1" x14ac:dyDescent="0.2"/>
    <row r="52670" customFormat="1" x14ac:dyDescent="0.2"/>
    <row r="52671" customFormat="1" x14ac:dyDescent="0.2"/>
    <row r="52672" customFormat="1" x14ac:dyDescent="0.2"/>
    <row r="52673" customFormat="1" x14ac:dyDescent="0.2"/>
    <row r="52674" customFormat="1" x14ac:dyDescent="0.2"/>
    <row r="52675" customFormat="1" x14ac:dyDescent="0.2"/>
    <row r="52676" customFormat="1" x14ac:dyDescent="0.2"/>
    <row r="52677" customFormat="1" x14ac:dyDescent="0.2"/>
    <row r="52678" customFormat="1" x14ac:dyDescent="0.2"/>
    <row r="52679" customFormat="1" x14ac:dyDescent="0.2"/>
    <row r="52680" customFormat="1" x14ac:dyDescent="0.2"/>
    <row r="52681" customFormat="1" x14ac:dyDescent="0.2"/>
    <row r="52682" customFormat="1" x14ac:dyDescent="0.2"/>
    <row r="52683" customFormat="1" x14ac:dyDescent="0.2"/>
    <row r="52684" customFormat="1" x14ac:dyDescent="0.2"/>
    <row r="52685" customFormat="1" x14ac:dyDescent="0.2"/>
    <row r="52686" customFormat="1" x14ac:dyDescent="0.2"/>
    <row r="52687" customFormat="1" x14ac:dyDescent="0.2"/>
    <row r="52688" customFormat="1" x14ac:dyDescent="0.2"/>
    <row r="52689" customFormat="1" x14ac:dyDescent="0.2"/>
    <row r="52690" customFormat="1" x14ac:dyDescent="0.2"/>
    <row r="52691" customFormat="1" x14ac:dyDescent="0.2"/>
    <row r="52692" customFormat="1" x14ac:dyDescent="0.2"/>
    <row r="52693" customFormat="1" x14ac:dyDescent="0.2"/>
    <row r="52694" customFormat="1" x14ac:dyDescent="0.2"/>
    <row r="52695" customFormat="1" x14ac:dyDescent="0.2"/>
    <row r="52696" customFormat="1" x14ac:dyDescent="0.2"/>
    <row r="52697" customFormat="1" x14ac:dyDescent="0.2"/>
    <row r="52698" customFormat="1" x14ac:dyDescent="0.2"/>
    <row r="52699" customFormat="1" x14ac:dyDescent="0.2"/>
    <row r="52700" customFormat="1" x14ac:dyDescent="0.2"/>
    <row r="52701" customFormat="1" x14ac:dyDescent="0.2"/>
    <row r="52702" customFormat="1" x14ac:dyDescent="0.2"/>
    <row r="52703" customFormat="1" x14ac:dyDescent="0.2"/>
    <row r="52704" customFormat="1" x14ac:dyDescent="0.2"/>
    <row r="52705" customFormat="1" x14ac:dyDescent="0.2"/>
    <row r="52706" customFormat="1" x14ac:dyDescent="0.2"/>
    <row r="52707" customFormat="1" x14ac:dyDescent="0.2"/>
    <row r="52708" customFormat="1" x14ac:dyDescent="0.2"/>
    <row r="52709" customFormat="1" x14ac:dyDescent="0.2"/>
    <row r="52710" customFormat="1" x14ac:dyDescent="0.2"/>
    <row r="52711" customFormat="1" x14ac:dyDescent="0.2"/>
    <row r="52712" customFormat="1" x14ac:dyDescent="0.2"/>
    <row r="52713" customFormat="1" x14ac:dyDescent="0.2"/>
    <row r="52714" customFormat="1" x14ac:dyDescent="0.2"/>
    <row r="52715" customFormat="1" x14ac:dyDescent="0.2"/>
    <row r="52716" customFormat="1" x14ac:dyDescent="0.2"/>
    <row r="52717" customFormat="1" x14ac:dyDescent="0.2"/>
    <row r="52718" customFormat="1" x14ac:dyDescent="0.2"/>
    <row r="52719" customFormat="1" x14ac:dyDescent="0.2"/>
    <row r="52720" customFormat="1" x14ac:dyDescent="0.2"/>
    <row r="52721" customFormat="1" x14ac:dyDescent="0.2"/>
    <row r="52722" customFormat="1" x14ac:dyDescent="0.2"/>
    <row r="52723" customFormat="1" x14ac:dyDescent="0.2"/>
    <row r="52724" customFormat="1" x14ac:dyDescent="0.2"/>
    <row r="52725" customFormat="1" x14ac:dyDescent="0.2"/>
    <row r="52726" customFormat="1" x14ac:dyDescent="0.2"/>
    <row r="52727" customFormat="1" x14ac:dyDescent="0.2"/>
    <row r="52728" customFormat="1" x14ac:dyDescent="0.2"/>
    <row r="52729" customFormat="1" x14ac:dyDescent="0.2"/>
    <row r="52730" customFormat="1" x14ac:dyDescent="0.2"/>
    <row r="52731" customFormat="1" x14ac:dyDescent="0.2"/>
    <row r="52732" customFormat="1" x14ac:dyDescent="0.2"/>
    <row r="52733" customFormat="1" x14ac:dyDescent="0.2"/>
    <row r="52734" customFormat="1" x14ac:dyDescent="0.2"/>
    <row r="52735" customFormat="1" x14ac:dyDescent="0.2"/>
    <row r="52736" customFormat="1" x14ac:dyDescent="0.2"/>
    <row r="52737" customFormat="1" x14ac:dyDescent="0.2"/>
    <row r="52738" customFormat="1" x14ac:dyDescent="0.2"/>
    <row r="52739" customFormat="1" x14ac:dyDescent="0.2"/>
    <row r="52740" customFormat="1" x14ac:dyDescent="0.2"/>
    <row r="52741" customFormat="1" x14ac:dyDescent="0.2"/>
    <row r="52742" customFormat="1" x14ac:dyDescent="0.2"/>
    <row r="52743" customFormat="1" x14ac:dyDescent="0.2"/>
    <row r="52744" customFormat="1" x14ac:dyDescent="0.2"/>
    <row r="52745" customFormat="1" x14ac:dyDescent="0.2"/>
    <row r="52746" customFormat="1" x14ac:dyDescent="0.2"/>
    <row r="52747" customFormat="1" x14ac:dyDescent="0.2"/>
    <row r="52748" customFormat="1" x14ac:dyDescent="0.2"/>
    <row r="52749" customFormat="1" x14ac:dyDescent="0.2"/>
    <row r="52750" customFormat="1" x14ac:dyDescent="0.2"/>
    <row r="52751" customFormat="1" x14ac:dyDescent="0.2"/>
    <row r="52752" customFormat="1" x14ac:dyDescent="0.2"/>
    <row r="52753" customFormat="1" x14ac:dyDescent="0.2"/>
    <row r="52754" customFormat="1" x14ac:dyDescent="0.2"/>
    <row r="52755" customFormat="1" x14ac:dyDescent="0.2"/>
    <row r="52756" customFormat="1" x14ac:dyDescent="0.2"/>
    <row r="52757" customFormat="1" x14ac:dyDescent="0.2"/>
    <row r="52758" customFormat="1" x14ac:dyDescent="0.2"/>
    <row r="52759" customFormat="1" x14ac:dyDescent="0.2"/>
    <row r="52760" customFormat="1" x14ac:dyDescent="0.2"/>
    <row r="52761" customFormat="1" x14ac:dyDescent="0.2"/>
    <row r="52762" customFormat="1" x14ac:dyDescent="0.2"/>
    <row r="52763" customFormat="1" x14ac:dyDescent="0.2"/>
    <row r="52764" customFormat="1" x14ac:dyDescent="0.2"/>
    <row r="52765" customFormat="1" x14ac:dyDescent="0.2"/>
    <row r="52766" customFormat="1" x14ac:dyDescent="0.2"/>
    <row r="52767" customFormat="1" x14ac:dyDescent="0.2"/>
    <row r="52768" customFormat="1" x14ac:dyDescent="0.2"/>
    <row r="52769" customFormat="1" x14ac:dyDescent="0.2"/>
    <row r="52770" customFormat="1" x14ac:dyDescent="0.2"/>
    <row r="52771" customFormat="1" x14ac:dyDescent="0.2"/>
    <row r="52772" customFormat="1" x14ac:dyDescent="0.2"/>
    <row r="52773" customFormat="1" x14ac:dyDescent="0.2"/>
    <row r="52774" customFormat="1" x14ac:dyDescent="0.2"/>
    <row r="52775" customFormat="1" x14ac:dyDescent="0.2"/>
    <row r="52776" customFormat="1" x14ac:dyDescent="0.2"/>
    <row r="52777" customFormat="1" x14ac:dyDescent="0.2"/>
    <row r="52778" customFormat="1" x14ac:dyDescent="0.2"/>
    <row r="52779" customFormat="1" x14ac:dyDescent="0.2"/>
    <row r="52780" customFormat="1" x14ac:dyDescent="0.2"/>
    <row r="52781" customFormat="1" x14ac:dyDescent="0.2"/>
    <row r="52782" customFormat="1" x14ac:dyDescent="0.2"/>
    <row r="52783" customFormat="1" x14ac:dyDescent="0.2"/>
    <row r="52784" customFormat="1" x14ac:dyDescent="0.2"/>
    <row r="52785" customFormat="1" x14ac:dyDescent="0.2"/>
    <row r="52786" customFormat="1" x14ac:dyDescent="0.2"/>
    <row r="52787" customFormat="1" x14ac:dyDescent="0.2"/>
    <row r="52788" customFormat="1" x14ac:dyDescent="0.2"/>
    <row r="52789" customFormat="1" x14ac:dyDescent="0.2"/>
    <row r="52790" customFormat="1" x14ac:dyDescent="0.2"/>
    <row r="52791" customFormat="1" x14ac:dyDescent="0.2"/>
    <row r="52792" customFormat="1" x14ac:dyDescent="0.2"/>
    <row r="52793" customFormat="1" x14ac:dyDescent="0.2"/>
    <row r="52794" customFormat="1" x14ac:dyDescent="0.2"/>
    <row r="52795" customFormat="1" x14ac:dyDescent="0.2"/>
    <row r="52796" customFormat="1" x14ac:dyDescent="0.2"/>
    <row r="52797" customFormat="1" x14ac:dyDescent="0.2"/>
    <row r="52798" customFormat="1" x14ac:dyDescent="0.2"/>
    <row r="52799" customFormat="1" x14ac:dyDescent="0.2"/>
    <row r="52800" customFormat="1" x14ac:dyDescent="0.2"/>
    <row r="52801" customFormat="1" x14ac:dyDescent="0.2"/>
    <row r="52802" customFormat="1" x14ac:dyDescent="0.2"/>
    <row r="52803" customFormat="1" x14ac:dyDescent="0.2"/>
    <row r="52804" customFormat="1" x14ac:dyDescent="0.2"/>
    <row r="52805" customFormat="1" x14ac:dyDescent="0.2"/>
    <row r="52806" customFormat="1" x14ac:dyDescent="0.2"/>
    <row r="52807" customFormat="1" x14ac:dyDescent="0.2"/>
    <row r="52808" customFormat="1" x14ac:dyDescent="0.2"/>
    <row r="52809" customFormat="1" x14ac:dyDescent="0.2"/>
    <row r="52810" customFormat="1" x14ac:dyDescent="0.2"/>
    <row r="52811" customFormat="1" x14ac:dyDescent="0.2"/>
    <row r="52812" customFormat="1" x14ac:dyDescent="0.2"/>
    <row r="52813" customFormat="1" x14ac:dyDescent="0.2"/>
    <row r="52814" customFormat="1" x14ac:dyDescent="0.2"/>
    <row r="52815" customFormat="1" x14ac:dyDescent="0.2"/>
    <row r="52816" customFormat="1" x14ac:dyDescent="0.2"/>
    <row r="52817" customFormat="1" x14ac:dyDescent="0.2"/>
    <row r="52818" customFormat="1" x14ac:dyDescent="0.2"/>
    <row r="52819" customFormat="1" x14ac:dyDescent="0.2"/>
    <row r="52820" customFormat="1" x14ac:dyDescent="0.2"/>
    <row r="52821" customFormat="1" x14ac:dyDescent="0.2"/>
    <row r="52822" customFormat="1" x14ac:dyDescent="0.2"/>
    <row r="52823" customFormat="1" x14ac:dyDescent="0.2"/>
    <row r="52824" customFormat="1" x14ac:dyDescent="0.2"/>
    <row r="52825" customFormat="1" x14ac:dyDescent="0.2"/>
    <row r="52826" customFormat="1" x14ac:dyDescent="0.2"/>
    <row r="52827" customFormat="1" x14ac:dyDescent="0.2"/>
    <row r="52828" customFormat="1" x14ac:dyDescent="0.2"/>
    <row r="52829" customFormat="1" x14ac:dyDescent="0.2"/>
    <row r="52830" customFormat="1" x14ac:dyDescent="0.2"/>
    <row r="52831" customFormat="1" x14ac:dyDescent="0.2"/>
    <row r="52832" customFormat="1" x14ac:dyDescent="0.2"/>
    <row r="52833" customFormat="1" x14ac:dyDescent="0.2"/>
    <row r="52834" customFormat="1" x14ac:dyDescent="0.2"/>
    <row r="52835" customFormat="1" x14ac:dyDescent="0.2"/>
    <row r="52836" customFormat="1" x14ac:dyDescent="0.2"/>
    <row r="52837" customFormat="1" x14ac:dyDescent="0.2"/>
    <row r="52838" customFormat="1" x14ac:dyDescent="0.2"/>
    <row r="52839" customFormat="1" x14ac:dyDescent="0.2"/>
    <row r="52840" customFormat="1" x14ac:dyDescent="0.2"/>
    <row r="52841" customFormat="1" x14ac:dyDescent="0.2"/>
    <row r="52842" customFormat="1" x14ac:dyDescent="0.2"/>
    <row r="52843" customFormat="1" x14ac:dyDescent="0.2"/>
    <row r="52844" customFormat="1" x14ac:dyDescent="0.2"/>
    <row r="52845" customFormat="1" x14ac:dyDescent="0.2"/>
    <row r="52846" customFormat="1" x14ac:dyDescent="0.2"/>
    <row r="52847" customFormat="1" x14ac:dyDescent="0.2"/>
    <row r="52848" customFormat="1" x14ac:dyDescent="0.2"/>
    <row r="52849" customFormat="1" x14ac:dyDescent="0.2"/>
    <row r="52850" customFormat="1" x14ac:dyDescent="0.2"/>
    <row r="52851" customFormat="1" x14ac:dyDescent="0.2"/>
    <row r="52852" customFormat="1" x14ac:dyDescent="0.2"/>
    <row r="52853" customFormat="1" x14ac:dyDescent="0.2"/>
    <row r="52854" customFormat="1" x14ac:dyDescent="0.2"/>
    <row r="52855" customFormat="1" x14ac:dyDescent="0.2"/>
    <row r="52856" customFormat="1" x14ac:dyDescent="0.2"/>
    <row r="52857" customFormat="1" x14ac:dyDescent="0.2"/>
    <row r="52858" customFormat="1" x14ac:dyDescent="0.2"/>
    <row r="52859" customFormat="1" x14ac:dyDescent="0.2"/>
    <row r="52860" customFormat="1" x14ac:dyDescent="0.2"/>
    <row r="52861" customFormat="1" x14ac:dyDescent="0.2"/>
    <row r="52862" customFormat="1" x14ac:dyDescent="0.2"/>
    <row r="52863" customFormat="1" x14ac:dyDescent="0.2"/>
    <row r="52864" customFormat="1" x14ac:dyDescent="0.2"/>
    <row r="52865" customFormat="1" x14ac:dyDescent="0.2"/>
    <row r="52866" customFormat="1" x14ac:dyDescent="0.2"/>
    <row r="52867" customFormat="1" x14ac:dyDescent="0.2"/>
    <row r="52868" customFormat="1" x14ac:dyDescent="0.2"/>
    <row r="52869" customFormat="1" x14ac:dyDescent="0.2"/>
    <row r="52870" customFormat="1" x14ac:dyDescent="0.2"/>
    <row r="52871" customFormat="1" x14ac:dyDescent="0.2"/>
    <row r="52872" customFormat="1" x14ac:dyDescent="0.2"/>
    <row r="52873" customFormat="1" x14ac:dyDescent="0.2"/>
    <row r="52874" customFormat="1" x14ac:dyDescent="0.2"/>
    <row r="52875" customFormat="1" x14ac:dyDescent="0.2"/>
    <row r="52876" customFormat="1" x14ac:dyDescent="0.2"/>
    <row r="52877" customFormat="1" x14ac:dyDescent="0.2"/>
    <row r="52878" customFormat="1" x14ac:dyDescent="0.2"/>
    <row r="52879" customFormat="1" x14ac:dyDescent="0.2"/>
    <row r="52880" customFormat="1" x14ac:dyDescent="0.2"/>
    <row r="52881" customFormat="1" x14ac:dyDescent="0.2"/>
    <row r="52882" customFormat="1" x14ac:dyDescent="0.2"/>
    <row r="52883" customFormat="1" x14ac:dyDescent="0.2"/>
    <row r="52884" customFormat="1" x14ac:dyDescent="0.2"/>
    <row r="52885" customFormat="1" x14ac:dyDescent="0.2"/>
    <row r="52886" customFormat="1" x14ac:dyDescent="0.2"/>
    <row r="52887" customFormat="1" x14ac:dyDescent="0.2"/>
    <row r="52888" customFormat="1" x14ac:dyDescent="0.2"/>
    <row r="52889" customFormat="1" x14ac:dyDescent="0.2"/>
    <row r="52890" customFormat="1" x14ac:dyDescent="0.2"/>
    <row r="52891" customFormat="1" x14ac:dyDescent="0.2"/>
    <row r="52892" customFormat="1" x14ac:dyDescent="0.2"/>
    <row r="52893" customFormat="1" x14ac:dyDescent="0.2"/>
    <row r="52894" customFormat="1" x14ac:dyDescent="0.2"/>
    <row r="52895" customFormat="1" x14ac:dyDescent="0.2"/>
    <row r="52896" customFormat="1" x14ac:dyDescent="0.2"/>
    <row r="52897" customFormat="1" x14ac:dyDescent="0.2"/>
    <row r="52898" customFormat="1" x14ac:dyDescent="0.2"/>
    <row r="52899" customFormat="1" x14ac:dyDescent="0.2"/>
    <row r="52900" customFormat="1" x14ac:dyDescent="0.2"/>
    <row r="52901" customFormat="1" x14ac:dyDescent="0.2"/>
    <row r="52902" customFormat="1" x14ac:dyDescent="0.2"/>
    <row r="52903" customFormat="1" x14ac:dyDescent="0.2"/>
    <row r="52904" customFormat="1" x14ac:dyDescent="0.2"/>
    <row r="52905" customFormat="1" x14ac:dyDescent="0.2"/>
    <row r="52906" customFormat="1" x14ac:dyDescent="0.2"/>
    <row r="52907" customFormat="1" x14ac:dyDescent="0.2"/>
    <row r="52908" customFormat="1" x14ac:dyDescent="0.2"/>
    <row r="52909" customFormat="1" x14ac:dyDescent="0.2"/>
    <row r="52910" customFormat="1" x14ac:dyDescent="0.2"/>
    <row r="52911" customFormat="1" x14ac:dyDescent="0.2"/>
    <row r="52912" customFormat="1" x14ac:dyDescent="0.2"/>
    <row r="52913" customFormat="1" x14ac:dyDescent="0.2"/>
    <row r="52914" customFormat="1" x14ac:dyDescent="0.2"/>
    <row r="52915" customFormat="1" x14ac:dyDescent="0.2"/>
    <row r="52916" customFormat="1" x14ac:dyDescent="0.2"/>
    <row r="52917" customFormat="1" x14ac:dyDescent="0.2"/>
    <row r="52918" customFormat="1" x14ac:dyDescent="0.2"/>
    <row r="52919" customFormat="1" x14ac:dyDescent="0.2"/>
    <row r="52920" customFormat="1" x14ac:dyDescent="0.2"/>
    <row r="52921" customFormat="1" x14ac:dyDescent="0.2"/>
    <row r="52922" customFormat="1" x14ac:dyDescent="0.2"/>
    <row r="52923" customFormat="1" x14ac:dyDescent="0.2"/>
    <row r="52924" customFormat="1" x14ac:dyDescent="0.2"/>
    <row r="52925" customFormat="1" x14ac:dyDescent="0.2"/>
    <row r="52926" customFormat="1" x14ac:dyDescent="0.2"/>
    <row r="52927" customFormat="1" x14ac:dyDescent="0.2"/>
    <row r="52928" customFormat="1" x14ac:dyDescent="0.2"/>
    <row r="52929" customFormat="1" x14ac:dyDescent="0.2"/>
    <row r="52930" customFormat="1" x14ac:dyDescent="0.2"/>
    <row r="52931" customFormat="1" x14ac:dyDescent="0.2"/>
    <row r="52932" customFormat="1" x14ac:dyDescent="0.2"/>
    <row r="52933" customFormat="1" x14ac:dyDescent="0.2"/>
    <row r="52934" customFormat="1" x14ac:dyDescent="0.2"/>
    <row r="52935" customFormat="1" x14ac:dyDescent="0.2"/>
    <row r="52936" customFormat="1" x14ac:dyDescent="0.2"/>
    <row r="52937" customFormat="1" x14ac:dyDescent="0.2"/>
    <row r="52938" customFormat="1" x14ac:dyDescent="0.2"/>
    <row r="52939" customFormat="1" x14ac:dyDescent="0.2"/>
    <row r="52940" customFormat="1" x14ac:dyDescent="0.2"/>
    <row r="52941" customFormat="1" x14ac:dyDescent="0.2"/>
    <row r="52942" customFormat="1" x14ac:dyDescent="0.2"/>
    <row r="52943" customFormat="1" x14ac:dyDescent="0.2"/>
    <row r="52944" customFormat="1" x14ac:dyDescent="0.2"/>
    <row r="52945" customFormat="1" x14ac:dyDescent="0.2"/>
    <row r="52946" customFormat="1" x14ac:dyDescent="0.2"/>
    <row r="52947" customFormat="1" x14ac:dyDescent="0.2"/>
    <row r="52948" customFormat="1" x14ac:dyDescent="0.2"/>
    <row r="52949" customFormat="1" x14ac:dyDescent="0.2"/>
    <row r="52950" customFormat="1" x14ac:dyDescent="0.2"/>
    <row r="52951" customFormat="1" x14ac:dyDescent="0.2"/>
    <row r="52952" customFormat="1" x14ac:dyDescent="0.2"/>
    <row r="52953" customFormat="1" x14ac:dyDescent="0.2"/>
    <row r="52954" customFormat="1" x14ac:dyDescent="0.2"/>
    <row r="52955" customFormat="1" x14ac:dyDescent="0.2"/>
    <row r="52956" customFormat="1" x14ac:dyDescent="0.2"/>
    <row r="52957" customFormat="1" x14ac:dyDescent="0.2"/>
    <row r="52958" customFormat="1" x14ac:dyDescent="0.2"/>
    <row r="52959" customFormat="1" x14ac:dyDescent="0.2"/>
    <row r="52960" customFormat="1" x14ac:dyDescent="0.2"/>
    <row r="52961" customFormat="1" x14ac:dyDescent="0.2"/>
    <row r="52962" customFormat="1" x14ac:dyDescent="0.2"/>
    <row r="52963" customFormat="1" x14ac:dyDescent="0.2"/>
    <row r="52964" customFormat="1" x14ac:dyDescent="0.2"/>
    <row r="52965" customFormat="1" x14ac:dyDescent="0.2"/>
    <row r="52966" customFormat="1" x14ac:dyDescent="0.2"/>
    <row r="52967" customFormat="1" x14ac:dyDescent="0.2"/>
    <row r="52968" customFormat="1" x14ac:dyDescent="0.2"/>
    <row r="52969" customFormat="1" x14ac:dyDescent="0.2"/>
    <row r="52970" customFormat="1" x14ac:dyDescent="0.2"/>
    <row r="52971" customFormat="1" x14ac:dyDescent="0.2"/>
    <row r="52972" customFormat="1" x14ac:dyDescent="0.2"/>
    <row r="52973" customFormat="1" x14ac:dyDescent="0.2"/>
    <row r="52974" customFormat="1" x14ac:dyDescent="0.2"/>
    <row r="52975" customFormat="1" x14ac:dyDescent="0.2"/>
    <row r="52976" customFormat="1" x14ac:dyDescent="0.2"/>
    <row r="52977" customFormat="1" x14ac:dyDescent="0.2"/>
    <row r="52978" customFormat="1" x14ac:dyDescent="0.2"/>
    <row r="52979" customFormat="1" x14ac:dyDescent="0.2"/>
    <row r="52980" customFormat="1" x14ac:dyDescent="0.2"/>
    <row r="52981" customFormat="1" x14ac:dyDescent="0.2"/>
    <row r="52982" customFormat="1" x14ac:dyDescent="0.2"/>
    <row r="52983" customFormat="1" x14ac:dyDescent="0.2"/>
    <row r="52984" customFormat="1" x14ac:dyDescent="0.2"/>
    <row r="52985" customFormat="1" x14ac:dyDescent="0.2"/>
    <row r="52986" customFormat="1" x14ac:dyDescent="0.2"/>
    <row r="52987" customFormat="1" x14ac:dyDescent="0.2"/>
    <row r="52988" customFormat="1" x14ac:dyDescent="0.2"/>
    <row r="52989" customFormat="1" x14ac:dyDescent="0.2"/>
    <row r="52990" customFormat="1" x14ac:dyDescent="0.2"/>
    <row r="52991" customFormat="1" x14ac:dyDescent="0.2"/>
    <row r="52992" customFormat="1" x14ac:dyDescent="0.2"/>
    <row r="52993" customFormat="1" x14ac:dyDescent="0.2"/>
    <row r="52994" customFormat="1" x14ac:dyDescent="0.2"/>
    <row r="52995" customFormat="1" x14ac:dyDescent="0.2"/>
    <row r="52996" customFormat="1" x14ac:dyDescent="0.2"/>
    <row r="52997" customFormat="1" x14ac:dyDescent="0.2"/>
    <row r="52998" customFormat="1" x14ac:dyDescent="0.2"/>
    <row r="52999" customFormat="1" x14ac:dyDescent="0.2"/>
    <row r="53000" customFormat="1" x14ac:dyDescent="0.2"/>
    <row r="53001" customFormat="1" x14ac:dyDescent="0.2"/>
    <row r="53002" customFormat="1" x14ac:dyDescent="0.2"/>
    <row r="53003" customFormat="1" x14ac:dyDescent="0.2"/>
    <row r="53004" customFormat="1" x14ac:dyDescent="0.2"/>
    <row r="53005" customFormat="1" x14ac:dyDescent="0.2"/>
    <row r="53006" customFormat="1" x14ac:dyDescent="0.2"/>
    <row r="53007" customFormat="1" x14ac:dyDescent="0.2"/>
    <row r="53008" customFormat="1" x14ac:dyDescent="0.2"/>
    <row r="53009" customFormat="1" x14ac:dyDescent="0.2"/>
    <row r="53010" customFormat="1" x14ac:dyDescent="0.2"/>
    <row r="53011" customFormat="1" x14ac:dyDescent="0.2"/>
    <row r="53012" customFormat="1" x14ac:dyDescent="0.2"/>
    <row r="53013" customFormat="1" x14ac:dyDescent="0.2"/>
    <row r="53014" customFormat="1" x14ac:dyDescent="0.2"/>
    <row r="53015" customFormat="1" x14ac:dyDescent="0.2"/>
    <row r="53016" customFormat="1" x14ac:dyDescent="0.2"/>
    <row r="53017" customFormat="1" x14ac:dyDescent="0.2"/>
    <row r="53018" customFormat="1" x14ac:dyDescent="0.2"/>
    <row r="53019" customFormat="1" x14ac:dyDescent="0.2"/>
    <row r="53020" customFormat="1" x14ac:dyDescent="0.2"/>
    <row r="53021" customFormat="1" x14ac:dyDescent="0.2"/>
    <row r="53022" customFormat="1" x14ac:dyDescent="0.2"/>
    <row r="53023" customFormat="1" x14ac:dyDescent="0.2"/>
    <row r="53024" customFormat="1" x14ac:dyDescent="0.2"/>
    <row r="53025" customFormat="1" x14ac:dyDescent="0.2"/>
    <row r="53026" customFormat="1" x14ac:dyDescent="0.2"/>
    <row r="53027" customFormat="1" x14ac:dyDescent="0.2"/>
    <row r="53028" customFormat="1" x14ac:dyDescent="0.2"/>
    <row r="53029" customFormat="1" x14ac:dyDescent="0.2"/>
    <row r="53030" customFormat="1" x14ac:dyDescent="0.2"/>
    <row r="53031" customFormat="1" x14ac:dyDescent="0.2"/>
    <row r="53032" customFormat="1" x14ac:dyDescent="0.2"/>
    <row r="53033" customFormat="1" x14ac:dyDescent="0.2"/>
    <row r="53034" customFormat="1" x14ac:dyDescent="0.2"/>
    <row r="53035" customFormat="1" x14ac:dyDescent="0.2"/>
    <row r="53036" customFormat="1" x14ac:dyDescent="0.2"/>
    <row r="53037" customFormat="1" x14ac:dyDescent="0.2"/>
    <row r="53038" customFormat="1" x14ac:dyDescent="0.2"/>
    <row r="53039" customFormat="1" x14ac:dyDescent="0.2"/>
    <row r="53040" customFormat="1" x14ac:dyDescent="0.2"/>
    <row r="53041" customFormat="1" x14ac:dyDescent="0.2"/>
    <row r="53042" customFormat="1" x14ac:dyDescent="0.2"/>
    <row r="53043" customFormat="1" x14ac:dyDescent="0.2"/>
    <row r="53044" customFormat="1" x14ac:dyDescent="0.2"/>
    <row r="53045" customFormat="1" x14ac:dyDescent="0.2"/>
    <row r="53046" customFormat="1" x14ac:dyDescent="0.2"/>
    <row r="53047" customFormat="1" x14ac:dyDescent="0.2"/>
    <row r="53048" customFormat="1" x14ac:dyDescent="0.2"/>
    <row r="53049" customFormat="1" x14ac:dyDescent="0.2"/>
    <row r="53050" customFormat="1" x14ac:dyDescent="0.2"/>
    <row r="53051" customFormat="1" x14ac:dyDescent="0.2"/>
    <row r="53052" customFormat="1" x14ac:dyDescent="0.2"/>
    <row r="53053" customFormat="1" x14ac:dyDescent="0.2"/>
    <row r="53054" customFormat="1" x14ac:dyDescent="0.2"/>
    <row r="53055" customFormat="1" x14ac:dyDescent="0.2"/>
    <row r="53056" customFormat="1" x14ac:dyDescent="0.2"/>
    <row r="53057" customFormat="1" x14ac:dyDescent="0.2"/>
    <row r="53058" customFormat="1" x14ac:dyDescent="0.2"/>
    <row r="53059" customFormat="1" x14ac:dyDescent="0.2"/>
    <row r="53060" customFormat="1" x14ac:dyDescent="0.2"/>
    <row r="53061" customFormat="1" x14ac:dyDescent="0.2"/>
    <row r="53062" customFormat="1" x14ac:dyDescent="0.2"/>
    <row r="53063" customFormat="1" x14ac:dyDescent="0.2"/>
    <row r="53064" customFormat="1" x14ac:dyDescent="0.2"/>
    <row r="53065" customFormat="1" x14ac:dyDescent="0.2"/>
    <row r="53066" customFormat="1" x14ac:dyDescent="0.2"/>
    <row r="53067" customFormat="1" x14ac:dyDescent="0.2"/>
    <row r="53068" customFormat="1" x14ac:dyDescent="0.2"/>
    <row r="53069" customFormat="1" x14ac:dyDescent="0.2"/>
    <row r="53070" customFormat="1" x14ac:dyDescent="0.2"/>
    <row r="53071" customFormat="1" x14ac:dyDescent="0.2"/>
    <row r="53072" customFormat="1" x14ac:dyDescent="0.2"/>
    <row r="53073" customFormat="1" x14ac:dyDescent="0.2"/>
    <row r="53074" customFormat="1" x14ac:dyDescent="0.2"/>
    <row r="53075" customFormat="1" x14ac:dyDescent="0.2"/>
    <row r="53076" customFormat="1" x14ac:dyDescent="0.2"/>
    <row r="53077" customFormat="1" x14ac:dyDescent="0.2"/>
    <row r="53078" customFormat="1" x14ac:dyDescent="0.2"/>
    <row r="53079" customFormat="1" x14ac:dyDescent="0.2"/>
    <row r="53080" customFormat="1" x14ac:dyDescent="0.2"/>
    <row r="53081" customFormat="1" x14ac:dyDescent="0.2"/>
    <row r="53082" customFormat="1" x14ac:dyDescent="0.2"/>
    <row r="53083" customFormat="1" x14ac:dyDescent="0.2"/>
    <row r="53084" customFormat="1" x14ac:dyDescent="0.2"/>
    <row r="53085" customFormat="1" x14ac:dyDescent="0.2"/>
    <row r="53086" customFormat="1" x14ac:dyDescent="0.2"/>
    <row r="53087" customFormat="1" x14ac:dyDescent="0.2"/>
    <row r="53088" customFormat="1" x14ac:dyDescent="0.2"/>
    <row r="53089" customFormat="1" x14ac:dyDescent="0.2"/>
    <row r="53090" customFormat="1" x14ac:dyDescent="0.2"/>
    <row r="53091" customFormat="1" x14ac:dyDescent="0.2"/>
    <row r="53092" customFormat="1" x14ac:dyDescent="0.2"/>
    <row r="53093" customFormat="1" x14ac:dyDescent="0.2"/>
    <row r="53094" customFormat="1" x14ac:dyDescent="0.2"/>
    <row r="53095" customFormat="1" x14ac:dyDescent="0.2"/>
    <row r="53096" customFormat="1" x14ac:dyDescent="0.2"/>
    <row r="53097" customFormat="1" x14ac:dyDescent="0.2"/>
    <row r="53098" customFormat="1" x14ac:dyDescent="0.2"/>
    <row r="53099" customFormat="1" x14ac:dyDescent="0.2"/>
    <row r="53100" customFormat="1" x14ac:dyDescent="0.2"/>
    <row r="53101" customFormat="1" x14ac:dyDescent="0.2"/>
    <row r="53102" customFormat="1" x14ac:dyDescent="0.2"/>
    <row r="53103" customFormat="1" x14ac:dyDescent="0.2"/>
    <row r="53104" customFormat="1" x14ac:dyDescent="0.2"/>
    <row r="53105" customFormat="1" x14ac:dyDescent="0.2"/>
    <row r="53106" customFormat="1" x14ac:dyDescent="0.2"/>
    <row r="53107" customFormat="1" x14ac:dyDescent="0.2"/>
    <row r="53108" customFormat="1" x14ac:dyDescent="0.2"/>
    <row r="53109" customFormat="1" x14ac:dyDescent="0.2"/>
    <row r="53110" customFormat="1" x14ac:dyDescent="0.2"/>
    <row r="53111" customFormat="1" x14ac:dyDescent="0.2"/>
    <row r="53112" customFormat="1" x14ac:dyDescent="0.2"/>
    <row r="53113" customFormat="1" x14ac:dyDescent="0.2"/>
    <row r="53114" customFormat="1" x14ac:dyDescent="0.2"/>
    <row r="53115" customFormat="1" x14ac:dyDescent="0.2"/>
    <row r="53116" customFormat="1" x14ac:dyDescent="0.2"/>
    <row r="53117" customFormat="1" x14ac:dyDescent="0.2"/>
    <row r="53118" customFormat="1" x14ac:dyDescent="0.2"/>
    <row r="53119" customFormat="1" x14ac:dyDescent="0.2"/>
    <row r="53120" customFormat="1" x14ac:dyDescent="0.2"/>
    <row r="53121" customFormat="1" x14ac:dyDescent="0.2"/>
    <row r="53122" customFormat="1" x14ac:dyDescent="0.2"/>
    <row r="53123" customFormat="1" x14ac:dyDescent="0.2"/>
    <row r="53124" customFormat="1" x14ac:dyDescent="0.2"/>
    <row r="53125" customFormat="1" x14ac:dyDescent="0.2"/>
    <row r="53126" customFormat="1" x14ac:dyDescent="0.2"/>
    <row r="53127" customFormat="1" x14ac:dyDescent="0.2"/>
    <row r="53128" customFormat="1" x14ac:dyDescent="0.2"/>
    <row r="53129" customFormat="1" x14ac:dyDescent="0.2"/>
    <row r="53130" customFormat="1" x14ac:dyDescent="0.2"/>
    <row r="53131" customFormat="1" x14ac:dyDescent="0.2"/>
    <row r="53132" customFormat="1" x14ac:dyDescent="0.2"/>
    <row r="53133" customFormat="1" x14ac:dyDescent="0.2"/>
    <row r="53134" customFormat="1" x14ac:dyDescent="0.2"/>
    <row r="53135" customFormat="1" x14ac:dyDescent="0.2"/>
    <row r="53136" customFormat="1" x14ac:dyDescent="0.2"/>
    <row r="53137" customFormat="1" x14ac:dyDescent="0.2"/>
    <row r="53138" customFormat="1" x14ac:dyDescent="0.2"/>
    <row r="53139" customFormat="1" x14ac:dyDescent="0.2"/>
    <row r="53140" customFormat="1" x14ac:dyDescent="0.2"/>
    <row r="53141" customFormat="1" x14ac:dyDescent="0.2"/>
    <row r="53142" customFormat="1" x14ac:dyDescent="0.2"/>
    <row r="53143" customFormat="1" x14ac:dyDescent="0.2"/>
    <row r="53144" customFormat="1" x14ac:dyDescent="0.2"/>
    <row r="53145" customFormat="1" x14ac:dyDescent="0.2"/>
    <row r="53146" customFormat="1" x14ac:dyDescent="0.2"/>
    <row r="53147" customFormat="1" x14ac:dyDescent="0.2"/>
    <row r="53148" customFormat="1" x14ac:dyDescent="0.2"/>
    <row r="53149" customFormat="1" x14ac:dyDescent="0.2"/>
    <row r="53150" customFormat="1" x14ac:dyDescent="0.2"/>
    <row r="53151" customFormat="1" x14ac:dyDescent="0.2"/>
    <row r="53152" customFormat="1" x14ac:dyDescent="0.2"/>
    <row r="53153" customFormat="1" x14ac:dyDescent="0.2"/>
    <row r="53154" customFormat="1" x14ac:dyDescent="0.2"/>
    <row r="53155" customFormat="1" x14ac:dyDescent="0.2"/>
    <row r="53156" customFormat="1" x14ac:dyDescent="0.2"/>
    <row r="53157" customFormat="1" x14ac:dyDescent="0.2"/>
    <row r="53158" customFormat="1" x14ac:dyDescent="0.2"/>
    <row r="53159" customFormat="1" x14ac:dyDescent="0.2"/>
    <row r="53160" customFormat="1" x14ac:dyDescent="0.2"/>
    <row r="53161" customFormat="1" x14ac:dyDescent="0.2"/>
    <row r="53162" customFormat="1" x14ac:dyDescent="0.2"/>
    <row r="53163" customFormat="1" x14ac:dyDescent="0.2"/>
    <row r="53164" customFormat="1" x14ac:dyDescent="0.2"/>
    <row r="53165" customFormat="1" x14ac:dyDescent="0.2"/>
    <row r="53166" customFormat="1" x14ac:dyDescent="0.2"/>
    <row r="53167" customFormat="1" x14ac:dyDescent="0.2"/>
    <row r="53168" customFormat="1" x14ac:dyDescent="0.2"/>
    <row r="53169" customFormat="1" x14ac:dyDescent="0.2"/>
    <row r="53170" customFormat="1" x14ac:dyDescent="0.2"/>
    <row r="53171" customFormat="1" x14ac:dyDescent="0.2"/>
    <row r="53172" customFormat="1" x14ac:dyDescent="0.2"/>
    <row r="53173" customFormat="1" x14ac:dyDescent="0.2"/>
    <row r="53174" customFormat="1" x14ac:dyDescent="0.2"/>
    <row r="53175" customFormat="1" x14ac:dyDescent="0.2"/>
    <row r="53176" customFormat="1" x14ac:dyDescent="0.2"/>
    <row r="53177" customFormat="1" x14ac:dyDescent="0.2"/>
    <row r="53178" customFormat="1" x14ac:dyDescent="0.2"/>
    <row r="53179" customFormat="1" x14ac:dyDescent="0.2"/>
    <row r="53180" customFormat="1" x14ac:dyDescent="0.2"/>
    <row r="53181" customFormat="1" x14ac:dyDescent="0.2"/>
    <row r="53182" customFormat="1" x14ac:dyDescent="0.2"/>
    <row r="53183" customFormat="1" x14ac:dyDescent="0.2"/>
    <row r="53184" customFormat="1" x14ac:dyDescent="0.2"/>
    <row r="53185" customFormat="1" x14ac:dyDescent="0.2"/>
    <row r="53186" customFormat="1" x14ac:dyDescent="0.2"/>
    <row r="53187" customFormat="1" x14ac:dyDescent="0.2"/>
    <row r="53188" customFormat="1" x14ac:dyDescent="0.2"/>
    <row r="53189" customFormat="1" x14ac:dyDescent="0.2"/>
    <row r="53190" customFormat="1" x14ac:dyDescent="0.2"/>
    <row r="53191" customFormat="1" x14ac:dyDescent="0.2"/>
    <row r="53192" customFormat="1" x14ac:dyDescent="0.2"/>
    <row r="53193" customFormat="1" x14ac:dyDescent="0.2"/>
    <row r="53194" customFormat="1" x14ac:dyDescent="0.2"/>
    <row r="53195" customFormat="1" x14ac:dyDescent="0.2"/>
    <row r="53196" customFormat="1" x14ac:dyDescent="0.2"/>
    <row r="53197" customFormat="1" x14ac:dyDescent="0.2"/>
    <row r="53198" customFormat="1" x14ac:dyDescent="0.2"/>
    <row r="53199" customFormat="1" x14ac:dyDescent="0.2"/>
    <row r="53200" customFormat="1" x14ac:dyDescent="0.2"/>
    <row r="53201" customFormat="1" x14ac:dyDescent="0.2"/>
    <row r="53202" customFormat="1" x14ac:dyDescent="0.2"/>
    <row r="53203" customFormat="1" x14ac:dyDescent="0.2"/>
    <row r="53204" customFormat="1" x14ac:dyDescent="0.2"/>
    <row r="53205" customFormat="1" x14ac:dyDescent="0.2"/>
    <row r="53206" customFormat="1" x14ac:dyDescent="0.2"/>
    <row r="53207" customFormat="1" x14ac:dyDescent="0.2"/>
    <row r="53208" customFormat="1" x14ac:dyDescent="0.2"/>
    <row r="53209" customFormat="1" x14ac:dyDescent="0.2"/>
    <row r="53210" customFormat="1" x14ac:dyDescent="0.2"/>
    <row r="53211" customFormat="1" x14ac:dyDescent="0.2"/>
    <row r="53212" customFormat="1" x14ac:dyDescent="0.2"/>
    <row r="53213" customFormat="1" x14ac:dyDescent="0.2"/>
    <row r="53214" customFormat="1" x14ac:dyDescent="0.2"/>
    <row r="53215" customFormat="1" x14ac:dyDescent="0.2"/>
    <row r="53216" customFormat="1" x14ac:dyDescent="0.2"/>
    <row r="53217" customFormat="1" x14ac:dyDescent="0.2"/>
    <row r="53218" customFormat="1" x14ac:dyDescent="0.2"/>
    <row r="53219" customFormat="1" x14ac:dyDescent="0.2"/>
    <row r="53220" customFormat="1" x14ac:dyDescent="0.2"/>
    <row r="53221" customFormat="1" x14ac:dyDescent="0.2"/>
    <row r="53222" customFormat="1" x14ac:dyDescent="0.2"/>
    <row r="53223" customFormat="1" x14ac:dyDescent="0.2"/>
    <row r="53224" customFormat="1" x14ac:dyDescent="0.2"/>
    <row r="53225" customFormat="1" x14ac:dyDescent="0.2"/>
    <row r="53226" customFormat="1" x14ac:dyDescent="0.2"/>
    <row r="53227" customFormat="1" x14ac:dyDescent="0.2"/>
    <row r="53228" customFormat="1" x14ac:dyDescent="0.2"/>
    <row r="53229" customFormat="1" x14ac:dyDescent="0.2"/>
    <row r="53230" customFormat="1" x14ac:dyDescent="0.2"/>
    <row r="53231" customFormat="1" x14ac:dyDescent="0.2"/>
    <row r="53232" customFormat="1" x14ac:dyDescent="0.2"/>
    <row r="53233" customFormat="1" x14ac:dyDescent="0.2"/>
    <row r="53234" customFormat="1" x14ac:dyDescent="0.2"/>
    <row r="53235" customFormat="1" x14ac:dyDescent="0.2"/>
    <row r="53236" customFormat="1" x14ac:dyDescent="0.2"/>
    <row r="53237" customFormat="1" x14ac:dyDescent="0.2"/>
    <row r="53238" customFormat="1" x14ac:dyDescent="0.2"/>
    <row r="53239" customFormat="1" x14ac:dyDescent="0.2"/>
    <row r="53240" customFormat="1" x14ac:dyDescent="0.2"/>
    <row r="53241" customFormat="1" x14ac:dyDescent="0.2"/>
    <row r="53242" customFormat="1" x14ac:dyDescent="0.2"/>
    <row r="53243" customFormat="1" x14ac:dyDescent="0.2"/>
    <row r="53244" customFormat="1" x14ac:dyDescent="0.2"/>
    <row r="53245" customFormat="1" x14ac:dyDescent="0.2"/>
    <row r="53246" customFormat="1" x14ac:dyDescent="0.2"/>
    <row r="53247" customFormat="1" x14ac:dyDescent="0.2"/>
    <row r="53248" customFormat="1" x14ac:dyDescent="0.2"/>
    <row r="53249" customFormat="1" x14ac:dyDescent="0.2"/>
    <row r="53250" customFormat="1" x14ac:dyDescent="0.2"/>
    <row r="53251" customFormat="1" x14ac:dyDescent="0.2"/>
    <row r="53252" customFormat="1" x14ac:dyDescent="0.2"/>
    <row r="53253" customFormat="1" x14ac:dyDescent="0.2"/>
    <row r="53254" customFormat="1" x14ac:dyDescent="0.2"/>
    <row r="53255" customFormat="1" x14ac:dyDescent="0.2"/>
    <row r="53256" customFormat="1" x14ac:dyDescent="0.2"/>
    <row r="53257" customFormat="1" x14ac:dyDescent="0.2"/>
    <row r="53258" customFormat="1" x14ac:dyDescent="0.2"/>
    <row r="53259" customFormat="1" x14ac:dyDescent="0.2"/>
    <row r="53260" customFormat="1" x14ac:dyDescent="0.2"/>
    <row r="53261" customFormat="1" x14ac:dyDescent="0.2"/>
    <row r="53262" customFormat="1" x14ac:dyDescent="0.2"/>
    <row r="53263" customFormat="1" x14ac:dyDescent="0.2"/>
    <row r="53264" customFormat="1" x14ac:dyDescent="0.2"/>
    <row r="53265" customFormat="1" x14ac:dyDescent="0.2"/>
    <row r="53266" customFormat="1" x14ac:dyDescent="0.2"/>
    <row r="53267" customFormat="1" x14ac:dyDescent="0.2"/>
    <row r="53268" customFormat="1" x14ac:dyDescent="0.2"/>
    <row r="53269" customFormat="1" x14ac:dyDescent="0.2"/>
    <row r="53270" customFormat="1" x14ac:dyDescent="0.2"/>
    <row r="53271" customFormat="1" x14ac:dyDescent="0.2"/>
    <row r="53272" customFormat="1" x14ac:dyDescent="0.2"/>
    <row r="53273" customFormat="1" x14ac:dyDescent="0.2"/>
    <row r="53274" customFormat="1" x14ac:dyDescent="0.2"/>
    <row r="53275" customFormat="1" x14ac:dyDescent="0.2"/>
    <row r="53276" customFormat="1" x14ac:dyDescent="0.2"/>
    <row r="53277" customFormat="1" x14ac:dyDescent="0.2"/>
    <row r="53278" customFormat="1" x14ac:dyDescent="0.2"/>
    <row r="53279" customFormat="1" x14ac:dyDescent="0.2"/>
    <row r="53280" customFormat="1" x14ac:dyDescent="0.2"/>
    <row r="53281" customFormat="1" x14ac:dyDescent="0.2"/>
    <row r="53282" customFormat="1" x14ac:dyDescent="0.2"/>
    <row r="53283" customFormat="1" x14ac:dyDescent="0.2"/>
    <row r="53284" customFormat="1" x14ac:dyDescent="0.2"/>
    <row r="53285" customFormat="1" x14ac:dyDescent="0.2"/>
    <row r="53286" customFormat="1" x14ac:dyDescent="0.2"/>
    <row r="53287" customFormat="1" x14ac:dyDescent="0.2"/>
    <row r="53288" customFormat="1" x14ac:dyDescent="0.2"/>
    <row r="53289" customFormat="1" x14ac:dyDescent="0.2"/>
    <row r="53290" customFormat="1" x14ac:dyDescent="0.2"/>
    <row r="53291" customFormat="1" x14ac:dyDescent="0.2"/>
    <row r="53292" customFormat="1" x14ac:dyDescent="0.2"/>
    <row r="53293" customFormat="1" x14ac:dyDescent="0.2"/>
    <row r="53294" customFormat="1" x14ac:dyDescent="0.2"/>
    <row r="53295" customFormat="1" x14ac:dyDescent="0.2"/>
    <row r="53296" customFormat="1" x14ac:dyDescent="0.2"/>
    <row r="53297" customFormat="1" x14ac:dyDescent="0.2"/>
    <row r="53298" customFormat="1" x14ac:dyDescent="0.2"/>
    <row r="53299" customFormat="1" x14ac:dyDescent="0.2"/>
    <row r="53300" customFormat="1" x14ac:dyDescent="0.2"/>
    <row r="53301" customFormat="1" x14ac:dyDescent="0.2"/>
    <row r="53302" customFormat="1" x14ac:dyDescent="0.2"/>
    <row r="53303" customFormat="1" x14ac:dyDescent="0.2"/>
    <row r="53304" customFormat="1" x14ac:dyDescent="0.2"/>
    <row r="53305" customFormat="1" x14ac:dyDescent="0.2"/>
    <row r="53306" customFormat="1" x14ac:dyDescent="0.2"/>
    <row r="53307" customFormat="1" x14ac:dyDescent="0.2"/>
    <row r="53308" customFormat="1" x14ac:dyDescent="0.2"/>
    <row r="53309" customFormat="1" x14ac:dyDescent="0.2"/>
    <row r="53310" customFormat="1" x14ac:dyDescent="0.2"/>
    <row r="53311" customFormat="1" x14ac:dyDescent="0.2"/>
    <row r="53312" customFormat="1" x14ac:dyDescent="0.2"/>
    <row r="53313" customFormat="1" x14ac:dyDescent="0.2"/>
    <row r="53314" customFormat="1" x14ac:dyDescent="0.2"/>
    <row r="53315" customFormat="1" x14ac:dyDescent="0.2"/>
    <row r="53316" customFormat="1" x14ac:dyDescent="0.2"/>
    <row r="53317" customFormat="1" x14ac:dyDescent="0.2"/>
    <row r="53318" customFormat="1" x14ac:dyDescent="0.2"/>
    <row r="53319" customFormat="1" x14ac:dyDescent="0.2"/>
    <row r="53320" customFormat="1" x14ac:dyDescent="0.2"/>
    <row r="53321" customFormat="1" x14ac:dyDescent="0.2"/>
    <row r="53322" customFormat="1" x14ac:dyDescent="0.2"/>
    <row r="53323" customFormat="1" x14ac:dyDescent="0.2"/>
    <row r="53324" customFormat="1" x14ac:dyDescent="0.2"/>
    <row r="53325" customFormat="1" x14ac:dyDescent="0.2"/>
    <row r="53326" customFormat="1" x14ac:dyDescent="0.2"/>
    <row r="53327" customFormat="1" x14ac:dyDescent="0.2"/>
    <row r="53328" customFormat="1" x14ac:dyDescent="0.2"/>
    <row r="53329" customFormat="1" x14ac:dyDescent="0.2"/>
    <row r="53330" customFormat="1" x14ac:dyDescent="0.2"/>
    <row r="53331" customFormat="1" x14ac:dyDescent="0.2"/>
    <row r="53332" customFormat="1" x14ac:dyDescent="0.2"/>
    <row r="53333" customFormat="1" x14ac:dyDescent="0.2"/>
    <row r="53334" customFormat="1" x14ac:dyDescent="0.2"/>
    <row r="53335" customFormat="1" x14ac:dyDescent="0.2"/>
    <row r="53336" customFormat="1" x14ac:dyDescent="0.2"/>
    <row r="53337" customFormat="1" x14ac:dyDescent="0.2"/>
    <row r="53338" customFormat="1" x14ac:dyDescent="0.2"/>
    <row r="53339" customFormat="1" x14ac:dyDescent="0.2"/>
    <row r="53340" customFormat="1" x14ac:dyDescent="0.2"/>
    <row r="53341" customFormat="1" x14ac:dyDescent="0.2"/>
    <row r="53342" customFormat="1" x14ac:dyDescent="0.2"/>
    <row r="53343" customFormat="1" x14ac:dyDescent="0.2"/>
    <row r="53344" customFormat="1" x14ac:dyDescent="0.2"/>
    <row r="53345" customFormat="1" x14ac:dyDescent="0.2"/>
    <row r="53346" customFormat="1" x14ac:dyDescent="0.2"/>
    <row r="53347" customFormat="1" x14ac:dyDescent="0.2"/>
    <row r="53348" customFormat="1" x14ac:dyDescent="0.2"/>
    <row r="53349" customFormat="1" x14ac:dyDescent="0.2"/>
    <row r="53350" customFormat="1" x14ac:dyDescent="0.2"/>
    <row r="53351" customFormat="1" x14ac:dyDescent="0.2"/>
    <row r="53352" customFormat="1" x14ac:dyDescent="0.2"/>
    <row r="53353" customFormat="1" x14ac:dyDescent="0.2"/>
    <row r="53354" customFormat="1" x14ac:dyDescent="0.2"/>
    <row r="53355" customFormat="1" x14ac:dyDescent="0.2"/>
    <row r="53356" customFormat="1" x14ac:dyDescent="0.2"/>
    <row r="53357" customFormat="1" x14ac:dyDescent="0.2"/>
    <row r="53358" customFormat="1" x14ac:dyDescent="0.2"/>
    <row r="53359" customFormat="1" x14ac:dyDescent="0.2"/>
    <row r="53360" customFormat="1" x14ac:dyDescent="0.2"/>
    <row r="53361" customFormat="1" x14ac:dyDescent="0.2"/>
    <row r="53362" customFormat="1" x14ac:dyDescent="0.2"/>
    <row r="53363" customFormat="1" x14ac:dyDescent="0.2"/>
    <row r="53364" customFormat="1" x14ac:dyDescent="0.2"/>
    <row r="53365" customFormat="1" x14ac:dyDescent="0.2"/>
    <row r="53366" customFormat="1" x14ac:dyDescent="0.2"/>
    <row r="53367" customFormat="1" x14ac:dyDescent="0.2"/>
    <row r="53368" customFormat="1" x14ac:dyDescent="0.2"/>
    <row r="53369" customFormat="1" x14ac:dyDescent="0.2"/>
    <row r="53370" customFormat="1" x14ac:dyDescent="0.2"/>
    <row r="53371" customFormat="1" x14ac:dyDescent="0.2"/>
    <row r="53372" customFormat="1" x14ac:dyDescent="0.2"/>
    <row r="53373" customFormat="1" x14ac:dyDescent="0.2"/>
    <row r="53374" customFormat="1" x14ac:dyDescent="0.2"/>
    <row r="53375" customFormat="1" x14ac:dyDescent="0.2"/>
    <row r="53376" customFormat="1" x14ac:dyDescent="0.2"/>
    <row r="53377" customFormat="1" x14ac:dyDescent="0.2"/>
    <row r="53378" customFormat="1" x14ac:dyDescent="0.2"/>
    <row r="53379" customFormat="1" x14ac:dyDescent="0.2"/>
    <row r="53380" customFormat="1" x14ac:dyDescent="0.2"/>
    <row r="53381" customFormat="1" x14ac:dyDescent="0.2"/>
    <row r="53382" customFormat="1" x14ac:dyDescent="0.2"/>
    <row r="53383" customFormat="1" x14ac:dyDescent="0.2"/>
    <row r="53384" customFormat="1" x14ac:dyDescent="0.2"/>
    <row r="53385" customFormat="1" x14ac:dyDescent="0.2"/>
    <row r="53386" customFormat="1" x14ac:dyDescent="0.2"/>
    <row r="53387" customFormat="1" x14ac:dyDescent="0.2"/>
    <row r="53388" customFormat="1" x14ac:dyDescent="0.2"/>
    <row r="53389" customFormat="1" x14ac:dyDescent="0.2"/>
    <row r="53390" customFormat="1" x14ac:dyDescent="0.2"/>
    <row r="53391" customFormat="1" x14ac:dyDescent="0.2"/>
    <row r="53392" customFormat="1" x14ac:dyDescent="0.2"/>
    <row r="53393" customFormat="1" x14ac:dyDescent="0.2"/>
    <row r="53394" customFormat="1" x14ac:dyDescent="0.2"/>
    <row r="53395" customFormat="1" x14ac:dyDescent="0.2"/>
    <row r="53396" customFormat="1" x14ac:dyDescent="0.2"/>
    <row r="53397" customFormat="1" x14ac:dyDescent="0.2"/>
    <row r="53398" customFormat="1" x14ac:dyDescent="0.2"/>
    <row r="53399" customFormat="1" x14ac:dyDescent="0.2"/>
    <row r="53400" customFormat="1" x14ac:dyDescent="0.2"/>
    <row r="53401" customFormat="1" x14ac:dyDescent="0.2"/>
    <row r="53402" customFormat="1" x14ac:dyDescent="0.2"/>
    <row r="53403" customFormat="1" x14ac:dyDescent="0.2"/>
    <row r="53404" customFormat="1" x14ac:dyDescent="0.2"/>
    <row r="53405" customFormat="1" x14ac:dyDescent="0.2"/>
    <row r="53406" customFormat="1" x14ac:dyDescent="0.2"/>
    <row r="53407" customFormat="1" x14ac:dyDescent="0.2"/>
    <row r="53408" customFormat="1" x14ac:dyDescent="0.2"/>
    <row r="53409" customFormat="1" x14ac:dyDescent="0.2"/>
    <row r="53410" customFormat="1" x14ac:dyDescent="0.2"/>
    <row r="53411" customFormat="1" x14ac:dyDescent="0.2"/>
    <row r="53412" customFormat="1" x14ac:dyDescent="0.2"/>
    <row r="53413" customFormat="1" x14ac:dyDescent="0.2"/>
    <row r="53414" customFormat="1" x14ac:dyDescent="0.2"/>
    <row r="53415" customFormat="1" x14ac:dyDescent="0.2"/>
    <row r="53416" customFormat="1" x14ac:dyDescent="0.2"/>
    <row r="53417" customFormat="1" x14ac:dyDescent="0.2"/>
    <row r="53418" customFormat="1" x14ac:dyDescent="0.2"/>
    <row r="53419" customFormat="1" x14ac:dyDescent="0.2"/>
    <row r="53420" customFormat="1" x14ac:dyDescent="0.2"/>
    <row r="53421" customFormat="1" x14ac:dyDescent="0.2"/>
    <row r="53422" customFormat="1" x14ac:dyDescent="0.2"/>
    <row r="53423" customFormat="1" x14ac:dyDescent="0.2"/>
    <row r="53424" customFormat="1" x14ac:dyDescent="0.2"/>
    <row r="53425" customFormat="1" x14ac:dyDescent="0.2"/>
    <row r="53426" customFormat="1" x14ac:dyDescent="0.2"/>
    <row r="53427" customFormat="1" x14ac:dyDescent="0.2"/>
    <row r="53428" customFormat="1" x14ac:dyDescent="0.2"/>
    <row r="53429" customFormat="1" x14ac:dyDescent="0.2"/>
    <row r="53430" customFormat="1" x14ac:dyDescent="0.2"/>
    <row r="53431" customFormat="1" x14ac:dyDescent="0.2"/>
    <row r="53432" customFormat="1" x14ac:dyDescent="0.2"/>
    <row r="53433" customFormat="1" x14ac:dyDescent="0.2"/>
    <row r="53434" customFormat="1" x14ac:dyDescent="0.2"/>
    <row r="53435" customFormat="1" x14ac:dyDescent="0.2"/>
    <row r="53436" customFormat="1" x14ac:dyDescent="0.2"/>
    <row r="53437" customFormat="1" x14ac:dyDescent="0.2"/>
    <row r="53438" customFormat="1" x14ac:dyDescent="0.2"/>
    <row r="53439" customFormat="1" x14ac:dyDescent="0.2"/>
    <row r="53440" customFormat="1" x14ac:dyDescent="0.2"/>
    <row r="53441" customFormat="1" x14ac:dyDescent="0.2"/>
    <row r="53442" customFormat="1" x14ac:dyDescent="0.2"/>
    <row r="53443" customFormat="1" x14ac:dyDescent="0.2"/>
    <row r="53444" customFormat="1" x14ac:dyDescent="0.2"/>
    <row r="53445" customFormat="1" x14ac:dyDescent="0.2"/>
    <row r="53446" customFormat="1" x14ac:dyDescent="0.2"/>
    <row r="53447" customFormat="1" x14ac:dyDescent="0.2"/>
    <row r="53448" customFormat="1" x14ac:dyDescent="0.2"/>
    <row r="53449" customFormat="1" x14ac:dyDescent="0.2"/>
    <row r="53450" customFormat="1" x14ac:dyDescent="0.2"/>
    <row r="53451" customFormat="1" x14ac:dyDescent="0.2"/>
    <row r="53452" customFormat="1" x14ac:dyDescent="0.2"/>
    <row r="53453" customFormat="1" x14ac:dyDescent="0.2"/>
    <row r="53454" customFormat="1" x14ac:dyDescent="0.2"/>
    <row r="53455" customFormat="1" x14ac:dyDescent="0.2"/>
    <row r="53456" customFormat="1" x14ac:dyDescent="0.2"/>
    <row r="53457" customFormat="1" x14ac:dyDescent="0.2"/>
    <row r="53458" customFormat="1" x14ac:dyDescent="0.2"/>
    <row r="53459" customFormat="1" x14ac:dyDescent="0.2"/>
    <row r="53460" customFormat="1" x14ac:dyDescent="0.2"/>
    <row r="53461" customFormat="1" x14ac:dyDescent="0.2"/>
    <row r="53462" customFormat="1" x14ac:dyDescent="0.2"/>
    <row r="53463" customFormat="1" x14ac:dyDescent="0.2"/>
    <row r="53464" customFormat="1" x14ac:dyDescent="0.2"/>
    <row r="53465" customFormat="1" x14ac:dyDescent="0.2"/>
    <row r="53466" customFormat="1" x14ac:dyDescent="0.2"/>
    <row r="53467" customFormat="1" x14ac:dyDescent="0.2"/>
    <row r="53468" customFormat="1" x14ac:dyDescent="0.2"/>
    <row r="53469" customFormat="1" x14ac:dyDescent="0.2"/>
    <row r="53470" customFormat="1" x14ac:dyDescent="0.2"/>
    <row r="53471" customFormat="1" x14ac:dyDescent="0.2"/>
    <row r="53472" customFormat="1" x14ac:dyDescent="0.2"/>
    <row r="53473" customFormat="1" x14ac:dyDescent="0.2"/>
    <row r="53474" customFormat="1" x14ac:dyDescent="0.2"/>
    <row r="53475" customFormat="1" x14ac:dyDescent="0.2"/>
    <row r="53476" customFormat="1" x14ac:dyDescent="0.2"/>
    <row r="53477" customFormat="1" x14ac:dyDescent="0.2"/>
    <row r="53478" customFormat="1" x14ac:dyDescent="0.2"/>
    <row r="53479" customFormat="1" x14ac:dyDescent="0.2"/>
    <row r="53480" customFormat="1" x14ac:dyDescent="0.2"/>
    <row r="53481" customFormat="1" x14ac:dyDescent="0.2"/>
    <row r="53482" customFormat="1" x14ac:dyDescent="0.2"/>
    <row r="53483" customFormat="1" x14ac:dyDescent="0.2"/>
    <row r="53484" customFormat="1" x14ac:dyDescent="0.2"/>
    <row r="53485" customFormat="1" x14ac:dyDescent="0.2"/>
    <row r="53486" customFormat="1" x14ac:dyDescent="0.2"/>
    <row r="53487" customFormat="1" x14ac:dyDescent="0.2"/>
    <row r="53488" customFormat="1" x14ac:dyDescent="0.2"/>
    <row r="53489" customFormat="1" x14ac:dyDescent="0.2"/>
    <row r="53490" customFormat="1" x14ac:dyDescent="0.2"/>
    <row r="53491" customFormat="1" x14ac:dyDescent="0.2"/>
    <row r="53492" customFormat="1" x14ac:dyDescent="0.2"/>
    <row r="53493" customFormat="1" x14ac:dyDescent="0.2"/>
    <row r="53494" customFormat="1" x14ac:dyDescent="0.2"/>
    <row r="53495" customFormat="1" x14ac:dyDescent="0.2"/>
    <row r="53496" customFormat="1" x14ac:dyDescent="0.2"/>
    <row r="53497" customFormat="1" x14ac:dyDescent="0.2"/>
    <row r="53498" customFormat="1" x14ac:dyDescent="0.2"/>
    <row r="53499" customFormat="1" x14ac:dyDescent="0.2"/>
    <row r="53500" customFormat="1" x14ac:dyDescent="0.2"/>
    <row r="53501" customFormat="1" x14ac:dyDescent="0.2"/>
    <row r="53502" customFormat="1" x14ac:dyDescent="0.2"/>
    <row r="53503" customFormat="1" x14ac:dyDescent="0.2"/>
    <row r="53504" customFormat="1" x14ac:dyDescent="0.2"/>
    <row r="53505" customFormat="1" x14ac:dyDescent="0.2"/>
    <row r="53506" customFormat="1" x14ac:dyDescent="0.2"/>
    <row r="53507" customFormat="1" x14ac:dyDescent="0.2"/>
    <row r="53508" customFormat="1" x14ac:dyDescent="0.2"/>
    <row r="53509" customFormat="1" x14ac:dyDescent="0.2"/>
    <row r="53510" customFormat="1" x14ac:dyDescent="0.2"/>
    <row r="53511" customFormat="1" x14ac:dyDescent="0.2"/>
    <row r="53512" customFormat="1" x14ac:dyDescent="0.2"/>
    <row r="53513" customFormat="1" x14ac:dyDescent="0.2"/>
    <row r="53514" customFormat="1" x14ac:dyDescent="0.2"/>
    <row r="53515" customFormat="1" x14ac:dyDescent="0.2"/>
    <row r="53516" customFormat="1" x14ac:dyDescent="0.2"/>
    <row r="53517" customFormat="1" x14ac:dyDescent="0.2"/>
    <row r="53518" customFormat="1" x14ac:dyDescent="0.2"/>
    <row r="53519" customFormat="1" x14ac:dyDescent="0.2"/>
    <row r="53520" customFormat="1" x14ac:dyDescent="0.2"/>
    <row r="53521" customFormat="1" x14ac:dyDescent="0.2"/>
    <row r="53522" customFormat="1" x14ac:dyDescent="0.2"/>
    <row r="53523" customFormat="1" x14ac:dyDescent="0.2"/>
    <row r="53524" customFormat="1" x14ac:dyDescent="0.2"/>
    <row r="53525" customFormat="1" x14ac:dyDescent="0.2"/>
    <row r="53526" customFormat="1" x14ac:dyDescent="0.2"/>
    <row r="53527" customFormat="1" x14ac:dyDescent="0.2"/>
    <row r="53528" customFormat="1" x14ac:dyDescent="0.2"/>
    <row r="53529" customFormat="1" x14ac:dyDescent="0.2"/>
    <row r="53530" customFormat="1" x14ac:dyDescent="0.2"/>
    <row r="53531" customFormat="1" x14ac:dyDescent="0.2"/>
    <row r="53532" customFormat="1" x14ac:dyDescent="0.2"/>
    <row r="53533" customFormat="1" x14ac:dyDescent="0.2"/>
    <row r="53534" customFormat="1" x14ac:dyDescent="0.2"/>
    <row r="53535" customFormat="1" x14ac:dyDescent="0.2"/>
    <row r="53536" customFormat="1" x14ac:dyDescent="0.2"/>
    <row r="53537" customFormat="1" x14ac:dyDescent="0.2"/>
    <row r="53538" customFormat="1" x14ac:dyDescent="0.2"/>
    <row r="53539" customFormat="1" x14ac:dyDescent="0.2"/>
    <row r="53540" customFormat="1" x14ac:dyDescent="0.2"/>
    <row r="53541" customFormat="1" x14ac:dyDescent="0.2"/>
    <row r="53542" customFormat="1" x14ac:dyDescent="0.2"/>
    <row r="53543" customFormat="1" x14ac:dyDescent="0.2"/>
    <row r="53544" customFormat="1" x14ac:dyDescent="0.2"/>
    <row r="53545" customFormat="1" x14ac:dyDescent="0.2"/>
    <row r="53546" customFormat="1" x14ac:dyDescent="0.2"/>
    <row r="53547" customFormat="1" x14ac:dyDescent="0.2"/>
    <row r="53548" customFormat="1" x14ac:dyDescent="0.2"/>
    <row r="53549" customFormat="1" x14ac:dyDescent="0.2"/>
    <row r="53550" customFormat="1" x14ac:dyDescent="0.2"/>
    <row r="53551" customFormat="1" x14ac:dyDescent="0.2"/>
    <row r="53552" customFormat="1" x14ac:dyDescent="0.2"/>
    <row r="53553" customFormat="1" x14ac:dyDescent="0.2"/>
    <row r="53554" customFormat="1" x14ac:dyDescent="0.2"/>
    <row r="53555" customFormat="1" x14ac:dyDescent="0.2"/>
    <row r="53556" customFormat="1" x14ac:dyDescent="0.2"/>
    <row r="53557" customFormat="1" x14ac:dyDescent="0.2"/>
    <row r="53558" customFormat="1" x14ac:dyDescent="0.2"/>
    <row r="53559" customFormat="1" x14ac:dyDescent="0.2"/>
    <row r="53560" customFormat="1" x14ac:dyDescent="0.2"/>
    <row r="53561" customFormat="1" x14ac:dyDescent="0.2"/>
    <row r="53562" customFormat="1" x14ac:dyDescent="0.2"/>
    <row r="53563" customFormat="1" x14ac:dyDescent="0.2"/>
    <row r="53564" customFormat="1" x14ac:dyDescent="0.2"/>
    <row r="53565" customFormat="1" x14ac:dyDescent="0.2"/>
    <row r="53566" customFormat="1" x14ac:dyDescent="0.2"/>
    <row r="53567" customFormat="1" x14ac:dyDescent="0.2"/>
    <row r="53568" customFormat="1" x14ac:dyDescent="0.2"/>
    <row r="53569" customFormat="1" x14ac:dyDescent="0.2"/>
    <row r="53570" customFormat="1" x14ac:dyDescent="0.2"/>
    <row r="53571" customFormat="1" x14ac:dyDescent="0.2"/>
    <row r="53572" customFormat="1" x14ac:dyDescent="0.2"/>
    <row r="53573" customFormat="1" x14ac:dyDescent="0.2"/>
    <row r="53574" customFormat="1" x14ac:dyDescent="0.2"/>
    <row r="53575" customFormat="1" x14ac:dyDescent="0.2"/>
    <row r="53576" customFormat="1" x14ac:dyDescent="0.2"/>
    <row r="53577" customFormat="1" x14ac:dyDescent="0.2"/>
    <row r="53578" customFormat="1" x14ac:dyDescent="0.2"/>
    <row r="53579" customFormat="1" x14ac:dyDescent="0.2"/>
    <row r="53580" customFormat="1" x14ac:dyDescent="0.2"/>
    <row r="53581" customFormat="1" x14ac:dyDescent="0.2"/>
    <row r="53582" customFormat="1" x14ac:dyDescent="0.2"/>
    <row r="53583" customFormat="1" x14ac:dyDescent="0.2"/>
    <row r="53584" customFormat="1" x14ac:dyDescent="0.2"/>
    <row r="53585" customFormat="1" x14ac:dyDescent="0.2"/>
    <row r="53586" customFormat="1" x14ac:dyDescent="0.2"/>
    <row r="53587" customFormat="1" x14ac:dyDescent="0.2"/>
    <row r="53588" customFormat="1" x14ac:dyDescent="0.2"/>
    <row r="53589" customFormat="1" x14ac:dyDescent="0.2"/>
    <row r="53590" customFormat="1" x14ac:dyDescent="0.2"/>
    <row r="53591" customFormat="1" x14ac:dyDescent="0.2"/>
    <row r="53592" customFormat="1" x14ac:dyDescent="0.2"/>
    <row r="53593" customFormat="1" x14ac:dyDescent="0.2"/>
    <row r="53594" customFormat="1" x14ac:dyDescent="0.2"/>
    <row r="53595" customFormat="1" x14ac:dyDescent="0.2"/>
    <row r="53596" customFormat="1" x14ac:dyDescent="0.2"/>
    <row r="53597" customFormat="1" x14ac:dyDescent="0.2"/>
    <row r="53598" customFormat="1" x14ac:dyDescent="0.2"/>
    <row r="53599" customFormat="1" x14ac:dyDescent="0.2"/>
    <row r="53600" customFormat="1" x14ac:dyDescent="0.2"/>
    <row r="53601" customFormat="1" x14ac:dyDescent="0.2"/>
    <row r="53602" customFormat="1" x14ac:dyDescent="0.2"/>
    <row r="53603" customFormat="1" x14ac:dyDescent="0.2"/>
    <row r="53604" customFormat="1" x14ac:dyDescent="0.2"/>
    <row r="53605" customFormat="1" x14ac:dyDescent="0.2"/>
    <row r="53606" customFormat="1" x14ac:dyDescent="0.2"/>
    <row r="53607" customFormat="1" x14ac:dyDescent="0.2"/>
    <row r="53608" customFormat="1" x14ac:dyDescent="0.2"/>
    <row r="53609" customFormat="1" x14ac:dyDescent="0.2"/>
    <row r="53610" customFormat="1" x14ac:dyDescent="0.2"/>
    <row r="53611" customFormat="1" x14ac:dyDescent="0.2"/>
    <row r="53612" customFormat="1" x14ac:dyDescent="0.2"/>
    <row r="53613" customFormat="1" x14ac:dyDescent="0.2"/>
    <row r="53614" customFormat="1" x14ac:dyDescent="0.2"/>
    <row r="53615" customFormat="1" x14ac:dyDescent="0.2"/>
    <row r="53616" customFormat="1" x14ac:dyDescent="0.2"/>
    <row r="53617" customFormat="1" x14ac:dyDescent="0.2"/>
    <row r="53618" customFormat="1" x14ac:dyDescent="0.2"/>
    <row r="53619" customFormat="1" x14ac:dyDescent="0.2"/>
    <row r="53620" customFormat="1" x14ac:dyDescent="0.2"/>
    <row r="53621" customFormat="1" x14ac:dyDescent="0.2"/>
    <row r="53622" customFormat="1" x14ac:dyDescent="0.2"/>
    <row r="53623" customFormat="1" x14ac:dyDescent="0.2"/>
    <row r="53624" customFormat="1" x14ac:dyDescent="0.2"/>
    <row r="53625" customFormat="1" x14ac:dyDescent="0.2"/>
    <row r="53626" customFormat="1" x14ac:dyDescent="0.2"/>
    <row r="53627" customFormat="1" x14ac:dyDescent="0.2"/>
    <row r="53628" customFormat="1" x14ac:dyDescent="0.2"/>
    <row r="53629" customFormat="1" x14ac:dyDescent="0.2"/>
    <row r="53630" customFormat="1" x14ac:dyDescent="0.2"/>
    <row r="53631" customFormat="1" x14ac:dyDescent="0.2"/>
    <row r="53632" customFormat="1" x14ac:dyDescent="0.2"/>
    <row r="53633" customFormat="1" x14ac:dyDescent="0.2"/>
    <row r="53634" customFormat="1" x14ac:dyDescent="0.2"/>
    <row r="53635" customFormat="1" x14ac:dyDescent="0.2"/>
    <row r="53636" customFormat="1" x14ac:dyDescent="0.2"/>
    <row r="53637" customFormat="1" x14ac:dyDescent="0.2"/>
    <row r="53638" customFormat="1" x14ac:dyDescent="0.2"/>
    <row r="53639" customFormat="1" x14ac:dyDescent="0.2"/>
    <row r="53640" customFormat="1" x14ac:dyDescent="0.2"/>
    <row r="53641" customFormat="1" x14ac:dyDescent="0.2"/>
    <row r="53642" customFormat="1" x14ac:dyDescent="0.2"/>
    <row r="53643" customFormat="1" x14ac:dyDescent="0.2"/>
    <row r="53644" customFormat="1" x14ac:dyDescent="0.2"/>
    <row r="53645" customFormat="1" x14ac:dyDescent="0.2"/>
    <row r="53646" customFormat="1" x14ac:dyDescent="0.2"/>
    <row r="53647" customFormat="1" x14ac:dyDescent="0.2"/>
    <row r="53648" customFormat="1" x14ac:dyDescent="0.2"/>
    <row r="53649" customFormat="1" x14ac:dyDescent="0.2"/>
    <row r="53650" customFormat="1" x14ac:dyDescent="0.2"/>
    <row r="53651" customFormat="1" x14ac:dyDescent="0.2"/>
    <row r="53652" customFormat="1" x14ac:dyDescent="0.2"/>
    <row r="53653" customFormat="1" x14ac:dyDescent="0.2"/>
    <row r="53654" customFormat="1" x14ac:dyDescent="0.2"/>
    <row r="53655" customFormat="1" x14ac:dyDescent="0.2"/>
    <row r="53656" customFormat="1" x14ac:dyDescent="0.2"/>
    <row r="53657" customFormat="1" x14ac:dyDescent="0.2"/>
    <row r="53658" customFormat="1" x14ac:dyDescent="0.2"/>
    <row r="53659" customFormat="1" x14ac:dyDescent="0.2"/>
    <row r="53660" customFormat="1" x14ac:dyDescent="0.2"/>
    <row r="53661" customFormat="1" x14ac:dyDescent="0.2"/>
    <row r="53662" customFormat="1" x14ac:dyDescent="0.2"/>
    <row r="53663" customFormat="1" x14ac:dyDescent="0.2"/>
    <row r="53664" customFormat="1" x14ac:dyDescent="0.2"/>
    <row r="53665" customFormat="1" x14ac:dyDescent="0.2"/>
    <row r="53666" customFormat="1" x14ac:dyDescent="0.2"/>
    <row r="53667" customFormat="1" x14ac:dyDescent="0.2"/>
    <row r="53668" customFormat="1" x14ac:dyDescent="0.2"/>
    <row r="53669" customFormat="1" x14ac:dyDescent="0.2"/>
    <row r="53670" customFormat="1" x14ac:dyDescent="0.2"/>
    <row r="53671" customFormat="1" x14ac:dyDescent="0.2"/>
    <row r="53672" customFormat="1" x14ac:dyDescent="0.2"/>
    <row r="53673" customFormat="1" x14ac:dyDescent="0.2"/>
    <row r="53674" customFormat="1" x14ac:dyDescent="0.2"/>
    <row r="53675" customFormat="1" x14ac:dyDescent="0.2"/>
    <row r="53676" customFormat="1" x14ac:dyDescent="0.2"/>
    <row r="53677" customFormat="1" x14ac:dyDescent="0.2"/>
    <row r="53678" customFormat="1" x14ac:dyDescent="0.2"/>
    <row r="53679" customFormat="1" x14ac:dyDescent="0.2"/>
    <row r="53680" customFormat="1" x14ac:dyDescent="0.2"/>
    <row r="53681" customFormat="1" x14ac:dyDescent="0.2"/>
    <row r="53682" customFormat="1" x14ac:dyDescent="0.2"/>
    <row r="53683" customFormat="1" x14ac:dyDescent="0.2"/>
    <row r="53684" customFormat="1" x14ac:dyDescent="0.2"/>
    <row r="53685" customFormat="1" x14ac:dyDescent="0.2"/>
    <row r="53686" customFormat="1" x14ac:dyDescent="0.2"/>
    <row r="53687" customFormat="1" x14ac:dyDescent="0.2"/>
    <row r="53688" customFormat="1" x14ac:dyDescent="0.2"/>
    <row r="53689" customFormat="1" x14ac:dyDescent="0.2"/>
    <row r="53690" customFormat="1" x14ac:dyDescent="0.2"/>
    <row r="53691" customFormat="1" x14ac:dyDescent="0.2"/>
    <row r="53692" customFormat="1" x14ac:dyDescent="0.2"/>
    <row r="53693" customFormat="1" x14ac:dyDescent="0.2"/>
    <row r="53694" customFormat="1" x14ac:dyDescent="0.2"/>
    <row r="53695" customFormat="1" x14ac:dyDescent="0.2"/>
    <row r="53696" customFormat="1" x14ac:dyDescent="0.2"/>
    <row r="53697" customFormat="1" x14ac:dyDescent="0.2"/>
    <row r="53698" customFormat="1" x14ac:dyDescent="0.2"/>
    <row r="53699" customFormat="1" x14ac:dyDescent="0.2"/>
    <row r="53700" customFormat="1" x14ac:dyDescent="0.2"/>
    <row r="53701" customFormat="1" x14ac:dyDescent="0.2"/>
    <row r="53702" customFormat="1" x14ac:dyDescent="0.2"/>
    <row r="53703" customFormat="1" x14ac:dyDescent="0.2"/>
    <row r="53704" customFormat="1" x14ac:dyDescent="0.2"/>
    <row r="53705" customFormat="1" x14ac:dyDescent="0.2"/>
    <row r="53706" customFormat="1" x14ac:dyDescent="0.2"/>
    <row r="53707" customFormat="1" x14ac:dyDescent="0.2"/>
    <row r="53708" customFormat="1" x14ac:dyDescent="0.2"/>
    <row r="53709" customFormat="1" x14ac:dyDescent="0.2"/>
    <row r="53710" customFormat="1" x14ac:dyDescent="0.2"/>
    <row r="53711" customFormat="1" x14ac:dyDescent="0.2"/>
    <row r="53712" customFormat="1" x14ac:dyDescent="0.2"/>
    <row r="53713" customFormat="1" x14ac:dyDescent="0.2"/>
    <row r="53714" customFormat="1" x14ac:dyDescent="0.2"/>
    <row r="53715" customFormat="1" x14ac:dyDescent="0.2"/>
    <row r="53716" customFormat="1" x14ac:dyDescent="0.2"/>
    <row r="53717" customFormat="1" x14ac:dyDescent="0.2"/>
    <row r="53718" customFormat="1" x14ac:dyDescent="0.2"/>
    <row r="53719" customFormat="1" x14ac:dyDescent="0.2"/>
    <row r="53720" customFormat="1" x14ac:dyDescent="0.2"/>
    <row r="53721" customFormat="1" x14ac:dyDescent="0.2"/>
    <row r="53722" customFormat="1" x14ac:dyDescent="0.2"/>
    <row r="53723" customFormat="1" x14ac:dyDescent="0.2"/>
    <row r="53724" customFormat="1" x14ac:dyDescent="0.2"/>
    <row r="53725" customFormat="1" x14ac:dyDescent="0.2"/>
    <row r="53726" customFormat="1" x14ac:dyDescent="0.2"/>
    <row r="53727" customFormat="1" x14ac:dyDescent="0.2"/>
    <row r="53728" customFormat="1" x14ac:dyDescent="0.2"/>
    <row r="53729" customFormat="1" x14ac:dyDescent="0.2"/>
    <row r="53730" customFormat="1" x14ac:dyDescent="0.2"/>
    <row r="53731" customFormat="1" x14ac:dyDescent="0.2"/>
    <row r="53732" customFormat="1" x14ac:dyDescent="0.2"/>
    <row r="53733" customFormat="1" x14ac:dyDescent="0.2"/>
    <row r="53734" customFormat="1" x14ac:dyDescent="0.2"/>
    <row r="53735" customFormat="1" x14ac:dyDescent="0.2"/>
    <row r="53736" customFormat="1" x14ac:dyDescent="0.2"/>
    <row r="53737" customFormat="1" x14ac:dyDescent="0.2"/>
    <row r="53738" customFormat="1" x14ac:dyDescent="0.2"/>
    <row r="53739" customFormat="1" x14ac:dyDescent="0.2"/>
    <row r="53740" customFormat="1" x14ac:dyDescent="0.2"/>
    <row r="53741" customFormat="1" x14ac:dyDescent="0.2"/>
    <row r="53742" customFormat="1" x14ac:dyDescent="0.2"/>
    <row r="53743" customFormat="1" x14ac:dyDescent="0.2"/>
    <row r="53744" customFormat="1" x14ac:dyDescent="0.2"/>
    <row r="53745" customFormat="1" x14ac:dyDescent="0.2"/>
    <row r="53746" customFormat="1" x14ac:dyDescent="0.2"/>
    <row r="53747" customFormat="1" x14ac:dyDescent="0.2"/>
    <row r="53748" customFormat="1" x14ac:dyDescent="0.2"/>
    <row r="53749" customFormat="1" x14ac:dyDescent="0.2"/>
    <row r="53750" customFormat="1" x14ac:dyDescent="0.2"/>
    <row r="53751" customFormat="1" x14ac:dyDescent="0.2"/>
    <row r="53752" customFormat="1" x14ac:dyDescent="0.2"/>
    <row r="53753" customFormat="1" x14ac:dyDescent="0.2"/>
    <row r="53754" customFormat="1" x14ac:dyDescent="0.2"/>
    <row r="53755" customFormat="1" x14ac:dyDescent="0.2"/>
    <row r="53756" customFormat="1" x14ac:dyDescent="0.2"/>
    <row r="53757" customFormat="1" x14ac:dyDescent="0.2"/>
    <row r="53758" customFormat="1" x14ac:dyDescent="0.2"/>
    <row r="53759" customFormat="1" x14ac:dyDescent="0.2"/>
    <row r="53760" customFormat="1" x14ac:dyDescent="0.2"/>
    <row r="53761" customFormat="1" x14ac:dyDescent="0.2"/>
    <row r="53762" customFormat="1" x14ac:dyDescent="0.2"/>
    <row r="53763" customFormat="1" x14ac:dyDescent="0.2"/>
    <row r="53764" customFormat="1" x14ac:dyDescent="0.2"/>
    <row r="53765" customFormat="1" x14ac:dyDescent="0.2"/>
    <row r="53766" customFormat="1" x14ac:dyDescent="0.2"/>
    <row r="53767" customFormat="1" x14ac:dyDescent="0.2"/>
    <row r="53768" customFormat="1" x14ac:dyDescent="0.2"/>
    <row r="53769" customFormat="1" x14ac:dyDescent="0.2"/>
    <row r="53770" customFormat="1" x14ac:dyDescent="0.2"/>
    <row r="53771" customFormat="1" x14ac:dyDescent="0.2"/>
    <row r="53772" customFormat="1" x14ac:dyDescent="0.2"/>
    <row r="53773" customFormat="1" x14ac:dyDescent="0.2"/>
    <row r="53774" customFormat="1" x14ac:dyDescent="0.2"/>
    <row r="53775" customFormat="1" x14ac:dyDescent="0.2"/>
    <row r="53776" customFormat="1" x14ac:dyDescent="0.2"/>
    <row r="53777" customFormat="1" x14ac:dyDescent="0.2"/>
    <row r="53778" customFormat="1" x14ac:dyDescent="0.2"/>
    <row r="53779" customFormat="1" x14ac:dyDescent="0.2"/>
    <row r="53780" customFormat="1" x14ac:dyDescent="0.2"/>
    <row r="53781" customFormat="1" x14ac:dyDescent="0.2"/>
    <row r="53782" customFormat="1" x14ac:dyDescent="0.2"/>
    <row r="53783" customFormat="1" x14ac:dyDescent="0.2"/>
    <row r="53784" customFormat="1" x14ac:dyDescent="0.2"/>
    <row r="53785" customFormat="1" x14ac:dyDescent="0.2"/>
    <row r="53786" customFormat="1" x14ac:dyDescent="0.2"/>
    <row r="53787" customFormat="1" x14ac:dyDescent="0.2"/>
    <row r="53788" customFormat="1" x14ac:dyDescent="0.2"/>
    <row r="53789" customFormat="1" x14ac:dyDescent="0.2"/>
    <row r="53790" customFormat="1" x14ac:dyDescent="0.2"/>
    <row r="53791" customFormat="1" x14ac:dyDescent="0.2"/>
    <row r="53792" customFormat="1" x14ac:dyDescent="0.2"/>
    <row r="53793" customFormat="1" x14ac:dyDescent="0.2"/>
    <row r="53794" customFormat="1" x14ac:dyDescent="0.2"/>
    <row r="53795" customFormat="1" x14ac:dyDescent="0.2"/>
    <row r="53796" customFormat="1" x14ac:dyDescent="0.2"/>
    <row r="53797" customFormat="1" x14ac:dyDescent="0.2"/>
    <row r="53798" customFormat="1" x14ac:dyDescent="0.2"/>
    <row r="53799" customFormat="1" x14ac:dyDescent="0.2"/>
    <row r="53800" customFormat="1" x14ac:dyDescent="0.2"/>
    <row r="53801" customFormat="1" x14ac:dyDescent="0.2"/>
    <row r="53802" customFormat="1" x14ac:dyDescent="0.2"/>
    <row r="53803" customFormat="1" x14ac:dyDescent="0.2"/>
    <row r="53804" customFormat="1" x14ac:dyDescent="0.2"/>
    <row r="53805" customFormat="1" x14ac:dyDescent="0.2"/>
    <row r="53806" customFormat="1" x14ac:dyDescent="0.2"/>
    <row r="53807" customFormat="1" x14ac:dyDescent="0.2"/>
    <row r="53808" customFormat="1" x14ac:dyDescent="0.2"/>
    <row r="53809" customFormat="1" x14ac:dyDescent="0.2"/>
    <row r="53810" customFormat="1" x14ac:dyDescent="0.2"/>
    <row r="53811" customFormat="1" x14ac:dyDescent="0.2"/>
    <row r="53812" customFormat="1" x14ac:dyDescent="0.2"/>
    <row r="53813" customFormat="1" x14ac:dyDescent="0.2"/>
    <row r="53814" customFormat="1" x14ac:dyDescent="0.2"/>
    <row r="53815" customFormat="1" x14ac:dyDescent="0.2"/>
    <row r="53816" customFormat="1" x14ac:dyDescent="0.2"/>
    <row r="53817" customFormat="1" x14ac:dyDescent="0.2"/>
    <row r="53818" customFormat="1" x14ac:dyDescent="0.2"/>
    <row r="53819" customFormat="1" x14ac:dyDescent="0.2"/>
    <row r="53820" customFormat="1" x14ac:dyDescent="0.2"/>
    <row r="53821" customFormat="1" x14ac:dyDescent="0.2"/>
    <row r="53822" customFormat="1" x14ac:dyDescent="0.2"/>
    <row r="53823" customFormat="1" x14ac:dyDescent="0.2"/>
    <row r="53824" customFormat="1" x14ac:dyDescent="0.2"/>
    <row r="53825" customFormat="1" x14ac:dyDescent="0.2"/>
    <row r="53826" customFormat="1" x14ac:dyDescent="0.2"/>
    <row r="53827" customFormat="1" x14ac:dyDescent="0.2"/>
    <row r="53828" customFormat="1" x14ac:dyDescent="0.2"/>
    <row r="53829" customFormat="1" x14ac:dyDescent="0.2"/>
    <row r="53830" customFormat="1" x14ac:dyDescent="0.2"/>
    <row r="53831" customFormat="1" x14ac:dyDescent="0.2"/>
    <row r="53832" customFormat="1" x14ac:dyDescent="0.2"/>
    <row r="53833" customFormat="1" x14ac:dyDescent="0.2"/>
    <row r="53834" customFormat="1" x14ac:dyDescent="0.2"/>
    <row r="53835" customFormat="1" x14ac:dyDescent="0.2"/>
    <row r="53836" customFormat="1" x14ac:dyDescent="0.2"/>
    <row r="53837" customFormat="1" x14ac:dyDescent="0.2"/>
    <row r="53838" customFormat="1" x14ac:dyDescent="0.2"/>
    <row r="53839" customFormat="1" x14ac:dyDescent="0.2"/>
    <row r="53840" customFormat="1" x14ac:dyDescent="0.2"/>
    <row r="53841" customFormat="1" x14ac:dyDescent="0.2"/>
    <row r="53842" customFormat="1" x14ac:dyDescent="0.2"/>
    <row r="53843" customFormat="1" x14ac:dyDescent="0.2"/>
    <row r="53844" customFormat="1" x14ac:dyDescent="0.2"/>
    <row r="53845" customFormat="1" x14ac:dyDescent="0.2"/>
    <row r="53846" customFormat="1" x14ac:dyDescent="0.2"/>
    <row r="53847" customFormat="1" x14ac:dyDescent="0.2"/>
    <row r="53848" customFormat="1" x14ac:dyDescent="0.2"/>
    <row r="53849" customFormat="1" x14ac:dyDescent="0.2"/>
    <row r="53850" customFormat="1" x14ac:dyDescent="0.2"/>
    <row r="53851" customFormat="1" x14ac:dyDescent="0.2"/>
    <row r="53852" customFormat="1" x14ac:dyDescent="0.2"/>
    <row r="53853" customFormat="1" x14ac:dyDescent="0.2"/>
    <row r="53854" customFormat="1" x14ac:dyDescent="0.2"/>
    <row r="53855" customFormat="1" x14ac:dyDescent="0.2"/>
    <row r="53856" customFormat="1" x14ac:dyDescent="0.2"/>
    <row r="53857" customFormat="1" x14ac:dyDescent="0.2"/>
    <row r="53858" customFormat="1" x14ac:dyDescent="0.2"/>
    <row r="53859" customFormat="1" x14ac:dyDescent="0.2"/>
    <row r="53860" customFormat="1" x14ac:dyDescent="0.2"/>
    <row r="53861" customFormat="1" x14ac:dyDescent="0.2"/>
    <row r="53862" customFormat="1" x14ac:dyDescent="0.2"/>
    <row r="53863" customFormat="1" x14ac:dyDescent="0.2"/>
    <row r="53864" customFormat="1" x14ac:dyDescent="0.2"/>
    <row r="53865" customFormat="1" x14ac:dyDescent="0.2"/>
    <row r="53866" customFormat="1" x14ac:dyDescent="0.2"/>
    <row r="53867" customFormat="1" x14ac:dyDescent="0.2"/>
    <row r="53868" customFormat="1" x14ac:dyDescent="0.2"/>
    <row r="53869" customFormat="1" x14ac:dyDescent="0.2"/>
    <row r="53870" customFormat="1" x14ac:dyDescent="0.2"/>
    <row r="53871" customFormat="1" x14ac:dyDescent="0.2"/>
    <row r="53872" customFormat="1" x14ac:dyDescent="0.2"/>
    <row r="53873" customFormat="1" x14ac:dyDescent="0.2"/>
    <row r="53874" customFormat="1" x14ac:dyDescent="0.2"/>
    <row r="53875" customFormat="1" x14ac:dyDescent="0.2"/>
    <row r="53876" customFormat="1" x14ac:dyDescent="0.2"/>
    <row r="53877" customFormat="1" x14ac:dyDescent="0.2"/>
    <row r="53878" customFormat="1" x14ac:dyDescent="0.2"/>
    <row r="53879" customFormat="1" x14ac:dyDescent="0.2"/>
    <row r="53880" customFormat="1" x14ac:dyDescent="0.2"/>
    <row r="53881" customFormat="1" x14ac:dyDescent="0.2"/>
    <row r="53882" customFormat="1" x14ac:dyDescent="0.2"/>
    <row r="53883" customFormat="1" x14ac:dyDescent="0.2"/>
    <row r="53884" customFormat="1" x14ac:dyDescent="0.2"/>
    <row r="53885" customFormat="1" x14ac:dyDescent="0.2"/>
    <row r="53886" customFormat="1" x14ac:dyDescent="0.2"/>
    <row r="53887" customFormat="1" x14ac:dyDescent="0.2"/>
    <row r="53888" customFormat="1" x14ac:dyDescent="0.2"/>
    <row r="53889" customFormat="1" x14ac:dyDescent="0.2"/>
    <row r="53890" customFormat="1" x14ac:dyDescent="0.2"/>
    <row r="53891" customFormat="1" x14ac:dyDescent="0.2"/>
    <row r="53892" customFormat="1" x14ac:dyDescent="0.2"/>
    <row r="53893" customFormat="1" x14ac:dyDescent="0.2"/>
    <row r="53894" customFormat="1" x14ac:dyDescent="0.2"/>
    <row r="53895" customFormat="1" x14ac:dyDescent="0.2"/>
    <row r="53896" customFormat="1" x14ac:dyDescent="0.2"/>
    <row r="53897" customFormat="1" x14ac:dyDescent="0.2"/>
    <row r="53898" customFormat="1" x14ac:dyDescent="0.2"/>
    <row r="53899" customFormat="1" x14ac:dyDescent="0.2"/>
    <row r="53900" customFormat="1" x14ac:dyDescent="0.2"/>
    <row r="53901" customFormat="1" x14ac:dyDescent="0.2"/>
    <row r="53902" customFormat="1" x14ac:dyDescent="0.2"/>
    <row r="53903" customFormat="1" x14ac:dyDescent="0.2"/>
    <row r="53904" customFormat="1" x14ac:dyDescent="0.2"/>
    <row r="53905" customFormat="1" x14ac:dyDescent="0.2"/>
    <row r="53906" customFormat="1" x14ac:dyDescent="0.2"/>
    <row r="53907" customFormat="1" x14ac:dyDescent="0.2"/>
    <row r="53908" customFormat="1" x14ac:dyDescent="0.2"/>
    <row r="53909" customFormat="1" x14ac:dyDescent="0.2"/>
    <row r="53910" customFormat="1" x14ac:dyDescent="0.2"/>
    <row r="53911" customFormat="1" x14ac:dyDescent="0.2"/>
    <row r="53912" customFormat="1" x14ac:dyDescent="0.2"/>
    <row r="53913" customFormat="1" x14ac:dyDescent="0.2"/>
    <row r="53914" customFormat="1" x14ac:dyDescent="0.2"/>
    <row r="53915" customFormat="1" x14ac:dyDescent="0.2"/>
    <row r="53916" customFormat="1" x14ac:dyDescent="0.2"/>
    <row r="53917" customFormat="1" x14ac:dyDescent="0.2"/>
    <row r="53918" customFormat="1" x14ac:dyDescent="0.2"/>
    <row r="53919" customFormat="1" x14ac:dyDescent="0.2"/>
    <row r="53920" customFormat="1" x14ac:dyDescent="0.2"/>
    <row r="53921" customFormat="1" x14ac:dyDescent="0.2"/>
    <row r="53922" customFormat="1" x14ac:dyDescent="0.2"/>
    <row r="53923" customFormat="1" x14ac:dyDescent="0.2"/>
    <row r="53924" customFormat="1" x14ac:dyDescent="0.2"/>
    <row r="53925" customFormat="1" x14ac:dyDescent="0.2"/>
    <row r="53926" customFormat="1" x14ac:dyDescent="0.2"/>
    <row r="53927" customFormat="1" x14ac:dyDescent="0.2"/>
    <row r="53928" customFormat="1" x14ac:dyDescent="0.2"/>
    <row r="53929" customFormat="1" x14ac:dyDescent="0.2"/>
    <row r="53930" customFormat="1" x14ac:dyDescent="0.2"/>
    <row r="53931" customFormat="1" x14ac:dyDescent="0.2"/>
    <row r="53932" customFormat="1" x14ac:dyDescent="0.2"/>
    <row r="53933" customFormat="1" x14ac:dyDescent="0.2"/>
    <row r="53934" customFormat="1" x14ac:dyDescent="0.2"/>
    <row r="53935" customFormat="1" x14ac:dyDescent="0.2"/>
    <row r="53936" customFormat="1" x14ac:dyDescent="0.2"/>
    <row r="53937" customFormat="1" x14ac:dyDescent="0.2"/>
    <row r="53938" customFormat="1" x14ac:dyDescent="0.2"/>
    <row r="53939" customFormat="1" x14ac:dyDescent="0.2"/>
    <row r="53940" customFormat="1" x14ac:dyDescent="0.2"/>
    <row r="53941" customFormat="1" x14ac:dyDescent="0.2"/>
    <row r="53942" customFormat="1" x14ac:dyDescent="0.2"/>
    <row r="53943" customFormat="1" x14ac:dyDescent="0.2"/>
    <row r="53944" customFormat="1" x14ac:dyDescent="0.2"/>
    <row r="53945" customFormat="1" x14ac:dyDescent="0.2"/>
    <row r="53946" customFormat="1" x14ac:dyDescent="0.2"/>
    <row r="53947" customFormat="1" x14ac:dyDescent="0.2"/>
    <row r="53948" customFormat="1" x14ac:dyDescent="0.2"/>
    <row r="53949" customFormat="1" x14ac:dyDescent="0.2"/>
    <row r="53950" customFormat="1" x14ac:dyDescent="0.2"/>
    <row r="53951" customFormat="1" x14ac:dyDescent="0.2"/>
    <row r="53952" customFormat="1" x14ac:dyDescent="0.2"/>
    <row r="53953" customFormat="1" x14ac:dyDescent="0.2"/>
    <row r="53954" customFormat="1" x14ac:dyDescent="0.2"/>
    <row r="53955" customFormat="1" x14ac:dyDescent="0.2"/>
    <row r="53956" customFormat="1" x14ac:dyDescent="0.2"/>
    <row r="53957" customFormat="1" x14ac:dyDescent="0.2"/>
    <row r="53958" customFormat="1" x14ac:dyDescent="0.2"/>
    <row r="53959" customFormat="1" x14ac:dyDescent="0.2"/>
    <row r="53960" customFormat="1" x14ac:dyDescent="0.2"/>
    <row r="53961" customFormat="1" x14ac:dyDescent="0.2"/>
    <row r="53962" customFormat="1" x14ac:dyDescent="0.2"/>
    <row r="53963" customFormat="1" x14ac:dyDescent="0.2"/>
    <row r="53964" customFormat="1" x14ac:dyDescent="0.2"/>
    <row r="53965" customFormat="1" x14ac:dyDescent="0.2"/>
    <row r="53966" customFormat="1" x14ac:dyDescent="0.2"/>
    <row r="53967" customFormat="1" x14ac:dyDescent="0.2"/>
    <row r="53968" customFormat="1" x14ac:dyDescent="0.2"/>
    <row r="53969" customFormat="1" x14ac:dyDescent="0.2"/>
    <row r="53970" customFormat="1" x14ac:dyDescent="0.2"/>
    <row r="53971" customFormat="1" x14ac:dyDescent="0.2"/>
    <row r="53972" customFormat="1" x14ac:dyDescent="0.2"/>
    <row r="53973" customFormat="1" x14ac:dyDescent="0.2"/>
    <row r="53974" customFormat="1" x14ac:dyDescent="0.2"/>
    <row r="53975" customFormat="1" x14ac:dyDescent="0.2"/>
    <row r="53976" customFormat="1" x14ac:dyDescent="0.2"/>
    <row r="53977" customFormat="1" x14ac:dyDescent="0.2"/>
    <row r="53978" customFormat="1" x14ac:dyDescent="0.2"/>
    <row r="53979" customFormat="1" x14ac:dyDescent="0.2"/>
    <row r="53980" customFormat="1" x14ac:dyDescent="0.2"/>
    <row r="53981" customFormat="1" x14ac:dyDescent="0.2"/>
    <row r="53982" customFormat="1" x14ac:dyDescent="0.2"/>
    <row r="53983" customFormat="1" x14ac:dyDescent="0.2"/>
    <row r="53984" customFormat="1" x14ac:dyDescent="0.2"/>
    <row r="53985" customFormat="1" x14ac:dyDescent="0.2"/>
    <row r="53986" customFormat="1" x14ac:dyDescent="0.2"/>
    <row r="53987" customFormat="1" x14ac:dyDescent="0.2"/>
    <row r="53988" customFormat="1" x14ac:dyDescent="0.2"/>
    <row r="53989" customFormat="1" x14ac:dyDescent="0.2"/>
    <row r="53990" customFormat="1" x14ac:dyDescent="0.2"/>
    <row r="53991" customFormat="1" x14ac:dyDescent="0.2"/>
    <row r="53992" customFormat="1" x14ac:dyDescent="0.2"/>
    <row r="53993" customFormat="1" x14ac:dyDescent="0.2"/>
    <row r="53994" customFormat="1" x14ac:dyDescent="0.2"/>
    <row r="53995" customFormat="1" x14ac:dyDescent="0.2"/>
    <row r="53996" customFormat="1" x14ac:dyDescent="0.2"/>
    <row r="53997" customFormat="1" x14ac:dyDescent="0.2"/>
    <row r="53998" customFormat="1" x14ac:dyDescent="0.2"/>
    <row r="53999" customFormat="1" x14ac:dyDescent="0.2"/>
    <row r="54000" customFormat="1" x14ac:dyDescent="0.2"/>
    <row r="54001" customFormat="1" x14ac:dyDescent="0.2"/>
    <row r="54002" customFormat="1" x14ac:dyDescent="0.2"/>
    <row r="54003" customFormat="1" x14ac:dyDescent="0.2"/>
    <row r="54004" customFormat="1" x14ac:dyDescent="0.2"/>
    <row r="54005" customFormat="1" x14ac:dyDescent="0.2"/>
    <row r="54006" customFormat="1" x14ac:dyDescent="0.2"/>
    <row r="54007" customFormat="1" x14ac:dyDescent="0.2"/>
    <row r="54008" customFormat="1" x14ac:dyDescent="0.2"/>
    <row r="54009" customFormat="1" x14ac:dyDescent="0.2"/>
    <row r="54010" customFormat="1" x14ac:dyDescent="0.2"/>
    <row r="54011" customFormat="1" x14ac:dyDescent="0.2"/>
    <row r="54012" customFormat="1" x14ac:dyDescent="0.2"/>
    <row r="54013" customFormat="1" x14ac:dyDescent="0.2"/>
    <row r="54014" customFormat="1" x14ac:dyDescent="0.2"/>
    <row r="54015" customFormat="1" x14ac:dyDescent="0.2"/>
    <row r="54016" customFormat="1" x14ac:dyDescent="0.2"/>
    <row r="54017" customFormat="1" x14ac:dyDescent="0.2"/>
    <row r="54018" customFormat="1" x14ac:dyDescent="0.2"/>
    <row r="54019" customFormat="1" x14ac:dyDescent="0.2"/>
    <row r="54020" customFormat="1" x14ac:dyDescent="0.2"/>
    <row r="54021" customFormat="1" x14ac:dyDescent="0.2"/>
    <row r="54022" customFormat="1" x14ac:dyDescent="0.2"/>
    <row r="54023" customFormat="1" x14ac:dyDescent="0.2"/>
    <row r="54024" customFormat="1" x14ac:dyDescent="0.2"/>
    <row r="54025" customFormat="1" x14ac:dyDescent="0.2"/>
    <row r="54026" customFormat="1" x14ac:dyDescent="0.2"/>
    <row r="54027" customFormat="1" x14ac:dyDescent="0.2"/>
    <row r="54028" customFormat="1" x14ac:dyDescent="0.2"/>
    <row r="54029" customFormat="1" x14ac:dyDescent="0.2"/>
    <row r="54030" customFormat="1" x14ac:dyDescent="0.2"/>
    <row r="54031" customFormat="1" x14ac:dyDescent="0.2"/>
    <row r="54032" customFormat="1" x14ac:dyDescent="0.2"/>
    <row r="54033" customFormat="1" x14ac:dyDescent="0.2"/>
    <row r="54034" customFormat="1" x14ac:dyDescent="0.2"/>
    <row r="54035" customFormat="1" x14ac:dyDescent="0.2"/>
    <row r="54036" customFormat="1" x14ac:dyDescent="0.2"/>
    <row r="54037" customFormat="1" x14ac:dyDescent="0.2"/>
    <row r="54038" customFormat="1" x14ac:dyDescent="0.2"/>
    <row r="54039" customFormat="1" x14ac:dyDescent="0.2"/>
    <row r="54040" customFormat="1" x14ac:dyDescent="0.2"/>
    <row r="54041" customFormat="1" x14ac:dyDescent="0.2"/>
    <row r="54042" customFormat="1" x14ac:dyDescent="0.2"/>
    <row r="54043" customFormat="1" x14ac:dyDescent="0.2"/>
    <row r="54044" customFormat="1" x14ac:dyDescent="0.2"/>
    <row r="54045" customFormat="1" x14ac:dyDescent="0.2"/>
    <row r="54046" customFormat="1" x14ac:dyDescent="0.2"/>
    <row r="54047" customFormat="1" x14ac:dyDescent="0.2"/>
    <row r="54048" customFormat="1" x14ac:dyDescent="0.2"/>
    <row r="54049" customFormat="1" x14ac:dyDescent="0.2"/>
    <row r="54050" customFormat="1" x14ac:dyDescent="0.2"/>
    <row r="54051" customFormat="1" x14ac:dyDescent="0.2"/>
    <row r="54052" customFormat="1" x14ac:dyDescent="0.2"/>
    <row r="54053" customFormat="1" x14ac:dyDescent="0.2"/>
    <row r="54054" customFormat="1" x14ac:dyDescent="0.2"/>
    <row r="54055" customFormat="1" x14ac:dyDescent="0.2"/>
    <row r="54056" customFormat="1" x14ac:dyDescent="0.2"/>
    <row r="54057" customFormat="1" x14ac:dyDescent="0.2"/>
    <row r="54058" customFormat="1" x14ac:dyDescent="0.2"/>
    <row r="54059" customFormat="1" x14ac:dyDescent="0.2"/>
    <row r="54060" customFormat="1" x14ac:dyDescent="0.2"/>
    <row r="54061" customFormat="1" x14ac:dyDescent="0.2"/>
    <row r="54062" customFormat="1" x14ac:dyDescent="0.2"/>
    <row r="54063" customFormat="1" x14ac:dyDescent="0.2"/>
    <row r="54064" customFormat="1" x14ac:dyDescent="0.2"/>
    <row r="54065" customFormat="1" x14ac:dyDescent="0.2"/>
    <row r="54066" customFormat="1" x14ac:dyDescent="0.2"/>
    <row r="54067" customFormat="1" x14ac:dyDescent="0.2"/>
    <row r="54068" customFormat="1" x14ac:dyDescent="0.2"/>
    <row r="54069" customFormat="1" x14ac:dyDescent="0.2"/>
    <row r="54070" customFormat="1" x14ac:dyDescent="0.2"/>
    <row r="54071" customFormat="1" x14ac:dyDescent="0.2"/>
    <row r="54072" customFormat="1" x14ac:dyDescent="0.2"/>
    <row r="54073" customFormat="1" x14ac:dyDescent="0.2"/>
    <row r="54074" customFormat="1" x14ac:dyDescent="0.2"/>
    <row r="54075" customFormat="1" x14ac:dyDescent="0.2"/>
    <row r="54076" customFormat="1" x14ac:dyDescent="0.2"/>
    <row r="54077" customFormat="1" x14ac:dyDescent="0.2"/>
    <row r="54078" customFormat="1" x14ac:dyDescent="0.2"/>
    <row r="54079" customFormat="1" x14ac:dyDescent="0.2"/>
    <row r="54080" customFormat="1" x14ac:dyDescent="0.2"/>
    <row r="54081" customFormat="1" x14ac:dyDescent="0.2"/>
    <row r="54082" customFormat="1" x14ac:dyDescent="0.2"/>
    <row r="54083" customFormat="1" x14ac:dyDescent="0.2"/>
    <row r="54084" customFormat="1" x14ac:dyDescent="0.2"/>
    <row r="54085" customFormat="1" x14ac:dyDescent="0.2"/>
    <row r="54086" customFormat="1" x14ac:dyDescent="0.2"/>
    <row r="54087" customFormat="1" x14ac:dyDescent="0.2"/>
    <row r="54088" customFormat="1" x14ac:dyDescent="0.2"/>
    <row r="54089" customFormat="1" x14ac:dyDescent="0.2"/>
    <row r="54090" customFormat="1" x14ac:dyDescent="0.2"/>
    <row r="54091" customFormat="1" x14ac:dyDescent="0.2"/>
    <row r="54092" customFormat="1" x14ac:dyDescent="0.2"/>
    <row r="54093" customFormat="1" x14ac:dyDescent="0.2"/>
    <row r="54094" customFormat="1" x14ac:dyDescent="0.2"/>
    <row r="54095" customFormat="1" x14ac:dyDescent="0.2"/>
    <row r="54096" customFormat="1" x14ac:dyDescent="0.2"/>
    <row r="54097" customFormat="1" x14ac:dyDescent="0.2"/>
    <row r="54098" customFormat="1" x14ac:dyDescent="0.2"/>
    <row r="54099" customFormat="1" x14ac:dyDescent="0.2"/>
    <row r="54100" customFormat="1" x14ac:dyDescent="0.2"/>
    <row r="54101" customFormat="1" x14ac:dyDescent="0.2"/>
    <row r="54102" customFormat="1" x14ac:dyDescent="0.2"/>
    <row r="54103" customFormat="1" x14ac:dyDescent="0.2"/>
    <row r="54104" customFormat="1" x14ac:dyDescent="0.2"/>
    <row r="54105" customFormat="1" x14ac:dyDescent="0.2"/>
    <row r="54106" customFormat="1" x14ac:dyDescent="0.2"/>
    <row r="54107" customFormat="1" x14ac:dyDescent="0.2"/>
    <row r="54108" customFormat="1" x14ac:dyDescent="0.2"/>
    <row r="54109" customFormat="1" x14ac:dyDescent="0.2"/>
    <row r="54110" customFormat="1" x14ac:dyDescent="0.2"/>
    <row r="54111" customFormat="1" x14ac:dyDescent="0.2"/>
    <row r="54112" customFormat="1" x14ac:dyDescent="0.2"/>
    <row r="54113" customFormat="1" x14ac:dyDescent="0.2"/>
    <row r="54114" customFormat="1" x14ac:dyDescent="0.2"/>
    <row r="54115" customFormat="1" x14ac:dyDescent="0.2"/>
    <row r="54116" customFormat="1" x14ac:dyDescent="0.2"/>
    <row r="54117" customFormat="1" x14ac:dyDescent="0.2"/>
    <row r="54118" customFormat="1" x14ac:dyDescent="0.2"/>
    <row r="54119" customFormat="1" x14ac:dyDescent="0.2"/>
    <row r="54120" customFormat="1" x14ac:dyDescent="0.2"/>
    <row r="54121" customFormat="1" x14ac:dyDescent="0.2"/>
    <row r="54122" customFormat="1" x14ac:dyDescent="0.2"/>
    <row r="54123" customFormat="1" x14ac:dyDescent="0.2"/>
    <row r="54124" customFormat="1" x14ac:dyDescent="0.2"/>
    <row r="54125" customFormat="1" x14ac:dyDescent="0.2"/>
    <row r="54126" customFormat="1" x14ac:dyDescent="0.2"/>
    <row r="54127" customFormat="1" x14ac:dyDescent="0.2"/>
    <row r="54128" customFormat="1" x14ac:dyDescent="0.2"/>
    <row r="54129" customFormat="1" x14ac:dyDescent="0.2"/>
    <row r="54130" customFormat="1" x14ac:dyDescent="0.2"/>
    <row r="54131" customFormat="1" x14ac:dyDescent="0.2"/>
    <row r="54132" customFormat="1" x14ac:dyDescent="0.2"/>
    <row r="54133" customFormat="1" x14ac:dyDescent="0.2"/>
    <row r="54134" customFormat="1" x14ac:dyDescent="0.2"/>
    <row r="54135" customFormat="1" x14ac:dyDescent="0.2"/>
    <row r="54136" customFormat="1" x14ac:dyDescent="0.2"/>
    <row r="54137" customFormat="1" x14ac:dyDescent="0.2"/>
    <row r="54138" customFormat="1" x14ac:dyDescent="0.2"/>
    <row r="54139" customFormat="1" x14ac:dyDescent="0.2"/>
    <row r="54140" customFormat="1" x14ac:dyDescent="0.2"/>
    <row r="54141" customFormat="1" x14ac:dyDescent="0.2"/>
    <row r="54142" customFormat="1" x14ac:dyDescent="0.2"/>
    <row r="54143" customFormat="1" x14ac:dyDescent="0.2"/>
    <row r="54144" customFormat="1" x14ac:dyDescent="0.2"/>
    <row r="54145" customFormat="1" x14ac:dyDescent="0.2"/>
    <row r="54146" customFormat="1" x14ac:dyDescent="0.2"/>
    <row r="54147" customFormat="1" x14ac:dyDescent="0.2"/>
    <row r="54148" customFormat="1" x14ac:dyDescent="0.2"/>
    <row r="54149" customFormat="1" x14ac:dyDescent="0.2"/>
    <row r="54150" customFormat="1" x14ac:dyDescent="0.2"/>
    <row r="54151" customFormat="1" x14ac:dyDescent="0.2"/>
    <row r="54152" customFormat="1" x14ac:dyDescent="0.2"/>
    <row r="54153" customFormat="1" x14ac:dyDescent="0.2"/>
    <row r="54154" customFormat="1" x14ac:dyDescent="0.2"/>
    <row r="54155" customFormat="1" x14ac:dyDescent="0.2"/>
    <row r="54156" customFormat="1" x14ac:dyDescent="0.2"/>
    <row r="54157" customFormat="1" x14ac:dyDescent="0.2"/>
    <row r="54158" customFormat="1" x14ac:dyDescent="0.2"/>
    <row r="54159" customFormat="1" x14ac:dyDescent="0.2"/>
    <row r="54160" customFormat="1" x14ac:dyDescent="0.2"/>
    <row r="54161" customFormat="1" x14ac:dyDescent="0.2"/>
    <row r="54162" customFormat="1" x14ac:dyDescent="0.2"/>
    <row r="54163" customFormat="1" x14ac:dyDescent="0.2"/>
    <row r="54164" customFormat="1" x14ac:dyDescent="0.2"/>
    <row r="54165" customFormat="1" x14ac:dyDescent="0.2"/>
    <row r="54166" customFormat="1" x14ac:dyDescent="0.2"/>
    <row r="54167" customFormat="1" x14ac:dyDescent="0.2"/>
    <row r="54168" customFormat="1" x14ac:dyDescent="0.2"/>
    <row r="54169" customFormat="1" x14ac:dyDescent="0.2"/>
    <row r="54170" customFormat="1" x14ac:dyDescent="0.2"/>
    <row r="54171" customFormat="1" x14ac:dyDescent="0.2"/>
    <row r="54172" customFormat="1" x14ac:dyDescent="0.2"/>
    <row r="54173" customFormat="1" x14ac:dyDescent="0.2"/>
    <row r="54174" customFormat="1" x14ac:dyDescent="0.2"/>
    <row r="54175" customFormat="1" x14ac:dyDescent="0.2"/>
    <row r="54176" customFormat="1" x14ac:dyDescent="0.2"/>
    <row r="54177" customFormat="1" x14ac:dyDescent="0.2"/>
    <row r="54178" customFormat="1" x14ac:dyDescent="0.2"/>
    <row r="54179" customFormat="1" x14ac:dyDescent="0.2"/>
    <row r="54180" customFormat="1" x14ac:dyDescent="0.2"/>
    <row r="54181" customFormat="1" x14ac:dyDescent="0.2"/>
    <row r="54182" customFormat="1" x14ac:dyDescent="0.2"/>
    <row r="54183" customFormat="1" x14ac:dyDescent="0.2"/>
    <row r="54184" customFormat="1" x14ac:dyDescent="0.2"/>
    <row r="54185" customFormat="1" x14ac:dyDescent="0.2"/>
    <row r="54186" customFormat="1" x14ac:dyDescent="0.2"/>
    <row r="54187" customFormat="1" x14ac:dyDescent="0.2"/>
    <row r="54188" customFormat="1" x14ac:dyDescent="0.2"/>
    <row r="54189" customFormat="1" x14ac:dyDescent="0.2"/>
    <row r="54190" customFormat="1" x14ac:dyDescent="0.2"/>
    <row r="54191" customFormat="1" x14ac:dyDescent="0.2"/>
    <row r="54192" customFormat="1" x14ac:dyDescent="0.2"/>
    <row r="54193" customFormat="1" x14ac:dyDescent="0.2"/>
    <row r="54194" customFormat="1" x14ac:dyDescent="0.2"/>
    <row r="54195" customFormat="1" x14ac:dyDescent="0.2"/>
    <row r="54196" customFormat="1" x14ac:dyDescent="0.2"/>
    <row r="54197" customFormat="1" x14ac:dyDescent="0.2"/>
    <row r="54198" customFormat="1" x14ac:dyDescent="0.2"/>
    <row r="54199" customFormat="1" x14ac:dyDescent="0.2"/>
    <row r="54200" customFormat="1" x14ac:dyDescent="0.2"/>
    <row r="54201" customFormat="1" x14ac:dyDescent="0.2"/>
    <row r="54202" customFormat="1" x14ac:dyDescent="0.2"/>
    <row r="54203" customFormat="1" x14ac:dyDescent="0.2"/>
    <row r="54204" customFormat="1" x14ac:dyDescent="0.2"/>
    <row r="54205" customFormat="1" x14ac:dyDescent="0.2"/>
    <row r="54206" customFormat="1" x14ac:dyDescent="0.2"/>
    <row r="54207" customFormat="1" x14ac:dyDescent="0.2"/>
    <row r="54208" customFormat="1" x14ac:dyDescent="0.2"/>
    <row r="54209" customFormat="1" x14ac:dyDescent="0.2"/>
    <row r="54210" customFormat="1" x14ac:dyDescent="0.2"/>
    <row r="54211" customFormat="1" x14ac:dyDescent="0.2"/>
    <row r="54212" customFormat="1" x14ac:dyDescent="0.2"/>
    <row r="54213" customFormat="1" x14ac:dyDescent="0.2"/>
    <row r="54214" customFormat="1" x14ac:dyDescent="0.2"/>
    <row r="54215" customFormat="1" x14ac:dyDescent="0.2"/>
    <row r="54216" customFormat="1" x14ac:dyDescent="0.2"/>
    <row r="54217" customFormat="1" x14ac:dyDescent="0.2"/>
    <row r="54218" customFormat="1" x14ac:dyDescent="0.2"/>
    <row r="54219" customFormat="1" x14ac:dyDescent="0.2"/>
    <row r="54220" customFormat="1" x14ac:dyDescent="0.2"/>
    <row r="54221" customFormat="1" x14ac:dyDescent="0.2"/>
    <row r="54222" customFormat="1" x14ac:dyDescent="0.2"/>
    <row r="54223" customFormat="1" x14ac:dyDescent="0.2"/>
    <row r="54224" customFormat="1" x14ac:dyDescent="0.2"/>
    <row r="54225" customFormat="1" x14ac:dyDescent="0.2"/>
    <row r="54226" customFormat="1" x14ac:dyDescent="0.2"/>
    <row r="54227" customFormat="1" x14ac:dyDescent="0.2"/>
    <row r="54228" customFormat="1" x14ac:dyDescent="0.2"/>
    <row r="54229" customFormat="1" x14ac:dyDescent="0.2"/>
    <row r="54230" customFormat="1" x14ac:dyDescent="0.2"/>
    <row r="54231" customFormat="1" x14ac:dyDescent="0.2"/>
    <row r="54232" customFormat="1" x14ac:dyDescent="0.2"/>
    <row r="54233" customFormat="1" x14ac:dyDescent="0.2"/>
    <row r="54234" customFormat="1" x14ac:dyDescent="0.2"/>
    <row r="54235" customFormat="1" x14ac:dyDescent="0.2"/>
    <row r="54236" customFormat="1" x14ac:dyDescent="0.2"/>
    <row r="54237" customFormat="1" x14ac:dyDescent="0.2"/>
    <row r="54238" customFormat="1" x14ac:dyDescent="0.2"/>
    <row r="54239" customFormat="1" x14ac:dyDescent="0.2"/>
    <row r="54240" customFormat="1" x14ac:dyDescent="0.2"/>
    <row r="54241" customFormat="1" x14ac:dyDescent="0.2"/>
    <row r="54242" customFormat="1" x14ac:dyDescent="0.2"/>
    <row r="54243" customFormat="1" x14ac:dyDescent="0.2"/>
    <row r="54244" customFormat="1" x14ac:dyDescent="0.2"/>
    <row r="54245" customFormat="1" x14ac:dyDescent="0.2"/>
    <row r="54246" customFormat="1" x14ac:dyDescent="0.2"/>
    <row r="54247" customFormat="1" x14ac:dyDescent="0.2"/>
    <row r="54248" customFormat="1" x14ac:dyDescent="0.2"/>
    <row r="54249" customFormat="1" x14ac:dyDescent="0.2"/>
    <row r="54250" customFormat="1" x14ac:dyDescent="0.2"/>
    <row r="54251" customFormat="1" x14ac:dyDescent="0.2"/>
    <row r="54252" customFormat="1" x14ac:dyDescent="0.2"/>
    <row r="54253" customFormat="1" x14ac:dyDescent="0.2"/>
    <row r="54254" customFormat="1" x14ac:dyDescent="0.2"/>
    <row r="54255" customFormat="1" x14ac:dyDescent="0.2"/>
    <row r="54256" customFormat="1" x14ac:dyDescent="0.2"/>
    <row r="54257" customFormat="1" x14ac:dyDescent="0.2"/>
    <row r="54258" customFormat="1" x14ac:dyDescent="0.2"/>
    <row r="54259" customFormat="1" x14ac:dyDescent="0.2"/>
    <row r="54260" customFormat="1" x14ac:dyDescent="0.2"/>
    <row r="54261" customFormat="1" x14ac:dyDescent="0.2"/>
    <row r="54262" customFormat="1" x14ac:dyDescent="0.2"/>
    <row r="54263" customFormat="1" x14ac:dyDescent="0.2"/>
    <row r="54264" customFormat="1" x14ac:dyDescent="0.2"/>
    <row r="54265" customFormat="1" x14ac:dyDescent="0.2"/>
    <row r="54266" customFormat="1" x14ac:dyDescent="0.2"/>
    <row r="54267" customFormat="1" x14ac:dyDescent="0.2"/>
    <row r="54268" customFormat="1" x14ac:dyDescent="0.2"/>
    <row r="54269" customFormat="1" x14ac:dyDescent="0.2"/>
    <row r="54270" customFormat="1" x14ac:dyDescent="0.2"/>
    <row r="54271" customFormat="1" x14ac:dyDescent="0.2"/>
    <row r="54272" customFormat="1" x14ac:dyDescent="0.2"/>
    <row r="54273" customFormat="1" x14ac:dyDescent="0.2"/>
    <row r="54274" customFormat="1" x14ac:dyDescent="0.2"/>
    <row r="54275" customFormat="1" x14ac:dyDescent="0.2"/>
    <row r="54276" customFormat="1" x14ac:dyDescent="0.2"/>
    <row r="54277" customFormat="1" x14ac:dyDescent="0.2"/>
    <row r="54278" customFormat="1" x14ac:dyDescent="0.2"/>
    <row r="54279" customFormat="1" x14ac:dyDescent="0.2"/>
    <row r="54280" customFormat="1" x14ac:dyDescent="0.2"/>
    <row r="54281" customFormat="1" x14ac:dyDescent="0.2"/>
    <row r="54282" customFormat="1" x14ac:dyDescent="0.2"/>
    <row r="54283" customFormat="1" x14ac:dyDescent="0.2"/>
    <row r="54284" customFormat="1" x14ac:dyDescent="0.2"/>
    <row r="54285" customFormat="1" x14ac:dyDescent="0.2"/>
    <row r="54286" customFormat="1" x14ac:dyDescent="0.2"/>
    <row r="54287" customFormat="1" x14ac:dyDescent="0.2"/>
    <row r="54288" customFormat="1" x14ac:dyDescent="0.2"/>
    <row r="54289" customFormat="1" x14ac:dyDescent="0.2"/>
    <row r="54290" customFormat="1" x14ac:dyDescent="0.2"/>
    <row r="54291" customFormat="1" x14ac:dyDescent="0.2"/>
    <row r="54292" customFormat="1" x14ac:dyDescent="0.2"/>
    <row r="54293" customFormat="1" x14ac:dyDescent="0.2"/>
    <row r="54294" customFormat="1" x14ac:dyDescent="0.2"/>
    <row r="54295" customFormat="1" x14ac:dyDescent="0.2"/>
    <row r="54296" customFormat="1" x14ac:dyDescent="0.2"/>
    <row r="54297" customFormat="1" x14ac:dyDescent="0.2"/>
    <row r="54298" customFormat="1" x14ac:dyDescent="0.2"/>
    <row r="54299" customFormat="1" x14ac:dyDescent="0.2"/>
    <row r="54300" customFormat="1" x14ac:dyDescent="0.2"/>
    <row r="54301" customFormat="1" x14ac:dyDescent="0.2"/>
    <row r="54302" customFormat="1" x14ac:dyDescent="0.2"/>
    <row r="54303" customFormat="1" x14ac:dyDescent="0.2"/>
    <row r="54304" customFormat="1" x14ac:dyDescent="0.2"/>
    <row r="54305" customFormat="1" x14ac:dyDescent="0.2"/>
    <row r="54306" customFormat="1" x14ac:dyDescent="0.2"/>
    <row r="54307" customFormat="1" x14ac:dyDescent="0.2"/>
    <row r="54308" customFormat="1" x14ac:dyDescent="0.2"/>
    <row r="54309" customFormat="1" x14ac:dyDescent="0.2"/>
    <row r="54310" customFormat="1" x14ac:dyDescent="0.2"/>
    <row r="54311" customFormat="1" x14ac:dyDescent="0.2"/>
    <row r="54312" customFormat="1" x14ac:dyDescent="0.2"/>
    <row r="54313" customFormat="1" x14ac:dyDescent="0.2"/>
    <row r="54314" customFormat="1" x14ac:dyDescent="0.2"/>
    <row r="54315" customFormat="1" x14ac:dyDescent="0.2"/>
    <row r="54316" customFormat="1" x14ac:dyDescent="0.2"/>
    <row r="54317" customFormat="1" x14ac:dyDescent="0.2"/>
    <row r="54318" customFormat="1" x14ac:dyDescent="0.2"/>
    <row r="54319" customFormat="1" x14ac:dyDescent="0.2"/>
    <row r="54320" customFormat="1" x14ac:dyDescent="0.2"/>
    <row r="54321" customFormat="1" x14ac:dyDescent="0.2"/>
    <row r="54322" customFormat="1" x14ac:dyDescent="0.2"/>
    <row r="54323" customFormat="1" x14ac:dyDescent="0.2"/>
    <row r="54324" customFormat="1" x14ac:dyDescent="0.2"/>
    <row r="54325" customFormat="1" x14ac:dyDescent="0.2"/>
    <row r="54326" customFormat="1" x14ac:dyDescent="0.2"/>
    <row r="54327" customFormat="1" x14ac:dyDescent="0.2"/>
    <row r="54328" customFormat="1" x14ac:dyDescent="0.2"/>
    <row r="54329" customFormat="1" x14ac:dyDescent="0.2"/>
    <row r="54330" customFormat="1" x14ac:dyDescent="0.2"/>
    <row r="54331" customFormat="1" x14ac:dyDescent="0.2"/>
    <row r="54332" customFormat="1" x14ac:dyDescent="0.2"/>
    <row r="54333" customFormat="1" x14ac:dyDescent="0.2"/>
    <row r="54334" customFormat="1" x14ac:dyDescent="0.2"/>
    <row r="54335" customFormat="1" x14ac:dyDescent="0.2"/>
    <row r="54336" customFormat="1" x14ac:dyDescent="0.2"/>
    <row r="54337" customFormat="1" x14ac:dyDescent="0.2"/>
    <row r="54338" customFormat="1" x14ac:dyDescent="0.2"/>
    <row r="54339" customFormat="1" x14ac:dyDescent="0.2"/>
    <row r="54340" customFormat="1" x14ac:dyDescent="0.2"/>
    <row r="54341" customFormat="1" x14ac:dyDescent="0.2"/>
    <row r="54342" customFormat="1" x14ac:dyDescent="0.2"/>
    <row r="54343" customFormat="1" x14ac:dyDescent="0.2"/>
    <row r="54344" customFormat="1" x14ac:dyDescent="0.2"/>
    <row r="54345" customFormat="1" x14ac:dyDescent="0.2"/>
    <row r="54346" customFormat="1" x14ac:dyDescent="0.2"/>
    <row r="54347" customFormat="1" x14ac:dyDescent="0.2"/>
    <row r="54348" customFormat="1" x14ac:dyDescent="0.2"/>
    <row r="54349" customFormat="1" x14ac:dyDescent="0.2"/>
    <row r="54350" customFormat="1" x14ac:dyDescent="0.2"/>
    <row r="54351" customFormat="1" x14ac:dyDescent="0.2"/>
    <row r="54352" customFormat="1" x14ac:dyDescent="0.2"/>
    <row r="54353" customFormat="1" x14ac:dyDescent="0.2"/>
    <row r="54354" customFormat="1" x14ac:dyDescent="0.2"/>
    <row r="54355" customFormat="1" x14ac:dyDescent="0.2"/>
    <row r="54356" customFormat="1" x14ac:dyDescent="0.2"/>
    <row r="54357" customFormat="1" x14ac:dyDescent="0.2"/>
    <row r="54358" customFormat="1" x14ac:dyDescent="0.2"/>
    <row r="54359" customFormat="1" x14ac:dyDescent="0.2"/>
    <row r="54360" customFormat="1" x14ac:dyDescent="0.2"/>
    <row r="54361" customFormat="1" x14ac:dyDescent="0.2"/>
    <row r="54362" customFormat="1" x14ac:dyDescent="0.2"/>
    <row r="54363" customFormat="1" x14ac:dyDescent="0.2"/>
    <row r="54364" customFormat="1" x14ac:dyDescent="0.2"/>
    <row r="54365" customFormat="1" x14ac:dyDescent="0.2"/>
    <row r="54366" customFormat="1" x14ac:dyDescent="0.2"/>
    <row r="54367" customFormat="1" x14ac:dyDescent="0.2"/>
    <row r="54368" customFormat="1" x14ac:dyDescent="0.2"/>
    <row r="54369" customFormat="1" x14ac:dyDescent="0.2"/>
    <row r="54370" customFormat="1" x14ac:dyDescent="0.2"/>
    <row r="54371" customFormat="1" x14ac:dyDescent="0.2"/>
    <row r="54372" customFormat="1" x14ac:dyDescent="0.2"/>
    <row r="54373" customFormat="1" x14ac:dyDescent="0.2"/>
    <row r="54374" customFormat="1" x14ac:dyDescent="0.2"/>
    <row r="54375" customFormat="1" x14ac:dyDescent="0.2"/>
    <row r="54376" customFormat="1" x14ac:dyDescent="0.2"/>
    <row r="54377" customFormat="1" x14ac:dyDescent="0.2"/>
    <row r="54378" customFormat="1" x14ac:dyDescent="0.2"/>
    <row r="54379" customFormat="1" x14ac:dyDescent="0.2"/>
    <row r="54380" customFormat="1" x14ac:dyDescent="0.2"/>
    <row r="54381" customFormat="1" x14ac:dyDescent="0.2"/>
    <row r="54382" customFormat="1" x14ac:dyDescent="0.2"/>
    <row r="54383" customFormat="1" x14ac:dyDescent="0.2"/>
    <row r="54384" customFormat="1" x14ac:dyDescent="0.2"/>
    <row r="54385" customFormat="1" x14ac:dyDescent="0.2"/>
    <row r="54386" customFormat="1" x14ac:dyDescent="0.2"/>
    <row r="54387" customFormat="1" x14ac:dyDescent="0.2"/>
    <row r="54388" customFormat="1" x14ac:dyDescent="0.2"/>
    <row r="54389" customFormat="1" x14ac:dyDescent="0.2"/>
    <row r="54390" customFormat="1" x14ac:dyDescent="0.2"/>
    <row r="54391" customFormat="1" x14ac:dyDescent="0.2"/>
    <row r="54392" customFormat="1" x14ac:dyDescent="0.2"/>
    <row r="54393" customFormat="1" x14ac:dyDescent="0.2"/>
    <row r="54394" customFormat="1" x14ac:dyDescent="0.2"/>
    <row r="54395" customFormat="1" x14ac:dyDescent="0.2"/>
    <row r="54396" customFormat="1" x14ac:dyDescent="0.2"/>
    <row r="54397" customFormat="1" x14ac:dyDescent="0.2"/>
    <row r="54398" customFormat="1" x14ac:dyDescent="0.2"/>
    <row r="54399" customFormat="1" x14ac:dyDescent="0.2"/>
    <row r="54400" customFormat="1" x14ac:dyDescent="0.2"/>
    <row r="54401" customFormat="1" x14ac:dyDescent="0.2"/>
    <row r="54402" customFormat="1" x14ac:dyDescent="0.2"/>
    <row r="54403" customFormat="1" x14ac:dyDescent="0.2"/>
    <row r="54404" customFormat="1" x14ac:dyDescent="0.2"/>
    <row r="54405" customFormat="1" x14ac:dyDescent="0.2"/>
    <row r="54406" customFormat="1" x14ac:dyDescent="0.2"/>
    <row r="54407" customFormat="1" x14ac:dyDescent="0.2"/>
    <row r="54408" customFormat="1" x14ac:dyDescent="0.2"/>
    <row r="54409" customFormat="1" x14ac:dyDescent="0.2"/>
    <row r="54410" customFormat="1" x14ac:dyDescent="0.2"/>
    <row r="54411" customFormat="1" x14ac:dyDescent="0.2"/>
    <row r="54412" customFormat="1" x14ac:dyDescent="0.2"/>
    <row r="54413" customFormat="1" x14ac:dyDescent="0.2"/>
    <row r="54414" customFormat="1" x14ac:dyDescent="0.2"/>
    <row r="54415" customFormat="1" x14ac:dyDescent="0.2"/>
    <row r="54416" customFormat="1" x14ac:dyDescent="0.2"/>
    <row r="54417" customFormat="1" x14ac:dyDescent="0.2"/>
    <row r="54418" customFormat="1" x14ac:dyDescent="0.2"/>
    <row r="54419" customFormat="1" x14ac:dyDescent="0.2"/>
    <row r="54420" customFormat="1" x14ac:dyDescent="0.2"/>
    <row r="54421" customFormat="1" x14ac:dyDescent="0.2"/>
    <row r="54422" customFormat="1" x14ac:dyDescent="0.2"/>
    <row r="54423" customFormat="1" x14ac:dyDescent="0.2"/>
    <row r="54424" customFormat="1" x14ac:dyDescent="0.2"/>
    <row r="54425" customFormat="1" x14ac:dyDescent="0.2"/>
    <row r="54426" customFormat="1" x14ac:dyDescent="0.2"/>
    <row r="54427" customFormat="1" x14ac:dyDescent="0.2"/>
    <row r="54428" customFormat="1" x14ac:dyDescent="0.2"/>
    <row r="54429" customFormat="1" x14ac:dyDescent="0.2"/>
    <row r="54430" customFormat="1" x14ac:dyDescent="0.2"/>
    <row r="54431" customFormat="1" x14ac:dyDescent="0.2"/>
    <row r="54432" customFormat="1" x14ac:dyDescent="0.2"/>
    <row r="54433" customFormat="1" x14ac:dyDescent="0.2"/>
    <row r="54434" customFormat="1" x14ac:dyDescent="0.2"/>
    <row r="54435" customFormat="1" x14ac:dyDescent="0.2"/>
    <row r="54436" customFormat="1" x14ac:dyDescent="0.2"/>
    <row r="54437" customFormat="1" x14ac:dyDescent="0.2"/>
    <row r="54438" customFormat="1" x14ac:dyDescent="0.2"/>
    <row r="54439" customFormat="1" x14ac:dyDescent="0.2"/>
    <row r="54440" customFormat="1" x14ac:dyDescent="0.2"/>
    <row r="54441" customFormat="1" x14ac:dyDescent="0.2"/>
    <row r="54442" customFormat="1" x14ac:dyDescent="0.2"/>
    <row r="54443" customFormat="1" x14ac:dyDescent="0.2"/>
    <row r="54444" customFormat="1" x14ac:dyDescent="0.2"/>
    <row r="54445" customFormat="1" x14ac:dyDescent="0.2"/>
    <row r="54446" customFormat="1" x14ac:dyDescent="0.2"/>
    <row r="54447" customFormat="1" x14ac:dyDescent="0.2"/>
    <row r="54448" customFormat="1" x14ac:dyDescent="0.2"/>
    <row r="54449" customFormat="1" x14ac:dyDescent="0.2"/>
    <row r="54450" customFormat="1" x14ac:dyDescent="0.2"/>
    <row r="54451" customFormat="1" x14ac:dyDescent="0.2"/>
    <row r="54452" customFormat="1" x14ac:dyDescent="0.2"/>
    <row r="54453" customFormat="1" x14ac:dyDescent="0.2"/>
    <row r="54454" customFormat="1" x14ac:dyDescent="0.2"/>
    <row r="54455" customFormat="1" x14ac:dyDescent="0.2"/>
    <row r="54456" customFormat="1" x14ac:dyDescent="0.2"/>
    <row r="54457" customFormat="1" x14ac:dyDescent="0.2"/>
    <row r="54458" customFormat="1" x14ac:dyDescent="0.2"/>
    <row r="54459" customFormat="1" x14ac:dyDescent="0.2"/>
    <row r="54460" customFormat="1" x14ac:dyDescent="0.2"/>
    <row r="54461" customFormat="1" x14ac:dyDescent="0.2"/>
    <row r="54462" customFormat="1" x14ac:dyDescent="0.2"/>
    <row r="54463" customFormat="1" x14ac:dyDescent="0.2"/>
    <row r="54464" customFormat="1" x14ac:dyDescent="0.2"/>
    <row r="54465" customFormat="1" x14ac:dyDescent="0.2"/>
    <row r="54466" customFormat="1" x14ac:dyDescent="0.2"/>
    <row r="54467" customFormat="1" x14ac:dyDescent="0.2"/>
    <row r="54468" customFormat="1" x14ac:dyDescent="0.2"/>
    <row r="54469" customFormat="1" x14ac:dyDescent="0.2"/>
    <row r="54470" customFormat="1" x14ac:dyDescent="0.2"/>
    <row r="54471" customFormat="1" x14ac:dyDescent="0.2"/>
    <row r="54472" customFormat="1" x14ac:dyDescent="0.2"/>
    <row r="54473" customFormat="1" x14ac:dyDescent="0.2"/>
    <row r="54474" customFormat="1" x14ac:dyDescent="0.2"/>
    <row r="54475" customFormat="1" x14ac:dyDescent="0.2"/>
    <row r="54476" customFormat="1" x14ac:dyDescent="0.2"/>
    <row r="54477" customFormat="1" x14ac:dyDescent="0.2"/>
    <row r="54478" customFormat="1" x14ac:dyDescent="0.2"/>
    <row r="54479" customFormat="1" x14ac:dyDescent="0.2"/>
    <row r="54480" customFormat="1" x14ac:dyDescent="0.2"/>
    <row r="54481" customFormat="1" x14ac:dyDescent="0.2"/>
    <row r="54482" customFormat="1" x14ac:dyDescent="0.2"/>
    <row r="54483" customFormat="1" x14ac:dyDescent="0.2"/>
    <row r="54484" customFormat="1" x14ac:dyDescent="0.2"/>
    <row r="54485" customFormat="1" x14ac:dyDescent="0.2"/>
    <row r="54486" customFormat="1" x14ac:dyDescent="0.2"/>
    <row r="54487" customFormat="1" x14ac:dyDescent="0.2"/>
    <row r="54488" customFormat="1" x14ac:dyDescent="0.2"/>
    <row r="54489" customFormat="1" x14ac:dyDescent="0.2"/>
    <row r="54490" customFormat="1" x14ac:dyDescent="0.2"/>
    <row r="54491" customFormat="1" x14ac:dyDescent="0.2"/>
    <row r="54492" customFormat="1" x14ac:dyDescent="0.2"/>
    <row r="54493" customFormat="1" x14ac:dyDescent="0.2"/>
    <row r="54494" customFormat="1" x14ac:dyDescent="0.2"/>
    <row r="54495" customFormat="1" x14ac:dyDescent="0.2"/>
    <row r="54496" customFormat="1" x14ac:dyDescent="0.2"/>
    <row r="54497" customFormat="1" x14ac:dyDescent="0.2"/>
    <row r="54498" customFormat="1" x14ac:dyDescent="0.2"/>
    <row r="54499" customFormat="1" x14ac:dyDescent="0.2"/>
    <row r="54500" customFormat="1" x14ac:dyDescent="0.2"/>
    <row r="54501" customFormat="1" x14ac:dyDescent="0.2"/>
    <row r="54502" customFormat="1" x14ac:dyDescent="0.2"/>
    <row r="54503" customFormat="1" x14ac:dyDescent="0.2"/>
    <row r="54504" customFormat="1" x14ac:dyDescent="0.2"/>
    <row r="54505" customFormat="1" x14ac:dyDescent="0.2"/>
    <row r="54506" customFormat="1" x14ac:dyDescent="0.2"/>
    <row r="54507" customFormat="1" x14ac:dyDescent="0.2"/>
    <row r="54508" customFormat="1" x14ac:dyDescent="0.2"/>
    <row r="54509" customFormat="1" x14ac:dyDescent="0.2"/>
    <row r="54510" customFormat="1" x14ac:dyDescent="0.2"/>
    <row r="54511" customFormat="1" x14ac:dyDescent="0.2"/>
    <row r="54512" customFormat="1" x14ac:dyDescent="0.2"/>
    <row r="54513" customFormat="1" x14ac:dyDescent="0.2"/>
    <row r="54514" customFormat="1" x14ac:dyDescent="0.2"/>
    <row r="54515" customFormat="1" x14ac:dyDescent="0.2"/>
    <row r="54516" customFormat="1" x14ac:dyDescent="0.2"/>
    <row r="54517" customFormat="1" x14ac:dyDescent="0.2"/>
    <row r="54518" customFormat="1" x14ac:dyDescent="0.2"/>
    <row r="54519" customFormat="1" x14ac:dyDescent="0.2"/>
    <row r="54520" customFormat="1" x14ac:dyDescent="0.2"/>
    <row r="54521" customFormat="1" x14ac:dyDescent="0.2"/>
    <row r="54522" customFormat="1" x14ac:dyDescent="0.2"/>
    <row r="54523" customFormat="1" x14ac:dyDescent="0.2"/>
    <row r="54524" customFormat="1" x14ac:dyDescent="0.2"/>
    <row r="54525" customFormat="1" x14ac:dyDescent="0.2"/>
    <row r="54526" customFormat="1" x14ac:dyDescent="0.2"/>
    <row r="54527" customFormat="1" x14ac:dyDescent="0.2"/>
    <row r="54528" customFormat="1" x14ac:dyDescent="0.2"/>
    <row r="54529" customFormat="1" x14ac:dyDescent="0.2"/>
    <row r="54530" customFormat="1" x14ac:dyDescent="0.2"/>
    <row r="54531" customFormat="1" x14ac:dyDescent="0.2"/>
    <row r="54532" customFormat="1" x14ac:dyDescent="0.2"/>
    <row r="54533" customFormat="1" x14ac:dyDescent="0.2"/>
    <row r="54534" customFormat="1" x14ac:dyDescent="0.2"/>
    <row r="54535" customFormat="1" x14ac:dyDescent="0.2"/>
    <row r="54536" customFormat="1" x14ac:dyDescent="0.2"/>
    <row r="54537" customFormat="1" x14ac:dyDescent="0.2"/>
    <row r="54538" customFormat="1" x14ac:dyDescent="0.2"/>
    <row r="54539" customFormat="1" x14ac:dyDescent="0.2"/>
    <row r="54540" customFormat="1" x14ac:dyDescent="0.2"/>
    <row r="54541" customFormat="1" x14ac:dyDescent="0.2"/>
    <row r="54542" customFormat="1" x14ac:dyDescent="0.2"/>
    <row r="54543" customFormat="1" x14ac:dyDescent="0.2"/>
    <row r="54544" customFormat="1" x14ac:dyDescent="0.2"/>
    <row r="54545" customFormat="1" x14ac:dyDescent="0.2"/>
    <row r="54546" customFormat="1" x14ac:dyDescent="0.2"/>
    <row r="54547" customFormat="1" x14ac:dyDescent="0.2"/>
    <row r="54548" customFormat="1" x14ac:dyDescent="0.2"/>
    <row r="54549" customFormat="1" x14ac:dyDescent="0.2"/>
    <row r="54550" customFormat="1" x14ac:dyDescent="0.2"/>
    <row r="54551" customFormat="1" x14ac:dyDescent="0.2"/>
    <row r="54552" customFormat="1" x14ac:dyDescent="0.2"/>
    <row r="54553" customFormat="1" x14ac:dyDescent="0.2"/>
    <row r="54554" customFormat="1" x14ac:dyDescent="0.2"/>
    <row r="54555" customFormat="1" x14ac:dyDescent="0.2"/>
    <row r="54556" customFormat="1" x14ac:dyDescent="0.2"/>
    <row r="54557" customFormat="1" x14ac:dyDescent="0.2"/>
    <row r="54558" customFormat="1" x14ac:dyDescent="0.2"/>
    <row r="54559" customFormat="1" x14ac:dyDescent="0.2"/>
    <row r="54560" customFormat="1" x14ac:dyDescent="0.2"/>
    <row r="54561" customFormat="1" x14ac:dyDescent="0.2"/>
    <row r="54562" customFormat="1" x14ac:dyDescent="0.2"/>
    <row r="54563" customFormat="1" x14ac:dyDescent="0.2"/>
    <row r="54564" customFormat="1" x14ac:dyDescent="0.2"/>
    <row r="54565" customFormat="1" x14ac:dyDescent="0.2"/>
    <row r="54566" customFormat="1" x14ac:dyDescent="0.2"/>
    <row r="54567" customFormat="1" x14ac:dyDescent="0.2"/>
    <row r="54568" customFormat="1" x14ac:dyDescent="0.2"/>
    <row r="54569" customFormat="1" x14ac:dyDescent="0.2"/>
    <row r="54570" customFormat="1" x14ac:dyDescent="0.2"/>
    <row r="54571" customFormat="1" x14ac:dyDescent="0.2"/>
    <row r="54572" customFormat="1" x14ac:dyDescent="0.2"/>
    <row r="54573" customFormat="1" x14ac:dyDescent="0.2"/>
    <row r="54574" customFormat="1" x14ac:dyDescent="0.2"/>
    <row r="54575" customFormat="1" x14ac:dyDescent="0.2"/>
    <row r="54576" customFormat="1" x14ac:dyDescent="0.2"/>
    <row r="54577" customFormat="1" x14ac:dyDescent="0.2"/>
    <row r="54578" customFormat="1" x14ac:dyDescent="0.2"/>
    <row r="54579" customFormat="1" x14ac:dyDescent="0.2"/>
    <row r="54580" customFormat="1" x14ac:dyDescent="0.2"/>
    <row r="54581" customFormat="1" x14ac:dyDescent="0.2"/>
    <row r="54582" customFormat="1" x14ac:dyDescent="0.2"/>
    <row r="54583" customFormat="1" x14ac:dyDescent="0.2"/>
    <row r="54584" customFormat="1" x14ac:dyDescent="0.2"/>
    <row r="54585" customFormat="1" x14ac:dyDescent="0.2"/>
    <row r="54586" customFormat="1" x14ac:dyDescent="0.2"/>
    <row r="54587" customFormat="1" x14ac:dyDescent="0.2"/>
    <row r="54588" customFormat="1" x14ac:dyDescent="0.2"/>
    <row r="54589" customFormat="1" x14ac:dyDescent="0.2"/>
    <row r="54590" customFormat="1" x14ac:dyDescent="0.2"/>
    <row r="54591" customFormat="1" x14ac:dyDescent="0.2"/>
    <row r="54592" customFormat="1" x14ac:dyDescent="0.2"/>
    <row r="54593" customFormat="1" x14ac:dyDescent="0.2"/>
    <row r="54594" customFormat="1" x14ac:dyDescent="0.2"/>
    <row r="54595" customFormat="1" x14ac:dyDescent="0.2"/>
    <row r="54596" customFormat="1" x14ac:dyDescent="0.2"/>
    <row r="54597" customFormat="1" x14ac:dyDescent="0.2"/>
    <row r="54598" customFormat="1" x14ac:dyDescent="0.2"/>
    <row r="54599" customFormat="1" x14ac:dyDescent="0.2"/>
    <row r="54600" customFormat="1" x14ac:dyDescent="0.2"/>
    <row r="54601" customFormat="1" x14ac:dyDescent="0.2"/>
    <row r="54602" customFormat="1" x14ac:dyDescent="0.2"/>
    <row r="54603" customFormat="1" x14ac:dyDescent="0.2"/>
    <row r="54604" customFormat="1" x14ac:dyDescent="0.2"/>
    <row r="54605" customFormat="1" x14ac:dyDescent="0.2"/>
    <row r="54606" customFormat="1" x14ac:dyDescent="0.2"/>
    <row r="54607" customFormat="1" x14ac:dyDescent="0.2"/>
    <row r="54608" customFormat="1" x14ac:dyDescent="0.2"/>
    <row r="54609" customFormat="1" x14ac:dyDescent="0.2"/>
    <row r="54610" customFormat="1" x14ac:dyDescent="0.2"/>
    <row r="54611" customFormat="1" x14ac:dyDescent="0.2"/>
    <row r="54612" customFormat="1" x14ac:dyDescent="0.2"/>
    <row r="54613" customFormat="1" x14ac:dyDescent="0.2"/>
    <row r="54614" customFormat="1" x14ac:dyDescent="0.2"/>
    <row r="54615" customFormat="1" x14ac:dyDescent="0.2"/>
    <row r="54616" customFormat="1" x14ac:dyDescent="0.2"/>
    <row r="54617" customFormat="1" x14ac:dyDescent="0.2"/>
    <row r="54618" customFormat="1" x14ac:dyDescent="0.2"/>
    <row r="54619" customFormat="1" x14ac:dyDescent="0.2"/>
    <row r="54620" customFormat="1" x14ac:dyDescent="0.2"/>
    <row r="54621" customFormat="1" x14ac:dyDescent="0.2"/>
    <row r="54622" customFormat="1" x14ac:dyDescent="0.2"/>
    <row r="54623" customFormat="1" x14ac:dyDescent="0.2"/>
    <row r="54624" customFormat="1" x14ac:dyDescent="0.2"/>
    <row r="54625" customFormat="1" x14ac:dyDescent="0.2"/>
    <row r="54626" customFormat="1" x14ac:dyDescent="0.2"/>
    <row r="54627" customFormat="1" x14ac:dyDescent="0.2"/>
    <row r="54628" customFormat="1" x14ac:dyDescent="0.2"/>
    <row r="54629" customFormat="1" x14ac:dyDescent="0.2"/>
    <row r="54630" customFormat="1" x14ac:dyDescent="0.2"/>
    <row r="54631" customFormat="1" x14ac:dyDescent="0.2"/>
    <row r="54632" customFormat="1" x14ac:dyDescent="0.2"/>
    <row r="54633" customFormat="1" x14ac:dyDescent="0.2"/>
    <row r="54634" customFormat="1" x14ac:dyDescent="0.2"/>
    <row r="54635" customFormat="1" x14ac:dyDescent="0.2"/>
    <row r="54636" customFormat="1" x14ac:dyDescent="0.2"/>
    <row r="54637" customFormat="1" x14ac:dyDescent="0.2"/>
    <row r="54638" customFormat="1" x14ac:dyDescent="0.2"/>
    <row r="54639" customFormat="1" x14ac:dyDescent="0.2"/>
    <row r="54640" customFormat="1" x14ac:dyDescent="0.2"/>
    <row r="54641" customFormat="1" x14ac:dyDescent="0.2"/>
    <row r="54642" customFormat="1" x14ac:dyDescent="0.2"/>
    <row r="54643" customFormat="1" x14ac:dyDescent="0.2"/>
    <row r="54644" customFormat="1" x14ac:dyDescent="0.2"/>
    <row r="54645" customFormat="1" x14ac:dyDescent="0.2"/>
    <row r="54646" customFormat="1" x14ac:dyDescent="0.2"/>
    <row r="54647" customFormat="1" x14ac:dyDescent="0.2"/>
    <row r="54648" customFormat="1" x14ac:dyDescent="0.2"/>
    <row r="54649" customFormat="1" x14ac:dyDescent="0.2"/>
    <row r="54650" customFormat="1" x14ac:dyDescent="0.2"/>
    <row r="54651" customFormat="1" x14ac:dyDescent="0.2"/>
    <row r="54652" customFormat="1" x14ac:dyDescent="0.2"/>
    <row r="54653" customFormat="1" x14ac:dyDescent="0.2"/>
    <row r="54654" customFormat="1" x14ac:dyDescent="0.2"/>
    <row r="54655" customFormat="1" x14ac:dyDescent="0.2"/>
    <row r="54656" customFormat="1" x14ac:dyDescent="0.2"/>
    <row r="54657" customFormat="1" x14ac:dyDescent="0.2"/>
    <row r="54658" customFormat="1" x14ac:dyDescent="0.2"/>
    <row r="54659" customFormat="1" x14ac:dyDescent="0.2"/>
    <row r="54660" customFormat="1" x14ac:dyDescent="0.2"/>
    <row r="54661" customFormat="1" x14ac:dyDescent="0.2"/>
    <row r="54662" customFormat="1" x14ac:dyDescent="0.2"/>
    <row r="54663" customFormat="1" x14ac:dyDescent="0.2"/>
    <row r="54664" customFormat="1" x14ac:dyDescent="0.2"/>
    <row r="54665" customFormat="1" x14ac:dyDescent="0.2"/>
    <row r="54666" customFormat="1" x14ac:dyDescent="0.2"/>
    <row r="54667" customFormat="1" x14ac:dyDescent="0.2"/>
    <row r="54668" customFormat="1" x14ac:dyDescent="0.2"/>
    <row r="54669" customFormat="1" x14ac:dyDescent="0.2"/>
    <row r="54670" customFormat="1" x14ac:dyDescent="0.2"/>
    <row r="54671" customFormat="1" x14ac:dyDescent="0.2"/>
    <row r="54672" customFormat="1" x14ac:dyDescent="0.2"/>
    <row r="54673" customFormat="1" x14ac:dyDescent="0.2"/>
    <row r="54674" customFormat="1" x14ac:dyDescent="0.2"/>
    <row r="54675" customFormat="1" x14ac:dyDescent="0.2"/>
    <row r="54676" customFormat="1" x14ac:dyDescent="0.2"/>
    <row r="54677" customFormat="1" x14ac:dyDescent="0.2"/>
    <row r="54678" customFormat="1" x14ac:dyDescent="0.2"/>
    <row r="54679" customFormat="1" x14ac:dyDescent="0.2"/>
    <row r="54680" customFormat="1" x14ac:dyDescent="0.2"/>
    <row r="54681" customFormat="1" x14ac:dyDescent="0.2"/>
    <row r="54682" customFormat="1" x14ac:dyDescent="0.2"/>
    <row r="54683" customFormat="1" x14ac:dyDescent="0.2"/>
    <row r="54684" customFormat="1" x14ac:dyDescent="0.2"/>
    <row r="54685" customFormat="1" x14ac:dyDescent="0.2"/>
    <row r="54686" customFormat="1" x14ac:dyDescent="0.2"/>
    <row r="54687" customFormat="1" x14ac:dyDescent="0.2"/>
    <row r="54688" customFormat="1" x14ac:dyDescent="0.2"/>
    <row r="54689" customFormat="1" x14ac:dyDescent="0.2"/>
    <row r="54690" customFormat="1" x14ac:dyDescent="0.2"/>
    <row r="54691" customFormat="1" x14ac:dyDescent="0.2"/>
    <row r="54692" customFormat="1" x14ac:dyDescent="0.2"/>
    <row r="54693" customFormat="1" x14ac:dyDescent="0.2"/>
    <row r="54694" customFormat="1" x14ac:dyDescent="0.2"/>
    <row r="54695" customFormat="1" x14ac:dyDescent="0.2"/>
    <row r="54696" customFormat="1" x14ac:dyDescent="0.2"/>
    <row r="54697" customFormat="1" x14ac:dyDescent="0.2"/>
    <row r="54698" customFormat="1" x14ac:dyDescent="0.2"/>
    <row r="54699" customFormat="1" x14ac:dyDescent="0.2"/>
    <row r="54700" customFormat="1" x14ac:dyDescent="0.2"/>
    <row r="54701" customFormat="1" x14ac:dyDescent="0.2"/>
    <row r="54702" customFormat="1" x14ac:dyDescent="0.2"/>
    <row r="54703" customFormat="1" x14ac:dyDescent="0.2"/>
    <row r="54704" customFormat="1" x14ac:dyDescent="0.2"/>
    <row r="54705" customFormat="1" x14ac:dyDescent="0.2"/>
    <row r="54706" customFormat="1" x14ac:dyDescent="0.2"/>
    <row r="54707" customFormat="1" x14ac:dyDescent="0.2"/>
    <row r="54708" customFormat="1" x14ac:dyDescent="0.2"/>
    <row r="54709" customFormat="1" x14ac:dyDescent="0.2"/>
    <row r="54710" customFormat="1" x14ac:dyDescent="0.2"/>
    <row r="54711" customFormat="1" x14ac:dyDescent="0.2"/>
    <row r="54712" customFormat="1" x14ac:dyDescent="0.2"/>
    <row r="54713" customFormat="1" x14ac:dyDescent="0.2"/>
    <row r="54714" customFormat="1" x14ac:dyDescent="0.2"/>
    <row r="54715" customFormat="1" x14ac:dyDescent="0.2"/>
    <row r="54716" customFormat="1" x14ac:dyDescent="0.2"/>
    <row r="54717" customFormat="1" x14ac:dyDescent="0.2"/>
    <row r="54718" customFormat="1" x14ac:dyDescent="0.2"/>
    <row r="54719" customFormat="1" x14ac:dyDescent="0.2"/>
    <row r="54720" customFormat="1" x14ac:dyDescent="0.2"/>
    <row r="54721" customFormat="1" x14ac:dyDescent="0.2"/>
    <row r="54722" customFormat="1" x14ac:dyDescent="0.2"/>
    <row r="54723" customFormat="1" x14ac:dyDescent="0.2"/>
    <row r="54724" customFormat="1" x14ac:dyDescent="0.2"/>
    <row r="54725" customFormat="1" x14ac:dyDescent="0.2"/>
    <row r="54726" customFormat="1" x14ac:dyDescent="0.2"/>
    <row r="54727" customFormat="1" x14ac:dyDescent="0.2"/>
    <row r="54728" customFormat="1" x14ac:dyDescent="0.2"/>
    <row r="54729" customFormat="1" x14ac:dyDescent="0.2"/>
    <row r="54730" customFormat="1" x14ac:dyDescent="0.2"/>
    <row r="54731" customFormat="1" x14ac:dyDescent="0.2"/>
    <row r="54732" customFormat="1" x14ac:dyDescent="0.2"/>
    <row r="54733" customFormat="1" x14ac:dyDescent="0.2"/>
    <row r="54734" customFormat="1" x14ac:dyDescent="0.2"/>
    <row r="54735" customFormat="1" x14ac:dyDescent="0.2"/>
    <row r="54736" customFormat="1" x14ac:dyDescent="0.2"/>
    <row r="54737" customFormat="1" x14ac:dyDescent="0.2"/>
    <row r="54738" customFormat="1" x14ac:dyDescent="0.2"/>
    <row r="54739" customFormat="1" x14ac:dyDescent="0.2"/>
    <row r="54740" customFormat="1" x14ac:dyDescent="0.2"/>
    <row r="54741" customFormat="1" x14ac:dyDescent="0.2"/>
    <row r="54742" customFormat="1" x14ac:dyDescent="0.2"/>
    <row r="54743" customFormat="1" x14ac:dyDescent="0.2"/>
    <row r="54744" customFormat="1" x14ac:dyDescent="0.2"/>
    <row r="54745" customFormat="1" x14ac:dyDescent="0.2"/>
    <row r="54746" customFormat="1" x14ac:dyDescent="0.2"/>
    <row r="54747" customFormat="1" x14ac:dyDescent="0.2"/>
    <row r="54748" customFormat="1" x14ac:dyDescent="0.2"/>
    <row r="54749" customFormat="1" x14ac:dyDescent="0.2"/>
    <row r="54750" customFormat="1" x14ac:dyDescent="0.2"/>
    <row r="54751" customFormat="1" x14ac:dyDescent="0.2"/>
    <row r="54752" customFormat="1" x14ac:dyDescent="0.2"/>
    <row r="54753" customFormat="1" x14ac:dyDescent="0.2"/>
    <row r="54754" customFormat="1" x14ac:dyDescent="0.2"/>
    <row r="54755" customFormat="1" x14ac:dyDescent="0.2"/>
    <row r="54756" customFormat="1" x14ac:dyDescent="0.2"/>
    <row r="54757" customFormat="1" x14ac:dyDescent="0.2"/>
    <row r="54758" customFormat="1" x14ac:dyDescent="0.2"/>
    <row r="54759" customFormat="1" x14ac:dyDescent="0.2"/>
    <row r="54760" customFormat="1" x14ac:dyDescent="0.2"/>
    <row r="54761" customFormat="1" x14ac:dyDescent="0.2"/>
    <row r="54762" customFormat="1" x14ac:dyDescent="0.2"/>
    <row r="54763" customFormat="1" x14ac:dyDescent="0.2"/>
    <row r="54764" customFormat="1" x14ac:dyDescent="0.2"/>
    <row r="54765" customFormat="1" x14ac:dyDescent="0.2"/>
    <row r="54766" customFormat="1" x14ac:dyDescent="0.2"/>
    <row r="54767" customFormat="1" x14ac:dyDescent="0.2"/>
    <row r="54768" customFormat="1" x14ac:dyDescent="0.2"/>
    <row r="54769" customFormat="1" x14ac:dyDescent="0.2"/>
    <row r="54770" customFormat="1" x14ac:dyDescent="0.2"/>
    <row r="54771" customFormat="1" x14ac:dyDescent="0.2"/>
    <row r="54772" customFormat="1" x14ac:dyDescent="0.2"/>
    <row r="54773" customFormat="1" x14ac:dyDescent="0.2"/>
    <row r="54774" customFormat="1" x14ac:dyDescent="0.2"/>
    <row r="54775" customFormat="1" x14ac:dyDescent="0.2"/>
    <row r="54776" customFormat="1" x14ac:dyDescent="0.2"/>
    <row r="54777" customFormat="1" x14ac:dyDescent="0.2"/>
    <row r="54778" customFormat="1" x14ac:dyDescent="0.2"/>
    <row r="54779" customFormat="1" x14ac:dyDescent="0.2"/>
    <row r="54780" customFormat="1" x14ac:dyDescent="0.2"/>
    <row r="54781" customFormat="1" x14ac:dyDescent="0.2"/>
    <row r="54782" customFormat="1" x14ac:dyDescent="0.2"/>
    <row r="54783" customFormat="1" x14ac:dyDescent="0.2"/>
    <row r="54784" customFormat="1" x14ac:dyDescent="0.2"/>
    <row r="54785" customFormat="1" x14ac:dyDescent="0.2"/>
    <row r="54786" customFormat="1" x14ac:dyDescent="0.2"/>
    <row r="54787" customFormat="1" x14ac:dyDescent="0.2"/>
    <row r="54788" customFormat="1" x14ac:dyDescent="0.2"/>
    <row r="54789" customFormat="1" x14ac:dyDescent="0.2"/>
    <row r="54790" customFormat="1" x14ac:dyDescent="0.2"/>
    <row r="54791" customFormat="1" x14ac:dyDescent="0.2"/>
    <row r="54792" customFormat="1" x14ac:dyDescent="0.2"/>
    <row r="54793" customFormat="1" x14ac:dyDescent="0.2"/>
    <row r="54794" customFormat="1" x14ac:dyDescent="0.2"/>
    <row r="54795" customFormat="1" x14ac:dyDescent="0.2"/>
    <row r="54796" customFormat="1" x14ac:dyDescent="0.2"/>
    <row r="54797" customFormat="1" x14ac:dyDescent="0.2"/>
    <row r="54798" customFormat="1" x14ac:dyDescent="0.2"/>
    <row r="54799" customFormat="1" x14ac:dyDescent="0.2"/>
    <row r="54800" customFormat="1" x14ac:dyDescent="0.2"/>
    <row r="54801" customFormat="1" x14ac:dyDescent="0.2"/>
    <row r="54802" customFormat="1" x14ac:dyDescent="0.2"/>
    <row r="54803" customFormat="1" x14ac:dyDescent="0.2"/>
    <row r="54804" customFormat="1" x14ac:dyDescent="0.2"/>
    <row r="54805" customFormat="1" x14ac:dyDescent="0.2"/>
    <row r="54806" customFormat="1" x14ac:dyDescent="0.2"/>
    <row r="54807" customFormat="1" x14ac:dyDescent="0.2"/>
    <row r="54808" customFormat="1" x14ac:dyDescent="0.2"/>
    <row r="54809" customFormat="1" x14ac:dyDescent="0.2"/>
    <row r="54810" customFormat="1" x14ac:dyDescent="0.2"/>
    <row r="54811" customFormat="1" x14ac:dyDescent="0.2"/>
    <row r="54812" customFormat="1" x14ac:dyDescent="0.2"/>
    <row r="54813" customFormat="1" x14ac:dyDescent="0.2"/>
    <row r="54814" customFormat="1" x14ac:dyDescent="0.2"/>
    <row r="54815" customFormat="1" x14ac:dyDescent="0.2"/>
    <row r="54816" customFormat="1" x14ac:dyDescent="0.2"/>
    <row r="54817" customFormat="1" x14ac:dyDescent="0.2"/>
    <row r="54818" customFormat="1" x14ac:dyDescent="0.2"/>
    <row r="54819" customFormat="1" x14ac:dyDescent="0.2"/>
    <row r="54820" customFormat="1" x14ac:dyDescent="0.2"/>
    <row r="54821" customFormat="1" x14ac:dyDescent="0.2"/>
    <row r="54822" customFormat="1" x14ac:dyDescent="0.2"/>
    <row r="54823" customFormat="1" x14ac:dyDescent="0.2"/>
    <row r="54824" customFormat="1" x14ac:dyDescent="0.2"/>
    <row r="54825" customFormat="1" x14ac:dyDescent="0.2"/>
    <row r="54826" customFormat="1" x14ac:dyDescent="0.2"/>
    <row r="54827" customFormat="1" x14ac:dyDescent="0.2"/>
    <row r="54828" customFormat="1" x14ac:dyDescent="0.2"/>
    <row r="54829" customFormat="1" x14ac:dyDescent="0.2"/>
    <row r="54830" customFormat="1" x14ac:dyDescent="0.2"/>
    <row r="54831" customFormat="1" x14ac:dyDescent="0.2"/>
    <row r="54832" customFormat="1" x14ac:dyDescent="0.2"/>
    <row r="54833" customFormat="1" x14ac:dyDescent="0.2"/>
    <row r="54834" customFormat="1" x14ac:dyDescent="0.2"/>
    <row r="54835" customFormat="1" x14ac:dyDescent="0.2"/>
    <row r="54836" customFormat="1" x14ac:dyDescent="0.2"/>
    <row r="54837" customFormat="1" x14ac:dyDescent="0.2"/>
    <row r="54838" customFormat="1" x14ac:dyDescent="0.2"/>
    <row r="54839" customFormat="1" x14ac:dyDescent="0.2"/>
    <row r="54840" customFormat="1" x14ac:dyDescent="0.2"/>
    <row r="54841" customFormat="1" x14ac:dyDescent="0.2"/>
    <row r="54842" customFormat="1" x14ac:dyDescent="0.2"/>
    <row r="54843" customFormat="1" x14ac:dyDescent="0.2"/>
    <row r="54844" customFormat="1" x14ac:dyDescent="0.2"/>
    <row r="54845" customFormat="1" x14ac:dyDescent="0.2"/>
    <row r="54846" customFormat="1" x14ac:dyDescent="0.2"/>
    <row r="54847" customFormat="1" x14ac:dyDescent="0.2"/>
    <row r="54848" customFormat="1" x14ac:dyDescent="0.2"/>
    <row r="54849" customFormat="1" x14ac:dyDescent="0.2"/>
    <row r="54850" customFormat="1" x14ac:dyDescent="0.2"/>
    <row r="54851" customFormat="1" x14ac:dyDescent="0.2"/>
    <row r="54852" customFormat="1" x14ac:dyDescent="0.2"/>
    <row r="54853" customFormat="1" x14ac:dyDescent="0.2"/>
    <row r="54854" customFormat="1" x14ac:dyDescent="0.2"/>
    <row r="54855" customFormat="1" x14ac:dyDescent="0.2"/>
    <row r="54856" customFormat="1" x14ac:dyDescent="0.2"/>
    <row r="54857" customFormat="1" x14ac:dyDescent="0.2"/>
    <row r="54858" customFormat="1" x14ac:dyDescent="0.2"/>
    <row r="54859" customFormat="1" x14ac:dyDescent="0.2"/>
    <row r="54860" customFormat="1" x14ac:dyDescent="0.2"/>
    <row r="54861" customFormat="1" x14ac:dyDescent="0.2"/>
    <row r="54862" customFormat="1" x14ac:dyDescent="0.2"/>
    <row r="54863" customFormat="1" x14ac:dyDescent="0.2"/>
    <row r="54864" customFormat="1" x14ac:dyDescent="0.2"/>
    <row r="54865" customFormat="1" x14ac:dyDescent="0.2"/>
    <row r="54866" customFormat="1" x14ac:dyDescent="0.2"/>
    <row r="54867" customFormat="1" x14ac:dyDescent="0.2"/>
    <row r="54868" customFormat="1" x14ac:dyDescent="0.2"/>
    <row r="54869" customFormat="1" x14ac:dyDescent="0.2"/>
    <row r="54870" customFormat="1" x14ac:dyDescent="0.2"/>
    <row r="54871" customFormat="1" x14ac:dyDescent="0.2"/>
    <row r="54872" customFormat="1" x14ac:dyDescent="0.2"/>
    <row r="54873" customFormat="1" x14ac:dyDescent="0.2"/>
    <row r="54874" customFormat="1" x14ac:dyDescent="0.2"/>
    <row r="54875" customFormat="1" x14ac:dyDescent="0.2"/>
    <row r="54876" customFormat="1" x14ac:dyDescent="0.2"/>
    <row r="54877" customFormat="1" x14ac:dyDescent="0.2"/>
    <row r="54878" customFormat="1" x14ac:dyDescent="0.2"/>
    <row r="54879" customFormat="1" x14ac:dyDescent="0.2"/>
    <row r="54880" customFormat="1" x14ac:dyDescent="0.2"/>
    <row r="54881" customFormat="1" x14ac:dyDescent="0.2"/>
    <row r="54882" customFormat="1" x14ac:dyDescent="0.2"/>
    <row r="54883" customFormat="1" x14ac:dyDescent="0.2"/>
    <row r="54884" customFormat="1" x14ac:dyDescent="0.2"/>
    <row r="54885" customFormat="1" x14ac:dyDescent="0.2"/>
    <row r="54886" customFormat="1" x14ac:dyDescent="0.2"/>
    <row r="54887" customFormat="1" x14ac:dyDescent="0.2"/>
    <row r="54888" customFormat="1" x14ac:dyDescent="0.2"/>
    <row r="54889" customFormat="1" x14ac:dyDescent="0.2"/>
    <row r="54890" customFormat="1" x14ac:dyDescent="0.2"/>
    <row r="54891" customFormat="1" x14ac:dyDescent="0.2"/>
    <row r="54892" customFormat="1" x14ac:dyDescent="0.2"/>
    <row r="54893" customFormat="1" x14ac:dyDescent="0.2"/>
    <row r="54894" customFormat="1" x14ac:dyDescent="0.2"/>
    <row r="54895" customFormat="1" x14ac:dyDescent="0.2"/>
    <row r="54896" customFormat="1" x14ac:dyDescent="0.2"/>
    <row r="54897" customFormat="1" x14ac:dyDescent="0.2"/>
    <row r="54898" customFormat="1" x14ac:dyDescent="0.2"/>
    <row r="54899" customFormat="1" x14ac:dyDescent="0.2"/>
    <row r="54900" customFormat="1" x14ac:dyDescent="0.2"/>
    <row r="54901" customFormat="1" x14ac:dyDescent="0.2"/>
    <row r="54902" customFormat="1" x14ac:dyDescent="0.2"/>
    <row r="54903" customFormat="1" x14ac:dyDescent="0.2"/>
    <row r="54904" customFormat="1" x14ac:dyDescent="0.2"/>
    <row r="54905" customFormat="1" x14ac:dyDescent="0.2"/>
    <row r="54906" customFormat="1" x14ac:dyDescent="0.2"/>
    <row r="54907" customFormat="1" x14ac:dyDescent="0.2"/>
    <row r="54908" customFormat="1" x14ac:dyDescent="0.2"/>
    <row r="54909" customFormat="1" x14ac:dyDescent="0.2"/>
    <row r="54910" customFormat="1" x14ac:dyDescent="0.2"/>
    <row r="54911" customFormat="1" x14ac:dyDescent="0.2"/>
    <row r="54912" customFormat="1" x14ac:dyDescent="0.2"/>
    <row r="54913" customFormat="1" x14ac:dyDescent="0.2"/>
    <row r="54914" customFormat="1" x14ac:dyDescent="0.2"/>
    <row r="54915" customFormat="1" x14ac:dyDescent="0.2"/>
    <row r="54916" customFormat="1" x14ac:dyDescent="0.2"/>
    <row r="54917" customFormat="1" x14ac:dyDescent="0.2"/>
    <row r="54918" customFormat="1" x14ac:dyDescent="0.2"/>
    <row r="54919" customFormat="1" x14ac:dyDescent="0.2"/>
    <row r="54920" customFormat="1" x14ac:dyDescent="0.2"/>
    <row r="54921" customFormat="1" x14ac:dyDescent="0.2"/>
    <row r="54922" customFormat="1" x14ac:dyDescent="0.2"/>
    <row r="54923" customFormat="1" x14ac:dyDescent="0.2"/>
    <row r="54924" customFormat="1" x14ac:dyDescent="0.2"/>
    <row r="54925" customFormat="1" x14ac:dyDescent="0.2"/>
    <row r="54926" customFormat="1" x14ac:dyDescent="0.2"/>
    <row r="54927" customFormat="1" x14ac:dyDescent="0.2"/>
    <row r="54928" customFormat="1" x14ac:dyDescent="0.2"/>
    <row r="54929" customFormat="1" x14ac:dyDescent="0.2"/>
    <row r="54930" customFormat="1" x14ac:dyDescent="0.2"/>
    <row r="54931" customFormat="1" x14ac:dyDescent="0.2"/>
    <row r="54932" customFormat="1" x14ac:dyDescent="0.2"/>
    <row r="54933" customFormat="1" x14ac:dyDescent="0.2"/>
    <row r="54934" customFormat="1" x14ac:dyDescent="0.2"/>
    <row r="54935" customFormat="1" x14ac:dyDescent="0.2"/>
    <row r="54936" customFormat="1" x14ac:dyDescent="0.2"/>
    <row r="54937" customFormat="1" x14ac:dyDescent="0.2"/>
    <row r="54938" customFormat="1" x14ac:dyDescent="0.2"/>
    <row r="54939" customFormat="1" x14ac:dyDescent="0.2"/>
    <row r="54940" customFormat="1" x14ac:dyDescent="0.2"/>
    <row r="54941" customFormat="1" x14ac:dyDescent="0.2"/>
    <row r="54942" customFormat="1" x14ac:dyDescent="0.2"/>
    <row r="54943" customFormat="1" x14ac:dyDescent="0.2"/>
    <row r="54944" customFormat="1" x14ac:dyDescent="0.2"/>
    <row r="54945" customFormat="1" x14ac:dyDescent="0.2"/>
    <row r="54946" customFormat="1" x14ac:dyDescent="0.2"/>
    <row r="54947" customFormat="1" x14ac:dyDescent="0.2"/>
    <row r="54948" customFormat="1" x14ac:dyDescent="0.2"/>
    <row r="54949" customFormat="1" x14ac:dyDescent="0.2"/>
    <row r="54950" customFormat="1" x14ac:dyDescent="0.2"/>
    <row r="54951" customFormat="1" x14ac:dyDescent="0.2"/>
    <row r="54952" customFormat="1" x14ac:dyDescent="0.2"/>
    <row r="54953" customFormat="1" x14ac:dyDescent="0.2"/>
    <row r="54954" customFormat="1" x14ac:dyDescent="0.2"/>
    <row r="54955" customFormat="1" x14ac:dyDescent="0.2"/>
    <row r="54956" customFormat="1" x14ac:dyDescent="0.2"/>
    <row r="54957" customFormat="1" x14ac:dyDescent="0.2"/>
    <row r="54958" customFormat="1" x14ac:dyDescent="0.2"/>
    <row r="54959" customFormat="1" x14ac:dyDescent="0.2"/>
    <row r="54960" customFormat="1" x14ac:dyDescent="0.2"/>
    <row r="54961" customFormat="1" x14ac:dyDescent="0.2"/>
    <row r="54962" customFormat="1" x14ac:dyDescent="0.2"/>
    <row r="54963" customFormat="1" x14ac:dyDescent="0.2"/>
    <row r="54964" customFormat="1" x14ac:dyDescent="0.2"/>
    <row r="54965" customFormat="1" x14ac:dyDescent="0.2"/>
    <row r="54966" customFormat="1" x14ac:dyDescent="0.2"/>
    <row r="54967" customFormat="1" x14ac:dyDescent="0.2"/>
    <row r="54968" customFormat="1" x14ac:dyDescent="0.2"/>
    <row r="54969" customFormat="1" x14ac:dyDescent="0.2"/>
    <row r="54970" customFormat="1" x14ac:dyDescent="0.2"/>
    <row r="54971" customFormat="1" x14ac:dyDescent="0.2"/>
    <row r="54972" customFormat="1" x14ac:dyDescent="0.2"/>
    <row r="54973" customFormat="1" x14ac:dyDescent="0.2"/>
    <row r="54974" customFormat="1" x14ac:dyDescent="0.2"/>
    <row r="54975" customFormat="1" x14ac:dyDescent="0.2"/>
    <row r="54976" customFormat="1" x14ac:dyDescent="0.2"/>
    <row r="54977" customFormat="1" x14ac:dyDescent="0.2"/>
    <row r="54978" customFormat="1" x14ac:dyDescent="0.2"/>
    <row r="54979" customFormat="1" x14ac:dyDescent="0.2"/>
    <row r="54980" customFormat="1" x14ac:dyDescent="0.2"/>
    <row r="54981" customFormat="1" x14ac:dyDescent="0.2"/>
    <row r="54982" customFormat="1" x14ac:dyDescent="0.2"/>
    <row r="54983" customFormat="1" x14ac:dyDescent="0.2"/>
    <row r="54984" customFormat="1" x14ac:dyDescent="0.2"/>
    <row r="54985" customFormat="1" x14ac:dyDescent="0.2"/>
    <row r="54986" customFormat="1" x14ac:dyDescent="0.2"/>
    <row r="54987" customFormat="1" x14ac:dyDescent="0.2"/>
    <row r="54988" customFormat="1" x14ac:dyDescent="0.2"/>
    <row r="54989" customFormat="1" x14ac:dyDescent="0.2"/>
    <row r="54990" customFormat="1" x14ac:dyDescent="0.2"/>
    <row r="54991" customFormat="1" x14ac:dyDescent="0.2"/>
    <row r="54992" customFormat="1" x14ac:dyDescent="0.2"/>
    <row r="54993" customFormat="1" x14ac:dyDescent="0.2"/>
    <row r="54994" customFormat="1" x14ac:dyDescent="0.2"/>
    <row r="54995" customFormat="1" x14ac:dyDescent="0.2"/>
    <row r="54996" customFormat="1" x14ac:dyDescent="0.2"/>
    <row r="54997" customFormat="1" x14ac:dyDescent="0.2"/>
    <row r="54998" customFormat="1" x14ac:dyDescent="0.2"/>
    <row r="54999" customFormat="1" x14ac:dyDescent="0.2"/>
    <row r="55000" customFormat="1" x14ac:dyDescent="0.2"/>
    <row r="55001" customFormat="1" x14ac:dyDescent="0.2"/>
    <row r="55002" customFormat="1" x14ac:dyDescent="0.2"/>
    <row r="55003" customFormat="1" x14ac:dyDescent="0.2"/>
    <row r="55004" customFormat="1" x14ac:dyDescent="0.2"/>
    <row r="55005" customFormat="1" x14ac:dyDescent="0.2"/>
    <row r="55006" customFormat="1" x14ac:dyDescent="0.2"/>
    <row r="55007" customFormat="1" x14ac:dyDescent="0.2"/>
    <row r="55008" customFormat="1" x14ac:dyDescent="0.2"/>
    <row r="55009" customFormat="1" x14ac:dyDescent="0.2"/>
    <row r="55010" customFormat="1" x14ac:dyDescent="0.2"/>
    <row r="55011" customFormat="1" x14ac:dyDescent="0.2"/>
    <row r="55012" customFormat="1" x14ac:dyDescent="0.2"/>
    <row r="55013" customFormat="1" x14ac:dyDescent="0.2"/>
    <row r="55014" customFormat="1" x14ac:dyDescent="0.2"/>
    <row r="55015" customFormat="1" x14ac:dyDescent="0.2"/>
    <row r="55016" customFormat="1" x14ac:dyDescent="0.2"/>
    <row r="55017" customFormat="1" x14ac:dyDescent="0.2"/>
    <row r="55018" customFormat="1" x14ac:dyDescent="0.2"/>
    <row r="55019" customFormat="1" x14ac:dyDescent="0.2"/>
    <row r="55020" customFormat="1" x14ac:dyDescent="0.2"/>
    <row r="55021" customFormat="1" x14ac:dyDescent="0.2"/>
    <row r="55022" customFormat="1" x14ac:dyDescent="0.2"/>
    <row r="55023" customFormat="1" x14ac:dyDescent="0.2"/>
    <row r="55024" customFormat="1" x14ac:dyDescent="0.2"/>
    <row r="55025" customFormat="1" x14ac:dyDescent="0.2"/>
    <row r="55026" customFormat="1" x14ac:dyDescent="0.2"/>
    <row r="55027" customFormat="1" x14ac:dyDescent="0.2"/>
    <row r="55028" customFormat="1" x14ac:dyDescent="0.2"/>
    <row r="55029" customFormat="1" x14ac:dyDescent="0.2"/>
    <row r="55030" customFormat="1" x14ac:dyDescent="0.2"/>
    <row r="55031" customFormat="1" x14ac:dyDescent="0.2"/>
    <row r="55032" customFormat="1" x14ac:dyDescent="0.2"/>
    <row r="55033" customFormat="1" x14ac:dyDescent="0.2"/>
    <row r="55034" customFormat="1" x14ac:dyDescent="0.2"/>
    <row r="55035" customFormat="1" x14ac:dyDescent="0.2"/>
    <row r="55036" customFormat="1" x14ac:dyDescent="0.2"/>
    <row r="55037" customFormat="1" x14ac:dyDescent="0.2"/>
    <row r="55038" customFormat="1" x14ac:dyDescent="0.2"/>
    <row r="55039" customFormat="1" x14ac:dyDescent="0.2"/>
    <row r="55040" customFormat="1" x14ac:dyDescent="0.2"/>
    <row r="55041" customFormat="1" x14ac:dyDescent="0.2"/>
    <row r="55042" customFormat="1" x14ac:dyDescent="0.2"/>
    <row r="55043" customFormat="1" x14ac:dyDescent="0.2"/>
    <row r="55044" customFormat="1" x14ac:dyDescent="0.2"/>
    <row r="55045" customFormat="1" x14ac:dyDescent="0.2"/>
    <row r="55046" customFormat="1" x14ac:dyDescent="0.2"/>
    <row r="55047" customFormat="1" x14ac:dyDescent="0.2"/>
    <row r="55048" customFormat="1" x14ac:dyDescent="0.2"/>
    <row r="55049" customFormat="1" x14ac:dyDescent="0.2"/>
    <row r="55050" customFormat="1" x14ac:dyDescent="0.2"/>
    <row r="55051" customFormat="1" x14ac:dyDescent="0.2"/>
    <row r="55052" customFormat="1" x14ac:dyDescent="0.2"/>
    <row r="55053" customFormat="1" x14ac:dyDescent="0.2"/>
    <row r="55054" customFormat="1" x14ac:dyDescent="0.2"/>
    <row r="55055" customFormat="1" x14ac:dyDescent="0.2"/>
    <row r="55056" customFormat="1" x14ac:dyDescent="0.2"/>
    <row r="55057" customFormat="1" x14ac:dyDescent="0.2"/>
    <row r="55058" customFormat="1" x14ac:dyDescent="0.2"/>
    <row r="55059" customFormat="1" x14ac:dyDescent="0.2"/>
    <row r="55060" customFormat="1" x14ac:dyDescent="0.2"/>
    <row r="55061" customFormat="1" x14ac:dyDescent="0.2"/>
    <row r="55062" customFormat="1" x14ac:dyDescent="0.2"/>
    <row r="55063" customFormat="1" x14ac:dyDescent="0.2"/>
    <row r="55064" customFormat="1" x14ac:dyDescent="0.2"/>
    <row r="55065" customFormat="1" x14ac:dyDescent="0.2"/>
    <row r="55066" customFormat="1" x14ac:dyDescent="0.2"/>
    <row r="55067" customFormat="1" x14ac:dyDescent="0.2"/>
    <row r="55068" customFormat="1" x14ac:dyDescent="0.2"/>
    <row r="55069" customFormat="1" x14ac:dyDescent="0.2"/>
    <row r="55070" customFormat="1" x14ac:dyDescent="0.2"/>
    <row r="55071" customFormat="1" x14ac:dyDescent="0.2"/>
    <row r="55072" customFormat="1" x14ac:dyDescent="0.2"/>
    <row r="55073" customFormat="1" x14ac:dyDescent="0.2"/>
    <row r="55074" customFormat="1" x14ac:dyDescent="0.2"/>
    <row r="55075" customFormat="1" x14ac:dyDescent="0.2"/>
    <row r="55076" customFormat="1" x14ac:dyDescent="0.2"/>
    <row r="55077" customFormat="1" x14ac:dyDescent="0.2"/>
    <row r="55078" customFormat="1" x14ac:dyDescent="0.2"/>
    <row r="55079" customFormat="1" x14ac:dyDescent="0.2"/>
    <row r="55080" customFormat="1" x14ac:dyDescent="0.2"/>
    <row r="55081" customFormat="1" x14ac:dyDescent="0.2"/>
    <row r="55082" customFormat="1" x14ac:dyDescent="0.2"/>
    <row r="55083" customFormat="1" x14ac:dyDescent="0.2"/>
    <row r="55084" customFormat="1" x14ac:dyDescent="0.2"/>
    <row r="55085" customFormat="1" x14ac:dyDescent="0.2"/>
    <row r="55086" customFormat="1" x14ac:dyDescent="0.2"/>
    <row r="55087" customFormat="1" x14ac:dyDescent="0.2"/>
    <row r="55088" customFormat="1" x14ac:dyDescent="0.2"/>
    <row r="55089" customFormat="1" x14ac:dyDescent="0.2"/>
    <row r="55090" customFormat="1" x14ac:dyDescent="0.2"/>
    <row r="55091" customFormat="1" x14ac:dyDescent="0.2"/>
    <row r="55092" customFormat="1" x14ac:dyDescent="0.2"/>
    <row r="55093" customFormat="1" x14ac:dyDescent="0.2"/>
    <row r="55094" customFormat="1" x14ac:dyDescent="0.2"/>
    <row r="55095" customFormat="1" x14ac:dyDescent="0.2"/>
    <row r="55096" customFormat="1" x14ac:dyDescent="0.2"/>
    <row r="55097" customFormat="1" x14ac:dyDescent="0.2"/>
    <row r="55098" customFormat="1" x14ac:dyDescent="0.2"/>
    <row r="55099" customFormat="1" x14ac:dyDescent="0.2"/>
    <row r="55100" customFormat="1" x14ac:dyDescent="0.2"/>
    <row r="55101" customFormat="1" x14ac:dyDescent="0.2"/>
    <row r="55102" customFormat="1" x14ac:dyDescent="0.2"/>
    <row r="55103" customFormat="1" x14ac:dyDescent="0.2"/>
    <row r="55104" customFormat="1" x14ac:dyDescent="0.2"/>
    <row r="55105" customFormat="1" x14ac:dyDescent="0.2"/>
    <row r="55106" customFormat="1" x14ac:dyDescent="0.2"/>
    <row r="55107" customFormat="1" x14ac:dyDescent="0.2"/>
    <row r="55108" customFormat="1" x14ac:dyDescent="0.2"/>
    <row r="55109" customFormat="1" x14ac:dyDescent="0.2"/>
    <row r="55110" customFormat="1" x14ac:dyDescent="0.2"/>
    <row r="55111" customFormat="1" x14ac:dyDescent="0.2"/>
    <row r="55112" customFormat="1" x14ac:dyDescent="0.2"/>
    <row r="55113" customFormat="1" x14ac:dyDescent="0.2"/>
    <row r="55114" customFormat="1" x14ac:dyDescent="0.2"/>
    <row r="55115" customFormat="1" x14ac:dyDescent="0.2"/>
    <row r="55116" customFormat="1" x14ac:dyDescent="0.2"/>
    <row r="55117" customFormat="1" x14ac:dyDescent="0.2"/>
    <row r="55118" customFormat="1" x14ac:dyDescent="0.2"/>
    <row r="55119" customFormat="1" x14ac:dyDescent="0.2"/>
    <row r="55120" customFormat="1" x14ac:dyDescent="0.2"/>
    <row r="55121" customFormat="1" x14ac:dyDescent="0.2"/>
    <row r="55122" customFormat="1" x14ac:dyDescent="0.2"/>
    <row r="55123" customFormat="1" x14ac:dyDescent="0.2"/>
    <row r="55124" customFormat="1" x14ac:dyDescent="0.2"/>
    <row r="55125" customFormat="1" x14ac:dyDescent="0.2"/>
    <row r="55126" customFormat="1" x14ac:dyDescent="0.2"/>
    <row r="55127" customFormat="1" x14ac:dyDescent="0.2"/>
    <row r="55128" customFormat="1" x14ac:dyDescent="0.2"/>
    <row r="55129" customFormat="1" x14ac:dyDescent="0.2"/>
    <row r="55130" customFormat="1" x14ac:dyDescent="0.2"/>
    <row r="55131" customFormat="1" x14ac:dyDescent="0.2"/>
    <row r="55132" customFormat="1" x14ac:dyDescent="0.2"/>
    <row r="55133" customFormat="1" x14ac:dyDescent="0.2"/>
    <row r="55134" customFormat="1" x14ac:dyDescent="0.2"/>
    <row r="55135" customFormat="1" x14ac:dyDescent="0.2"/>
    <row r="55136" customFormat="1" x14ac:dyDescent="0.2"/>
    <row r="55137" customFormat="1" x14ac:dyDescent="0.2"/>
    <row r="55138" customFormat="1" x14ac:dyDescent="0.2"/>
    <row r="55139" customFormat="1" x14ac:dyDescent="0.2"/>
    <row r="55140" customFormat="1" x14ac:dyDescent="0.2"/>
    <row r="55141" customFormat="1" x14ac:dyDescent="0.2"/>
    <row r="55142" customFormat="1" x14ac:dyDescent="0.2"/>
    <row r="55143" customFormat="1" x14ac:dyDescent="0.2"/>
    <row r="55144" customFormat="1" x14ac:dyDescent="0.2"/>
    <row r="55145" customFormat="1" x14ac:dyDescent="0.2"/>
    <row r="55146" customFormat="1" x14ac:dyDescent="0.2"/>
    <row r="55147" customFormat="1" x14ac:dyDescent="0.2"/>
    <row r="55148" customFormat="1" x14ac:dyDescent="0.2"/>
    <row r="55149" customFormat="1" x14ac:dyDescent="0.2"/>
    <row r="55150" customFormat="1" x14ac:dyDescent="0.2"/>
    <row r="55151" customFormat="1" x14ac:dyDescent="0.2"/>
    <row r="55152" customFormat="1" x14ac:dyDescent="0.2"/>
    <row r="55153" customFormat="1" x14ac:dyDescent="0.2"/>
    <row r="55154" customFormat="1" x14ac:dyDescent="0.2"/>
    <row r="55155" customFormat="1" x14ac:dyDescent="0.2"/>
    <row r="55156" customFormat="1" x14ac:dyDescent="0.2"/>
    <row r="55157" customFormat="1" x14ac:dyDescent="0.2"/>
    <row r="55158" customFormat="1" x14ac:dyDescent="0.2"/>
    <row r="55159" customFormat="1" x14ac:dyDescent="0.2"/>
    <row r="55160" customFormat="1" x14ac:dyDescent="0.2"/>
    <row r="55161" customFormat="1" x14ac:dyDescent="0.2"/>
    <row r="55162" customFormat="1" x14ac:dyDescent="0.2"/>
    <row r="55163" customFormat="1" x14ac:dyDescent="0.2"/>
    <row r="55164" customFormat="1" x14ac:dyDescent="0.2"/>
    <row r="55165" customFormat="1" x14ac:dyDescent="0.2"/>
    <row r="55166" customFormat="1" x14ac:dyDescent="0.2"/>
    <row r="55167" customFormat="1" x14ac:dyDescent="0.2"/>
    <row r="55168" customFormat="1" x14ac:dyDescent="0.2"/>
    <row r="55169" customFormat="1" x14ac:dyDescent="0.2"/>
    <row r="55170" customFormat="1" x14ac:dyDescent="0.2"/>
    <row r="55171" customFormat="1" x14ac:dyDescent="0.2"/>
    <row r="55172" customFormat="1" x14ac:dyDescent="0.2"/>
    <row r="55173" customFormat="1" x14ac:dyDescent="0.2"/>
    <row r="55174" customFormat="1" x14ac:dyDescent="0.2"/>
    <row r="55175" customFormat="1" x14ac:dyDescent="0.2"/>
    <row r="55176" customFormat="1" x14ac:dyDescent="0.2"/>
    <row r="55177" customFormat="1" x14ac:dyDescent="0.2"/>
    <row r="55178" customFormat="1" x14ac:dyDescent="0.2"/>
    <row r="55179" customFormat="1" x14ac:dyDescent="0.2"/>
    <row r="55180" customFormat="1" x14ac:dyDescent="0.2"/>
    <row r="55181" customFormat="1" x14ac:dyDescent="0.2"/>
    <row r="55182" customFormat="1" x14ac:dyDescent="0.2"/>
    <row r="55183" customFormat="1" x14ac:dyDescent="0.2"/>
    <row r="55184" customFormat="1" x14ac:dyDescent="0.2"/>
    <row r="55185" customFormat="1" x14ac:dyDescent="0.2"/>
    <row r="55186" customFormat="1" x14ac:dyDescent="0.2"/>
    <row r="55187" customFormat="1" x14ac:dyDescent="0.2"/>
    <row r="55188" customFormat="1" x14ac:dyDescent="0.2"/>
    <row r="55189" customFormat="1" x14ac:dyDescent="0.2"/>
    <row r="55190" customFormat="1" x14ac:dyDescent="0.2"/>
    <row r="55191" customFormat="1" x14ac:dyDescent="0.2"/>
    <row r="55192" customFormat="1" x14ac:dyDescent="0.2"/>
    <row r="55193" customFormat="1" x14ac:dyDescent="0.2"/>
    <row r="55194" customFormat="1" x14ac:dyDescent="0.2"/>
    <row r="55195" customFormat="1" x14ac:dyDescent="0.2"/>
    <row r="55196" customFormat="1" x14ac:dyDescent="0.2"/>
    <row r="55197" customFormat="1" x14ac:dyDescent="0.2"/>
    <row r="55198" customFormat="1" x14ac:dyDescent="0.2"/>
    <row r="55199" customFormat="1" x14ac:dyDescent="0.2"/>
    <row r="55200" customFormat="1" x14ac:dyDescent="0.2"/>
    <row r="55201" customFormat="1" x14ac:dyDescent="0.2"/>
    <row r="55202" customFormat="1" x14ac:dyDescent="0.2"/>
    <row r="55203" customFormat="1" x14ac:dyDescent="0.2"/>
    <row r="55204" customFormat="1" x14ac:dyDescent="0.2"/>
    <row r="55205" customFormat="1" x14ac:dyDescent="0.2"/>
    <row r="55206" customFormat="1" x14ac:dyDescent="0.2"/>
    <row r="55207" customFormat="1" x14ac:dyDescent="0.2"/>
    <row r="55208" customFormat="1" x14ac:dyDescent="0.2"/>
    <row r="55209" customFormat="1" x14ac:dyDescent="0.2"/>
    <row r="55210" customFormat="1" x14ac:dyDescent="0.2"/>
    <row r="55211" customFormat="1" x14ac:dyDescent="0.2"/>
    <row r="55212" customFormat="1" x14ac:dyDescent="0.2"/>
    <row r="55213" customFormat="1" x14ac:dyDescent="0.2"/>
    <row r="55214" customFormat="1" x14ac:dyDescent="0.2"/>
    <row r="55215" customFormat="1" x14ac:dyDescent="0.2"/>
    <row r="55216" customFormat="1" x14ac:dyDescent="0.2"/>
    <row r="55217" customFormat="1" x14ac:dyDescent="0.2"/>
    <row r="55218" customFormat="1" x14ac:dyDescent="0.2"/>
    <row r="55219" customFormat="1" x14ac:dyDescent="0.2"/>
    <row r="55220" customFormat="1" x14ac:dyDescent="0.2"/>
    <row r="55221" customFormat="1" x14ac:dyDescent="0.2"/>
    <row r="55222" customFormat="1" x14ac:dyDescent="0.2"/>
    <row r="55223" customFormat="1" x14ac:dyDescent="0.2"/>
    <row r="55224" customFormat="1" x14ac:dyDescent="0.2"/>
    <row r="55225" customFormat="1" x14ac:dyDescent="0.2"/>
    <row r="55226" customFormat="1" x14ac:dyDescent="0.2"/>
    <row r="55227" customFormat="1" x14ac:dyDescent="0.2"/>
    <row r="55228" customFormat="1" x14ac:dyDescent="0.2"/>
    <row r="55229" customFormat="1" x14ac:dyDescent="0.2"/>
    <row r="55230" customFormat="1" x14ac:dyDescent="0.2"/>
    <row r="55231" customFormat="1" x14ac:dyDescent="0.2"/>
    <row r="55232" customFormat="1" x14ac:dyDescent="0.2"/>
    <row r="55233" customFormat="1" x14ac:dyDescent="0.2"/>
    <row r="55234" customFormat="1" x14ac:dyDescent="0.2"/>
    <row r="55235" customFormat="1" x14ac:dyDescent="0.2"/>
    <row r="55236" customFormat="1" x14ac:dyDescent="0.2"/>
    <row r="55237" customFormat="1" x14ac:dyDescent="0.2"/>
    <row r="55238" customFormat="1" x14ac:dyDescent="0.2"/>
    <row r="55239" customFormat="1" x14ac:dyDescent="0.2"/>
    <row r="55240" customFormat="1" x14ac:dyDescent="0.2"/>
    <row r="55241" customFormat="1" x14ac:dyDescent="0.2"/>
    <row r="55242" customFormat="1" x14ac:dyDescent="0.2"/>
    <row r="55243" customFormat="1" x14ac:dyDescent="0.2"/>
    <row r="55244" customFormat="1" x14ac:dyDescent="0.2"/>
    <row r="55245" customFormat="1" x14ac:dyDescent="0.2"/>
    <row r="55246" customFormat="1" x14ac:dyDescent="0.2"/>
    <row r="55247" customFormat="1" x14ac:dyDescent="0.2"/>
    <row r="55248" customFormat="1" x14ac:dyDescent="0.2"/>
    <row r="55249" customFormat="1" x14ac:dyDescent="0.2"/>
    <row r="55250" customFormat="1" x14ac:dyDescent="0.2"/>
    <row r="55251" customFormat="1" x14ac:dyDescent="0.2"/>
    <row r="55252" customFormat="1" x14ac:dyDescent="0.2"/>
    <row r="55253" customFormat="1" x14ac:dyDescent="0.2"/>
    <row r="55254" customFormat="1" x14ac:dyDescent="0.2"/>
    <row r="55255" customFormat="1" x14ac:dyDescent="0.2"/>
    <row r="55256" customFormat="1" x14ac:dyDescent="0.2"/>
    <row r="55257" customFormat="1" x14ac:dyDescent="0.2"/>
    <row r="55258" customFormat="1" x14ac:dyDescent="0.2"/>
    <row r="55259" customFormat="1" x14ac:dyDescent="0.2"/>
    <row r="55260" customFormat="1" x14ac:dyDescent="0.2"/>
    <row r="55261" customFormat="1" x14ac:dyDescent="0.2"/>
    <row r="55262" customFormat="1" x14ac:dyDescent="0.2"/>
    <row r="55263" customFormat="1" x14ac:dyDescent="0.2"/>
    <row r="55264" customFormat="1" x14ac:dyDescent="0.2"/>
    <row r="55265" customFormat="1" x14ac:dyDescent="0.2"/>
    <row r="55266" customFormat="1" x14ac:dyDescent="0.2"/>
    <row r="55267" customFormat="1" x14ac:dyDescent="0.2"/>
    <row r="55268" customFormat="1" x14ac:dyDescent="0.2"/>
    <row r="55269" customFormat="1" x14ac:dyDescent="0.2"/>
    <row r="55270" customFormat="1" x14ac:dyDescent="0.2"/>
    <row r="55271" customFormat="1" x14ac:dyDescent="0.2"/>
    <row r="55272" customFormat="1" x14ac:dyDescent="0.2"/>
    <row r="55273" customFormat="1" x14ac:dyDescent="0.2"/>
    <row r="55274" customFormat="1" x14ac:dyDescent="0.2"/>
    <row r="55275" customFormat="1" x14ac:dyDescent="0.2"/>
    <row r="55276" customFormat="1" x14ac:dyDescent="0.2"/>
    <row r="55277" customFormat="1" x14ac:dyDescent="0.2"/>
    <row r="55278" customFormat="1" x14ac:dyDescent="0.2"/>
    <row r="55279" customFormat="1" x14ac:dyDescent="0.2"/>
    <row r="55280" customFormat="1" x14ac:dyDescent="0.2"/>
    <row r="55281" customFormat="1" x14ac:dyDescent="0.2"/>
    <row r="55282" customFormat="1" x14ac:dyDescent="0.2"/>
    <row r="55283" customFormat="1" x14ac:dyDescent="0.2"/>
    <row r="55284" customFormat="1" x14ac:dyDescent="0.2"/>
    <row r="55285" customFormat="1" x14ac:dyDescent="0.2"/>
    <row r="55286" customFormat="1" x14ac:dyDescent="0.2"/>
    <row r="55287" customFormat="1" x14ac:dyDescent="0.2"/>
    <row r="55288" customFormat="1" x14ac:dyDescent="0.2"/>
    <row r="55289" customFormat="1" x14ac:dyDescent="0.2"/>
    <row r="55290" customFormat="1" x14ac:dyDescent="0.2"/>
    <row r="55291" customFormat="1" x14ac:dyDescent="0.2"/>
    <row r="55292" customFormat="1" x14ac:dyDescent="0.2"/>
    <row r="55293" customFormat="1" x14ac:dyDescent="0.2"/>
    <row r="55294" customFormat="1" x14ac:dyDescent="0.2"/>
    <row r="55295" customFormat="1" x14ac:dyDescent="0.2"/>
    <row r="55296" customFormat="1" x14ac:dyDescent="0.2"/>
    <row r="55297" customFormat="1" x14ac:dyDescent="0.2"/>
    <row r="55298" customFormat="1" x14ac:dyDescent="0.2"/>
    <row r="55299" customFormat="1" x14ac:dyDescent="0.2"/>
    <row r="55300" customFormat="1" x14ac:dyDescent="0.2"/>
    <row r="55301" customFormat="1" x14ac:dyDescent="0.2"/>
    <row r="55302" customFormat="1" x14ac:dyDescent="0.2"/>
    <row r="55303" customFormat="1" x14ac:dyDescent="0.2"/>
    <row r="55304" customFormat="1" x14ac:dyDescent="0.2"/>
    <row r="55305" customFormat="1" x14ac:dyDescent="0.2"/>
    <row r="55306" customFormat="1" x14ac:dyDescent="0.2"/>
    <row r="55307" customFormat="1" x14ac:dyDescent="0.2"/>
    <row r="55308" customFormat="1" x14ac:dyDescent="0.2"/>
    <row r="55309" customFormat="1" x14ac:dyDescent="0.2"/>
    <row r="55310" customFormat="1" x14ac:dyDescent="0.2"/>
    <row r="55311" customFormat="1" x14ac:dyDescent="0.2"/>
    <row r="55312" customFormat="1" x14ac:dyDescent="0.2"/>
    <row r="55313" customFormat="1" x14ac:dyDescent="0.2"/>
    <row r="55314" customFormat="1" x14ac:dyDescent="0.2"/>
    <row r="55315" customFormat="1" x14ac:dyDescent="0.2"/>
    <row r="55316" customFormat="1" x14ac:dyDescent="0.2"/>
    <row r="55317" customFormat="1" x14ac:dyDescent="0.2"/>
    <row r="55318" customFormat="1" x14ac:dyDescent="0.2"/>
    <row r="55319" customFormat="1" x14ac:dyDescent="0.2"/>
    <row r="55320" customFormat="1" x14ac:dyDescent="0.2"/>
    <row r="55321" customFormat="1" x14ac:dyDescent="0.2"/>
    <row r="55322" customFormat="1" x14ac:dyDescent="0.2"/>
    <row r="55323" customFormat="1" x14ac:dyDescent="0.2"/>
    <row r="55324" customFormat="1" x14ac:dyDescent="0.2"/>
    <row r="55325" customFormat="1" x14ac:dyDescent="0.2"/>
    <row r="55326" customFormat="1" x14ac:dyDescent="0.2"/>
    <row r="55327" customFormat="1" x14ac:dyDescent="0.2"/>
    <row r="55328" customFormat="1" x14ac:dyDescent="0.2"/>
    <row r="55329" customFormat="1" x14ac:dyDescent="0.2"/>
    <row r="55330" customFormat="1" x14ac:dyDescent="0.2"/>
    <row r="55331" customFormat="1" x14ac:dyDescent="0.2"/>
    <row r="55332" customFormat="1" x14ac:dyDescent="0.2"/>
    <row r="55333" customFormat="1" x14ac:dyDescent="0.2"/>
    <row r="55334" customFormat="1" x14ac:dyDescent="0.2"/>
    <row r="55335" customFormat="1" x14ac:dyDescent="0.2"/>
    <row r="55336" customFormat="1" x14ac:dyDescent="0.2"/>
    <row r="55337" customFormat="1" x14ac:dyDescent="0.2"/>
    <row r="55338" customFormat="1" x14ac:dyDescent="0.2"/>
    <row r="55339" customFormat="1" x14ac:dyDescent="0.2"/>
    <row r="55340" customFormat="1" x14ac:dyDescent="0.2"/>
    <row r="55341" customFormat="1" x14ac:dyDescent="0.2"/>
    <row r="55342" customFormat="1" x14ac:dyDescent="0.2"/>
    <row r="55343" customFormat="1" x14ac:dyDescent="0.2"/>
    <row r="55344" customFormat="1" x14ac:dyDescent="0.2"/>
    <row r="55345" customFormat="1" x14ac:dyDescent="0.2"/>
    <row r="55346" customFormat="1" x14ac:dyDescent="0.2"/>
    <row r="55347" customFormat="1" x14ac:dyDescent="0.2"/>
    <row r="55348" customFormat="1" x14ac:dyDescent="0.2"/>
    <row r="55349" customFormat="1" x14ac:dyDescent="0.2"/>
    <row r="55350" customFormat="1" x14ac:dyDescent="0.2"/>
    <row r="55351" customFormat="1" x14ac:dyDescent="0.2"/>
    <row r="55352" customFormat="1" x14ac:dyDescent="0.2"/>
    <row r="55353" customFormat="1" x14ac:dyDescent="0.2"/>
    <row r="55354" customFormat="1" x14ac:dyDescent="0.2"/>
    <row r="55355" customFormat="1" x14ac:dyDescent="0.2"/>
    <row r="55356" customFormat="1" x14ac:dyDescent="0.2"/>
    <row r="55357" customFormat="1" x14ac:dyDescent="0.2"/>
    <row r="55358" customFormat="1" x14ac:dyDescent="0.2"/>
    <row r="55359" customFormat="1" x14ac:dyDescent="0.2"/>
    <row r="55360" customFormat="1" x14ac:dyDescent="0.2"/>
    <row r="55361" customFormat="1" x14ac:dyDescent="0.2"/>
    <row r="55362" customFormat="1" x14ac:dyDescent="0.2"/>
    <row r="55363" customFormat="1" x14ac:dyDescent="0.2"/>
    <row r="55364" customFormat="1" x14ac:dyDescent="0.2"/>
    <row r="55365" customFormat="1" x14ac:dyDescent="0.2"/>
    <row r="55366" customFormat="1" x14ac:dyDescent="0.2"/>
    <row r="55367" customFormat="1" x14ac:dyDescent="0.2"/>
    <row r="55368" customFormat="1" x14ac:dyDescent="0.2"/>
    <row r="55369" customFormat="1" x14ac:dyDescent="0.2"/>
    <row r="55370" customFormat="1" x14ac:dyDescent="0.2"/>
    <row r="55371" customFormat="1" x14ac:dyDescent="0.2"/>
    <row r="55372" customFormat="1" x14ac:dyDescent="0.2"/>
    <row r="55373" customFormat="1" x14ac:dyDescent="0.2"/>
    <row r="55374" customFormat="1" x14ac:dyDescent="0.2"/>
    <row r="55375" customFormat="1" x14ac:dyDescent="0.2"/>
    <row r="55376" customFormat="1" x14ac:dyDescent="0.2"/>
    <row r="55377" customFormat="1" x14ac:dyDescent="0.2"/>
    <row r="55378" customFormat="1" x14ac:dyDescent="0.2"/>
    <row r="55379" customFormat="1" x14ac:dyDescent="0.2"/>
    <row r="55380" customFormat="1" x14ac:dyDescent="0.2"/>
    <row r="55381" customFormat="1" x14ac:dyDescent="0.2"/>
    <row r="55382" customFormat="1" x14ac:dyDescent="0.2"/>
    <row r="55383" customFormat="1" x14ac:dyDescent="0.2"/>
    <row r="55384" customFormat="1" x14ac:dyDescent="0.2"/>
    <row r="55385" customFormat="1" x14ac:dyDescent="0.2"/>
    <row r="55386" customFormat="1" x14ac:dyDescent="0.2"/>
    <row r="55387" customFormat="1" x14ac:dyDescent="0.2"/>
    <row r="55388" customFormat="1" x14ac:dyDescent="0.2"/>
    <row r="55389" customFormat="1" x14ac:dyDescent="0.2"/>
    <row r="55390" customFormat="1" x14ac:dyDescent="0.2"/>
    <row r="55391" customFormat="1" x14ac:dyDescent="0.2"/>
    <row r="55392" customFormat="1" x14ac:dyDescent="0.2"/>
    <row r="55393" customFormat="1" x14ac:dyDescent="0.2"/>
    <row r="55394" customFormat="1" x14ac:dyDescent="0.2"/>
    <row r="55395" customFormat="1" x14ac:dyDescent="0.2"/>
    <row r="55396" customFormat="1" x14ac:dyDescent="0.2"/>
    <row r="55397" customFormat="1" x14ac:dyDescent="0.2"/>
    <row r="55398" customFormat="1" x14ac:dyDescent="0.2"/>
    <row r="55399" customFormat="1" x14ac:dyDescent="0.2"/>
    <row r="55400" customFormat="1" x14ac:dyDescent="0.2"/>
    <row r="55401" customFormat="1" x14ac:dyDescent="0.2"/>
    <row r="55402" customFormat="1" x14ac:dyDescent="0.2"/>
    <row r="55403" customFormat="1" x14ac:dyDescent="0.2"/>
    <row r="55404" customFormat="1" x14ac:dyDescent="0.2"/>
    <row r="55405" customFormat="1" x14ac:dyDescent="0.2"/>
    <row r="55406" customFormat="1" x14ac:dyDescent="0.2"/>
    <row r="55407" customFormat="1" x14ac:dyDescent="0.2"/>
    <row r="55408" customFormat="1" x14ac:dyDescent="0.2"/>
    <row r="55409" customFormat="1" x14ac:dyDescent="0.2"/>
    <row r="55410" customFormat="1" x14ac:dyDescent="0.2"/>
    <row r="55411" customFormat="1" x14ac:dyDescent="0.2"/>
    <row r="55412" customFormat="1" x14ac:dyDescent="0.2"/>
    <row r="55413" customFormat="1" x14ac:dyDescent="0.2"/>
    <row r="55414" customFormat="1" x14ac:dyDescent="0.2"/>
    <row r="55415" customFormat="1" x14ac:dyDescent="0.2"/>
    <row r="55416" customFormat="1" x14ac:dyDescent="0.2"/>
    <row r="55417" customFormat="1" x14ac:dyDescent="0.2"/>
    <row r="55418" customFormat="1" x14ac:dyDescent="0.2"/>
    <row r="55419" customFormat="1" x14ac:dyDescent="0.2"/>
    <row r="55420" customFormat="1" x14ac:dyDescent="0.2"/>
    <row r="55421" customFormat="1" x14ac:dyDescent="0.2"/>
    <row r="55422" customFormat="1" x14ac:dyDescent="0.2"/>
    <row r="55423" customFormat="1" x14ac:dyDescent="0.2"/>
    <row r="55424" customFormat="1" x14ac:dyDescent="0.2"/>
    <row r="55425" customFormat="1" x14ac:dyDescent="0.2"/>
    <row r="55426" customFormat="1" x14ac:dyDescent="0.2"/>
    <row r="55427" customFormat="1" x14ac:dyDescent="0.2"/>
    <row r="55428" customFormat="1" x14ac:dyDescent="0.2"/>
    <row r="55429" customFormat="1" x14ac:dyDescent="0.2"/>
    <row r="55430" customFormat="1" x14ac:dyDescent="0.2"/>
    <row r="55431" customFormat="1" x14ac:dyDescent="0.2"/>
    <row r="55432" customFormat="1" x14ac:dyDescent="0.2"/>
    <row r="55433" customFormat="1" x14ac:dyDescent="0.2"/>
    <row r="55434" customFormat="1" x14ac:dyDescent="0.2"/>
    <row r="55435" customFormat="1" x14ac:dyDescent="0.2"/>
    <row r="55436" customFormat="1" x14ac:dyDescent="0.2"/>
    <row r="55437" customFormat="1" x14ac:dyDescent="0.2"/>
    <row r="55438" customFormat="1" x14ac:dyDescent="0.2"/>
    <row r="55439" customFormat="1" x14ac:dyDescent="0.2"/>
    <row r="55440" customFormat="1" x14ac:dyDescent="0.2"/>
    <row r="55441" customFormat="1" x14ac:dyDescent="0.2"/>
    <row r="55442" customFormat="1" x14ac:dyDescent="0.2"/>
    <row r="55443" customFormat="1" x14ac:dyDescent="0.2"/>
    <row r="55444" customFormat="1" x14ac:dyDescent="0.2"/>
    <row r="55445" customFormat="1" x14ac:dyDescent="0.2"/>
    <row r="55446" customFormat="1" x14ac:dyDescent="0.2"/>
    <row r="55447" customFormat="1" x14ac:dyDescent="0.2"/>
    <row r="55448" customFormat="1" x14ac:dyDescent="0.2"/>
    <row r="55449" customFormat="1" x14ac:dyDescent="0.2"/>
    <row r="55450" customFormat="1" x14ac:dyDescent="0.2"/>
    <row r="55451" customFormat="1" x14ac:dyDescent="0.2"/>
    <row r="55452" customFormat="1" x14ac:dyDescent="0.2"/>
    <row r="55453" customFormat="1" x14ac:dyDescent="0.2"/>
    <row r="55454" customFormat="1" x14ac:dyDescent="0.2"/>
    <row r="55455" customFormat="1" x14ac:dyDescent="0.2"/>
    <row r="55456" customFormat="1" x14ac:dyDescent="0.2"/>
    <row r="55457" customFormat="1" x14ac:dyDescent="0.2"/>
    <row r="55458" customFormat="1" x14ac:dyDescent="0.2"/>
    <row r="55459" customFormat="1" x14ac:dyDescent="0.2"/>
    <row r="55460" customFormat="1" x14ac:dyDescent="0.2"/>
    <row r="55461" customFormat="1" x14ac:dyDescent="0.2"/>
    <row r="55462" customFormat="1" x14ac:dyDescent="0.2"/>
    <row r="55463" customFormat="1" x14ac:dyDescent="0.2"/>
    <row r="55464" customFormat="1" x14ac:dyDescent="0.2"/>
    <row r="55465" customFormat="1" x14ac:dyDescent="0.2"/>
    <row r="55466" customFormat="1" x14ac:dyDescent="0.2"/>
    <row r="55467" customFormat="1" x14ac:dyDescent="0.2"/>
    <row r="55468" customFormat="1" x14ac:dyDescent="0.2"/>
    <row r="55469" customFormat="1" x14ac:dyDescent="0.2"/>
    <row r="55470" customFormat="1" x14ac:dyDescent="0.2"/>
    <row r="55471" customFormat="1" x14ac:dyDescent="0.2"/>
    <row r="55472" customFormat="1" x14ac:dyDescent="0.2"/>
    <row r="55473" customFormat="1" x14ac:dyDescent="0.2"/>
    <row r="55474" customFormat="1" x14ac:dyDescent="0.2"/>
    <row r="55475" customFormat="1" x14ac:dyDescent="0.2"/>
    <row r="55476" customFormat="1" x14ac:dyDescent="0.2"/>
    <row r="55477" customFormat="1" x14ac:dyDescent="0.2"/>
    <row r="55478" customFormat="1" x14ac:dyDescent="0.2"/>
    <row r="55479" customFormat="1" x14ac:dyDescent="0.2"/>
    <row r="55480" customFormat="1" x14ac:dyDescent="0.2"/>
    <row r="55481" customFormat="1" x14ac:dyDescent="0.2"/>
    <row r="55482" customFormat="1" x14ac:dyDescent="0.2"/>
    <row r="55483" customFormat="1" x14ac:dyDescent="0.2"/>
    <row r="55484" customFormat="1" x14ac:dyDescent="0.2"/>
    <row r="55485" customFormat="1" x14ac:dyDescent="0.2"/>
    <row r="55486" customFormat="1" x14ac:dyDescent="0.2"/>
    <row r="55487" customFormat="1" x14ac:dyDescent="0.2"/>
    <row r="55488" customFormat="1" x14ac:dyDescent="0.2"/>
    <row r="55489" customFormat="1" x14ac:dyDescent="0.2"/>
    <row r="55490" customFormat="1" x14ac:dyDescent="0.2"/>
    <row r="55491" customFormat="1" x14ac:dyDescent="0.2"/>
    <row r="55492" customFormat="1" x14ac:dyDescent="0.2"/>
    <row r="55493" customFormat="1" x14ac:dyDescent="0.2"/>
    <row r="55494" customFormat="1" x14ac:dyDescent="0.2"/>
    <row r="55495" customFormat="1" x14ac:dyDescent="0.2"/>
    <row r="55496" customFormat="1" x14ac:dyDescent="0.2"/>
    <row r="55497" customFormat="1" x14ac:dyDescent="0.2"/>
    <row r="55498" customFormat="1" x14ac:dyDescent="0.2"/>
    <row r="55499" customFormat="1" x14ac:dyDescent="0.2"/>
    <row r="55500" customFormat="1" x14ac:dyDescent="0.2"/>
    <row r="55501" customFormat="1" x14ac:dyDescent="0.2"/>
    <row r="55502" customFormat="1" x14ac:dyDescent="0.2"/>
    <row r="55503" customFormat="1" x14ac:dyDescent="0.2"/>
    <row r="55504" customFormat="1" x14ac:dyDescent="0.2"/>
    <row r="55505" customFormat="1" x14ac:dyDescent="0.2"/>
    <row r="55506" customFormat="1" x14ac:dyDescent="0.2"/>
    <row r="55507" customFormat="1" x14ac:dyDescent="0.2"/>
    <row r="55508" customFormat="1" x14ac:dyDescent="0.2"/>
    <row r="55509" customFormat="1" x14ac:dyDescent="0.2"/>
    <row r="55510" customFormat="1" x14ac:dyDescent="0.2"/>
    <row r="55511" customFormat="1" x14ac:dyDescent="0.2"/>
    <row r="55512" customFormat="1" x14ac:dyDescent="0.2"/>
    <row r="55513" customFormat="1" x14ac:dyDescent="0.2"/>
    <row r="55514" customFormat="1" x14ac:dyDescent="0.2"/>
    <row r="55515" customFormat="1" x14ac:dyDescent="0.2"/>
    <row r="55516" customFormat="1" x14ac:dyDescent="0.2"/>
    <row r="55517" customFormat="1" x14ac:dyDescent="0.2"/>
    <row r="55518" customFormat="1" x14ac:dyDescent="0.2"/>
    <row r="55519" customFormat="1" x14ac:dyDescent="0.2"/>
    <row r="55520" customFormat="1" x14ac:dyDescent="0.2"/>
    <row r="55521" customFormat="1" x14ac:dyDescent="0.2"/>
    <row r="55522" customFormat="1" x14ac:dyDescent="0.2"/>
    <row r="55523" customFormat="1" x14ac:dyDescent="0.2"/>
    <row r="55524" customFormat="1" x14ac:dyDescent="0.2"/>
    <row r="55525" customFormat="1" x14ac:dyDescent="0.2"/>
    <row r="55526" customFormat="1" x14ac:dyDescent="0.2"/>
    <row r="55527" customFormat="1" x14ac:dyDescent="0.2"/>
    <row r="55528" customFormat="1" x14ac:dyDescent="0.2"/>
    <row r="55529" customFormat="1" x14ac:dyDescent="0.2"/>
    <row r="55530" customFormat="1" x14ac:dyDescent="0.2"/>
    <row r="55531" customFormat="1" x14ac:dyDescent="0.2"/>
    <row r="55532" customFormat="1" x14ac:dyDescent="0.2"/>
    <row r="55533" customFormat="1" x14ac:dyDescent="0.2"/>
    <row r="55534" customFormat="1" x14ac:dyDescent="0.2"/>
    <row r="55535" customFormat="1" x14ac:dyDescent="0.2"/>
    <row r="55536" customFormat="1" x14ac:dyDescent="0.2"/>
    <row r="55537" customFormat="1" x14ac:dyDescent="0.2"/>
    <row r="55538" customFormat="1" x14ac:dyDescent="0.2"/>
    <row r="55539" customFormat="1" x14ac:dyDescent="0.2"/>
    <row r="55540" customFormat="1" x14ac:dyDescent="0.2"/>
    <row r="55541" customFormat="1" x14ac:dyDescent="0.2"/>
    <row r="55542" customFormat="1" x14ac:dyDescent="0.2"/>
    <row r="55543" customFormat="1" x14ac:dyDescent="0.2"/>
    <row r="55544" customFormat="1" x14ac:dyDescent="0.2"/>
    <row r="55545" customFormat="1" x14ac:dyDescent="0.2"/>
    <row r="55546" customFormat="1" x14ac:dyDescent="0.2"/>
    <row r="55547" customFormat="1" x14ac:dyDescent="0.2"/>
    <row r="55548" customFormat="1" x14ac:dyDescent="0.2"/>
    <row r="55549" customFormat="1" x14ac:dyDescent="0.2"/>
    <row r="55550" customFormat="1" x14ac:dyDescent="0.2"/>
    <row r="55551" customFormat="1" x14ac:dyDescent="0.2"/>
    <row r="55552" customFormat="1" x14ac:dyDescent="0.2"/>
    <row r="55553" customFormat="1" x14ac:dyDescent="0.2"/>
    <row r="55554" customFormat="1" x14ac:dyDescent="0.2"/>
    <row r="55555" customFormat="1" x14ac:dyDescent="0.2"/>
    <row r="55556" customFormat="1" x14ac:dyDescent="0.2"/>
    <row r="55557" customFormat="1" x14ac:dyDescent="0.2"/>
    <row r="55558" customFormat="1" x14ac:dyDescent="0.2"/>
    <row r="55559" customFormat="1" x14ac:dyDescent="0.2"/>
    <row r="55560" customFormat="1" x14ac:dyDescent="0.2"/>
    <row r="55561" customFormat="1" x14ac:dyDescent="0.2"/>
    <row r="55562" customFormat="1" x14ac:dyDescent="0.2"/>
    <row r="55563" customFormat="1" x14ac:dyDescent="0.2"/>
    <row r="55564" customFormat="1" x14ac:dyDescent="0.2"/>
    <row r="55565" customFormat="1" x14ac:dyDescent="0.2"/>
    <row r="55566" customFormat="1" x14ac:dyDescent="0.2"/>
    <row r="55567" customFormat="1" x14ac:dyDescent="0.2"/>
    <row r="55568" customFormat="1" x14ac:dyDescent="0.2"/>
    <row r="55569" customFormat="1" x14ac:dyDescent="0.2"/>
    <row r="55570" customFormat="1" x14ac:dyDescent="0.2"/>
    <row r="55571" customFormat="1" x14ac:dyDescent="0.2"/>
    <row r="55572" customFormat="1" x14ac:dyDescent="0.2"/>
    <row r="55573" customFormat="1" x14ac:dyDescent="0.2"/>
    <row r="55574" customFormat="1" x14ac:dyDescent="0.2"/>
    <row r="55575" customFormat="1" x14ac:dyDescent="0.2"/>
    <row r="55576" customFormat="1" x14ac:dyDescent="0.2"/>
    <row r="55577" customFormat="1" x14ac:dyDescent="0.2"/>
    <row r="55578" customFormat="1" x14ac:dyDescent="0.2"/>
    <row r="55579" customFormat="1" x14ac:dyDescent="0.2"/>
    <row r="55580" customFormat="1" x14ac:dyDescent="0.2"/>
    <row r="55581" customFormat="1" x14ac:dyDescent="0.2"/>
    <row r="55582" customFormat="1" x14ac:dyDescent="0.2"/>
    <row r="55583" customFormat="1" x14ac:dyDescent="0.2"/>
    <row r="55584" customFormat="1" x14ac:dyDescent="0.2"/>
    <row r="55585" customFormat="1" x14ac:dyDescent="0.2"/>
    <row r="55586" customFormat="1" x14ac:dyDescent="0.2"/>
    <row r="55587" customFormat="1" x14ac:dyDescent="0.2"/>
    <row r="55588" customFormat="1" x14ac:dyDescent="0.2"/>
    <row r="55589" customFormat="1" x14ac:dyDescent="0.2"/>
    <row r="55590" customFormat="1" x14ac:dyDescent="0.2"/>
    <row r="55591" customFormat="1" x14ac:dyDescent="0.2"/>
    <row r="55592" customFormat="1" x14ac:dyDescent="0.2"/>
    <row r="55593" customFormat="1" x14ac:dyDescent="0.2"/>
    <row r="55594" customFormat="1" x14ac:dyDescent="0.2"/>
    <row r="55595" customFormat="1" x14ac:dyDescent="0.2"/>
    <row r="55596" customFormat="1" x14ac:dyDescent="0.2"/>
    <row r="55597" customFormat="1" x14ac:dyDescent="0.2"/>
    <row r="55598" customFormat="1" x14ac:dyDescent="0.2"/>
    <row r="55599" customFormat="1" x14ac:dyDescent="0.2"/>
    <row r="55600" customFormat="1" x14ac:dyDescent="0.2"/>
    <row r="55601" customFormat="1" x14ac:dyDescent="0.2"/>
    <row r="55602" customFormat="1" x14ac:dyDescent="0.2"/>
    <row r="55603" customFormat="1" x14ac:dyDescent="0.2"/>
    <row r="55604" customFormat="1" x14ac:dyDescent="0.2"/>
    <row r="55605" customFormat="1" x14ac:dyDescent="0.2"/>
    <row r="55606" customFormat="1" x14ac:dyDescent="0.2"/>
    <row r="55607" customFormat="1" x14ac:dyDescent="0.2"/>
    <row r="55608" customFormat="1" x14ac:dyDescent="0.2"/>
    <row r="55609" customFormat="1" x14ac:dyDescent="0.2"/>
    <row r="55610" customFormat="1" x14ac:dyDescent="0.2"/>
    <row r="55611" customFormat="1" x14ac:dyDescent="0.2"/>
    <row r="55612" customFormat="1" x14ac:dyDescent="0.2"/>
    <row r="55613" customFormat="1" x14ac:dyDescent="0.2"/>
    <row r="55614" customFormat="1" x14ac:dyDescent="0.2"/>
    <row r="55615" customFormat="1" x14ac:dyDescent="0.2"/>
    <row r="55616" customFormat="1" x14ac:dyDescent="0.2"/>
    <row r="55617" customFormat="1" x14ac:dyDescent="0.2"/>
    <row r="55618" customFormat="1" x14ac:dyDescent="0.2"/>
    <row r="55619" customFormat="1" x14ac:dyDescent="0.2"/>
    <row r="55620" customFormat="1" x14ac:dyDescent="0.2"/>
    <row r="55621" customFormat="1" x14ac:dyDescent="0.2"/>
    <row r="55622" customFormat="1" x14ac:dyDescent="0.2"/>
    <row r="55623" customFormat="1" x14ac:dyDescent="0.2"/>
    <row r="55624" customFormat="1" x14ac:dyDescent="0.2"/>
    <row r="55625" customFormat="1" x14ac:dyDescent="0.2"/>
    <row r="55626" customFormat="1" x14ac:dyDescent="0.2"/>
    <row r="55627" customFormat="1" x14ac:dyDescent="0.2"/>
    <row r="55628" customFormat="1" x14ac:dyDescent="0.2"/>
    <row r="55629" customFormat="1" x14ac:dyDescent="0.2"/>
    <row r="55630" customFormat="1" x14ac:dyDescent="0.2"/>
    <row r="55631" customFormat="1" x14ac:dyDescent="0.2"/>
    <row r="55632" customFormat="1" x14ac:dyDescent="0.2"/>
    <row r="55633" customFormat="1" x14ac:dyDescent="0.2"/>
    <row r="55634" customFormat="1" x14ac:dyDescent="0.2"/>
    <row r="55635" customFormat="1" x14ac:dyDescent="0.2"/>
    <row r="55636" customFormat="1" x14ac:dyDescent="0.2"/>
    <row r="55637" customFormat="1" x14ac:dyDescent="0.2"/>
    <row r="55638" customFormat="1" x14ac:dyDescent="0.2"/>
    <row r="55639" customFormat="1" x14ac:dyDescent="0.2"/>
    <row r="55640" customFormat="1" x14ac:dyDescent="0.2"/>
    <row r="55641" customFormat="1" x14ac:dyDescent="0.2"/>
    <row r="55642" customFormat="1" x14ac:dyDescent="0.2"/>
    <row r="55643" customFormat="1" x14ac:dyDescent="0.2"/>
    <row r="55644" customFormat="1" x14ac:dyDescent="0.2"/>
    <row r="55645" customFormat="1" x14ac:dyDescent="0.2"/>
    <row r="55646" customFormat="1" x14ac:dyDescent="0.2"/>
    <row r="55647" customFormat="1" x14ac:dyDescent="0.2"/>
    <row r="55648" customFormat="1" x14ac:dyDescent="0.2"/>
    <row r="55649" customFormat="1" x14ac:dyDescent="0.2"/>
    <row r="55650" customFormat="1" x14ac:dyDescent="0.2"/>
    <row r="55651" customFormat="1" x14ac:dyDescent="0.2"/>
    <row r="55652" customFormat="1" x14ac:dyDescent="0.2"/>
    <row r="55653" customFormat="1" x14ac:dyDescent="0.2"/>
    <row r="55654" customFormat="1" x14ac:dyDescent="0.2"/>
    <row r="55655" customFormat="1" x14ac:dyDescent="0.2"/>
    <row r="55656" customFormat="1" x14ac:dyDescent="0.2"/>
    <row r="55657" customFormat="1" x14ac:dyDescent="0.2"/>
    <row r="55658" customFormat="1" x14ac:dyDescent="0.2"/>
    <row r="55659" customFormat="1" x14ac:dyDescent="0.2"/>
    <row r="55660" customFormat="1" x14ac:dyDescent="0.2"/>
    <row r="55661" customFormat="1" x14ac:dyDescent="0.2"/>
    <row r="55662" customFormat="1" x14ac:dyDescent="0.2"/>
    <row r="55663" customFormat="1" x14ac:dyDescent="0.2"/>
    <row r="55664" customFormat="1" x14ac:dyDescent="0.2"/>
    <row r="55665" customFormat="1" x14ac:dyDescent="0.2"/>
    <row r="55666" customFormat="1" x14ac:dyDescent="0.2"/>
    <row r="55667" customFormat="1" x14ac:dyDescent="0.2"/>
    <row r="55668" customFormat="1" x14ac:dyDescent="0.2"/>
    <row r="55669" customFormat="1" x14ac:dyDescent="0.2"/>
    <row r="55670" customFormat="1" x14ac:dyDescent="0.2"/>
    <row r="55671" customFormat="1" x14ac:dyDescent="0.2"/>
    <row r="55672" customFormat="1" x14ac:dyDescent="0.2"/>
    <row r="55673" customFormat="1" x14ac:dyDescent="0.2"/>
    <row r="55674" customFormat="1" x14ac:dyDescent="0.2"/>
    <row r="55675" customFormat="1" x14ac:dyDescent="0.2"/>
    <row r="55676" customFormat="1" x14ac:dyDescent="0.2"/>
    <row r="55677" customFormat="1" x14ac:dyDescent="0.2"/>
    <row r="55678" customFormat="1" x14ac:dyDescent="0.2"/>
    <row r="55679" customFormat="1" x14ac:dyDescent="0.2"/>
    <row r="55680" customFormat="1" x14ac:dyDescent="0.2"/>
    <row r="55681" customFormat="1" x14ac:dyDescent="0.2"/>
    <row r="55682" customFormat="1" x14ac:dyDescent="0.2"/>
    <row r="55683" customFormat="1" x14ac:dyDescent="0.2"/>
    <row r="55684" customFormat="1" x14ac:dyDescent="0.2"/>
    <row r="55685" customFormat="1" x14ac:dyDescent="0.2"/>
    <row r="55686" customFormat="1" x14ac:dyDescent="0.2"/>
    <row r="55687" customFormat="1" x14ac:dyDescent="0.2"/>
    <row r="55688" customFormat="1" x14ac:dyDescent="0.2"/>
    <row r="55689" customFormat="1" x14ac:dyDescent="0.2"/>
    <row r="55690" customFormat="1" x14ac:dyDescent="0.2"/>
    <row r="55691" customFormat="1" x14ac:dyDescent="0.2"/>
    <row r="55692" customFormat="1" x14ac:dyDescent="0.2"/>
    <row r="55693" customFormat="1" x14ac:dyDescent="0.2"/>
    <row r="55694" customFormat="1" x14ac:dyDescent="0.2"/>
    <row r="55695" customFormat="1" x14ac:dyDescent="0.2"/>
    <row r="55696" customFormat="1" x14ac:dyDescent="0.2"/>
    <row r="55697" customFormat="1" x14ac:dyDescent="0.2"/>
    <row r="55698" customFormat="1" x14ac:dyDescent="0.2"/>
    <row r="55699" customFormat="1" x14ac:dyDescent="0.2"/>
    <row r="55700" customFormat="1" x14ac:dyDescent="0.2"/>
    <row r="55701" customFormat="1" x14ac:dyDescent="0.2"/>
    <row r="55702" customFormat="1" x14ac:dyDescent="0.2"/>
    <row r="55703" customFormat="1" x14ac:dyDescent="0.2"/>
    <row r="55704" customFormat="1" x14ac:dyDescent="0.2"/>
    <row r="55705" customFormat="1" x14ac:dyDescent="0.2"/>
    <row r="55706" customFormat="1" x14ac:dyDescent="0.2"/>
    <row r="55707" customFormat="1" x14ac:dyDescent="0.2"/>
    <row r="55708" customFormat="1" x14ac:dyDescent="0.2"/>
    <row r="55709" customFormat="1" x14ac:dyDescent="0.2"/>
    <row r="55710" customFormat="1" x14ac:dyDescent="0.2"/>
    <row r="55711" customFormat="1" x14ac:dyDescent="0.2"/>
    <row r="55712" customFormat="1" x14ac:dyDescent="0.2"/>
    <row r="55713" customFormat="1" x14ac:dyDescent="0.2"/>
    <row r="55714" customFormat="1" x14ac:dyDescent="0.2"/>
    <row r="55715" customFormat="1" x14ac:dyDescent="0.2"/>
    <row r="55716" customFormat="1" x14ac:dyDescent="0.2"/>
    <row r="55717" customFormat="1" x14ac:dyDescent="0.2"/>
    <row r="55718" customFormat="1" x14ac:dyDescent="0.2"/>
    <row r="55719" customFormat="1" x14ac:dyDescent="0.2"/>
    <row r="55720" customFormat="1" x14ac:dyDescent="0.2"/>
    <row r="55721" customFormat="1" x14ac:dyDescent="0.2"/>
    <row r="55722" customFormat="1" x14ac:dyDescent="0.2"/>
    <row r="55723" customFormat="1" x14ac:dyDescent="0.2"/>
    <row r="55724" customFormat="1" x14ac:dyDescent="0.2"/>
    <row r="55725" customFormat="1" x14ac:dyDescent="0.2"/>
    <row r="55726" customFormat="1" x14ac:dyDescent="0.2"/>
    <row r="55727" customFormat="1" x14ac:dyDescent="0.2"/>
    <row r="55728" customFormat="1" x14ac:dyDescent="0.2"/>
    <row r="55729" customFormat="1" x14ac:dyDescent="0.2"/>
    <row r="55730" customFormat="1" x14ac:dyDescent="0.2"/>
    <row r="55731" customFormat="1" x14ac:dyDescent="0.2"/>
    <row r="55732" customFormat="1" x14ac:dyDescent="0.2"/>
    <row r="55733" customFormat="1" x14ac:dyDescent="0.2"/>
    <row r="55734" customFormat="1" x14ac:dyDescent="0.2"/>
    <row r="55735" customFormat="1" x14ac:dyDescent="0.2"/>
    <row r="55736" customFormat="1" x14ac:dyDescent="0.2"/>
    <row r="55737" customFormat="1" x14ac:dyDescent="0.2"/>
    <row r="55738" customFormat="1" x14ac:dyDescent="0.2"/>
    <row r="55739" customFormat="1" x14ac:dyDescent="0.2"/>
    <row r="55740" customFormat="1" x14ac:dyDescent="0.2"/>
    <row r="55741" customFormat="1" x14ac:dyDescent="0.2"/>
    <row r="55742" customFormat="1" x14ac:dyDescent="0.2"/>
    <row r="55743" customFormat="1" x14ac:dyDescent="0.2"/>
    <row r="55744" customFormat="1" x14ac:dyDescent="0.2"/>
    <row r="55745" customFormat="1" x14ac:dyDescent="0.2"/>
    <row r="55746" customFormat="1" x14ac:dyDescent="0.2"/>
    <row r="55747" customFormat="1" x14ac:dyDescent="0.2"/>
    <row r="55748" customFormat="1" x14ac:dyDescent="0.2"/>
    <row r="55749" customFormat="1" x14ac:dyDescent="0.2"/>
    <row r="55750" customFormat="1" x14ac:dyDescent="0.2"/>
    <row r="55751" customFormat="1" x14ac:dyDescent="0.2"/>
    <row r="55752" customFormat="1" x14ac:dyDescent="0.2"/>
    <row r="55753" customFormat="1" x14ac:dyDescent="0.2"/>
    <row r="55754" customFormat="1" x14ac:dyDescent="0.2"/>
    <row r="55755" customFormat="1" x14ac:dyDescent="0.2"/>
    <row r="55756" customFormat="1" x14ac:dyDescent="0.2"/>
    <row r="55757" customFormat="1" x14ac:dyDescent="0.2"/>
    <row r="55758" customFormat="1" x14ac:dyDescent="0.2"/>
    <row r="55759" customFormat="1" x14ac:dyDescent="0.2"/>
    <row r="55760" customFormat="1" x14ac:dyDescent="0.2"/>
    <row r="55761" customFormat="1" x14ac:dyDescent="0.2"/>
    <row r="55762" customFormat="1" x14ac:dyDescent="0.2"/>
    <row r="55763" customFormat="1" x14ac:dyDescent="0.2"/>
    <row r="55764" customFormat="1" x14ac:dyDescent="0.2"/>
    <row r="55765" customFormat="1" x14ac:dyDescent="0.2"/>
    <row r="55766" customFormat="1" x14ac:dyDescent="0.2"/>
    <row r="55767" customFormat="1" x14ac:dyDescent="0.2"/>
    <row r="55768" customFormat="1" x14ac:dyDescent="0.2"/>
    <row r="55769" customFormat="1" x14ac:dyDescent="0.2"/>
    <row r="55770" customFormat="1" x14ac:dyDescent="0.2"/>
    <row r="55771" customFormat="1" x14ac:dyDescent="0.2"/>
    <row r="55772" customFormat="1" x14ac:dyDescent="0.2"/>
    <row r="55773" customFormat="1" x14ac:dyDescent="0.2"/>
    <row r="55774" customFormat="1" x14ac:dyDescent="0.2"/>
    <row r="55775" customFormat="1" x14ac:dyDescent="0.2"/>
    <row r="55776" customFormat="1" x14ac:dyDescent="0.2"/>
    <row r="55777" customFormat="1" x14ac:dyDescent="0.2"/>
    <row r="55778" customFormat="1" x14ac:dyDescent="0.2"/>
    <row r="55779" customFormat="1" x14ac:dyDescent="0.2"/>
    <row r="55780" customFormat="1" x14ac:dyDescent="0.2"/>
    <row r="55781" customFormat="1" x14ac:dyDescent="0.2"/>
    <row r="55782" customFormat="1" x14ac:dyDescent="0.2"/>
    <row r="55783" customFormat="1" x14ac:dyDescent="0.2"/>
    <row r="55784" customFormat="1" x14ac:dyDescent="0.2"/>
    <row r="55785" customFormat="1" x14ac:dyDescent="0.2"/>
    <row r="55786" customFormat="1" x14ac:dyDescent="0.2"/>
    <row r="55787" customFormat="1" x14ac:dyDescent="0.2"/>
    <row r="55788" customFormat="1" x14ac:dyDescent="0.2"/>
    <row r="55789" customFormat="1" x14ac:dyDescent="0.2"/>
    <row r="55790" customFormat="1" x14ac:dyDescent="0.2"/>
    <row r="55791" customFormat="1" x14ac:dyDescent="0.2"/>
    <row r="55792" customFormat="1" x14ac:dyDescent="0.2"/>
    <row r="55793" customFormat="1" x14ac:dyDescent="0.2"/>
    <row r="55794" customFormat="1" x14ac:dyDescent="0.2"/>
    <row r="55795" customFormat="1" x14ac:dyDescent="0.2"/>
    <row r="55796" customFormat="1" x14ac:dyDescent="0.2"/>
    <row r="55797" customFormat="1" x14ac:dyDescent="0.2"/>
    <row r="55798" customFormat="1" x14ac:dyDescent="0.2"/>
    <row r="55799" customFormat="1" x14ac:dyDescent="0.2"/>
    <row r="55800" customFormat="1" x14ac:dyDescent="0.2"/>
    <row r="55801" customFormat="1" x14ac:dyDescent="0.2"/>
    <row r="55802" customFormat="1" x14ac:dyDescent="0.2"/>
    <row r="55803" customFormat="1" x14ac:dyDescent="0.2"/>
    <row r="55804" customFormat="1" x14ac:dyDescent="0.2"/>
    <row r="55805" customFormat="1" x14ac:dyDescent="0.2"/>
    <row r="55806" customFormat="1" x14ac:dyDescent="0.2"/>
    <row r="55807" customFormat="1" x14ac:dyDescent="0.2"/>
    <row r="55808" customFormat="1" x14ac:dyDescent="0.2"/>
    <row r="55809" customFormat="1" x14ac:dyDescent="0.2"/>
    <row r="55810" customFormat="1" x14ac:dyDescent="0.2"/>
    <row r="55811" customFormat="1" x14ac:dyDescent="0.2"/>
    <row r="55812" customFormat="1" x14ac:dyDescent="0.2"/>
    <row r="55813" customFormat="1" x14ac:dyDescent="0.2"/>
    <row r="55814" customFormat="1" x14ac:dyDescent="0.2"/>
    <row r="55815" customFormat="1" x14ac:dyDescent="0.2"/>
    <row r="55816" customFormat="1" x14ac:dyDescent="0.2"/>
    <row r="55817" customFormat="1" x14ac:dyDescent="0.2"/>
    <row r="55818" customFormat="1" x14ac:dyDescent="0.2"/>
    <row r="55819" customFormat="1" x14ac:dyDescent="0.2"/>
    <row r="55820" customFormat="1" x14ac:dyDescent="0.2"/>
    <row r="55821" customFormat="1" x14ac:dyDescent="0.2"/>
    <row r="55822" customFormat="1" x14ac:dyDescent="0.2"/>
    <row r="55823" customFormat="1" x14ac:dyDescent="0.2"/>
    <row r="55824" customFormat="1" x14ac:dyDescent="0.2"/>
    <row r="55825" customFormat="1" x14ac:dyDescent="0.2"/>
    <row r="55826" customFormat="1" x14ac:dyDescent="0.2"/>
    <row r="55827" customFormat="1" x14ac:dyDescent="0.2"/>
    <row r="55828" customFormat="1" x14ac:dyDescent="0.2"/>
    <row r="55829" customFormat="1" x14ac:dyDescent="0.2"/>
    <row r="55830" customFormat="1" x14ac:dyDescent="0.2"/>
    <row r="55831" customFormat="1" x14ac:dyDescent="0.2"/>
    <row r="55832" customFormat="1" x14ac:dyDescent="0.2"/>
    <row r="55833" customFormat="1" x14ac:dyDescent="0.2"/>
    <row r="55834" customFormat="1" x14ac:dyDescent="0.2"/>
    <row r="55835" customFormat="1" x14ac:dyDescent="0.2"/>
    <row r="55836" customFormat="1" x14ac:dyDescent="0.2"/>
    <row r="55837" customFormat="1" x14ac:dyDescent="0.2"/>
    <row r="55838" customFormat="1" x14ac:dyDescent="0.2"/>
    <row r="55839" customFormat="1" x14ac:dyDescent="0.2"/>
    <row r="55840" customFormat="1" x14ac:dyDescent="0.2"/>
    <row r="55841" customFormat="1" x14ac:dyDescent="0.2"/>
    <row r="55842" customFormat="1" x14ac:dyDescent="0.2"/>
    <row r="55843" customFormat="1" x14ac:dyDescent="0.2"/>
    <row r="55844" customFormat="1" x14ac:dyDescent="0.2"/>
    <row r="55845" customFormat="1" x14ac:dyDescent="0.2"/>
    <row r="55846" customFormat="1" x14ac:dyDescent="0.2"/>
    <row r="55847" customFormat="1" x14ac:dyDescent="0.2"/>
    <row r="55848" customFormat="1" x14ac:dyDescent="0.2"/>
    <row r="55849" customFormat="1" x14ac:dyDescent="0.2"/>
    <row r="55850" customFormat="1" x14ac:dyDescent="0.2"/>
    <row r="55851" customFormat="1" x14ac:dyDescent="0.2"/>
    <row r="55852" customFormat="1" x14ac:dyDescent="0.2"/>
    <row r="55853" customFormat="1" x14ac:dyDescent="0.2"/>
    <row r="55854" customFormat="1" x14ac:dyDescent="0.2"/>
    <row r="55855" customFormat="1" x14ac:dyDescent="0.2"/>
    <row r="55856" customFormat="1" x14ac:dyDescent="0.2"/>
    <row r="55857" customFormat="1" x14ac:dyDescent="0.2"/>
    <row r="55858" customFormat="1" x14ac:dyDescent="0.2"/>
    <row r="55859" customFormat="1" x14ac:dyDescent="0.2"/>
    <row r="55860" customFormat="1" x14ac:dyDescent="0.2"/>
    <row r="55861" customFormat="1" x14ac:dyDescent="0.2"/>
    <row r="55862" customFormat="1" x14ac:dyDescent="0.2"/>
    <row r="55863" customFormat="1" x14ac:dyDescent="0.2"/>
    <row r="55864" customFormat="1" x14ac:dyDescent="0.2"/>
    <row r="55865" customFormat="1" x14ac:dyDescent="0.2"/>
    <row r="55866" customFormat="1" x14ac:dyDescent="0.2"/>
    <row r="55867" customFormat="1" x14ac:dyDescent="0.2"/>
    <row r="55868" customFormat="1" x14ac:dyDescent="0.2"/>
    <row r="55869" customFormat="1" x14ac:dyDescent="0.2"/>
    <row r="55870" customFormat="1" x14ac:dyDescent="0.2"/>
    <row r="55871" customFormat="1" x14ac:dyDescent="0.2"/>
    <row r="55872" customFormat="1" x14ac:dyDescent="0.2"/>
    <row r="55873" customFormat="1" x14ac:dyDescent="0.2"/>
    <row r="55874" customFormat="1" x14ac:dyDescent="0.2"/>
    <row r="55875" customFormat="1" x14ac:dyDescent="0.2"/>
    <row r="55876" customFormat="1" x14ac:dyDescent="0.2"/>
    <row r="55877" customFormat="1" x14ac:dyDescent="0.2"/>
    <row r="55878" customFormat="1" x14ac:dyDescent="0.2"/>
    <row r="55879" customFormat="1" x14ac:dyDescent="0.2"/>
    <row r="55880" customFormat="1" x14ac:dyDescent="0.2"/>
    <row r="55881" customFormat="1" x14ac:dyDescent="0.2"/>
    <row r="55882" customFormat="1" x14ac:dyDescent="0.2"/>
    <row r="55883" customFormat="1" x14ac:dyDescent="0.2"/>
    <row r="55884" customFormat="1" x14ac:dyDescent="0.2"/>
    <row r="55885" customFormat="1" x14ac:dyDescent="0.2"/>
    <row r="55886" customFormat="1" x14ac:dyDescent="0.2"/>
    <row r="55887" customFormat="1" x14ac:dyDescent="0.2"/>
    <row r="55888" customFormat="1" x14ac:dyDescent="0.2"/>
    <row r="55889" customFormat="1" x14ac:dyDescent="0.2"/>
    <row r="55890" customFormat="1" x14ac:dyDescent="0.2"/>
    <row r="55891" customFormat="1" x14ac:dyDescent="0.2"/>
    <row r="55892" customFormat="1" x14ac:dyDescent="0.2"/>
    <row r="55893" customFormat="1" x14ac:dyDescent="0.2"/>
    <row r="55894" customFormat="1" x14ac:dyDescent="0.2"/>
    <row r="55895" customFormat="1" x14ac:dyDescent="0.2"/>
    <row r="55896" customFormat="1" x14ac:dyDescent="0.2"/>
    <row r="55897" customFormat="1" x14ac:dyDescent="0.2"/>
    <row r="55898" customFormat="1" x14ac:dyDescent="0.2"/>
    <row r="55899" customFormat="1" x14ac:dyDescent="0.2"/>
    <row r="55900" customFormat="1" x14ac:dyDescent="0.2"/>
    <row r="55901" customFormat="1" x14ac:dyDescent="0.2"/>
    <row r="55902" customFormat="1" x14ac:dyDescent="0.2"/>
    <row r="55903" customFormat="1" x14ac:dyDescent="0.2"/>
    <row r="55904" customFormat="1" x14ac:dyDescent="0.2"/>
    <row r="55905" customFormat="1" x14ac:dyDescent="0.2"/>
    <row r="55906" customFormat="1" x14ac:dyDescent="0.2"/>
    <row r="55907" customFormat="1" x14ac:dyDescent="0.2"/>
    <row r="55908" customFormat="1" x14ac:dyDescent="0.2"/>
    <row r="55909" customFormat="1" x14ac:dyDescent="0.2"/>
    <row r="55910" customFormat="1" x14ac:dyDescent="0.2"/>
    <row r="55911" customFormat="1" x14ac:dyDescent="0.2"/>
    <row r="55912" customFormat="1" x14ac:dyDescent="0.2"/>
    <row r="55913" customFormat="1" x14ac:dyDescent="0.2"/>
    <row r="55914" customFormat="1" x14ac:dyDescent="0.2"/>
    <row r="55915" customFormat="1" x14ac:dyDescent="0.2"/>
    <row r="55916" customFormat="1" x14ac:dyDescent="0.2"/>
    <row r="55917" customFormat="1" x14ac:dyDescent="0.2"/>
    <row r="55918" customFormat="1" x14ac:dyDescent="0.2"/>
    <row r="55919" customFormat="1" x14ac:dyDescent="0.2"/>
    <row r="55920" customFormat="1" x14ac:dyDescent="0.2"/>
    <row r="55921" customFormat="1" x14ac:dyDescent="0.2"/>
    <row r="55922" customFormat="1" x14ac:dyDescent="0.2"/>
    <row r="55923" customFormat="1" x14ac:dyDescent="0.2"/>
    <row r="55924" customFormat="1" x14ac:dyDescent="0.2"/>
    <row r="55925" customFormat="1" x14ac:dyDescent="0.2"/>
    <row r="55926" customFormat="1" x14ac:dyDescent="0.2"/>
    <row r="55927" customFormat="1" x14ac:dyDescent="0.2"/>
    <row r="55928" customFormat="1" x14ac:dyDescent="0.2"/>
    <row r="55929" customFormat="1" x14ac:dyDescent="0.2"/>
    <row r="55930" customFormat="1" x14ac:dyDescent="0.2"/>
    <row r="55931" customFormat="1" x14ac:dyDescent="0.2"/>
    <row r="55932" customFormat="1" x14ac:dyDescent="0.2"/>
    <row r="55933" customFormat="1" x14ac:dyDescent="0.2"/>
    <row r="55934" customFormat="1" x14ac:dyDescent="0.2"/>
    <row r="55935" customFormat="1" x14ac:dyDescent="0.2"/>
    <row r="55936" customFormat="1" x14ac:dyDescent="0.2"/>
    <row r="55937" customFormat="1" x14ac:dyDescent="0.2"/>
    <row r="55938" customFormat="1" x14ac:dyDescent="0.2"/>
    <row r="55939" customFormat="1" x14ac:dyDescent="0.2"/>
    <row r="55940" customFormat="1" x14ac:dyDescent="0.2"/>
    <row r="55941" customFormat="1" x14ac:dyDescent="0.2"/>
    <row r="55942" customFormat="1" x14ac:dyDescent="0.2"/>
    <row r="55943" customFormat="1" x14ac:dyDescent="0.2"/>
    <row r="55944" customFormat="1" x14ac:dyDescent="0.2"/>
    <row r="55945" customFormat="1" x14ac:dyDescent="0.2"/>
    <row r="55946" customFormat="1" x14ac:dyDescent="0.2"/>
    <row r="55947" customFormat="1" x14ac:dyDescent="0.2"/>
    <row r="55948" customFormat="1" x14ac:dyDescent="0.2"/>
    <row r="55949" customFormat="1" x14ac:dyDescent="0.2"/>
    <row r="55950" customFormat="1" x14ac:dyDescent="0.2"/>
    <row r="55951" customFormat="1" x14ac:dyDescent="0.2"/>
    <row r="55952" customFormat="1" x14ac:dyDescent="0.2"/>
    <row r="55953" customFormat="1" x14ac:dyDescent="0.2"/>
    <row r="55954" customFormat="1" x14ac:dyDescent="0.2"/>
    <row r="55955" customFormat="1" x14ac:dyDescent="0.2"/>
    <row r="55956" customFormat="1" x14ac:dyDescent="0.2"/>
    <row r="55957" customFormat="1" x14ac:dyDescent="0.2"/>
    <row r="55958" customFormat="1" x14ac:dyDescent="0.2"/>
    <row r="55959" customFormat="1" x14ac:dyDescent="0.2"/>
    <row r="55960" customFormat="1" x14ac:dyDescent="0.2"/>
    <row r="55961" customFormat="1" x14ac:dyDescent="0.2"/>
    <row r="55962" customFormat="1" x14ac:dyDescent="0.2"/>
    <row r="55963" customFormat="1" x14ac:dyDescent="0.2"/>
    <row r="55964" customFormat="1" x14ac:dyDescent="0.2"/>
    <row r="55965" customFormat="1" x14ac:dyDescent="0.2"/>
    <row r="55966" customFormat="1" x14ac:dyDescent="0.2"/>
    <row r="55967" customFormat="1" x14ac:dyDescent="0.2"/>
    <row r="55968" customFormat="1" x14ac:dyDescent="0.2"/>
    <row r="55969" customFormat="1" x14ac:dyDescent="0.2"/>
    <row r="55970" customFormat="1" x14ac:dyDescent="0.2"/>
    <row r="55971" customFormat="1" x14ac:dyDescent="0.2"/>
    <row r="55972" customFormat="1" x14ac:dyDescent="0.2"/>
    <row r="55973" customFormat="1" x14ac:dyDescent="0.2"/>
    <row r="55974" customFormat="1" x14ac:dyDescent="0.2"/>
    <row r="55975" customFormat="1" x14ac:dyDescent="0.2"/>
    <row r="55976" customFormat="1" x14ac:dyDescent="0.2"/>
    <row r="55977" customFormat="1" x14ac:dyDescent="0.2"/>
    <row r="55978" customFormat="1" x14ac:dyDescent="0.2"/>
    <row r="55979" customFormat="1" x14ac:dyDescent="0.2"/>
    <row r="55980" customFormat="1" x14ac:dyDescent="0.2"/>
    <row r="55981" customFormat="1" x14ac:dyDescent="0.2"/>
    <row r="55982" customFormat="1" x14ac:dyDescent="0.2"/>
    <row r="55983" customFormat="1" x14ac:dyDescent="0.2"/>
    <row r="55984" customFormat="1" x14ac:dyDescent="0.2"/>
    <row r="55985" customFormat="1" x14ac:dyDescent="0.2"/>
    <row r="55986" customFormat="1" x14ac:dyDescent="0.2"/>
    <row r="55987" customFormat="1" x14ac:dyDescent="0.2"/>
    <row r="55988" customFormat="1" x14ac:dyDescent="0.2"/>
    <row r="55989" customFormat="1" x14ac:dyDescent="0.2"/>
    <row r="55990" customFormat="1" x14ac:dyDescent="0.2"/>
    <row r="55991" customFormat="1" x14ac:dyDescent="0.2"/>
    <row r="55992" customFormat="1" x14ac:dyDescent="0.2"/>
    <row r="55993" customFormat="1" x14ac:dyDescent="0.2"/>
    <row r="55994" customFormat="1" x14ac:dyDescent="0.2"/>
    <row r="55995" customFormat="1" x14ac:dyDescent="0.2"/>
    <row r="55996" customFormat="1" x14ac:dyDescent="0.2"/>
    <row r="55997" customFormat="1" x14ac:dyDescent="0.2"/>
    <row r="55998" customFormat="1" x14ac:dyDescent="0.2"/>
    <row r="55999" customFormat="1" x14ac:dyDescent="0.2"/>
    <row r="56000" customFormat="1" x14ac:dyDescent="0.2"/>
    <row r="56001" customFormat="1" x14ac:dyDescent="0.2"/>
    <row r="56002" customFormat="1" x14ac:dyDescent="0.2"/>
    <row r="56003" customFormat="1" x14ac:dyDescent="0.2"/>
    <row r="56004" customFormat="1" x14ac:dyDescent="0.2"/>
    <row r="56005" customFormat="1" x14ac:dyDescent="0.2"/>
    <row r="56006" customFormat="1" x14ac:dyDescent="0.2"/>
    <row r="56007" customFormat="1" x14ac:dyDescent="0.2"/>
    <row r="56008" customFormat="1" x14ac:dyDescent="0.2"/>
    <row r="56009" customFormat="1" x14ac:dyDescent="0.2"/>
    <row r="56010" customFormat="1" x14ac:dyDescent="0.2"/>
    <row r="56011" customFormat="1" x14ac:dyDescent="0.2"/>
    <row r="56012" customFormat="1" x14ac:dyDescent="0.2"/>
    <row r="56013" customFormat="1" x14ac:dyDescent="0.2"/>
    <row r="56014" customFormat="1" x14ac:dyDescent="0.2"/>
    <row r="56015" customFormat="1" x14ac:dyDescent="0.2"/>
    <row r="56016" customFormat="1" x14ac:dyDescent="0.2"/>
    <row r="56017" customFormat="1" x14ac:dyDescent="0.2"/>
    <row r="56018" customFormat="1" x14ac:dyDescent="0.2"/>
    <row r="56019" customFormat="1" x14ac:dyDescent="0.2"/>
    <row r="56020" customFormat="1" x14ac:dyDescent="0.2"/>
    <row r="56021" customFormat="1" x14ac:dyDescent="0.2"/>
    <row r="56022" customFormat="1" x14ac:dyDescent="0.2"/>
    <row r="56023" customFormat="1" x14ac:dyDescent="0.2"/>
    <row r="56024" customFormat="1" x14ac:dyDescent="0.2"/>
    <row r="56025" customFormat="1" x14ac:dyDescent="0.2"/>
    <row r="56026" customFormat="1" x14ac:dyDescent="0.2"/>
    <row r="56027" customFormat="1" x14ac:dyDescent="0.2"/>
    <row r="56028" customFormat="1" x14ac:dyDescent="0.2"/>
    <row r="56029" customFormat="1" x14ac:dyDescent="0.2"/>
    <row r="56030" customFormat="1" x14ac:dyDescent="0.2"/>
    <row r="56031" customFormat="1" x14ac:dyDescent="0.2"/>
    <row r="56032" customFormat="1" x14ac:dyDescent="0.2"/>
    <row r="56033" customFormat="1" x14ac:dyDescent="0.2"/>
    <row r="56034" customFormat="1" x14ac:dyDescent="0.2"/>
    <row r="56035" customFormat="1" x14ac:dyDescent="0.2"/>
    <row r="56036" customFormat="1" x14ac:dyDescent="0.2"/>
    <row r="56037" customFormat="1" x14ac:dyDescent="0.2"/>
    <row r="56038" customFormat="1" x14ac:dyDescent="0.2"/>
    <row r="56039" customFormat="1" x14ac:dyDescent="0.2"/>
    <row r="56040" customFormat="1" x14ac:dyDescent="0.2"/>
    <row r="56041" customFormat="1" x14ac:dyDescent="0.2"/>
    <row r="56042" customFormat="1" x14ac:dyDescent="0.2"/>
    <row r="56043" customFormat="1" x14ac:dyDescent="0.2"/>
    <row r="56044" customFormat="1" x14ac:dyDescent="0.2"/>
    <row r="56045" customFormat="1" x14ac:dyDescent="0.2"/>
    <row r="56046" customFormat="1" x14ac:dyDescent="0.2"/>
    <row r="56047" customFormat="1" x14ac:dyDescent="0.2"/>
    <row r="56048" customFormat="1" x14ac:dyDescent="0.2"/>
    <row r="56049" customFormat="1" x14ac:dyDescent="0.2"/>
    <row r="56050" customFormat="1" x14ac:dyDescent="0.2"/>
    <row r="56051" customFormat="1" x14ac:dyDescent="0.2"/>
    <row r="56052" customFormat="1" x14ac:dyDescent="0.2"/>
    <row r="56053" customFormat="1" x14ac:dyDescent="0.2"/>
    <row r="56054" customFormat="1" x14ac:dyDescent="0.2"/>
    <row r="56055" customFormat="1" x14ac:dyDescent="0.2"/>
    <row r="56056" customFormat="1" x14ac:dyDescent="0.2"/>
    <row r="56057" customFormat="1" x14ac:dyDescent="0.2"/>
    <row r="56058" customFormat="1" x14ac:dyDescent="0.2"/>
    <row r="56059" customFormat="1" x14ac:dyDescent="0.2"/>
    <row r="56060" customFormat="1" x14ac:dyDescent="0.2"/>
    <row r="56061" customFormat="1" x14ac:dyDescent="0.2"/>
    <row r="56062" customFormat="1" x14ac:dyDescent="0.2"/>
    <row r="56063" customFormat="1" x14ac:dyDescent="0.2"/>
    <row r="56064" customFormat="1" x14ac:dyDescent="0.2"/>
    <row r="56065" customFormat="1" x14ac:dyDescent="0.2"/>
    <row r="56066" customFormat="1" x14ac:dyDescent="0.2"/>
    <row r="56067" customFormat="1" x14ac:dyDescent="0.2"/>
    <row r="56068" customFormat="1" x14ac:dyDescent="0.2"/>
    <row r="56069" customFormat="1" x14ac:dyDescent="0.2"/>
    <row r="56070" customFormat="1" x14ac:dyDescent="0.2"/>
    <row r="56071" customFormat="1" x14ac:dyDescent="0.2"/>
    <row r="56072" customFormat="1" x14ac:dyDescent="0.2"/>
    <row r="56073" customFormat="1" x14ac:dyDescent="0.2"/>
    <row r="56074" customFormat="1" x14ac:dyDescent="0.2"/>
    <row r="56075" customFormat="1" x14ac:dyDescent="0.2"/>
    <row r="56076" customFormat="1" x14ac:dyDescent="0.2"/>
    <row r="56077" customFormat="1" x14ac:dyDescent="0.2"/>
    <row r="56078" customFormat="1" x14ac:dyDescent="0.2"/>
    <row r="56079" customFormat="1" x14ac:dyDescent="0.2"/>
    <row r="56080" customFormat="1" x14ac:dyDescent="0.2"/>
    <row r="56081" customFormat="1" x14ac:dyDescent="0.2"/>
    <row r="56082" customFormat="1" x14ac:dyDescent="0.2"/>
    <row r="56083" customFormat="1" x14ac:dyDescent="0.2"/>
    <row r="56084" customFormat="1" x14ac:dyDescent="0.2"/>
    <row r="56085" customFormat="1" x14ac:dyDescent="0.2"/>
    <row r="56086" customFormat="1" x14ac:dyDescent="0.2"/>
    <row r="56087" customFormat="1" x14ac:dyDescent="0.2"/>
    <row r="56088" customFormat="1" x14ac:dyDescent="0.2"/>
    <row r="56089" customFormat="1" x14ac:dyDescent="0.2"/>
    <row r="56090" customFormat="1" x14ac:dyDescent="0.2"/>
    <row r="56091" customFormat="1" x14ac:dyDescent="0.2"/>
    <row r="56092" customFormat="1" x14ac:dyDescent="0.2"/>
    <row r="56093" customFormat="1" x14ac:dyDescent="0.2"/>
    <row r="56094" customFormat="1" x14ac:dyDescent="0.2"/>
    <row r="56095" customFormat="1" x14ac:dyDescent="0.2"/>
    <row r="56096" customFormat="1" x14ac:dyDescent="0.2"/>
    <row r="56097" customFormat="1" x14ac:dyDescent="0.2"/>
    <row r="56098" customFormat="1" x14ac:dyDescent="0.2"/>
    <row r="56099" customFormat="1" x14ac:dyDescent="0.2"/>
    <row r="56100" customFormat="1" x14ac:dyDescent="0.2"/>
    <row r="56101" customFormat="1" x14ac:dyDescent="0.2"/>
    <row r="56102" customFormat="1" x14ac:dyDescent="0.2"/>
    <row r="56103" customFormat="1" x14ac:dyDescent="0.2"/>
    <row r="56104" customFormat="1" x14ac:dyDescent="0.2"/>
    <row r="56105" customFormat="1" x14ac:dyDescent="0.2"/>
    <row r="56106" customFormat="1" x14ac:dyDescent="0.2"/>
    <row r="56107" customFormat="1" x14ac:dyDescent="0.2"/>
    <row r="56108" customFormat="1" x14ac:dyDescent="0.2"/>
    <row r="56109" customFormat="1" x14ac:dyDescent="0.2"/>
    <row r="56110" customFormat="1" x14ac:dyDescent="0.2"/>
    <row r="56111" customFormat="1" x14ac:dyDescent="0.2"/>
    <row r="56112" customFormat="1" x14ac:dyDescent="0.2"/>
    <row r="56113" customFormat="1" x14ac:dyDescent="0.2"/>
    <row r="56114" customFormat="1" x14ac:dyDescent="0.2"/>
    <row r="56115" customFormat="1" x14ac:dyDescent="0.2"/>
    <row r="56116" customFormat="1" x14ac:dyDescent="0.2"/>
    <row r="56117" customFormat="1" x14ac:dyDescent="0.2"/>
    <row r="56118" customFormat="1" x14ac:dyDescent="0.2"/>
    <row r="56119" customFormat="1" x14ac:dyDescent="0.2"/>
    <row r="56120" customFormat="1" x14ac:dyDescent="0.2"/>
    <row r="56121" customFormat="1" x14ac:dyDescent="0.2"/>
    <row r="56122" customFormat="1" x14ac:dyDescent="0.2"/>
    <row r="56123" customFormat="1" x14ac:dyDescent="0.2"/>
    <row r="56124" customFormat="1" x14ac:dyDescent="0.2"/>
    <row r="56125" customFormat="1" x14ac:dyDescent="0.2"/>
    <row r="56126" customFormat="1" x14ac:dyDescent="0.2"/>
    <row r="56127" customFormat="1" x14ac:dyDescent="0.2"/>
    <row r="56128" customFormat="1" x14ac:dyDescent="0.2"/>
    <row r="56129" customFormat="1" x14ac:dyDescent="0.2"/>
    <row r="56130" customFormat="1" x14ac:dyDescent="0.2"/>
    <row r="56131" customFormat="1" x14ac:dyDescent="0.2"/>
    <row r="56132" customFormat="1" x14ac:dyDescent="0.2"/>
    <row r="56133" customFormat="1" x14ac:dyDescent="0.2"/>
    <row r="56134" customFormat="1" x14ac:dyDescent="0.2"/>
    <row r="56135" customFormat="1" x14ac:dyDescent="0.2"/>
    <row r="56136" customFormat="1" x14ac:dyDescent="0.2"/>
    <row r="56137" customFormat="1" x14ac:dyDescent="0.2"/>
    <row r="56138" customFormat="1" x14ac:dyDescent="0.2"/>
    <row r="56139" customFormat="1" x14ac:dyDescent="0.2"/>
    <row r="56140" customFormat="1" x14ac:dyDescent="0.2"/>
    <row r="56141" customFormat="1" x14ac:dyDescent="0.2"/>
    <row r="56142" customFormat="1" x14ac:dyDescent="0.2"/>
    <row r="56143" customFormat="1" x14ac:dyDescent="0.2"/>
    <row r="56144" customFormat="1" x14ac:dyDescent="0.2"/>
    <row r="56145" customFormat="1" x14ac:dyDescent="0.2"/>
    <row r="56146" customFormat="1" x14ac:dyDescent="0.2"/>
    <row r="56147" customFormat="1" x14ac:dyDescent="0.2"/>
    <row r="56148" customFormat="1" x14ac:dyDescent="0.2"/>
    <row r="56149" customFormat="1" x14ac:dyDescent="0.2"/>
    <row r="56150" customFormat="1" x14ac:dyDescent="0.2"/>
    <row r="56151" customFormat="1" x14ac:dyDescent="0.2"/>
    <row r="56152" customFormat="1" x14ac:dyDescent="0.2"/>
    <row r="56153" customFormat="1" x14ac:dyDescent="0.2"/>
    <row r="56154" customFormat="1" x14ac:dyDescent="0.2"/>
    <row r="56155" customFormat="1" x14ac:dyDescent="0.2"/>
    <row r="56156" customFormat="1" x14ac:dyDescent="0.2"/>
    <row r="56157" customFormat="1" x14ac:dyDescent="0.2"/>
    <row r="56158" customFormat="1" x14ac:dyDescent="0.2"/>
    <row r="56159" customFormat="1" x14ac:dyDescent="0.2"/>
    <row r="56160" customFormat="1" x14ac:dyDescent="0.2"/>
    <row r="56161" customFormat="1" x14ac:dyDescent="0.2"/>
    <row r="56162" customFormat="1" x14ac:dyDescent="0.2"/>
    <row r="56163" customFormat="1" x14ac:dyDescent="0.2"/>
    <row r="56164" customFormat="1" x14ac:dyDescent="0.2"/>
    <row r="56165" customFormat="1" x14ac:dyDescent="0.2"/>
    <row r="56166" customFormat="1" x14ac:dyDescent="0.2"/>
    <row r="56167" customFormat="1" x14ac:dyDescent="0.2"/>
    <row r="56168" customFormat="1" x14ac:dyDescent="0.2"/>
    <row r="56169" customFormat="1" x14ac:dyDescent="0.2"/>
    <row r="56170" customFormat="1" x14ac:dyDescent="0.2"/>
    <row r="56171" customFormat="1" x14ac:dyDescent="0.2"/>
    <row r="56172" customFormat="1" x14ac:dyDescent="0.2"/>
    <row r="56173" customFormat="1" x14ac:dyDescent="0.2"/>
    <row r="56174" customFormat="1" x14ac:dyDescent="0.2"/>
    <row r="56175" customFormat="1" x14ac:dyDescent="0.2"/>
    <row r="56176" customFormat="1" x14ac:dyDescent="0.2"/>
    <row r="56177" customFormat="1" x14ac:dyDescent="0.2"/>
    <row r="56178" customFormat="1" x14ac:dyDescent="0.2"/>
    <row r="56179" customFormat="1" x14ac:dyDescent="0.2"/>
    <row r="56180" customFormat="1" x14ac:dyDescent="0.2"/>
    <row r="56181" customFormat="1" x14ac:dyDescent="0.2"/>
    <row r="56182" customFormat="1" x14ac:dyDescent="0.2"/>
    <row r="56183" customFormat="1" x14ac:dyDescent="0.2"/>
    <row r="56184" customFormat="1" x14ac:dyDescent="0.2"/>
    <row r="56185" customFormat="1" x14ac:dyDescent="0.2"/>
    <row r="56186" customFormat="1" x14ac:dyDescent="0.2"/>
    <row r="56187" customFormat="1" x14ac:dyDescent="0.2"/>
    <row r="56188" customFormat="1" x14ac:dyDescent="0.2"/>
    <row r="56189" customFormat="1" x14ac:dyDescent="0.2"/>
    <row r="56190" customFormat="1" x14ac:dyDescent="0.2"/>
    <row r="56191" customFormat="1" x14ac:dyDescent="0.2"/>
    <row r="56192" customFormat="1" x14ac:dyDescent="0.2"/>
    <row r="56193" customFormat="1" x14ac:dyDescent="0.2"/>
    <row r="56194" customFormat="1" x14ac:dyDescent="0.2"/>
    <row r="56195" customFormat="1" x14ac:dyDescent="0.2"/>
    <row r="56196" customFormat="1" x14ac:dyDescent="0.2"/>
    <row r="56197" customFormat="1" x14ac:dyDescent="0.2"/>
    <row r="56198" customFormat="1" x14ac:dyDescent="0.2"/>
    <row r="56199" customFormat="1" x14ac:dyDescent="0.2"/>
    <row r="56200" customFormat="1" x14ac:dyDescent="0.2"/>
    <row r="56201" customFormat="1" x14ac:dyDescent="0.2"/>
    <row r="56202" customFormat="1" x14ac:dyDescent="0.2"/>
    <row r="56203" customFormat="1" x14ac:dyDescent="0.2"/>
    <row r="56204" customFormat="1" x14ac:dyDescent="0.2"/>
    <row r="56205" customFormat="1" x14ac:dyDescent="0.2"/>
    <row r="56206" customFormat="1" x14ac:dyDescent="0.2"/>
    <row r="56207" customFormat="1" x14ac:dyDescent="0.2"/>
    <row r="56208" customFormat="1" x14ac:dyDescent="0.2"/>
    <row r="56209" customFormat="1" x14ac:dyDescent="0.2"/>
    <row r="56210" customFormat="1" x14ac:dyDescent="0.2"/>
    <row r="56211" customFormat="1" x14ac:dyDescent="0.2"/>
    <row r="56212" customFormat="1" x14ac:dyDescent="0.2"/>
    <row r="56213" customFormat="1" x14ac:dyDescent="0.2"/>
    <row r="56214" customFormat="1" x14ac:dyDescent="0.2"/>
    <row r="56215" customFormat="1" x14ac:dyDescent="0.2"/>
    <row r="56216" customFormat="1" x14ac:dyDescent="0.2"/>
    <row r="56217" customFormat="1" x14ac:dyDescent="0.2"/>
    <row r="56218" customFormat="1" x14ac:dyDescent="0.2"/>
    <row r="56219" customFormat="1" x14ac:dyDescent="0.2"/>
    <row r="56220" customFormat="1" x14ac:dyDescent="0.2"/>
    <row r="56221" customFormat="1" x14ac:dyDescent="0.2"/>
    <row r="56222" customFormat="1" x14ac:dyDescent="0.2"/>
    <row r="56223" customFormat="1" x14ac:dyDescent="0.2"/>
    <row r="56224" customFormat="1" x14ac:dyDescent="0.2"/>
    <row r="56225" customFormat="1" x14ac:dyDescent="0.2"/>
    <row r="56226" customFormat="1" x14ac:dyDescent="0.2"/>
    <row r="56227" customFormat="1" x14ac:dyDescent="0.2"/>
    <row r="56228" customFormat="1" x14ac:dyDescent="0.2"/>
    <row r="56229" customFormat="1" x14ac:dyDescent="0.2"/>
    <row r="56230" customFormat="1" x14ac:dyDescent="0.2"/>
    <row r="56231" customFormat="1" x14ac:dyDescent="0.2"/>
    <row r="56232" customFormat="1" x14ac:dyDescent="0.2"/>
    <row r="56233" customFormat="1" x14ac:dyDescent="0.2"/>
    <row r="56234" customFormat="1" x14ac:dyDescent="0.2"/>
    <row r="56235" customFormat="1" x14ac:dyDescent="0.2"/>
    <row r="56236" customFormat="1" x14ac:dyDescent="0.2"/>
    <row r="56237" customFormat="1" x14ac:dyDescent="0.2"/>
    <row r="56238" customFormat="1" x14ac:dyDescent="0.2"/>
    <row r="56239" customFormat="1" x14ac:dyDescent="0.2"/>
    <row r="56240" customFormat="1" x14ac:dyDescent="0.2"/>
    <row r="56241" customFormat="1" x14ac:dyDescent="0.2"/>
    <row r="56242" customFormat="1" x14ac:dyDescent="0.2"/>
    <row r="56243" customFormat="1" x14ac:dyDescent="0.2"/>
    <row r="56244" customFormat="1" x14ac:dyDescent="0.2"/>
    <row r="56245" customFormat="1" x14ac:dyDescent="0.2"/>
    <row r="56246" customFormat="1" x14ac:dyDescent="0.2"/>
    <row r="56247" customFormat="1" x14ac:dyDescent="0.2"/>
    <row r="56248" customFormat="1" x14ac:dyDescent="0.2"/>
    <row r="56249" customFormat="1" x14ac:dyDescent="0.2"/>
    <row r="56250" customFormat="1" x14ac:dyDescent="0.2"/>
    <row r="56251" customFormat="1" x14ac:dyDescent="0.2"/>
    <row r="56252" customFormat="1" x14ac:dyDescent="0.2"/>
    <row r="56253" customFormat="1" x14ac:dyDescent="0.2"/>
    <row r="56254" customFormat="1" x14ac:dyDescent="0.2"/>
    <row r="56255" customFormat="1" x14ac:dyDescent="0.2"/>
    <row r="56256" customFormat="1" x14ac:dyDescent="0.2"/>
    <row r="56257" customFormat="1" x14ac:dyDescent="0.2"/>
    <row r="56258" customFormat="1" x14ac:dyDescent="0.2"/>
    <row r="56259" customFormat="1" x14ac:dyDescent="0.2"/>
    <row r="56260" customFormat="1" x14ac:dyDescent="0.2"/>
    <row r="56261" customFormat="1" x14ac:dyDescent="0.2"/>
    <row r="56262" customFormat="1" x14ac:dyDescent="0.2"/>
    <row r="56263" customFormat="1" x14ac:dyDescent="0.2"/>
    <row r="56264" customFormat="1" x14ac:dyDescent="0.2"/>
    <row r="56265" customFormat="1" x14ac:dyDescent="0.2"/>
    <row r="56266" customFormat="1" x14ac:dyDescent="0.2"/>
    <row r="56267" customFormat="1" x14ac:dyDescent="0.2"/>
    <row r="56268" customFormat="1" x14ac:dyDescent="0.2"/>
    <row r="56269" customFormat="1" x14ac:dyDescent="0.2"/>
    <row r="56270" customFormat="1" x14ac:dyDescent="0.2"/>
    <row r="56271" customFormat="1" x14ac:dyDescent="0.2"/>
    <row r="56272" customFormat="1" x14ac:dyDescent="0.2"/>
    <row r="56273" customFormat="1" x14ac:dyDescent="0.2"/>
    <row r="56274" customFormat="1" x14ac:dyDescent="0.2"/>
    <row r="56275" customFormat="1" x14ac:dyDescent="0.2"/>
    <row r="56276" customFormat="1" x14ac:dyDescent="0.2"/>
    <row r="56277" customFormat="1" x14ac:dyDescent="0.2"/>
    <row r="56278" customFormat="1" x14ac:dyDescent="0.2"/>
    <row r="56279" customFormat="1" x14ac:dyDescent="0.2"/>
    <row r="56280" customFormat="1" x14ac:dyDescent="0.2"/>
    <row r="56281" customFormat="1" x14ac:dyDescent="0.2"/>
    <row r="56282" customFormat="1" x14ac:dyDescent="0.2"/>
    <row r="56283" customFormat="1" x14ac:dyDescent="0.2"/>
    <row r="56284" customFormat="1" x14ac:dyDescent="0.2"/>
    <row r="56285" customFormat="1" x14ac:dyDescent="0.2"/>
    <row r="56286" customFormat="1" x14ac:dyDescent="0.2"/>
    <row r="56287" customFormat="1" x14ac:dyDescent="0.2"/>
    <row r="56288" customFormat="1" x14ac:dyDescent="0.2"/>
    <row r="56289" customFormat="1" x14ac:dyDescent="0.2"/>
    <row r="56290" customFormat="1" x14ac:dyDescent="0.2"/>
    <row r="56291" customFormat="1" x14ac:dyDescent="0.2"/>
    <row r="56292" customFormat="1" x14ac:dyDescent="0.2"/>
    <row r="56293" customFormat="1" x14ac:dyDescent="0.2"/>
    <row r="56294" customFormat="1" x14ac:dyDescent="0.2"/>
    <row r="56295" customFormat="1" x14ac:dyDescent="0.2"/>
    <row r="56296" customFormat="1" x14ac:dyDescent="0.2"/>
    <row r="56297" customFormat="1" x14ac:dyDescent="0.2"/>
    <row r="56298" customFormat="1" x14ac:dyDescent="0.2"/>
    <row r="56299" customFormat="1" x14ac:dyDescent="0.2"/>
    <row r="56300" customFormat="1" x14ac:dyDescent="0.2"/>
    <row r="56301" customFormat="1" x14ac:dyDescent="0.2"/>
    <row r="56302" customFormat="1" x14ac:dyDescent="0.2"/>
    <row r="56303" customFormat="1" x14ac:dyDescent="0.2"/>
    <row r="56304" customFormat="1" x14ac:dyDescent="0.2"/>
    <row r="56305" customFormat="1" x14ac:dyDescent="0.2"/>
    <row r="56306" customFormat="1" x14ac:dyDescent="0.2"/>
    <row r="56307" customFormat="1" x14ac:dyDescent="0.2"/>
    <row r="56308" customFormat="1" x14ac:dyDescent="0.2"/>
    <row r="56309" customFormat="1" x14ac:dyDescent="0.2"/>
    <row r="56310" customFormat="1" x14ac:dyDescent="0.2"/>
    <row r="56311" customFormat="1" x14ac:dyDescent="0.2"/>
    <row r="56312" customFormat="1" x14ac:dyDescent="0.2"/>
    <row r="56313" customFormat="1" x14ac:dyDescent="0.2"/>
    <row r="56314" customFormat="1" x14ac:dyDescent="0.2"/>
    <row r="56315" customFormat="1" x14ac:dyDescent="0.2"/>
    <row r="56316" customFormat="1" x14ac:dyDescent="0.2"/>
    <row r="56317" customFormat="1" x14ac:dyDescent="0.2"/>
    <row r="56318" customFormat="1" x14ac:dyDescent="0.2"/>
    <row r="56319" customFormat="1" x14ac:dyDescent="0.2"/>
    <row r="56320" customFormat="1" x14ac:dyDescent="0.2"/>
    <row r="56321" customFormat="1" x14ac:dyDescent="0.2"/>
    <row r="56322" customFormat="1" x14ac:dyDescent="0.2"/>
    <row r="56323" customFormat="1" x14ac:dyDescent="0.2"/>
    <row r="56324" customFormat="1" x14ac:dyDescent="0.2"/>
    <row r="56325" customFormat="1" x14ac:dyDescent="0.2"/>
    <row r="56326" customFormat="1" x14ac:dyDescent="0.2"/>
    <row r="56327" customFormat="1" x14ac:dyDescent="0.2"/>
    <row r="56328" customFormat="1" x14ac:dyDescent="0.2"/>
    <row r="56329" customFormat="1" x14ac:dyDescent="0.2"/>
    <row r="56330" customFormat="1" x14ac:dyDescent="0.2"/>
    <row r="56331" customFormat="1" x14ac:dyDescent="0.2"/>
    <row r="56332" customFormat="1" x14ac:dyDescent="0.2"/>
    <row r="56333" customFormat="1" x14ac:dyDescent="0.2"/>
    <row r="56334" customFormat="1" x14ac:dyDescent="0.2"/>
    <row r="56335" customFormat="1" x14ac:dyDescent="0.2"/>
    <row r="56336" customFormat="1" x14ac:dyDescent="0.2"/>
    <row r="56337" customFormat="1" x14ac:dyDescent="0.2"/>
    <row r="56338" customFormat="1" x14ac:dyDescent="0.2"/>
    <row r="56339" customFormat="1" x14ac:dyDescent="0.2"/>
    <row r="56340" customFormat="1" x14ac:dyDescent="0.2"/>
    <row r="56341" customFormat="1" x14ac:dyDescent="0.2"/>
    <row r="56342" customFormat="1" x14ac:dyDescent="0.2"/>
    <row r="56343" customFormat="1" x14ac:dyDescent="0.2"/>
    <row r="56344" customFormat="1" x14ac:dyDescent="0.2"/>
    <row r="56345" customFormat="1" x14ac:dyDescent="0.2"/>
    <row r="56346" customFormat="1" x14ac:dyDescent="0.2"/>
    <row r="56347" customFormat="1" x14ac:dyDescent="0.2"/>
    <row r="56348" customFormat="1" x14ac:dyDescent="0.2"/>
    <row r="56349" customFormat="1" x14ac:dyDescent="0.2"/>
    <row r="56350" customFormat="1" x14ac:dyDescent="0.2"/>
    <row r="56351" customFormat="1" x14ac:dyDescent="0.2"/>
    <row r="56352" customFormat="1" x14ac:dyDescent="0.2"/>
    <row r="56353" customFormat="1" x14ac:dyDescent="0.2"/>
    <row r="56354" customFormat="1" x14ac:dyDescent="0.2"/>
    <row r="56355" customFormat="1" x14ac:dyDescent="0.2"/>
    <row r="56356" customFormat="1" x14ac:dyDescent="0.2"/>
    <row r="56357" customFormat="1" x14ac:dyDescent="0.2"/>
    <row r="56358" customFormat="1" x14ac:dyDescent="0.2"/>
    <row r="56359" customFormat="1" x14ac:dyDescent="0.2"/>
    <row r="56360" customFormat="1" x14ac:dyDescent="0.2"/>
    <row r="56361" customFormat="1" x14ac:dyDescent="0.2"/>
    <row r="56362" customFormat="1" x14ac:dyDescent="0.2"/>
    <row r="56363" customFormat="1" x14ac:dyDescent="0.2"/>
    <row r="56364" customFormat="1" x14ac:dyDescent="0.2"/>
    <row r="56365" customFormat="1" x14ac:dyDescent="0.2"/>
    <row r="56366" customFormat="1" x14ac:dyDescent="0.2"/>
    <row r="56367" customFormat="1" x14ac:dyDescent="0.2"/>
    <row r="56368" customFormat="1" x14ac:dyDescent="0.2"/>
    <row r="56369" customFormat="1" x14ac:dyDescent="0.2"/>
    <row r="56370" customFormat="1" x14ac:dyDescent="0.2"/>
    <row r="56371" customFormat="1" x14ac:dyDescent="0.2"/>
    <row r="56372" customFormat="1" x14ac:dyDescent="0.2"/>
    <row r="56373" customFormat="1" x14ac:dyDescent="0.2"/>
    <row r="56374" customFormat="1" x14ac:dyDescent="0.2"/>
    <row r="56375" customFormat="1" x14ac:dyDescent="0.2"/>
    <row r="56376" customFormat="1" x14ac:dyDescent="0.2"/>
    <row r="56377" customFormat="1" x14ac:dyDescent="0.2"/>
    <row r="56378" customFormat="1" x14ac:dyDescent="0.2"/>
    <row r="56379" customFormat="1" x14ac:dyDescent="0.2"/>
    <row r="56380" customFormat="1" x14ac:dyDescent="0.2"/>
    <row r="56381" customFormat="1" x14ac:dyDescent="0.2"/>
    <row r="56382" customFormat="1" x14ac:dyDescent="0.2"/>
    <row r="56383" customFormat="1" x14ac:dyDescent="0.2"/>
    <row r="56384" customFormat="1" x14ac:dyDescent="0.2"/>
    <row r="56385" customFormat="1" x14ac:dyDescent="0.2"/>
    <row r="56386" customFormat="1" x14ac:dyDescent="0.2"/>
    <row r="56387" customFormat="1" x14ac:dyDescent="0.2"/>
    <row r="56388" customFormat="1" x14ac:dyDescent="0.2"/>
    <row r="56389" customFormat="1" x14ac:dyDescent="0.2"/>
    <row r="56390" customFormat="1" x14ac:dyDescent="0.2"/>
    <row r="56391" customFormat="1" x14ac:dyDescent="0.2"/>
    <row r="56392" customFormat="1" x14ac:dyDescent="0.2"/>
    <row r="56393" customFormat="1" x14ac:dyDescent="0.2"/>
    <row r="56394" customFormat="1" x14ac:dyDescent="0.2"/>
    <row r="56395" customFormat="1" x14ac:dyDescent="0.2"/>
    <row r="56396" customFormat="1" x14ac:dyDescent="0.2"/>
    <row r="56397" customFormat="1" x14ac:dyDescent="0.2"/>
    <row r="56398" customFormat="1" x14ac:dyDescent="0.2"/>
    <row r="56399" customFormat="1" x14ac:dyDescent="0.2"/>
    <row r="56400" customFormat="1" x14ac:dyDescent="0.2"/>
    <row r="56401" customFormat="1" x14ac:dyDescent="0.2"/>
    <row r="56402" customFormat="1" x14ac:dyDescent="0.2"/>
    <row r="56403" customFormat="1" x14ac:dyDescent="0.2"/>
    <row r="56404" customFormat="1" x14ac:dyDescent="0.2"/>
    <row r="56405" customFormat="1" x14ac:dyDescent="0.2"/>
    <row r="56406" customFormat="1" x14ac:dyDescent="0.2"/>
    <row r="56407" customFormat="1" x14ac:dyDescent="0.2"/>
    <row r="56408" customFormat="1" x14ac:dyDescent="0.2"/>
    <row r="56409" customFormat="1" x14ac:dyDescent="0.2"/>
    <row r="56410" customFormat="1" x14ac:dyDescent="0.2"/>
    <row r="56411" customFormat="1" x14ac:dyDescent="0.2"/>
    <row r="56412" customFormat="1" x14ac:dyDescent="0.2"/>
    <row r="56413" customFormat="1" x14ac:dyDescent="0.2"/>
    <row r="56414" customFormat="1" x14ac:dyDescent="0.2"/>
    <row r="56415" customFormat="1" x14ac:dyDescent="0.2"/>
    <row r="56416" customFormat="1" x14ac:dyDescent="0.2"/>
    <row r="56417" customFormat="1" x14ac:dyDescent="0.2"/>
    <row r="56418" customFormat="1" x14ac:dyDescent="0.2"/>
    <row r="56419" customFormat="1" x14ac:dyDescent="0.2"/>
    <row r="56420" customFormat="1" x14ac:dyDescent="0.2"/>
    <row r="56421" customFormat="1" x14ac:dyDescent="0.2"/>
    <row r="56422" customFormat="1" x14ac:dyDescent="0.2"/>
    <row r="56423" customFormat="1" x14ac:dyDescent="0.2"/>
    <row r="56424" customFormat="1" x14ac:dyDescent="0.2"/>
    <row r="56425" customFormat="1" x14ac:dyDescent="0.2"/>
    <row r="56426" customFormat="1" x14ac:dyDescent="0.2"/>
    <row r="56427" customFormat="1" x14ac:dyDescent="0.2"/>
    <row r="56428" customFormat="1" x14ac:dyDescent="0.2"/>
    <row r="56429" customFormat="1" x14ac:dyDescent="0.2"/>
    <row r="56430" customFormat="1" x14ac:dyDescent="0.2"/>
    <row r="56431" customFormat="1" x14ac:dyDescent="0.2"/>
    <row r="56432" customFormat="1" x14ac:dyDescent="0.2"/>
    <row r="56433" customFormat="1" x14ac:dyDescent="0.2"/>
    <row r="56434" customFormat="1" x14ac:dyDescent="0.2"/>
    <row r="56435" customFormat="1" x14ac:dyDescent="0.2"/>
    <row r="56436" customFormat="1" x14ac:dyDescent="0.2"/>
    <row r="56437" customFormat="1" x14ac:dyDescent="0.2"/>
    <row r="56438" customFormat="1" x14ac:dyDescent="0.2"/>
    <row r="56439" customFormat="1" x14ac:dyDescent="0.2"/>
    <row r="56440" customFormat="1" x14ac:dyDescent="0.2"/>
    <row r="56441" customFormat="1" x14ac:dyDescent="0.2"/>
    <row r="56442" customFormat="1" x14ac:dyDescent="0.2"/>
    <row r="56443" customFormat="1" x14ac:dyDescent="0.2"/>
    <row r="56444" customFormat="1" x14ac:dyDescent="0.2"/>
    <row r="56445" customFormat="1" x14ac:dyDescent="0.2"/>
    <row r="56446" customFormat="1" x14ac:dyDescent="0.2"/>
    <row r="56447" customFormat="1" x14ac:dyDescent="0.2"/>
    <row r="56448" customFormat="1" x14ac:dyDescent="0.2"/>
    <row r="56449" customFormat="1" x14ac:dyDescent="0.2"/>
    <row r="56450" customFormat="1" x14ac:dyDescent="0.2"/>
    <row r="56451" customFormat="1" x14ac:dyDescent="0.2"/>
    <row r="56452" customFormat="1" x14ac:dyDescent="0.2"/>
    <row r="56453" customFormat="1" x14ac:dyDescent="0.2"/>
    <row r="56454" customFormat="1" x14ac:dyDescent="0.2"/>
    <row r="56455" customFormat="1" x14ac:dyDescent="0.2"/>
    <row r="56456" customFormat="1" x14ac:dyDescent="0.2"/>
    <row r="56457" customFormat="1" x14ac:dyDescent="0.2"/>
    <row r="56458" customFormat="1" x14ac:dyDescent="0.2"/>
    <row r="56459" customFormat="1" x14ac:dyDescent="0.2"/>
    <row r="56460" customFormat="1" x14ac:dyDescent="0.2"/>
    <row r="56461" customFormat="1" x14ac:dyDescent="0.2"/>
    <row r="56462" customFormat="1" x14ac:dyDescent="0.2"/>
    <row r="56463" customFormat="1" x14ac:dyDescent="0.2"/>
    <row r="56464" customFormat="1" x14ac:dyDescent="0.2"/>
    <row r="56465" customFormat="1" x14ac:dyDescent="0.2"/>
    <row r="56466" customFormat="1" x14ac:dyDescent="0.2"/>
    <row r="56467" customFormat="1" x14ac:dyDescent="0.2"/>
    <row r="56468" customFormat="1" x14ac:dyDescent="0.2"/>
    <row r="56469" customFormat="1" x14ac:dyDescent="0.2"/>
    <row r="56470" customFormat="1" x14ac:dyDescent="0.2"/>
    <row r="56471" customFormat="1" x14ac:dyDescent="0.2"/>
    <row r="56472" customFormat="1" x14ac:dyDescent="0.2"/>
    <row r="56473" customFormat="1" x14ac:dyDescent="0.2"/>
    <row r="56474" customFormat="1" x14ac:dyDescent="0.2"/>
    <row r="56475" customFormat="1" x14ac:dyDescent="0.2"/>
    <row r="56476" customFormat="1" x14ac:dyDescent="0.2"/>
    <row r="56477" customFormat="1" x14ac:dyDescent="0.2"/>
    <row r="56478" customFormat="1" x14ac:dyDescent="0.2"/>
    <row r="56479" customFormat="1" x14ac:dyDescent="0.2"/>
    <row r="56480" customFormat="1" x14ac:dyDescent="0.2"/>
    <row r="56481" customFormat="1" x14ac:dyDescent="0.2"/>
    <row r="56482" customFormat="1" x14ac:dyDescent="0.2"/>
    <row r="56483" customFormat="1" x14ac:dyDescent="0.2"/>
    <row r="56484" customFormat="1" x14ac:dyDescent="0.2"/>
    <row r="56485" customFormat="1" x14ac:dyDescent="0.2"/>
    <row r="56486" customFormat="1" x14ac:dyDescent="0.2"/>
    <row r="56487" customFormat="1" x14ac:dyDescent="0.2"/>
    <row r="56488" customFormat="1" x14ac:dyDescent="0.2"/>
    <row r="56489" customFormat="1" x14ac:dyDescent="0.2"/>
    <row r="56490" customFormat="1" x14ac:dyDescent="0.2"/>
    <row r="56491" customFormat="1" x14ac:dyDescent="0.2"/>
    <row r="56492" customFormat="1" x14ac:dyDescent="0.2"/>
    <row r="56493" customFormat="1" x14ac:dyDescent="0.2"/>
    <row r="56494" customFormat="1" x14ac:dyDescent="0.2"/>
    <row r="56495" customFormat="1" x14ac:dyDescent="0.2"/>
    <row r="56496" customFormat="1" x14ac:dyDescent="0.2"/>
    <row r="56497" customFormat="1" x14ac:dyDescent="0.2"/>
    <row r="56498" customFormat="1" x14ac:dyDescent="0.2"/>
    <row r="56499" customFormat="1" x14ac:dyDescent="0.2"/>
    <row r="56500" customFormat="1" x14ac:dyDescent="0.2"/>
    <row r="56501" customFormat="1" x14ac:dyDescent="0.2"/>
    <row r="56502" customFormat="1" x14ac:dyDescent="0.2"/>
    <row r="56503" customFormat="1" x14ac:dyDescent="0.2"/>
    <row r="56504" customFormat="1" x14ac:dyDescent="0.2"/>
    <row r="56505" customFormat="1" x14ac:dyDescent="0.2"/>
    <row r="56506" customFormat="1" x14ac:dyDescent="0.2"/>
    <row r="56507" customFormat="1" x14ac:dyDescent="0.2"/>
    <row r="56508" customFormat="1" x14ac:dyDescent="0.2"/>
    <row r="56509" customFormat="1" x14ac:dyDescent="0.2"/>
    <row r="56510" customFormat="1" x14ac:dyDescent="0.2"/>
    <row r="56511" customFormat="1" x14ac:dyDescent="0.2"/>
    <row r="56512" customFormat="1" x14ac:dyDescent="0.2"/>
    <row r="56513" customFormat="1" x14ac:dyDescent="0.2"/>
    <row r="56514" customFormat="1" x14ac:dyDescent="0.2"/>
    <row r="56515" customFormat="1" x14ac:dyDescent="0.2"/>
    <row r="56516" customFormat="1" x14ac:dyDescent="0.2"/>
    <row r="56517" customFormat="1" x14ac:dyDescent="0.2"/>
    <row r="56518" customFormat="1" x14ac:dyDescent="0.2"/>
    <row r="56519" customFormat="1" x14ac:dyDescent="0.2"/>
    <row r="56520" customFormat="1" x14ac:dyDescent="0.2"/>
    <row r="56521" customFormat="1" x14ac:dyDescent="0.2"/>
    <row r="56522" customFormat="1" x14ac:dyDescent="0.2"/>
    <row r="56523" customFormat="1" x14ac:dyDescent="0.2"/>
    <row r="56524" customFormat="1" x14ac:dyDescent="0.2"/>
    <row r="56525" customFormat="1" x14ac:dyDescent="0.2"/>
    <row r="56526" customFormat="1" x14ac:dyDescent="0.2"/>
    <row r="56527" customFormat="1" x14ac:dyDescent="0.2"/>
    <row r="56528" customFormat="1" x14ac:dyDescent="0.2"/>
    <row r="56529" customFormat="1" x14ac:dyDescent="0.2"/>
    <row r="56530" customFormat="1" x14ac:dyDescent="0.2"/>
    <row r="56531" customFormat="1" x14ac:dyDescent="0.2"/>
    <row r="56532" customFormat="1" x14ac:dyDescent="0.2"/>
    <row r="56533" customFormat="1" x14ac:dyDescent="0.2"/>
    <row r="56534" customFormat="1" x14ac:dyDescent="0.2"/>
    <row r="56535" customFormat="1" x14ac:dyDescent="0.2"/>
    <row r="56536" customFormat="1" x14ac:dyDescent="0.2"/>
    <row r="56537" customFormat="1" x14ac:dyDescent="0.2"/>
    <row r="56538" customFormat="1" x14ac:dyDescent="0.2"/>
    <row r="56539" customFormat="1" x14ac:dyDescent="0.2"/>
    <row r="56540" customFormat="1" x14ac:dyDescent="0.2"/>
    <row r="56541" customFormat="1" x14ac:dyDescent="0.2"/>
    <row r="56542" customFormat="1" x14ac:dyDescent="0.2"/>
    <row r="56543" customFormat="1" x14ac:dyDescent="0.2"/>
    <row r="56544" customFormat="1" x14ac:dyDescent="0.2"/>
    <row r="56545" customFormat="1" x14ac:dyDescent="0.2"/>
    <row r="56546" customFormat="1" x14ac:dyDescent="0.2"/>
    <row r="56547" customFormat="1" x14ac:dyDescent="0.2"/>
    <row r="56548" customFormat="1" x14ac:dyDescent="0.2"/>
    <row r="56549" customFormat="1" x14ac:dyDescent="0.2"/>
    <row r="56550" customFormat="1" x14ac:dyDescent="0.2"/>
    <row r="56551" customFormat="1" x14ac:dyDescent="0.2"/>
    <row r="56552" customFormat="1" x14ac:dyDescent="0.2"/>
    <row r="56553" customFormat="1" x14ac:dyDescent="0.2"/>
    <row r="56554" customFormat="1" x14ac:dyDescent="0.2"/>
    <row r="56555" customFormat="1" x14ac:dyDescent="0.2"/>
    <row r="56556" customFormat="1" x14ac:dyDescent="0.2"/>
    <row r="56557" customFormat="1" x14ac:dyDescent="0.2"/>
    <row r="56558" customFormat="1" x14ac:dyDescent="0.2"/>
    <row r="56559" customFormat="1" x14ac:dyDescent="0.2"/>
    <row r="56560" customFormat="1" x14ac:dyDescent="0.2"/>
    <row r="56561" customFormat="1" x14ac:dyDescent="0.2"/>
    <row r="56562" customFormat="1" x14ac:dyDescent="0.2"/>
    <row r="56563" customFormat="1" x14ac:dyDescent="0.2"/>
    <row r="56564" customFormat="1" x14ac:dyDescent="0.2"/>
    <row r="56565" customFormat="1" x14ac:dyDescent="0.2"/>
    <row r="56566" customFormat="1" x14ac:dyDescent="0.2"/>
    <row r="56567" customFormat="1" x14ac:dyDescent="0.2"/>
    <row r="56568" customFormat="1" x14ac:dyDescent="0.2"/>
    <row r="56569" customFormat="1" x14ac:dyDescent="0.2"/>
    <row r="56570" customFormat="1" x14ac:dyDescent="0.2"/>
    <row r="56571" customFormat="1" x14ac:dyDescent="0.2"/>
    <row r="56572" customFormat="1" x14ac:dyDescent="0.2"/>
    <row r="56573" customFormat="1" x14ac:dyDescent="0.2"/>
    <row r="56574" customFormat="1" x14ac:dyDescent="0.2"/>
    <row r="56575" customFormat="1" x14ac:dyDescent="0.2"/>
    <row r="56576" customFormat="1" x14ac:dyDescent="0.2"/>
    <row r="56577" customFormat="1" x14ac:dyDescent="0.2"/>
    <row r="56578" customFormat="1" x14ac:dyDescent="0.2"/>
    <row r="56579" customFormat="1" x14ac:dyDescent="0.2"/>
    <row r="56580" customFormat="1" x14ac:dyDescent="0.2"/>
    <row r="56581" customFormat="1" x14ac:dyDescent="0.2"/>
    <row r="56582" customFormat="1" x14ac:dyDescent="0.2"/>
    <row r="56583" customFormat="1" x14ac:dyDescent="0.2"/>
    <row r="56584" customFormat="1" x14ac:dyDescent="0.2"/>
    <row r="56585" customFormat="1" x14ac:dyDescent="0.2"/>
    <row r="56586" customFormat="1" x14ac:dyDescent="0.2"/>
    <row r="56587" customFormat="1" x14ac:dyDescent="0.2"/>
    <row r="56588" customFormat="1" x14ac:dyDescent="0.2"/>
    <row r="56589" customFormat="1" x14ac:dyDescent="0.2"/>
    <row r="56590" customFormat="1" x14ac:dyDescent="0.2"/>
    <row r="56591" customFormat="1" x14ac:dyDescent="0.2"/>
    <row r="56592" customFormat="1" x14ac:dyDescent="0.2"/>
    <row r="56593" customFormat="1" x14ac:dyDescent="0.2"/>
    <row r="56594" customFormat="1" x14ac:dyDescent="0.2"/>
    <row r="56595" customFormat="1" x14ac:dyDescent="0.2"/>
    <row r="56596" customFormat="1" x14ac:dyDescent="0.2"/>
    <row r="56597" customFormat="1" x14ac:dyDescent="0.2"/>
    <row r="56598" customFormat="1" x14ac:dyDescent="0.2"/>
    <row r="56599" customFormat="1" x14ac:dyDescent="0.2"/>
    <row r="56600" customFormat="1" x14ac:dyDescent="0.2"/>
    <row r="56601" customFormat="1" x14ac:dyDescent="0.2"/>
    <row r="56602" customFormat="1" x14ac:dyDescent="0.2"/>
    <row r="56603" customFormat="1" x14ac:dyDescent="0.2"/>
    <row r="56604" customFormat="1" x14ac:dyDescent="0.2"/>
    <row r="56605" customFormat="1" x14ac:dyDescent="0.2"/>
    <row r="56606" customFormat="1" x14ac:dyDescent="0.2"/>
    <row r="56607" customFormat="1" x14ac:dyDescent="0.2"/>
    <row r="56608" customFormat="1" x14ac:dyDescent="0.2"/>
    <row r="56609" customFormat="1" x14ac:dyDescent="0.2"/>
    <row r="56610" customFormat="1" x14ac:dyDescent="0.2"/>
    <row r="56611" customFormat="1" x14ac:dyDescent="0.2"/>
    <row r="56612" customFormat="1" x14ac:dyDescent="0.2"/>
    <row r="56613" customFormat="1" x14ac:dyDescent="0.2"/>
    <row r="56614" customFormat="1" x14ac:dyDescent="0.2"/>
    <row r="56615" customFormat="1" x14ac:dyDescent="0.2"/>
    <row r="56616" customFormat="1" x14ac:dyDescent="0.2"/>
    <row r="56617" customFormat="1" x14ac:dyDescent="0.2"/>
    <row r="56618" customFormat="1" x14ac:dyDescent="0.2"/>
    <row r="56619" customFormat="1" x14ac:dyDescent="0.2"/>
    <row r="56620" customFormat="1" x14ac:dyDescent="0.2"/>
    <row r="56621" customFormat="1" x14ac:dyDescent="0.2"/>
    <row r="56622" customFormat="1" x14ac:dyDescent="0.2"/>
    <row r="56623" customFormat="1" x14ac:dyDescent="0.2"/>
    <row r="56624" customFormat="1" x14ac:dyDescent="0.2"/>
    <row r="56625" customFormat="1" x14ac:dyDescent="0.2"/>
    <row r="56626" customFormat="1" x14ac:dyDescent="0.2"/>
    <row r="56627" customFormat="1" x14ac:dyDescent="0.2"/>
    <row r="56628" customFormat="1" x14ac:dyDescent="0.2"/>
    <row r="56629" customFormat="1" x14ac:dyDescent="0.2"/>
    <row r="56630" customFormat="1" x14ac:dyDescent="0.2"/>
    <row r="56631" customFormat="1" x14ac:dyDescent="0.2"/>
    <row r="56632" customFormat="1" x14ac:dyDescent="0.2"/>
    <row r="56633" customFormat="1" x14ac:dyDescent="0.2"/>
    <row r="56634" customFormat="1" x14ac:dyDescent="0.2"/>
    <row r="56635" customFormat="1" x14ac:dyDescent="0.2"/>
    <row r="56636" customFormat="1" x14ac:dyDescent="0.2"/>
    <row r="56637" customFormat="1" x14ac:dyDescent="0.2"/>
    <row r="56638" customFormat="1" x14ac:dyDescent="0.2"/>
    <row r="56639" customFormat="1" x14ac:dyDescent="0.2"/>
    <row r="56640" customFormat="1" x14ac:dyDescent="0.2"/>
    <row r="56641" customFormat="1" x14ac:dyDescent="0.2"/>
    <row r="56642" customFormat="1" x14ac:dyDescent="0.2"/>
    <row r="56643" customFormat="1" x14ac:dyDescent="0.2"/>
    <row r="56644" customFormat="1" x14ac:dyDescent="0.2"/>
    <row r="56645" customFormat="1" x14ac:dyDescent="0.2"/>
    <row r="56646" customFormat="1" x14ac:dyDescent="0.2"/>
    <row r="56647" customFormat="1" x14ac:dyDescent="0.2"/>
    <row r="56648" customFormat="1" x14ac:dyDescent="0.2"/>
    <row r="56649" customFormat="1" x14ac:dyDescent="0.2"/>
    <row r="56650" customFormat="1" x14ac:dyDescent="0.2"/>
    <row r="56651" customFormat="1" x14ac:dyDescent="0.2"/>
    <row r="56652" customFormat="1" x14ac:dyDescent="0.2"/>
    <row r="56653" customFormat="1" x14ac:dyDescent="0.2"/>
    <row r="56654" customFormat="1" x14ac:dyDescent="0.2"/>
    <row r="56655" customFormat="1" x14ac:dyDescent="0.2"/>
    <row r="56656" customFormat="1" x14ac:dyDescent="0.2"/>
    <row r="56657" customFormat="1" x14ac:dyDescent="0.2"/>
    <row r="56658" customFormat="1" x14ac:dyDescent="0.2"/>
    <row r="56659" customFormat="1" x14ac:dyDescent="0.2"/>
    <row r="56660" customFormat="1" x14ac:dyDescent="0.2"/>
    <row r="56661" customFormat="1" x14ac:dyDescent="0.2"/>
    <row r="56662" customFormat="1" x14ac:dyDescent="0.2"/>
    <row r="56663" customFormat="1" x14ac:dyDescent="0.2"/>
    <row r="56664" customFormat="1" x14ac:dyDescent="0.2"/>
    <row r="56665" customFormat="1" x14ac:dyDescent="0.2"/>
    <row r="56666" customFormat="1" x14ac:dyDescent="0.2"/>
    <row r="56667" customFormat="1" x14ac:dyDescent="0.2"/>
    <row r="56668" customFormat="1" x14ac:dyDescent="0.2"/>
    <row r="56669" customFormat="1" x14ac:dyDescent="0.2"/>
    <row r="56670" customFormat="1" x14ac:dyDescent="0.2"/>
    <row r="56671" customFormat="1" x14ac:dyDescent="0.2"/>
    <row r="56672" customFormat="1" x14ac:dyDescent="0.2"/>
    <row r="56673" customFormat="1" x14ac:dyDescent="0.2"/>
    <row r="56674" customFormat="1" x14ac:dyDescent="0.2"/>
    <row r="56675" customFormat="1" x14ac:dyDescent="0.2"/>
    <row r="56676" customFormat="1" x14ac:dyDescent="0.2"/>
    <row r="56677" customFormat="1" x14ac:dyDescent="0.2"/>
    <row r="56678" customFormat="1" x14ac:dyDescent="0.2"/>
    <row r="56679" customFormat="1" x14ac:dyDescent="0.2"/>
    <row r="56680" customFormat="1" x14ac:dyDescent="0.2"/>
    <row r="56681" customFormat="1" x14ac:dyDescent="0.2"/>
    <row r="56682" customFormat="1" x14ac:dyDescent="0.2"/>
    <row r="56683" customFormat="1" x14ac:dyDescent="0.2"/>
    <row r="56684" customFormat="1" x14ac:dyDescent="0.2"/>
    <row r="56685" customFormat="1" x14ac:dyDescent="0.2"/>
    <row r="56686" customFormat="1" x14ac:dyDescent="0.2"/>
    <row r="56687" customFormat="1" x14ac:dyDescent="0.2"/>
    <row r="56688" customFormat="1" x14ac:dyDescent="0.2"/>
    <row r="56689" customFormat="1" x14ac:dyDescent="0.2"/>
    <row r="56690" customFormat="1" x14ac:dyDescent="0.2"/>
    <row r="56691" customFormat="1" x14ac:dyDescent="0.2"/>
    <row r="56692" customFormat="1" x14ac:dyDescent="0.2"/>
    <row r="56693" customFormat="1" x14ac:dyDescent="0.2"/>
    <row r="56694" customFormat="1" x14ac:dyDescent="0.2"/>
    <row r="56695" customFormat="1" x14ac:dyDescent="0.2"/>
    <row r="56696" customFormat="1" x14ac:dyDescent="0.2"/>
    <row r="56697" customFormat="1" x14ac:dyDescent="0.2"/>
    <row r="56698" customFormat="1" x14ac:dyDescent="0.2"/>
    <row r="56699" customFormat="1" x14ac:dyDescent="0.2"/>
    <row r="56700" customFormat="1" x14ac:dyDescent="0.2"/>
    <row r="56701" customFormat="1" x14ac:dyDescent="0.2"/>
    <row r="56702" customFormat="1" x14ac:dyDescent="0.2"/>
    <row r="56703" customFormat="1" x14ac:dyDescent="0.2"/>
    <row r="56704" customFormat="1" x14ac:dyDescent="0.2"/>
    <row r="56705" customFormat="1" x14ac:dyDescent="0.2"/>
    <row r="56706" customFormat="1" x14ac:dyDescent="0.2"/>
    <row r="56707" customFormat="1" x14ac:dyDescent="0.2"/>
    <row r="56708" customFormat="1" x14ac:dyDescent="0.2"/>
    <row r="56709" customFormat="1" x14ac:dyDescent="0.2"/>
    <row r="56710" customFormat="1" x14ac:dyDescent="0.2"/>
    <row r="56711" customFormat="1" x14ac:dyDescent="0.2"/>
    <row r="56712" customFormat="1" x14ac:dyDescent="0.2"/>
    <row r="56713" customFormat="1" x14ac:dyDescent="0.2"/>
    <row r="56714" customFormat="1" x14ac:dyDescent="0.2"/>
    <row r="56715" customFormat="1" x14ac:dyDescent="0.2"/>
    <row r="56716" customFormat="1" x14ac:dyDescent="0.2"/>
    <row r="56717" customFormat="1" x14ac:dyDescent="0.2"/>
    <row r="56718" customFormat="1" x14ac:dyDescent="0.2"/>
    <row r="56719" customFormat="1" x14ac:dyDescent="0.2"/>
    <row r="56720" customFormat="1" x14ac:dyDescent="0.2"/>
    <row r="56721" customFormat="1" x14ac:dyDescent="0.2"/>
    <row r="56722" customFormat="1" x14ac:dyDescent="0.2"/>
    <row r="56723" customFormat="1" x14ac:dyDescent="0.2"/>
    <row r="56724" customFormat="1" x14ac:dyDescent="0.2"/>
    <row r="56725" customFormat="1" x14ac:dyDescent="0.2"/>
    <row r="56726" customFormat="1" x14ac:dyDescent="0.2"/>
    <row r="56727" customFormat="1" x14ac:dyDescent="0.2"/>
    <row r="56728" customFormat="1" x14ac:dyDescent="0.2"/>
    <row r="56729" customFormat="1" x14ac:dyDescent="0.2"/>
    <row r="56730" customFormat="1" x14ac:dyDescent="0.2"/>
    <row r="56731" customFormat="1" x14ac:dyDescent="0.2"/>
    <row r="56732" customFormat="1" x14ac:dyDescent="0.2"/>
    <row r="56733" customFormat="1" x14ac:dyDescent="0.2"/>
    <row r="56734" customFormat="1" x14ac:dyDescent="0.2"/>
    <row r="56735" customFormat="1" x14ac:dyDescent="0.2"/>
    <row r="56736" customFormat="1" x14ac:dyDescent="0.2"/>
    <row r="56737" customFormat="1" x14ac:dyDescent="0.2"/>
    <row r="56738" customFormat="1" x14ac:dyDescent="0.2"/>
    <row r="56739" customFormat="1" x14ac:dyDescent="0.2"/>
    <row r="56740" customFormat="1" x14ac:dyDescent="0.2"/>
    <row r="56741" customFormat="1" x14ac:dyDescent="0.2"/>
    <row r="56742" customFormat="1" x14ac:dyDescent="0.2"/>
    <row r="56743" customFormat="1" x14ac:dyDescent="0.2"/>
    <row r="56744" customFormat="1" x14ac:dyDescent="0.2"/>
    <row r="56745" customFormat="1" x14ac:dyDescent="0.2"/>
    <row r="56746" customFormat="1" x14ac:dyDescent="0.2"/>
    <row r="56747" customFormat="1" x14ac:dyDescent="0.2"/>
    <row r="56748" customFormat="1" x14ac:dyDescent="0.2"/>
    <row r="56749" customFormat="1" x14ac:dyDescent="0.2"/>
    <row r="56750" customFormat="1" x14ac:dyDescent="0.2"/>
    <row r="56751" customFormat="1" x14ac:dyDescent="0.2"/>
    <row r="56752" customFormat="1" x14ac:dyDescent="0.2"/>
    <row r="56753" customFormat="1" x14ac:dyDescent="0.2"/>
    <row r="56754" customFormat="1" x14ac:dyDescent="0.2"/>
    <row r="56755" customFormat="1" x14ac:dyDescent="0.2"/>
    <row r="56756" customFormat="1" x14ac:dyDescent="0.2"/>
    <row r="56757" customFormat="1" x14ac:dyDescent="0.2"/>
    <row r="56758" customFormat="1" x14ac:dyDescent="0.2"/>
    <row r="56759" customFormat="1" x14ac:dyDescent="0.2"/>
    <row r="56760" customFormat="1" x14ac:dyDescent="0.2"/>
    <row r="56761" customFormat="1" x14ac:dyDescent="0.2"/>
    <row r="56762" customFormat="1" x14ac:dyDescent="0.2"/>
    <row r="56763" customFormat="1" x14ac:dyDescent="0.2"/>
    <row r="56764" customFormat="1" x14ac:dyDescent="0.2"/>
    <row r="56765" customFormat="1" x14ac:dyDescent="0.2"/>
    <row r="56766" customFormat="1" x14ac:dyDescent="0.2"/>
    <row r="56767" customFormat="1" x14ac:dyDescent="0.2"/>
    <row r="56768" customFormat="1" x14ac:dyDescent="0.2"/>
    <row r="56769" customFormat="1" x14ac:dyDescent="0.2"/>
    <row r="56770" customFormat="1" x14ac:dyDescent="0.2"/>
    <row r="56771" customFormat="1" x14ac:dyDescent="0.2"/>
    <row r="56772" customFormat="1" x14ac:dyDescent="0.2"/>
    <row r="56773" customFormat="1" x14ac:dyDescent="0.2"/>
    <row r="56774" customFormat="1" x14ac:dyDescent="0.2"/>
    <row r="56775" customFormat="1" x14ac:dyDescent="0.2"/>
    <row r="56776" customFormat="1" x14ac:dyDescent="0.2"/>
    <row r="56777" customFormat="1" x14ac:dyDescent="0.2"/>
    <row r="56778" customFormat="1" x14ac:dyDescent="0.2"/>
    <row r="56779" customFormat="1" x14ac:dyDescent="0.2"/>
    <row r="56780" customFormat="1" x14ac:dyDescent="0.2"/>
    <row r="56781" customFormat="1" x14ac:dyDescent="0.2"/>
    <row r="56782" customFormat="1" x14ac:dyDescent="0.2"/>
    <row r="56783" customFormat="1" x14ac:dyDescent="0.2"/>
    <row r="56784" customFormat="1" x14ac:dyDescent="0.2"/>
    <row r="56785" customFormat="1" x14ac:dyDescent="0.2"/>
    <row r="56786" customFormat="1" x14ac:dyDescent="0.2"/>
    <row r="56787" customFormat="1" x14ac:dyDescent="0.2"/>
    <row r="56788" customFormat="1" x14ac:dyDescent="0.2"/>
    <row r="56789" customFormat="1" x14ac:dyDescent="0.2"/>
    <row r="56790" customFormat="1" x14ac:dyDescent="0.2"/>
    <row r="56791" customFormat="1" x14ac:dyDescent="0.2"/>
    <row r="56792" customFormat="1" x14ac:dyDescent="0.2"/>
    <row r="56793" customFormat="1" x14ac:dyDescent="0.2"/>
    <row r="56794" customFormat="1" x14ac:dyDescent="0.2"/>
    <row r="56795" customFormat="1" x14ac:dyDescent="0.2"/>
    <row r="56796" customFormat="1" x14ac:dyDescent="0.2"/>
    <row r="56797" customFormat="1" x14ac:dyDescent="0.2"/>
    <row r="56798" customFormat="1" x14ac:dyDescent="0.2"/>
    <row r="56799" customFormat="1" x14ac:dyDescent="0.2"/>
    <row r="56800" customFormat="1" x14ac:dyDescent="0.2"/>
    <row r="56801" customFormat="1" x14ac:dyDescent="0.2"/>
    <row r="56802" customFormat="1" x14ac:dyDescent="0.2"/>
    <row r="56803" customFormat="1" x14ac:dyDescent="0.2"/>
    <row r="56804" customFormat="1" x14ac:dyDescent="0.2"/>
    <row r="56805" customFormat="1" x14ac:dyDescent="0.2"/>
    <row r="56806" customFormat="1" x14ac:dyDescent="0.2"/>
    <row r="56807" customFormat="1" x14ac:dyDescent="0.2"/>
    <row r="56808" customFormat="1" x14ac:dyDescent="0.2"/>
    <row r="56809" customFormat="1" x14ac:dyDescent="0.2"/>
    <row r="56810" customFormat="1" x14ac:dyDescent="0.2"/>
    <row r="56811" customFormat="1" x14ac:dyDescent="0.2"/>
    <row r="56812" customFormat="1" x14ac:dyDescent="0.2"/>
    <row r="56813" customFormat="1" x14ac:dyDescent="0.2"/>
    <row r="56814" customFormat="1" x14ac:dyDescent="0.2"/>
    <row r="56815" customFormat="1" x14ac:dyDescent="0.2"/>
    <row r="56816" customFormat="1" x14ac:dyDescent="0.2"/>
    <row r="56817" customFormat="1" x14ac:dyDescent="0.2"/>
    <row r="56818" customFormat="1" x14ac:dyDescent="0.2"/>
    <row r="56819" customFormat="1" x14ac:dyDescent="0.2"/>
    <row r="56820" customFormat="1" x14ac:dyDescent="0.2"/>
    <row r="56821" customFormat="1" x14ac:dyDescent="0.2"/>
    <row r="56822" customFormat="1" x14ac:dyDescent="0.2"/>
    <row r="56823" customFormat="1" x14ac:dyDescent="0.2"/>
    <row r="56824" customFormat="1" x14ac:dyDescent="0.2"/>
    <row r="56825" customFormat="1" x14ac:dyDescent="0.2"/>
    <row r="56826" customFormat="1" x14ac:dyDescent="0.2"/>
    <row r="56827" customFormat="1" x14ac:dyDescent="0.2"/>
    <row r="56828" customFormat="1" x14ac:dyDescent="0.2"/>
    <row r="56829" customFormat="1" x14ac:dyDescent="0.2"/>
    <row r="56830" customFormat="1" x14ac:dyDescent="0.2"/>
    <row r="56831" customFormat="1" x14ac:dyDescent="0.2"/>
    <row r="56832" customFormat="1" x14ac:dyDescent="0.2"/>
    <row r="56833" customFormat="1" x14ac:dyDescent="0.2"/>
    <row r="56834" customFormat="1" x14ac:dyDescent="0.2"/>
    <row r="56835" customFormat="1" x14ac:dyDescent="0.2"/>
    <row r="56836" customFormat="1" x14ac:dyDescent="0.2"/>
    <row r="56837" customFormat="1" x14ac:dyDescent="0.2"/>
    <row r="56838" customFormat="1" x14ac:dyDescent="0.2"/>
    <row r="56839" customFormat="1" x14ac:dyDescent="0.2"/>
    <row r="56840" customFormat="1" x14ac:dyDescent="0.2"/>
    <row r="56841" customFormat="1" x14ac:dyDescent="0.2"/>
    <row r="56842" customFormat="1" x14ac:dyDescent="0.2"/>
    <row r="56843" customFormat="1" x14ac:dyDescent="0.2"/>
    <row r="56844" customFormat="1" x14ac:dyDescent="0.2"/>
    <row r="56845" customFormat="1" x14ac:dyDescent="0.2"/>
    <row r="56846" customFormat="1" x14ac:dyDescent="0.2"/>
    <row r="56847" customFormat="1" x14ac:dyDescent="0.2"/>
    <row r="56848" customFormat="1" x14ac:dyDescent="0.2"/>
    <row r="56849" customFormat="1" x14ac:dyDescent="0.2"/>
    <row r="56850" customFormat="1" x14ac:dyDescent="0.2"/>
    <row r="56851" customFormat="1" x14ac:dyDescent="0.2"/>
    <row r="56852" customFormat="1" x14ac:dyDescent="0.2"/>
    <row r="56853" customFormat="1" x14ac:dyDescent="0.2"/>
    <row r="56854" customFormat="1" x14ac:dyDescent="0.2"/>
    <row r="56855" customFormat="1" x14ac:dyDescent="0.2"/>
    <row r="56856" customFormat="1" x14ac:dyDescent="0.2"/>
    <row r="56857" customFormat="1" x14ac:dyDescent="0.2"/>
    <row r="56858" customFormat="1" x14ac:dyDescent="0.2"/>
    <row r="56859" customFormat="1" x14ac:dyDescent="0.2"/>
    <row r="56860" customFormat="1" x14ac:dyDescent="0.2"/>
    <row r="56861" customFormat="1" x14ac:dyDescent="0.2"/>
    <row r="56862" customFormat="1" x14ac:dyDescent="0.2"/>
    <row r="56863" customFormat="1" x14ac:dyDescent="0.2"/>
    <row r="56864" customFormat="1" x14ac:dyDescent="0.2"/>
    <row r="56865" customFormat="1" x14ac:dyDescent="0.2"/>
    <row r="56866" customFormat="1" x14ac:dyDescent="0.2"/>
    <row r="56867" customFormat="1" x14ac:dyDescent="0.2"/>
    <row r="56868" customFormat="1" x14ac:dyDescent="0.2"/>
    <row r="56869" customFormat="1" x14ac:dyDescent="0.2"/>
    <row r="56870" customFormat="1" x14ac:dyDescent="0.2"/>
    <row r="56871" customFormat="1" x14ac:dyDescent="0.2"/>
    <row r="56872" customFormat="1" x14ac:dyDescent="0.2"/>
    <row r="56873" customFormat="1" x14ac:dyDescent="0.2"/>
    <row r="56874" customFormat="1" x14ac:dyDescent="0.2"/>
    <row r="56875" customFormat="1" x14ac:dyDescent="0.2"/>
    <row r="56876" customFormat="1" x14ac:dyDescent="0.2"/>
    <row r="56877" customFormat="1" x14ac:dyDescent="0.2"/>
    <row r="56878" customFormat="1" x14ac:dyDescent="0.2"/>
    <row r="56879" customFormat="1" x14ac:dyDescent="0.2"/>
    <row r="56880" customFormat="1" x14ac:dyDescent="0.2"/>
    <row r="56881" customFormat="1" x14ac:dyDescent="0.2"/>
    <row r="56882" customFormat="1" x14ac:dyDescent="0.2"/>
    <row r="56883" customFormat="1" x14ac:dyDescent="0.2"/>
    <row r="56884" customFormat="1" x14ac:dyDescent="0.2"/>
    <row r="56885" customFormat="1" x14ac:dyDescent="0.2"/>
    <row r="56886" customFormat="1" x14ac:dyDescent="0.2"/>
    <row r="56887" customFormat="1" x14ac:dyDescent="0.2"/>
    <row r="56888" customFormat="1" x14ac:dyDescent="0.2"/>
    <row r="56889" customFormat="1" x14ac:dyDescent="0.2"/>
    <row r="56890" customFormat="1" x14ac:dyDescent="0.2"/>
    <row r="56891" customFormat="1" x14ac:dyDescent="0.2"/>
    <row r="56892" customFormat="1" x14ac:dyDescent="0.2"/>
    <row r="56893" customFormat="1" x14ac:dyDescent="0.2"/>
    <row r="56894" customFormat="1" x14ac:dyDescent="0.2"/>
    <row r="56895" customFormat="1" x14ac:dyDescent="0.2"/>
    <row r="56896" customFormat="1" x14ac:dyDescent="0.2"/>
    <row r="56897" customFormat="1" x14ac:dyDescent="0.2"/>
    <row r="56898" customFormat="1" x14ac:dyDescent="0.2"/>
    <row r="56899" customFormat="1" x14ac:dyDescent="0.2"/>
    <row r="56900" customFormat="1" x14ac:dyDescent="0.2"/>
    <row r="56901" customFormat="1" x14ac:dyDescent="0.2"/>
    <row r="56902" customFormat="1" x14ac:dyDescent="0.2"/>
    <row r="56903" customFormat="1" x14ac:dyDescent="0.2"/>
    <row r="56904" customFormat="1" x14ac:dyDescent="0.2"/>
    <row r="56905" customFormat="1" x14ac:dyDescent="0.2"/>
    <row r="56906" customFormat="1" x14ac:dyDescent="0.2"/>
    <row r="56907" customFormat="1" x14ac:dyDescent="0.2"/>
    <row r="56908" customFormat="1" x14ac:dyDescent="0.2"/>
    <row r="56909" customFormat="1" x14ac:dyDescent="0.2"/>
    <row r="56910" customFormat="1" x14ac:dyDescent="0.2"/>
    <row r="56911" customFormat="1" x14ac:dyDescent="0.2"/>
    <row r="56912" customFormat="1" x14ac:dyDescent="0.2"/>
    <row r="56913" customFormat="1" x14ac:dyDescent="0.2"/>
    <row r="56914" customFormat="1" x14ac:dyDescent="0.2"/>
    <row r="56915" customFormat="1" x14ac:dyDescent="0.2"/>
    <row r="56916" customFormat="1" x14ac:dyDescent="0.2"/>
    <row r="56917" customFormat="1" x14ac:dyDescent="0.2"/>
    <row r="56918" customFormat="1" x14ac:dyDescent="0.2"/>
    <row r="56919" customFormat="1" x14ac:dyDescent="0.2"/>
    <row r="56920" customFormat="1" x14ac:dyDescent="0.2"/>
    <row r="56921" customFormat="1" x14ac:dyDescent="0.2"/>
    <row r="56922" customFormat="1" x14ac:dyDescent="0.2"/>
    <row r="56923" customFormat="1" x14ac:dyDescent="0.2"/>
    <row r="56924" customFormat="1" x14ac:dyDescent="0.2"/>
    <row r="56925" customFormat="1" x14ac:dyDescent="0.2"/>
    <row r="56926" customFormat="1" x14ac:dyDescent="0.2"/>
    <row r="56927" customFormat="1" x14ac:dyDescent="0.2"/>
    <row r="56928" customFormat="1" x14ac:dyDescent="0.2"/>
    <row r="56929" customFormat="1" x14ac:dyDescent="0.2"/>
    <row r="56930" customFormat="1" x14ac:dyDescent="0.2"/>
    <row r="56931" customFormat="1" x14ac:dyDescent="0.2"/>
    <row r="56932" customFormat="1" x14ac:dyDescent="0.2"/>
    <row r="56933" customFormat="1" x14ac:dyDescent="0.2"/>
    <row r="56934" customFormat="1" x14ac:dyDescent="0.2"/>
    <row r="56935" customFormat="1" x14ac:dyDescent="0.2"/>
    <row r="56936" customFormat="1" x14ac:dyDescent="0.2"/>
    <row r="56937" customFormat="1" x14ac:dyDescent="0.2"/>
    <row r="56938" customFormat="1" x14ac:dyDescent="0.2"/>
    <row r="56939" customFormat="1" x14ac:dyDescent="0.2"/>
    <row r="56940" customFormat="1" x14ac:dyDescent="0.2"/>
    <row r="56941" customFormat="1" x14ac:dyDescent="0.2"/>
    <row r="56942" customFormat="1" x14ac:dyDescent="0.2"/>
    <row r="56943" customFormat="1" x14ac:dyDescent="0.2"/>
    <row r="56944" customFormat="1" x14ac:dyDescent="0.2"/>
    <row r="56945" customFormat="1" x14ac:dyDescent="0.2"/>
    <row r="56946" customFormat="1" x14ac:dyDescent="0.2"/>
    <row r="56947" customFormat="1" x14ac:dyDescent="0.2"/>
    <row r="56948" customFormat="1" x14ac:dyDescent="0.2"/>
    <row r="56949" customFormat="1" x14ac:dyDescent="0.2"/>
    <row r="56950" customFormat="1" x14ac:dyDescent="0.2"/>
    <row r="56951" customFormat="1" x14ac:dyDescent="0.2"/>
    <row r="56952" customFormat="1" x14ac:dyDescent="0.2"/>
    <row r="56953" customFormat="1" x14ac:dyDescent="0.2"/>
    <row r="56954" customFormat="1" x14ac:dyDescent="0.2"/>
    <row r="56955" customFormat="1" x14ac:dyDescent="0.2"/>
    <row r="56956" customFormat="1" x14ac:dyDescent="0.2"/>
    <row r="56957" customFormat="1" x14ac:dyDescent="0.2"/>
    <row r="56958" customFormat="1" x14ac:dyDescent="0.2"/>
    <row r="56959" customFormat="1" x14ac:dyDescent="0.2"/>
    <row r="56960" customFormat="1" x14ac:dyDescent="0.2"/>
    <row r="56961" customFormat="1" x14ac:dyDescent="0.2"/>
    <row r="56962" customFormat="1" x14ac:dyDescent="0.2"/>
    <row r="56963" customFormat="1" x14ac:dyDescent="0.2"/>
    <row r="56964" customFormat="1" x14ac:dyDescent="0.2"/>
    <row r="56965" customFormat="1" x14ac:dyDescent="0.2"/>
    <row r="56966" customFormat="1" x14ac:dyDescent="0.2"/>
    <row r="56967" customFormat="1" x14ac:dyDescent="0.2"/>
    <row r="56968" customFormat="1" x14ac:dyDescent="0.2"/>
    <row r="56969" customFormat="1" x14ac:dyDescent="0.2"/>
    <row r="56970" customFormat="1" x14ac:dyDescent="0.2"/>
    <row r="56971" customFormat="1" x14ac:dyDescent="0.2"/>
    <row r="56972" customFormat="1" x14ac:dyDescent="0.2"/>
    <row r="56973" customFormat="1" x14ac:dyDescent="0.2"/>
    <row r="56974" customFormat="1" x14ac:dyDescent="0.2"/>
    <row r="56975" customFormat="1" x14ac:dyDescent="0.2"/>
    <row r="56976" customFormat="1" x14ac:dyDescent="0.2"/>
    <row r="56977" customFormat="1" x14ac:dyDescent="0.2"/>
    <row r="56978" customFormat="1" x14ac:dyDescent="0.2"/>
    <row r="56979" customFormat="1" x14ac:dyDescent="0.2"/>
    <row r="56980" customFormat="1" x14ac:dyDescent="0.2"/>
    <row r="56981" customFormat="1" x14ac:dyDescent="0.2"/>
    <row r="56982" customFormat="1" x14ac:dyDescent="0.2"/>
    <row r="56983" customFormat="1" x14ac:dyDescent="0.2"/>
    <row r="56984" customFormat="1" x14ac:dyDescent="0.2"/>
    <row r="56985" customFormat="1" x14ac:dyDescent="0.2"/>
    <row r="56986" customFormat="1" x14ac:dyDescent="0.2"/>
    <row r="56987" customFormat="1" x14ac:dyDescent="0.2"/>
    <row r="56988" customFormat="1" x14ac:dyDescent="0.2"/>
    <row r="56989" customFormat="1" x14ac:dyDescent="0.2"/>
    <row r="56990" customFormat="1" x14ac:dyDescent="0.2"/>
    <row r="56991" customFormat="1" x14ac:dyDescent="0.2"/>
    <row r="56992" customFormat="1" x14ac:dyDescent="0.2"/>
    <row r="56993" customFormat="1" x14ac:dyDescent="0.2"/>
    <row r="56994" customFormat="1" x14ac:dyDescent="0.2"/>
    <row r="56995" customFormat="1" x14ac:dyDescent="0.2"/>
    <row r="56996" customFormat="1" x14ac:dyDescent="0.2"/>
    <row r="56997" customFormat="1" x14ac:dyDescent="0.2"/>
    <row r="56998" customFormat="1" x14ac:dyDescent="0.2"/>
    <row r="56999" customFormat="1" x14ac:dyDescent="0.2"/>
    <row r="57000" customFormat="1" x14ac:dyDescent="0.2"/>
    <row r="57001" customFormat="1" x14ac:dyDescent="0.2"/>
    <row r="57002" customFormat="1" x14ac:dyDescent="0.2"/>
    <row r="57003" customFormat="1" x14ac:dyDescent="0.2"/>
    <row r="57004" customFormat="1" x14ac:dyDescent="0.2"/>
    <row r="57005" customFormat="1" x14ac:dyDescent="0.2"/>
    <row r="57006" customFormat="1" x14ac:dyDescent="0.2"/>
    <row r="57007" customFormat="1" x14ac:dyDescent="0.2"/>
    <row r="57008" customFormat="1" x14ac:dyDescent="0.2"/>
    <row r="57009" customFormat="1" x14ac:dyDescent="0.2"/>
    <row r="57010" customFormat="1" x14ac:dyDescent="0.2"/>
    <row r="57011" customFormat="1" x14ac:dyDescent="0.2"/>
    <row r="57012" customFormat="1" x14ac:dyDescent="0.2"/>
    <row r="57013" customFormat="1" x14ac:dyDescent="0.2"/>
    <row r="57014" customFormat="1" x14ac:dyDescent="0.2"/>
    <row r="57015" customFormat="1" x14ac:dyDescent="0.2"/>
    <row r="57016" customFormat="1" x14ac:dyDescent="0.2"/>
    <row r="57017" customFormat="1" x14ac:dyDescent="0.2"/>
    <row r="57018" customFormat="1" x14ac:dyDescent="0.2"/>
    <row r="57019" customFormat="1" x14ac:dyDescent="0.2"/>
    <row r="57020" customFormat="1" x14ac:dyDescent="0.2"/>
    <row r="57021" customFormat="1" x14ac:dyDescent="0.2"/>
    <row r="57022" customFormat="1" x14ac:dyDescent="0.2"/>
    <row r="57023" customFormat="1" x14ac:dyDescent="0.2"/>
    <row r="57024" customFormat="1" x14ac:dyDescent="0.2"/>
    <row r="57025" customFormat="1" x14ac:dyDescent="0.2"/>
    <row r="57026" customFormat="1" x14ac:dyDescent="0.2"/>
    <row r="57027" customFormat="1" x14ac:dyDescent="0.2"/>
    <row r="57028" customFormat="1" x14ac:dyDescent="0.2"/>
    <row r="57029" customFormat="1" x14ac:dyDescent="0.2"/>
    <row r="57030" customFormat="1" x14ac:dyDescent="0.2"/>
    <row r="57031" customFormat="1" x14ac:dyDescent="0.2"/>
    <row r="57032" customFormat="1" x14ac:dyDescent="0.2"/>
    <row r="57033" customFormat="1" x14ac:dyDescent="0.2"/>
    <row r="57034" customFormat="1" x14ac:dyDescent="0.2"/>
    <row r="57035" customFormat="1" x14ac:dyDescent="0.2"/>
    <row r="57036" customFormat="1" x14ac:dyDescent="0.2"/>
    <row r="57037" customFormat="1" x14ac:dyDescent="0.2"/>
    <row r="57038" customFormat="1" x14ac:dyDescent="0.2"/>
    <row r="57039" customFormat="1" x14ac:dyDescent="0.2"/>
    <row r="57040" customFormat="1" x14ac:dyDescent="0.2"/>
    <row r="57041" customFormat="1" x14ac:dyDescent="0.2"/>
    <row r="57042" customFormat="1" x14ac:dyDescent="0.2"/>
    <row r="57043" customFormat="1" x14ac:dyDescent="0.2"/>
    <row r="57044" customFormat="1" x14ac:dyDescent="0.2"/>
    <row r="57045" customFormat="1" x14ac:dyDescent="0.2"/>
    <row r="57046" customFormat="1" x14ac:dyDescent="0.2"/>
    <row r="57047" customFormat="1" x14ac:dyDescent="0.2"/>
    <row r="57048" customFormat="1" x14ac:dyDescent="0.2"/>
    <row r="57049" customFormat="1" x14ac:dyDescent="0.2"/>
    <row r="57050" customFormat="1" x14ac:dyDescent="0.2"/>
    <row r="57051" customFormat="1" x14ac:dyDescent="0.2"/>
    <row r="57052" customFormat="1" x14ac:dyDescent="0.2"/>
    <row r="57053" customFormat="1" x14ac:dyDescent="0.2"/>
    <row r="57054" customFormat="1" x14ac:dyDescent="0.2"/>
    <row r="57055" customFormat="1" x14ac:dyDescent="0.2"/>
    <row r="57056" customFormat="1" x14ac:dyDescent="0.2"/>
    <row r="57057" customFormat="1" x14ac:dyDescent="0.2"/>
    <row r="57058" customFormat="1" x14ac:dyDescent="0.2"/>
    <row r="57059" customFormat="1" x14ac:dyDescent="0.2"/>
    <row r="57060" customFormat="1" x14ac:dyDescent="0.2"/>
    <row r="57061" customFormat="1" x14ac:dyDescent="0.2"/>
    <row r="57062" customFormat="1" x14ac:dyDescent="0.2"/>
    <row r="57063" customFormat="1" x14ac:dyDescent="0.2"/>
    <row r="57064" customFormat="1" x14ac:dyDescent="0.2"/>
    <row r="57065" customFormat="1" x14ac:dyDescent="0.2"/>
    <row r="57066" customFormat="1" x14ac:dyDescent="0.2"/>
    <row r="57067" customFormat="1" x14ac:dyDescent="0.2"/>
    <row r="57068" customFormat="1" x14ac:dyDescent="0.2"/>
    <row r="57069" customFormat="1" x14ac:dyDescent="0.2"/>
    <row r="57070" customFormat="1" x14ac:dyDescent="0.2"/>
    <row r="57071" customFormat="1" x14ac:dyDescent="0.2"/>
    <row r="57072" customFormat="1" x14ac:dyDescent="0.2"/>
    <row r="57073" customFormat="1" x14ac:dyDescent="0.2"/>
    <row r="57074" customFormat="1" x14ac:dyDescent="0.2"/>
    <row r="57075" customFormat="1" x14ac:dyDescent="0.2"/>
    <row r="57076" customFormat="1" x14ac:dyDescent="0.2"/>
    <row r="57077" customFormat="1" x14ac:dyDescent="0.2"/>
    <row r="57078" customFormat="1" x14ac:dyDescent="0.2"/>
    <row r="57079" customFormat="1" x14ac:dyDescent="0.2"/>
    <row r="57080" customFormat="1" x14ac:dyDescent="0.2"/>
    <row r="57081" customFormat="1" x14ac:dyDescent="0.2"/>
    <row r="57082" customFormat="1" x14ac:dyDescent="0.2"/>
    <row r="57083" customFormat="1" x14ac:dyDescent="0.2"/>
    <row r="57084" customFormat="1" x14ac:dyDescent="0.2"/>
    <row r="57085" customFormat="1" x14ac:dyDescent="0.2"/>
    <row r="57086" customFormat="1" x14ac:dyDescent="0.2"/>
    <row r="57087" customFormat="1" x14ac:dyDescent="0.2"/>
    <row r="57088" customFormat="1" x14ac:dyDescent="0.2"/>
    <row r="57089" customFormat="1" x14ac:dyDescent="0.2"/>
    <row r="57090" customFormat="1" x14ac:dyDescent="0.2"/>
    <row r="57091" customFormat="1" x14ac:dyDescent="0.2"/>
    <row r="57092" customFormat="1" x14ac:dyDescent="0.2"/>
    <row r="57093" customFormat="1" x14ac:dyDescent="0.2"/>
    <row r="57094" customFormat="1" x14ac:dyDescent="0.2"/>
    <row r="57095" customFormat="1" x14ac:dyDescent="0.2"/>
    <row r="57096" customFormat="1" x14ac:dyDescent="0.2"/>
    <row r="57097" customFormat="1" x14ac:dyDescent="0.2"/>
    <row r="57098" customFormat="1" x14ac:dyDescent="0.2"/>
    <row r="57099" customFormat="1" x14ac:dyDescent="0.2"/>
    <row r="57100" customFormat="1" x14ac:dyDescent="0.2"/>
    <row r="57101" customFormat="1" x14ac:dyDescent="0.2"/>
    <row r="57102" customFormat="1" x14ac:dyDescent="0.2"/>
    <row r="57103" customFormat="1" x14ac:dyDescent="0.2"/>
    <row r="57104" customFormat="1" x14ac:dyDescent="0.2"/>
    <row r="57105" customFormat="1" x14ac:dyDescent="0.2"/>
    <row r="57106" customFormat="1" x14ac:dyDescent="0.2"/>
    <row r="57107" customFormat="1" x14ac:dyDescent="0.2"/>
    <row r="57108" customFormat="1" x14ac:dyDescent="0.2"/>
    <row r="57109" customFormat="1" x14ac:dyDescent="0.2"/>
    <row r="57110" customFormat="1" x14ac:dyDescent="0.2"/>
    <row r="57111" customFormat="1" x14ac:dyDescent="0.2"/>
    <row r="57112" customFormat="1" x14ac:dyDescent="0.2"/>
    <row r="57113" customFormat="1" x14ac:dyDescent="0.2"/>
    <row r="57114" customFormat="1" x14ac:dyDescent="0.2"/>
    <row r="57115" customFormat="1" x14ac:dyDescent="0.2"/>
    <row r="57116" customFormat="1" x14ac:dyDescent="0.2"/>
    <row r="57117" customFormat="1" x14ac:dyDescent="0.2"/>
    <row r="57118" customFormat="1" x14ac:dyDescent="0.2"/>
    <row r="57119" customFormat="1" x14ac:dyDescent="0.2"/>
    <row r="57120" customFormat="1" x14ac:dyDescent="0.2"/>
    <row r="57121" customFormat="1" x14ac:dyDescent="0.2"/>
    <row r="57122" customFormat="1" x14ac:dyDescent="0.2"/>
    <row r="57123" customFormat="1" x14ac:dyDescent="0.2"/>
    <row r="57124" customFormat="1" x14ac:dyDescent="0.2"/>
    <row r="57125" customFormat="1" x14ac:dyDescent="0.2"/>
    <row r="57126" customFormat="1" x14ac:dyDescent="0.2"/>
    <row r="57127" customFormat="1" x14ac:dyDescent="0.2"/>
    <row r="57128" customFormat="1" x14ac:dyDescent="0.2"/>
    <row r="57129" customFormat="1" x14ac:dyDescent="0.2"/>
    <row r="57130" customFormat="1" x14ac:dyDescent="0.2"/>
    <row r="57131" customFormat="1" x14ac:dyDescent="0.2"/>
    <row r="57132" customFormat="1" x14ac:dyDescent="0.2"/>
    <row r="57133" customFormat="1" x14ac:dyDescent="0.2"/>
    <row r="57134" customFormat="1" x14ac:dyDescent="0.2"/>
    <row r="57135" customFormat="1" x14ac:dyDescent="0.2"/>
    <row r="57136" customFormat="1" x14ac:dyDescent="0.2"/>
    <row r="57137" customFormat="1" x14ac:dyDescent="0.2"/>
    <row r="57138" customFormat="1" x14ac:dyDescent="0.2"/>
    <row r="57139" customFormat="1" x14ac:dyDescent="0.2"/>
    <row r="57140" customFormat="1" x14ac:dyDescent="0.2"/>
    <row r="57141" customFormat="1" x14ac:dyDescent="0.2"/>
    <row r="57142" customFormat="1" x14ac:dyDescent="0.2"/>
    <row r="57143" customFormat="1" x14ac:dyDescent="0.2"/>
    <row r="57144" customFormat="1" x14ac:dyDescent="0.2"/>
    <row r="57145" customFormat="1" x14ac:dyDescent="0.2"/>
    <row r="57146" customFormat="1" x14ac:dyDescent="0.2"/>
    <row r="57147" customFormat="1" x14ac:dyDescent="0.2"/>
    <row r="57148" customFormat="1" x14ac:dyDescent="0.2"/>
    <row r="57149" customFormat="1" x14ac:dyDescent="0.2"/>
    <row r="57150" customFormat="1" x14ac:dyDescent="0.2"/>
    <row r="57151" customFormat="1" x14ac:dyDescent="0.2"/>
    <row r="57152" customFormat="1" x14ac:dyDescent="0.2"/>
    <row r="57153" customFormat="1" x14ac:dyDescent="0.2"/>
    <row r="57154" customFormat="1" x14ac:dyDescent="0.2"/>
    <row r="57155" customFormat="1" x14ac:dyDescent="0.2"/>
    <row r="57156" customFormat="1" x14ac:dyDescent="0.2"/>
    <row r="57157" customFormat="1" x14ac:dyDescent="0.2"/>
    <row r="57158" customFormat="1" x14ac:dyDescent="0.2"/>
    <row r="57159" customFormat="1" x14ac:dyDescent="0.2"/>
    <row r="57160" customFormat="1" x14ac:dyDescent="0.2"/>
    <row r="57161" customFormat="1" x14ac:dyDescent="0.2"/>
    <row r="57162" customFormat="1" x14ac:dyDescent="0.2"/>
    <row r="57163" customFormat="1" x14ac:dyDescent="0.2"/>
    <row r="57164" customFormat="1" x14ac:dyDescent="0.2"/>
    <row r="57165" customFormat="1" x14ac:dyDescent="0.2"/>
    <row r="57166" customFormat="1" x14ac:dyDescent="0.2"/>
    <row r="57167" customFormat="1" x14ac:dyDescent="0.2"/>
    <row r="57168" customFormat="1" x14ac:dyDescent="0.2"/>
    <row r="57169" customFormat="1" x14ac:dyDescent="0.2"/>
    <row r="57170" customFormat="1" x14ac:dyDescent="0.2"/>
    <row r="57171" customFormat="1" x14ac:dyDescent="0.2"/>
    <row r="57172" customFormat="1" x14ac:dyDescent="0.2"/>
    <row r="57173" customFormat="1" x14ac:dyDescent="0.2"/>
    <row r="57174" customFormat="1" x14ac:dyDescent="0.2"/>
    <row r="57175" customFormat="1" x14ac:dyDescent="0.2"/>
    <row r="57176" customFormat="1" x14ac:dyDescent="0.2"/>
    <row r="57177" customFormat="1" x14ac:dyDescent="0.2"/>
    <row r="57178" customFormat="1" x14ac:dyDescent="0.2"/>
    <row r="57179" customFormat="1" x14ac:dyDescent="0.2"/>
    <row r="57180" customFormat="1" x14ac:dyDescent="0.2"/>
    <row r="57181" customFormat="1" x14ac:dyDescent="0.2"/>
    <row r="57182" customFormat="1" x14ac:dyDescent="0.2"/>
    <row r="57183" customFormat="1" x14ac:dyDescent="0.2"/>
    <row r="57184" customFormat="1" x14ac:dyDescent="0.2"/>
    <row r="57185" customFormat="1" x14ac:dyDescent="0.2"/>
    <row r="57186" customFormat="1" x14ac:dyDescent="0.2"/>
    <row r="57187" customFormat="1" x14ac:dyDescent="0.2"/>
    <row r="57188" customFormat="1" x14ac:dyDescent="0.2"/>
    <row r="57189" customFormat="1" x14ac:dyDescent="0.2"/>
    <row r="57190" customFormat="1" x14ac:dyDescent="0.2"/>
    <row r="57191" customFormat="1" x14ac:dyDescent="0.2"/>
    <row r="57192" customFormat="1" x14ac:dyDescent="0.2"/>
    <row r="57193" customFormat="1" x14ac:dyDescent="0.2"/>
    <row r="57194" customFormat="1" x14ac:dyDescent="0.2"/>
    <row r="57195" customFormat="1" x14ac:dyDescent="0.2"/>
    <row r="57196" customFormat="1" x14ac:dyDescent="0.2"/>
    <row r="57197" customFormat="1" x14ac:dyDescent="0.2"/>
    <row r="57198" customFormat="1" x14ac:dyDescent="0.2"/>
    <row r="57199" customFormat="1" x14ac:dyDescent="0.2"/>
    <row r="57200" customFormat="1" x14ac:dyDescent="0.2"/>
    <row r="57201" customFormat="1" x14ac:dyDescent="0.2"/>
    <row r="57202" customFormat="1" x14ac:dyDescent="0.2"/>
    <row r="57203" customFormat="1" x14ac:dyDescent="0.2"/>
    <row r="57204" customFormat="1" x14ac:dyDescent="0.2"/>
    <row r="57205" customFormat="1" x14ac:dyDescent="0.2"/>
    <row r="57206" customFormat="1" x14ac:dyDescent="0.2"/>
    <row r="57207" customFormat="1" x14ac:dyDescent="0.2"/>
    <row r="57208" customFormat="1" x14ac:dyDescent="0.2"/>
    <row r="57209" customFormat="1" x14ac:dyDescent="0.2"/>
    <row r="57210" customFormat="1" x14ac:dyDescent="0.2"/>
    <row r="57211" customFormat="1" x14ac:dyDescent="0.2"/>
    <row r="57212" customFormat="1" x14ac:dyDescent="0.2"/>
    <row r="57213" customFormat="1" x14ac:dyDescent="0.2"/>
    <row r="57214" customFormat="1" x14ac:dyDescent="0.2"/>
    <row r="57215" customFormat="1" x14ac:dyDescent="0.2"/>
    <row r="57216" customFormat="1" x14ac:dyDescent="0.2"/>
    <row r="57217" customFormat="1" x14ac:dyDescent="0.2"/>
    <row r="57218" customFormat="1" x14ac:dyDescent="0.2"/>
    <row r="57219" customFormat="1" x14ac:dyDescent="0.2"/>
    <row r="57220" customFormat="1" x14ac:dyDescent="0.2"/>
    <row r="57221" customFormat="1" x14ac:dyDescent="0.2"/>
    <row r="57222" customFormat="1" x14ac:dyDescent="0.2"/>
    <row r="57223" customFormat="1" x14ac:dyDescent="0.2"/>
    <row r="57224" customFormat="1" x14ac:dyDescent="0.2"/>
    <row r="57225" customFormat="1" x14ac:dyDescent="0.2"/>
    <row r="57226" customFormat="1" x14ac:dyDescent="0.2"/>
    <row r="57227" customFormat="1" x14ac:dyDescent="0.2"/>
    <row r="57228" customFormat="1" x14ac:dyDescent="0.2"/>
    <row r="57229" customFormat="1" x14ac:dyDescent="0.2"/>
    <row r="57230" customFormat="1" x14ac:dyDescent="0.2"/>
    <row r="57231" customFormat="1" x14ac:dyDescent="0.2"/>
    <row r="57232" customFormat="1" x14ac:dyDescent="0.2"/>
    <row r="57233" customFormat="1" x14ac:dyDescent="0.2"/>
    <row r="57234" customFormat="1" x14ac:dyDescent="0.2"/>
    <row r="57235" customFormat="1" x14ac:dyDescent="0.2"/>
    <row r="57236" customFormat="1" x14ac:dyDescent="0.2"/>
    <row r="57237" customFormat="1" x14ac:dyDescent="0.2"/>
    <row r="57238" customFormat="1" x14ac:dyDescent="0.2"/>
    <row r="57239" customFormat="1" x14ac:dyDescent="0.2"/>
    <row r="57240" customFormat="1" x14ac:dyDescent="0.2"/>
    <row r="57241" customFormat="1" x14ac:dyDescent="0.2"/>
    <row r="57242" customFormat="1" x14ac:dyDescent="0.2"/>
    <row r="57243" customFormat="1" x14ac:dyDescent="0.2"/>
    <row r="57244" customFormat="1" x14ac:dyDescent="0.2"/>
    <row r="57245" customFormat="1" x14ac:dyDescent="0.2"/>
    <row r="57246" customFormat="1" x14ac:dyDescent="0.2"/>
    <row r="57247" customFormat="1" x14ac:dyDescent="0.2"/>
    <row r="57248" customFormat="1" x14ac:dyDescent="0.2"/>
    <row r="57249" customFormat="1" x14ac:dyDescent="0.2"/>
    <row r="57250" customFormat="1" x14ac:dyDescent="0.2"/>
    <row r="57251" customFormat="1" x14ac:dyDescent="0.2"/>
    <row r="57252" customFormat="1" x14ac:dyDescent="0.2"/>
    <row r="57253" customFormat="1" x14ac:dyDescent="0.2"/>
    <row r="57254" customFormat="1" x14ac:dyDescent="0.2"/>
    <row r="57255" customFormat="1" x14ac:dyDescent="0.2"/>
    <row r="57256" customFormat="1" x14ac:dyDescent="0.2"/>
    <row r="57257" customFormat="1" x14ac:dyDescent="0.2"/>
    <row r="57258" customFormat="1" x14ac:dyDescent="0.2"/>
    <row r="57259" customFormat="1" x14ac:dyDescent="0.2"/>
    <row r="57260" customFormat="1" x14ac:dyDescent="0.2"/>
    <row r="57261" customFormat="1" x14ac:dyDescent="0.2"/>
    <row r="57262" customFormat="1" x14ac:dyDescent="0.2"/>
    <row r="57263" customFormat="1" x14ac:dyDescent="0.2"/>
    <row r="57264" customFormat="1" x14ac:dyDescent="0.2"/>
    <row r="57265" customFormat="1" x14ac:dyDescent="0.2"/>
    <row r="57266" customFormat="1" x14ac:dyDescent="0.2"/>
    <row r="57267" customFormat="1" x14ac:dyDescent="0.2"/>
    <row r="57268" customFormat="1" x14ac:dyDescent="0.2"/>
    <row r="57269" customFormat="1" x14ac:dyDescent="0.2"/>
    <row r="57270" customFormat="1" x14ac:dyDescent="0.2"/>
    <row r="57271" customFormat="1" x14ac:dyDescent="0.2"/>
    <row r="57272" customFormat="1" x14ac:dyDescent="0.2"/>
    <row r="57273" customFormat="1" x14ac:dyDescent="0.2"/>
    <row r="57274" customFormat="1" x14ac:dyDescent="0.2"/>
    <row r="57275" customFormat="1" x14ac:dyDescent="0.2"/>
    <row r="57276" customFormat="1" x14ac:dyDescent="0.2"/>
    <row r="57277" customFormat="1" x14ac:dyDescent="0.2"/>
    <row r="57278" customFormat="1" x14ac:dyDescent="0.2"/>
    <row r="57279" customFormat="1" x14ac:dyDescent="0.2"/>
    <row r="57280" customFormat="1" x14ac:dyDescent="0.2"/>
    <row r="57281" customFormat="1" x14ac:dyDescent="0.2"/>
    <row r="57282" customFormat="1" x14ac:dyDescent="0.2"/>
    <row r="57283" customFormat="1" x14ac:dyDescent="0.2"/>
    <row r="57284" customFormat="1" x14ac:dyDescent="0.2"/>
    <row r="57285" customFormat="1" x14ac:dyDescent="0.2"/>
    <row r="57286" customFormat="1" x14ac:dyDescent="0.2"/>
    <row r="57287" customFormat="1" x14ac:dyDescent="0.2"/>
    <row r="57288" customFormat="1" x14ac:dyDescent="0.2"/>
    <row r="57289" customFormat="1" x14ac:dyDescent="0.2"/>
    <row r="57290" customFormat="1" x14ac:dyDescent="0.2"/>
    <row r="57291" customFormat="1" x14ac:dyDescent="0.2"/>
    <row r="57292" customFormat="1" x14ac:dyDescent="0.2"/>
    <row r="57293" customFormat="1" x14ac:dyDescent="0.2"/>
    <row r="57294" customFormat="1" x14ac:dyDescent="0.2"/>
    <row r="57295" customFormat="1" x14ac:dyDescent="0.2"/>
    <row r="57296" customFormat="1" x14ac:dyDescent="0.2"/>
    <row r="57297" customFormat="1" x14ac:dyDescent="0.2"/>
    <row r="57298" customFormat="1" x14ac:dyDescent="0.2"/>
    <row r="57299" customFormat="1" x14ac:dyDescent="0.2"/>
    <row r="57300" customFormat="1" x14ac:dyDescent="0.2"/>
    <row r="57301" customFormat="1" x14ac:dyDescent="0.2"/>
    <row r="57302" customFormat="1" x14ac:dyDescent="0.2"/>
    <row r="57303" customFormat="1" x14ac:dyDescent="0.2"/>
    <row r="57304" customFormat="1" x14ac:dyDescent="0.2"/>
    <row r="57305" customFormat="1" x14ac:dyDescent="0.2"/>
    <row r="57306" customFormat="1" x14ac:dyDescent="0.2"/>
    <row r="57307" customFormat="1" x14ac:dyDescent="0.2"/>
    <row r="57308" customFormat="1" x14ac:dyDescent="0.2"/>
    <row r="57309" customFormat="1" x14ac:dyDescent="0.2"/>
    <row r="57310" customFormat="1" x14ac:dyDescent="0.2"/>
    <row r="57311" customFormat="1" x14ac:dyDescent="0.2"/>
    <row r="57312" customFormat="1" x14ac:dyDescent="0.2"/>
    <row r="57313" customFormat="1" x14ac:dyDescent="0.2"/>
    <row r="57314" customFormat="1" x14ac:dyDescent="0.2"/>
    <row r="57315" customFormat="1" x14ac:dyDescent="0.2"/>
    <row r="57316" customFormat="1" x14ac:dyDescent="0.2"/>
    <row r="57317" customFormat="1" x14ac:dyDescent="0.2"/>
    <row r="57318" customFormat="1" x14ac:dyDescent="0.2"/>
    <row r="57319" customFormat="1" x14ac:dyDescent="0.2"/>
    <row r="57320" customFormat="1" x14ac:dyDescent="0.2"/>
    <row r="57321" customFormat="1" x14ac:dyDescent="0.2"/>
    <row r="57322" customFormat="1" x14ac:dyDescent="0.2"/>
    <row r="57323" customFormat="1" x14ac:dyDescent="0.2"/>
    <row r="57324" customFormat="1" x14ac:dyDescent="0.2"/>
    <row r="57325" customFormat="1" x14ac:dyDescent="0.2"/>
    <row r="57326" customFormat="1" x14ac:dyDescent="0.2"/>
    <row r="57327" customFormat="1" x14ac:dyDescent="0.2"/>
    <row r="57328" customFormat="1" x14ac:dyDescent="0.2"/>
    <row r="57329" customFormat="1" x14ac:dyDescent="0.2"/>
    <row r="57330" customFormat="1" x14ac:dyDescent="0.2"/>
    <row r="57331" customFormat="1" x14ac:dyDescent="0.2"/>
    <row r="57332" customFormat="1" x14ac:dyDescent="0.2"/>
    <row r="57333" customFormat="1" x14ac:dyDescent="0.2"/>
    <row r="57334" customFormat="1" x14ac:dyDescent="0.2"/>
    <row r="57335" customFormat="1" x14ac:dyDescent="0.2"/>
    <row r="57336" customFormat="1" x14ac:dyDescent="0.2"/>
    <row r="57337" customFormat="1" x14ac:dyDescent="0.2"/>
    <row r="57338" customFormat="1" x14ac:dyDescent="0.2"/>
    <row r="57339" customFormat="1" x14ac:dyDescent="0.2"/>
    <row r="57340" customFormat="1" x14ac:dyDescent="0.2"/>
    <row r="57341" customFormat="1" x14ac:dyDescent="0.2"/>
    <row r="57342" customFormat="1" x14ac:dyDescent="0.2"/>
    <row r="57343" customFormat="1" x14ac:dyDescent="0.2"/>
    <row r="57344" customFormat="1" x14ac:dyDescent="0.2"/>
    <row r="57345" customFormat="1" x14ac:dyDescent="0.2"/>
    <row r="57346" customFormat="1" x14ac:dyDescent="0.2"/>
    <row r="57347" customFormat="1" x14ac:dyDescent="0.2"/>
    <row r="57348" customFormat="1" x14ac:dyDescent="0.2"/>
    <row r="57349" customFormat="1" x14ac:dyDescent="0.2"/>
    <row r="57350" customFormat="1" x14ac:dyDescent="0.2"/>
    <row r="57351" customFormat="1" x14ac:dyDescent="0.2"/>
    <row r="57352" customFormat="1" x14ac:dyDescent="0.2"/>
    <row r="57353" customFormat="1" x14ac:dyDescent="0.2"/>
    <row r="57354" customFormat="1" x14ac:dyDescent="0.2"/>
    <row r="57355" customFormat="1" x14ac:dyDescent="0.2"/>
    <row r="57356" customFormat="1" x14ac:dyDescent="0.2"/>
    <row r="57357" customFormat="1" x14ac:dyDescent="0.2"/>
    <row r="57358" customFormat="1" x14ac:dyDescent="0.2"/>
    <row r="57359" customFormat="1" x14ac:dyDescent="0.2"/>
    <row r="57360" customFormat="1" x14ac:dyDescent="0.2"/>
    <row r="57361" customFormat="1" x14ac:dyDescent="0.2"/>
    <row r="57362" customFormat="1" x14ac:dyDescent="0.2"/>
    <row r="57363" customFormat="1" x14ac:dyDescent="0.2"/>
    <row r="57364" customFormat="1" x14ac:dyDescent="0.2"/>
    <row r="57365" customFormat="1" x14ac:dyDescent="0.2"/>
    <row r="57366" customFormat="1" x14ac:dyDescent="0.2"/>
    <row r="57367" customFormat="1" x14ac:dyDescent="0.2"/>
    <row r="57368" customFormat="1" x14ac:dyDescent="0.2"/>
    <row r="57369" customFormat="1" x14ac:dyDescent="0.2"/>
    <row r="57370" customFormat="1" x14ac:dyDescent="0.2"/>
    <row r="57371" customFormat="1" x14ac:dyDescent="0.2"/>
    <row r="57372" customFormat="1" x14ac:dyDescent="0.2"/>
    <row r="57373" customFormat="1" x14ac:dyDescent="0.2"/>
    <row r="57374" customFormat="1" x14ac:dyDescent="0.2"/>
    <row r="57375" customFormat="1" x14ac:dyDescent="0.2"/>
    <row r="57376" customFormat="1" x14ac:dyDescent="0.2"/>
    <row r="57377" customFormat="1" x14ac:dyDescent="0.2"/>
    <row r="57378" customFormat="1" x14ac:dyDescent="0.2"/>
    <row r="57379" customFormat="1" x14ac:dyDescent="0.2"/>
    <row r="57380" customFormat="1" x14ac:dyDescent="0.2"/>
    <row r="57381" customFormat="1" x14ac:dyDescent="0.2"/>
    <row r="57382" customFormat="1" x14ac:dyDescent="0.2"/>
    <row r="57383" customFormat="1" x14ac:dyDescent="0.2"/>
    <row r="57384" customFormat="1" x14ac:dyDescent="0.2"/>
    <row r="57385" customFormat="1" x14ac:dyDescent="0.2"/>
    <row r="57386" customFormat="1" x14ac:dyDescent="0.2"/>
    <row r="57387" customFormat="1" x14ac:dyDescent="0.2"/>
    <row r="57388" customFormat="1" x14ac:dyDescent="0.2"/>
    <row r="57389" customFormat="1" x14ac:dyDescent="0.2"/>
    <row r="57390" customFormat="1" x14ac:dyDescent="0.2"/>
    <row r="57391" customFormat="1" x14ac:dyDescent="0.2"/>
    <row r="57392" customFormat="1" x14ac:dyDescent="0.2"/>
    <row r="57393" customFormat="1" x14ac:dyDescent="0.2"/>
    <row r="57394" customFormat="1" x14ac:dyDescent="0.2"/>
    <row r="57395" customFormat="1" x14ac:dyDescent="0.2"/>
    <row r="57396" customFormat="1" x14ac:dyDescent="0.2"/>
    <row r="57397" customFormat="1" x14ac:dyDescent="0.2"/>
    <row r="57398" customFormat="1" x14ac:dyDescent="0.2"/>
    <row r="57399" customFormat="1" x14ac:dyDescent="0.2"/>
    <row r="57400" customFormat="1" x14ac:dyDescent="0.2"/>
    <row r="57401" customFormat="1" x14ac:dyDescent="0.2"/>
    <row r="57402" customFormat="1" x14ac:dyDescent="0.2"/>
    <row r="57403" customFormat="1" x14ac:dyDescent="0.2"/>
    <row r="57404" customFormat="1" x14ac:dyDescent="0.2"/>
    <row r="57405" customFormat="1" x14ac:dyDescent="0.2"/>
    <row r="57406" customFormat="1" x14ac:dyDescent="0.2"/>
    <row r="57407" customFormat="1" x14ac:dyDescent="0.2"/>
    <row r="57408" customFormat="1" x14ac:dyDescent="0.2"/>
    <row r="57409" customFormat="1" x14ac:dyDescent="0.2"/>
    <row r="57410" customFormat="1" x14ac:dyDescent="0.2"/>
    <row r="57411" customFormat="1" x14ac:dyDescent="0.2"/>
    <row r="57412" customFormat="1" x14ac:dyDescent="0.2"/>
    <row r="57413" customFormat="1" x14ac:dyDescent="0.2"/>
    <row r="57414" customFormat="1" x14ac:dyDescent="0.2"/>
    <row r="57415" customFormat="1" x14ac:dyDescent="0.2"/>
    <row r="57416" customFormat="1" x14ac:dyDescent="0.2"/>
    <row r="57417" customFormat="1" x14ac:dyDescent="0.2"/>
    <row r="57418" customFormat="1" x14ac:dyDescent="0.2"/>
    <row r="57419" customFormat="1" x14ac:dyDescent="0.2"/>
    <row r="57420" customFormat="1" x14ac:dyDescent="0.2"/>
    <row r="57421" customFormat="1" x14ac:dyDescent="0.2"/>
    <row r="57422" customFormat="1" x14ac:dyDescent="0.2"/>
    <row r="57423" customFormat="1" x14ac:dyDescent="0.2"/>
    <row r="57424" customFormat="1" x14ac:dyDescent="0.2"/>
    <row r="57425" customFormat="1" x14ac:dyDescent="0.2"/>
    <row r="57426" customFormat="1" x14ac:dyDescent="0.2"/>
    <row r="57427" customFormat="1" x14ac:dyDescent="0.2"/>
    <row r="57428" customFormat="1" x14ac:dyDescent="0.2"/>
    <row r="57429" customFormat="1" x14ac:dyDescent="0.2"/>
    <row r="57430" customFormat="1" x14ac:dyDescent="0.2"/>
    <row r="57431" customFormat="1" x14ac:dyDescent="0.2"/>
    <row r="57432" customFormat="1" x14ac:dyDescent="0.2"/>
    <row r="57433" customFormat="1" x14ac:dyDescent="0.2"/>
    <row r="57434" customFormat="1" x14ac:dyDescent="0.2"/>
    <row r="57435" customFormat="1" x14ac:dyDescent="0.2"/>
    <row r="57436" customFormat="1" x14ac:dyDescent="0.2"/>
    <row r="57437" customFormat="1" x14ac:dyDescent="0.2"/>
    <row r="57438" customFormat="1" x14ac:dyDescent="0.2"/>
    <row r="57439" customFormat="1" x14ac:dyDescent="0.2"/>
    <row r="57440" customFormat="1" x14ac:dyDescent="0.2"/>
    <row r="57441" customFormat="1" x14ac:dyDescent="0.2"/>
    <row r="57442" customFormat="1" x14ac:dyDescent="0.2"/>
    <row r="57443" customFormat="1" x14ac:dyDescent="0.2"/>
    <row r="57444" customFormat="1" x14ac:dyDescent="0.2"/>
    <row r="57445" customFormat="1" x14ac:dyDescent="0.2"/>
    <row r="57446" customFormat="1" x14ac:dyDescent="0.2"/>
    <row r="57447" customFormat="1" x14ac:dyDescent="0.2"/>
    <row r="57448" customFormat="1" x14ac:dyDescent="0.2"/>
    <row r="57449" customFormat="1" x14ac:dyDescent="0.2"/>
    <row r="57450" customFormat="1" x14ac:dyDescent="0.2"/>
    <row r="57451" customFormat="1" x14ac:dyDescent="0.2"/>
    <row r="57452" customFormat="1" x14ac:dyDescent="0.2"/>
    <row r="57453" customFormat="1" x14ac:dyDescent="0.2"/>
    <row r="57454" customFormat="1" x14ac:dyDescent="0.2"/>
    <row r="57455" customFormat="1" x14ac:dyDescent="0.2"/>
    <row r="57456" customFormat="1" x14ac:dyDescent="0.2"/>
    <row r="57457" customFormat="1" x14ac:dyDescent="0.2"/>
    <row r="57458" customFormat="1" x14ac:dyDescent="0.2"/>
    <row r="57459" customFormat="1" x14ac:dyDescent="0.2"/>
    <row r="57460" customFormat="1" x14ac:dyDescent="0.2"/>
    <row r="57461" customFormat="1" x14ac:dyDescent="0.2"/>
    <row r="57462" customFormat="1" x14ac:dyDescent="0.2"/>
    <row r="57463" customFormat="1" x14ac:dyDescent="0.2"/>
    <row r="57464" customFormat="1" x14ac:dyDescent="0.2"/>
    <row r="57465" customFormat="1" x14ac:dyDescent="0.2"/>
    <row r="57466" customFormat="1" x14ac:dyDescent="0.2"/>
    <row r="57467" customFormat="1" x14ac:dyDescent="0.2"/>
    <row r="57468" customFormat="1" x14ac:dyDescent="0.2"/>
    <row r="57469" customFormat="1" x14ac:dyDescent="0.2"/>
    <row r="57470" customFormat="1" x14ac:dyDescent="0.2"/>
    <row r="57471" customFormat="1" x14ac:dyDescent="0.2"/>
    <row r="57472" customFormat="1" x14ac:dyDescent="0.2"/>
    <row r="57473" customFormat="1" x14ac:dyDescent="0.2"/>
    <row r="57474" customFormat="1" x14ac:dyDescent="0.2"/>
    <row r="57475" customFormat="1" x14ac:dyDescent="0.2"/>
    <row r="57476" customFormat="1" x14ac:dyDescent="0.2"/>
    <row r="57477" customFormat="1" x14ac:dyDescent="0.2"/>
    <row r="57478" customFormat="1" x14ac:dyDescent="0.2"/>
    <row r="57479" customFormat="1" x14ac:dyDescent="0.2"/>
    <row r="57480" customFormat="1" x14ac:dyDescent="0.2"/>
    <row r="57481" customFormat="1" x14ac:dyDescent="0.2"/>
    <row r="57482" customFormat="1" x14ac:dyDescent="0.2"/>
    <row r="57483" customFormat="1" x14ac:dyDescent="0.2"/>
    <row r="57484" customFormat="1" x14ac:dyDescent="0.2"/>
    <row r="57485" customFormat="1" x14ac:dyDescent="0.2"/>
    <row r="57486" customFormat="1" x14ac:dyDescent="0.2"/>
    <row r="57487" customFormat="1" x14ac:dyDescent="0.2"/>
    <row r="57488" customFormat="1" x14ac:dyDescent="0.2"/>
    <row r="57489" customFormat="1" x14ac:dyDescent="0.2"/>
    <row r="57490" customFormat="1" x14ac:dyDescent="0.2"/>
    <row r="57491" customFormat="1" x14ac:dyDescent="0.2"/>
    <row r="57492" customFormat="1" x14ac:dyDescent="0.2"/>
    <row r="57493" customFormat="1" x14ac:dyDescent="0.2"/>
    <row r="57494" customFormat="1" x14ac:dyDescent="0.2"/>
    <row r="57495" customFormat="1" x14ac:dyDescent="0.2"/>
    <row r="57496" customFormat="1" x14ac:dyDescent="0.2"/>
    <row r="57497" customFormat="1" x14ac:dyDescent="0.2"/>
    <row r="57498" customFormat="1" x14ac:dyDescent="0.2"/>
    <row r="57499" customFormat="1" x14ac:dyDescent="0.2"/>
    <row r="57500" customFormat="1" x14ac:dyDescent="0.2"/>
    <row r="57501" customFormat="1" x14ac:dyDescent="0.2"/>
    <row r="57502" customFormat="1" x14ac:dyDescent="0.2"/>
    <row r="57503" customFormat="1" x14ac:dyDescent="0.2"/>
    <row r="57504" customFormat="1" x14ac:dyDescent="0.2"/>
    <row r="57505" customFormat="1" x14ac:dyDescent="0.2"/>
    <row r="57506" customFormat="1" x14ac:dyDescent="0.2"/>
    <row r="57507" customFormat="1" x14ac:dyDescent="0.2"/>
    <row r="57508" customFormat="1" x14ac:dyDescent="0.2"/>
    <row r="57509" customFormat="1" x14ac:dyDescent="0.2"/>
    <row r="57510" customFormat="1" x14ac:dyDescent="0.2"/>
    <row r="57511" customFormat="1" x14ac:dyDescent="0.2"/>
    <row r="57512" customFormat="1" x14ac:dyDescent="0.2"/>
    <row r="57513" customFormat="1" x14ac:dyDescent="0.2"/>
    <row r="57514" customFormat="1" x14ac:dyDescent="0.2"/>
    <row r="57515" customFormat="1" x14ac:dyDescent="0.2"/>
    <row r="57516" customFormat="1" x14ac:dyDescent="0.2"/>
    <row r="57517" customFormat="1" x14ac:dyDescent="0.2"/>
    <row r="57518" customFormat="1" x14ac:dyDescent="0.2"/>
    <row r="57519" customFormat="1" x14ac:dyDescent="0.2"/>
    <row r="57520" customFormat="1" x14ac:dyDescent="0.2"/>
    <row r="57521" customFormat="1" x14ac:dyDescent="0.2"/>
    <row r="57522" customFormat="1" x14ac:dyDescent="0.2"/>
    <row r="57523" customFormat="1" x14ac:dyDescent="0.2"/>
    <row r="57524" customFormat="1" x14ac:dyDescent="0.2"/>
    <row r="57525" customFormat="1" x14ac:dyDescent="0.2"/>
    <row r="57526" customFormat="1" x14ac:dyDescent="0.2"/>
    <row r="57527" customFormat="1" x14ac:dyDescent="0.2"/>
    <row r="57528" customFormat="1" x14ac:dyDescent="0.2"/>
    <row r="57529" customFormat="1" x14ac:dyDescent="0.2"/>
    <row r="57530" customFormat="1" x14ac:dyDescent="0.2"/>
    <row r="57531" customFormat="1" x14ac:dyDescent="0.2"/>
    <row r="57532" customFormat="1" x14ac:dyDescent="0.2"/>
    <row r="57533" customFormat="1" x14ac:dyDescent="0.2"/>
    <row r="57534" customFormat="1" x14ac:dyDescent="0.2"/>
    <row r="57535" customFormat="1" x14ac:dyDescent="0.2"/>
    <row r="57536" customFormat="1" x14ac:dyDescent="0.2"/>
    <row r="57537" customFormat="1" x14ac:dyDescent="0.2"/>
    <row r="57538" customFormat="1" x14ac:dyDescent="0.2"/>
    <row r="57539" customFormat="1" x14ac:dyDescent="0.2"/>
    <row r="57540" customFormat="1" x14ac:dyDescent="0.2"/>
    <row r="57541" customFormat="1" x14ac:dyDescent="0.2"/>
    <row r="57542" customFormat="1" x14ac:dyDescent="0.2"/>
    <row r="57543" customFormat="1" x14ac:dyDescent="0.2"/>
    <row r="57544" customFormat="1" x14ac:dyDescent="0.2"/>
    <row r="57545" customFormat="1" x14ac:dyDescent="0.2"/>
    <row r="57546" customFormat="1" x14ac:dyDescent="0.2"/>
    <row r="57547" customFormat="1" x14ac:dyDescent="0.2"/>
    <row r="57548" customFormat="1" x14ac:dyDescent="0.2"/>
    <row r="57549" customFormat="1" x14ac:dyDescent="0.2"/>
    <row r="57550" customFormat="1" x14ac:dyDescent="0.2"/>
    <row r="57551" customFormat="1" x14ac:dyDescent="0.2"/>
    <row r="57552" customFormat="1" x14ac:dyDescent="0.2"/>
    <row r="57553" customFormat="1" x14ac:dyDescent="0.2"/>
    <row r="57554" customFormat="1" x14ac:dyDescent="0.2"/>
    <row r="57555" customFormat="1" x14ac:dyDescent="0.2"/>
    <row r="57556" customFormat="1" x14ac:dyDescent="0.2"/>
    <row r="57557" customFormat="1" x14ac:dyDescent="0.2"/>
    <row r="57558" customFormat="1" x14ac:dyDescent="0.2"/>
    <row r="57559" customFormat="1" x14ac:dyDescent="0.2"/>
    <row r="57560" customFormat="1" x14ac:dyDescent="0.2"/>
    <row r="57561" customFormat="1" x14ac:dyDescent="0.2"/>
    <row r="57562" customFormat="1" x14ac:dyDescent="0.2"/>
    <row r="57563" customFormat="1" x14ac:dyDescent="0.2"/>
    <row r="57564" customFormat="1" x14ac:dyDescent="0.2"/>
    <row r="57565" customFormat="1" x14ac:dyDescent="0.2"/>
    <row r="57566" customFormat="1" x14ac:dyDescent="0.2"/>
    <row r="57567" customFormat="1" x14ac:dyDescent="0.2"/>
    <row r="57568" customFormat="1" x14ac:dyDescent="0.2"/>
    <row r="57569" customFormat="1" x14ac:dyDescent="0.2"/>
    <row r="57570" customFormat="1" x14ac:dyDescent="0.2"/>
    <row r="57571" customFormat="1" x14ac:dyDescent="0.2"/>
    <row r="57572" customFormat="1" x14ac:dyDescent="0.2"/>
    <row r="57573" customFormat="1" x14ac:dyDescent="0.2"/>
    <row r="57574" customFormat="1" x14ac:dyDescent="0.2"/>
    <row r="57575" customFormat="1" x14ac:dyDescent="0.2"/>
    <row r="57576" customFormat="1" x14ac:dyDescent="0.2"/>
    <row r="57577" customFormat="1" x14ac:dyDescent="0.2"/>
    <row r="57578" customFormat="1" x14ac:dyDescent="0.2"/>
    <row r="57579" customFormat="1" x14ac:dyDescent="0.2"/>
    <row r="57580" customFormat="1" x14ac:dyDescent="0.2"/>
    <row r="57581" customFormat="1" x14ac:dyDescent="0.2"/>
    <row r="57582" customFormat="1" x14ac:dyDescent="0.2"/>
    <row r="57583" customFormat="1" x14ac:dyDescent="0.2"/>
    <row r="57584" customFormat="1" x14ac:dyDescent="0.2"/>
    <row r="57585" customFormat="1" x14ac:dyDescent="0.2"/>
    <row r="57586" customFormat="1" x14ac:dyDescent="0.2"/>
    <row r="57587" customFormat="1" x14ac:dyDescent="0.2"/>
    <row r="57588" customFormat="1" x14ac:dyDescent="0.2"/>
    <row r="57589" customFormat="1" x14ac:dyDescent="0.2"/>
    <row r="57590" customFormat="1" x14ac:dyDescent="0.2"/>
    <row r="57591" customFormat="1" x14ac:dyDescent="0.2"/>
    <row r="57592" customFormat="1" x14ac:dyDescent="0.2"/>
    <row r="57593" customFormat="1" x14ac:dyDescent="0.2"/>
    <row r="57594" customFormat="1" x14ac:dyDescent="0.2"/>
    <row r="57595" customFormat="1" x14ac:dyDescent="0.2"/>
    <row r="57596" customFormat="1" x14ac:dyDescent="0.2"/>
    <row r="57597" customFormat="1" x14ac:dyDescent="0.2"/>
    <row r="57598" customFormat="1" x14ac:dyDescent="0.2"/>
    <row r="57599" customFormat="1" x14ac:dyDescent="0.2"/>
    <row r="57600" customFormat="1" x14ac:dyDescent="0.2"/>
    <row r="57601" customFormat="1" x14ac:dyDescent="0.2"/>
    <row r="57602" customFormat="1" x14ac:dyDescent="0.2"/>
    <row r="57603" customFormat="1" x14ac:dyDescent="0.2"/>
    <row r="57604" customFormat="1" x14ac:dyDescent="0.2"/>
    <row r="57605" customFormat="1" x14ac:dyDescent="0.2"/>
    <row r="57606" customFormat="1" x14ac:dyDescent="0.2"/>
    <row r="57607" customFormat="1" x14ac:dyDescent="0.2"/>
    <row r="57608" customFormat="1" x14ac:dyDescent="0.2"/>
    <row r="57609" customFormat="1" x14ac:dyDescent="0.2"/>
    <row r="57610" customFormat="1" x14ac:dyDescent="0.2"/>
    <row r="57611" customFormat="1" x14ac:dyDescent="0.2"/>
    <row r="57612" customFormat="1" x14ac:dyDescent="0.2"/>
    <row r="57613" customFormat="1" x14ac:dyDescent="0.2"/>
    <row r="57614" customFormat="1" x14ac:dyDescent="0.2"/>
    <row r="57615" customFormat="1" x14ac:dyDescent="0.2"/>
    <row r="57616" customFormat="1" x14ac:dyDescent="0.2"/>
    <row r="57617" customFormat="1" x14ac:dyDescent="0.2"/>
    <row r="57618" customFormat="1" x14ac:dyDescent="0.2"/>
    <row r="57619" customFormat="1" x14ac:dyDescent="0.2"/>
    <row r="57620" customFormat="1" x14ac:dyDescent="0.2"/>
    <row r="57621" customFormat="1" x14ac:dyDescent="0.2"/>
    <row r="57622" customFormat="1" x14ac:dyDescent="0.2"/>
    <row r="57623" customFormat="1" x14ac:dyDescent="0.2"/>
    <row r="57624" customFormat="1" x14ac:dyDescent="0.2"/>
    <row r="57625" customFormat="1" x14ac:dyDescent="0.2"/>
    <row r="57626" customFormat="1" x14ac:dyDescent="0.2"/>
    <row r="57627" customFormat="1" x14ac:dyDescent="0.2"/>
    <row r="57628" customFormat="1" x14ac:dyDescent="0.2"/>
    <row r="57629" customFormat="1" x14ac:dyDescent="0.2"/>
    <row r="57630" customFormat="1" x14ac:dyDescent="0.2"/>
    <row r="57631" customFormat="1" x14ac:dyDescent="0.2"/>
    <row r="57632" customFormat="1" x14ac:dyDescent="0.2"/>
    <row r="57633" customFormat="1" x14ac:dyDescent="0.2"/>
    <row r="57634" customFormat="1" x14ac:dyDescent="0.2"/>
    <row r="57635" customFormat="1" x14ac:dyDescent="0.2"/>
    <row r="57636" customFormat="1" x14ac:dyDescent="0.2"/>
    <row r="57637" customFormat="1" x14ac:dyDescent="0.2"/>
    <row r="57638" customFormat="1" x14ac:dyDescent="0.2"/>
    <row r="57639" customFormat="1" x14ac:dyDescent="0.2"/>
    <row r="57640" customFormat="1" x14ac:dyDescent="0.2"/>
    <row r="57641" customFormat="1" x14ac:dyDescent="0.2"/>
    <row r="57642" customFormat="1" x14ac:dyDescent="0.2"/>
    <row r="57643" customFormat="1" x14ac:dyDescent="0.2"/>
    <row r="57644" customFormat="1" x14ac:dyDescent="0.2"/>
    <row r="57645" customFormat="1" x14ac:dyDescent="0.2"/>
    <row r="57646" customFormat="1" x14ac:dyDescent="0.2"/>
    <row r="57647" customFormat="1" x14ac:dyDescent="0.2"/>
    <row r="57648" customFormat="1" x14ac:dyDescent="0.2"/>
    <row r="57649" customFormat="1" x14ac:dyDescent="0.2"/>
    <row r="57650" customFormat="1" x14ac:dyDescent="0.2"/>
    <row r="57651" customFormat="1" x14ac:dyDescent="0.2"/>
    <row r="57652" customFormat="1" x14ac:dyDescent="0.2"/>
    <row r="57653" customFormat="1" x14ac:dyDescent="0.2"/>
    <row r="57654" customFormat="1" x14ac:dyDescent="0.2"/>
    <row r="57655" customFormat="1" x14ac:dyDescent="0.2"/>
    <row r="57656" customFormat="1" x14ac:dyDescent="0.2"/>
    <row r="57657" customFormat="1" x14ac:dyDescent="0.2"/>
    <row r="57658" customFormat="1" x14ac:dyDescent="0.2"/>
    <row r="57659" customFormat="1" x14ac:dyDescent="0.2"/>
    <row r="57660" customFormat="1" x14ac:dyDescent="0.2"/>
    <row r="57661" customFormat="1" x14ac:dyDescent="0.2"/>
    <row r="57662" customFormat="1" x14ac:dyDescent="0.2"/>
    <row r="57663" customFormat="1" x14ac:dyDescent="0.2"/>
    <row r="57664" customFormat="1" x14ac:dyDescent="0.2"/>
    <row r="57665" customFormat="1" x14ac:dyDescent="0.2"/>
    <row r="57666" customFormat="1" x14ac:dyDescent="0.2"/>
    <row r="57667" customFormat="1" x14ac:dyDescent="0.2"/>
    <row r="57668" customFormat="1" x14ac:dyDescent="0.2"/>
    <row r="57669" customFormat="1" x14ac:dyDescent="0.2"/>
    <row r="57670" customFormat="1" x14ac:dyDescent="0.2"/>
    <row r="57671" customFormat="1" x14ac:dyDescent="0.2"/>
    <row r="57672" customFormat="1" x14ac:dyDescent="0.2"/>
    <row r="57673" customFormat="1" x14ac:dyDescent="0.2"/>
    <row r="57674" customFormat="1" x14ac:dyDescent="0.2"/>
    <row r="57675" customFormat="1" x14ac:dyDescent="0.2"/>
    <row r="57676" customFormat="1" x14ac:dyDescent="0.2"/>
    <row r="57677" customFormat="1" x14ac:dyDescent="0.2"/>
    <row r="57678" customFormat="1" x14ac:dyDescent="0.2"/>
    <row r="57679" customFormat="1" x14ac:dyDescent="0.2"/>
    <row r="57680" customFormat="1" x14ac:dyDescent="0.2"/>
    <row r="57681" customFormat="1" x14ac:dyDescent="0.2"/>
    <row r="57682" customFormat="1" x14ac:dyDescent="0.2"/>
    <row r="57683" customFormat="1" x14ac:dyDescent="0.2"/>
    <row r="57684" customFormat="1" x14ac:dyDescent="0.2"/>
    <row r="57685" customFormat="1" x14ac:dyDescent="0.2"/>
    <row r="57686" customFormat="1" x14ac:dyDescent="0.2"/>
    <row r="57687" customFormat="1" x14ac:dyDescent="0.2"/>
    <row r="57688" customFormat="1" x14ac:dyDescent="0.2"/>
    <row r="57689" customFormat="1" x14ac:dyDescent="0.2"/>
    <row r="57690" customFormat="1" x14ac:dyDescent="0.2"/>
    <row r="57691" customFormat="1" x14ac:dyDescent="0.2"/>
    <row r="57692" customFormat="1" x14ac:dyDescent="0.2"/>
    <row r="57693" customFormat="1" x14ac:dyDescent="0.2"/>
    <row r="57694" customFormat="1" x14ac:dyDescent="0.2"/>
    <row r="57695" customFormat="1" x14ac:dyDescent="0.2"/>
    <row r="57696" customFormat="1" x14ac:dyDescent="0.2"/>
    <row r="57697" customFormat="1" x14ac:dyDescent="0.2"/>
    <row r="57698" customFormat="1" x14ac:dyDescent="0.2"/>
    <row r="57699" customFormat="1" x14ac:dyDescent="0.2"/>
    <row r="57700" customFormat="1" x14ac:dyDescent="0.2"/>
    <row r="57701" customFormat="1" x14ac:dyDescent="0.2"/>
    <row r="57702" customFormat="1" x14ac:dyDescent="0.2"/>
    <row r="57703" customFormat="1" x14ac:dyDescent="0.2"/>
    <row r="57704" customFormat="1" x14ac:dyDescent="0.2"/>
    <row r="57705" customFormat="1" x14ac:dyDescent="0.2"/>
    <row r="57706" customFormat="1" x14ac:dyDescent="0.2"/>
    <row r="57707" customFormat="1" x14ac:dyDescent="0.2"/>
    <row r="57708" customFormat="1" x14ac:dyDescent="0.2"/>
    <row r="57709" customFormat="1" x14ac:dyDescent="0.2"/>
    <row r="57710" customFormat="1" x14ac:dyDescent="0.2"/>
    <row r="57711" customFormat="1" x14ac:dyDescent="0.2"/>
    <row r="57712" customFormat="1" x14ac:dyDescent="0.2"/>
    <row r="57713" customFormat="1" x14ac:dyDescent="0.2"/>
    <row r="57714" customFormat="1" x14ac:dyDescent="0.2"/>
    <row r="57715" customFormat="1" x14ac:dyDescent="0.2"/>
    <row r="57716" customFormat="1" x14ac:dyDescent="0.2"/>
    <row r="57717" customFormat="1" x14ac:dyDescent="0.2"/>
    <row r="57718" customFormat="1" x14ac:dyDescent="0.2"/>
    <row r="57719" customFormat="1" x14ac:dyDescent="0.2"/>
    <row r="57720" customFormat="1" x14ac:dyDescent="0.2"/>
    <row r="57721" customFormat="1" x14ac:dyDescent="0.2"/>
    <row r="57722" customFormat="1" x14ac:dyDescent="0.2"/>
    <row r="57723" customFormat="1" x14ac:dyDescent="0.2"/>
    <row r="57724" customFormat="1" x14ac:dyDescent="0.2"/>
    <row r="57725" customFormat="1" x14ac:dyDescent="0.2"/>
    <row r="57726" customFormat="1" x14ac:dyDescent="0.2"/>
    <row r="57727" customFormat="1" x14ac:dyDescent="0.2"/>
    <row r="57728" customFormat="1" x14ac:dyDescent="0.2"/>
    <row r="57729" customFormat="1" x14ac:dyDescent="0.2"/>
    <row r="57730" customFormat="1" x14ac:dyDescent="0.2"/>
    <row r="57731" customFormat="1" x14ac:dyDescent="0.2"/>
    <row r="57732" customFormat="1" x14ac:dyDescent="0.2"/>
    <row r="57733" customFormat="1" x14ac:dyDescent="0.2"/>
    <row r="57734" customFormat="1" x14ac:dyDescent="0.2"/>
    <row r="57735" customFormat="1" x14ac:dyDescent="0.2"/>
    <row r="57736" customFormat="1" x14ac:dyDescent="0.2"/>
    <row r="57737" customFormat="1" x14ac:dyDescent="0.2"/>
    <row r="57738" customFormat="1" x14ac:dyDescent="0.2"/>
    <row r="57739" customFormat="1" x14ac:dyDescent="0.2"/>
    <row r="57740" customFormat="1" x14ac:dyDescent="0.2"/>
    <row r="57741" customFormat="1" x14ac:dyDescent="0.2"/>
    <row r="57742" customFormat="1" x14ac:dyDescent="0.2"/>
    <row r="57743" customFormat="1" x14ac:dyDescent="0.2"/>
    <row r="57744" customFormat="1" x14ac:dyDescent="0.2"/>
    <row r="57745" customFormat="1" x14ac:dyDescent="0.2"/>
    <row r="57746" customFormat="1" x14ac:dyDescent="0.2"/>
    <row r="57747" customFormat="1" x14ac:dyDescent="0.2"/>
    <row r="57748" customFormat="1" x14ac:dyDescent="0.2"/>
    <row r="57749" customFormat="1" x14ac:dyDescent="0.2"/>
    <row r="57750" customFormat="1" x14ac:dyDescent="0.2"/>
    <row r="57751" customFormat="1" x14ac:dyDescent="0.2"/>
    <row r="57752" customFormat="1" x14ac:dyDescent="0.2"/>
    <row r="57753" customFormat="1" x14ac:dyDescent="0.2"/>
    <row r="57754" customFormat="1" x14ac:dyDescent="0.2"/>
    <row r="57755" customFormat="1" x14ac:dyDescent="0.2"/>
    <row r="57756" customFormat="1" x14ac:dyDescent="0.2"/>
    <row r="57757" customFormat="1" x14ac:dyDescent="0.2"/>
    <row r="57758" customFormat="1" x14ac:dyDescent="0.2"/>
    <row r="57759" customFormat="1" x14ac:dyDescent="0.2"/>
    <row r="57760" customFormat="1" x14ac:dyDescent="0.2"/>
    <row r="57761" customFormat="1" x14ac:dyDescent="0.2"/>
    <row r="57762" customFormat="1" x14ac:dyDescent="0.2"/>
    <row r="57763" customFormat="1" x14ac:dyDescent="0.2"/>
    <row r="57764" customFormat="1" x14ac:dyDescent="0.2"/>
    <row r="57765" customFormat="1" x14ac:dyDescent="0.2"/>
    <row r="57766" customFormat="1" x14ac:dyDescent="0.2"/>
    <row r="57767" customFormat="1" x14ac:dyDescent="0.2"/>
    <row r="57768" customFormat="1" x14ac:dyDescent="0.2"/>
    <row r="57769" customFormat="1" x14ac:dyDescent="0.2"/>
    <row r="57770" customFormat="1" x14ac:dyDescent="0.2"/>
    <row r="57771" customFormat="1" x14ac:dyDescent="0.2"/>
    <row r="57772" customFormat="1" x14ac:dyDescent="0.2"/>
    <row r="57773" customFormat="1" x14ac:dyDescent="0.2"/>
    <row r="57774" customFormat="1" x14ac:dyDescent="0.2"/>
    <row r="57775" customFormat="1" x14ac:dyDescent="0.2"/>
    <row r="57776" customFormat="1" x14ac:dyDescent="0.2"/>
    <row r="57777" customFormat="1" x14ac:dyDescent="0.2"/>
    <row r="57778" customFormat="1" x14ac:dyDescent="0.2"/>
    <row r="57779" customFormat="1" x14ac:dyDescent="0.2"/>
    <row r="57780" customFormat="1" x14ac:dyDescent="0.2"/>
    <row r="57781" customFormat="1" x14ac:dyDescent="0.2"/>
    <row r="57782" customFormat="1" x14ac:dyDescent="0.2"/>
    <row r="57783" customFormat="1" x14ac:dyDescent="0.2"/>
    <row r="57784" customFormat="1" x14ac:dyDescent="0.2"/>
    <row r="57785" customFormat="1" x14ac:dyDescent="0.2"/>
    <row r="57786" customFormat="1" x14ac:dyDescent="0.2"/>
    <row r="57787" customFormat="1" x14ac:dyDescent="0.2"/>
    <row r="57788" customFormat="1" x14ac:dyDescent="0.2"/>
    <row r="57789" customFormat="1" x14ac:dyDescent="0.2"/>
    <row r="57790" customFormat="1" x14ac:dyDescent="0.2"/>
    <row r="57791" customFormat="1" x14ac:dyDescent="0.2"/>
    <row r="57792" customFormat="1" x14ac:dyDescent="0.2"/>
    <row r="57793" customFormat="1" x14ac:dyDescent="0.2"/>
    <row r="57794" customFormat="1" x14ac:dyDescent="0.2"/>
    <row r="57795" customFormat="1" x14ac:dyDescent="0.2"/>
    <row r="57796" customFormat="1" x14ac:dyDescent="0.2"/>
    <row r="57797" customFormat="1" x14ac:dyDescent="0.2"/>
    <row r="57798" customFormat="1" x14ac:dyDescent="0.2"/>
    <row r="57799" customFormat="1" x14ac:dyDescent="0.2"/>
    <row r="57800" customFormat="1" x14ac:dyDescent="0.2"/>
    <row r="57801" customFormat="1" x14ac:dyDescent="0.2"/>
    <row r="57802" customFormat="1" x14ac:dyDescent="0.2"/>
    <row r="57803" customFormat="1" x14ac:dyDescent="0.2"/>
    <row r="57804" customFormat="1" x14ac:dyDescent="0.2"/>
    <row r="57805" customFormat="1" x14ac:dyDescent="0.2"/>
    <row r="57806" customFormat="1" x14ac:dyDescent="0.2"/>
    <row r="57807" customFormat="1" x14ac:dyDescent="0.2"/>
    <row r="57808" customFormat="1" x14ac:dyDescent="0.2"/>
    <row r="57809" customFormat="1" x14ac:dyDescent="0.2"/>
    <row r="57810" customFormat="1" x14ac:dyDescent="0.2"/>
    <row r="57811" customFormat="1" x14ac:dyDescent="0.2"/>
    <row r="57812" customFormat="1" x14ac:dyDescent="0.2"/>
    <row r="57813" customFormat="1" x14ac:dyDescent="0.2"/>
    <row r="57814" customFormat="1" x14ac:dyDescent="0.2"/>
    <row r="57815" customFormat="1" x14ac:dyDescent="0.2"/>
    <row r="57816" customFormat="1" x14ac:dyDescent="0.2"/>
    <row r="57817" customFormat="1" x14ac:dyDescent="0.2"/>
    <row r="57818" customFormat="1" x14ac:dyDescent="0.2"/>
    <row r="57819" customFormat="1" x14ac:dyDescent="0.2"/>
    <row r="57820" customFormat="1" x14ac:dyDescent="0.2"/>
    <row r="57821" customFormat="1" x14ac:dyDescent="0.2"/>
    <row r="57822" customFormat="1" x14ac:dyDescent="0.2"/>
    <row r="57823" customFormat="1" x14ac:dyDescent="0.2"/>
    <row r="57824" customFormat="1" x14ac:dyDescent="0.2"/>
    <row r="57825" customFormat="1" x14ac:dyDescent="0.2"/>
    <row r="57826" customFormat="1" x14ac:dyDescent="0.2"/>
    <row r="57827" customFormat="1" x14ac:dyDescent="0.2"/>
    <row r="57828" customFormat="1" x14ac:dyDescent="0.2"/>
    <row r="57829" customFormat="1" x14ac:dyDescent="0.2"/>
    <row r="57830" customFormat="1" x14ac:dyDescent="0.2"/>
    <row r="57831" customFormat="1" x14ac:dyDescent="0.2"/>
    <row r="57832" customFormat="1" x14ac:dyDescent="0.2"/>
    <row r="57833" customFormat="1" x14ac:dyDescent="0.2"/>
    <row r="57834" customFormat="1" x14ac:dyDescent="0.2"/>
    <row r="57835" customFormat="1" x14ac:dyDescent="0.2"/>
    <row r="57836" customFormat="1" x14ac:dyDescent="0.2"/>
    <row r="57837" customFormat="1" x14ac:dyDescent="0.2"/>
    <row r="57838" customFormat="1" x14ac:dyDescent="0.2"/>
    <row r="57839" customFormat="1" x14ac:dyDescent="0.2"/>
    <row r="57840" customFormat="1" x14ac:dyDescent="0.2"/>
    <row r="57841" customFormat="1" x14ac:dyDescent="0.2"/>
    <row r="57842" customFormat="1" x14ac:dyDescent="0.2"/>
    <row r="57843" customFormat="1" x14ac:dyDescent="0.2"/>
    <row r="57844" customFormat="1" x14ac:dyDescent="0.2"/>
    <row r="57845" customFormat="1" x14ac:dyDescent="0.2"/>
    <row r="57846" customFormat="1" x14ac:dyDescent="0.2"/>
    <row r="57847" customFormat="1" x14ac:dyDescent="0.2"/>
    <row r="57848" customFormat="1" x14ac:dyDescent="0.2"/>
    <row r="57849" customFormat="1" x14ac:dyDescent="0.2"/>
    <row r="57850" customFormat="1" x14ac:dyDescent="0.2"/>
    <row r="57851" customFormat="1" x14ac:dyDescent="0.2"/>
    <row r="57852" customFormat="1" x14ac:dyDescent="0.2"/>
    <row r="57853" customFormat="1" x14ac:dyDescent="0.2"/>
    <row r="57854" customFormat="1" x14ac:dyDescent="0.2"/>
    <row r="57855" customFormat="1" x14ac:dyDescent="0.2"/>
    <row r="57856" customFormat="1" x14ac:dyDescent="0.2"/>
    <row r="57857" customFormat="1" x14ac:dyDescent="0.2"/>
    <row r="57858" customFormat="1" x14ac:dyDescent="0.2"/>
    <row r="57859" customFormat="1" x14ac:dyDescent="0.2"/>
    <row r="57860" customFormat="1" x14ac:dyDescent="0.2"/>
    <row r="57861" customFormat="1" x14ac:dyDescent="0.2"/>
    <row r="57862" customFormat="1" x14ac:dyDescent="0.2"/>
    <row r="57863" customFormat="1" x14ac:dyDescent="0.2"/>
    <row r="57864" customFormat="1" x14ac:dyDescent="0.2"/>
    <row r="57865" customFormat="1" x14ac:dyDescent="0.2"/>
    <row r="57866" customFormat="1" x14ac:dyDescent="0.2"/>
    <row r="57867" customFormat="1" x14ac:dyDescent="0.2"/>
    <row r="57868" customFormat="1" x14ac:dyDescent="0.2"/>
    <row r="57869" customFormat="1" x14ac:dyDescent="0.2"/>
    <row r="57870" customFormat="1" x14ac:dyDescent="0.2"/>
    <row r="57871" customFormat="1" x14ac:dyDescent="0.2"/>
    <row r="57872" customFormat="1" x14ac:dyDescent="0.2"/>
    <row r="57873" customFormat="1" x14ac:dyDescent="0.2"/>
    <row r="57874" customFormat="1" x14ac:dyDescent="0.2"/>
    <row r="57875" customFormat="1" x14ac:dyDescent="0.2"/>
    <row r="57876" customFormat="1" x14ac:dyDescent="0.2"/>
    <row r="57877" customFormat="1" x14ac:dyDescent="0.2"/>
    <row r="57878" customFormat="1" x14ac:dyDescent="0.2"/>
    <row r="57879" customFormat="1" x14ac:dyDescent="0.2"/>
    <row r="57880" customFormat="1" x14ac:dyDescent="0.2"/>
    <row r="57881" customFormat="1" x14ac:dyDescent="0.2"/>
    <row r="57882" customFormat="1" x14ac:dyDescent="0.2"/>
    <row r="57883" customFormat="1" x14ac:dyDescent="0.2"/>
    <row r="57884" customFormat="1" x14ac:dyDescent="0.2"/>
    <row r="57885" customFormat="1" x14ac:dyDescent="0.2"/>
    <row r="57886" customFormat="1" x14ac:dyDescent="0.2"/>
    <row r="57887" customFormat="1" x14ac:dyDescent="0.2"/>
    <row r="57888" customFormat="1" x14ac:dyDescent="0.2"/>
    <row r="57889" customFormat="1" x14ac:dyDescent="0.2"/>
    <row r="57890" customFormat="1" x14ac:dyDescent="0.2"/>
    <row r="57891" customFormat="1" x14ac:dyDescent="0.2"/>
    <row r="57892" customFormat="1" x14ac:dyDescent="0.2"/>
    <row r="57893" customFormat="1" x14ac:dyDescent="0.2"/>
    <row r="57894" customFormat="1" x14ac:dyDescent="0.2"/>
    <row r="57895" customFormat="1" x14ac:dyDescent="0.2"/>
    <row r="57896" customFormat="1" x14ac:dyDescent="0.2"/>
    <row r="57897" customFormat="1" x14ac:dyDescent="0.2"/>
    <row r="57898" customFormat="1" x14ac:dyDescent="0.2"/>
    <row r="57899" customFormat="1" x14ac:dyDescent="0.2"/>
    <row r="57900" customFormat="1" x14ac:dyDescent="0.2"/>
    <row r="57901" customFormat="1" x14ac:dyDescent="0.2"/>
    <row r="57902" customFormat="1" x14ac:dyDescent="0.2"/>
    <row r="57903" customFormat="1" x14ac:dyDescent="0.2"/>
    <row r="57904" customFormat="1" x14ac:dyDescent="0.2"/>
    <row r="57905" customFormat="1" x14ac:dyDescent="0.2"/>
    <row r="57906" customFormat="1" x14ac:dyDescent="0.2"/>
    <row r="57907" customFormat="1" x14ac:dyDescent="0.2"/>
    <row r="57908" customFormat="1" x14ac:dyDescent="0.2"/>
    <row r="57909" customFormat="1" x14ac:dyDescent="0.2"/>
    <row r="57910" customFormat="1" x14ac:dyDescent="0.2"/>
    <row r="57911" customFormat="1" x14ac:dyDescent="0.2"/>
    <row r="57912" customFormat="1" x14ac:dyDescent="0.2"/>
    <row r="57913" customFormat="1" x14ac:dyDescent="0.2"/>
    <row r="57914" customFormat="1" x14ac:dyDescent="0.2"/>
    <row r="57915" customFormat="1" x14ac:dyDescent="0.2"/>
    <row r="57916" customFormat="1" x14ac:dyDescent="0.2"/>
    <row r="57917" customFormat="1" x14ac:dyDescent="0.2"/>
    <row r="57918" customFormat="1" x14ac:dyDescent="0.2"/>
    <row r="57919" customFormat="1" x14ac:dyDescent="0.2"/>
    <row r="57920" customFormat="1" x14ac:dyDescent="0.2"/>
    <row r="57921" customFormat="1" x14ac:dyDescent="0.2"/>
    <row r="57922" customFormat="1" x14ac:dyDescent="0.2"/>
    <row r="57923" customFormat="1" x14ac:dyDescent="0.2"/>
    <row r="57924" customFormat="1" x14ac:dyDescent="0.2"/>
    <row r="57925" customFormat="1" x14ac:dyDescent="0.2"/>
    <row r="57926" customFormat="1" x14ac:dyDescent="0.2"/>
    <row r="57927" customFormat="1" x14ac:dyDescent="0.2"/>
    <row r="57928" customFormat="1" x14ac:dyDescent="0.2"/>
    <row r="57929" customFormat="1" x14ac:dyDescent="0.2"/>
    <row r="57930" customFormat="1" x14ac:dyDescent="0.2"/>
    <row r="57931" customFormat="1" x14ac:dyDescent="0.2"/>
    <row r="57932" customFormat="1" x14ac:dyDescent="0.2"/>
    <row r="57933" customFormat="1" x14ac:dyDescent="0.2"/>
    <row r="57934" customFormat="1" x14ac:dyDescent="0.2"/>
    <row r="57935" customFormat="1" x14ac:dyDescent="0.2"/>
    <row r="57936" customFormat="1" x14ac:dyDescent="0.2"/>
    <row r="57937" customFormat="1" x14ac:dyDescent="0.2"/>
    <row r="57938" customFormat="1" x14ac:dyDescent="0.2"/>
    <row r="57939" customFormat="1" x14ac:dyDescent="0.2"/>
    <row r="57940" customFormat="1" x14ac:dyDescent="0.2"/>
    <row r="57941" customFormat="1" x14ac:dyDescent="0.2"/>
    <row r="57942" customFormat="1" x14ac:dyDescent="0.2"/>
    <row r="57943" customFormat="1" x14ac:dyDescent="0.2"/>
    <row r="57944" customFormat="1" x14ac:dyDescent="0.2"/>
    <row r="57945" customFormat="1" x14ac:dyDescent="0.2"/>
    <row r="57946" customFormat="1" x14ac:dyDescent="0.2"/>
    <row r="57947" customFormat="1" x14ac:dyDescent="0.2"/>
    <row r="57948" customFormat="1" x14ac:dyDescent="0.2"/>
    <row r="57949" customFormat="1" x14ac:dyDescent="0.2"/>
    <row r="57950" customFormat="1" x14ac:dyDescent="0.2"/>
    <row r="57951" customFormat="1" x14ac:dyDescent="0.2"/>
    <row r="57952" customFormat="1" x14ac:dyDescent="0.2"/>
    <row r="57953" customFormat="1" x14ac:dyDescent="0.2"/>
    <row r="57954" customFormat="1" x14ac:dyDescent="0.2"/>
    <row r="57955" customFormat="1" x14ac:dyDescent="0.2"/>
    <row r="57956" customFormat="1" x14ac:dyDescent="0.2"/>
    <row r="57957" customFormat="1" x14ac:dyDescent="0.2"/>
    <row r="57958" customFormat="1" x14ac:dyDescent="0.2"/>
    <row r="57959" customFormat="1" x14ac:dyDescent="0.2"/>
    <row r="57960" customFormat="1" x14ac:dyDescent="0.2"/>
    <row r="57961" customFormat="1" x14ac:dyDescent="0.2"/>
    <row r="57962" customFormat="1" x14ac:dyDescent="0.2"/>
    <row r="57963" customFormat="1" x14ac:dyDescent="0.2"/>
    <row r="57964" customFormat="1" x14ac:dyDescent="0.2"/>
    <row r="57965" customFormat="1" x14ac:dyDescent="0.2"/>
    <row r="57966" customFormat="1" x14ac:dyDescent="0.2"/>
    <row r="57967" customFormat="1" x14ac:dyDescent="0.2"/>
    <row r="57968" customFormat="1" x14ac:dyDescent="0.2"/>
    <row r="57969" customFormat="1" x14ac:dyDescent="0.2"/>
    <row r="57970" customFormat="1" x14ac:dyDescent="0.2"/>
    <row r="57971" customFormat="1" x14ac:dyDescent="0.2"/>
    <row r="57972" customFormat="1" x14ac:dyDescent="0.2"/>
    <row r="57973" customFormat="1" x14ac:dyDescent="0.2"/>
    <row r="57974" customFormat="1" x14ac:dyDescent="0.2"/>
    <row r="57975" customFormat="1" x14ac:dyDescent="0.2"/>
    <row r="57976" customFormat="1" x14ac:dyDescent="0.2"/>
    <row r="57977" customFormat="1" x14ac:dyDescent="0.2"/>
    <row r="57978" customFormat="1" x14ac:dyDescent="0.2"/>
    <row r="57979" customFormat="1" x14ac:dyDescent="0.2"/>
    <row r="57980" customFormat="1" x14ac:dyDescent="0.2"/>
    <row r="57981" customFormat="1" x14ac:dyDescent="0.2"/>
    <row r="57982" customFormat="1" x14ac:dyDescent="0.2"/>
    <row r="57983" customFormat="1" x14ac:dyDescent="0.2"/>
    <row r="57984" customFormat="1" x14ac:dyDescent="0.2"/>
    <row r="57985" customFormat="1" x14ac:dyDescent="0.2"/>
    <row r="57986" customFormat="1" x14ac:dyDescent="0.2"/>
    <row r="57987" customFormat="1" x14ac:dyDescent="0.2"/>
    <row r="57988" customFormat="1" x14ac:dyDescent="0.2"/>
    <row r="57989" customFormat="1" x14ac:dyDescent="0.2"/>
    <row r="57990" customFormat="1" x14ac:dyDescent="0.2"/>
    <row r="57991" customFormat="1" x14ac:dyDescent="0.2"/>
    <row r="57992" customFormat="1" x14ac:dyDescent="0.2"/>
    <row r="57993" customFormat="1" x14ac:dyDescent="0.2"/>
    <row r="57994" customFormat="1" x14ac:dyDescent="0.2"/>
    <row r="57995" customFormat="1" x14ac:dyDescent="0.2"/>
    <row r="57996" customFormat="1" x14ac:dyDescent="0.2"/>
    <row r="57997" customFormat="1" x14ac:dyDescent="0.2"/>
    <row r="57998" customFormat="1" x14ac:dyDescent="0.2"/>
    <row r="57999" customFormat="1" x14ac:dyDescent="0.2"/>
    <row r="58000" customFormat="1" x14ac:dyDescent="0.2"/>
    <row r="58001" customFormat="1" x14ac:dyDescent="0.2"/>
    <row r="58002" customFormat="1" x14ac:dyDescent="0.2"/>
    <row r="58003" customFormat="1" x14ac:dyDescent="0.2"/>
    <row r="58004" customFormat="1" x14ac:dyDescent="0.2"/>
    <row r="58005" customFormat="1" x14ac:dyDescent="0.2"/>
    <row r="58006" customFormat="1" x14ac:dyDescent="0.2"/>
    <row r="58007" customFormat="1" x14ac:dyDescent="0.2"/>
    <row r="58008" customFormat="1" x14ac:dyDescent="0.2"/>
    <row r="58009" customFormat="1" x14ac:dyDescent="0.2"/>
    <row r="58010" customFormat="1" x14ac:dyDescent="0.2"/>
    <row r="58011" customFormat="1" x14ac:dyDescent="0.2"/>
    <row r="58012" customFormat="1" x14ac:dyDescent="0.2"/>
    <row r="58013" customFormat="1" x14ac:dyDescent="0.2"/>
    <row r="58014" customFormat="1" x14ac:dyDescent="0.2"/>
    <row r="58015" customFormat="1" x14ac:dyDescent="0.2"/>
    <row r="58016" customFormat="1" x14ac:dyDescent="0.2"/>
    <row r="58017" customFormat="1" x14ac:dyDescent="0.2"/>
    <row r="58018" customFormat="1" x14ac:dyDescent="0.2"/>
    <row r="58019" customFormat="1" x14ac:dyDescent="0.2"/>
    <row r="58020" customFormat="1" x14ac:dyDescent="0.2"/>
    <row r="58021" customFormat="1" x14ac:dyDescent="0.2"/>
    <row r="58022" customFormat="1" x14ac:dyDescent="0.2"/>
    <row r="58023" customFormat="1" x14ac:dyDescent="0.2"/>
    <row r="58024" customFormat="1" x14ac:dyDescent="0.2"/>
    <row r="58025" customFormat="1" x14ac:dyDescent="0.2"/>
    <row r="58026" customFormat="1" x14ac:dyDescent="0.2"/>
    <row r="58027" customFormat="1" x14ac:dyDescent="0.2"/>
    <row r="58028" customFormat="1" x14ac:dyDescent="0.2"/>
    <row r="58029" customFormat="1" x14ac:dyDescent="0.2"/>
    <row r="58030" customFormat="1" x14ac:dyDescent="0.2"/>
    <row r="58031" customFormat="1" x14ac:dyDescent="0.2"/>
    <row r="58032" customFormat="1" x14ac:dyDescent="0.2"/>
    <row r="58033" customFormat="1" x14ac:dyDescent="0.2"/>
    <row r="58034" customFormat="1" x14ac:dyDescent="0.2"/>
    <row r="58035" customFormat="1" x14ac:dyDescent="0.2"/>
    <row r="58036" customFormat="1" x14ac:dyDescent="0.2"/>
    <row r="58037" customFormat="1" x14ac:dyDescent="0.2"/>
    <row r="58038" customFormat="1" x14ac:dyDescent="0.2"/>
    <row r="58039" customFormat="1" x14ac:dyDescent="0.2"/>
    <row r="58040" customFormat="1" x14ac:dyDescent="0.2"/>
    <row r="58041" customFormat="1" x14ac:dyDescent="0.2"/>
    <row r="58042" customFormat="1" x14ac:dyDescent="0.2"/>
    <row r="58043" customFormat="1" x14ac:dyDescent="0.2"/>
    <row r="58044" customFormat="1" x14ac:dyDescent="0.2"/>
    <row r="58045" customFormat="1" x14ac:dyDescent="0.2"/>
    <row r="58046" customFormat="1" x14ac:dyDescent="0.2"/>
    <row r="58047" customFormat="1" x14ac:dyDescent="0.2"/>
    <row r="58048" customFormat="1" x14ac:dyDescent="0.2"/>
    <row r="58049" customFormat="1" x14ac:dyDescent="0.2"/>
    <row r="58050" customFormat="1" x14ac:dyDescent="0.2"/>
    <row r="58051" customFormat="1" x14ac:dyDescent="0.2"/>
    <row r="58052" customFormat="1" x14ac:dyDescent="0.2"/>
    <row r="58053" customFormat="1" x14ac:dyDescent="0.2"/>
    <row r="58054" customFormat="1" x14ac:dyDescent="0.2"/>
    <row r="58055" customFormat="1" x14ac:dyDescent="0.2"/>
    <row r="58056" customFormat="1" x14ac:dyDescent="0.2"/>
    <row r="58057" customFormat="1" x14ac:dyDescent="0.2"/>
    <row r="58058" customFormat="1" x14ac:dyDescent="0.2"/>
    <row r="58059" customFormat="1" x14ac:dyDescent="0.2"/>
    <row r="58060" customFormat="1" x14ac:dyDescent="0.2"/>
    <row r="58061" customFormat="1" x14ac:dyDescent="0.2"/>
    <row r="58062" customFormat="1" x14ac:dyDescent="0.2"/>
    <row r="58063" customFormat="1" x14ac:dyDescent="0.2"/>
    <row r="58064" customFormat="1" x14ac:dyDescent="0.2"/>
    <row r="58065" customFormat="1" x14ac:dyDescent="0.2"/>
    <row r="58066" customFormat="1" x14ac:dyDescent="0.2"/>
    <row r="58067" customFormat="1" x14ac:dyDescent="0.2"/>
    <row r="58068" customFormat="1" x14ac:dyDescent="0.2"/>
    <row r="58069" customFormat="1" x14ac:dyDescent="0.2"/>
    <row r="58070" customFormat="1" x14ac:dyDescent="0.2"/>
    <row r="58071" customFormat="1" x14ac:dyDescent="0.2"/>
    <row r="58072" customFormat="1" x14ac:dyDescent="0.2"/>
    <row r="58073" customFormat="1" x14ac:dyDescent="0.2"/>
    <row r="58074" customFormat="1" x14ac:dyDescent="0.2"/>
    <row r="58075" customFormat="1" x14ac:dyDescent="0.2"/>
    <row r="58076" customFormat="1" x14ac:dyDescent="0.2"/>
    <row r="58077" customFormat="1" x14ac:dyDescent="0.2"/>
    <row r="58078" customFormat="1" x14ac:dyDescent="0.2"/>
    <row r="58079" customFormat="1" x14ac:dyDescent="0.2"/>
    <row r="58080" customFormat="1" x14ac:dyDescent="0.2"/>
    <row r="58081" customFormat="1" x14ac:dyDescent="0.2"/>
    <row r="58082" customFormat="1" x14ac:dyDescent="0.2"/>
    <row r="58083" customFormat="1" x14ac:dyDescent="0.2"/>
    <row r="58084" customFormat="1" x14ac:dyDescent="0.2"/>
    <row r="58085" customFormat="1" x14ac:dyDescent="0.2"/>
    <row r="58086" customFormat="1" x14ac:dyDescent="0.2"/>
    <row r="58087" customFormat="1" x14ac:dyDescent="0.2"/>
    <row r="58088" customFormat="1" x14ac:dyDescent="0.2"/>
    <row r="58089" customFormat="1" x14ac:dyDescent="0.2"/>
    <row r="58090" customFormat="1" x14ac:dyDescent="0.2"/>
    <row r="58091" customFormat="1" x14ac:dyDescent="0.2"/>
    <row r="58092" customFormat="1" x14ac:dyDescent="0.2"/>
    <row r="58093" customFormat="1" x14ac:dyDescent="0.2"/>
    <row r="58094" customFormat="1" x14ac:dyDescent="0.2"/>
    <row r="58095" customFormat="1" x14ac:dyDescent="0.2"/>
    <row r="58096" customFormat="1" x14ac:dyDescent="0.2"/>
    <row r="58097" customFormat="1" x14ac:dyDescent="0.2"/>
    <row r="58098" customFormat="1" x14ac:dyDescent="0.2"/>
    <row r="58099" customFormat="1" x14ac:dyDescent="0.2"/>
    <row r="58100" customFormat="1" x14ac:dyDescent="0.2"/>
    <row r="58101" customFormat="1" x14ac:dyDescent="0.2"/>
    <row r="58102" customFormat="1" x14ac:dyDescent="0.2"/>
    <row r="58103" customFormat="1" x14ac:dyDescent="0.2"/>
    <row r="58104" customFormat="1" x14ac:dyDescent="0.2"/>
    <row r="58105" customFormat="1" x14ac:dyDescent="0.2"/>
    <row r="58106" customFormat="1" x14ac:dyDescent="0.2"/>
    <row r="58107" customFormat="1" x14ac:dyDescent="0.2"/>
    <row r="58108" customFormat="1" x14ac:dyDescent="0.2"/>
    <row r="58109" customFormat="1" x14ac:dyDescent="0.2"/>
    <row r="58110" customFormat="1" x14ac:dyDescent="0.2"/>
    <row r="58111" customFormat="1" x14ac:dyDescent="0.2"/>
    <row r="58112" customFormat="1" x14ac:dyDescent="0.2"/>
    <row r="58113" customFormat="1" x14ac:dyDescent="0.2"/>
    <row r="58114" customFormat="1" x14ac:dyDescent="0.2"/>
    <row r="58115" customFormat="1" x14ac:dyDescent="0.2"/>
    <row r="58116" customFormat="1" x14ac:dyDescent="0.2"/>
    <row r="58117" customFormat="1" x14ac:dyDescent="0.2"/>
    <row r="58118" customFormat="1" x14ac:dyDescent="0.2"/>
    <row r="58119" customFormat="1" x14ac:dyDescent="0.2"/>
    <row r="58120" customFormat="1" x14ac:dyDescent="0.2"/>
    <row r="58121" customFormat="1" x14ac:dyDescent="0.2"/>
    <row r="58122" customFormat="1" x14ac:dyDescent="0.2"/>
    <row r="58123" customFormat="1" x14ac:dyDescent="0.2"/>
    <row r="58124" customFormat="1" x14ac:dyDescent="0.2"/>
    <row r="58125" customFormat="1" x14ac:dyDescent="0.2"/>
    <row r="58126" customFormat="1" x14ac:dyDescent="0.2"/>
    <row r="58127" customFormat="1" x14ac:dyDescent="0.2"/>
    <row r="58128" customFormat="1" x14ac:dyDescent="0.2"/>
    <row r="58129" customFormat="1" x14ac:dyDescent="0.2"/>
    <row r="58130" customFormat="1" x14ac:dyDescent="0.2"/>
    <row r="58131" customFormat="1" x14ac:dyDescent="0.2"/>
    <row r="58132" customFormat="1" x14ac:dyDescent="0.2"/>
    <row r="58133" customFormat="1" x14ac:dyDescent="0.2"/>
    <row r="58134" customFormat="1" x14ac:dyDescent="0.2"/>
    <row r="58135" customFormat="1" x14ac:dyDescent="0.2"/>
    <row r="58136" customFormat="1" x14ac:dyDescent="0.2"/>
    <row r="58137" customFormat="1" x14ac:dyDescent="0.2"/>
    <row r="58138" customFormat="1" x14ac:dyDescent="0.2"/>
    <row r="58139" customFormat="1" x14ac:dyDescent="0.2"/>
    <row r="58140" customFormat="1" x14ac:dyDescent="0.2"/>
    <row r="58141" customFormat="1" x14ac:dyDescent="0.2"/>
    <row r="58142" customFormat="1" x14ac:dyDescent="0.2"/>
    <row r="58143" customFormat="1" x14ac:dyDescent="0.2"/>
    <row r="58144" customFormat="1" x14ac:dyDescent="0.2"/>
    <row r="58145" customFormat="1" x14ac:dyDescent="0.2"/>
    <row r="58146" customFormat="1" x14ac:dyDescent="0.2"/>
    <row r="58147" customFormat="1" x14ac:dyDescent="0.2"/>
    <row r="58148" customFormat="1" x14ac:dyDescent="0.2"/>
    <row r="58149" customFormat="1" x14ac:dyDescent="0.2"/>
    <row r="58150" customFormat="1" x14ac:dyDescent="0.2"/>
    <row r="58151" customFormat="1" x14ac:dyDescent="0.2"/>
    <row r="58152" customFormat="1" x14ac:dyDescent="0.2"/>
    <row r="58153" customFormat="1" x14ac:dyDescent="0.2"/>
    <row r="58154" customFormat="1" x14ac:dyDescent="0.2"/>
    <row r="58155" customFormat="1" x14ac:dyDescent="0.2"/>
    <row r="58156" customFormat="1" x14ac:dyDescent="0.2"/>
    <row r="58157" customFormat="1" x14ac:dyDescent="0.2"/>
    <row r="58158" customFormat="1" x14ac:dyDescent="0.2"/>
    <row r="58159" customFormat="1" x14ac:dyDescent="0.2"/>
    <row r="58160" customFormat="1" x14ac:dyDescent="0.2"/>
    <row r="58161" customFormat="1" x14ac:dyDescent="0.2"/>
    <row r="58162" customFormat="1" x14ac:dyDescent="0.2"/>
    <row r="58163" customFormat="1" x14ac:dyDescent="0.2"/>
    <row r="58164" customFormat="1" x14ac:dyDescent="0.2"/>
    <row r="58165" customFormat="1" x14ac:dyDescent="0.2"/>
    <row r="58166" customFormat="1" x14ac:dyDescent="0.2"/>
    <row r="58167" customFormat="1" x14ac:dyDescent="0.2"/>
    <row r="58168" customFormat="1" x14ac:dyDescent="0.2"/>
    <row r="58169" customFormat="1" x14ac:dyDescent="0.2"/>
    <row r="58170" customFormat="1" x14ac:dyDescent="0.2"/>
    <row r="58171" customFormat="1" x14ac:dyDescent="0.2"/>
    <row r="58172" customFormat="1" x14ac:dyDescent="0.2"/>
    <row r="58173" customFormat="1" x14ac:dyDescent="0.2"/>
    <row r="58174" customFormat="1" x14ac:dyDescent="0.2"/>
    <row r="58175" customFormat="1" x14ac:dyDescent="0.2"/>
    <row r="58176" customFormat="1" x14ac:dyDescent="0.2"/>
    <row r="58177" customFormat="1" x14ac:dyDescent="0.2"/>
    <row r="58178" customFormat="1" x14ac:dyDescent="0.2"/>
    <row r="58179" customFormat="1" x14ac:dyDescent="0.2"/>
    <row r="58180" customFormat="1" x14ac:dyDescent="0.2"/>
    <row r="58181" customFormat="1" x14ac:dyDescent="0.2"/>
    <row r="58182" customFormat="1" x14ac:dyDescent="0.2"/>
    <row r="58183" customFormat="1" x14ac:dyDescent="0.2"/>
    <row r="58184" customFormat="1" x14ac:dyDescent="0.2"/>
    <row r="58185" customFormat="1" x14ac:dyDescent="0.2"/>
    <row r="58186" customFormat="1" x14ac:dyDescent="0.2"/>
    <row r="58187" customFormat="1" x14ac:dyDescent="0.2"/>
    <row r="58188" customFormat="1" x14ac:dyDescent="0.2"/>
    <row r="58189" customFormat="1" x14ac:dyDescent="0.2"/>
    <row r="58190" customFormat="1" x14ac:dyDescent="0.2"/>
    <row r="58191" customFormat="1" x14ac:dyDescent="0.2"/>
    <row r="58192" customFormat="1" x14ac:dyDescent="0.2"/>
    <row r="58193" customFormat="1" x14ac:dyDescent="0.2"/>
    <row r="58194" customFormat="1" x14ac:dyDescent="0.2"/>
    <row r="58195" customFormat="1" x14ac:dyDescent="0.2"/>
    <row r="58196" customFormat="1" x14ac:dyDescent="0.2"/>
    <row r="58197" customFormat="1" x14ac:dyDescent="0.2"/>
    <row r="58198" customFormat="1" x14ac:dyDescent="0.2"/>
    <row r="58199" customFormat="1" x14ac:dyDescent="0.2"/>
    <row r="58200" customFormat="1" x14ac:dyDescent="0.2"/>
    <row r="58201" customFormat="1" x14ac:dyDescent="0.2"/>
    <row r="58202" customFormat="1" x14ac:dyDescent="0.2"/>
    <row r="58203" customFormat="1" x14ac:dyDescent="0.2"/>
    <row r="58204" customFormat="1" x14ac:dyDescent="0.2"/>
    <row r="58205" customFormat="1" x14ac:dyDescent="0.2"/>
    <row r="58206" customFormat="1" x14ac:dyDescent="0.2"/>
    <row r="58207" customFormat="1" x14ac:dyDescent="0.2"/>
    <row r="58208" customFormat="1" x14ac:dyDescent="0.2"/>
    <row r="58209" customFormat="1" x14ac:dyDescent="0.2"/>
    <row r="58210" customFormat="1" x14ac:dyDescent="0.2"/>
    <row r="58211" customFormat="1" x14ac:dyDescent="0.2"/>
    <row r="58212" customFormat="1" x14ac:dyDescent="0.2"/>
    <row r="58213" customFormat="1" x14ac:dyDescent="0.2"/>
    <row r="58214" customFormat="1" x14ac:dyDescent="0.2"/>
    <row r="58215" customFormat="1" x14ac:dyDescent="0.2"/>
    <row r="58216" customFormat="1" x14ac:dyDescent="0.2"/>
    <row r="58217" customFormat="1" x14ac:dyDescent="0.2"/>
    <row r="58218" customFormat="1" x14ac:dyDescent="0.2"/>
    <row r="58219" customFormat="1" x14ac:dyDescent="0.2"/>
    <row r="58220" customFormat="1" x14ac:dyDescent="0.2"/>
    <row r="58221" customFormat="1" x14ac:dyDescent="0.2"/>
    <row r="58222" customFormat="1" x14ac:dyDescent="0.2"/>
    <row r="58223" customFormat="1" x14ac:dyDescent="0.2"/>
    <row r="58224" customFormat="1" x14ac:dyDescent="0.2"/>
    <row r="58225" customFormat="1" x14ac:dyDescent="0.2"/>
    <row r="58226" customFormat="1" x14ac:dyDescent="0.2"/>
    <row r="58227" customFormat="1" x14ac:dyDescent="0.2"/>
    <row r="58228" customFormat="1" x14ac:dyDescent="0.2"/>
    <row r="58229" customFormat="1" x14ac:dyDescent="0.2"/>
    <row r="58230" customFormat="1" x14ac:dyDescent="0.2"/>
    <row r="58231" customFormat="1" x14ac:dyDescent="0.2"/>
    <row r="58232" customFormat="1" x14ac:dyDescent="0.2"/>
    <row r="58233" customFormat="1" x14ac:dyDescent="0.2"/>
    <row r="58234" customFormat="1" x14ac:dyDescent="0.2"/>
    <row r="58235" customFormat="1" x14ac:dyDescent="0.2"/>
    <row r="58236" customFormat="1" x14ac:dyDescent="0.2"/>
    <row r="58237" customFormat="1" x14ac:dyDescent="0.2"/>
    <row r="58238" customFormat="1" x14ac:dyDescent="0.2"/>
    <row r="58239" customFormat="1" x14ac:dyDescent="0.2"/>
    <row r="58240" customFormat="1" x14ac:dyDescent="0.2"/>
    <row r="58241" customFormat="1" x14ac:dyDescent="0.2"/>
    <row r="58242" customFormat="1" x14ac:dyDescent="0.2"/>
    <row r="58243" customFormat="1" x14ac:dyDescent="0.2"/>
    <row r="58244" customFormat="1" x14ac:dyDescent="0.2"/>
    <row r="58245" customFormat="1" x14ac:dyDescent="0.2"/>
    <row r="58246" customFormat="1" x14ac:dyDescent="0.2"/>
    <row r="58247" customFormat="1" x14ac:dyDescent="0.2"/>
    <row r="58248" customFormat="1" x14ac:dyDescent="0.2"/>
    <row r="58249" customFormat="1" x14ac:dyDescent="0.2"/>
    <row r="58250" customFormat="1" x14ac:dyDescent="0.2"/>
    <row r="58251" customFormat="1" x14ac:dyDescent="0.2"/>
    <row r="58252" customFormat="1" x14ac:dyDescent="0.2"/>
    <row r="58253" customFormat="1" x14ac:dyDescent="0.2"/>
    <row r="58254" customFormat="1" x14ac:dyDescent="0.2"/>
    <row r="58255" customFormat="1" x14ac:dyDescent="0.2"/>
    <row r="58256" customFormat="1" x14ac:dyDescent="0.2"/>
    <row r="58257" customFormat="1" x14ac:dyDescent="0.2"/>
    <row r="58258" customFormat="1" x14ac:dyDescent="0.2"/>
    <row r="58259" customFormat="1" x14ac:dyDescent="0.2"/>
    <row r="58260" customFormat="1" x14ac:dyDescent="0.2"/>
    <row r="58261" customFormat="1" x14ac:dyDescent="0.2"/>
    <row r="58262" customFormat="1" x14ac:dyDescent="0.2"/>
    <row r="58263" customFormat="1" x14ac:dyDescent="0.2"/>
    <row r="58264" customFormat="1" x14ac:dyDescent="0.2"/>
    <row r="58265" customFormat="1" x14ac:dyDescent="0.2"/>
    <row r="58266" customFormat="1" x14ac:dyDescent="0.2"/>
    <row r="58267" customFormat="1" x14ac:dyDescent="0.2"/>
    <row r="58268" customFormat="1" x14ac:dyDescent="0.2"/>
    <row r="58269" customFormat="1" x14ac:dyDescent="0.2"/>
    <row r="58270" customFormat="1" x14ac:dyDescent="0.2"/>
    <row r="58271" customFormat="1" x14ac:dyDescent="0.2"/>
    <row r="58272" customFormat="1" x14ac:dyDescent="0.2"/>
    <row r="58273" customFormat="1" x14ac:dyDescent="0.2"/>
    <row r="58274" customFormat="1" x14ac:dyDescent="0.2"/>
    <row r="58275" customFormat="1" x14ac:dyDescent="0.2"/>
    <row r="58276" customFormat="1" x14ac:dyDescent="0.2"/>
    <row r="58277" customFormat="1" x14ac:dyDescent="0.2"/>
    <row r="58278" customFormat="1" x14ac:dyDescent="0.2"/>
    <row r="58279" customFormat="1" x14ac:dyDescent="0.2"/>
    <row r="58280" customFormat="1" x14ac:dyDescent="0.2"/>
    <row r="58281" customFormat="1" x14ac:dyDescent="0.2"/>
    <row r="58282" customFormat="1" x14ac:dyDescent="0.2"/>
    <row r="58283" customFormat="1" x14ac:dyDescent="0.2"/>
    <row r="58284" customFormat="1" x14ac:dyDescent="0.2"/>
    <row r="58285" customFormat="1" x14ac:dyDescent="0.2"/>
    <row r="58286" customFormat="1" x14ac:dyDescent="0.2"/>
    <row r="58287" customFormat="1" x14ac:dyDescent="0.2"/>
    <row r="58288" customFormat="1" x14ac:dyDescent="0.2"/>
    <row r="58289" customFormat="1" x14ac:dyDescent="0.2"/>
    <row r="58290" customFormat="1" x14ac:dyDescent="0.2"/>
    <row r="58291" customFormat="1" x14ac:dyDescent="0.2"/>
    <row r="58292" customFormat="1" x14ac:dyDescent="0.2"/>
    <row r="58293" customFormat="1" x14ac:dyDescent="0.2"/>
    <row r="58294" customFormat="1" x14ac:dyDescent="0.2"/>
    <row r="58295" customFormat="1" x14ac:dyDescent="0.2"/>
    <row r="58296" customFormat="1" x14ac:dyDescent="0.2"/>
    <row r="58297" customFormat="1" x14ac:dyDescent="0.2"/>
    <row r="58298" customFormat="1" x14ac:dyDescent="0.2"/>
    <row r="58299" customFormat="1" x14ac:dyDescent="0.2"/>
    <row r="58300" customFormat="1" x14ac:dyDescent="0.2"/>
    <row r="58301" customFormat="1" x14ac:dyDescent="0.2"/>
    <row r="58302" customFormat="1" x14ac:dyDescent="0.2"/>
    <row r="58303" customFormat="1" x14ac:dyDescent="0.2"/>
    <row r="58304" customFormat="1" x14ac:dyDescent="0.2"/>
    <row r="58305" customFormat="1" x14ac:dyDescent="0.2"/>
    <row r="58306" customFormat="1" x14ac:dyDescent="0.2"/>
    <row r="58307" customFormat="1" x14ac:dyDescent="0.2"/>
    <row r="58308" customFormat="1" x14ac:dyDescent="0.2"/>
    <row r="58309" customFormat="1" x14ac:dyDescent="0.2"/>
    <row r="58310" customFormat="1" x14ac:dyDescent="0.2"/>
    <row r="58311" customFormat="1" x14ac:dyDescent="0.2"/>
    <row r="58312" customFormat="1" x14ac:dyDescent="0.2"/>
    <row r="58313" customFormat="1" x14ac:dyDescent="0.2"/>
    <row r="58314" customFormat="1" x14ac:dyDescent="0.2"/>
    <row r="58315" customFormat="1" x14ac:dyDescent="0.2"/>
    <row r="58316" customFormat="1" x14ac:dyDescent="0.2"/>
    <row r="58317" customFormat="1" x14ac:dyDescent="0.2"/>
    <row r="58318" customFormat="1" x14ac:dyDescent="0.2"/>
    <row r="58319" customFormat="1" x14ac:dyDescent="0.2"/>
    <row r="58320" customFormat="1" x14ac:dyDescent="0.2"/>
    <row r="58321" customFormat="1" x14ac:dyDescent="0.2"/>
    <row r="58322" customFormat="1" x14ac:dyDescent="0.2"/>
    <row r="58323" customFormat="1" x14ac:dyDescent="0.2"/>
    <row r="58324" customFormat="1" x14ac:dyDescent="0.2"/>
    <row r="58325" customFormat="1" x14ac:dyDescent="0.2"/>
    <row r="58326" customFormat="1" x14ac:dyDescent="0.2"/>
    <row r="58327" customFormat="1" x14ac:dyDescent="0.2"/>
    <row r="58328" customFormat="1" x14ac:dyDescent="0.2"/>
    <row r="58329" customFormat="1" x14ac:dyDescent="0.2"/>
    <row r="58330" customFormat="1" x14ac:dyDescent="0.2"/>
    <row r="58331" customFormat="1" x14ac:dyDescent="0.2"/>
    <row r="58332" customFormat="1" x14ac:dyDescent="0.2"/>
    <row r="58333" customFormat="1" x14ac:dyDescent="0.2"/>
    <row r="58334" customFormat="1" x14ac:dyDescent="0.2"/>
    <row r="58335" customFormat="1" x14ac:dyDescent="0.2"/>
    <row r="58336" customFormat="1" x14ac:dyDescent="0.2"/>
    <row r="58337" customFormat="1" x14ac:dyDescent="0.2"/>
    <row r="58338" customFormat="1" x14ac:dyDescent="0.2"/>
    <row r="58339" customFormat="1" x14ac:dyDescent="0.2"/>
    <row r="58340" customFormat="1" x14ac:dyDescent="0.2"/>
    <row r="58341" customFormat="1" x14ac:dyDescent="0.2"/>
    <row r="58342" customFormat="1" x14ac:dyDescent="0.2"/>
    <row r="58343" customFormat="1" x14ac:dyDescent="0.2"/>
    <row r="58344" customFormat="1" x14ac:dyDescent="0.2"/>
    <row r="58345" customFormat="1" x14ac:dyDescent="0.2"/>
    <row r="58346" customFormat="1" x14ac:dyDescent="0.2"/>
    <row r="58347" customFormat="1" x14ac:dyDescent="0.2"/>
    <row r="58348" customFormat="1" x14ac:dyDescent="0.2"/>
    <row r="58349" customFormat="1" x14ac:dyDescent="0.2"/>
    <row r="58350" customFormat="1" x14ac:dyDescent="0.2"/>
    <row r="58351" customFormat="1" x14ac:dyDescent="0.2"/>
    <row r="58352" customFormat="1" x14ac:dyDescent="0.2"/>
    <row r="58353" customFormat="1" x14ac:dyDescent="0.2"/>
    <row r="58354" customFormat="1" x14ac:dyDescent="0.2"/>
    <row r="58355" customFormat="1" x14ac:dyDescent="0.2"/>
    <row r="58356" customFormat="1" x14ac:dyDescent="0.2"/>
    <row r="58357" customFormat="1" x14ac:dyDescent="0.2"/>
    <row r="58358" customFormat="1" x14ac:dyDescent="0.2"/>
    <row r="58359" customFormat="1" x14ac:dyDescent="0.2"/>
    <row r="58360" customFormat="1" x14ac:dyDescent="0.2"/>
    <row r="58361" customFormat="1" x14ac:dyDescent="0.2"/>
    <row r="58362" customFormat="1" x14ac:dyDescent="0.2"/>
    <row r="58363" customFormat="1" x14ac:dyDescent="0.2"/>
    <row r="58364" customFormat="1" x14ac:dyDescent="0.2"/>
    <row r="58365" customFormat="1" x14ac:dyDescent="0.2"/>
    <row r="58366" customFormat="1" x14ac:dyDescent="0.2"/>
    <row r="58367" customFormat="1" x14ac:dyDescent="0.2"/>
    <row r="58368" customFormat="1" x14ac:dyDescent="0.2"/>
    <row r="58369" customFormat="1" x14ac:dyDescent="0.2"/>
    <row r="58370" customFormat="1" x14ac:dyDescent="0.2"/>
    <row r="58371" customFormat="1" x14ac:dyDescent="0.2"/>
    <row r="58372" customFormat="1" x14ac:dyDescent="0.2"/>
    <row r="58373" customFormat="1" x14ac:dyDescent="0.2"/>
    <row r="58374" customFormat="1" x14ac:dyDescent="0.2"/>
    <row r="58375" customFormat="1" x14ac:dyDescent="0.2"/>
    <row r="58376" customFormat="1" x14ac:dyDescent="0.2"/>
    <row r="58377" customFormat="1" x14ac:dyDescent="0.2"/>
    <row r="58378" customFormat="1" x14ac:dyDescent="0.2"/>
    <row r="58379" customFormat="1" x14ac:dyDescent="0.2"/>
    <row r="58380" customFormat="1" x14ac:dyDescent="0.2"/>
    <row r="58381" customFormat="1" x14ac:dyDescent="0.2"/>
    <row r="58382" customFormat="1" x14ac:dyDescent="0.2"/>
    <row r="58383" customFormat="1" x14ac:dyDescent="0.2"/>
    <row r="58384" customFormat="1" x14ac:dyDescent="0.2"/>
    <row r="58385" customFormat="1" x14ac:dyDescent="0.2"/>
    <row r="58386" customFormat="1" x14ac:dyDescent="0.2"/>
    <row r="58387" customFormat="1" x14ac:dyDescent="0.2"/>
    <row r="58388" customFormat="1" x14ac:dyDescent="0.2"/>
    <row r="58389" customFormat="1" x14ac:dyDescent="0.2"/>
    <row r="58390" customFormat="1" x14ac:dyDescent="0.2"/>
    <row r="58391" customFormat="1" x14ac:dyDescent="0.2"/>
    <row r="58392" customFormat="1" x14ac:dyDescent="0.2"/>
    <row r="58393" customFormat="1" x14ac:dyDescent="0.2"/>
    <row r="58394" customFormat="1" x14ac:dyDescent="0.2"/>
    <row r="58395" customFormat="1" x14ac:dyDescent="0.2"/>
    <row r="58396" customFormat="1" x14ac:dyDescent="0.2"/>
    <row r="58397" customFormat="1" x14ac:dyDescent="0.2"/>
    <row r="58398" customFormat="1" x14ac:dyDescent="0.2"/>
    <row r="58399" customFormat="1" x14ac:dyDescent="0.2"/>
    <row r="58400" customFormat="1" x14ac:dyDescent="0.2"/>
    <row r="58401" customFormat="1" x14ac:dyDescent="0.2"/>
    <row r="58402" customFormat="1" x14ac:dyDescent="0.2"/>
    <row r="58403" customFormat="1" x14ac:dyDescent="0.2"/>
    <row r="58404" customFormat="1" x14ac:dyDescent="0.2"/>
    <row r="58405" customFormat="1" x14ac:dyDescent="0.2"/>
    <row r="58406" customFormat="1" x14ac:dyDescent="0.2"/>
    <row r="58407" customFormat="1" x14ac:dyDescent="0.2"/>
    <row r="58408" customFormat="1" x14ac:dyDescent="0.2"/>
    <row r="58409" customFormat="1" x14ac:dyDescent="0.2"/>
    <row r="58410" customFormat="1" x14ac:dyDescent="0.2"/>
    <row r="58411" customFormat="1" x14ac:dyDescent="0.2"/>
    <row r="58412" customFormat="1" x14ac:dyDescent="0.2"/>
    <row r="58413" customFormat="1" x14ac:dyDescent="0.2"/>
    <row r="58414" customFormat="1" x14ac:dyDescent="0.2"/>
    <row r="58415" customFormat="1" x14ac:dyDescent="0.2"/>
    <row r="58416" customFormat="1" x14ac:dyDescent="0.2"/>
    <row r="58417" customFormat="1" x14ac:dyDescent="0.2"/>
    <row r="58418" customFormat="1" x14ac:dyDescent="0.2"/>
    <row r="58419" customFormat="1" x14ac:dyDescent="0.2"/>
    <row r="58420" customFormat="1" x14ac:dyDescent="0.2"/>
    <row r="58421" customFormat="1" x14ac:dyDescent="0.2"/>
    <row r="58422" customFormat="1" x14ac:dyDescent="0.2"/>
    <row r="58423" customFormat="1" x14ac:dyDescent="0.2"/>
    <row r="58424" customFormat="1" x14ac:dyDescent="0.2"/>
    <row r="58425" customFormat="1" x14ac:dyDescent="0.2"/>
    <row r="58426" customFormat="1" x14ac:dyDescent="0.2"/>
    <row r="58427" customFormat="1" x14ac:dyDescent="0.2"/>
    <row r="58428" customFormat="1" x14ac:dyDescent="0.2"/>
    <row r="58429" customFormat="1" x14ac:dyDescent="0.2"/>
    <row r="58430" customFormat="1" x14ac:dyDescent="0.2"/>
    <row r="58431" customFormat="1" x14ac:dyDescent="0.2"/>
    <row r="58432" customFormat="1" x14ac:dyDescent="0.2"/>
    <row r="58433" customFormat="1" x14ac:dyDescent="0.2"/>
    <row r="58434" customFormat="1" x14ac:dyDescent="0.2"/>
    <row r="58435" customFormat="1" x14ac:dyDescent="0.2"/>
    <row r="58436" customFormat="1" x14ac:dyDescent="0.2"/>
    <row r="58437" customFormat="1" x14ac:dyDescent="0.2"/>
    <row r="58438" customFormat="1" x14ac:dyDescent="0.2"/>
    <row r="58439" customFormat="1" x14ac:dyDescent="0.2"/>
    <row r="58440" customFormat="1" x14ac:dyDescent="0.2"/>
    <row r="58441" customFormat="1" x14ac:dyDescent="0.2"/>
    <row r="58442" customFormat="1" x14ac:dyDescent="0.2"/>
    <row r="58443" customFormat="1" x14ac:dyDescent="0.2"/>
    <row r="58444" customFormat="1" x14ac:dyDescent="0.2"/>
    <row r="58445" customFormat="1" x14ac:dyDescent="0.2"/>
    <row r="58446" customFormat="1" x14ac:dyDescent="0.2"/>
    <row r="58447" customFormat="1" x14ac:dyDescent="0.2"/>
    <row r="58448" customFormat="1" x14ac:dyDescent="0.2"/>
    <row r="58449" customFormat="1" x14ac:dyDescent="0.2"/>
    <row r="58450" customFormat="1" x14ac:dyDescent="0.2"/>
    <row r="58451" customFormat="1" x14ac:dyDescent="0.2"/>
    <row r="58452" customFormat="1" x14ac:dyDescent="0.2"/>
    <row r="58453" customFormat="1" x14ac:dyDescent="0.2"/>
    <row r="58454" customFormat="1" x14ac:dyDescent="0.2"/>
    <row r="58455" customFormat="1" x14ac:dyDescent="0.2"/>
    <row r="58456" customFormat="1" x14ac:dyDescent="0.2"/>
    <row r="58457" customFormat="1" x14ac:dyDescent="0.2"/>
    <row r="58458" customFormat="1" x14ac:dyDescent="0.2"/>
    <row r="58459" customFormat="1" x14ac:dyDescent="0.2"/>
    <row r="58460" customFormat="1" x14ac:dyDescent="0.2"/>
    <row r="58461" customFormat="1" x14ac:dyDescent="0.2"/>
    <row r="58462" customFormat="1" x14ac:dyDescent="0.2"/>
    <row r="58463" customFormat="1" x14ac:dyDescent="0.2"/>
    <row r="58464" customFormat="1" x14ac:dyDescent="0.2"/>
    <row r="58465" customFormat="1" x14ac:dyDescent="0.2"/>
    <row r="58466" customFormat="1" x14ac:dyDescent="0.2"/>
    <row r="58467" customFormat="1" x14ac:dyDescent="0.2"/>
    <row r="58468" customFormat="1" x14ac:dyDescent="0.2"/>
    <row r="58469" customFormat="1" x14ac:dyDescent="0.2"/>
    <row r="58470" customFormat="1" x14ac:dyDescent="0.2"/>
    <row r="58471" customFormat="1" x14ac:dyDescent="0.2"/>
    <row r="58472" customFormat="1" x14ac:dyDescent="0.2"/>
    <row r="58473" customFormat="1" x14ac:dyDescent="0.2"/>
    <row r="58474" customFormat="1" x14ac:dyDescent="0.2"/>
    <row r="58475" customFormat="1" x14ac:dyDescent="0.2"/>
    <row r="58476" customFormat="1" x14ac:dyDescent="0.2"/>
    <row r="58477" customFormat="1" x14ac:dyDescent="0.2"/>
    <row r="58478" customFormat="1" x14ac:dyDescent="0.2"/>
    <row r="58479" customFormat="1" x14ac:dyDescent="0.2"/>
    <row r="58480" customFormat="1" x14ac:dyDescent="0.2"/>
    <row r="58481" customFormat="1" x14ac:dyDescent="0.2"/>
    <row r="58482" customFormat="1" x14ac:dyDescent="0.2"/>
    <row r="58483" customFormat="1" x14ac:dyDescent="0.2"/>
    <row r="58484" customFormat="1" x14ac:dyDescent="0.2"/>
    <row r="58485" customFormat="1" x14ac:dyDescent="0.2"/>
    <row r="58486" customFormat="1" x14ac:dyDescent="0.2"/>
    <row r="58487" customFormat="1" x14ac:dyDescent="0.2"/>
    <row r="58488" customFormat="1" x14ac:dyDescent="0.2"/>
    <row r="58489" customFormat="1" x14ac:dyDescent="0.2"/>
    <row r="58490" customFormat="1" x14ac:dyDescent="0.2"/>
    <row r="58491" customFormat="1" x14ac:dyDescent="0.2"/>
    <row r="58492" customFormat="1" x14ac:dyDescent="0.2"/>
    <row r="58493" customFormat="1" x14ac:dyDescent="0.2"/>
    <row r="58494" customFormat="1" x14ac:dyDescent="0.2"/>
    <row r="58495" customFormat="1" x14ac:dyDescent="0.2"/>
    <row r="58496" customFormat="1" x14ac:dyDescent="0.2"/>
    <row r="58497" customFormat="1" x14ac:dyDescent="0.2"/>
    <row r="58498" customFormat="1" x14ac:dyDescent="0.2"/>
    <row r="58499" customFormat="1" x14ac:dyDescent="0.2"/>
    <row r="58500" customFormat="1" x14ac:dyDescent="0.2"/>
    <row r="58501" customFormat="1" x14ac:dyDescent="0.2"/>
    <row r="58502" customFormat="1" x14ac:dyDescent="0.2"/>
    <row r="58503" customFormat="1" x14ac:dyDescent="0.2"/>
    <row r="58504" customFormat="1" x14ac:dyDescent="0.2"/>
    <row r="58505" customFormat="1" x14ac:dyDescent="0.2"/>
    <row r="58506" customFormat="1" x14ac:dyDescent="0.2"/>
    <row r="58507" customFormat="1" x14ac:dyDescent="0.2"/>
    <row r="58508" customFormat="1" x14ac:dyDescent="0.2"/>
    <row r="58509" customFormat="1" x14ac:dyDescent="0.2"/>
    <row r="58510" customFormat="1" x14ac:dyDescent="0.2"/>
    <row r="58511" customFormat="1" x14ac:dyDescent="0.2"/>
    <row r="58512" customFormat="1" x14ac:dyDescent="0.2"/>
    <row r="58513" customFormat="1" x14ac:dyDescent="0.2"/>
    <row r="58514" customFormat="1" x14ac:dyDescent="0.2"/>
    <row r="58515" customFormat="1" x14ac:dyDescent="0.2"/>
    <row r="58516" customFormat="1" x14ac:dyDescent="0.2"/>
    <row r="58517" customFormat="1" x14ac:dyDescent="0.2"/>
    <row r="58518" customFormat="1" x14ac:dyDescent="0.2"/>
    <row r="58519" customFormat="1" x14ac:dyDescent="0.2"/>
    <row r="58520" customFormat="1" x14ac:dyDescent="0.2"/>
    <row r="58521" customFormat="1" x14ac:dyDescent="0.2"/>
    <row r="58522" customFormat="1" x14ac:dyDescent="0.2"/>
    <row r="58523" customFormat="1" x14ac:dyDescent="0.2"/>
    <row r="58524" customFormat="1" x14ac:dyDescent="0.2"/>
    <row r="58525" customFormat="1" x14ac:dyDescent="0.2"/>
    <row r="58526" customFormat="1" x14ac:dyDescent="0.2"/>
    <row r="58527" customFormat="1" x14ac:dyDescent="0.2"/>
    <row r="58528" customFormat="1" x14ac:dyDescent="0.2"/>
    <row r="58529" customFormat="1" x14ac:dyDescent="0.2"/>
    <row r="58530" customFormat="1" x14ac:dyDescent="0.2"/>
    <row r="58531" customFormat="1" x14ac:dyDescent="0.2"/>
    <row r="58532" customFormat="1" x14ac:dyDescent="0.2"/>
    <row r="58533" customFormat="1" x14ac:dyDescent="0.2"/>
    <row r="58534" customFormat="1" x14ac:dyDescent="0.2"/>
    <row r="58535" customFormat="1" x14ac:dyDescent="0.2"/>
    <row r="58536" customFormat="1" x14ac:dyDescent="0.2"/>
    <row r="58537" customFormat="1" x14ac:dyDescent="0.2"/>
    <row r="58538" customFormat="1" x14ac:dyDescent="0.2"/>
    <row r="58539" customFormat="1" x14ac:dyDescent="0.2"/>
    <row r="58540" customFormat="1" x14ac:dyDescent="0.2"/>
    <row r="58541" customFormat="1" x14ac:dyDescent="0.2"/>
    <row r="58542" customFormat="1" x14ac:dyDescent="0.2"/>
    <row r="58543" customFormat="1" x14ac:dyDescent="0.2"/>
    <row r="58544" customFormat="1" x14ac:dyDescent="0.2"/>
    <row r="58545" customFormat="1" x14ac:dyDescent="0.2"/>
    <row r="58546" customFormat="1" x14ac:dyDescent="0.2"/>
    <row r="58547" customFormat="1" x14ac:dyDescent="0.2"/>
    <row r="58548" customFormat="1" x14ac:dyDescent="0.2"/>
    <row r="58549" customFormat="1" x14ac:dyDescent="0.2"/>
    <row r="58550" customFormat="1" x14ac:dyDescent="0.2"/>
    <row r="58551" customFormat="1" x14ac:dyDescent="0.2"/>
    <row r="58552" customFormat="1" x14ac:dyDescent="0.2"/>
    <row r="58553" customFormat="1" x14ac:dyDescent="0.2"/>
    <row r="58554" customFormat="1" x14ac:dyDescent="0.2"/>
    <row r="58555" customFormat="1" x14ac:dyDescent="0.2"/>
    <row r="58556" customFormat="1" x14ac:dyDescent="0.2"/>
    <row r="58557" customFormat="1" x14ac:dyDescent="0.2"/>
    <row r="58558" customFormat="1" x14ac:dyDescent="0.2"/>
    <row r="58559" customFormat="1" x14ac:dyDescent="0.2"/>
    <row r="58560" customFormat="1" x14ac:dyDescent="0.2"/>
    <row r="58561" customFormat="1" x14ac:dyDescent="0.2"/>
    <row r="58562" customFormat="1" x14ac:dyDescent="0.2"/>
    <row r="58563" customFormat="1" x14ac:dyDescent="0.2"/>
    <row r="58564" customFormat="1" x14ac:dyDescent="0.2"/>
    <row r="58565" customFormat="1" x14ac:dyDescent="0.2"/>
    <row r="58566" customFormat="1" x14ac:dyDescent="0.2"/>
    <row r="58567" customFormat="1" x14ac:dyDescent="0.2"/>
    <row r="58568" customFormat="1" x14ac:dyDescent="0.2"/>
    <row r="58569" customFormat="1" x14ac:dyDescent="0.2"/>
    <row r="58570" customFormat="1" x14ac:dyDescent="0.2"/>
    <row r="58571" customFormat="1" x14ac:dyDescent="0.2"/>
    <row r="58572" customFormat="1" x14ac:dyDescent="0.2"/>
    <row r="58573" customFormat="1" x14ac:dyDescent="0.2"/>
    <row r="58574" customFormat="1" x14ac:dyDescent="0.2"/>
    <row r="58575" customFormat="1" x14ac:dyDescent="0.2"/>
    <row r="58576" customFormat="1" x14ac:dyDescent="0.2"/>
    <row r="58577" customFormat="1" x14ac:dyDescent="0.2"/>
    <row r="58578" customFormat="1" x14ac:dyDescent="0.2"/>
    <row r="58579" customFormat="1" x14ac:dyDescent="0.2"/>
    <row r="58580" customFormat="1" x14ac:dyDescent="0.2"/>
    <row r="58581" customFormat="1" x14ac:dyDescent="0.2"/>
    <row r="58582" customFormat="1" x14ac:dyDescent="0.2"/>
    <row r="58583" customFormat="1" x14ac:dyDescent="0.2"/>
    <row r="58584" customFormat="1" x14ac:dyDescent="0.2"/>
    <row r="58585" customFormat="1" x14ac:dyDescent="0.2"/>
    <row r="58586" customFormat="1" x14ac:dyDescent="0.2"/>
    <row r="58587" customFormat="1" x14ac:dyDescent="0.2"/>
    <row r="58588" customFormat="1" x14ac:dyDescent="0.2"/>
    <row r="58589" customFormat="1" x14ac:dyDescent="0.2"/>
    <row r="58590" customFormat="1" x14ac:dyDescent="0.2"/>
    <row r="58591" customFormat="1" x14ac:dyDescent="0.2"/>
    <row r="58592" customFormat="1" x14ac:dyDescent="0.2"/>
    <row r="58593" customFormat="1" x14ac:dyDescent="0.2"/>
    <row r="58594" customFormat="1" x14ac:dyDescent="0.2"/>
    <row r="58595" customFormat="1" x14ac:dyDescent="0.2"/>
    <row r="58596" customFormat="1" x14ac:dyDescent="0.2"/>
    <row r="58597" customFormat="1" x14ac:dyDescent="0.2"/>
    <row r="58598" customFormat="1" x14ac:dyDescent="0.2"/>
    <row r="58599" customFormat="1" x14ac:dyDescent="0.2"/>
    <row r="58600" customFormat="1" x14ac:dyDescent="0.2"/>
    <row r="58601" customFormat="1" x14ac:dyDescent="0.2"/>
    <row r="58602" customFormat="1" x14ac:dyDescent="0.2"/>
    <row r="58603" customFormat="1" x14ac:dyDescent="0.2"/>
    <row r="58604" customFormat="1" x14ac:dyDescent="0.2"/>
    <row r="58605" customFormat="1" x14ac:dyDescent="0.2"/>
    <row r="58606" customFormat="1" x14ac:dyDescent="0.2"/>
    <row r="58607" customFormat="1" x14ac:dyDescent="0.2"/>
    <row r="58608" customFormat="1" x14ac:dyDescent="0.2"/>
    <row r="58609" customFormat="1" x14ac:dyDescent="0.2"/>
    <row r="58610" customFormat="1" x14ac:dyDescent="0.2"/>
    <row r="58611" customFormat="1" x14ac:dyDescent="0.2"/>
    <row r="58612" customFormat="1" x14ac:dyDescent="0.2"/>
    <row r="58613" customFormat="1" x14ac:dyDescent="0.2"/>
    <row r="58614" customFormat="1" x14ac:dyDescent="0.2"/>
    <row r="58615" customFormat="1" x14ac:dyDescent="0.2"/>
    <row r="58616" customFormat="1" x14ac:dyDescent="0.2"/>
    <row r="58617" customFormat="1" x14ac:dyDescent="0.2"/>
    <row r="58618" customFormat="1" x14ac:dyDescent="0.2"/>
    <row r="58619" customFormat="1" x14ac:dyDescent="0.2"/>
    <row r="58620" customFormat="1" x14ac:dyDescent="0.2"/>
    <row r="58621" customFormat="1" x14ac:dyDescent="0.2"/>
    <row r="58622" customFormat="1" x14ac:dyDescent="0.2"/>
    <row r="58623" customFormat="1" x14ac:dyDescent="0.2"/>
    <row r="58624" customFormat="1" x14ac:dyDescent="0.2"/>
    <row r="58625" customFormat="1" x14ac:dyDescent="0.2"/>
    <row r="58626" customFormat="1" x14ac:dyDescent="0.2"/>
    <row r="58627" customFormat="1" x14ac:dyDescent="0.2"/>
    <row r="58628" customFormat="1" x14ac:dyDescent="0.2"/>
    <row r="58629" customFormat="1" x14ac:dyDescent="0.2"/>
    <row r="58630" customFormat="1" x14ac:dyDescent="0.2"/>
    <row r="58631" customFormat="1" x14ac:dyDescent="0.2"/>
    <row r="58632" customFormat="1" x14ac:dyDescent="0.2"/>
    <row r="58633" customFormat="1" x14ac:dyDescent="0.2"/>
    <row r="58634" customFormat="1" x14ac:dyDescent="0.2"/>
    <row r="58635" customFormat="1" x14ac:dyDescent="0.2"/>
    <row r="58636" customFormat="1" x14ac:dyDescent="0.2"/>
    <row r="58637" customFormat="1" x14ac:dyDescent="0.2"/>
    <row r="58638" customFormat="1" x14ac:dyDescent="0.2"/>
    <row r="58639" customFormat="1" x14ac:dyDescent="0.2"/>
    <row r="58640" customFormat="1" x14ac:dyDescent="0.2"/>
    <row r="58641" customFormat="1" x14ac:dyDescent="0.2"/>
    <row r="58642" customFormat="1" x14ac:dyDescent="0.2"/>
    <row r="58643" customFormat="1" x14ac:dyDescent="0.2"/>
    <row r="58644" customFormat="1" x14ac:dyDescent="0.2"/>
    <row r="58645" customFormat="1" x14ac:dyDescent="0.2"/>
    <row r="58646" customFormat="1" x14ac:dyDescent="0.2"/>
    <row r="58647" customFormat="1" x14ac:dyDescent="0.2"/>
    <row r="58648" customFormat="1" x14ac:dyDescent="0.2"/>
    <row r="58649" customFormat="1" x14ac:dyDescent="0.2"/>
    <row r="58650" customFormat="1" x14ac:dyDescent="0.2"/>
    <row r="58651" customFormat="1" x14ac:dyDescent="0.2"/>
    <row r="58652" customFormat="1" x14ac:dyDescent="0.2"/>
    <row r="58653" customFormat="1" x14ac:dyDescent="0.2"/>
    <row r="58654" customFormat="1" x14ac:dyDescent="0.2"/>
    <row r="58655" customFormat="1" x14ac:dyDescent="0.2"/>
    <row r="58656" customFormat="1" x14ac:dyDescent="0.2"/>
    <row r="58657" customFormat="1" x14ac:dyDescent="0.2"/>
    <row r="58658" customFormat="1" x14ac:dyDescent="0.2"/>
    <row r="58659" customFormat="1" x14ac:dyDescent="0.2"/>
    <row r="58660" customFormat="1" x14ac:dyDescent="0.2"/>
    <row r="58661" customFormat="1" x14ac:dyDescent="0.2"/>
    <row r="58662" customFormat="1" x14ac:dyDescent="0.2"/>
    <row r="58663" customFormat="1" x14ac:dyDescent="0.2"/>
    <row r="58664" customFormat="1" x14ac:dyDescent="0.2"/>
    <row r="58665" customFormat="1" x14ac:dyDescent="0.2"/>
    <row r="58666" customFormat="1" x14ac:dyDescent="0.2"/>
    <row r="58667" customFormat="1" x14ac:dyDescent="0.2"/>
    <row r="58668" customFormat="1" x14ac:dyDescent="0.2"/>
    <row r="58669" customFormat="1" x14ac:dyDescent="0.2"/>
    <row r="58670" customFormat="1" x14ac:dyDescent="0.2"/>
    <row r="58671" customFormat="1" x14ac:dyDescent="0.2"/>
    <row r="58672" customFormat="1" x14ac:dyDescent="0.2"/>
    <row r="58673" customFormat="1" x14ac:dyDescent="0.2"/>
    <row r="58674" customFormat="1" x14ac:dyDescent="0.2"/>
    <row r="58675" customFormat="1" x14ac:dyDescent="0.2"/>
    <row r="58676" customFormat="1" x14ac:dyDescent="0.2"/>
    <row r="58677" customFormat="1" x14ac:dyDescent="0.2"/>
    <row r="58678" customFormat="1" x14ac:dyDescent="0.2"/>
    <row r="58679" customFormat="1" x14ac:dyDescent="0.2"/>
    <row r="58680" customFormat="1" x14ac:dyDescent="0.2"/>
    <row r="58681" customFormat="1" x14ac:dyDescent="0.2"/>
    <row r="58682" customFormat="1" x14ac:dyDescent="0.2"/>
    <row r="58683" customFormat="1" x14ac:dyDescent="0.2"/>
    <row r="58684" customFormat="1" x14ac:dyDescent="0.2"/>
    <row r="58685" customFormat="1" x14ac:dyDescent="0.2"/>
    <row r="58686" customFormat="1" x14ac:dyDescent="0.2"/>
    <row r="58687" customFormat="1" x14ac:dyDescent="0.2"/>
    <row r="58688" customFormat="1" x14ac:dyDescent="0.2"/>
    <row r="58689" customFormat="1" x14ac:dyDescent="0.2"/>
    <row r="58690" customFormat="1" x14ac:dyDescent="0.2"/>
    <row r="58691" customFormat="1" x14ac:dyDescent="0.2"/>
    <row r="58692" customFormat="1" x14ac:dyDescent="0.2"/>
    <row r="58693" customFormat="1" x14ac:dyDescent="0.2"/>
    <row r="58694" customFormat="1" x14ac:dyDescent="0.2"/>
    <row r="58695" customFormat="1" x14ac:dyDescent="0.2"/>
    <row r="58696" customFormat="1" x14ac:dyDescent="0.2"/>
    <row r="58697" customFormat="1" x14ac:dyDescent="0.2"/>
    <row r="58698" customFormat="1" x14ac:dyDescent="0.2"/>
    <row r="58699" customFormat="1" x14ac:dyDescent="0.2"/>
    <row r="58700" customFormat="1" x14ac:dyDescent="0.2"/>
    <row r="58701" customFormat="1" x14ac:dyDescent="0.2"/>
    <row r="58702" customFormat="1" x14ac:dyDescent="0.2"/>
    <row r="58703" customFormat="1" x14ac:dyDescent="0.2"/>
    <row r="58704" customFormat="1" x14ac:dyDescent="0.2"/>
    <row r="58705" customFormat="1" x14ac:dyDescent="0.2"/>
    <row r="58706" customFormat="1" x14ac:dyDescent="0.2"/>
    <row r="58707" customFormat="1" x14ac:dyDescent="0.2"/>
    <row r="58708" customFormat="1" x14ac:dyDescent="0.2"/>
    <row r="58709" customFormat="1" x14ac:dyDescent="0.2"/>
    <row r="58710" customFormat="1" x14ac:dyDescent="0.2"/>
    <row r="58711" customFormat="1" x14ac:dyDescent="0.2"/>
    <row r="58712" customFormat="1" x14ac:dyDescent="0.2"/>
    <row r="58713" customFormat="1" x14ac:dyDescent="0.2"/>
    <row r="58714" customFormat="1" x14ac:dyDescent="0.2"/>
    <row r="58715" customFormat="1" x14ac:dyDescent="0.2"/>
    <row r="58716" customFormat="1" x14ac:dyDescent="0.2"/>
    <row r="58717" customFormat="1" x14ac:dyDescent="0.2"/>
    <row r="58718" customFormat="1" x14ac:dyDescent="0.2"/>
    <row r="58719" customFormat="1" x14ac:dyDescent="0.2"/>
    <row r="58720" customFormat="1" x14ac:dyDescent="0.2"/>
    <row r="58721" customFormat="1" x14ac:dyDescent="0.2"/>
    <row r="58722" customFormat="1" x14ac:dyDescent="0.2"/>
    <row r="58723" customFormat="1" x14ac:dyDescent="0.2"/>
    <row r="58724" customFormat="1" x14ac:dyDescent="0.2"/>
    <row r="58725" customFormat="1" x14ac:dyDescent="0.2"/>
    <row r="58726" customFormat="1" x14ac:dyDescent="0.2"/>
    <row r="58727" customFormat="1" x14ac:dyDescent="0.2"/>
    <row r="58728" customFormat="1" x14ac:dyDescent="0.2"/>
    <row r="58729" customFormat="1" x14ac:dyDescent="0.2"/>
    <row r="58730" customFormat="1" x14ac:dyDescent="0.2"/>
    <row r="58731" customFormat="1" x14ac:dyDescent="0.2"/>
    <row r="58732" customFormat="1" x14ac:dyDescent="0.2"/>
    <row r="58733" customFormat="1" x14ac:dyDescent="0.2"/>
    <row r="58734" customFormat="1" x14ac:dyDescent="0.2"/>
    <row r="58735" customFormat="1" x14ac:dyDescent="0.2"/>
    <row r="58736" customFormat="1" x14ac:dyDescent="0.2"/>
    <row r="58737" customFormat="1" x14ac:dyDescent="0.2"/>
    <row r="58738" customFormat="1" x14ac:dyDescent="0.2"/>
    <row r="58739" customFormat="1" x14ac:dyDescent="0.2"/>
    <row r="58740" customFormat="1" x14ac:dyDescent="0.2"/>
    <row r="58741" customFormat="1" x14ac:dyDescent="0.2"/>
    <row r="58742" customFormat="1" x14ac:dyDescent="0.2"/>
    <row r="58743" customFormat="1" x14ac:dyDescent="0.2"/>
    <row r="58744" customFormat="1" x14ac:dyDescent="0.2"/>
    <row r="58745" customFormat="1" x14ac:dyDescent="0.2"/>
    <row r="58746" customFormat="1" x14ac:dyDescent="0.2"/>
    <row r="58747" customFormat="1" x14ac:dyDescent="0.2"/>
    <row r="58748" customFormat="1" x14ac:dyDescent="0.2"/>
    <row r="58749" customFormat="1" x14ac:dyDescent="0.2"/>
    <row r="58750" customFormat="1" x14ac:dyDescent="0.2"/>
    <row r="58751" customFormat="1" x14ac:dyDescent="0.2"/>
    <row r="58752" customFormat="1" x14ac:dyDescent="0.2"/>
    <row r="58753" customFormat="1" x14ac:dyDescent="0.2"/>
    <row r="58754" customFormat="1" x14ac:dyDescent="0.2"/>
    <row r="58755" customFormat="1" x14ac:dyDescent="0.2"/>
    <row r="58756" customFormat="1" x14ac:dyDescent="0.2"/>
    <row r="58757" customFormat="1" x14ac:dyDescent="0.2"/>
    <row r="58758" customFormat="1" x14ac:dyDescent="0.2"/>
    <row r="58759" customFormat="1" x14ac:dyDescent="0.2"/>
    <row r="58760" customFormat="1" x14ac:dyDescent="0.2"/>
    <row r="58761" customFormat="1" x14ac:dyDescent="0.2"/>
    <row r="58762" customFormat="1" x14ac:dyDescent="0.2"/>
    <row r="58763" customFormat="1" x14ac:dyDescent="0.2"/>
    <row r="58764" customFormat="1" x14ac:dyDescent="0.2"/>
    <row r="58765" customFormat="1" x14ac:dyDescent="0.2"/>
    <row r="58766" customFormat="1" x14ac:dyDescent="0.2"/>
    <row r="58767" customFormat="1" x14ac:dyDescent="0.2"/>
    <row r="58768" customFormat="1" x14ac:dyDescent="0.2"/>
    <row r="58769" customFormat="1" x14ac:dyDescent="0.2"/>
    <row r="58770" customFormat="1" x14ac:dyDescent="0.2"/>
    <row r="58771" customFormat="1" x14ac:dyDescent="0.2"/>
    <row r="58772" customFormat="1" x14ac:dyDescent="0.2"/>
    <row r="58773" customFormat="1" x14ac:dyDescent="0.2"/>
    <row r="58774" customFormat="1" x14ac:dyDescent="0.2"/>
    <row r="58775" customFormat="1" x14ac:dyDescent="0.2"/>
    <row r="58776" customFormat="1" x14ac:dyDescent="0.2"/>
    <row r="58777" customFormat="1" x14ac:dyDescent="0.2"/>
    <row r="58778" customFormat="1" x14ac:dyDescent="0.2"/>
    <row r="58779" customFormat="1" x14ac:dyDescent="0.2"/>
    <row r="58780" customFormat="1" x14ac:dyDescent="0.2"/>
    <row r="58781" customFormat="1" x14ac:dyDescent="0.2"/>
    <row r="58782" customFormat="1" x14ac:dyDescent="0.2"/>
    <row r="58783" customFormat="1" x14ac:dyDescent="0.2"/>
    <row r="58784" customFormat="1" x14ac:dyDescent="0.2"/>
    <row r="58785" customFormat="1" x14ac:dyDescent="0.2"/>
    <row r="58786" customFormat="1" x14ac:dyDescent="0.2"/>
    <row r="58787" customFormat="1" x14ac:dyDescent="0.2"/>
    <row r="58788" customFormat="1" x14ac:dyDescent="0.2"/>
    <row r="58789" customFormat="1" x14ac:dyDescent="0.2"/>
    <row r="58790" customFormat="1" x14ac:dyDescent="0.2"/>
    <row r="58791" customFormat="1" x14ac:dyDescent="0.2"/>
    <row r="58792" customFormat="1" x14ac:dyDescent="0.2"/>
    <row r="58793" customFormat="1" x14ac:dyDescent="0.2"/>
    <row r="58794" customFormat="1" x14ac:dyDescent="0.2"/>
    <row r="58795" customFormat="1" x14ac:dyDescent="0.2"/>
    <row r="58796" customFormat="1" x14ac:dyDescent="0.2"/>
    <row r="58797" customFormat="1" x14ac:dyDescent="0.2"/>
    <row r="58798" customFormat="1" x14ac:dyDescent="0.2"/>
    <row r="58799" customFormat="1" x14ac:dyDescent="0.2"/>
    <row r="58800" customFormat="1" x14ac:dyDescent="0.2"/>
    <row r="58801" customFormat="1" x14ac:dyDescent="0.2"/>
    <row r="58802" customFormat="1" x14ac:dyDescent="0.2"/>
    <row r="58803" customFormat="1" x14ac:dyDescent="0.2"/>
    <row r="58804" customFormat="1" x14ac:dyDescent="0.2"/>
    <row r="58805" customFormat="1" x14ac:dyDescent="0.2"/>
    <row r="58806" customFormat="1" x14ac:dyDescent="0.2"/>
    <row r="58807" customFormat="1" x14ac:dyDescent="0.2"/>
    <row r="58808" customFormat="1" x14ac:dyDescent="0.2"/>
    <row r="58809" customFormat="1" x14ac:dyDescent="0.2"/>
    <row r="58810" customFormat="1" x14ac:dyDescent="0.2"/>
    <row r="58811" customFormat="1" x14ac:dyDescent="0.2"/>
    <row r="58812" customFormat="1" x14ac:dyDescent="0.2"/>
    <row r="58813" customFormat="1" x14ac:dyDescent="0.2"/>
    <row r="58814" customFormat="1" x14ac:dyDescent="0.2"/>
    <row r="58815" customFormat="1" x14ac:dyDescent="0.2"/>
    <row r="58816" customFormat="1" x14ac:dyDescent="0.2"/>
    <row r="58817" customFormat="1" x14ac:dyDescent="0.2"/>
    <row r="58818" customFormat="1" x14ac:dyDescent="0.2"/>
    <row r="58819" customFormat="1" x14ac:dyDescent="0.2"/>
    <row r="58820" customFormat="1" x14ac:dyDescent="0.2"/>
    <row r="58821" customFormat="1" x14ac:dyDescent="0.2"/>
    <row r="58822" customFormat="1" x14ac:dyDescent="0.2"/>
    <row r="58823" customFormat="1" x14ac:dyDescent="0.2"/>
    <row r="58824" customFormat="1" x14ac:dyDescent="0.2"/>
    <row r="58825" customFormat="1" x14ac:dyDescent="0.2"/>
    <row r="58826" customFormat="1" x14ac:dyDescent="0.2"/>
    <row r="58827" customFormat="1" x14ac:dyDescent="0.2"/>
    <row r="58828" customFormat="1" x14ac:dyDescent="0.2"/>
    <row r="58829" customFormat="1" x14ac:dyDescent="0.2"/>
    <row r="58830" customFormat="1" x14ac:dyDescent="0.2"/>
    <row r="58831" customFormat="1" x14ac:dyDescent="0.2"/>
    <row r="58832" customFormat="1" x14ac:dyDescent="0.2"/>
    <row r="58833" customFormat="1" x14ac:dyDescent="0.2"/>
    <row r="58834" customFormat="1" x14ac:dyDescent="0.2"/>
    <row r="58835" customFormat="1" x14ac:dyDescent="0.2"/>
    <row r="58836" customFormat="1" x14ac:dyDescent="0.2"/>
    <row r="58837" customFormat="1" x14ac:dyDescent="0.2"/>
    <row r="58838" customFormat="1" x14ac:dyDescent="0.2"/>
    <row r="58839" customFormat="1" x14ac:dyDescent="0.2"/>
    <row r="58840" customFormat="1" x14ac:dyDescent="0.2"/>
    <row r="58841" customFormat="1" x14ac:dyDescent="0.2"/>
    <row r="58842" customFormat="1" x14ac:dyDescent="0.2"/>
    <row r="58843" customFormat="1" x14ac:dyDescent="0.2"/>
    <row r="58844" customFormat="1" x14ac:dyDescent="0.2"/>
    <row r="58845" customFormat="1" x14ac:dyDescent="0.2"/>
    <row r="58846" customFormat="1" x14ac:dyDescent="0.2"/>
    <row r="58847" customFormat="1" x14ac:dyDescent="0.2"/>
    <row r="58848" customFormat="1" x14ac:dyDescent="0.2"/>
    <row r="58849" customFormat="1" x14ac:dyDescent="0.2"/>
    <row r="58850" customFormat="1" x14ac:dyDescent="0.2"/>
    <row r="58851" customFormat="1" x14ac:dyDescent="0.2"/>
    <row r="58852" customFormat="1" x14ac:dyDescent="0.2"/>
    <row r="58853" customFormat="1" x14ac:dyDescent="0.2"/>
    <row r="58854" customFormat="1" x14ac:dyDescent="0.2"/>
    <row r="58855" customFormat="1" x14ac:dyDescent="0.2"/>
    <row r="58856" customFormat="1" x14ac:dyDescent="0.2"/>
    <row r="58857" customFormat="1" x14ac:dyDescent="0.2"/>
    <row r="58858" customFormat="1" x14ac:dyDescent="0.2"/>
    <row r="58859" customFormat="1" x14ac:dyDescent="0.2"/>
    <row r="58860" customFormat="1" x14ac:dyDescent="0.2"/>
    <row r="58861" customFormat="1" x14ac:dyDescent="0.2"/>
    <row r="58862" customFormat="1" x14ac:dyDescent="0.2"/>
    <row r="58863" customFormat="1" x14ac:dyDescent="0.2"/>
    <row r="58864" customFormat="1" x14ac:dyDescent="0.2"/>
    <row r="58865" customFormat="1" x14ac:dyDescent="0.2"/>
    <row r="58866" customFormat="1" x14ac:dyDescent="0.2"/>
    <row r="58867" customFormat="1" x14ac:dyDescent="0.2"/>
    <row r="58868" customFormat="1" x14ac:dyDescent="0.2"/>
    <row r="58869" customFormat="1" x14ac:dyDescent="0.2"/>
    <row r="58870" customFormat="1" x14ac:dyDescent="0.2"/>
    <row r="58871" customFormat="1" x14ac:dyDescent="0.2"/>
    <row r="58872" customFormat="1" x14ac:dyDescent="0.2"/>
    <row r="58873" customFormat="1" x14ac:dyDescent="0.2"/>
    <row r="58874" customFormat="1" x14ac:dyDescent="0.2"/>
    <row r="58875" customFormat="1" x14ac:dyDescent="0.2"/>
    <row r="58876" customFormat="1" x14ac:dyDescent="0.2"/>
    <row r="58877" customFormat="1" x14ac:dyDescent="0.2"/>
    <row r="58878" customFormat="1" x14ac:dyDescent="0.2"/>
    <row r="58879" customFormat="1" x14ac:dyDescent="0.2"/>
    <row r="58880" customFormat="1" x14ac:dyDescent="0.2"/>
    <row r="58881" customFormat="1" x14ac:dyDescent="0.2"/>
    <row r="58882" customFormat="1" x14ac:dyDescent="0.2"/>
    <row r="58883" customFormat="1" x14ac:dyDescent="0.2"/>
    <row r="58884" customFormat="1" x14ac:dyDescent="0.2"/>
    <row r="58885" customFormat="1" x14ac:dyDescent="0.2"/>
    <row r="58886" customFormat="1" x14ac:dyDescent="0.2"/>
    <row r="58887" customFormat="1" x14ac:dyDescent="0.2"/>
    <row r="58888" customFormat="1" x14ac:dyDescent="0.2"/>
    <row r="58889" customFormat="1" x14ac:dyDescent="0.2"/>
    <row r="58890" customFormat="1" x14ac:dyDescent="0.2"/>
    <row r="58891" customFormat="1" x14ac:dyDescent="0.2"/>
    <row r="58892" customFormat="1" x14ac:dyDescent="0.2"/>
    <row r="58893" customFormat="1" x14ac:dyDescent="0.2"/>
    <row r="58894" customFormat="1" x14ac:dyDescent="0.2"/>
    <row r="58895" customFormat="1" x14ac:dyDescent="0.2"/>
    <row r="58896" customFormat="1" x14ac:dyDescent="0.2"/>
    <row r="58897" customFormat="1" x14ac:dyDescent="0.2"/>
    <row r="58898" customFormat="1" x14ac:dyDescent="0.2"/>
    <row r="58899" customFormat="1" x14ac:dyDescent="0.2"/>
    <row r="58900" customFormat="1" x14ac:dyDescent="0.2"/>
    <row r="58901" customFormat="1" x14ac:dyDescent="0.2"/>
    <row r="58902" customFormat="1" x14ac:dyDescent="0.2"/>
    <row r="58903" customFormat="1" x14ac:dyDescent="0.2"/>
    <row r="58904" customFormat="1" x14ac:dyDescent="0.2"/>
    <row r="58905" customFormat="1" x14ac:dyDescent="0.2"/>
    <row r="58906" customFormat="1" x14ac:dyDescent="0.2"/>
    <row r="58907" customFormat="1" x14ac:dyDescent="0.2"/>
    <row r="58908" customFormat="1" x14ac:dyDescent="0.2"/>
    <row r="58909" customFormat="1" x14ac:dyDescent="0.2"/>
    <row r="58910" customFormat="1" x14ac:dyDescent="0.2"/>
    <row r="58911" customFormat="1" x14ac:dyDescent="0.2"/>
    <row r="58912" customFormat="1" x14ac:dyDescent="0.2"/>
    <row r="58913" customFormat="1" x14ac:dyDescent="0.2"/>
    <row r="58914" customFormat="1" x14ac:dyDescent="0.2"/>
    <row r="58915" customFormat="1" x14ac:dyDescent="0.2"/>
    <row r="58916" customFormat="1" x14ac:dyDescent="0.2"/>
    <row r="58917" customFormat="1" x14ac:dyDescent="0.2"/>
    <row r="58918" customFormat="1" x14ac:dyDescent="0.2"/>
    <row r="58919" customFormat="1" x14ac:dyDescent="0.2"/>
    <row r="58920" customFormat="1" x14ac:dyDescent="0.2"/>
    <row r="58921" customFormat="1" x14ac:dyDescent="0.2"/>
    <row r="58922" customFormat="1" x14ac:dyDescent="0.2"/>
    <row r="58923" customFormat="1" x14ac:dyDescent="0.2"/>
    <row r="58924" customFormat="1" x14ac:dyDescent="0.2"/>
    <row r="58925" customFormat="1" x14ac:dyDescent="0.2"/>
    <row r="58926" customFormat="1" x14ac:dyDescent="0.2"/>
    <row r="58927" customFormat="1" x14ac:dyDescent="0.2"/>
    <row r="58928" customFormat="1" x14ac:dyDescent="0.2"/>
    <row r="58929" customFormat="1" x14ac:dyDescent="0.2"/>
    <row r="58930" customFormat="1" x14ac:dyDescent="0.2"/>
    <row r="58931" customFormat="1" x14ac:dyDescent="0.2"/>
    <row r="58932" customFormat="1" x14ac:dyDescent="0.2"/>
    <row r="58933" customFormat="1" x14ac:dyDescent="0.2"/>
    <row r="58934" customFormat="1" x14ac:dyDescent="0.2"/>
    <row r="58935" customFormat="1" x14ac:dyDescent="0.2"/>
    <row r="58936" customFormat="1" x14ac:dyDescent="0.2"/>
    <row r="58937" customFormat="1" x14ac:dyDescent="0.2"/>
    <row r="58938" customFormat="1" x14ac:dyDescent="0.2"/>
    <row r="58939" customFormat="1" x14ac:dyDescent="0.2"/>
    <row r="58940" customFormat="1" x14ac:dyDescent="0.2"/>
    <row r="58941" customFormat="1" x14ac:dyDescent="0.2"/>
    <row r="58942" customFormat="1" x14ac:dyDescent="0.2"/>
    <row r="58943" customFormat="1" x14ac:dyDescent="0.2"/>
    <row r="58944" customFormat="1" x14ac:dyDescent="0.2"/>
    <row r="58945" customFormat="1" x14ac:dyDescent="0.2"/>
    <row r="58946" customFormat="1" x14ac:dyDescent="0.2"/>
    <row r="58947" customFormat="1" x14ac:dyDescent="0.2"/>
    <row r="58948" customFormat="1" x14ac:dyDescent="0.2"/>
    <row r="58949" customFormat="1" x14ac:dyDescent="0.2"/>
    <row r="58950" customFormat="1" x14ac:dyDescent="0.2"/>
    <row r="58951" customFormat="1" x14ac:dyDescent="0.2"/>
    <row r="58952" customFormat="1" x14ac:dyDescent="0.2"/>
    <row r="58953" customFormat="1" x14ac:dyDescent="0.2"/>
    <row r="58954" customFormat="1" x14ac:dyDescent="0.2"/>
    <row r="58955" customFormat="1" x14ac:dyDescent="0.2"/>
    <row r="58956" customFormat="1" x14ac:dyDescent="0.2"/>
    <row r="58957" customFormat="1" x14ac:dyDescent="0.2"/>
    <row r="58958" customFormat="1" x14ac:dyDescent="0.2"/>
    <row r="58959" customFormat="1" x14ac:dyDescent="0.2"/>
    <row r="58960" customFormat="1" x14ac:dyDescent="0.2"/>
    <row r="58961" customFormat="1" x14ac:dyDescent="0.2"/>
    <row r="58962" customFormat="1" x14ac:dyDescent="0.2"/>
    <row r="58963" customFormat="1" x14ac:dyDescent="0.2"/>
    <row r="58964" customFormat="1" x14ac:dyDescent="0.2"/>
    <row r="58965" customFormat="1" x14ac:dyDescent="0.2"/>
    <row r="58966" customFormat="1" x14ac:dyDescent="0.2"/>
    <row r="58967" customFormat="1" x14ac:dyDescent="0.2"/>
    <row r="58968" customFormat="1" x14ac:dyDescent="0.2"/>
    <row r="58969" customFormat="1" x14ac:dyDescent="0.2"/>
    <row r="58970" customFormat="1" x14ac:dyDescent="0.2"/>
    <row r="58971" customFormat="1" x14ac:dyDescent="0.2"/>
    <row r="58972" customFormat="1" x14ac:dyDescent="0.2"/>
    <row r="58973" customFormat="1" x14ac:dyDescent="0.2"/>
    <row r="58974" customFormat="1" x14ac:dyDescent="0.2"/>
    <row r="58975" customFormat="1" x14ac:dyDescent="0.2"/>
    <row r="58976" customFormat="1" x14ac:dyDescent="0.2"/>
    <row r="58977" customFormat="1" x14ac:dyDescent="0.2"/>
    <row r="58978" customFormat="1" x14ac:dyDescent="0.2"/>
    <row r="58979" customFormat="1" x14ac:dyDescent="0.2"/>
    <row r="58980" customFormat="1" x14ac:dyDescent="0.2"/>
    <row r="58981" customFormat="1" x14ac:dyDescent="0.2"/>
    <row r="58982" customFormat="1" x14ac:dyDescent="0.2"/>
    <row r="58983" customFormat="1" x14ac:dyDescent="0.2"/>
    <row r="58984" customFormat="1" x14ac:dyDescent="0.2"/>
    <row r="58985" customFormat="1" x14ac:dyDescent="0.2"/>
    <row r="58986" customFormat="1" x14ac:dyDescent="0.2"/>
    <row r="58987" customFormat="1" x14ac:dyDescent="0.2"/>
    <row r="58988" customFormat="1" x14ac:dyDescent="0.2"/>
    <row r="58989" customFormat="1" x14ac:dyDescent="0.2"/>
    <row r="58990" customFormat="1" x14ac:dyDescent="0.2"/>
    <row r="58991" customFormat="1" x14ac:dyDescent="0.2"/>
    <row r="58992" customFormat="1" x14ac:dyDescent="0.2"/>
    <row r="58993" customFormat="1" x14ac:dyDescent="0.2"/>
    <row r="58994" customFormat="1" x14ac:dyDescent="0.2"/>
    <row r="58995" customFormat="1" x14ac:dyDescent="0.2"/>
    <row r="58996" customFormat="1" x14ac:dyDescent="0.2"/>
    <row r="58997" customFormat="1" x14ac:dyDescent="0.2"/>
    <row r="58998" customFormat="1" x14ac:dyDescent="0.2"/>
    <row r="58999" customFormat="1" x14ac:dyDescent="0.2"/>
    <row r="59000" customFormat="1" x14ac:dyDescent="0.2"/>
    <row r="59001" customFormat="1" x14ac:dyDescent="0.2"/>
    <row r="59002" customFormat="1" x14ac:dyDescent="0.2"/>
    <row r="59003" customFormat="1" x14ac:dyDescent="0.2"/>
    <row r="59004" customFormat="1" x14ac:dyDescent="0.2"/>
    <row r="59005" customFormat="1" x14ac:dyDescent="0.2"/>
    <row r="59006" customFormat="1" x14ac:dyDescent="0.2"/>
    <row r="59007" customFormat="1" x14ac:dyDescent="0.2"/>
    <row r="59008" customFormat="1" x14ac:dyDescent="0.2"/>
    <row r="59009" customFormat="1" x14ac:dyDescent="0.2"/>
    <row r="59010" customFormat="1" x14ac:dyDescent="0.2"/>
    <row r="59011" customFormat="1" x14ac:dyDescent="0.2"/>
    <row r="59012" customFormat="1" x14ac:dyDescent="0.2"/>
    <row r="59013" customFormat="1" x14ac:dyDescent="0.2"/>
    <row r="59014" customFormat="1" x14ac:dyDescent="0.2"/>
    <row r="59015" customFormat="1" x14ac:dyDescent="0.2"/>
    <row r="59016" customFormat="1" x14ac:dyDescent="0.2"/>
    <row r="59017" customFormat="1" x14ac:dyDescent="0.2"/>
    <row r="59018" customFormat="1" x14ac:dyDescent="0.2"/>
    <row r="59019" customFormat="1" x14ac:dyDescent="0.2"/>
    <row r="59020" customFormat="1" x14ac:dyDescent="0.2"/>
    <row r="59021" customFormat="1" x14ac:dyDescent="0.2"/>
    <row r="59022" customFormat="1" x14ac:dyDescent="0.2"/>
    <row r="59023" customFormat="1" x14ac:dyDescent="0.2"/>
    <row r="59024" customFormat="1" x14ac:dyDescent="0.2"/>
    <row r="59025" customFormat="1" x14ac:dyDescent="0.2"/>
    <row r="59026" customFormat="1" x14ac:dyDescent="0.2"/>
    <row r="59027" customFormat="1" x14ac:dyDescent="0.2"/>
    <row r="59028" customFormat="1" x14ac:dyDescent="0.2"/>
    <row r="59029" customFormat="1" x14ac:dyDescent="0.2"/>
    <row r="59030" customFormat="1" x14ac:dyDescent="0.2"/>
    <row r="59031" customFormat="1" x14ac:dyDescent="0.2"/>
    <row r="59032" customFormat="1" x14ac:dyDescent="0.2"/>
    <row r="59033" customFormat="1" x14ac:dyDescent="0.2"/>
    <row r="59034" customFormat="1" x14ac:dyDescent="0.2"/>
    <row r="59035" customFormat="1" x14ac:dyDescent="0.2"/>
    <row r="59036" customFormat="1" x14ac:dyDescent="0.2"/>
    <row r="59037" customFormat="1" x14ac:dyDescent="0.2"/>
    <row r="59038" customFormat="1" x14ac:dyDescent="0.2"/>
    <row r="59039" customFormat="1" x14ac:dyDescent="0.2"/>
    <row r="59040" customFormat="1" x14ac:dyDescent="0.2"/>
    <row r="59041" customFormat="1" x14ac:dyDescent="0.2"/>
    <row r="59042" customFormat="1" x14ac:dyDescent="0.2"/>
    <row r="59043" customFormat="1" x14ac:dyDescent="0.2"/>
    <row r="59044" customFormat="1" x14ac:dyDescent="0.2"/>
    <row r="59045" customFormat="1" x14ac:dyDescent="0.2"/>
    <row r="59046" customFormat="1" x14ac:dyDescent="0.2"/>
    <row r="59047" customFormat="1" x14ac:dyDescent="0.2"/>
    <row r="59048" customFormat="1" x14ac:dyDescent="0.2"/>
    <row r="59049" customFormat="1" x14ac:dyDescent="0.2"/>
    <row r="59050" customFormat="1" x14ac:dyDescent="0.2"/>
    <row r="59051" customFormat="1" x14ac:dyDescent="0.2"/>
    <row r="59052" customFormat="1" x14ac:dyDescent="0.2"/>
    <row r="59053" customFormat="1" x14ac:dyDescent="0.2"/>
    <row r="59054" customFormat="1" x14ac:dyDescent="0.2"/>
    <row r="59055" customFormat="1" x14ac:dyDescent="0.2"/>
    <row r="59056" customFormat="1" x14ac:dyDescent="0.2"/>
    <row r="59057" customFormat="1" x14ac:dyDescent="0.2"/>
    <row r="59058" customFormat="1" x14ac:dyDescent="0.2"/>
    <row r="59059" customFormat="1" x14ac:dyDescent="0.2"/>
    <row r="59060" customFormat="1" x14ac:dyDescent="0.2"/>
    <row r="59061" customFormat="1" x14ac:dyDescent="0.2"/>
    <row r="59062" customFormat="1" x14ac:dyDescent="0.2"/>
    <row r="59063" customFormat="1" x14ac:dyDescent="0.2"/>
    <row r="59064" customFormat="1" x14ac:dyDescent="0.2"/>
    <row r="59065" customFormat="1" x14ac:dyDescent="0.2"/>
    <row r="59066" customFormat="1" x14ac:dyDescent="0.2"/>
    <row r="59067" customFormat="1" x14ac:dyDescent="0.2"/>
    <row r="59068" customFormat="1" x14ac:dyDescent="0.2"/>
    <row r="59069" customFormat="1" x14ac:dyDescent="0.2"/>
    <row r="59070" customFormat="1" x14ac:dyDescent="0.2"/>
    <row r="59071" customFormat="1" x14ac:dyDescent="0.2"/>
    <row r="59072" customFormat="1" x14ac:dyDescent="0.2"/>
    <row r="59073" customFormat="1" x14ac:dyDescent="0.2"/>
    <row r="59074" customFormat="1" x14ac:dyDescent="0.2"/>
    <row r="59075" customFormat="1" x14ac:dyDescent="0.2"/>
    <row r="59076" customFormat="1" x14ac:dyDescent="0.2"/>
    <row r="59077" customFormat="1" x14ac:dyDescent="0.2"/>
    <row r="59078" customFormat="1" x14ac:dyDescent="0.2"/>
    <row r="59079" customFormat="1" x14ac:dyDescent="0.2"/>
    <row r="59080" customFormat="1" x14ac:dyDescent="0.2"/>
    <row r="59081" customFormat="1" x14ac:dyDescent="0.2"/>
    <row r="59082" customFormat="1" x14ac:dyDescent="0.2"/>
    <row r="59083" customFormat="1" x14ac:dyDescent="0.2"/>
    <row r="59084" customFormat="1" x14ac:dyDescent="0.2"/>
    <row r="59085" customFormat="1" x14ac:dyDescent="0.2"/>
    <row r="59086" customFormat="1" x14ac:dyDescent="0.2"/>
    <row r="59087" customFormat="1" x14ac:dyDescent="0.2"/>
    <row r="59088" customFormat="1" x14ac:dyDescent="0.2"/>
    <row r="59089" customFormat="1" x14ac:dyDescent="0.2"/>
    <row r="59090" customFormat="1" x14ac:dyDescent="0.2"/>
    <row r="59091" customFormat="1" x14ac:dyDescent="0.2"/>
    <row r="59092" customFormat="1" x14ac:dyDescent="0.2"/>
    <row r="59093" customFormat="1" x14ac:dyDescent="0.2"/>
    <row r="59094" customFormat="1" x14ac:dyDescent="0.2"/>
    <row r="59095" customFormat="1" x14ac:dyDescent="0.2"/>
    <row r="59096" customFormat="1" x14ac:dyDescent="0.2"/>
    <row r="59097" customFormat="1" x14ac:dyDescent="0.2"/>
    <row r="59098" customFormat="1" x14ac:dyDescent="0.2"/>
    <row r="59099" customFormat="1" x14ac:dyDescent="0.2"/>
    <row r="59100" customFormat="1" x14ac:dyDescent="0.2"/>
    <row r="59101" customFormat="1" x14ac:dyDescent="0.2"/>
    <row r="59102" customFormat="1" x14ac:dyDescent="0.2"/>
    <row r="59103" customFormat="1" x14ac:dyDescent="0.2"/>
    <row r="59104" customFormat="1" x14ac:dyDescent="0.2"/>
    <row r="59105" customFormat="1" x14ac:dyDescent="0.2"/>
    <row r="59106" customFormat="1" x14ac:dyDescent="0.2"/>
    <row r="59107" customFormat="1" x14ac:dyDescent="0.2"/>
    <row r="59108" customFormat="1" x14ac:dyDescent="0.2"/>
    <row r="59109" customFormat="1" x14ac:dyDescent="0.2"/>
    <row r="59110" customFormat="1" x14ac:dyDescent="0.2"/>
    <row r="59111" customFormat="1" x14ac:dyDescent="0.2"/>
    <row r="59112" customFormat="1" x14ac:dyDescent="0.2"/>
    <row r="59113" customFormat="1" x14ac:dyDescent="0.2"/>
    <row r="59114" customFormat="1" x14ac:dyDescent="0.2"/>
    <row r="59115" customFormat="1" x14ac:dyDescent="0.2"/>
    <row r="59116" customFormat="1" x14ac:dyDescent="0.2"/>
    <row r="59117" customFormat="1" x14ac:dyDescent="0.2"/>
    <row r="59118" customFormat="1" x14ac:dyDescent="0.2"/>
    <row r="59119" customFormat="1" x14ac:dyDescent="0.2"/>
    <row r="59120" customFormat="1" x14ac:dyDescent="0.2"/>
    <row r="59121" customFormat="1" x14ac:dyDescent="0.2"/>
    <row r="59122" customFormat="1" x14ac:dyDescent="0.2"/>
    <row r="59123" customFormat="1" x14ac:dyDescent="0.2"/>
    <row r="59124" customFormat="1" x14ac:dyDescent="0.2"/>
    <row r="59125" customFormat="1" x14ac:dyDescent="0.2"/>
    <row r="59126" customFormat="1" x14ac:dyDescent="0.2"/>
    <row r="59127" customFormat="1" x14ac:dyDescent="0.2"/>
    <row r="59128" customFormat="1" x14ac:dyDescent="0.2"/>
    <row r="59129" customFormat="1" x14ac:dyDescent="0.2"/>
    <row r="59130" customFormat="1" x14ac:dyDescent="0.2"/>
    <row r="59131" customFormat="1" x14ac:dyDescent="0.2"/>
    <row r="59132" customFormat="1" x14ac:dyDescent="0.2"/>
    <row r="59133" customFormat="1" x14ac:dyDescent="0.2"/>
    <row r="59134" customFormat="1" x14ac:dyDescent="0.2"/>
    <row r="59135" customFormat="1" x14ac:dyDescent="0.2"/>
    <row r="59136" customFormat="1" x14ac:dyDescent="0.2"/>
    <row r="59137" customFormat="1" x14ac:dyDescent="0.2"/>
    <row r="59138" customFormat="1" x14ac:dyDescent="0.2"/>
    <row r="59139" customFormat="1" x14ac:dyDescent="0.2"/>
    <row r="59140" customFormat="1" x14ac:dyDescent="0.2"/>
    <row r="59141" customFormat="1" x14ac:dyDescent="0.2"/>
    <row r="59142" customFormat="1" x14ac:dyDescent="0.2"/>
    <row r="59143" customFormat="1" x14ac:dyDescent="0.2"/>
    <row r="59144" customFormat="1" x14ac:dyDescent="0.2"/>
    <row r="59145" customFormat="1" x14ac:dyDescent="0.2"/>
    <row r="59146" customFormat="1" x14ac:dyDescent="0.2"/>
    <row r="59147" customFormat="1" x14ac:dyDescent="0.2"/>
    <row r="59148" customFormat="1" x14ac:dyDescent="0.2"/>
    <row r="59149" customFormat="1" x14ac:dyDescent="0.2"/>
    <row r="59150" customFormat="1" x14ac:dyDescent="0.2"/>
    <row r="59151" customFormat="1" x14ac:dyDescent="0.2"/>
    <row r="59152" customFormat="1" x14ac:dyDescent="0.2"/>
    <row r="59153" customFormat="1" x14ac:dyDescent="0.2"/>
    <row r="59154" customFormat="1" x14ac:dyDescent="0.2"/>
    <row r="59155" customFormat="1" x14ac:dyDescent="0.2"/>
    <row r="59156" customFormat="1" x14ac:dyDescent="0.2"/>
    <row r="59157" customFormat="1" x14ac:dyDescent="0.2"/>
    <row r="59158" customFormat="1" x14ac:dyDescent="0.2"/>
    <row r="59159" customFormat="1" x14ac:dyDescent="0.2"/>
    <row r="59160" customFormat="1" x14ac:dyDescent="0.2"/>
    <row r="59161" customFormat="1" x14ac:dyDescent="0.2"/>
    <row r="59162" customFormat="1" x14ac:dyDescent="0.2"/>
    <row r="59163" customFormat="1" x14ac:dyDescent="0.2"/>
    <row r="59164" customFormat="1" x14ac:dyDescent="0.2"/>
    <row r="59165" customFormat="1" x14ac:dyDescent="0.2"/>
    <row r="59166" customFormat="1" x14ac:dyDescent="0.2"/>
    <row r="59167" customFormat="1" x14ac:dyDescent="0.2"/>
    <row r="59168" customFormat="1" x14ac:dyDescent="0.2"/>
    <row r="59169" customFormat="1" x14ac:dyDescent="0.2"/>
    <row r="59170" customFormat="1" x14ac:dyDescent="0.2"/>
    <row r="59171" customFormat="1" x14ac:dyDescent="0.2"/>
    <row r="59172" customFormat="1" x14ac:dyDescent="0.2"/>
    <row r="59173" customFormat="1" x14ac:dyDescent="0.2"/>
    <row r="59174" customFormat="1" x14ac:dyDescent="0.2"/>
    <row r="59175" customFormat="1" x14ac:dyDescent="0.2"/>
    <row r="59176" customFormat="1" x14ac:dyDescent="0.2"/>
    <row r="59177" customFormat="1" x14ac:dyDescent="0.2"/>
    <row r="59178" customFormat="1" x14ac:dyDescent="0.2"/>
    <row r="59179" customFormat="1" x14ac:dyDescent="0.2"/>
    <row r="59180" customFormat="1" x14ac:dyDescent="0.2"/>
    <row r="59181" customFormat="1" x14ac:dyDescent="0.2"/>
    <row r="59182" customFormat="1" x14ac:dyDescent="0.2"/>
    <row r="59183" customFormat="1" x14ac:dyDescent="0.2"/>
    <row r="59184" customFormat="1" x14ac:dyDescent="0.2"/>
    <row r="59185" customFormat="1" x14ac:dyDescent="0.2"/>
    <row r="59186" customFormat="1" x14ac:dyDescent="0.2"/>
    <row r="59187" customFormat="1" x14ac:dyDescent="0.2"/>
    <row r="59188" customFormat="1" x14ac:dyDescent="0.2"/>
    <row r="59189" customFormat="1" x14ac:dyDescent="0.2"/>
    <row r="59190" customFormat="1" x14ac:dyDescent="0.2"/>
    <row r="59191" customFormat="1" x14ac:dyDescent="0.2"/>
    <row r="59192" customFormat="1" x14ac:dyDescent="0.2"/>
    <row r="59193" customFormat="1" x14ac:dyDescent="0.2"/>
    <row r="59194" customFormat="1" x14ac:dyDescent="0.2"/>
    <row r="59195" customFormat="1" x14ac:dyDescent="0.2"/>
    <row r="59196" customFormat="1" x14ac:dyDescent="0.2"/>
    <row r="59197" customFormat="1" x14ac:dyDescent="0.2"/>
    <row r="59198" customFormat="1" x14ac:dyDescent="0.2"/>
    <row r="59199" customFormat="1" x14ac:dyDescent="0.2"/>
    <row r="59200" customFormat="1" x14ac:dyDescent="0.2"/>
    <row r="59201" customFormat="1" x14ac:dyDescent="0.2"/>
    <row r="59202" customFormat="1" x14ac:dyDescent="0.2"/>
    <row r="59203" customFormat="1" x14ac:dyDescent="0.2"/>
    <row r="59204" customFormat="1" x14ac:dyDescent="0.2"/>
    <row r="59205" customFormat="1" x14ac:dyDescent="0.2"/>
    <row r="59206" customFormat="1" x14ac:dyDescent="0.2"/>
    <row r="59207" customFormat="1" x14ac:dyDescent="0.2"/>
    <row r="59208" customFormat="1" x14ac:dyDescent="0.2"/>
    <row r="59209" customFormat="1" x14ac:dyDescent="0.2"/>
    <row r="59210" customFormat="1" x14ac:dyDescent="0.2"/>
    <row r="59211" customFormat="1" x14ac:dyDescent="0.2"/>
    <row r="59212" customFormat="1" x14ac:dyDescent="0.2"/>
    <row r="59213" customFormat="1" x14ac:dyDescent="0.2"/>
    <row r="59214" customFormat="1" x14ac:dyDescent="0.2"/>
    <row r="59215" customFormat="1" x14ac:dyDescent="0.2"/>
    <row r="59216" customFormat="1" x14ac:dyDescent="0.2"/>
    <row r="59217" customFormat="1" x14ac:dyDescent="0.2"/>
    <row r="59218" customFormat="1" x14ac:dyDescent="0.2"/>
    <row r="59219" customFormat="1" x14ac:dyDescent="0.2"/>
    <row r="59220" customFormat="1" x14ac:dyDescent="0.2"/>
    <row r="59221" customFormat="1" x14ac:dyDescent="0.2"/>
    <row r="59222" customFormat="1" x14ac:dyDescent="0.2"/>
    <row r="59223" customFormat="1" x14ac:dyDescent="0.2"/>
    <row r="59224" customFormat="1" x14ac:dyDescent="0.2"/>
    <row r="59225" customFormat="1" x14ac:dyDescent="0.2"/>
    <row r="59226" customFormat="1" x14ac:dyDescent="0.2"/>
    <row r="59227" customFormat="1" x14ac:dyDescent="0.2"/>
    <row r="59228" customFormat="1" x14ac:dyDescent="0.2"/>
    <row r="59229" customFormat="1" x14ac:dyDescent="0.2"/>
    <row r="59230" customFormat="1" x14ac:dyDescent="0.2"/>
    <row r="59231" customFormat="1" x14ac:dyDescent="0.2"/>
    <row r="59232" customFormat="1" x14ac:dyDescent="0.2"/>
    <row r="59233" customFormat="1" x14ac:dyDescent="0.2"/>
    <row r="59234" customFormat="1" x14ac:dyDescent="0.2"/>
    <row r="59235" customFormat="1" x14ac:dyDescent="0.2"/>
    <row r="59236" customFormat="1" x14ac:dyDescent="0.2"/>
    <row r="59237" customFormat="1" x14ac:dyDescent="0.2"/>
    <row r="59238" customFormat="1" x14ac:dyDescent="0.2"/>
    <row r="59239" customFormat="1" x14ac:dyDescent="0.2"/>
    <row r="59240" customFormat="1" x14ac:dyDescent="0.2"/>
    <row r="59241" customFormat="1" x14ac:dyDescent="0.2"/>
    <row r="59242" customFormat="1" x14ac:dyDescent="0.2"/>
    <row r="59243" customFormat="1" x14ac:dyDescent="0.2"/>
    <row r="59244" customFormat="1" x14ac:dyDescent="0.2"/>
    <row r="59245" customFormat="1" x14ac:dyDescent="0.2"/>
    <row r="59246" customFormat="1" x14ac:dyDescent="0.2"/>
    <row r="59247" customFormat="1" x14ac:dyDescent="0.2"/>
    <row r="59248" customFormat="1" x14ac:dyDescent="0.2"/>
    <row r="59249" customFormat="1" x14ac:dyDescent="0.2"/>
    <row r="59250" customFormat="1" x14ac:dyDescent="0.2"/>
    <row r="59251" customFormat="1" x14ac:dyDescent="0.2"/>
    <row r="59252" customFormat="1" x14ac:dyDescent="0.2"/>
    <row r="59253" customFormat="1" x14ac:dyDescent="0.2"/>
    <row r="59254" customFormat="1" x14ac:dyDescent="0.2"/>
    <row r="59255" customFormat="1" x14ac:dyDescent="0.2"/>
    <row r="59256" customFormat="1" x14ac:dyDescent="0.2"/>
    <row r="59257" customFormat="1" x14ac:dyDescent="0.2"/>
    <row r="59258" customFormat="1" x14ac:dyDescent="0.2"/>
    <row r="59259" customFormat="1" x14ac:dyDescent="0.2"/>
    <row r="59260" customFormat="1" x14ac:dyDescent="0.2"/>
    <row r="59261" customFormat="1" x14ac:dyDescent="0.2"/>
    <row r="59262" customFormat="1" x14ac:dyDescent="0.2"/>
    <row r="59263" customFormat="1" x14ac:dyDescent="0.2"/>
    <row r="59264" customFormat="1" x14ac:dyDescent="0.2"/>
    <row r="59265" customFormat="1" x14ac:dyDescent="0.2"/>
    <row r="59266" customFormat="1" x14ac:dyDescent="0.2"/>
    <row r="59267" customFormat="1" x14ac:dyDescent="0.2"/>
    <row r="59268" customFormat="1" x14ac:dyDescent="0.2"/>
    <row r="59269" customFormat="1" x14ac:dyDescent="0.2"/>
    <row r="59270" customFormat="1" x14ac:dyDescent="0.2"/>
    <row r="59271" customFormat="1" x14ac:dyDescent="0.2"/>
    <row r="59272" customFormat="1" x14ac:dyDescent="0.2"/>
    <row r="59273" customFormat="1" x14ac:dyDescent="0.2"/>
    <row r="59274" customFormat="1" x14ac:dyDescent="0.2"/>
    <row r="59275" customFormat="1" x14ac:dyDescent="0.2"/>
    <row r="59276" customFormat="1" x14ac:dyDescent="0.2"/>
    <row r="59277" customFormat="1" x14ac:dyDescent="0.2"/>
    <row r="59278" customFormat="1" x14ac:dyDescent="0.2"/>
    <row r="59279" customFormat="1" x14ac:dyDescent="0.2"/>
    <row r="59280" customFormat="1" x14ac:dyDescent="0.2"/>
    <row r="59281" customFormat="1" x14ac:dyDescent="0.2"/>
    <row r="59282" customFormat="1" x14ac:dyDescent="0.2"/>
    <row r="59283" customFormat="1" x14ac:dyDescent="0.2"/>
    <row r="59284" customFormat="1" x14ac:dyDescent="0.2"/>
    <row r="59285" customFormat="1" x14ac:dyDescent="0.2"/>
    <row r="59286" customFormat="1" x14ac:dyDescent="0.2"/>
    <row r="59287" customFormat="1" x14ac:dyDescent="0.2"/>
    <row r="59288" customFormat="1" x14ac:dyDescent="0.2"/>
    <row r="59289" customFormat="1" x14ac:dyDescent="0.2"/>
    <row r="59290" customFormat="1" x14ac:dyDescent="0.2"/>
    <row r="59291" customFormat="1" x14ac:dyDescent="0.2"/>
    <row r="59292" customFormat="1" x14ac:dyDescent="0.2"/>
    <row r="59293" customFormat="1" x14ac:dyDescent="0.2"/>
    <row r="59294" customFormat="1" x14ac:dyDescent="0.2"/>
    <row r="59295" customFormat="1" x14ac:dyDescent="0.2"/>
    <row r="59296" customFormat="1" x14ac:dyDescent="0.2"/>
    <row r="59297" customFormat="1" x14ac:dyDescent="0.2"/>
    <row r="59298" customFormat="1" x14ac:dyDescent="0.2"/>
    <row r="59299" customFormat="1" x14ac:dyDescent="0.2"/>
    <row r="59300" customFormat="1" x14ac:dyDescent="0.2"/>
    <row r="59301" customFormat="1" x14ac:dyDescent="0.2"/>
    <row r="59302" customFormat="1" x14ac:dyDescent="0.2"/>
    <row r="59303" customFormat="1" x14ac:dyDescent="0.2"/>
    <row r="59304" customFormat="1" x14ac:dyDescent="0.2"/>
    <row r="59305" customFormat="1" x14ac:dyDescent="0.2"/>
    <row r="59306" customFormat="1" x14ac:dyDescent="0.2"/>
    <row r="59307" customFormat="1" x14ac:dyDescent="0.2"/>
    <row r="59308" customFormat="1" x14ac:dyDescent="0.2"/>
    <row r="59309" customFormat="1" x14ac:dyDescent="0.2"/>
    <row r="59310" customFormat="1" x14ac:dyDescent="0.2"/>
    <row r="59311" customFormat="1" x14ac:dyDescent="0.2"/>
    <row r="59312" customFormat="1" x14ac:dyDescent="0.2"/>
    <row r="59313" customFormat="1" x14ac:dyDescent="0.2"/>
    <row r="59314" customFormat="1" x14ac:dyDescent="0.2"/>
    <row r="59315" customFormat="1" x14ac:dyDescent="0.2"/>
    <row r="59316" customFormat="1" x14ac:dyDescent="0.2"/>
    <row r="59317" customFormat="1" x14ac:dyDescent="0.2"/>
    <row r="59318" customFormat="1" x14ac:dyDescent="0.2"/>
    <row r="59319" customFormat="1" x14ac:dyDescent="0.2"/>
    <row r="59320" customFormat="1" x14ac:dyDescent="0.2"/>
    <row r="59321" customFormat="1" x14ac:dyDescent="0.2"/>
    <row r="59322" customFormat="1" x14ac:dyDescent="0.2"/>
    <row r="59323" customFormat="1" x14ac:dyDescent="0.2"/>
    <row r="59324" customFormat="1" x14ac:dyDescent="0.2"/>
    <row r="59325" customFormat="1" x14ac:dyDescent="0.2"/>
    <row r="59326" customFormat="1" x14ac:dyDescent="0.2"/>
    <row r="59327" customFormat="1" x14ac:dyDescent="0.2"/>
    <row r="59328" customFormat="1" x14ac:dyDescent="0.2"/>
    <row r="59329" customFormat="1" x14ac:dyDescent="0.2"/>
    <row r="59330" customFormat="1" x14ac:dyDescent="0.2"/>
    <row r="59331" customFormat="1" x14ac:dyDescent="0.2"/>
    <row r="59332" customFormat="1" x14ac:dyDescent="0.2"/>
    <row r="59333" customFormat="1" x14ac:dyDescent="0.2"/>
    <row r="59334" customFormat="1" x14ac:dyDescent="0.2"/>
    <row r="59335" customFormat="1" x14ac:dyDescent="0.2"/>
    <row r="59336" customFormat="1" x14ac:dyDescent="0.2"/>
    <row r="59337" customFormat="1" x14ac:dyDescent="0.2"/>
    <row r="59338" customFormat="1" x14ac:dyDescent="0.2"/>
    <row r="59339" customFormat="1" x14ac:dyDescent="0.2"/>
    <row r="59340" customFormat="1" x14ac:dyDescent="0.2"/>
    <row r="59341" customFormat="1" x14ac:dyDescent="0.2"/>
    <row r="59342" customFormat="1" x14ac:dyDescent="0.2"/>
    <row r="59343" customFormat="1" x14ac:dyDescent="0.2"/>
    <row r="59344" customFormat="1" x14ac:dyDescent="0.2"/>
    <row r="59345" customFormat="1" x14ac:dyDescent="0.2"/>
    <row r="59346" customFormat="1" x14ac:dyDescent="0.2"/>
    <row r="59347" customFormat="1" x14ac:dyDescent="0.2"/>
    <row r="59348" customFormat="1" x14ac:dyDescent="0.2"/>
    <row r="59349" customFormat="1" x14ac:dyDescent="0.2"/>
    <row r="59350" customFormat="1" x14ac:dyDescent="0.2"/>
    <row r="59351" customFormat="1" x14ac:dyDescent="0.2"/>
    <row r="59352" customFormat="1" x14ac:dyDescent="0.2"/>
    <row r="59353" customFormat="1" x14ac:dyDescent="0.2"/>
    <row r="59354" customFormat="1" x14ac:dyDescent="0.2"/>
    <row r="59355" customFormat="1" x14ac:dyDescent="0.2"/>
    <row r="59356" customFormat="1" x14ac:dyDescent="0.2"/>
    <row r="59357" customFormat="1" x14ac:dyDescent="0.2"/>
    <row r="59358" customFormat="1" x14ac:dyDescent="0.2"/>
    <row r="59359" customFormat="1" x14ac:dyDescent="0.2"/>
    <row r="59360" customFormat="1" x14ac:dyDescent="0.2"/>
    <row r="59361" customFormat="1" x14ac:dyDescent="0.2"/>
    <row r="59362" customFormat="1" x14ac:dyDescent="0.2"/>
    <row r="59363" customFormat="1" x14ac:dyDescent="0.2"/>
    <row r="59364" customFormat="1" x14ac:dyDescent="0.2"/>
    <row r="59365" customFormat="1" x14ac:dyDescent="0.2"/>
    <row r="59366" customFormat="1" x14ac:dyDescent="0.2"/>
    <row r="59367" customFormat="1" x14ac:dyDescent="0.2"/>
    <row r="59368" customFormat="1" x14ac:dyDescent="0.2"/>
    <row r="59369" customFormat="1" x14ac:dyDescent="0.2"/>
    <row r="59370" customFormat="1" x14ac:dyDescent="0.2"/>
    <row r="59371" customFormat="1" x14ac:dyDescent="0.2"/>
    <row r="59372" customFormat="1" x14ac:dyDescent="0.2"/>
    <row r="59373" customFormat="1" x14ac:dyDescent="0.2"/>
    <row r="59374" customFormat="1" x14ac:dyDescent="0.2"/>
    <row r="59375" customFormat="1" x14ac:dyDescent="0.2"/>
    <row r="59376" customFormat="1" x14ac:dyDescent="0.2"/>
    <row r="59377" customFormat="1" x14ac:dyDescent="0.2"/>
    <row r="59378" customFormat="1" x14ac:dyDescent="0.2"/>
    <row r="59379" customFormat="1" x14ac:dyDescent="0.2"/>
    <row r="59380" customFormat="1" x14ac:dyDescent="0.2"/>
    <row r="59381" customFormat="1" x14ac:dyDescent="0.2"/>
    <row r="59382" customFormat="1" x14ac:dyDescent="0.2"/>
    <row r="59383" customFormat="1" x14ac:dyDescent="0.2"/>
    <row r="59384" customFormat="1" x14ac:dyDescent="0.2"/>
    <row r="59385" customFormat="1" x14ac:dyDescent="0.2"/>
    <row r="59386" customFormat="1" x14ac:dyDescent="0.2"/>
    <row r="59387" customFormat="1" x14ac:dyDescent="0.2"/>
    <row r="59388" customFormat="1" x14ac:dyDescent="0.2"/>
    <row r="59389" customFormat="1" x14ac:dyDescent="0.2"/>
    <row r="59390" customFormat="1" x14ac:dyDescent="0.2"/>
    <row r="59391" customFormat="1" x14ac:dyDescent="0.2"/>
    <row r="59392" customFormat="1" x14ac:dyDescent="0.2"/>
    <row r="59393" customFormat="1" x14ac:dyDescent="0.2"/>
    <row r="59394" customFormat="1" x14ac:dyDescent="0.2"/>
    <row r="59395" customFormat="1" x14ac:dyDescent="0.2"/>
    <row r="59396" customFormat="1" x14ac:dyDescent="0.2"/>
    <row r="59397" customFormat="1" x14ac:dyDescent="0.2"/>
    <row r="59398" customFormat="1" x14ac:dyDescent="0.2"/>
    <row r="59399" customFormat="1" x14ac:dyDescent="0.2"/>
    <row r="59400" customFormat="1" x14ac:dyDescent="0.2"/>
    <row r="59401" customFormat="1" x14ac:dyDescent="0.2"/>
    <row r="59402" customFormat="1" x14ac:dyDescent="0.2"/>
    <row r="59403" customFormat="1" x14ac:dyDescent="0.2"/>
    <row r="59404" customFormat="1" x14ac:dyDescent="0.2"/>
    <row r="59405" customFormat="1" x14ac:dyDescent="0.2"/>
    <row r="59406" customFormat="1" x14ac:dyDescent="0.2"/>
    <row r="59407" customFormat="1" x14ac:dyDescent="0.2"/>
    <row r="59408" customFormat="1" x14ac:dyDescent="0.2"/>
    <row r="59409" customFormat="1" x14ac:dyDescent="0.2"/>
    <row r="59410" customFormat="1" x14ac:dyDescent="0.2"/>
    <row r="59411" customFormat="1" x14ac:dyDescent="0.2"/>
    <row r="59412" customFormat="1" x14ac:dyDescent="0.2"/>
    <row r="59413" customFormat="1" x14ac:dyDescent="0.2"/>
    <row r="59414" customFormat="1" x14ac:dyDescent="0.2"/>
    <row r="59415" customFormat="1" x14ac:dyDescent="0.2"/>
    <row r="59416" customFormat="1" x14ac:dyDescent="0.2"/>
    <row r="59417" customFormat="1" x14ac:dyDescent="0.2"/>
    <row r="59418" customFormat="1" x14ac:dyDescent="0.2"/>
    <row r="59419" customFormat="1" x14ac:dyDescent="0.2"/>
    <row r="59420" customFormat="1" x14ac:dyDescent="0.2"/>
    <row r="59421" customFormat="1" x14ac:dyDescent="0.2"/>
    <row r="59422" customFormat="1" x14ac:dyDescent="0.2"/>
    <row r="59423" customFormat="1" x14ac:dyDescent="0.2"/>
    <row r="59424" customFormat="1" x14ac:dyDescent="0.2"/>
    <row r="59425" customFormat="1" x14ac:dyDescent="0.2"/>
    <row r="59426" customFormat="1" x14ac:dyDescent="0.2"/>
    <row r="59427" customFormat="1" x14ac:dyDescent="0.2"/>
    <row r="59428" customFormat="1" x14ac:dyDescent="0.2"/>
    <row r="59429" customFormat="1" x14ac:dyDescent="0.2"/>
    <row r="59430" customFormat="1" x14ac:dyDescent="0.2"/>
    <row r="59431" customFormat="1" x14ac:dyDescent="0.2"/>
    <row r="59432" customFormat="1" x14ac:dyDescent="0.2"/>
    <row r="59433" customFormat="1" x14ac:dyDescent="0.2"/>
    <row r="59434" customFormat="1" x14ac:dyDescent="0.2"/>
    <row r="59435" customFormat="1" x14ac:dyDescent="0.2"/>
    <row r="59436" customFormat="1" x14ac:dyDescent="0.2"/>
    <row r="59437" customFormat="1" x14ac:dyDescent="0.2"/>
    <row r="59438" customFormat="1" x14ac:dyDescent="0.2"/>
    <row r="59439" customFormat="1" x14ac:dyDescent="0.2"/>
    <row r="59440" customFormat="1" x14ac:dyDescent="0.2"/>
    <row r="59441" customFormat="1" x14ac:dyDescent="0.2"/>
    <row r="59442" customFormat="1" x14ac:dyDescent="0.2"/>
    <row r="59443" customFormat="1" x14ac:dyDescent="0.2"/>
    <row r="59444" customFormat="1" x14ac:dyDescent="0.2"/>
    <row r="59445" customFormat="1" x14ac:dyDescent="0.2"/>
    <row r="59446" customFormat="1" x14ac:dyDescent="0.2"/>
    <row r="59447" customFormat="1" x14ac:dyDescent="0.2"/>
    <row r="59448" customFormat="1" x14ac:dyDescent="0.2"/>
    <row r="59449" customFormat="1" x14ac:dyDescent="0.2"/>
    <row r="59450" customFormat="1" x14ac:dyDescent="0.2"/>
    <row r="59451" customFormat="1" x14ac:dyDescent="0.2"/>
    <row r="59452" customFormat="1" x14ac:dyDescent="0.2"/>
    <row r="59453" customFormat="1" x14ac:dyDescent="0.2"/>
    <row r="59454" customFormat="1" x14ac:dyDescent="0.2"/>
    <row r="59455" customFormat="1" x14ac:dyDescent="0.2"/>
    <row r="59456" customFormat="1" x14ac:dyDescent="0.2"/>
    <row r="59457" customFormat="1" x14ac:dyDescent="0.2"/>
    <row r="59458" customFormat="1" x14ac:dyDescent="0.2"/>
    <row r="59459" customFormat="1" x14ac:dyDescent="0.2"/>
    <row r="59460" customFormat="1" x14ac:dyDescent="0.2"/>
    <row r="59461" customFormat="1" x14ac:dyDescent="0.2"/>
    <row r="59462" customFormat="1" x14ac:dyDescent="0.2"/>
    <row r="59463" customFormat="1" x14ac:dyDescent="0.2"/>
    <row r="59464" customFormat="1" x14ac:dyDescent="0.2"/>
    <row r="59465" customFormat="1" x14ac:dyDescent="0.2"/>
    <row r="59466" customFormat="1" x14ac:dyDescent="0.2"/>
    <row r="59467" customFormat="1" x14ac:dyDescent="0.2"/>
    <row r="59468" customFormat="1" x14ac:dyDescent="0.2"/>
    <row r="59469" customFormat="1" x14ac:dyDescent="0.2"/>
    <row r="59470" customFormat="1" x14ac:dyDescent="0.2"/>
    <row r="59471" customFormat="1" x14ac:dyDescent="0.2"/>
    <row r="59472" customFormat="1" x14ac:dyDescent="0.2"/>
    <row r="59473" customFormat="1" x14ac:dyDescent="0.2"/>
    <row r="59474" customFormat="1" x14ac:dyDescent="0.2"/>
    <row r="59475" customFormat="1" x14ac:dyDescent="0.2"/>
    <row r="59476" customFormat="1" x14ac:dyDescent="0.2"/>
    <row r="59477" customFormat="1" x14ac:dyDescent="0.2"/>
    <row r="59478" customFormat="1" x14ac:dyDescent="0.2"/>
    <row r="59479" customFormat="1" x14ac:dyDescent="0.2"/>
    <row r="59480" customFormat="1" x14ac:dyDescent="0.2"/>
    <row r="59481" customFormat="1" x14ac:dyDescent="0.2"/>
    <row r="59482" customFormat="1" x14ac:dyDescent="0.2"/>
    <row r="59483" customFormat="1" x14ac:dyDescent="0.2"/>
    <row r="59484" customFormat="1" x14ac:dyDescent="0.2"/>
    <row r="59485" customFormat="1" x14ac:dyDescent="0.2"/>
    <row r="59486" customFormat="1" x14ac:dyDescent="0.2"/>
    <row r="59487" customFormat="1" x14ac:dyDescent="0.2"/>
    <row r="59488" customFormat="1" x14ac:dyDescent="0.2"/>
    <row r="59489" customFormat="1" x14ac:dyDescent="0.2"/>
    <row r="59490" customFormat="1" x14ac:dyDescent="0.2"/>
    <row r="59491" customFormat="1" x14ac:dyDescent="0.2"/>
    <row r="59492" customFormat="1" x14ac:dyDescent="0.2"/>
    <row r="59493" customFormat="1" x14ac:dyDescent="0.2"/>
    <row r="59494" customFormat="1" x14ac:dyDescent="0.2"/>
    <row r="59495" customFormat="1" x14ac:dyDescent="0.2"/>
    <row r="59496" customFormat="1" x14ac:dyDescent="0.2"/>
    <row r="59497" customFormat="1" x14ac:dyDescent="0.2"/>
    <row r="59498" customFormat="1" x14ac:dyDescent="0.2"/>
    <row r="59499" customFormat="1" x14ac:dyDescent="0.2"/>
    <row r="59500" customFormat="1" x14ac:dyDescent="0.2"/>
    <row r="59501" customFormat="1" x14ac:dyDescent="0.2"/>
    <row r="59502" customFormat="1" x14ac:dyDescent="0.2"/>
    <row r="59503" customFormat="1" x14ac:dyDescent="0.2"/>
    <row r="59504" customFormat="1" x14ac:dyDescent="0.2"/>
    <row r="59505" customFormat="1" x14ac:dyDescent="0.2"/>
    <row r="59506" customFormat="1" x14ac:dyDescent="0.2"/>
    <row r="59507" customFormat="1" x14ac:dyDescent="0.2"/>
    <row r="59508" customFormat="1" x14ac:dyDescent="0.2"/>
    <row r="59509" customFormat="1" x14ac:dyDescent="0.2"/>
    <row r="59510" customFormat="1" x14ac:dyDescent="0.2"/>
    <row r="59511" customFormat="1" x14ac:dyDescent="0.2"/>
    <row r="59512" customFormat="1" x14ac:dyDescent="0.2"/>
    <row r="59513" customFormat="1" x14ac:dyDescent="0.2"/>
    <row r="59514" customFormat="1" x14ac:dyDescent="0.2"/>
    <row r="59515" customFormat="1" x14ac:dyDescent="0.2"/>
    <row r="59516" customFormat="1" x14ac:dyDescent="0.2"/>
    <row r="59517" customFormat="1" x14ac:dyDescent="0.2"/>
    <row r="59518" customFormat="1" x14ac:dyDescent="0.2"/>
    <row r="59519" customFormat="1" x14ac:dyDescent="0.2"/>
    <row r="59520" customFormat="1" x14ac:dyDescent="0.2"/>
    <row r="59521" customFormat="1" x14ac:dyDescent="0.2"/>
    <row r="59522" customFormat="1" x14ac:dyDescent="0.2"/>
    <row r="59523" customFormat="1" x14ac:dyDescent="0.2"/>
    <row r="59524" customFormat="1" x14ac:dyDescent="0.2"/>
    <row r="59525" customFormat="1" x14ac:dyDescent="0.2"/>
    <row r="59526" customFormat="1" x14ac:dyDescent="0.2"/>
    <row r="59527" customFormat="1" x14ac:dyDescent="0.2"/>
    <row r="59528" customFormat="1" x14ac:dyDescent="0.2"/>
    <row r="59529" customFormat="1" x14ac:dyDescent="0.2"/>
    <row r="59530" customFormat="1" x14ac:dyDescent="0.2"/>
    <row r="59531" customFormat="1" x14ac:dyDescent="0.2"/>
    <row r="59532" customFormat="1" x14ac:dyDescent="0.2"/>
    <row r="59533" customFormat="1" x14ac:dyDescent="0.2"/>
    <row r="59534" customFormat="1" x14ac:dyDescent="0.2"/>
    <row r="59535" customFormat="1" x14ac:dyDescent="0.2"/>
    <row r="59536" customFormat="1" x14ac:dyDescent="0.2"/>
    <row r="59537" customFormat="1" x14ac:dyDescent="0.2"/>
    <row r="59538" customFormat="1" x14ac:dyDescent="0.2"/>
    <row r="59539" customFormat="1" x14ac:dyDescent="0.2"/>
    <row r="59540" customFormat="1" x14ac:dyDescent="0.2"/>
    <row r="59541" customFormat="1" x14ac:dyDescent="0.2"/>
    <row r="59542" customFormat="1" x14ac:dyDescent="0.2"/>
    <row r="59543" customFormat="1" x14ac:dyDescent="0.2"/>
    <row r="59544" customFormat="1" x14ac:dyDescent="0.2"/>
    <row r="59545" customFormat="1" x14ac:dyDescent="0.2"/>
    <row r="59546" customFormat="1" x14ac:dyDescent="0.2"/>
    <row r="59547" customFormat="1" x14ac:dyDescent="0.2"/>
    <row r="59548" customFormat="1" x14ac:dyDescent="0.2"/>
    <row r="59549" customFormat="1" x14ac:dyDescent="0.2"/>
    <row r="59550" customFormat="1" x14ac:dyDescent="0.2"/>
    <row r="59551" customFormat="1" x14ac:dyDescent="0.2"/>
    <row r="59552" customFormat="1" x14ac:dyDescent="0.2"/>
    <row r="59553" customFormat="1" x14ac:dyDescent="0.2"/>
    <row r="59554" customFormat="1" x14ac:dyDescent="0.2"/>
    <row r="59555" customFormat="1" x14ac:dyDescent="0.2"/>
    <row r="59556" customFormat="1" x14ac:dyDescent="0.2"/>
    <row r="59557" customFormat="1" x14ac:dyDescent="0.2"/>
    <row r="59558" customFormat="1" x14ac:dyDescent="0.2"/>
    <row r="59559" customFormat="1" x14ac:dyDescent="0.2"/>
    <row r="59560" customFormat="1" x14ac:dyDescent="0.2"/>
    <row r="59561" customFormat="1" x14ac:dyDescent="0.2"/>
    <row r="59562" customFormat="1" x14ac:dyDescent="0.2"/>
    <row r="59563" customFormat="1" x14ac:dyDescent="0.2"/>
    <row r="59564" customFormat="1" x14ac:dyDescent="0.2"/>
    <row r="59565" customFormat="1" x14ac:dyDescent="0.2"/>
    <row r="59566" customFormat="1" x14ac:dyDescent="0.2"/>
    <row r="59567" customFormat="1" x14ac:dyDescent="0.2"/>
    <row r="59568" customFormat="1" x14ac:dyDescent="0.2"/>
    <row r="59569" customFormat="1" x14ac:dyDescent="0.2"/>
    <row r="59570" customFormat="1" x14ac:dyDescent="0.2"/>
    <row r="59571" customFormat="1" x14ac:dyDescent="0.2"/>
    <row r="59572" customFormat="1" x14ac:dyDescent="0.2"/>
    <row r="59573" customFormat="1" x14ac:dyDescent="0.2"/>
    <row r="59574" customFormat="1" x14ac:dyDescent="0.2"/>
    <row r="59575" customFormat="1" x14ac:dyDescent="0.2"/>
    <row r="59576" customFormat="1" x14ac:dyDescent="0.2"/>
    <row r="59577" customFormat="1" x14ac:dyDescent="0.2"/>
    <row r="59578" customFormat="1" x14ac:dyDescent="0.2"/>
    <row r="59579" customFormat="1" x14ac:dyDescent="0.2"/>
    <row r="59580" customFormat="1" x14ac:dyDescent="0.2"/>
    <row r="59581" customFormat="1" x14ac:dyDescent="0.2"/>
    <row r="59582" customFormat="1" x14ac:dyDescent="0.2"/>
    <row r="59583" customFormat="1" x14ac:dyDescent="0.2"/>
    <row r="59584" customFormat="1" x14ac:dyDescent="0.2"/>
    <row r="59585" customFormat="1" x14ac:dyDescent="0.2"/>
    <row r="59586" customFormat="1" x14ac:dyDescent="0.2"/>
    <row r="59587" customFormat="1" x14ac:dyDescent="0.2"/>
    <row r="59588" customFormat="1" x14ac:dyDescent="0.2"/>
    <row r="59589" customFormat="1" x14ac:dyDescent="0.2"/>
    <row r="59590" customFormat="1" x14ac:dyDescent="0.2"/>
    <row r="59591" customFormat="1" x14ac:dyDescent="0.2"/>
    <row r="59592" customFormat="1" x14ac:dyDescent="0.2"/>
    <row r="59593" customFormat="1" x14ac:dyDescent="0.2"/>
    <row r="59594" customFormat="1" x14ac:dyDescent="0.2"/>
    <row r="59595" customFormat="1" x14ac:dyDescent="0.2"/>
    <row r="59596" customFormat="1" x14ac:dyDescent="0.2"/>
    <row r="59597" customFormat="1" x14ac:dyDescent="0.2"/>
    <row r="59598" customFormat="1" x14ac:dyDescent="0.2"/>
    <row r="59599" customFormat="1" x14ac:dyDescent="0.2"/>
    <row r="59600" customFormat="1" x14ac:dyDescent="0.2"/>
    <row r="59601" customFormat="1" x14ac:dyDescent="0.2"/>
    <row r="59602" customFormat="1" x14ac:dyDescent="0.2"/>
    <row r="59603" customFormat="1" x14ac:dyDescent="0.2"/>
    <row r="59604" customFormat="1" x14ac:dyDescent="0.2"/>
    <row r="59605" customFormat="1" x14ac:dyDescent="0.2"/>
    <row r="59606" customFormat="1" x14ac:dyDescent="0.2"/>
    <row r="59607" customFormat="1" x14ac:dyDescent="0.2"/>
    <row r="59608" customFormat="1" x14ac:dyDescent="0.2"/>
    <row r="59609" customFormat="1" x14ac:dyDescent="0.2"/>
    <row r="59610" customFormat="1" x14ac:dyDescent="0.2"/>
    <row r="59611" customFormat="1" x14ac:dyDescent="0.2"/>
    <row r="59612" customFormat="1" x14ac:dyDescent="0.2"/>
    <row r="59613" customFormat="1" x14ac:dyDescent="0.2"/>
    <row r="59614" customFormat="1" x14ac:dyDescent="0.2"/>
    <row r="59615" customFormat="1" x14ac:dyDescent="0.2"/>
    <row r="59616" customFormat="1" x14ac:dyDescent="0.2"/>
    <row r="59617" customFormat="1" x14ac:dyDescent="0.2"/>
    <row r="59618" customFormat="1" x14ac:dyDescent="0.2"/>
    <row r="59619" customFormat="1" x14ac:dyDescent="0.2"/>
    <row r="59620" customFormat="1" x14ac:dyDescent="0.2"/>
    <row r="59621" customFormat="1" x14ac:dyDescent="0.2"/>
    <row r="59622" customFormat="1" x14ac:dyDescent="0.2"/>
    <row r="59623" customFormat="1" x14ac:dyDescent="0.2"/>
    <row r="59624" customFormat="1" x14ac:dyDescent="0.2"/>
    <row r="59625" customFormat="1" x14ac:dyDescent="0.2"/>
    <row r="59626" customFormat="1" x14ac:dyDescent="0.2"/>
    <row r="59627" customFormat="1" x14ac:dyDescent="0.2"/>
    <row r="59628" customFormat="1" x14ac:dyDescent="0.2"/>
    <row r="59629" customFormat="1" x14ac:dyDescent="0.2"/>
    <row r="59630" customFormat="1" x14ac:dyDescent="0.2"/>
    <row r="59631" customFormat="1" x14ac:dyDescent="0.2"/>
    <row r="59632" customFormat="1" x14ac:dyDescent="0.2"/>
    <row r="59633" customFormat="1" x14ac:dyDescent="0.2"/>
    <row r="59634" customFormat="1" x14ac:dyDescent="0.2"/>
    <row r="59635" customFormat="1" x14ac:dyDescent="0.2"/>
    <row r="59636" customFormat="1" x14ac:dyDescent="0.2"/>
    <row r="59637" customFormat="1" x14ac:dyDescent="0.2"/>
    <row r="59638" customFormat="1" x14ac:dyDescent="0.2"/>
    <row r="59639" customFormat="1" x14ac:dyDescent="0.2"/>
    <row r="59640" customFormat="1" x14ac:dyDescent="0.2"/>
    <row r="59641" customFormat="1" x14ac:dyDescent="0.2"/>
    <row r="59642" customFormat="1" x14ac:dyDescent="0.2"/>
    <row r="59643" customFormat="1" x14ac:dyDescent="0.2"/>
    <row r="59644" customFormat="1" x14ac:dyDescent="0.2"/>
    <row r="59645" customFormat="1" x14ac:dyDescent="0.2"/>
    <row r="59646" customFormat="1" x14ac:dyDescent="0.2"/>
    <row r="59647" customFormat="1" x14ac:dyDescent="0.2"/>
    <row r="59648" customFormat="1" x14ac:dyDescent="0.2"/>
    <row r="59649" customFormat="1" x14ac:dyDescent="0.2"/>
    <row r="59650" customFormat="1" x14ac:dyDescent="0.2"/>
    <row r="59651" customFormat="1" x14ac:dyDescent="0.2"/>
    <row r="59652" customFormat="1" x14ac:dyDescent="0.2"/>
    <row r="59653" customFormat="1" x14ac:dyDescent="0.2"/>
    <row r="59654" customFormat="1" x14ac:dyDescent="0.2"/>
    <row r="59655" customFormat="1" x14ac:dyDescent="0.2"/>
    <row r="59656" customFormat="1" x14ac:dyDescent="0.2"/>
    <row r="59657" customFormat="1" x14ac:dyDescent="0.2"/>
    <row r="59658" customFormat="1" x14ac:dyDescent="0.2"/>
    <row r="59659" customFormat="1" x14ac:dyDescent="0.2"/>
    <row r="59660" customFormat="1" x14ac:dyDescent="0.2"/>
    <row r="59661" customFormat="1" x14ac:dyDescent="0.2"/>
    <row r="59662" customFormat="1" x14ac:dyDescent="0.2"/>
    <row r="59663" customFormat="1" x14ac:dyDescent="0.2"/>
    <row r="59664" customFormat="1" x14ac:dyDescent="0.2"/>
    <row r="59665" customFormat="1" x14ac:dyDescent="0.2"/>
    <row r="59666" customFormat="1" x14ac:dyDescent="0.2"/>
    <row r="59667" customFormat="1" x14ac:dyDescent="0.2"/>
    <row r="59668" customFormat="1" x14ac:dyDescent="0.2"/>
    <row r="59669" customFormat="1" x14ac:dyDescent="0.2"/>
    <row r="59670" customFormat="1" x14ac:dyDescent="0.2"/>
    <row r="59671" customFormat="1" x14ac:dyDescent="0.2"/>
    <row r="59672" customFormat="1" x14ac:dyDescent="0.2"/>
    <row r="59673" customFormat="1" x14ac:dyDescent="0.2"/>
    <row r="59674" customFormat="1" x14ac:dyDescent="0.2"/>
    <row r="59675" customFormat="1" x14ac:dyDescent="0.2"/>
    <row r="59676" customFormat="1" x14ac:dyDescent="0.2"/>
    <row r="59677" customFormat="1" x14ac:dyDescent="0.2"/>
    <row r="59678" customFormat="1" x14ac:dyDescent="0.2"/>
    <row r="59679" customFormat="1" x14ac:dyDescent="0.2"/>
    <row r="59680" customFormat="1" x14ac:dyDescent="0.2"/>
    <row r="59681" customFormat="1" x14ac:dyDescent="0.2"/>
    <row r="59682" customFormat="1" x14ac:dyDescent="0.2"/>
    <row r="59683" customFormat="1" x14ac:dyDescent="0.2"/>
    <row r="59684" customFormat="1" x14ac:dyDescent="0.2"/>
    <row r="59685" customFormat="1" x14ac:dyDescent="0.2"/>
    <row r="59686" customFormat="1" x14ac:dyDescent="0.2"/>
    <row r="59687" customFormat="1" x14ac:dyDescent="0.2"/>
    <row r="59688" customFormat="1" x14ac:dyDescent="0.2"/>
    <row r="59689" customFormat="1" x14ac:dyDescent="0.2"/>
    <row r="59690" customFormat="1" x14ac:dyDescent="0.2"/>
    <row r="59691" customFormat="1" x14ac:dyDescent="0.2"/>
    <row r="59692" customFormat="1" x14ac:dyDescent="0.2"/>
    <row r="59693" customFormat="1" x14ac:dyDescent="0.2"/>
    <row r="59694" customFormat="1" x14ac:dyDescent="0.2"/>
    <row r="59695" customFormat="1" x14ac:dyDescent="0.2"/>
    <row r="59696" customFormat="1" x14ac:dyDescent="0.2"/>
    <row r="59697" customFormat="1" x14ac:dyDescent="0.2"/>
    <row r="59698" customFormat="1" x14ac:dyDescent="0.2"/>
    <row r="59699" customFormat="1" x14ac:dyDescent="0.2"/>
    <row r="59700" customFormat="1" x14ac:dyDescent="0.2"/>
    <row r="59701" customFormat="1" x14ac:dyDescent="0.2"/>
    <row r="59702" customFormat="1" x14ac:dyDescent="0.2"/>
    <row r="59703" customFormat="1" x14ac:dyDescent="0.2"/>
    <row r="59704" customFormat="1" x14ac:dyDescent="0.2"/>
    <row r="59705" customFormat="1" x14ac:dyDescent="0.2"/>
    <row r="59706" customFormat="1" x14ac:dyDescent="0.2"/>
    <row r="59707" customFormat="1" x14ac:dyDescent="0.2"/>
    <row r="59708" customFormat="1" x14ac:dyDescent="0.2"/>
    <row r="59709" customFormat="1" x14ac:dyDescent="0.2"/>
    <row r="59710" customFormat="1" x14ac:dyDescent="0.2"/>
    <row r="59711" customFormat="1" x14ac:dyDescent="0.2"/>
    <row r="59712" customFormat="1" x14ac:dyDescent="0.2"/>
    <row r="59713" customFormat="1" x14ac:dyDescent="0.2"/>
    <row r="59714" customFormat="1" x14ac:dyDescent="0.2"/>
    <row r="59715" customFormat="1" x14ac:dyDescent="0.2"/>
    <row r="59716" customFormat="1" x14ac:dyDescent="0.2"/>
    <row r="59717" customFormat="1" x14ac:dyDescent="0.2"/>
    <row r="59718" customFormat="1" x14ac:dyDescent="0.2"/>
    <row r="59719" customFormat="1" x14ac:dyDescent="0.2"/>
    <row r="59720" customFormat="1" x14ac:dyDescent="0.2"/>
    <row r="59721" customFormat="1" x14ac:dyDescent="0.2"/>
    <row r="59722" customFormat="1" x14ac:dyDescent="0.2"/>
    <row r="59723" customFormat="1" x14ac:dyDescent="0.2"/>
    <row r="59724" customFormat="1" x14ac:dyDescent="0.2"/>
    <row r="59725" customFormat="1" x14ac:dyDescent="0.2"/>
    <row r="59726" customFormat="1" x14ac:dyDescent="0.2"/>
    <row r="59727" customFormat="1" x14ac:dyDescent="0.2"/>
    <row r="59728" customFormat="1" x14ac:dyDescent="0.2"/>
    <row r="59729" customFormat="1" x14ac:dyDescent="0.2"/>
    <row r="59730" customFormat="1" x14ac:dyDescent="0.2"/>
    <row r="59731" customFormat="1" x14ac:dyDescent="0.2"/>
    <row r="59732" customFormat="1" x14ac:dyDescent="0.2"/>
    <row r="59733" customFormat="1" x14ac:dyDescent="0.2"/>
    <row r="59734" customFormat="1" x14ac:dyDescent="0.2"/>
    <row r="59735" customFormat="1" x14ac:dyDescent="0.2"/>
    <row r="59736" customFormat="1" x14ac:dyDescent="0.2"/>
    <row r="59737" customFormat="1" x14ac:dyDescent="0.2"/>
    <row r="59738" customFormat="1" x14ac:dyDescent="0.2"/>
    <row r="59739" customFormat="1" x14ac:dyDescent="0.2"/>
    <row r="59740" customFormat="1" x14ac:dyDescent="0.2"/>
    <row r="59741" customFormat="1" x14ac:dyDescent="0.2"/>
    <row r="59742" customFormat="1" x14ac:dyDescent="0.2"/>
    <row r="59743" customFormat="1" x14ac:dyDescent="0.2"/>
    <row r="59744" customFormat="1" x14ac:dyDescent="0.2"/>
    <row r="59745" customFormat="1" x14ac:dyDescent="0.2"/>
    <row r="59746" customFormat="1" x14ac:dyDescent="0.2"/>
    <row r="59747" customFormat="1" x14ac:dyDescent="0.2"/>
    <row r="59748" customFormat="1" x14ac:dyDescent="0.2"/>
    <row r="59749" customFormat="1" x14ac:dyDescent="0.2"/>
    <row r="59750" customFormat="1" x14ac:dyDescent="0.2"/>
    <row r="59751" customFormat="1" x14ac:dyDescent="0.2"/>
    <row r="59752" customFormat="1" x14ac:dyDescent="0.2"/>
    <row r="59753" customFormat="1" x14ac:dyDescent="0.2"/>
    <row r="59754" customFormat="1" x14ac:dyDescent="0.2"/>
    <row r="59755" customFormat="1" x14ac:dyDescent="0.2"/>
    <row r="59756" customFormat="1" x14ac:dyDescent="0.2"/>
    <row r="59757" customFormat="1" x14ac:dyDescent="0.2"/>
    <row r="59758" customFormat="1" x14ac:dyDescent="0.2"/>
    <row r="59759" customFormat="1" x14ac:dyDescent="0.2"/>
    <row r="59760" customFormat="1" x14ac:dyDescent="0.2"/>
    <row r="59761" customFormat="1" x14ac:dyDescent="0.2"/>
    <row r="59762" customFormat="1" x14ac:dyDescent="0.2"/>
    <row r="59763" customFormat="1" x14ac:dyDescent="0.2"/>
    <row r="59764" customFormat="1" x14ac:dyDescent="0.2"/>
    <row r="59765" customFormat="1" x14ac:dyDescent="0.2"/>
    <row r="59766" customFormat="1" x14ac:dyDescent="0.2"/>
    <row r="59767" customFormat="1" x14ac:dyDescent="0.2"/>
    <row r="59768" customFormat="1" x14ac:dyDescent="0.2"/>
    <row r="59769" customFormat="1" x14ac:dyDescent="0.2"/>
    <row r="59770" customFormat="1" x14ac:dyDescent="0.2"/>
    <row r="59771" customFormat="1" x14ac:dyDescent="0.2"/>
    <row r="59772" customFormat="1" x14ac:dyDescent="0.2"/>
    <row r="59773" customFormat="1" x14ac:dyDescent="0.2"/>
    <row r="59774" customFormat="1" x14ac:dyDescent="0.2"/>
    <row r="59775" customFormat="1" x14ac:dyDescent="0.2"/>
    <row r="59776" customFormat="1" x14ac:dyDescent="0.2"/>
    <row r="59777" customFormat="1" x14ac:dyDescent="0.2"/>
    <row r="59778" customFormat="1" x14ac:dyDescent="0.2"/>
    <row r="59779" customFormat="1" x14ac:dyDescent="0.2"/>
    <row r="59780" customFormat="1" x14ac:dyDescent="0.2"/>
    <row r="59781" customFormat="1" x14ac:dyDescent="0.2"/>
    <row r="59782" customFormat="1" x14ac:dyDescent="0.2"/>
    <row r="59783" customFormat="1" x14ac:dyDescent="0.2"/>
    <row r="59784" customFormat="1" x14ac:dyDescent="0.2"/>
    <row r="59785" customFormat="1" x14ac:dyDescent="0.2"/>
    <row r="59786" customFormat="1" x14ac:dyDescent="0.2"/>
    <row r="59787" customFormat="1" x14ac:dyDescent="0.2"/>
    <row r="59788" customFormat="1" x14ac:dyDescent="0.2"/>
    <row r="59789" customFormat="1" x14ac:dyDescent="0.2"/>
    <row r="59790" customFormat="1" x14ac:dyDescent="0.2"/>
    <row r="59791" customFormat="1" x14ac:dyDescent="0.2"/>
    <row r="59792" customFormat="1" x14ac:dyDescent="0.2"/>
    <row r="59793" customFormat="1" x14ac:dyDescent="0.2"/>
    <row r="59794" customFormat="1" x14ac:dyDescent="0.2"/>
    <row r="59795" customFormat="1" x14ac:dyDescent="0.2"/>
    <row r="59796" customFormat="1" x14ac:dyDescent="0.2"/>
    <row r="59797" customFormat="1" x14ac:dyDescent="0.2"/>
    <row r="59798" customFormat="1" x14ac:dyDescent="0.2"/>
    <row r="59799" customFormat="1" x14ac:dyDescent="0.2"/>
    <row r="59800" customFormat="1" x14ac:dyDescent="0.2"/>
    <row r="59801" customFormat="1" x14ac:dyDescent="0.2"/>
    <row r="59802" customFormat="1" x14ac:dyDescent="0.2"/>
    <row r="59803" customFormat="1" x14ac:dyDescent="0.2"/>
    <row r="59804" customFormat="1" x14ac:dyDescent="0.2"/>
    <row r="59805" customFormat="1" x14ac:dyDescent="0.2"/>
    <row r="59806" customFormat="1" x14ac:dyDescent="0.2"/>
    <row r="59807" customFormat="1" x14ac:dyDescent="0.2"/>
    <row r="59808" customFormat="1" x14ac:dyDescent="0.2"/>
    <row r="59809" customFormat="1" x14ac:dyDescent="0.2"/>
    <row r="59810" customFormat="1" x14ac:dyDescent="0.2"/>
    <row r="59811" customFormat="1" x14ac:dyDescent="0.2"/>
    <row r="59812" customFormat="1" x14ac:dyDescent="0.2"/>
    <row r="59813" customFormat="1" x14ac:dyDescent="0.2"/>
    <row r="59814" customFormat="1" x14ac:dyDescent="0.2"/>
    <row r="59815" customFormat="1" x14ac:dyDescent="0.2"/>
    <row r="59816" customFormat="1" x14ac:dyDescent="0.2"/>
    <row r="59817" customFormat="1" x14ac:dyDescent="0.2"/>
    <row r="59818" customFormat="1" x14ac:dyDescent="0.2"/>
    <row r="59819" customFormat="1" x14ac:dyDescent="0.2"/>
    <row r="59820" customFormat="1" x14ac:dyDescent="0.2"/>
    <row r="59821" customFormat="1" x14ac:dyDescent="0.2"/>
    <row r="59822" customFormat="1" x14ac:dyDescent="0.2"/>
    <row r="59823" customFormat="1" x14ac:dyDescent="0.2"/>
    <row r="59824" customFormat="1" x14ac:dyDescent="0.2"/>
    <row r="59825" customFormat="1" x14ac:dyDescent="0.2"/>
    <row r="59826" customFormat="1" x14ac:dyDescent="0.2"/>
    <row r="59827" customFormat="1" x14ac:dyDescent="0.2"/>
    <row r="59828" customFormat="1" x14ac:dyDescent="0.2"/>
    <row r="59829" customFormat="1" x14ac:dyDescent="0.2"/>
    <row r="59830" customFormat="1" x14ac:dyDescent="0.2"/>
    <row r="59831" customFormat="1" x14ac:dyDescent="0.2"/>
    <row r="59832" customFormat="1" x14ac:dyDescent="0.2"/>
    <row r="59833" customFormat="1" x14ac:dyDescent="0.2"/>
    <row r="59834" customFormat="1" x14ac:dyDescent="0.2"/>
    <row r="59835" customFormat="1" x14ac:dyDescent="0.2"/>
    <row r="59836" customFormat="1" x14ac:dyDescent="0.2"/>
    <row r="59837" customFormat="1" x14ac:dyDescent="0.2"/>
    <row r="59838" customFormat="1" x14ac:dyDescent="0.2"/>
    <row r="59839" customFormat="1" x14ac:dyDescent="0.2"/>
    <row r="59840" customFormat="1" x14ac:dyDescent="0.2"/>
    <row r="59841" customFormat="1" x14ac:dyDescent="0.2"/>
    <row r="59842" customFormat="1" x14ac:dyDescent="0.2"/>
    <row r="59843" customFormat="1" x14ac:dyDescent="0.2"/>
    <row r="59844" customFormat="1" x14ac:dyDescent="0.2"/>
    <row r="59845" customFormat="1" x14ac:dyDescent="0.2"/>
    <row r="59846" customFormat="1" x14ac:dyDescent="0.2"/>
    <row r="59847" customFormat="1" x14ac:dyDescent="0.2"/>
    <row r="59848" customFormat="1" x14ac:dyDescent="0.2"/>
    <row r="59849" customFormat="1" x14ac:dyDescent="0.2"/>
    <row r="59850" customFormat="1" x14ac:dyDescent="0.2"/>
    <row r="59851" customFormat="1" x14ac:dyDescent="0.2"/>
    <row r="59852" customFormat="1" x14ac:dyDescent="0.2"/>
    <row r="59853" customFormat="1" x14ac:dyDescent="0.2"/>
    <row r="59854" customFormat="1" x14ac:dyDescent="0.2"/>
    <row r="59855" customFormat="1" x14ac:dyDescent="0.2"/>
    <row r="59856" customFormat="1" x14ac:dyDescent="0.2"/>
    <row r="59857" customFormat="1" x14ac:dyDescent="0.2"/>
    <row r="59858" customFormat="1" x14ac:dyDescent="0.2"/>
    <row r="59859" customFormat="1" x14ac:dyDescent="0.2"/>
    <row r="59860" customFormat="1" x14ac:dyDescent="0.2"/>
    <row r="59861" customFormat="1" x14ac:dyDescent="0.2"/>
    <row r="59862" customFormat="1" x14ac:dyDescent="0.2"/>
    <row r="59863" customFormat="1" x14ac:dyDescent="0.2"/>
    <row r="59864" customFormat="1" x14ac:dyDescent="0.2"/>
    <row r="59865" customFormat="1" x14ac:dyDescent="0.2"/>
    <row r="59866" customFormat="1" x14ac:dyDescent="0.2"/>
    <row r="59867" customFormat="1" x14ac:dyDescent="0.2"/>
    <row r="59868" customFormat="1" x14ac:dyDescent="0.2"/>
    <row r="59869" customFormat="1" x14ac:dyDescent="0.2"/>
    <row r="59870" customFormat="1" x14ac:dyDescent="0.2"/>
    <row r="59871" customFormat="1" x14ac:dyDescent="0.2"/>
    <row r="59872" customFormat="1" x14ac:dyDescent="0.2"/>
    <row r="59873" customFormat="1" x14ac:dyDescent="0.2"/>
    <row r="59874" customFormat="1" x14ac:dyDescent="0.2"/>
    <row r="59875" customFormat="1" x14ac:dyDescent="0.2"/>
    <row r="59876" customFormat="1" x14ac:dyDescent="0.2"/>
    <row r="59877" customFormat="1" x14ac:dyDescent="0.2"/>
    <row r="59878" customFormat="1" x14ac:dyDescent="0.2"/>
    <row r="59879" customFormat="1" x14ac:dyDescent="0.2"/>
    <row r="59880" customFormat="1" x14ac:dyDescent="0.2"/>
    <row r="59881" customFormat="1" x14ac:dyDescent="0.2"/>
    <row r="59882" customFormat="1" x14ac:dyDescent="0.2"/>
    <row r="59883" customFormat="1" x14ac:dyDescent="0.2"/>
    <row r="59884" customFormat="1" x14ac:dyDescent="0.2"/>
    <row r="59885" customFormat="1" x14ac:dyDescent="0.2"/>
    <row r="59886" customFormat="1" x14ac:dyDescent="0.2"/>
    <row r="59887" customFormat="1" x14ac:dyDescent="0.2"/>
    <row r="59888" customFormat="1" x14ac:dyDescent="0.2"/>
    <row r="59889" customFormat="1" x14ac:dyDescent="0.2"/>
    <row r="59890" customFormat="1" x14ac:dyDescent="0.2"/>
    <row r="59891" customFormat="1" x14ac:dyDescent="0.2"/>
    <row r="59892" customFormat="1" x14ac:dyDescent="0.2"/>
    <row r="59893" customFormat="1" x14ac:dyDescent="0.2"/>
    <row r="59894" customFormat="1" x14ac:dyDescent="0.2"/>
    <row r="59895" customFormat="1" x14ac:dyDescent="0.2"/>
    <row r="59896" customFormat="1" x14ac:dyDescent="0.2"/>
    <row r="59897" customFormat="1" x14ac:dyDescent="0.2"/>
    <row r="59898" customFormat="1" x14ac:dyDescent="0.2"/>
    <row r="59899" customFormat="1" x14ac:dyDescent="0.2"/>
    <row r="59900" customFormat="1" x14ac:dyDescent="0.2"/>
    <row r="59901" customFormat="1" x14ac:dyDescent="0.2"/>
    <row r="59902" customFormat="1" x14ac:dyDescent="0.2"/>
    <row r="59903" customFormat="1" x14ac:dyDescent="0.2"/>
    <row r="59904" customFormat="1" x14ac:dyDescent="0.2"/>
    <row r="59905" customFormat="1" x14ac:dyDescent="0.2"/>
    <row r="59906" customFormat="1" x14ac:dyDescent="0.2"/>
    <row r="59907" customFormat="1" x14ac:dyDescent="0.2"/>
    <row r="59908" customFormat="1" x14ac:dyDescent="0.2"/>
    <row r="59909" customFormat="1" x14ac:dyDescent="0.2"/>
    <row r="59910" customFormat="1" x14ac:dyDescent="0.2"/>
    <row r="59911" customFormat="1" x14ac:dyDescent="0.2"/>
    <row r="59912" customFormat="1" x14ac:dyDescent="0.2"/>
    <row r="59913" customFormat="1" x14ac:dyDescent="0.2"/>
    <row r="59914" customFormat="1" x14ac:dyDescent="0.2"/>
    <row r="59915" customFormat="1" x14ac:dyDescent="0.2"/>
    <row r="59916" customFormat="1" x14ac:dyDescent="0.2"/>
    <row r="59917" customFormat="1" x14ac:dyDescent="0.2"/>
    <row r="59918" customFormat="1" x14ac:dyDescent="0.2"/>
    <row r="59919" customFormat="1" x14ac:dyDescent="0.2"/>
    <row r="59920" customFormat="1" x14ac:dyDescent="0.2"/>
    <row r="59921" customFormat="1" x14ac:dyDescent="0.2"/>
    <row r="59922" customFormat="1" x14ac:dyDescent="0.2"/>
    <row r="59923" customFormat="1" x14ac:dyDescent="0.2"/>
    <row r="59924" customFormat="1" x14ac:dyDescent="0.2"/>
    <row r="59925" customFormat="1" x14ac:dyDescent="0.2"/>
    <row r="59926" customFormat="1" x14ac:dyDescent="0.2"/>
    <row r="59927" customFormat="1" x14ac:dyDescent="0.2"/>
    <row r="59928" customFormat="1" x14ac:dyDescent="0.2"/>
    <row r="59929" customFormat="1" x14ac:dyDescent="0.2"/>
    <row r="59930" customFormat="1" x14ac:dyDescent="0.2"/>
    <row r="59931" customFormat="1" x14ac:dyDescent="0.2"/>
    <row r="59932" customFormat="1" x14ac:dyDescent="0.2"/>
    <row r="59933" customFormat="1" x14ac:dyDescent="0.2"/>
    <row r="59934" customFormat="1" x14ac:dyDescent="0.2"/>
    <row r="59935" customFormat="1" x14ac:dyDescent="0.2"/>
    <row r="59936" customFormat="1" x14ac:dyDescent="0.2"/>
    <row r="59937" customFormat="1" x14ac:dyDescent="0.2"/>
    <row r="59938" customFormat="1" x14ac:dyDescent="0.2"/>
    <row r="59939" customFormat="1" x14ac:dyDescent="0.2"/>
    <row r="59940" customFormat="1" x14ac:dyDescent="0.2"/>
    <row r="59941" customFormat="1" x14ac:dyDescent="0.2"/>
    <row r="59942" customFormat="1" x14ac:dyDescent="0.2"/>
    <row r="59943" customFormat="1" x14ac:dyDescent="0.2"/>
    <row r="59944" customFormat="1" x14ac:dyDescent="0.2"/>
    <row r="59945" customFormat="1" x14ac:dyDescent="0.2"/>
    <row r="59946" customFormat="1" x14ac:dyDescent="0.2"/>
    <row r="59947" customFormat="1" x14ac:dyDescent="0.2"/>
    <row r="59948" customFormat="1" x14ac:dyDescent="0.2"/>
    <row r="59949" customFormat="1" x14ac:dyDescent="0.2"/>
    <row r="59950" customFormat="1" x14ac:dyDescent="0.2"/>
    <row r="59951" customFormat="1" x14ac:dyDescent="0.2"/>
    <row r="59952" customFormat="1" x14ac:dyDescent="0.2"/>
    <row r="59953" customFormat="1" x14ac:dyDescent="0.2"/>
    <row r="59954" customFormat="1" x14ac:dyDescent="0.2"/>
    <row r="59955" customFormat="1" x14ac:dyDescent="0.2"/>
    <row r="59956" customFormat="1" x14ac:dyDescent="0.2"/>
    <row r="59957" customFormat="1" x14ac:dyDescent="0.2"/>
    <row r="59958" customFormat="1" x14ac:dyDescent="0.2"/>
    <row r="59959" customFormat="1" x14ac:dyDescent="0.2"/>
    <row r="59960" customFormat="1" x14ac:dyDescent="0.2"/>
    <row r="59961" customFormat="1" x14ac:dyDescent="0.2"/>
    <row r="59962" customFormat="1" x14ac:dyDescent="0.2"/>
    <row r="59963" customFormat="1" x14ac:dyDescent="0.2"/>
    <row r="59964" customFormat="1" x14ac:dyDescent="0.2"/>
    <row r="59965" customFormat="1" x14ac:dyDescent="0.2"/>
    <row r="59966" customFormat="1" x14ac:dyDescent="0.2"/>
    <row r="59967" customFormat="1" x14ac:dyDescent="0.2"/>
    <row r="59968" customFormat="1" x14ac:dyDescent="0.2"/>
    <row r="59969" customFormat="1" x14ac:dyDescent="0.2"/>
    <row r="59970" customFormat="1" x14ac:dyDescent="0.2"/>
    <row r="59971" customFormat="1" x14ac:dyDescent="0.2"/>
    <row r="59972" customFormat="1" x14ac:dyDescent="0.2"/>
    <row r="59973" customFormat="1" x14ac:dyDescent="0.2"/>
    <row r="59974" customFormat="1" x14ac:dyDescent="0.2"/>
    <row r="59975" customFormat="1" x14ac:dyDescent="0.2"/>
    <row r="59976" customFormat="1" x14ac:dyDescent="0.2"/>
    <row r="59977" customFormat="1" x14ac:dyDescent="0.2"/>
    <row r="59978" customFormat="1" x14ac:dyDescent="0.2"/>
    <row r="59979" customFormat="1" x14ac:dyDescent="0.2"/>
    <row r="59980" customFormat="1" x14ac:dyDescent="0.2"/>
    <row r="59981" customFormat="1" x14ac:dyDescent="0.2"/>
    <row r="59982" customFormat="1" x14ac:dyDescent="0.2"/>
    <row r="59983" customFormat="1" x14ac:dyDescent="0.2"/>
    <row r="59984" customFormat="1" x14ac:dyDescent="0.2"/>
    <row r="59985" customFormat="1" x14ac:dyDescent="0.2"/>
    <row r="59986" customFormat="1" x14ac:dyDescent="0.2"/>
    <row r="59987" customFormat="1" x14ac:dyDescent="0.2"/>
    <row r="59988" customFormat="1" x14ac:dyDescent="0.2"/>
    <row r="59989" customFormat="1" x14ac:dyDescent="0.2"/>
    <row r="59990" customFormat="1" x14ac:dyDescent="0.2"/>
    <row r="59991" customFormat="1" x14ac:dyDescent="0.2"/>
    <row r="59992" customFormat="1" x14ac:dyDescent="0.2"/>
    <row r="59993" customFormat="1" x14ac:dyDescent="0.2"/>
    <row r="59994" customFormat="1" x14ac:dyDescent="0.2"/>
    <row r="59995" customFormat="1" x14ac:dyDescent="0.2"/>
    <row r="59996" customFormat="1" x14ac:dyDescent="0.2"/>
    <row r="59997" customFormat="1" x14ac:dyDescent="0.2"/>
    <row r="59998" customFormat="1" x14ac:dyDescent="0.2"/>
    <row r="59999" customFormat="1" x14ac:dyDescent="0.2"/>
    <row r="60000" customFormat="1" x14ac:dyDescent="0.2"/>
    <row r="60001" customFormat="1" x14ac:dyDescent="0.2"/>
    <row r="60002" customFormat="1" x14ac:dyDescent="0.2"/>
    <row r="60003" customFormat="1" x14ac:dyDescent="0.2"/>
    <row r="60004" customFormat="1" x14ac:dyDescent="0.2"/>
    <row r="60005" customFormat="1" x14ac:dyDescent="0.2"/>
    <row r="60006" customFormat="1" x14ac:dyDescent="0.2"/>
    <row r="60007" customFormat="1" x14ac:dyDescent="0.2"/>
    <row r="60008" customFormat="1" x14ac:dyDescent="0.2"/>
    <row r="60009" customFormat="1" x14ac:dyDescent="0.2"/>
    <row r="60010" customFormat="1" x14ac:dyDescent="0.2"/>
    <row r="60011" customFormat="1" x14ac:dyDescent="0.2"/>
    <row r="60012" customFormat="1" x14ac:dyDescent="0.2"/>
    <row r="60013" customFormat="1" x14ac:dyDescent="0.2"/>
    <row r="60014" customFormat="1" x14ac:dyDescent="0.2"/>
    <row r="60015" customFormat="1" x14ac:dyDescent="0.2"/>
    <row r="60016" customFormat="1" x14ac:dyDescent="0.2"/>
    <row r="60017" customFormat="1" x14ac:dyDescent="0.2"/>
    <row r="60018" customFormat="1" x14ac:dyDescent="0.2"/>
    <row r="60019" customFormat="1" x14ac:dyDescent="0.2"/>
    <row r="60020" customFormat="1" x14ac:dyDescent="0.2"/>
    <row r="60021" customFormat="1" x14ac:dyDescent="0.2"/>
    <row r="60022" customFormat="1" x14ac:dyDescent="0.2"/>
    <row r="60023" customFormat="1" x14ac:dyDescent="0.2"/>
    <row r="60024" customFormat="1" x14ac:dyDescent="0.2"/>
    <row r="60025" customFormat="1" x14ac:dyDescent="0.2"/>
    <row r="60026" customFormat="1" x14ac:dyDescent="0.2"/>
    <row r="60027" customFormat="1" x14ac:dyDescent="0.2"/>
    <row r="60028" customFormat="1" x14ac:dyDescent="0.2"/>
    <row r="60029" customFormat="1" x14ac:dyDescent="0.2"/>
    <row r="60030" customFormat="1" x14ac:dyDescent="0.2"/>
    <row r="60031" customFormat="1" x14ac:dyDescent="0.2"/>
    <row r="60032" customFormat="1" x14ac:dyDescent="0.2"/>
    <row r="60033" customFormat="1" x14ac:dyDescent="0.2"/>
    <row r="60034" customFormat="1" x14ac:dyDescent="0.2"/>
    <row r="60035" customFormat="1" x14ac:dyDescent="0.2"/>
    <row r="60036" customFormat="1" x14ac:dyDescent="0.2"/>
    <row r="60037" customFormat="1" x14ac:dyDescent="0.2"/>
    <row r="60038" customFormat="1" x14ac:dyDescent="0.2"/>
    <row r="60039" customFormat="1" x14ac:dyDescent="0.2"/>
    <row r="60040" customFormat="1" x14ac:dyDescent="0.2"/>
    <row r="60041" customFormat="1" x14ac:dyDescent="0.2"/>
    <row r="60042" customFormat="1" x14ac:dyDescent="0.2"/>
    <row r="60043" customFormat="1" x14ac:dyDescent="0.2"/>
    <row r="60044" customFormat="1" x14ac:dyDescent="0.2"/>
    <row r="60045" customFormat="1" x14ac:dyDescent="0.2"/>
    <row r="60046" customFormat="1" x14ac:dyDescent="0.2"/>
    <row r="60047" customFormat="1" x14ac:dyDescent="0.2"/>
    <row r="60048" customFormat="1" x14ac:dyDescent="0.2"/>
    <row r="60049" customFormat="1" x14ac:dyDescent="0.2"/>
    <row r="60050" customFormat="1" x14ac:dyDescent="0.2"/>
    <row r="60051" customFormat="1" x14ac:dyDescent="0.2"/>
    <row r="60052" customFormat="1" x14ac:dyDescent="0.2"/>
    <row r="60053" customFormat="1" x14ac:dyDescent="0.2"/>
    <row r="60054" customFormat="1" x14ac:dyDescent="0.2"/>
    <row r="60055" customFormat="1" x14ac:dyDescent="0.2"/>
    <row r="60056" customFormat="1" x14ac:dyDescent="0.2"/>
    <row r="60057" customFormat="1" x14ac:dyDescent="0.2"/>
    <row r="60058" customFormat="1" x14ac:dyDescent="0.2"/>
    <row r="60059" customFormat="1" x14ac:dyDescent="0.2"/>
    <row r="60060" customFormat="1" x14ac:dyDescent="0.2"/>
    <row r="60061" customFormat="1" x14ac:dyDescent="0.2"/>
    <row r="60062" customFormat="1" x14ac:dyDescent="0.2"/>
    <row r="60063" customFormat="1" x14ac:dyDescent="0.2"/>
    <row r="60064" customFormat="1" x14ac:dyDescent="0.2"/>
    <row r="60065" customFormat="1" x14ac:dyDescent="0.2"/>
    <row r="60066" customFormat="1" x14ac:dyDescent="0.2"/>
    <row r="60067" customFormat="1" x14ac:dyDescent="0.2"/>
    <row r="60068" customFormat="1" x14ac:dyDescent="0.2"/>
    <row r="60069" customFormat="1" x14ac:dyDescent="0.2"/>
    <row r="60070" customFormat="1" x14ac:dyDescent="0.2"/>
    <row r="60071" customFormat="1" x14ac:dyDescent="0.2"/>
    <row r="60072" customFormat="1" x14ac:dyDescent="0.2"/>
    <row r="60073" customFormat="1" x14ac:dyDescent="0.2"/>
    <row r="60074" customFormat="1" x14ac:dyDescent="0.2"/>
    <row r="60075" customFormat="1" x14ac:dyDescent="0.2"/>
    <row r="60076" customFormat="1" x14ac:dyDescent="0.2"/>
    <row r="60077" customFormat="1" x14ac:dyDescent="0.2"/>
    <row r="60078" customFormat="1" x14ac:dyDescent="0.2"/>
    <row r="60079" customFormat="1" x14ac:dyDescent="0.2"/>
    <row r="60080" customFormat="1" x14ac:dyDescent="0.2"/>
    <row r="60081" customFormat="1" x14ac:dyDescent="0.2"/>
    <row r="60082" customFormat="1" x14ac:dyDescent="0.2"/>
    <row r="60083" customFormat="1" x14ac:dyDescent="0.2"/>
    <row r="60084" customFormat="1" x14ac:dyDescent="0.2"/>
    <row r="60085" customFormat="1" x14ac:dyDescent="0.2"/>
    <row r="60086" customFormat="1" x14ac:dyDescent="0.2"/>
    <row r="60087" customFormat="1" x14ac:dyDescent="0.2"/>
    <row r="60088" customFormat="1" x14ac:dyDescent="0.2"/>
    <row r="60089" customFormat="1" x14ac:dyDescent="0.2"/>
    <row r="60090" customFormat="1" x14ac:dyDescent="0.2"/>
    <row r="60091" customFormat="1" x14ac:dyDescent="0.2"/>
    <row r="60092" customFormat="1" x14ac:dyDescent="0.2"/>
    <row r="60093" customFormat="1" x14ac:dyDescent="0.2"/>
    <row r="60094" customFormat="1" x14ac:dyDescent="0.2"/>
    <row r="60095" customFormat="1" x14ac:dyDescent="0.2"/>
    <row r="60096" customFormat="1" x14ac:dyDescent="0.2"/>
    <row r="60097" customFormat="1" x14ac:dyDescent="0.2"/>
    <row r="60098" customFormat="1" x14ac:dyDescent="0.2"/>
    <row r="60099" customFormat="1" x14ac:dyDescent="0.2"/>
    <row r="60100" customFormat="1" x14ac:dyDescent="0.2"/>
    <row r="60101" customFormat="1" x14ac:dyDescent="0.2"/>
    <row r="60102" customFormat="1" x14ac:dyDescent="0.2"/>
    <row r="60103" customFormat="1" x14ac:dyDescent="0.2"/>
    <row r="60104" customFormat="1" x14ac:dyDescent="0.2"/>
    <row r="60105" customFormat="1" x14ac:dyDescent="0.2"/>
    <row r="60106" customFormat="1" x14ac:dyDescent="0.2"/>
    <row r="60107" customFormat="1" x14ac:dyDescent="0.2"/>
    <row r="60108" customFormat="1" x14ac:dyDescent="0.2"/>
    <row r="60109" customFormat="1" x14ac:dyDescent="0.2"/>
    <row r="60110" customFormat="1" x14ac:dyDescent="0.2"/>
    <row r="60111" customFormat="1" x14ac:dyDescent="0.2"/>
    <row r="60112" customFormat="1" x14ac:dyDescent="0.2"/>
    <row r="60113" customFormat="1" x14ac:dyDescent="0.2"/>
    <row r="60114" customFormat="1" x14ac:dyDescent="0.2"/>
    <row r="60115" customFormat="1" x14ac:dyDescent="0.2"/>
    <row r="60116" customFormat="1" x14ac:dyDescent="0.2"/>
    <row r="60117" customFormat="1" x14ac:dyDescent="0.2"/>
    <row r="60118" customFormat="1" x14ac:dyDescent="0.2"/>
    <row r="60119" customFormat="1" x14ac:dyDescent="0.2"/>
    <row r="60120" customFormat="1" x14ac:dyDescent="0.2"/>
    <row r="60121" customFormat="1" x14ac:dyDescent="0.2"/>
    <row r="60122" customFormat="1" x14ac:dyDescent="0.2"/>
    <row r="60123" customFormat="1" x14ac:dyDescent="0.2"/>
    <row r="60124" customFormat="1" x14ac:dyDescent="0.2"/>
    <row r="60125" customFormat="1" x14ac:dyDescent="0.2"/>
    <row r="60126" customFormat="1" x14ac:dyDescent="0.2"/>
    <row r="60127" customFormat="1" x14ac:dyDescent="0.2"/>
    <row r="60128" customFormat="1" x14ac:dyDescent="0.2"/>
    <row r="60129" customFormat="1" x14ac:dyDescent="0.2"/>
    <row r="60130" customFormat="1" x14ac:dyDescent="0.2"/>
    <row r="60131" customFormat="1" x14ac:dyDescent="0.2"/>
    <row r="60132" customFormat="1" x14ac:dyDescent="0.2"/>
    <row r="60133" customFormat="1" x14ac:dyDescent="0.2"/>
    <row r="60134" customFormat="1" x14ac:dyDescent="0.2"/>
    <row r="60135" customFormat="1" x14ac:dyDescent="0.2"/>
    <row r="60136" customFormat="1" x14ac:dyDescent="0.2"/>
    <row r="60137" customFormat="1" x14ac:dyDescent="0.2"/>
    <row r="60138" customFormat="1" x14ac:dyDescent="0.2"/>
    <row r="60139" customFormat="1" x14ac:dyDescent="0.2"/>
    <row r="60140" customFormat="1" x14ac:dyDescent="0.2"/>
    <row r="60141" customFormat="1" x14ac:dyDescent="0.2"/>
    <row r="60142" customFormat="1" x14ac:dyDescent="0.2"/>
    <row r="60143" customFormat="1" x14ac:dyDescent="0.2"/>
    <row r="60144" customFormat="1" x14ac:dyDescent="0.2"/>
    <row r="60145" customFormat="1" x14ac:dyDescent="0.2"/>
    <row r="60146" customFormat="1" x14ac:dyDescent="0.2"/>
    <row r="60147" customFormat="1" x14ac:dyDescent="0.2"/>
    <row r="60148" customFormat="1" x14ac:dyDescent="0.2"/>
    <row r="60149" customFormat="1" x14ac:dyDescent="0.2"/>
    <row r="60150" customFormat="1" x14ac:dyDescent="0.2"/>
    <row r="60151" customFormat="1" x14ac:dyDescent="0.2"/>
    <row r="60152" customFormat="1" x14ac:dyDescent="0.2"/>
    <row r="60153" customFormat="1" x14ac:dyDescent="0.2"/>
    <row r="60154" customFormat="1" x14ac:dyDescent="0.2"/>
    <row r="60155" customFormat="1" x14ac:dyDescent="0.2"/>
    <row r="60156" customFormat="1" x14ac:dyDescent="0.2"/>
    <row r="60157" customFormat="1" x14ac:dyDescent="0.2"/>
    <row r="60158" customFormat="1" x14ac:dyDescent="0.2"/>
    <row r="60159" customFormat="1" x14ac:dyDescent="0.2"/>
    <row r="60160" customFormat="1" x14ac:dyDescent="0.2"/>
    <row r="60161" customFormat="1" x14ac:dyDescent="0.2"/>
    <row r="60162" customFormat="1" x14ac:dyDescent="0.2"/>
    <row r="60163" customFormat="1" x14ac:dyDescent="0.2"/>
    <row r="60164" customFormat="1" x14ac:dyDescent="0.2"/>
    <row r="60165" customFormat="1" x14ac:dyDescent="0.2"/>
    <row r="60166" customFormat="1" x14ac:dyDescent="0.2"/>
    <row r="60167" customFormat="1" x14ac:dyDescent="0.2"/>
    <row r="60168" customFormat="1" x14ac:dyDescent="0.2"/>
    <row r="60169" customFormat="1" x14ac:dyDescent="0.2"/>
    <row r="60170" customFormat="1" x14ac:dyDescent="0.2"/>
    <row r="60171" customFormat="1" x14ac:dyDescent="0.2"/>
    <row r="60172" customFormat="1" x14ac:dyDescent="0.2"/>
    <row r="60173" customFormat="1" x14ac:dyDescent="0.2"/>
    <row r="60174" customFormat="1" x14ac:dyDescent="0.2"/>
    <row r="60175" customFormat="1" x14ac:dyDescent="0.2"/>
    <row r="60176" customFormat="1" x14ac:dyDescent="0.2"/>
    <row r="60177" customFormat="1" x14ac:dyDescent="0.2"/>
    <row r="60178" customFormat="1" x14ac:dyDescent="0.2"/>
    <row r="60179" customFormat="1" x14ac:dyDescent="0.2"/>
    <row r="60180" customFormat="1" x14ac:dyDescent="0.2"/>
    <row r="60181" customFormat="1" x14ac:dyDescent="0.2"/>
    <row r="60182" customFormat="1" x14ac:dyDescent="0.2"/>
    <row r="60183" customFormat="1" x14ac:dyDescent="0.2"/>
    <row r="60184" customFormat="1" x14ac:dyDescent="0.2"/>
    <row r="60185" customFormat="1" x14ac:dyDescent="0.2"/>
    <row r="60186" customFormat="1" x14ac:dyDescent="0.2"/>
    <row r="60187" customFormat="1" x14ac:dyDescent="0.2"/>
    <row r="60188" customFormat="1" x14ac:dyDescent="0.2"/>
    <row r="60189" customFormat="1" x14ac:dyDescent="0.2"/>
    <row r="60190" customFormat="1" x14ac:dyDescent="0.2"/>
    <row r="60191" customFormat="1" x14ac:dyDescent="0.2"/>
    <row r="60192" customFormat="1" x14ac:dyDescent="0.2"/>
    <row r="60193" customFormat="1" x14ac:dyDescent="0.2"/>
    <row r="60194" customFormat="1" x14ac:dyDescent="0.2"/>
    <row r="60195" customFormat="1" x14ac:dyDescent="0.2"/>
    <row r="60196" customFormat="1" x14ac:dyDescent="0.2"/>
    <row r="60197" customFormat="1" x14ac:dyDescent="0.2"/>
    <row r="60198" customFormat="1" x14ac:dyDescent="0.2"/>
    <row r="60199" customFormat="1" x14ac:dyDescent="0.2"/>
    <row r="60200" customFormat="1" x14ac:dyDescent="0.2"/>
    <row r="60201" customFormat="1" x14ac:dyDescent="0.2"/>
    <row r="60202" customFormat="1" x14ac:dyDescent="0.2"/>
    <row r="60203" customFormat="1" x14ac:dyDescent="0.2"/>
    <row r="60204" customFormat="1" x14ac:dyDescent="0.2"/>
    <row r="60205" customFormat="1" x14ac:dyDescent="0.2"/>
    <row r="60206" customFormat="1" x14ac:dyDescent="0.2"/>
    <row r="60207" customFormat="1" x14ac:dyDescent="0.2"/>
    <row r="60208" customFormat="1" x14ac:dyDescent="0.2"/>
    <row r="60209" customFormat="1" x14ac:dyDescent="0.2"/>
    <row r="60210" customFormat="1" x14ac:dyDescent="0.2"/>
    <row r="60211" customFormat="1" x14ac:dyDescent="0.2"/>
    <row r="60212" customFormat="1" x14ac:dyDescent="0.2"/>
    <row r="60213" customFormat="1" x14ac:dyDescent="0.2"/>
    <row r="60214" customFormat="1" x14ac:dyDescent="0.2"/>
    <row r="60215" customFormat="1" x14ac:dyDescent="0.2"/>
    <row r="60216" customFormat="1" x14ac:dyDescent="0.2"/>
    <row r="60217" customFormat="1" x14ac:dyDescent="0.2"/>
    <row r="60218" customFormat="1" x14ac:dyDescent="0.2"/>
    <row r="60219" customFormat="1" x14ac:dyDescent="0.2"/>
    <row r="60220" customFormat="1" x14ac:dyDescent="0.2"/>
    <row r="60221" customFormat="1" x14ac:dyDescent="0.2"/>
    <row r="60222" customFormat="1" x14ac:dyDescent="0.2"/>
    <row r="60223" customFormat="1" x14ac:dyDescent="0.2"/>
    <row r="60224" customFormat="1" x14ac:dyDescent="0.2"/>
    <row r="60225" customFormat="1" x14ac:dyDescent="0.2"/>
    <row r="60226" customFormat="1" x14ac:dyDescent="0.2"/>
    <row r="60227" customFormat="1" x14ac:dyDescent="0.2"/>
    <row r="60228" customFormat="1" x14ac:dyDescent="0.2"/>
    <row r="60229" customFormat="1" x14ac:dyDescent="0.2"/>
    <row r="60230" customFormat="1" x14ac:dyDescent="0.2"/>
    <row r="60231" customFormat="1" x14ac:dyDescent="0.2"/>
    <row r="60232" customFormat="1" x14ac:dyDescent="0.2"/>
    <row r="60233" customFormat="1" x14ac:dyDescent="0.2"/>
    <row r="60234" customFormat="1" x14ac:dyDescent="0.2"/>
    <row r="60235" customFormat="1" x14ac:dyDescent="0.2"/>
    <row r="60236" customFormat="1" x14ac:dyDescent="0.2"/>
    <row r="60237" customFormat="1" x14ac:dyDescent="0.2"/>
    <row r="60238" customFormat="1" x14ac:dyDescent="0.2"/>
    <row r="60239" customFormat="1" x14ac:dyDescent="0.2"/>
    <row r="60240" customFormat="1" x14ac:dyDescent="0.2"/>
    <row r="60241" customFormat="1" x14ac:dyDescent="0.2"/>
    <row r="60242" customFormat="1" x14ac:dyDescent="0.2"/>
    <row r="60243" customFormat="1" x14ac:dyDescent="0.2"/>
    <row r="60244" customFormat="1" x14ac:dyDescent="0.2"/>
    <row r="60245" customFormat="1" x14ac:dyDescent="0.2"/>
    <row r="60246" customFormat="1" x14ac:dyDescent="0.2"/>
    <row r="60247" customFormat="1" x14ac:dyDescent="0.2"/>
    <row r="60248" customFormat="1" x14ac:dyDescent="0.2"/>
    <row r="60249" customFormat="1" x14ac:dyDescent="0.2"/>
    <row r="60250" customFormat="1" x14ac:dyDescent="0.2"/>
    <row r="60251" customFormat="1" x14ac:dyDescent="0.2"/>
    <row r="60252" customFormat="1" x14ac:dyDescent="0.2"/>
    <row r="60253" customFormat="1" x14ac:dyDescent="0.2"/>
    <row r="60254" customFormat="1" x14ac:dyDescent="0.2"/>
    <row r="60255" customFormat="1" x14ac:dyDescent="0.2"/>
    <row r="60256" customFormat="1" x14ac:dyDescent="0.2"/>
    <row r="60257" customFormat="1" x14ac:dyDescent="0.2"/>
    <row r="60258" customFormat="1" x14ac:dyDescent="0.2"/>
    <row r="60259" customFormat="1" x14ac:dyDescent="0.2"/>
    <row r="60260" customFormat="1" x14ac:dyDescent="0.2"/>
    <row r="60261" customFormat="1" x14ac:dyDescent="0.2"/>
    <row r="60262" customFormat="1" x14ac:dyDescent="0.2"/>
    <row r="60263" customFormat="1" x14ac:dyDescent="0.2"/>
    <row r="60264" customFormat="1" x14ac:dyDescent="0.2"/>
    <row r="60265" customFormat="1" x14ac:dyDescent="0.2"/>
    <row r="60266" customFormat="1" x14ac:dyDescent="0.2"/>
    <row r="60267" customFormat="1" x14ac:dyDescent="0.2"/>
    <row r="60268" customFormat="1" x14ac:dyDescent="0.2"/>
    <row r="60269" customFormat="1" x14ac:dyDescent="0.2"/>
    <row r="60270" customFormat="1" x14ac:dyDescent="0.2"/>
    <row r="60271" customFormat="1" x14ac:dyDescent="0.2"/>
    <row r="60272" customFormat="1" x14ac:dyDescent="0.2"/>
    <row r="60273" customFormat="1" x14ac:dyDescent="0.2"/>
    <row r="60274" customFormat="1" x14ac:dyDescent="0.2"/>
    <row r="60275" customFormat="1" x14ac:dyDescent="0.2"/>
    <row r="60276" customFormat="1" x14ac:dyDescent="0.2"/>
    <row r="60277" customFormat="1" x14ac:dyDescent="0.2"/>
    <row r="60278" customFormat="1" x14ac:dyDescent="0.2"/>
    <row r="60279" customFormat="1" x14ac:dyDescent="0.2"/>
    <row r="60280" customFormat="1" x14ac:dyDescent="0.2"/>
    <row r="60281" customFormat="1" x14ac:dyDescent="0.2"/>
    <row r="60282" customFormat="1" x14ac:dyDescent="0.2"/>
    <row r="60283" customFormat="1" x14ac:dyDescent="0.2"/>
    <row r="60284" customFormat="1" x14ac:dyDescent="0.2"/>
    <row r="60285" customFormat="1" x14ac:dyDescent="0.2"/>
    <row r="60286" customFormat="1" x14ac:dyDescent="0.2"/>
    <row r="60287" customFormat="1" x14ac:dyDescent="0.2"/>
    <row r="60288" customFormat="1" x14ac:dyDescent="0.2"/>
    <row r="60289" customFormat="1" x14ac:dyDescent="0.2"/>
    <row r="60290" customFormat="1" x14ac:dyDescent="0.2"/>
    <row r="60291" customFormat="1" x14ac:dyDescent="0.2"/>
    <row r="60292" customFormat="1" x14ac:dyDescent="0.2"/>
    <row r="60293" customFormat="1" x14ac:dyDescent="0.2"/>
    <row r="60294" customFormat="1" x14ac:dyDescent="0.2"/>
    <row r="60295" customFormat="1" x14ac:dyDescent="0.2"/>
    <row r="60296" customFormat="1" x14ac:dyDescent="0.2"/>
    <row r="60297" customFormat="1" x14ac:dyDescent="0.2"/>
    <row r="60298" customFormat="1" x14ac:dyDescent="0.2"/>
    <row r="60299" customFormat="1" x14ac:dyDescent="0.2"/>
    <row r="60300" customFormat="1" x14ac:dyDescent="0.2"/>
    <row r="60301" customFormat="1" x14ac:dyDescent="0.2"/>
    <row r="60302" customFormat="1" x14ac:dyDescent="0.2"/>
    <row r="60303" customFormat="1" x14ac:dyDescent="0.2"/>
    <row r="60304" customFormat="1" x14ac:dyDescent="0.2"/>
    <row r="60305" customFormat="1" x14ac:dyDescent="0.2"/>
    <row r="60306" customFormat="1" x14ac:dyDescent="0.2"/>
    <row r="60307" customFormat="1" x14ac:dyDescent="0.2"/>
    <row r="60308" customFormat="1" x14ac:dyDescent="0.2"/>
    <row r="60309" customFormat="1" x14ac:dyDescent="0.2"/>
    <row r="60310" customFormat="1" x14ac:dyDescent="0.2"/>
    <row r="60311" customFormat="1" x14ac:dyDescent="0.2"/>
    <row r="60312" customFormat="1" x14ac:dyDescent="0.2"/>
    <row r="60313" customFormat="1" x14ac:dyDescent="0.2"/>
    <row r="60314" customFormat="1" x14ac:dyDescent="0.2"/>
    <row r="60315" customFormat="1" x14ac:dyDescent="0.2"/>
    <row r="60316" customFormat="1" x14ac:dyDescent="0.2"/>
    <row r="60317" customFormat="1" x14ac:dyDescent="0.2"/>
    <row r="60318" customFormat="1" x14ac:dyDescent="0.2"/>
    <row r="60319" customFormat="1" x14ac:dyDescent="0.2"/>
    <row r="60320" customFormat="1" x14ac:dyDescent="0.2"/>
    <row r="60321" customFormat="1" x14ac:dyDescent="0.2"/>
    <row r="60322" customFormat="1" x14ac:dyDescent="0.2"/>
    <row r="60323" customFormat="1" x14ac:dyDescent="0.2"/>
    <row r="60324" customFormat="1" x14ac:dyDescent="0.2"/>
    <row r="60325" customFormat="1" x14ac:dyDescent="0.2"/>
    <row r="60326" customFormat="1" x14ac:dyDescent="0.2"/>
    <row r="60327" customFormat="1" x14ac:dyDescent="0.2"/>
    <row r="60328" customFormat="1" x14ac:dyDescent="0.2"/>
    <row r="60329" customFormat="1" x14ac:dyDescent="0.2"/>
    <row r="60330" customFormat="1" x14ac:dyDescent="0.2"/>
    <row r="60331" customFormat="1" x14ac:dyDescent="0.2"/>
    <row r="60332" customFormat="1" x14ac:dyDescent="0.2"/>
    <row r="60333" customFormat="1" x14ac:dyDescent="0.2"/>
    <row r="60334" customFormat="1" x14ac:dyDescent="0.2"/>
    <row r="60335" customFormat="1" x14ac:dyDescent="0.2"/>
    <row r="60336" customFormat="1" x14ac:dyDescent="0.2"/>
    <row r="60337" customFormat="1" x14ac:dyDescent="0.2"/>
    <row r="60338" customFormat="1" x14ac:dyDescent="0.2"/>
    <row r="60339" customFormat="1" x14ac:dyDescent="0.2"/>
    <row r="60340" customFormat="1" x14ac:dyDescent="0.2"/>
    <row r="60341" customFormat="1" x14ac:dyDescent="0.2"/>
    <row r="60342" customFormat="1" x14ac:dyDescent="0.2"/>
    <row r="60343" customFormat="1" x14ac:dyDescent="0.2"/>
    <row r="60344" customFormat="1" x14ac:dyDescent="0.2"/>
    <row r="60345" customFormat="1" x14ac:dyDescent="0.2"/>
    <row r="60346" customFormat="1" x14ac:dyDescent="0.2"/>
    <row r="60347" customFormat="1" x14ac:dyDescent="0.2"/>
    <row r="60348" customFormat="1" x14ac:dyDescent="0.2"/>
    <row r="60349" customFormat="1" x14ac:dyDescent="0.2"/>
    <row r="60350" customFormat="1" x14ac:dyDescent="0.2"/>
    <row r="60351" customFormat="1" x14ac:dyDescent="0.2"/>
    <row r="60352" customFormat="1" x14ac:dyDescent="0.2"/>
    <row r="60353" customFormat="1" x14ac:dyDescent="0.2"/>
    <row r="60354" customFormat="1" x14ac:dyDescent="0.2"/>
    <row r="60355" customFormat="1" x14ac:dyDescent="0.2"/>
    <row r="60356" customFormat="1" x14ac:dyDescent="0.2"/>
    <row r="60357" customFormat="1" x14ac:dyDescent="0.2"/>
    <row r="60358" customFormat="1" x14ac:dyDescent="0.2"/>
    <row r="60359" customFormat="1" x14ac:dyDescent="0.2"/>
    <row r="60360" customFormat="1" x14ac:dyDescent="0.2"/>
    <row r="60361" customFormat="1" x14ac:dyDescent="0.2"/>
    <row r="60362" customFormat="1" x14ac:dyDescent="0.2"/>
    <row r="60363" customFormat="1" x14ac:dyDescent="0.2"/>
    <row r="60364" customFormat="1" x14ac:dyDescent="0.2"/>
    <row r="60365" customFormat="1" x14ac:dyDescent="0.2"/>
    <row r="60366" customFormat="1" x14ac:dyDescent="0.2"/>
    <row r="60367" customFormat="1" x14ac:dyDescent="0.2"/>
    <row r="60368" customFormat="1" x14ac:dyDescent="0.2"/>
    <row r="60369" customFormat="1" x14ac:dyDescent="0.2"/>
    <row r="60370" customFormat="1" x14ac:dyDescent="0.2"/>
    <row r="60371" customFormat="1" x14ac:dyDescent="0.2"/>
    <row r="60372" customFormat="1" x14ac:dyDescent="0.2"/>
    <row r="60373" customFormat="1" x14ac:dyDescent="0.2"/>
    <row r="60374" customFormat="1" x14ac:dyDescent="0.2"/>
    <row r="60375" customFormat="1" x14ac:dyDescent="0.2"/>
    <row r="60376" customFormat="1" x14ac:dyDescent="0.2"/>
    <row r="60377" customFormat="1" x14ac:dyDescent="0.2"/>
    <row r="60378" customFormat="1" x14ac:dyDescent="0.2"/>
    <row r="60379" customFormat="1" x14ac:dyDescent="0.2"/>
    <row r="60380" customFormat="1" x14ac:dyDescent="0.2"/>
    <row r="60381" customFormat="1" x14ac:dyDescent="0.2"/>
    <row r="60382" customFormat="1" x14ac:dyDescent="0.2"/>
    <row r="60383" customFormat="1" x14ac:dyDescent="0.2"/>
    <row r="60384" customFormat="1" x14ac:dyDescent="0.2"/>
    <row r="60385" customFormat="1" x14ac:dyDescent="0.2"/>
    <row r="60386" customFormat="1" x14ac:dyDescent="0.2"/>
    <row r="60387" customFormat="1" x14ac:dyDescent="0.2"/>
    <row r="60388" customFormat="1" x14ac:dyDescent="0.2"/>
    <row r="60389" customFormat="1" x14ac:dyDescent="0.2"/>
    <row r="60390" customFormat="1" x14ac:dyDescent="0.2"/>
    <row r="60391" customFormat="1" x14ac:dyDescent="0.2"/>
    <row r="60392" customFormat="1" x14ac:dyDescent="0.2"/>
    <row r="60393" customFormat="1" x14ac:dyDescent="0.2"/>
    <row r="60394" customFormat="1" x14ac:dyDescent="0.2"/>
    <row r="60395" customFormat="1" x14ac:dyDescent="0.2"/>
    <row r="60396" customFormat="1" x14ac:dyDescent="0.2"/>
    <row r="60397" customFormat="1" x14ac:dyDescent="0.2"/>
    <row r="60398" customFormat="1" x14ac:dyDescent="0.2"/>
    <row r="60399" customFormat="1" x14ac:dyDescent="0.2"/>
    <row r="60400" customFormat="1" x14ac:dyDescent="0.2"/>
    <row r="60401" customFormat="1" x14ac:dyDescent="0.2"/>
    <row r="60402" customFormat="1" x14ac:dyDescent="0.2"/>
    <row r="60403" customFormat="1" x14ac:dyDescent="0.2"/>
    <row r="60404" customFormat="1" x14ac:dyDescent="0.2"/>
    <row r="60405" customFormat="1" x14ac:dyDescent="0.2"/>
    <row r="60406" customFormat="1" x14ac:dyDescent="0.2"/>
    <row r="60407" customFormat="1" x14ac:dyDescent="0.2"/>
    <row r="60408" customFormat="1" x14ac:dyDescent="0.2"/>
    <row r="60409" customFormat="1" x14ac:dyDescent="0.2"/>
    <row r="60410" customFormat="1" x14ac:dyDescent="0.2"/>
    <row r="60411" customFormat="1" x14ac:dyDescent="0.2"/>
    <row r="60412" customFormat="1" x14ac:dyDescent="0.2"/>
    <row r="60413" customFormat="1" x14ac:dyDescent="0.2"/>
    <row r="60414" customFormat="1" x14ac:dyDescent="0.2"/>
    <row r="60415" customFormat="1" x14ac:dyDescent="0.2"/>
    <row r="60416" customFormat="1" x14ac:dyDescent="0.2"/>
    <row r="60417" customFormat="1" x14ac:dyDescent="0.2"/>
    <row r="60418" customFormat="1" x14ac:dyDescent="0.2"/>
    <row r="60419" customFormat="1" x14ac:dyDescent="0.2"/>
    <row r="60420" customFormat="1" x14ac:dyDescent="0.2"/>
    <row r="60421" customFormat="1" x14ac:dyDescent="0.2"/>
    <row r="60422" customFormat="1" x14ac:dyDescent="0.2"/>
    <row r="60423" customFormat="1" x14ac:dyDescent="0.2"/>
    <row r="60424" customFormat="1" x14ac:dyDescent="0.2"/>
    <row r="60425" customFormat="1" x14ac:dyDescent="0.2"/>
    <row r="60426" customFormat="1" x14ac:dyDescent="0.2"/>
    <row r="60427" customFormat="1" x14ac:dyDescent="0.2"/>
    <row r="60428" customFormat="1" x14ac:dyDescent="0.2"/>
    <row r="60429" customFormat="1" x14ac:dyDescent="0.2"/>
    <row r="60430" customFormat="1" x14ac:dyDescent="0.2"/>
    <row r="60431" customFormat="1" x14ac:dyDescent="0.2"/>
    <row r="60432" customFormat="1" x14ac:dyDescent="0.2"/>
    <row r="60433" customFormat="1" x14ac:dyDescent="0.2"/>
    <row r="60434" customFormat="1" x14ac:dyDescent="0.2"/>
    <row r="60435" customFormat="1" x14ac:dyDescent="0.2"/>
    <row r="60436" customFormat="1" x14ac:dyDescent="0.2"/>
    <row r="60437" customFormat="1" x14ac:dyDescent="0.2"/>
    <row r="60438" customFormat="1" x14ac:dyDescent="0.2"/>
    <row r="60439" customFormat="1" x14ac:dyDescent="0.2"/>
    <row r="60440" customFormat="1" x14ac:dyDescent="0.2"/>
    <row r="60441" customFormat="1" x14ac:dyDescent="0.2"/>
    <row r="60442" customFormat="1" x14ac:dyDescent="0.2"/>
    <row r="60443" customFormat="1" x14ac:dyDescent="0.2"/>
    <row r="60444" customFormat="1" x14ac:dyDescent="0.2"/>
    <row r="60445" customFormat="1" x14ac:dyDescent="0.2"/>
    <row r="60446" customFormat="1" x14ac:dyDescent="0.2"/>
    <row r="60447" customFormat="1" x14ac:dyDescent="0.2"/>
    <row r="60448" customFormat="1" x14ac:dyDescent="0.2"/>
    <row r="60449" customFormat="1" x14ac:dyDescent="0.2"/>
    <row r="60450" customFormat="1" x14ac:dyDescent="0.2"/>
    <row r="60451" customFormat="1" x14ac:dyDescent="0.2"/>
    <row r="60452" customFormat="1" x14ac:dyDescent="0.2"/>
    <row r="60453" customFormat="1" x14ac:dyDescent="0.2"/>
    <row r="60454" customFormat="1" x14ac:dyDescent="0.2"/>
    <row r="60455" customFormat="1" x14ac:dyDescent="0.2"/>
    <row r="60456" customFormat="1" x14ac:dyDescent="0.2"/>
    <row r="60457" customFormat="1" x14ac:dyDescent="0.2"/>
    <row r="60458" customFormat="1" x14ac:dyDescent="0.2"/>
    <row r="60459" customFormat="1" x14ac:dyDescent="0.2"/>
    <row r="60460" customFormat="1" x14ac:dyDescent="0.2"/>
    <row r="60461" customFormat="1" x14ac:dyDescent="0.2"/>
    <row r="60462" customFormat="1" x14ac:dyDescent="0.2"/>
    <row r="60463" customFormat="1" x14ac:dyDescent="0.2"/>
    <row r="60464" customFormat="1" x14ac:dyDescent="0.2"/>
    <row r="60465" customFormat="1" x14ac:dyDescent="0.2"/>
    <row r="60466" customFormat="1" x14ac:dyDescent="0.2"/>
    <row r="60467" customFormat="1" x14ac:dyDescent="0.2"/>
    <row r="60468" customFormat="1" x14ac:dyDescent="0.2"/>
    <row r="60469" customFormat="1" x14ac:dyDescent="0.2"/>
    <row r="60470" customFormat="1" x14ac:dyDescent="0.2"/>
    <row r="60471" customFormat="1" x14ac:dyDescent="0.2"/>
    <row r="60472" customFormat="1" x14ac:dyDescent="0.2"/>
    <row r="60473" customFormat="1" x14ac:dyDescent="0.2"/>
    <row r="60474" customFormat="1" x14ac:dyDescent="0.2"/>
    <row r="60475" customFormat="1" x14ac:dyDescent="0.2"/>
    <row r="60476" customFormat="1" x14ac:dyDescent="0.2"/>
    <row r="60477" customFormat="1" x14ac:dyDescent="0.2"/>
    <row r="60478" customFormat="1" x14ac:dyDescent="0.2"/>
    <row r="60479" customFormat="1" x14ac:dyDescent="0.2"/>
    <row r="60480" customFormat="1" x14ac:dyDescent="0.2"/>
    <row r="60481" customFormat="1" x14ac:dyDescent="0.2"/>
    <row r="60482" customFormat="1" x14ac:dyDescent="0.2"/>
    <row r="60483" customFormat="1" x14ac:dyDescent="0.2"/>
    <row r="60484" customFormat="1" x14ac:dyDescent="0.2"/>
    <row r="60485" customFormat="1" x14ac:dyDescent="0.2"/>
    <row r="60486" customFormat="1" x14ac:dyDescent="0.2"/>
    <row r="60487" customFormat="1" x14ac:dyDescent="0.2"/>
    <row r="60488" customFormat="1" x14ac:dyDescent="0.2"/>
    <row r="60489" customFormat="1" x14ac:dyDescent="0.2"/>
    <row r="60490" customFormat="1" x14ac:dyDescent="0.2"/>
    <row r="60491" customFormat="1" x14ac:dyDescent="0.2"/>
    <row r="60492" customFormat="1" x14ac:dyDescent="0.2"/>
    <row r="60493" customFormat="1" x14ac:dyDescent="0.2"/>
    <row r="60494" customFormat="1" x14ac:dyDescent="0.2"/>
    <row r="60495" customFormat="1" x14ac:dyDescent="0.2"/>
    <row r="60496" customFormat="1" x14ac:dyDescent="0.2"/>
    <row r="60497" customFormat="1" x14ac:dyDescent="0.2"/>
    <row r="60498" customFormat="1" x14ac:dyDescent="0.2"/>
    <row r="60499" customFormat="1" x14ac:dyDescent="0.2"/>
    <row r="60500" customFormat="1" x14ac:dyDescent="0.2"/>
    <row r="60501" customFormat="1" x14ac:dyDescent="0.2"/>
    <row r="60502" customFormat="1" x14ac:dyDescent="0.2"/>
    <row r="60503" customFormat="1" x14ac:dyDescent="0.2"/>
    <row r="60504" customFormat="1" x14ac:dyDescent="0.2"/>
    <row r="60505" customFormat="1" x14ac:dyDescent="0.2"/>
    <row r="60506" customFormat="1" x14ac:dyDescent="0.2"/>
    <row r="60507" customFormat="1" x14ac:dyDescent="0.2"/>
    <row r="60508" customFormat="1" x14ac:dyDescent="0.2"/>
    <row r="60509" customFormat="1" x14ac:dyDescent="0.2"/>
    <row r="60510" customFormat="1" x14ac:dyDescent="0.2"/>
    <row r="60511" customFormat="1" x14ac:dyDescent="0.2"/>
    <row r="60512" customFormat="1" x14ac:dyDescent="0.2"/>
    <row r="60513" customFormat="1" x14ac:dyDescent="0.2"/>
    <row r="60514" customFormat="1" x14ac:dyDescent="0.2"/>
    <row r="60515" customFormat="1" x14ac:dyDescent="0.2"/>
    <row r="60516" customFormat="1" x14ac:dyDescent="0.2"/>
    <row r="60517" customFormat="1" x14ac:dyDescent="0.2"/>
    <row r="60518" customFormat="1" x14ac:dyDescent="0.2"/>
    <row r="60519" customFormat="1" x14ac:dyDescent="0.2"/>
    <row r="60520" customFormat="1" x14ac:dyDescent="0.2"/>
    <row r="60521" customFormat="1" x14ac:dyDescent="0.2"/>
    <row r="60522" customFormat="1" x14ac:dyDescent="0.2"/>
    <row r="60523" customFormat="1" x14ac:dyDescent="0.2"/>
    <row r="60524" customFormat="1" x14ac:dyDescent="0.2"/>
    <row r="60525" customFormat="1" x14ac:dyDescent="0.2"/>
    <row r="60526" customFormat="1" x14ac:dyDescent="0.2"/>
    <row r="60527" customFormat="1" x14ac:dyDescent="0.2"/>
    <row r="60528" customFormat="1" x14ac:dyDescent="0.2"/>
    <row r="60529" customFormat="1" x14ac:dyDescent="0.2"/>
    <row r="60530" customFormat="1" x14ac:dyDescent="0.2"/>
    <row r="60531" customFormat="1" x14ac:dyDescent="0.2"/>
    <row r="60532" customFormat="1" x14ac:dyDescent="0.2"/>
    <row r="60533" customFormat="1" x14ac:dyDescent="0.2"/>
    <row r="60534" customFormat="1" x14ac:dyDescent="0.2"/>
    <row r="60535" customFormat="1" x14ac:dyDescent="0.2"/>
    <row r="60536" customFormat="1" x14ac:dyDescent="0.2"/>
    <row r="60537" customFormat="1" x14ac:dyDescent="0.2"/>
    <row r="60538" customFormat="1" x14ac:dyDescent="0.2"/>
    <row r="60539" customFormat="1" x14ac:dyDescent="0.2"/>
    <row r="60540" customFormat="1" x14ac:dyDescent="0.2"/>
    <row r="60541" customFormat="1" x14ac:dyDescent="0.2"/>
    <row r="60542" customFormat="1" x14ac:dyDescent="0.2"/>
    <row r="60543" customFormat="1" x14ac:dyDescent="0.2"/>
    <row r="60544" customFormat="1" x14ac:dyDescent="0.2"/>
    <row r="60545" customFormat="1" x14ac:dyDescent="0.2"/>
    <row r="60546" customFormat="1" x14ac:dyDescent="0.2"/>
    <row r="60547" customFormat="1" x14ac:dyDescent="0.2"/>
    <row r="60548" customFormat="1" x14ac:dyDescent="0.2"/>
    <row r="60549" customFormat="1" x14ac:dyDescent="0.2"/>
    <row r="60550" customFormat="1" x14ac:dyDescent="0.2"/>
    <row r="60551" customFormat="1" x14ac:dyDescent="0.2"/>
    <row r="60552" customFormat="1" x14ac:dyDescent="0.2"/>
    <row r="60553" customFormat="1" x14ac:dyDescent="0.2"/>
    <row r="60554" customFormat="1" x14ac:dyDescent="0.2"/>
    <row r="60555" customFormat="1" x14ac:dyDescent="0.2"/>
    <row r="60556" customFormat="1" x14ac:dyDescent="0.2"/>
    <row r="60557" customFormat="1" x14ac:dyDescent="0.2"/>
    <row r="60558" customFormat="1" x14ac:dyDescent="0.2"/>
    <row r="60559" customFormat="1" x14ac:dyDescent="0.2"/>
    <row r="60560" customFormat="1" x14ac:dyDescent="0.2"/>
    <row r="60561" customFormat="1" x14ac:dyDescent="0.2"/>
    <row r="60562" customFormat="1" x14ac:dyDescent="0.2"/>
    <row r="60563" customFormat="1" x14ac:dyDescent="0.2"/>
    <row r="60564" customFormat="1" x14ac:dyDescent="0.2"/>
    <row r="60565" customFormat="1" x14ac:dyDescent="0.2"/>
    <row r="60566" customFormat="1" x14ac:dyDescent="0.2"/>
    <row r="60567" customFormat="1" x14ac:dyDescent="0.2"/>
    <row r="60568" customFormat="1" x14ac:dyDescent="0.2"/>
    <row r="60569" customFormat="1" x14ac:dyDescent="0.2"/>
    <row r="60570" customFormat="1" x14ac:dyDescent="0.2"/>
    <row r="60571" customFormat="1" x14ac:dyDescent="0.2"/>
    <row r="60572" customFormat="1" x14ac:dyDescent="0.2"/>
    <row r="60573" customFormat="1" x14ac:dyDescent="0.2"/>
    <row r="60574" customFormat="1" x14ac:dyDescent="0.2"/>
    <row r="60575" customFormat="1" x14ac:dyDescent="0.2"/>
    <row r="60576" customFormat="1" x14ac:dyDescent="0.2"/>
    <row r="60577" customFormat="1" x14ac:dyDescent="0.2"/>
    <row r="60578" customFormat="1" x14ac:dyDescent="0.2"/>
    <row r="60579" customFormat="1" x14ac:dyDescent="0.2"/>
    <row r="60580" customFormat="1" x14ac:dyDescent="0.2"/>
    <row r="60581" customFormat="1" x14ac:dyDescent="0.2"/>
    <row r="60582" customFormat="1" x14ac:dyDescent="0.2"/>
    <row r="60583" customFormat="1" x14ac:dyDescent="0.2"/>
    <row r="60584" customFormat="1" x14ac:dyDescent="0.2"/>
    <row r="60585" customFormat="1" x14ac:dyDescent="0.2"/>
    <row r="60586" customFormat="1" x14ac:dyDescent="0.2"/>
    <row r="60587" customFormat="1" x14ac:dyDescent="0.2"/>
    <row r="60588" customFormat="1" x14ac:dyDescent="0.2"/>
    <row r="60589" customFormat="1" x14ac:dyDescent="0.2"/>
    <row r="60590" customFormat="1" x14ac:dyDescent="0.2"/>
    <row r="60591" customFormat="1" x14ac:dyDescent="0.2"/>
    <row r="60592" customFormat="1" x14ac:dyDescent="0.2"/>
    <row r="60593" customFormat="1" x14ac:dyDescent="0.2"/>
    <row r="60594" customFormat="1" x14ac:dyDescent="0.2"/>
    <row r="60595" customFormat="1" x14ac:dyDescent="0.2"/>
    <row r="60596" customFormat="1" x14ac:dyDescent="0.2"/>
    <row r="60597" customFormat="1" x14ac:dyDescent="0.2"/>
    <row r="60598" customFormat="1" x14ac:dyDescent="0.2"/>
    <row r="60599" customFormat="1" x14ac:dyDescent="0.2"/>
    <row r="60600" customFormat="1" x14ac:dyDescent="0.2"/>
    <row r="60601" customFormat="1" x14ac:dyDescent="0.2"/>
    <row r="60602" customFormat="1" x14ac:dyDescent="0.2"/>
    <row r="60603" customFormat="1" x14ac:dyDescent="0.2"/>
    <row r="60604" customFormat="1" x14ac:dyDescent="0.2"/>
    <row r="60605" customFormat="1" x14ac:dyDescent="0.2"/>
    <row r="60606" customFormat="1" x14ac:dyDescent="0.2"/>
    <row r="60607" customFormat="1" x14ac:dyDescent="0.2"/>
    <row r="60608" customFormat="1" x14ac:dyDescent="0.2"/>
    <row r="60609" customFormat="1" x14ac:dyDescent="0.2"/>
    <row r="60610" customFormat="1" x14ac:dyDescent="0.2"/>
    <row r="60611" customFormat="1" x14ac:dyDescent="0.2"/>
    <row r="60612" customFormat="1" x14ac:dyDescent="0.2"/>
    <row r="60613" customFormat="1" x14ac:dyDescent="0.2"/>
    <row r="60614" customFormat="1" x14ac:dyDescent="0.2"/>
    <row r="60615" customFormat="1" x14ac:dyDescent="0.2"/>
    <row r="60616" customFormat="1" x14ac:dyDescent="0.2"/>
    <row r="60617" customFormat="1" x14ac:dyDescent="0.2"/>
    <row r="60618" customFormat="1" x14ac:dyDescent="0.2"/>
    <row r="60619" customFormat="1" x14ac:dyDescent="0.2"/>
    <row r="60620" customFormat="1" x14ac:dyDescent="0.2"/>
    <row r="60621" customFormat="1" x14ac:dyDescent="0.2"/>
    <row r="60622" customFormat="1" x14ac:dyDescent="0.2"/>
    <row r="60623" customFormat="1" x14ac:dyDescent="0.2"/>
    <row r="60624" customFormat="1" x14ac:dyDescent="0.2"/>
    <row r="60625" customFormat="1" x14ac:dyDescent="0.2"/>
    <row r="60626" customFormat="1" x14ac:dyDescent="0.2"/>
    <row r="60627" customFormat="1" x14ac:dyDescent="0.2"/>
    <row r="60628" customFormat="1" x14ac:dyDescent="0.2"/>
    <row r="60629" customFormat="1" x14ac:dyDescent="0.2"/>
    <row r="60630" customFormat="1" x14ac:dyDescent="0.2"/>
    <row r="60631" customFormat="1" x14ac:dyDescent="0.2"/>
    <row r="60632" customFormat="1" x14ac:dyDescent="0.2"/>
    <row r="60633" customFormat="1" x14ac:dyDescent="0.2"/>
    <row r="60634" customFormat="1" x14ac:dyDescent="0.2"/>
    <row r="60635" customFormat="1" x14ac:dyDescent="0.2"/>
    <row r="60636" customFormat="1" x14ac:dyDescent="0.2"/>
    <row r="60637" customFormat="1" x14ac:dyDescent="0.2"/>
    <row r="60638" customFormat="1" x14ac:dyDescent="0.2"/>
    <row r="60639" customFormat="1" x14ac:dyDescent="0.2"/>
    <row r="60640" customFormat="1" x14ac:dyDescent="0.2"/>
    <row r="60641" customFormat="1" x14ac:dyDescent="0.2"/>
    <row r="60642" customFormat="1" x14ac:dyDescent="0.2"/>
    <row r="60643" customFormat="1" x14ac:dyDescent="0.2"/>
    <row r="60644" customFormat="1" x14ac:dyDescent="0.2"/>
    <row r="60645" customFormat="1" x14ac:dyDescent="0.2"/>
    <row r="60646" customFormat="1" x14ac:dyDescent="0.2"/>
    <row r="60647" customFormat="1" x14ac:dyDescent="0.2"/>
    <row r="60648" customFormat="1" x14ac:dyDescent="0.2"/>
    <row r="60649" customFormat="1" x14ac:dyDescent="0.2"/>
    <row r="60650" customFormat="1" x14ac:dyDescent="0.2"/>
    <row r="60651" customFormat="1" x14ac:dyDescent="0.2"/>
    <row r="60652" customFormat="1" x14ac:dyDescent="0.2"/>
    <row r="60653" customFormat="1" x14ac:dyDescent="0.2"/>
    <row r="60654" customFormat="1" x14ac:dyDescent="0.2"/>
    <row r="60655" customFormat="1" x14ac:dyDescent="0.2"/>
    <row r="60656" customFormat="1" x14ac:dyDescent="0.2"/>
    <row r="60657" customFormat="1" x14ac:dyDescent="0.2"/>
    <row r="60658" customFormat="1" x14ac:dyDescent="0.2"/>
    <row r="60659" customFormat="1" x14ac:dyDescent="0.2"/>
    <row r="60660" customFormat="1" x14ac:dyDescent="0.2"/>
    <row r="60661" customFormat="1" x14ac:dyDescent="0.2"/>
    <row r="60662" customFormat="1" x14ac:dyDescent="0.2"/>
    <row r="60663" customFormat="1" x14ac:dyDescent="0.2"/>
    <row r="60664" customFormat="1" x14ac:dyDescent="0.2"/>
    <row r="60665" customFormat="1" x14ac:dyDescent="0.2"/>
    <row r="60666" customFormat="1" x14ac:dyDescent="0.2"/>
    <row r="60667" customFormat="1" x14ac:dyDescent="0.2"/>
    <row r="60668" customFormat="1" x14ac:dyDescent="0.2"/>
    <row r="60669" customFormat="1" x14ac:dyDescent="0.2"/>
    <row r="60670" customFormat="1" x14ac:dyDescent="0.2"/>
    <row r="60671" customFormat="1" x14ac:dyDescent="0.2"/>
    <row r="60672" customFormat="1" x14ac:dyDescent="0.2"/>
    <row r="60673" customFormat="1" x14ac:dyDescent="0.2"/>
    <row r="60674" customFormat="1" x14ac:dyDescent="0.2"/>
    <row r="60675" customFormat="1" x14ac:dyDescent="0.2"/>
    <row r="60676" customFormat="1" x14ac:dyDescent="0.2"/>
    <row r="60677" customFormat="1" x14ac:dyDescent="0.2"/>
    <row r="60678" customFormat="1" x14ac:dyDescent="0.2"/>
    <row r="60679" customFormat="1" x14ac:dyDescent="0.2"/>
    <row r="60680" customFormat="1" x14ac:dyDescent="0.2"/>
    <row r="60681" customFormat="1" x14ac:dyDescent="0.2"/>
    <row r="60682" customFormat="1" x14ac:dyDescent="0.2"/>
    <row r="60683" customFormat="1" x14ac:dyDescent="0.2"/>
    <row r="60684" customFormat="1" x14ac:dyDescent="0.2"/>
    <row r="60685" customFormat="1" x14ac:dyDescent="0.2"/>
    <row r="60686" customFormat="1" x14ac:dyDescent="0.2"/>
    <row r="60687" customFormat="1" x14ac:dyDescent="0.2"/>
    <row r="60688" customFormat="1" x14ac:dyDescent="0.2"/>
    <row r="60689" customFormat="1" x14ac:dyDescent="0.2"/>
    <row r="60690" customFormat="1" x14ac:dyDescent="0.2"/>
    <row r="60691" customFormat="1" x14ac:dyDescent="0.2"/>
    <row r="60692" customFormat="1" x14ac:dyDescent="0.2"/>
    <row r="60693" customFormat="1" x14ac:dyDescent="0.2"/>
    <row r="60694" customFormat="1" x14ac:dyDescent="0.2"/>
    <row r="60695" customFormat="1" x14ac:dyDescent="0.2"/>
    <row r="60696" customFormat="1" x14ac:dyDescent="0.2"/>
    <row r="60697" customFormat="1" x14ac:dyDescent="0.2"/>
    <row r="60698" customFormat="1" x14ac:dyDescent="0.2"/>
    <row r="60699" customFormat="1" x14ac:dyDescent="0.2"/>
    <row r="60700" customFormat="1" x14ac:dyDescent="0.2"/>
    <row r="60701" customFormat="1" x14ac:dyDescent="0.2"/>
    <row r="60702" customFormat="1" x14ac:dyDescent="0.2"/>
    <row r="60703" customFormat="1" x14ac:dyDescent="0.2"/>
    <row r="60704" customFormat="1" x14ac:dyDescent="0.2"/>
    <row r="60705" customFormat="1" x14ac:dyDescent="0.2"/>
    <row r="60706" customFormat="1" x14ac:dyDescent="0.2"/>
    <row r="60707" customFormat="1" x14ac:dyDescent="0.2"/>
    <row r="60708" customFormat="1" x14ac:dyDescent="0.2"/>
    <row r="60709" customFormat="1" x14ac:dyDescent="0.2"/>
    <row r="60710" customFormat="1" x14ac:dyDescent="0.2"/>
    <row r="60711" customFormat="1" x14ac:dyDescent="0.2"/>
    <row r="60712" customFormat="1" x14ac:dyDescent="0.2"/>
    <row r="60713" customFormat="1" x14ac:dyDescent="0.2"/>
    <row r="60714" customFormat="1" x14ac:dyDescent="0.2"/>
    <row r="60715" customFormat="1" x14ac:dyDescent="0.2"/>
    <row r="60716" customFormat="1" x14ac:dyDescent="0.2"/>
    <row r="60717" customFormat="1" x14ac:dyDescent="0.2"/>
    <row r="60718" customFormat="1" x14ac:dyDescent="0.2"/>
    <row r="60719" customFormat="1" x14ac:dyDescent="0.2"/>
    <row r="60720" customFormat="1" x14ac:dyDescent="0.2"/>
    <row r="60721" customFormat="1" x14ac:dyDescent="0.2"/>
    <row r="60722" customFormat="1" x14ac:dyDescent="0.2"/>
    <row r="60723" customFormat="1" x14ac:dyDescent="0.2"/>
    <row r="60724" customFormat="1" x14ac:dyDescent="0.2"/>
    <row r="60725" customFormat="1" x14ac:dyDescent="0.2"/>
    <row r="60726" customFormat="1" x14ac:dyDescent="0.2"/>
    <row r="60727" customFormat="1" x14ac:dyDescent="0.2"/>
    <row r="60728" customFormat="1" x14ac:dyDescent="0.2"/>
    <row r="60729" customFormat="1" x14ac:dyDescent="0.2"/>
    <row r="60730" customFormat="1" x14ac:dyDescent="0.2"/>
    <row r="60731" customFormat="1" x14ac:dyDescent="0.2"/>
    <row r="60732" customFormat="1" x14ac:dyDescent="0.2"/>
    <row r="60733" customFormat="1" x14ac:dyDescent="0.2"/>
    <row r="60734" customFormat="1" x14ac:dyDescent="0.2"/>
    <row r="60735" customFormat="1" x14ac:dyDescent="0.2"/>
    <row r="60736" customFormat="1" x14ac:dyDescent="0.2"/>
    <row r="60737" customFormat="1" x14ac:dyDescent="0.2"/>
    <row r="60738" customFormat="1" x14ac:dyDescent="0.2"/>
    <row r="60739" customFormat="1" x14ac:dyDescent="0.2"/>
    <row r="60740" customFormat="1" x14ac:dyDescent="0.2"/>
    <row r="60741" customFormat="1" x14ac:dyDescent="0.2"/>
    <row r="60742" customFormat="1" x14ac:dyDescent="0.2"/>
    <row r="60743" customFormat="1" x14ac:dyDescent="0.2"/>
    <row r="60744" customFormat="1" x14ac:dyDescent="0.2"/>
    <row r="60745" customFormat="1" x14ac:dyDescent="0.2"/>
    <row r="60746" customFormat="1" x14ac:dyDescent="0.2"/>
    <row r="60747" customFormat="1" x14ac:dyDescent="0.2"/>
    <row r="60748" customFormat="1" x14ac:dyDescent="0.2"/>
    <row r="60749" customFormat="1" x14ac:dyDescent="0.2"/>
    <row r="60750" customFormat="1" x14ac:dyDescent="0.2"/>
    <row r="60751" customFormat="1" x14ac:dyDescent="0.2"/>
    <row r="60752" customFormat="1" x14ac:dyDescent="0.2"/>
    <row r="60753" customFormat="1" x14ac:dyDescent="0.2"/>
    <row r="60754" customFormat="1" x14ac:dyDescent="0.2"/>
    <row r="60755" customFormat="1" x14ac:dyDescent="0.2"/>
    <row r="60756" customFormat="1" x14ac:dyDescent="0.2"/>
    <row r="60757" customFormat="1" x14ac:dyDescent="0.2"/>
    <row r="60758" customFormat="1" x14ac:dyDescent="0.2"/>
    <row r="60759" customFormat="1" x14ac:dyDescent="0.2"/>
    <row r="60760" customFormat="1" x14ac:dyDescent="0.2"/>
    <row r="60761" customFormat="1" x14ac:dyDescent="0.2"/>
    <row r="60762" customFormat="1" x14ac:dyDescent="0.2"/>
    <row r="60763" customFormat="1" x14ac:dyDescent="0.2"/>
    <row r="60764" customFormat="1" x14ac:dyDescent="0.2"/>
    <row r="60765" customFormat="1" x14ac:dyDescent="0.2"/>
    <row r="60766" customFormat="1" x14ac:dyDescent="0.2"/>
    <row r="60767" customFormat="1" x14ac:dyDescent="0.2"/>
    <row r="60768" customFormat="1" x14ac:dyDescent="0.2"/>
    <row r="60769" customFormat="1" x14ac:dyDescent="0.2"/>
    <row r="60770" customFormat="1" x14ac:dyDescent="0.2"/>
    <row r="60771" customFormat="1" x14ac:dyDescent="0.2"/>
    <row r="60772" customFormat="1" x14ac:dyDescent="0.2"/>
    <row r="60773" customFormat="1" x14ac:dyDescent="0.2"/>
    <row r="60774" customFormat="1" x14ac:dyDescent="0.2"/>
    <row r="60775" customFormat="1" x14ac:dyDescent="0.2"/>
    <row r="60776" customFormat="1" x14ac:dyDescent="0.2"/>
    <row r="60777" customFormat="1" x14ac:dyDescent="0.2"/>
    <row r="60778" customFormat="1" x14ac:dyDescent="0.2"/>
    <row r="60779" customFormat="1" x14ac:dyDescent="0.2"/>
    <row r="60780" customFormat="1" x14ac:dyDescent="0.2"/>
    <row r="60781" customFormat="1" x14ac:dyDescent="0.2"/>
    <row r="60782" customFormat="1" x14ac:dyDescent="0.2"/>
    <row r="60783" customFormat="1" x14ac:dyDescent="0.2"/>
    <row r="60784" customFormat="1" x14ac:dyDescent="0.2"/>
    <row r="60785" customFormat="1" x14ac:dyDescent="0.2"/>
    <row r="60786" customFormat="1" x14ac:dyDescent="0.2"/>
    <row r="60787" customFormat="1" x14ac:dyDescent="0.2"/>
    <row r="60788" customFormat="1" x14ac:dyDescent="0.2"/>
    <row r="60789" customFormat="1" x14ac:dyDescent="0.2"/>
    <row r="60790" customFormat="1" x14ac:dyDescent="0.2"/>
    <row r="60791" customFormat="1" x14ac:dyDescent="0.2"/>
    <row r="60792" customFormat="1" x14ac:dyDescent="0.2"/>
    <row r="60793" customFormat="1" x14ac:dyDescent="0.2"/>
    <row r="60794" customFormat="1" x14ac:dyDescent="0.2"/>
    <row r="60795" customFormat="1" x14ac:dyDescent="0.2"/>
    <row r="60796" customFormat="1" x14ac:dyDescent="0.2"/>
    <row r="60797" customFormat="1" x14ac:dyDescent="0.2"/>
    <row r="60798" customFormat="1" x14ac:dyDescent="0.2"/>
    <row r="60799" customFormat="1" x14ac:dyDescent="0.2"/>
    <row r="60800" customFormat="1" x14ac:dyDescent="0.2"/>
    <row r="60801" customFormat="1" x14ac:dyDescent="0.2"/>
    <row r="60802" customFormat="1" x14ac:dyDescent="0.2"/>
    <row r="60803" customFormat="1" x14ac:dyDescent="0.2"/>
    <row r="60804" customFormat="1" x14ac:dyDescent="0.2"/>
    <row r="60805" customFormat="1" x14ac:dyDescent="0.2"/>
    <row r="60806" customFormat="1" x14ac:dyDescent="0.2"/>
    <row r="60807" customFormat="1" x14ac:dyDescent="0.2"/>
    <row r="60808" customFormat="1" x14ac:dyDescent="0.2"/>
    <row r="60809" customFormat="1" x14ac:dyDescent="0.2"/>
    <row r="60810" customFormat="1" x14ac:dyDescent="0.2"/>
    <row r="60811" customFormat="1" x14ac:dyDescent="0.2"/>
    <row r="60812" customFormat="1" x14ac:dyDescent="0.2"/>
    <row r="60813" customFormat="1" x14ac:dyDescent="0.2"/>
    <row r="60814" customFormat="1" x14ac:dyDescent="0.2"/>
    <row r="60815" customFormat="1" x14ac:dyDescent="0.2"/>
    <row r="60816" customFormat="1" x14ac:dyDescent="0.2"/>
    <row r="60817" customFormat="1" x14ac:dyDescent="0.2"/>
    <row r="60818" customFormat="1" x14ac:dyDescent="0.2"/>
    <row r="60819" customFormat="1" x14ac:dyDescent="0.2"/>
    <row r="60820" customFormat="1" x14ac:dyDescent="0.2"/>
    <row r="60821" customFormat="1" x14ac:dyDescent="0.2"/>
    <row r="60822" customFormat="1" x14ac:dyDescent="0.2"/>
    <row r="60823" customFormat="1" x14ac:dyDescent="0.2"/>
    <row r="60824" customFormat="1" x14ac:dyDescent="0.2"/>
    <row r="60825" customFormat="1" x14ac:dyDescent="0.2"/>
    <row r="60826" customFormat="1" x14ac:dyDescent="0.2"/>
    <row r="60827" customFormat="1" x14ac:dyDescent="0.2"/>
    <row r="60828" customFormat="1" x14ac:dyDescent="0.2"/>
    <row r="60829" customFormat="1" x14ac:dyDescent="0.2"/>
    <row r="60830" customFormat="1" x14ac:dyDescent="0.2"/>
    <row r="60831" customFormat="1" x14ac:dyDescent="0.2"/>
    <row r="60832" customFormat="1" x14ac:dyDescent="0.2"/>
    <row r="60833" customFormat="1" x14ac:dyDescent="0.2"/>
    <row r="60834" customFormat="1" x14ac:dyDescent="0.2"/>
    <row r="60835" customFormat="1" x14ac:dyDescent="0.2"/>
    <row r="60836" customFormat="1" x14ac:dyDescent="0.2"/>
    <row r="60837" customFormat="1" x14ac:dyDescent="0.2"/>
    <row r="60838" customFormat="1" x14ac:dyDescent="0.2"/>
    <row r="60839" customFormat="1" x14ac:dyDescent="0.2"/>
    <row r="60840" customFormat="1" x14ac:dyDescent="0.2"/>
    <row r="60841" customFormat="1" x14ac:dyDescent="0.2"/>
    <row r="60842" customFormat="1" x14ac:dyDescent="0.2"/>
    <row r="60843" customFormat="1" x14ac:dyDescent="0.2"/>
    <row r="60844" customFormat="1" x14ac:dyDescent="0.2"/>
    <row r="60845" customFormat="1" x14ac:dyDescent="0.2"/>
    <row r="60846" customFormat="1" x14ac:dyDescent="0.2"/>
    <row r="60847" customFormat="1" x14ac:dyDescent="0.2"/>
    <row r="60848" customFormat="1" x14ac:dyDescent="0.2"/>
    <row r="60849" customFormat="1" x14ac:dyDescent="0.2"/>
    <row r="60850" customFormat="1" x14ac:dyDescent="0.2"/>
    <row r="60851" customFormat="1" x14ac:dyDescent="0.2"/>
    <row r="60852" customFormat="1" x14ac:dyDescent="0.2"/>
    <row r="60853" customFormat="1" x14ac:dyDescent="0.2"/>
    <row r="60854" customFormat="1" x14ac:dyDescent="0.2"/>
    <row r="60855" customFormat="1" x14ac:dyDescent="0.2"/>
    <row r="60856" customFormat="1" x14ac:dyDescent="0.2"/>
    <row r="60857" customFormat="1" x14ac:dyDescent="0.2"/>
    <row r="60858" customFormat="1" x14ac:dyDescent="0.2"/>
    <row r="60859" customFormat="1" x14ac:dyDescent="0.2"/>
    <row r="60860" customFormat="1" x14ac:dyDescent="0.2"/>
    <row r="60861" customFormat="1" x14ac:dyDescent="0.2"/>
    <row r="60862" customFormat="1" x14ac:dyDescent="0.2"/>
    <row r="60863" customFormat="1" x14ac:dyDescent="0.2"/>
    <row r="60864" customFormat="1" x14ac:dyDescent="0.2"/>
    <row r="60865" customFormat="1" x14ac:dyDescent="0.2"/>
    <row r="60866" customFormat="1" x14ac:dyDescent="0.2"/>
    <row r="60867" customFormat="1" x14ac:dyDescent="0.2"/>
    <row r="60868" customFormat="1" x14ac:dyDescent="0.2"/>
    <row r="60869" customFormat="1" x14ac:dyDescent="0.2"/>
    <row r="60870" customFormat="1" x14ac:dyDescent="0.2"/>
    <row r="60871" customFormat="1" x14ac:dyDescent="0.2"/>
    <row r="60872" customFormat="1" x14ac:dyDescent="0.2"/>
    <row r="60873" customFormat="1" x14ac:dyDescent="0.2"/>
    <row r="60874" customFormat="1" x14ac:dyDescent="0.2"/>
    <row r="60875" customFormat="1" x14ac:dyDescent="0.2"/>
    <row r="60876" customFormat="1" x14ac:dyDescent="0.2"/>
    <row r="60877" customFormat="1" x14ac:dyDescent="0.2"/>
    <row r="60878" customFormat="1" x14ac:dyDescent="0.2"/>
    <row r="60879" customFormat="1" x14ac:dyDescent="0.2"/>
    <row r="60880" customFormat="1" x14ac:dyDescent="0.2"/>
    <row r="60881" customFormat="1" x14ac:dyDescent="0.2"/>
    <row r="60882" customFormat="1" x14ac:dyDescent="0.2"/>
    <row r="60883" customFormat="1" x14ac:dyDescent="0.2"/>
    <row r="60884" customFormat="1" x14ac:dyDescent="0.2"/>
    <row r="60885" customFormat="1" x14ac:dyDescent="0.2"/>
    <row r="60886" customFormat="1" x14ac:dyDescent="0.2"/>
    <row r="60887" customFormat="1" x14ac:dyDescent="0.2"/>
    <row r="60888" customFormat="1" x14ac:dyDescent="0.2"/>
    <row r="60889" customFormat="1" x14ac:dyDescent="0.2"/>
    <row r="60890" customFormat="1" x14ac:dyDescent="0.2"/>
    <row r="60891" customFormat="1" x14ac:dyDescent="0.2"/>
    <row r="60892" customFormat="1" x14ac:dyDescent="0.2"/>
    <row r="60893" customFormat="1" x14ac:dyDescent="0.2"/>
    <row r="60894" customFormat="1" x14ac:dyDescent="0.2"/>
    <row r="60895" customFormat="1" x14ac:dyDescent="0.2"/>
    <row r="60896" customFormat="1" x14ac:dyDescent="0.2"/>
    <row r="60897" customFormat="1" x14ac:dyDescent="0.2"/>
    <row r="60898" customFormat="1" x14ac:dyDescent="0.2"/>
    <row r="60899" customFormat="1" x14ac:dyDescent="0.2"/>
    <row r="60900" customFormat="1" x14ac:dyDescent="0.2"/>
    <row r="60901" customFormat="1" x14ac:dyDescent="0.2"/>
    <row r="60902" customFormat="1" x14ac:dyDescent="0.2"/>
    <row r="60903" customFormat="1" x14ac:dyDescent="0.2"/>
    <row r="60904" customFormat="1" x14ac:dyDescent="0.2"/>
    <row r="60905" customFormat="1" x14ac:dyDescent="0.2"/>
    <row r="60906" customFormat="1" x14ac:dyDescent="0.2"/>
    <row r="60907" customFormat="1" x14ac:dyDescent="0.2"/>
    <row r="60908" customFormat="1" x14ac:dyDescent="0.2"/>
    <row r="60909" customFormat="1" x14ac:dyDescent="0.2"/>
    <row r="60910" customFormat="1" x14ac:dyDescent="0.2"/>
    <row r="60911" customFormat="1" x14ac:dyDescent="0.2"/>
    <row r="60912" customFormat="1" x14ac:dyDescent="0.2"/>
    <row r="60913" customFormat="1" x14ac:dyDescent="0.2"/>
    <row r="60914" customFormat="1" x14ac:dyDescent="0.2"/>
    <row r="60915" customFormat="1" x14ac:dyDescent="0.2"/>
    <row r="60916" customFormat="1" x14ac:dyDescent="0.2"/>
    <row r="60917" customFormat="1" x14ac:dyDescent="0.2"/>
    <row r="60918" customFormat="1" x14ac:dyDescent="0.2"/>
    <row r="60919" customFormat="1" x14ac:dyDescent="0.2"/>
    <row r="60920" customFormat="1" x14ac:dyDescent="0.2"/>
    <row r="60921" customFormat="1" x14ac:dyDescent="0.2"/>
    <row r="60922" customFormat="1" x14ac:dyDescent="0.2"/>
    <row r="60923" customFormat="1" x14ac:dyDescent="0.2"/>
    <row r="60924" customFormat="1" x14ac:dyDescent="0.2"/>
    <row r="60925" customFormat="1" x14ac:dyDescent="0.2"/>
    <row r="60926" customFormat="1" x14ac:dyDescent="0.2"/>
    <row r="60927" customFormat="1" x14ac:dyDescent="0.2"/>
    <row r="60928" customFormat="1" x14ac:dyDescent="0.2"/>
    <row r="60929" customFormat="1" x14ac:dyDescent="0.2"/>
    <row r="60930" customFormat="1" x14ac:dyDescent="0.2"/>
    <row r="60931" customFormat="1" x14ac:dyDescent="0.2"/>
    <row r="60932" customFormat="1" x14ac:dyDescent="0.2"/>
    <row r="60933" customFormat="1" x14ac:dyDescent="0.2"/>
    <row r="60934" customFormat="1" x14ac:dyDescent="0.2"/>
    <row r="60935" customFormat="1" x14ac:dyDescent="0.2"/>
    <row r="60936" customFormat="1" x14ac:dyDescent="0.2"/>
    <row r="60937" customFormat="1" x14ac:dyDescent="0.2"/>
    <row r="60938" customFormat="1" x14ac:dyDescent="0.2"/>
    <row r="60939" customFormat="1" x14ac:dyDescent="0.2"/>
    <row r="60940" customFormat="1" x14ac:dyDescent="0.2"/>
    <row r="60941" customFormat="1" x14ac:dyDescent="0.2"/>
    <row r="60942" customFormat="1" x14ac:dyDescent="0.2"/>
    <row r="60943" customFormat="1" x14ac:dyDescent="0.2"/>
    <row r="60944" customFormat="1" x14ac:dyDescent="0.2"/>
    <row r="60945" customFormat="1" x14ac:dyDescent="0.2"/>
    <row r="60946" customFormat="1" x14ac:dyDescent="0.2"/>
    <row r="60947" customFormat="1" x14ac:dyDescent="0.2"/>
    <row r="60948" customFormat="1" x14ac:dyDescent="0.2"/>
    <row r="60949" customFormat="1" x14ac:dyDescent="0.2"/>
    <row r="60950" customFormat="1" x14ac:dyDescent="0.2"/>
    <row r="60951" customFormat="1" x14ac:dyDescent="0.2"/>
    <row r="60952" customFormat="1" x14ac:dyDescent="0.2"/>
    <row r="60953" customFormat="1" x14ac:dyDescent="0.2"/>
    <row r="60954" customFormat="1" x14ac:dyDescent="0.2"/>
    <row r="60955" customFormat="1" x14ac:dyDescent="0.2"/>
    <row r="60956" customFormat="1" x14ac:dyDescent="0.2"/>
    <row r="60957" customFormat="1" x14ac:dyDescent="0.2"/>
    <row r="60958" customFormat="1" x14ac:dyDescent="0.2"/>
    <row r="60959" customFormat="1" x14ac:dyDescent="0.2"/>
    <row r="60960" customFormat="1" x14ac:dyDescent="0.2"/>
    <row r="60961" customFormat="1" x14ac:dyDescent="0.2"/>
    <row r="60962" customFormat="1" x14ac:dyDescent="0.2"/>
    <row r="60963" customFormat="1" x14ac:dyDescent="0.2"/>
    <row r="60964" customFormat="1" x14ac:dyDescent="0.2"/>
    <row r="60965" customFormat="1" x14ac:dyDescent="0.2"/>
    <row r="60966" customFormat="1" x14ac:dyDescent="0.2"/>
    <row r="60967" customFormat="1" x14ac:dyDescent="0.2"/>
    <row r="60968" customFormat="1" x14ac:dyDescent="0.2"/>
    <row r="60969" customFormat="1" x14ac:dyDescent="0.2"/>
    <row r="60970" customFormat="1" x14ac:dyDescent="0.2"/>
    <row r="60971" customFormat="1" x14ac:dyDescent="0.2"/>
    <row r="60972" customFormat="1" x14ac:dyDescent="0.2"/>
    <row r="60973" customFormat="1" x14ac:dyDescent="0.2"/>
    <row r="60974" customFormat="1" x14ac:dyDescent="0.2"/>
    <row r="60975" customFormat="1" x14ac:dyDescent="0.2"/>
    <row r="60976" customFormat="1" x14ac:dyDescent="0.2"/>
    <row r="60977" customFormat="1" x14ac:dyDescent="0.2"/>
    <row r="60978" customFormat="1" x14ac:dyDescent="0.2"/>
    <row r="60979" customFormat="1" x14ac:dyDescent="0.2"/>
    <row r="60980" customFormat="1" x14ac:dyDescent="0.2"/>
    <row r="60981" customFormat="1" x14ac:dyDescent="0.2"/>
    <row r="60982" customFormat="1" x14ac:dyDescent="0.2"/>
    <row r="60983" customFormat="1" x14ac:dyDescent="0.2"/>
    <row r="60984" customFormat="1" x14ac:dyDescent="0.2"/>
    <row r="60985" customFormat="1" x14ac:dyDescent="0.2"/>
    <row r="60986" customFormat="1" x14ac:dyDescent="0.2"/>
    <row r="60987" customFormat="1" x14ac:dyDescent="0.2"/>
    <row r="60988" customFormat="1" x14ac:dyDescent="0.2"/>
    <row r="60989" customFormat="1" x14ac:dyDescent="0.2"/>
    <row r="60990" customFormat="1" x14ac:dyDescent="0.2"/>
    <row r="60991" customFormat="1" x14ac:dyDescent="0.2"/>
    <row r="60992" customFormat="1" x14ac:dyDescent="0.2"/>
    <row r="60993" customFormat="1" x14ac:dyDescent="0.2"/>
    <row r="60994" customFormat="1" x14ac:dyDescent="0.2"/>
    <row r="60995" customFormat="1" x14ac:dyDescent="0.2"/>
    <row r="60996" customFormat="1" x14ac:dyDescent="0.2"/>
    <row r="60997" customFormat="1" x14ac:dyDescent="0.2"/>
    <row r="60998" customFormat="1" x14ac:dyDescent="0.2"/>
    <row r="60999" customFormat="1" x14ac:dyDescent="0.2"/>
    <row r="61000" customFormat="1" x14ac:dyDescent="0.2"/>
    <row r="61001" customFormat="1" x14ac:dyDescent="0.2"/>
    <row r="61002" customFormat="1" x14ac:dyDescent="0.2"/>
    <row r="61003" customFormat="1" x14ac:dyDescent="0.2"/>
    <row r="61004" customFormat="1" x14ac:dyDescent="0.2"/>
    <row r="61005" customFormat="1" x14ac:dyDescent="0.2"/>
    <row r="61006" customFormat="1" x14ac:dyDescent="0.2"/>
    <row r="61007" customFormat="1" x14ac:dyDescent="0.2"/>
    <row r="61008" customFormat="1" x14ac:dyDescent="0.2"/>
    <row r="61009" customFormat="1" x14ac:dyDescent="0.2"/>
    <row r="61010" customFormat="1" x14ac:dyDescent="0.2"/>
    <row r="61011" customFormat="1" x14ac:dyDescent="0.2"/>
    <row r="61012" customFormat="1" x14ac:dyDescent="0.2"/>
    <row r="61013" customFormat="1" x14ac:dyDescent="0.2"/>
    <row r="61014" customFormat="1" x14ac:dyDescent="0.2"/>
    <row r="61015" customFormat="1" x14ac:dyDescent="0.2"/>
    <row r="61016" customFormat="1" x14ac:dyDescent="0.2"/>
    <row r="61017" customFormat="1" x14ac:dyDescent="0.2"/>
    <row r="61018" customFormat="1" x14ac:dyDescent="0.2"/>
    <row r="61019" customFormat="1" x14ac:dyDescent="0.2"/>
    <row r="61020" customFormat="1" x14ac:dyDescent="0.2"/>
    <row r="61021" customFormat="1" x14ac:dyDescent="0.2"/>
    <row r="61022" customFormat="1" x14ac:dyDescent="0.2"/>
    <row r="61023" customFormat="1" x14ac:dyDescent="0.2"/>
    <row r="61024" customFormat="1" x14ac:dyDescent="0.2"/>
    <row r="61025" customFormat="1" x14ac:dyDescent="0.2"/>
    <row r="61026" customFormat="1" x14ac:dyDescent="0.2"/>
    <row r="61027" customFormat="1" x14ac:dyDescent="0.2"/>
    <row r="61028" customFormat="1" x14ac:dyDescent="0.2"/>
    <row r="61029" customFormat="1" x14ac:dyDescent="0.2"/>
    <row r="61030" customFormat="1" x14ac:dyDescent="0.2"/>
    <row r="61031" customFormat="1" x14ac:dyDescent="0.2"/>
    <row r="61032" customFormat="1" x14ac:dyDescent="0.2"/>
    <row r="61033" customFormat="1" x14ac:dyDescent="0.2"/>
    <row r="61034" customFormat="1" x14ac:dyDescent="0.2"/>
    <row r="61035" customFormat="1" x14ac:dyDescent="0.2"/>
    <row r="61036" customFormat="1" x14ac:dyDescent="0.2"/>
    <row r="61037" customFormat="1" x14ac:dyDescent="0.2"/>
    <row r="61038" customFormat="1" x14ac:dyDescent="0.2"/>
    <row r="61039" customFormat="1" x14ac:dyDescent="0.2"/>
    <row r="61040" customFormat="1" x14ac:dyDescent="0.2"/>
    <row r="61041" customFormat="1" x14ac:dyDescent="0.2"/>
    <row r="61042" customFormat="1" x14ac:dyDescent="0.2"/>
    <row r="61043" customFormat="1" x14ac:dyDescent="0.2"/>
    <row r="61044" customFormat="1" x14ac:dyDescent="0.2"/>
    <row r="61045" customFormat="1" x14ac:dyDescent="0.2"/>
    <row r="61046" customFormat="1" x14ac:dyDescent="0.2"/>
    <row r="61047" customFormat="1" x14ac:dyDescent="0.2"/>
    <row r="61048" customFormat="1" x14ac:dyDescent="0.2"/>
    <row r="61049" customFormat="1" x14ac:dyDescent="0.2"/>
    <row r="61050" customFormat="1" x14ac:dyDescent="0.2"/>
    <row r="61051" customFormat="1" x14ac:dyDescent="0.2"/>
    <row r="61052" customFormat="1" x14ac:dyDescent="0.2"/>
    <row r="61053" customFormat="1" x14ac:dyDescent="0.2"/>
    <row r="61054" customFormat="1" x14ac:dyDescent="0.2"/>
    <row r="61055" customFormat="1" x14ac:dyDescent="0.2"/>
    <row r="61056" customFormat="1" x14ac:dyDescent="0.2"/>
    <row r="61057" customFormat="1" x14ac:dyDescent="0.2"/>
    <row r="61058" customFormat="1" x14ac:dyDescent="0.2"/>
    <row r="61059" customFormat="1" x14ac:dyDescent="0.2"/>
    <row r="61060" customFormat="1" x14ac:dyDescent="0.2"/>
    <row r="61061" customFormat="1" x14ac:dyDescent="0.2"/>
    <row r="61062" customFormat="1" x14ac:dyDescent="0.2"/>
    <row r="61063" customFormat="1" x14ac:dyDescent="0.2"/>
    <row r="61064" customFormat="1" x14ac:dyDescent="0.2"/>
    <row r="61065" customFormat="1" x14ac:dyDescent="0.2"/>
    <row r="61066" customFormat="1" x14ac:dyDescent="0.2"/>
    <row r="61067" customFormat="1" x14ac:dyDescent="0.2"/>
    <row r="61068" customFormat="1" x14ac:dyDescent="0.2"/>
    <row r="61069" customFormat="1" x14ac:dyDescent="0.2"/>
    <row r="61070" customFormat="1" x14ac:dyDescent="0.2"/>
    <row r="61071" customFormat="1" x14ac:dyDescent="0.2"/>
    <row r="61072" customFormat="1" x14ac:dyDescent="0.2"/>
    <row r="61073" customFormat="1" x14ac:dyDescent="0.2"/>
    <row r="61074" customFormat="1" x14ac:dyDescent="0.2"/>
    <row r="61075" customFormat="1" x14ac:dyDescent="0.2"/>
    <row r="61076" customFormat="1" x14ac:dyDescent="0.2"/>
    <row r="61077" customFormat="1" x14ac:dyDescent="0.2"/>
    <row r="61078" customFormat="1" x14ac:dyDescent="0.2"/>
    <row r="61079" customFormat="1" x14ac:dyDescent="0.2"/>
    <row r="61080" customFormat="1" x14ac:dyDescent="0.2"/>
    <row r="61081" customFormat="1" x14ac:dyDescent="0.2"/>
    <row r="61082" customFormat="1" x14ac:dyDescent="0.2"/>
    <row r="61083" customFormat="1" x14ac:dyDescent="0.2"/>
    <row r="61084" customFormat="1" x14ac:dyDescent="0.2"/>
    <row r="61085" customFormat="1" x14ac:dyDescent="0.2"/>
    <row r="61086" customFormat="1" x14ac:dyDescent="0.2"/>
    <row r="61087" customFormat="1" x14ac:dyDescent="0.2"/>
    <row r="61088" customFormat="1" x14ac:dyDescent="0.2"/>
    <row r="61089" customFormat="1" x14ac:dyDescent="0.2"/>
    <row r="61090" customFormat="1" x14ac:dyDescent="0.2"/>
    <row r="61091" customFormat="1" x14ac:dyDescent="0.2"/>
    <row r="61092" customFormat="1" x14ac:dyDescent="0.2"/>
    <row r="61093" customFormat="1" x14ac:dyDescent="0.2"/>
    <row r="61094" customFormat="1" x14ac:dyDescent="0.2"/>
    <row r="61095" customFormat="1" x14ac:dyDescent="0.2"/>
    <row r="61096" customFormat="1" x14ac:dyDescent="0.2"/>
    <row r="61097" customFormat="1" x14ac:dyDescent="0.2"/>
    <row r="61098" customFormat="1" x14ac:dyDescent="0.2"/>
    <row r="61099" customFormat="1" x14ac:dyDescent="0.2"/>
    <row r="61100" customFormat="1" x14ac:dyDescent="0.2"/>
    <row r="61101" customFormat="1" x14ac:dyDescent="0.2"/>
    <row r="61102" customFormat="1" x14ac:dyDescent="0.2"/>
    <row r="61103" customFormat="1" x14ac:dyDescent="0.2"/>
    <row r="61104" customFormat="1" x14ac:dyDescent="0.2"/>
    <row r="61105" customFormat="1" x14ac:dyDescent="0.2"/>
    <row r="61106" customFormat="1" x14ac:dyDescent="0.2"/>
    <row r="61107" customFormat="1" x14ac:dyDescent="0.2"/>
    <row r="61108" customFormat="1" x14ac:dyDescent="0.2"/>
    <row r="61109" customFormat="1" x14ac:dyDescent="0.2"/>
    <row r="61110" customFormat="1" x14ac:dyDescent="0.2"/>
    <row r="61111" customFormat="1" x14ac:dyDescent="0.2"/>
    <row r="61112" customFormat="1" x14ac:dyDescent="0.2"/>
    <row r="61113" customFormat="1" x14ac:dyDescent="0.2"/>
    <row r="61114" customFormat="1" x14ac:dyDescent="0.2"/>
    <row r="61115" customFormat="1" x14ac:dyDescent="0.2"/>
    <row r="61116" customFormat="1" x14ac:dyDescent="0.2"/>
    <row r="61117" customFormat="1" x14ac:dyDescent="0.2"/>
    <row r="61118" customFormat="1" x14ac:dyDescent="0.2"/>
    <row r="61119" customFormat="1" x14ac:dyDescent="0.2"/>
    <row r="61120" customFormat="1" x14ac:dyDescent="0.2"/>
    <row r="61121" customFormat="1" x14ac:dyDescent="0.2"/>
    <row r="61122" customFormat="1" x14ac:dyDescent="0.2"/>
    <row r="61123" customFormat="1" x14ac:dyDescent="0.2"/>
    <row r="61124" customFormat="1" x14ac:dyDescent="0.2"/>
    <row r="61125" customFormat="1" x14ac:dyDescent="0.2"/>
    <row r="61126" customFormat="1" x14ac:dyDescent="0.2"/>
    <row r="61127" customFormat="1" x14ac:dyDescent="0.2"/>
    <row r="61128" customFormat="1" x14ac:dyDescent="0.2"/>
    <row r="61129" customFormat="1" x14ac:dyDescent="0.2"/>
    <row r="61130" customFormat="1" x14ac:dyDescent="0.2"/>
    <row r="61131" customFormat="1" x14ac:dyDescent="0.2"/>
    <row r="61132" customFormat="1" x14ac:dyDescent="0.2"/>
    <row r="61133" customFormat="1" x14ac:dyDescent="0.2"/>
    <row r="61134" customFormat="1" x14ac:dyDescent="0.2"/>
    <row r="61135" customFormat="1" x14ac:dyDescent="0.2"/>
    <row r="61136" customFormat="1" x14ac:dyDescent="0.2"/>
    <row r="61137" customFormat="1" x14ac:dyDescent="0.2"/>
    <row r="61138" customFormat="1" x14ac:dyDescent="0.2"/>
    <row r="61139" customFormat="1" x14ac:dyDescent="0.2"/>
    <row r="61140" customFormat="1" x14ac:dyDescent="0.2"/>
    <row r="61141" customFormat="1" x14ac:dyDescent="0.2"/>
    <row r="61142" customFormat="1" x14ac:dyDescent="0.2"/>
    <row r="61143" customFormat="1" x14ac:dyDescent="0.2"/>
    <row r="61144" customFormat="1" x14ac:dyDescent="0.2"/>
    <row r="61145" customFormat="1" x14ac:dyDescent="0.2"/>
    <row r="61146" customFormat="1" x14ac:dyDescent="0.2"/>
    <row r="61147" customFormat="1" x14ac:dyDescent="0.2"/>
    <row r="61148" customFormat="1" x14ac:dyDescent="0.2"/>
    <row r="61149" customFormat="1" x14ac:dyDescent="0.2"/>
    <row r="61150" customFormat="1" x14ac:dyDescent="0.2"/>
    <row r="61151" customFormat="1" x14ac:dyDescent="0.2"/>
    <row r="61152" customFormat="1" x14ac:dyDescent="0.2"/>
    <row r="61153" customFormat="1" x14ac:dyDescent="0.2"/>
    <row r="61154" customFormat="1" x14ac:dyDescent="0.2"/>
    <row r="61155" customFormat="1" x14ac:dyDescent="0.2"/>
    <row r="61156" customFormat="1" x14ac:dyDescent="0.2"/>
    <row r="61157" customFormat="1" x14ac:dyDescent="0.2"/>
    <row r="61158" customFormat="1" x14ac:dyDescent="0.2"/>
    <row r="61159" customFormat="1" x14ac:dyDescent="0.2"/>
    <row r="61160" customFormat="1" x14ac:dyDescent="0.2"/>
    <row r="61161" customFormat="1" x14ac:dyDescent="0.2"/>
    <row r="61162" customFormat="1" x14ac:dyDescent="0.2"/>
    <row r="61163" customFormat="1" x14ac:dyDescent="0.2"/>
    <row r="61164" customFormat="1" x14ac:dyDescent="0.2"/>
    <row r="61165" customFormat="1" x14ac:dyDescent="0.2"/>
    <row r="61166" customFormat="1" x14ac:dyDescent="0.2"/>
    <row r="61167" customFormat="1" x14ac:dyDescent="0.2"/>
    <row r="61168" customFormat="1" x14ac:dyDescent="0.2"/>
    <row r="61169" customFormat="1" x14ac:dyDescent="0.2"/>
    <row r="61170" customFormat="1" x14ac:dyDescent="0.2"/>
    <row r="61171" customFormat="1" x14ac:dyDescent="0.2"/>
    <row r="61172" customFormat="1" x14ac:dyDescent="0.2"/>
    <row r="61173" customFormat="1" x14ac:dyDescent="0.2"/>
    <row r="61174" customFormat="1" x14ac:dyDescent="0.2"/>
    <row r="61175" customFormat="1" x14ac:dyDescent="0.2"/>
    <row r="61176" customFormat="1" x14ac:dyDescent="0.2"/>
    <row r="61177" customFormat="1" x14ac:dyDescent="0.2"/>
    <row r="61178" customFormat="1" x14ac:dyDescent="0.2"/>
    <row r="61179" customFormat="1" x14ac:dyDescent="0.2"/>
    <row r="61180" customFormat="1" x14ac:dyDescent="0.2"/>
    <row r="61181" customFormat="1" x14ac:dyDescent="0.2"/>
    <row r="61182" customFormat="1" x14ac:dyDescent="0.2"/>
    <row r="61183" customFormat="1" x14ac:dyDescent="0.2"/>
    <row r="61184" customFormat="1" x14ac:dyDescent="0.2"/>
    <row r="61185" customFormat="1" x14ac:dyDescent="0.2"/>
    <row r="61186" customFormat="1" x14ac:dyDescent="0.2"/>
    <row r="61187" customFormat="1" x14ac:dyDescent="0.2"/>
    <row r="61188" customFormat="1" x14ac:dyDescent="0.2"/>
    <row r="61189" customFormat="1" x14ac:dyDescent="0.2"/>
    <row r="61190" customFormat="1" x14ac:dyDescent="0.2"/>
    <row r="61191" customFormat="1" x14ac:dyDescent="0.2"/>
    <row r="61192" customFormat="1" x14ac:dyDescent="0.2"/>
    <row r="61193" customFormat="1" x14ac:dyDescent="0.2"/>
    <row r="61194" customFormat="1" x14ac:dyDescent="0.2"/>
    <row r="61195" customFormat="1" x14ac:dyDescent="0.2"/>
    <row r="61196" customFormat="1" x14ac:dyDescent="0.2"/>
    <row r="61197" customFormat="1" x14ac:dyDescent="0.2"/>
    <row r="61198" customFormat="1" x14ac:dyDescent="0.2"/>
    <row r="61199" customFormat="1" x14ac:dyDescent="0.2"/>
    <row r="61200" customFormat="1" x14ac:dyDescent="0.2"/>
    <row r="61201" customFormat="1" x14ac:dyDescent="0.2"/>
    <row r="61202" customFormat="1" x14ac:dyDescent="0.2"/>
    <row r="61203" customFormat="1" x14ac:dyDescent="0.2"/>
    <row r="61204" customFormat="1" x14ac:dyDescent="0.2"/>
    <row r="61205" customFormat="1" x14ac:dyDescent="0.2"/>
    <row r="61206" customFormat="1" x14ac:dyDescent="0.2"/>
    <row r="61207" customFormat="1" x14ac:dyDescent="0.2"/>
    <row r="61208" customFormat="1" x14ac:dyDescent="0.2"/>
    <row r="61209" customFormat="1" x14ac:dyDescent="0.2"/>
    <row r="61210" customFormat="1" x14ac:dyDescent="0.2"/>
    <row r="61211" customFormat="1" x14ac:dyDescent="0.2"/>
    <row r="61212" customFormat="1" x14ac:dyDescent="0.2"/>
    <row r="61213" customFormat="1" x14ac:dyDescent="0.2"/>
    <row r="61214" customFormat="1" x14ac:dyDescent="0.2"/>
    <row r="61215" customFormat="1" x14ac:dyDescent="0.2"/>
    <row r="61216" customFormat="1" x14ac:dyDescent="0.2"/>
    <row r="61217" customFormat="1" x14ac:dyDescent="0.2"/>
    <row r="61218" customFormat="1" x14ac:dyDescent="0.2"/>
    <row r="61219" customFormat="1" x14ac:dyDescent="0.2"/>
    <row r="61220" customFormat="1" x14ac:dyDescent="0.2"/>
    <row r="61221" customFormat="1" x14ac:dyDescent="0.2"/>
    <row r="61222" customFormat="1" x14ac:dyDescent="0.2"/>
    <row r="61223" customFormat="1" x14ac:dyDescent="0.2"/>
    <row r="61224" customFormat="1" x14ac:dyDescent="0.2"/>
    <row r="61225" customFormat="1" x14ac:dyDescent="0.2"/>
    <row r="61226" customFormat="1" x14ac:dyDescent="0.2"/>
    <row r="61227" customFormat="1" x14ac:dyDescent="0.2"/>
    <row r="61228" customFormat="1" x14ac:dyDescent="0.2"/>
    <row r="61229" customFormat="1" x14ac:dyDescent="0.2"/>
    <row r="61230" customFormat="1" x14ac:dyDescent="0.2"/>
    <row r="61231" customFormat="1" x14ac:dyDescent="0.2"/>
    <row r="61232" customFormat="1" x14ac:dyDescent="0.2"/>
    <row r="61233" customFormat="1" x14ac:dyDescent="0.2"/>
    <row r="61234" customFormat="1" x14ac:dyDescent="0.2"/>
    <row r="61235" customFormat="1" x14ac:dyDescent="0.2"/>
    <row r="61236" customFormat="1" x14ac:dyDescent="0.2"/>
    <row r="61237" customFormat="1" x14ac:dyDescent="0.2"/>
    <row r="61238" customFormat="1" x14ac:dyDescent="0.2"/>
    <row r="61239" customFormat="1" x14ac:dyDescent="0.2"/>
    <row r="61240" customFormat="1" x14ac:dyDescent="0.2"/>
    <row r="61241" customFormat="1" x14ac:dyDescent="0.2"/>
    <row r="61242" customFormat="1" x14ac:dyDescent="0.2"/>
    <row r="61243" customFormat="1" x14ac:dyDescent="0.2"/>
    <row r="61244" customFormat="1" x14ac:dyDescent="0.2"/>
    <row r="61245" customFormat="1" x14ac:dyDescent="0.2"/>
    <row r="61246" customFormat="1" x14ac:dyDescent="0.2"/>
    <row r="61247" customFormat="1" x14ac:dyDescent="0.2"/>
    <row r="61248" customFormat="1" x14ac:dyDescent="0.2"/>
    <row r="61249" customFormat="1" x14ac:dyDescent="0.2"/>
    <row r="61250" customFormat="1" x14ac:dyDescent="0.2"/>
    <row r="61251" customFormat="1" x14ac:dyDescent="0.2"/>
    <row r="61252" customFormat="1" x14ac:dyDescent="0.2"/>
    <row r="61253" customFormat="1" x14ac:dyDescent="0.2"/>
    <row r="61254" customFormat="1" x14ac:dyDescent="0.2"/>
    <row r="61255" customFormat="1" x14ac:dyDescent="0.2"/>
    <row r="61256" customFormat="1" x14ac:dyDescent="0.2"/>
    <row r="61257" customFormat="1" x14ac:dyDescent="0.2"/>
    <row r="61258" customFormat="1" x14ac:dyDescent="0.2"/>
    <row r="61259" customFormat="1" x14ac:dyDescent="0.2"/>
    <row r="61260" customFormat="1" x14ac:dyDescent="0.2"/>
    <row r="61261" customFormat="1" x14ac:dyDescent="0.2"/>
    <row r="61262" customFormat="1" x14ac:dyDescent="0.2"/>
    <row r="61263" customFormat="1" x14ac:dyDescent="0.2"/>
    <row r="61264" customFormat="1" x14ac:dyDescent="0.2"/>
    <row r="61265" customFormat="1" x14ac:dyDescent="0.2"/>
    <row r="61266" customFormat="1" x14ac:dyDescent="0.2"/>
    <row r="61267" customFormat="1" x14ac:dyDescent="0.2"/>
    <row r="61268" customFormat="1" x14ac:dyDescent="0.2"/>
    <row r="61269" customFormat="1" x14ac:dyDescent="0.2"/>
    <row r="61270" customFormat="1" x14ac:dyDescent="0.2"/>
    <row r="61271" customFormat="1" x14ac:dyDescent="0.2"/>
    <row r="61272" customFormat="1" x14ac:dyDescent="0.2"/>
    <row r="61273" customFormat="1" x14ac:dyDescent="0.2"/>
    <row r="61274" customFormat="1" x14ac:dyDescent="0.2"/>
    <row r="61275" customFormat="1" x14ac:dyDescent="0.2"/>
    <row r="61276" customFormat="1" x14ac:dyDescent="0.2"/>
    <row r="61277" customFormat="1" x14ac:dyDescent="0.2"/>
    <row r="61278" customFormat="1" x14ac:dyDescent="0.2"/>
    <row r="61279" customFormat="1" x14ac:dyDescent="0.2"/>
    <row r="61280" customFormat="1" x14ac:dyDescent="0.2"/>
    <row r="61281" customFormat="1" x14ac:dyDescent="0.2"/>
    <row r="61282" customFormat="1" x14ac:dyDescent="0.2"/>
    <row r="61283" customFormat="1" x14ac:dyDescent="0.2"/>
    <row r="61284" customFormat="1" x14ac:dyDescent="0.2"/>
    <row r="61285" customFormat="1" x14ac:dyDescent="0.2"/>
    <row r="61286" customFormat="1" x14ac:dyDescent="0.2"/>
    <row r="61287" customFormat="1" x14ac:dyDescent="0.2"/>
    <row r="61288" customFormat="1" x14ac:dyDescent="0.2"/>
    <row r="61289" customFormat="1" x14ac:dyDescent="0.2"/>
    <row r="61290" customFormat="1" x14ac:dyDescent="0.2"/>
    <row r="61291" customFormat="1" x14ac:dyDescent="0.2"/>
    <row r="61292" customFormat="1" x14ac:dyDescent="0.2"/>
    <row r="61293" customFormat="1" x14ac:dyDescent="0.2"/>
    <row r="61294" customFormat="1" x14ac:dyDescent="0.2"/>
    <row r="61295" customFormat="1" x14ac:dyDescent="0.2"/>
    <row r="61296" customFormat="1" x14ac:dyDescent="0.2"/>
    <row r="61297" customFormat="1" x14ac:dyDescent="0.2"/>
    <row r="61298" customFormat="1" x14ac:dyDescent="0.2"/>
    <row r="61299" customFormat="1" x14ac:dyDescent="0.2"/>
    <row r="61300" customFormat="1" x14ac:dyDescent="0.2"/>
    <row r="61301" customFormat="1" x14ac:dyDescent="0.2"/>
    <row r="61302" customFormat="1" x14ac:dyDescent="0.2"/>
    <row r="61303" customFormat="1" x14ac:dyDescent="0.2"/>
    <row r="61304" customFormat="1" x14ac:dyDescent="0.2"/>
    <row r="61305" customFormat="1" x14ac:dyDescent="0.2"/>
    <row r="61306" customFormat="1" x14ac:dyDescent="0.2"/>
    <row r="61307" customFormat="1" x14ac:dyDescent="0.2"/>
    <row r="61308" customFormat="1" x14ac:dyDescent="0.2"/>
    <row r="61309" customFormat="1" x14ac:dyDescent="0.2"/>
    <row r="61310" customFormat="1" x14ac:dyDescent="0.2"/>
    <row r="61311" customFormat="1" x14ac:dyDescent="0.2"/>
    <row r="61312" customFormat="1" x14ac:dyDescent="0.2"/>
    <row r="61313" customFormat="1" x14ac:dyDescent="0.2"/>
    <row r="61314" customFormat="1" x14ac:dyDescent="0.2"/>
    <row r="61315" customFormat="1" x14ac:dyDescent="0.2"/>
    <row r="61316" customFormat="1" x14ac:dyDescent="0.2"/>
    <row r="61317" customFormat="1" x14ac:dyDescent="0.2"/>
    <row r="61318" customFormat="1" x14ac:dyDescent="0.2"/>
    <row r="61319" customFormat="1" x14ac:dyDescent="0.2"/>
    <row r="61320" customFormat="1" x14ac:dyDescent="0.2"/>
    <row r="61321" customFormat="1" x14ac:dyDescent="0.2"/>
    <row r="61322" customFormat="1" x14ac:dyDescent="0.2"/>
    <row r="61323" customFormat="1" x14ac:dyDescent="0.2"/>
    <row r="61324" customFormat="1" x14ac:dyDescent="0.2"/>
    <row r="61325" customFormat="1" x14ac:dyDescent="0.2"/>
    <row r="61326" customFormat="1" x14ac:dyDescent="0.2"/>
    <row r="61327" customFormat="1" x14ac:dyDescent="0.2"/>
    <row r="61328" customFormat="1" x14ac:dyDescent="0.2"/>
    <row r="61329" customFormat="1" x14ac:dyDescent="0.2"/>
    <row r="61330" customFormat="1" x14ac:dyDescent="0.2"/>
    <row r="61331" customFormat="1" x14ac:dyDescent="0.2"/>
    <row r="61332" customFormat="1" x14ac:dyDescent="0.2"/>
    <row r="61333" customFormat="1" x14ac:dyDescent="0.2"/>
    <row r="61334" customFormat="1" x14ac:dyDescent="0.2"/>
    <row r="61335" customFormat="1" x14ac:dyDescent="0.2"/>
    <row r="61336" customFormat="1" x14ac:dyDescent="0.2"/>
    <row r="61337" customFormat="1" x14ac:dyDescent="0.2"/>
    <row r="61338" customFormat="1" x14ac:dyDescent="0.2"/>
    <row r="61339" customFormat="1" x14ac:dyDescent="0.2"/>
    <row r="61340" customFormat="1" x14ac:dyDescent="0.2"/>
    <row r="61341" customFormat="1" x14ac:dyDescent="0.2"/>
    <row r="61342" customFormat="1" x14ac:dyDescent="0.2"/>
    <row r="61343" customFormat="1" x14ac:dyDescent="0.2"/>
    <row r="61344" customFormat="1" x14ac:dyDescent="0.2"/>
    <row r="61345" customFormat="1" x14ac:dyDescent="0.2"/>
    <row r="61346" customFormat="1" x14ac:dyDescent="0.2"/>
    <row r="61347" customFormat="1" x14ac:dyDescent="0.2"/>
    <row r="61348" customFormat="1" x14ac:dyDescent="0.2"/>
    <row r="61349" customFormat="1" x14ac:dyDescent="0.2"/>
    <row r="61350" customFormat="1" x14ac:dyDescent="0.2"/>
    <row r="61351" customFormat="1" x14ac:dyDescent="0.2"/>
    <row r="61352" customFormat="1" x14ac:dyDescent="0.2"/>
    <row r="61353" customFormat="1" x14ac:dyDescent="0.2"/>
    <row r="61354" customFormat="1" x14ac:dyDescent="0.2"/>
    <row r="61355" customFormat="1" x14ac:dyDescent="0.2"/>
    <row r="61356" customFormat="1" x14ac:dyDescent="0.2"/>
    <row r="61357" customFormat="1" x14ac:dyDescent="0.2"/>
    <row r="61358" customFormat="1" x14ac:dyDescent="0.2"/>
    <row r="61359" customFormat="1" x14ac:dyDescent="0.2"/>
    <row r="61360" customFormat="1" x14ac:dyDescent="0.2"/>
    <row r="61361" customFormat="1" x14ac:dyDescent="0.2"/>
    <row r="61362" customFormat="1" x14ac:dyDescent="0.2"/>
    <row r="61363" customFormat="1" x14ac:dyDescent="0.2"/>
    <row r="61364" customFormat="1" x14ac:dyDescent="0.2"/>
    <row r="61365" customFormat="1" x14ac:dyDescent="0.2"/>
    <row r="61366" customFormat="1" x14ac:dyDescent="0.2"/>
    <row r="61367" customFormat="1" x14ac:dyDescent="0.2"/>
    <row r="61368" customFormat="1" x14ac:dyDescent="0.2"/>
    <row r="61369" customFormat="1" x14ac:dyDescent="0.2"/>
    <row r="61370" customFormat="1" x14ac:dyDescent="0.2"/>
    <row r="61371" customFormat="1" x14ac:dyDescent="0.2"/>
    <row r="61372" customFormat="1" x14ac:dyDescent="0.2"/>
    <row r="61373" customFormat="1" x14ac:dyDescent="0.2"/>
    <row r="61374" customFormat="1" x14ac:dyDescent="0.2"/>
    <row r="61375" customFormat="1" x14ac:dyDescent="0.2"/>
    <row r="61376" customFormat="1" x14ac:dyDescent="0.2"/>
    <row r="61377" customFormat="1" x14ac:dyDescent="0.2"/>
    <row r="61378" customFormat="1" x14ac:dyDescent="0.2"/>
    <row r="61379" customFormat="1" x14ac:dyDescent="0.2"/>
    <row r="61380" customFormat="1" x14ac:dyDescent="0.2"/>
    <row r="61381" customFormat="1" x14ac:dyDescent="0.2"/>
    <row r="61382" customFormat="1" x14ac:dyDescent="0.2"/>
    <row r="61383" customFormat="1" x14ac:dyDescent="0.2"/>
    <row r="61384" customFormat="1" x14ac:dyDescent="0.2"/>
    <row r="61385" customFormat="1" x14ac:dyDescent="0.2"/>
    <row r="61386" customFormat="1" x14ac:dyDescent="0.2"/>
    <row r="61387" customFormat="1" x14ac:dyDescent="0.2"/>
    <row r="61388" customFormat="1" x14ac:dyDescent="0.2"/>
    <row r="61389" customFormat="1" x14ac:dyDescent="0.2"/>
    <row r="61390" customFormat="1" x14ac:dyDescent="0.2"/>
    <row r="61391" customFormat="1" x14ac:dyDescent="0.2"/>
    <row r="61392" customFormat="1" x14ac:dyDescent="0.2"/>
    <row r="61393" customFormat="1" x14ac:dyDescent="0.2"/>
    <row r="61394" customFormat="1" x14ac:dyDescent="0.2"/>
    <row r="61395" customFormat="1" x14ac:dyDescent="0.2"/>
    <row r="61396" customFormat="1" x14ac:dyDescent="0.2"/>
    <row r="61397" customFormat="1" x14ac:dyDescent="0.2"/>
    <row r="61398" customFormat="1" x14ac:dyDescent="0.2"/>
    <row r="61399" customFormat="1" x14ac:dyDescent="0.2"/>
    <row r="61400" customFormat="1" x14ac:dyDescent="0.2"/>
    <row r="61401" customFormat="1" x14ac:dyDescent="0.2"/>
    <row r="61402" customFormat="1" x14ac:dyDescent="0.2"/>
    <row r="61403" customFormat="1" x14ac:dyDescent="0.2"/>
    <row r="61404" customFormat="1" x14ac:dyDescent="0.2"/>
    <row r="61405" customFormat="1" x14ac:dyDescent="0.2"/>
    <row r="61406" customFormat="1" x14ac:dyDescent="0.2"/>
    <row r="61407" customFormat="1" x14ac:dyDescent="0.2"/>
    <row r="61408" customFormat="1" x14ac:dyDescent="0.2"/>
    <row r="61409" customFormat="1" x14ac:dyDescent="0.2"/>
    <row r="61410" customFormat="1" x14ac:dyDescent="0.2"/>
    <row r="61411" customFormat="1" x14ac:dyDescent="0.2"/>
    <row r="61412" customFormat="1" x14ac:dyDescent="0.2"/>
    <row r="61413" customFormat="1" x14ac:dyDescent="0.2"/>
    <row r="61414" customFormat="1" x14ac:dyDescent="0.2"/>
    <row r="61415" customFormat="1" x14ac:dyDescent="0.2"/>
    <row r="61416" customFormat="1" x14ac:dyDescent="0.2"/>
    <row r="61417" customFormat="1" x14ac:dyDescent="0.2"/>
    <row r="61418" customFormat="1" x14ac:dyDescent="0.2"/>
    <row r="61419" customFormat="1" x14ac:dyDescent="0.2"/>
    <row r="61420" customFormat="1" x14ac:dyDescent="0.2"/>
    <row r="61421" customFormat="1" x14ac:dyDescent="0.2"/>
    <row r="61422" customFormat="1" x14ac:dyDescent="0.2"/>
    <row r="61423" customFormat="1" x14ac:dyDescent="0.2"/>
    <row r="61424" customFormat="1" x14ac:dyDescent="0.2"/>
    <row r="61425" customFormat="1" x14ac:dyDescent="0.2"/>
    <row r="61426" customFormat="1" x14ac:dyDescent="0.2"/>
    <row r="61427" customFormat="1" x14ac:dyDescent="0.2"/>
    <row r="61428" customFormat="1" x14ac:dyDescent="0.2"/>
    <row r="61429" customFormat="1" x14ac:dyDescent="0.2"/>
    <row r="61430" customFormat="1" x14ac:dyDescent="0.2"/>
    <row r="61431" customFormat="1" x14ac:dyDescent="0.2"/>
    <row r="61432" customFormat="1" x14ac:dyDescent="0.2"/>
    <row r="61433" customFormat="1" x14ac:dyDescent="0.2"/>
    <row r="61434" customFormat="1" x14ac:dyDescent="0.2"/>
    <row r="61435" customFormat="1" x14ac:dyDescent="0.2"/>
    <row r="61436" customFormat="1" x14ac:dyDescent="0.2"/>
    <row r="61437" customFormat="1" x14ac:dyDescent="0.2"/>
    <row r="61438" customFormat="1" x14ac:dyDescent="0.2"/>
    <row r="61439" customFormat="1" x14ac:dyDescent="0.2"/>
    <row r="61440" customFormat="1" x14ac:dyDescent="0.2"/>
    <row r="61441" customFormat="1" x14ac:dyDescent="0.2"/>
    <row r="61442" customFormat="1" x14ac:dyDescent="0.2"/>
    <row r="61443" customFormat="1" x14ac:dyDescent="0.2"/>
    <row r="61444" customFormat="1" x14ac:dyDescent="0.2"/>
    <row r="61445" customFormat="1" x14ac:dyDescent="0.2"/>
    <row r="61446" customFormat="1" x14ac:dyDescent="0.2"/>
    <row r="61447" customFormat="1" x14ac:dyDescent="0.2"/>
    <row r="61448" customFormat="1" x14ac:dyDescent="0.2"/>
    <row r="61449" customFormat="1" x14ac:dyDescent="0.2"/>
    <row r="61450" customFormat="1" x14ac:dyDescent="0.2"/>
    <row r="61451" customFormat="1" x14ac:dyDescent="0.2"/>
    <row r="61452" customFormat="1" x14ac:dyDescent="0.2"/>
    <row r="61453" customFormat="1" x14ac:dyDescent="0.2"/>
    <row r="61454" customFormat="1" x14ac:dyDescent="0.2"/>
    <row r="61455" customFormat="1" x14ac:dyDescent="0.2"/>
    <row r="61456" customFormat="1" x14ac:dyDescent="0.2"/>
    <row r="61457" customFormat="1" x14ac:dyDescent="0.2"/>
    <row r="61458" customFormat="1" x14ac:dyDescent="0.2"/>
    <row r="61459" customFormat="1" x14ac:dyDescent="0.2"/>
    <row r="61460" customFormat="1" x14ac:dyDescent="0.2"/>
    <row r="61461" customFormat="1" x14ac:dyDescent="0.2"/>
    <row r="61462" customFormat="1" x14ac:dyDescent="0.2"/>
    <row r="61463" customFormat="1" x14ac:dyDescent="0.2"/>
    <row r="61464" customFormat="1" x14ac:dyDescent="0.2"/>
    <row r="61465" customFormat="1" x14ac:dyDescent="0.2"/>
    <row r="61466" customFormat="1" x14ac:dyDescent="0.2"/>
    <row r="61467" customFormat="1" x14ac:dyDescent="0.2"/>
    <row r="61468" customFormat="1" x14ac:dyDescent="0.2"/>
    <row r="61469" customFormat="1" x14ac:dyDescent="0.2"/>
    <row r="61470" customFormat="1" x14ac:dyDescent="0.2"/>
    <row r="61471" customFormat="1" x14ac:dyDescent="0.2"/>
    <row r="61472" customFormat="1" x14ac:dyDescent="0.2"/>
    <row r="61473" customFormat="1" x14ac:dyDescent="0.2"/>
    <row r="61474" customFormat="1" x14ac:dyDescent="0.2"/>
    <row r="61475" customFormat="1" x14ac:dyDescent="0.2"/>
    <row r="61476" customFormat="1" x14ac:dyDescent="0.2"/>
    <row r="61477" customFormat="1" x14ac:dyDescent="0.2"/>
    <row r="61478" customFormat="1" x14ac:dyDescent="0.2"/>
    <row r="61479" customFormat="1" x14ac:dyDescent="0.2"/>
    <row r="61480" customFormat="1" x14ac:dyDescent="0.2"/>
    <row r="61481" customFormat="1" x14ac:dyDescent="0.2"/>
    <row r="61482" customFormat="1" x14ac:dyDescent="0.2"/>
    <row r="61483" customFormat="1" x14ac:dyDescent="0.2"/>
    <row r="61484" customFormat="1" x14ac:dyDescent="0.2"/>
    <row r="61485" customFormat="1" x14ac:dyDescent="0.2"/>
    <row r="61486" customFormat="1" x14ac:dyDescent="0.2"/>
    <row r="61487" customFormat="1" x14ac:dyDescent="0.2"/>
    <row r="61488" customFormat="1" x14ac:dyDescent="0.2"/>
    <row r="61489" customFormat="1" x14ac:dyDescent="0.2"/>
    <row r="61490" customFormat="1" x14ac:dyDescent="0.2"/>
    <row r="61491" customFormat="1" x14ac:dyDescent="0.2"/>
    <row r="61492" customFormat="1" x14ac:dyDescent="0.2"/>
    <row r="61493" customFormat="1" x14ac:dyDescent="0.2"/>
    <row r="61494" customFormat="1" x14ac:dyDescent="0.2"/>
    <row r="61495" customFormat="1" x14ac:dyDescent="0.2"/>
    <row r="61496" customFormat="1" x14ac:dyDescent="0.2"/>
    <row r="61497" customFormat="1" x14ac:dyDescent="0.2"/>
    <row r="61498" customFormat="1" x14ac:dyDescent="0.2"/>
    <row r="61499" customFormat="1" x14ac:dyDescent="0.2"/>
    <row r="61500" customFormat="1" x14ac:dyDescent="0.2"/>
    <row r="61501" customFormat="1" x14ac:dyDescent="0.2"/>
    <row r="61502" customFormat="1" x14ac:dyDescent="0.2"/>
    <row r="61503" customFormat="1" x14ac:dyDescent="0.2"/>
    <row r="61504" customFormat="1" x14ac:dyDescent="0.2"/>
    <row r="61505" customFormat="1" x14ac:dyDescent="0.2"/>
    <row r="61506" customFormat="1" x14ac:dyDescent="0.2"/>
    <row r="61507" customFormat="1" x14ac:dyDescent="0.2"/>
    <row r="61508" customFormat="1" x14ac:dyDescent="0.2"/>
    <row r="61509" customFormat="1" x14ac:dyDescent="0.2"/>
    <row r="61510" customFormat="1" x14ac:dyDescent="0.2"/>
    <row r="61511" customFormat="1" x14ac:dyDescent="0.2"/>
    <row r="61512" customFormat="1" x14ac:dyDescent="0.2"/>
    <row r="61513" customFormat="1" x14ac:dyDescent="0.2"/>
    <row r="61514" customFormat="1" x14ac:dyDescent="0.2"/>
    <row r="61515" customFormat="1" x14ac:dyDescent="0.2"/>
    <row r="61516" customFormat="1" x14ac:dyDescent="0.2"/>
    <row r="61517" customFormat="1" x14ac:dyDescent="0.2"/>
    <row r="61518" customFormat="1" x14ac:dyDescent="0.2"/>
    <row r="61519" customFormat="1" x14ac:dyDescent="0.2"/>
    <row r="61520" customFormat="1" x14ac:dyDescent="0.2"/>
    <row r="61521" customFormat="1" x14ac:dyDescent="0.2"/>
    <row r="61522" customFormat="1" x14ac:dyDescent="0.2"/>
    <row r="61523" customFormat="1" x14ac:dyDescent="0.2"/>
    <row r="61524" customFormat="1" x14ac:dyDescent="0.2"/>
    <row r="61525" customFormat="1" x14ac:dyDescent="0.2"/>
    <row r="61526" customFormat="1" x14ac:dyDescent="0.2"/>
    <row r="61527" customFormat="1" x14ac:dyDescent="0.2"/>
    <row r="61528" customFormat="1" x14ac:dyDescent="0.2"/>
    <row r="61529" customFormat="1" x14ac:dyDescent="0.2"/>
    <row r="61530" customFormat="1" x14ac:dyDescent="0.2"/>
    <row r="61531" customFormat="1" x14ac:dyDescent="0.2"/>
    <row r="61532" customFormat="1" x14ac:dyDescent="0.2"/>
    <row r="61533" customFormat="1" x14ac:dyDescent="0.2"/>
    <row r="61534" customFormat="1" x14ac:dyDescent="0.2"/>
    <row r="61535" customFormat="1" x14ac:dyDescent="0.2"/>
    <row r="61536" customFormat="1" x14ac:dyDescent="0.2"/>
    <row r="61537" customFormat="1" x14ac:dyDescent="0.2"/>
    <row r="61538" customFormat="1" x14ac:dyDescent="0.2"/>
    <row r="61539" customFormat="1" x14ac:dyDescent="0.2"/>
    <row r="61540" customFormat="1" x14ac:dyDescent="0.2"/>
    <row r="61541" customFormat="1" x14ac:dyDescent="0.2"/>
    <row r="61542" customFormat="1" x14ac:dyDescent="0.2"/>
    <row r="61543" customFormat="1" x14ac:dyDescent="0.2"/>
    <row r="61544" customFormat="1" x14ac:dyDescent="0.2"/>
    <row r="61545" customFormat="1" x14ac:dyDescent="0.2"/>
    <row r="61546" customFormat="1" x14ac:dyDescent="0.2"/>
    <row r="61547" customFormat="1" x14ac:dyDescent="0.2"/>
    <row r="61548" customFormat="1" x14ac:dyDescent="0.2"/>
    <row r="61549" customFormat="1" x14ac:dyDescent="0.2"/>
    <row r="61550" customFormat="1" x14ac:dyDescent="0.2"/>
    <row r="61551" customFormat="1" x14ac:dyDescent="0.2"/>
    <row r="61552" customFormat="1" x14ac:dyDescent="0.2"/>
    <row r="61553" customFormat="1" x14ac:dyDescent="0.2"/>
    <row r="61554" customFormat="1" x14ac:dyDescent="0.2"/>
    <row r="61555" customFormat="1" x14ac:dyDescent="0.2"/>
    <row r="61556" customFormat="1" x14ac:dyDescent="0.2"/>
    <row r="61557" customFormat="1" x14ac:dyDescent="0.2"/>
    <row r="61558" customFormat="1" x14ac:dyDescent="0.2"/>
    <row r="61559" customFormat="1" x14ac:dyDescent="0.2"/>
    <row r="61560" customFormat="1" x14ac:dyDescent="0.2"/>
    <row r="61561" customFormat="1" x14ac:dyDescent="0.2"/>
    <row r="61562" customFormat="1" x14ac:dyDescent="0.2"/>
    <row r="61563" customFormat="1" x14ac:dyDescent="0.2"/>
    <row r="61564" customFormat="1" x14ac:dyDescent="0.2"/>
    <row r="61565" customFormat="1" x14ac:dyDescent="0.2"/>
    <row r="61566" customFormat="1" x14ac:dyDescent="0.2"/>
    <row r="61567" customFormat="1" x14ac:dyDescent="0.2"/>
    <row r="61568" customFormat="1" x14ac:dyDescent="0.2"/>
    <row r="61569" customFormat="1" x14ac:dyDescent="0.2"/>
    <row r="61570" customFormat="1" x14ac:dyDescent="0.2"/>
    <row r="61571" customFormat="1" x14ac:dyDescent="0.2"/>
    <row r="61572" customFormat="1" x14ac:dyDescent="0.2"/>
    <row r="61573" customFormat="1" x14ac:dyDescent="0.2"/>
    <row r="61574" customFormat="1" x14ac:dyDescent="0.2"/>
    <row r="61575" customFormat="1" x14ac:dyDescent="0.2"/>
    <row r="61576" customFormat="1" x14ac:dyDescent="0.2"/>
    <row r="61577" customFormat="1" x14ac:dyDescent="0.2"/>
    <row r="61578" customFormat="1" x14ac:dyDescent="0.2"/>
    <row r="61579" customFormat="1" x14ac:dyDescent="0.2"/>
    <row r="61580" customFormat="1" x14ac:dyDescent="0.2"/>
    <row r="61581" customFormat="1" x14ac:dyDescent="0.2"/>
    <row r="61582" customFormat="1" x14ac:dyDescent="0.2"/>
    <row r="61583" customFormat="1" x14ac:dyDescent="0.2"/>
    <row r="61584" customFormat="1" x14ac:dyDescent="0.2"/>
    <row r="61585" customFormat="1" x14ac:dyDescent="0.2"/>
    <row r="61586" customFormat="1" x14ac:dyDescent="0.2"/>
    <row r="61587" customFormat="1" x14ac:dyDescent="0.2"/>
    <row r="61588" customFormat="1" x14ac:dyDescent="0.2"/>
    <row r="61589" customFormat="1" x14ac:dyDescent="0.2"/>
    <row r="61590" customFormat="1" x14ac:dyDescent="0.2"/>
    <row r="61591" customFormat="1" x14ac:dyDescent="0.2"/>
    <row r="61592" customFormat="1" x14ac:dyDescent="0.2"/>
    <row r="61593" customFormat="1" x14ac:dyDescent="0.2"/>
    <row r="61594" customFormat="1" x14ac:dyDescent="0.2"/>
    <row r="61595" customFormat="1" x14ac:dyDescent="0.2"/>
    <row r="61596" customFormat="1" x14ac:dyDescent="0.2"/>
    <row r="61597" customFormat="1" x14ac:dyDescent="0.2"/>
    <row r="61598" customFormat="1" x14ac:dyDescent="0.2"/>
    <row r="61599" customFormat="1" x14ac:dyDescent="0.2"/>
    <row r="61600" customFormat="1" x14ac:dyDescent="0.2"/>
    <row r="61601" customFormat="1" x14ac:dyDescent="0.2"/>
    <row r="61602" customFormat="1" x14ac:dyDescent="0.2"/>
    <row r="61603" customFormat="1" x14ac:dyDescent="0.2"/>
    <row r="61604" customFormat="1" x14ac:dyDescent="0.2"/>
    <row r="61605" customFormat="1" x14ac:dyDescent="0.2"/>
    <row r="61606" customFormat="1" x14ac:dyDescent="0.2"/>
    <row r="61607" customFormat="1" x14ac:dyDescent="0.2"/>
    <row r="61608" customFormat="1" x14ac:dyDescent="0.2"/>
    <row r="61609" customFormat="1" x14ac:dyDescent="0.2"/>
    <row r="61610" customFormat="1" x14ac:dyDescent="0.2"/>
    <row r="61611" customFormat="1" x14ac:dyDescent="0.2"/>
    <row r="61612" customFormat="1" x14ac:dyDescent="0.2"/>
    <row r="61613" customFormat="1" x14ac:dyDescent="0.2"/>
    <row r="61614" customFormat="1" x14ac:dyDescent="0.2"/>
    <row r="61615" customFormat="1" x14ac:dyDescent="0.2"/>
    <row r="61616" customFormat="1" x14ac:dyDescent="0.2"/>
    <row r="61617" customFormat="1" x14ac:dyDescent="0.2"/>
    <row r="61618" customFormat="1" x14ac:dyDescent="0.2"/>
    <row r="61619" customFormat="1" x14ac:dyDescent="0.2"/>
    <row r="61620" customFormat="1" x14ac:dyDescent="0.2"/>
    <row r="61621" customFormat="1" x14ac:dyDescent="0.2"/>
    <row r="61622" customFormat="1" x14ac:dyDescent="0.2"/>
    <row r="61623" customFormat="1" x14ac:dyDescent="0.2"/>
    <row r="61624" customFormat="1" x14ac:dyDescent="0.2"/>
    <row r="61625" customFormat="1" x14ac:dyDescent="0.2"/>
    <row r="61626" customFormat="1" x14ac:dyDescent="0.2"/>
    <row r="61627" customFormat="1" x14ac:dyDescent="0.2"/>
    <row r="61628" customFormat="1" x14ac:dyDescent="0.2"/>
    <row r="61629" customFormat="1" x14ac:dyDescent="0.2"/>
    <row r="61630" customFormat="1" x14ac:dyDescent="0.2"/>
    <row r="61631" customFormat="1" x14ac:dyDescent="0.2"/>
    <row r="61632" customFormat="1" x14ac:dyDescent="0.2"/>
    <row r="61633" customFormat="1" x14ac:dyDescent="0.2"/>
    <row r="61634" customFormat="1" x14ac:dyDescent="0.2"/>
    <row r="61635" customFormat="1" x14ac:dyDescent="0.2"/>
    <row r="61636" customFormat="1" x14ac:dyDescent="0.2"/>
    <row r="61637" customFormat="1" x14ac:dyDescent="0.2"/>
    <row r="61638" customFormat="1" x14ac:dyDescent="0.2"/>
    <row r="61639" customFormat="1" x14ac:dyDescent="0.2"/>
    <row r="61640" customFormat="1" x14ac:dyDescent="0.2"/>
    <row r="61641" customFormat="1" x14ac:dyDescent="0.2"/>
    <row r="61642" customFormat="1" x14ac:dyDescent="0.2"/>
    <row r="61643" customFormat="1" x14ac:dyDescent="0.2"/>
    <row r="61644" customFormat="1" x14ac:dyDescent="0.2"/>
    <row r="61645" customFormat="1" x14ac:dyDescent="0.2"/>
    <row r="61646" customFormat="1" x14ac:dyDescent="0.2"/>
    <row r="61647" customFormat="1" x14ac:dyDescent="0.2"/>
    <row r="61648" customFormat="1" x14ac:dyDescent="0.2"/>
    <row r="61649" customFormat="1" x14ac:dyDescent="0.2"/>
    <row r="61650" customFormat="1" x14ac:dyDescent="0.2"/>
    <row r="61651" customFormat="1" x14ac:dyDescent="0.2"/>
    <row r="61652" customFormat="1" x14ac:dyDescent="0.2"/>
    <row r="61653" customFormat="1" x14ac:dyDescent="0.2"/>
    <row r="61654" customFormat="1" x14ac:dyDescent="0.2"/>
    <row r="61655" customFormat="1" x14ac:dyDescent="0.2"/>
    <row r="61656" customFormat="1" x14ac:dyDescent="0.2"/>
    <row r="61657" customFormat="1" x14ac:dyDescent="0.2"/>
    <row r="61658" customFormat="1" x14ac:dyDescent="0.2"/>
    <row r="61659" customFormat="1" x14ac:dyDescent="0.2"/>
    <row r="61660" customFormat="1" x14ac:dyDescent="0.2"/>
    <row r="61661" customFormat="1" x14ac:dyDescent="0.2"/>
    <row r="61662" customFormat="1" x14ac:dyDescent="0.2"/>
    <row r="61663" customFormat="1" x14ac:dyDescent="0.2"/>
    <row r="61664" customFormat="1" x14ac:dyDescent="0.2"/>
    <row r="61665" customFormat="1" x14ac:dyDescent="0.2"/>
    <row r="61666" customFormat="1" x14ac:dyDescent="0.2"/>
    <row r="61667" customFormat="1" x14ac:dyDescent="0.2"/>
    <row r="61668" customFormat="1" x14ac:dyDescent="0.2"/>
    <row r="61669" customFormat="1" x14ac:dyDescent="0.2"/>
    <row r="61670" customFormat="1" x14ac:dyDescent="0.2"/>
    <row r="61671" customFormat="1" x14ac:dyDescent="0.2"/>
    <row r="61672" customFormat="1" x14ac:dyDescent="0.2"/>
    <row r="61673" customFormat="1" x14ac:dyDescent="0.2"/>
    <row r="61674" customFormat="1" x14ac:dyDescent="0.2"/>
    <row r="61675" customFormat="1" x14ac:dyDescent="0.2"/>
    <row r="61676" customFormat="1" x14ac:dyDescent="0.2"/>
    <row r="61677" customFormat="1" x14ac:dyDescent="0.2"/>
    <row r="61678" customFormat="1" x14ac:dyDescent="0.2"/>
    <row r="61679" customFormat="1" x14ac:dyDescent="0.2"/>
    <row r="61680" customFormat="1" x14ac:dyDescent="0.2"/>
    <row r="61681" customFormat="1" x14ac:dyDescent="0.2"/>
    <row r="61682" customFormat="1" x14ac:dyDescent="0.2"/>
    <row r="61683" customFormat="1" x14ac:dyDescent="0.2"/>
    <row r="61684" customFormat="1" x14ac:dyDescent="0.2"/>
    <row r="61685" customFormat="1" x14ac:dyDescent="0.2"/>
    <row r="61686" customFormat="1" x14ac:dyDescent="0.2"/>
    <row r="61687" customFormat="1" x14ac:dyDescent="0.2"/>
    <row r="61688" customFormat="1" x14ac:dyDescent="0.2"/>
    <row r="61689" customFormat="1" x14ac:dyDescent="0.2"/>
    <row r="61690" customFormat="1" x14ac:dyDescent="0.2"/>
    <row r="61691" customFormat="1" x14ac:dyDescent="0.2"/>
    <row r="61692" customFormat="1" x14ac:dyDescent="0.2"/>
    <row r="61693" customFormat="1" x14ac:dyDescent="0.2"/>
    <row r="61694" customFormat="1" x14ac:dyDescent="0.2"/>
    <row r="61695" customFormat="1" x14ac:dyDescent="0.2"/>
    <row r="61696" customFormat="1" x14ac:dyDescent="0.2"/>
    <row r="61697" customFormat="1" x14ac:dyDescent="0.2"/>
    <row r="61698" customFormat="1" x14ac:dyDescent="0.2"/>
    <row r="61699" customFormat="1" x14ac:dyDescent="0.2"/>
    <row r="61700" customFormat="1" x14ac:dyDescent="0.2"/>
    <row r="61701" customFormat="1" x14ac:dyDescent="0.2"/>
    <row r="61702" customFormat="1" x14ac:dyDescent="0.2"/>
    <row r="61703" customFormat="1" x14ac:dyDescent="0.2"/>
    <row r="61704" customFormat="1" x14ac:dyDescent="0.2"/>
    <row r="61705" customFormat="1" x14ac:dyDescent="0.2"/>
    <row r="61706" customFormat="1" x14ac:dyDescent="0.2"/>
    <row r="61707" customFormat="1" x14ac:dyDescent="0.2"/>
    <row r="61708" customFormat="1" x14ac:dyDescent="0.2"/>
    <row r="61709" customFormat="1" x14ac:dyDescent="0.2"/>
    <row r="61710" customFormat="1" x14ac:dyDescent="0.2"/>
    <row r="61711" customFormat="1" x14ac:dyDescent="0.2"/>
    <row r="61712" customFormat="1" x14ac:dyDescent="0.2"/>
    <row r="61713" customFormat="1" x14ac:dyDescent="0.2"/>
    <row r="61714" customFormat="1" x14ac:dyDescent="0.2"/>
    <row r="61715" customFormat="1" x14ac:dyDescent="0.2"/>
    <row r="61716" customFormat="1" x14ac:dyDescent="0.2"/>
    <row r="61717" customFormat="1" x14ac:dyDescent="0.2"/>
    <row r="61718" customFormat="1" x14ac:dyDescent="0.2"/>
    <row r="61719" customFormat="1" x14ac:dyDescent="0.2"/>
    <row r="61720" customFormat="1" x14ac:dyDescent="0.2"/>
    <row r="61721" customFormat="1" x14ac:dyDescent="0.2"/>
    <row r="61722" customFormat="1" x14ac:dyDescent="0.2"/>
    <row r="61723" customFormat="1" x14ac:dyDescent="0.2"/>
    <row r="61724" customFormat="1" x14ac:dyDescent="0.2"/>
    <row r="61725" customFormat="1" x14ac:dyDescent="0.2"/>
    <row r="61726" customFormat="1" x14ac:dyDescent="0.2"/>
    <row r="61727" customFormat="1" x14ac:dyDescent="0.2"/>
    <row r="61728" customFormat="1" x14ac:dyDescent="0.2"/>
    <row r="61729" customFormat="1" x14ac:dyDescent="0.2"/>
    <row r="61730" customFormat="1" x14ac:dyDescent="0.2"/>
    <row r="61731" customFormat="1" x14ac:dyDescent="0.2"/>
    <row r="61732" customFormat="1" x14ac:dyDescent="0.2"/>
    <row r="61733" customFormat="1" x14ac:dyDescent="0.2"/>
    <row r="61734" customFormat="1" x14ac:dyDescent="0.2"/>
    <row r="61735" customFormat="1" x14ac:dyDescent="0.2"/>
    <row r="61736" customFormat="1" x14ac:dyDescent="0.2"/>
    <row r="61737" customFormat="1" x14ac:dyDescent="0.2"/>
    <row r="61738" customFormat="1" x14ac:dyDescent="0.2"/>
    <row r="61739" customFormat="1" x14ac:dyDescent="0.2"/>
    <row r="61740" customFormat="1" x14ac:dyDescent="0.2"/>
    <row r="61741" customFormat="1" x14ac:dyDescent="0.2"/>
    <row r="61742" customFormat="1" x14ac:dyDescent="0.2"/>
    <row r="61743" customFormat="1" x14ac:dyDescent="0.2"/>
    <row r="61744" customFormat="1" x14ac:dyDescent="0.2"/>
    <row r="61745" customFormat="1" x14ac:dyDescent="0.2"/>
    <row r="61746" customFormat="1" x14ac:dyDescent="0.2"/>
    <row r="61747" customFormat="1" x14ac:dyDescent="0.2"/>
    <row r="61748" customFormat="1" x14ac:dyDescent="0.2"/>
    <row r="61749" customFormat="1" x14ac:dyDescent="0.2"/>
    <row r="61750" customFormat="1" x14ac:dyDescent="0.2"/>
    <row r="61751" customFormat="1" x14ac:dyDescent="0.2"/>
    <row r="61752" customFormat="1" x14ac:dyDescent="0.2"/>
    <row r="61753" customFormat="1" x14ac:dyDescent="0.2"/>
    <row r="61754" customFormat="1" x14ac:dyDescent="0.2"/>
    <row r="61755" customFormat="1" x14ac:dyDescent="0.2"/>
    <row r="61756" customFormat="1" x14ac:dyDescent="0.2"/>
    <row r="61757" customFormat="1" x14ac:dyDescent="0.2"/>
    <row r="61758" customFormat="1" x14ac:dyDescent="0.2"/>
    <row r="61759" customFormat="1" x14ac:dyDescent="0.2"/>
    <row r="61760" customFormat="1" x14ac:dyDescent="0.2"/>
    <row r="61761" customFormat="1" x14ac:dyDescent="0.2"/>
    <row r="61762" customFormat="1" x14ac:dyDescent="0.2"/>
    <row r="61763" customFormat="1" x14ac:dyDescent="0.2"/>
    <row r="61764" customFormat="1" x14ac:dyDescent="0.2"/>
    <row r="61765" customFormat="1" x14ac:dyDescent="0.2"/>
    <row r="61766" customFormat="1" x14ac:dyDescent="0.2"/>
    <row r="61767" customFormat="1" x14ac:dyDescent="0.2"/>
    <row r="61768" customFormat="1" x14ac:dyDescent="0.2"/>
    <row r="61769" customFormat="1" x14ac:dyDescent="0.2"/>
    <row r="61770" customFormat="1" x14ac:dyDescent="0.2"/>
    <row r="61771" customFormat="1" x14ac:dyDescent="0.2"/>
    <row r="61772" customFormat="1" x14ac:dyDescent="0.2"/>
    <row r="61773" customFormat="1" x14ac:dyDescent="0.2"/>
    <row r="61774" customFormat="1" x14ac:dyDescent="0.2"/>
    <row r="61775" customFormat="1" x14ac:dyDescent="0.2"/>
    <row r="61776" customFormat="1" x14ac:dyDescent="0.2"/>
    <row r="61777" customFormat="1" x14ac:dyDescent="0.2"/>
    <row r="61778" customFormat="1" x14ac:dyDescent="0.2"/>
    <row r="61779" customFormat="1" x14ac:dyDescent="0.2"/>
    <row r="61780" customFormat="1" x14ac:dyDescent="0.2"/>
    <row r="61781" customFormat="1" x14ac:dyDescent="0.2"/>
    <row r="61782" customFormat="1" x14ac:dyDescent="0.2"/>
    <row r="61783" customFormat="1" x14ac:dyDescent="0.2"/>
    <row r="61784" customFormat="1" x14ac:dyDescent="0.2"/>
    <row r="61785" customFormat="1" x14ac:dyDescent="0.2"/>
    <row r="61786" customFormat="1" x14ac:dyDescent="0.2"/>
    <row r="61787" customFormat="1" x14ac:dyDescent="0.2"/>
    <row r="61788" customFormat="1" x14ac:dyDescent="0.2"/>
    <row r="61789" customFormat="1" x14ac:dyDescent="0.2"/>
    <row r="61790" customFormat="1" x14ac:dyDescent="0.2"/>
    <row r="61791" customFormat="1" x14ac:dyDescent="0.2"/>
    <row r="61792" customFormat="1" x14ac:dyDescent="0.2"/>
    <row r="61793" customFormat="1" x14ac:dyDescent="0.2"/>
    <row r="61794" customFormat="1" x14ac:dyDescent="0.2"/>
    <row r="61795" customFormat="1" x14ac:dyDescent="0.2"/>
    <row r="61796" customFormat="1" x14ac:dyDescent="0.2"/>
    <row r="61797" customFormat="1" x14ac:dyDescent="0.2"/>
    <row r="61798" customFormat="1" x14ac:dyDescent="0.2"/>
    <row r="61799" customFormat="1" x14ac:dyDescent="0.2"/>
    <row r="61800" customFormat="1" x14ac:dyDescent="0.2"/>
    <row r="61801" customFormat="1" x14ac:dyDescent="0.2"/>
    <row r="61802" customFormat="1" x14ac:dyDescent="0.2"/>
    <row r="61803" customFormat="1" x14ac:dyDescent="0.2"/>
    <row r="61804" customFormat="1" x14ac:dyDescent="0.2"/>
    <row r="61805" customFormat="1" x14ac:dyDescent="0.2"/>
    <row r="61806" customFormat="1" x14ac:dyDescent="0.2"/>
    <row r="61807" customFormat="1" x14ac:dyDescent="0.2"/>
    <row r="61808" customFormat="1" x14ac:dyDescent="0.2"/>
    <row r="61809" customFormat="1" x14ac:dyDescent="0.2"/>
    <row r="61810" customFormat="1" x14ac:dyDescent="0.2"/>
    <row r="61811" customFormat="1" x14ac:dyDescent="0.2"/>
    <row r="61812" customFormat="1" x14ac:dyDescent="0.2"/>
    <row r="61813" customFormat="1" x14ac:dyDescent="0.2"/>
    <row r="61814" customFormat="1" x14ac:dyDescent="0.2"/>
    <row r="61815" customFormat="1" x14ac:dyDescent="0.2"/>
    <row r="61816" customFormat="1" x14ac:dyDescent="0.2"/>
    <row r="61817" customFormat="1" x14ac:dyDescent="0.2"/>
    <row r="61818" customFormat="1" x14ac:dyDescent="0.2"/>
    <row r="61819" customFormat="1" x14ac:dyDescent="0.2"/>
    <row r="61820" customFormat="1" x14ac:dyDescent="0.2"/>
    <row r="61821" customFormat="1" x14ac:dyDescent="0.2"/>
    <row r="61822" customFormat="1" x14ac:dyDescent="0.2"/>
    <row r="61823" customFormat="1" x14ac:dyDescent="0.2"/>
    <row r="61824" customFormat="1" x14ac:dyDescent="0.2"/>
    <row r="61825" customFormat="1" x14ac:dyDescent="0.2"/>
    <row r="61826" customFormat="1" x14ac:dyDescent="0.2"/>
    <row r="61827" customFormat="1" x14ac:dyDescent="0.2"/>
    <row r="61828" customFormat="1" x14ac:dyDescent="0.2"/>
    <row r="61829" customFormat="1" x14ac:dyDescent="0.2"/>
    <row r="61830" customFormat="1" x14ac:dyDescent="0.2"/>
    <row r="61831" customFormat="1" x14ac:dyDescent="0.2"/>
    <row r="61832" customFormat="1" x14ac:dyDescent="0.2"/>
    <row r="61833" customFormat="1" x14ac:dyDescent="0.2"/>
    <row r="61834" customFormat="1" x14ac:dyDescent="0.2"/>
    <row r="61835" customFormat="1" x14ac:dyDescent="0.2"/>
    <row r="61836" customFormat="1" x14ac:dyDescent="0.2"/>
    <row r="61837" customFormat="1" x14ac:dyDescent="0.2"/>
    <row r="61838" customFormat="1" x14ac:dyDescent="0.2"/>
    <row r="61839" customFormat="1" x14ac:dyDescent="0.2"/>
    <row r="61840" customFormat="1" x14ac:dyDescent="0.2"/>
    <row r="61841" customFormat="1" x14ac:dyDescent="0.2"/>
    <row r="61842" customFormat="1" x14ac:dyDescent="0.2"/>
    <row r="61843" customFormat="1" x14ac:dyDescent="0.2"/>
    <row r="61844" customFormat="1" x14ac:dyDescent="0.2"/>
    <row r="61845" customFormat="1" x14ac:dyDescent="0.2"/>
    <row r="61846" customFormat="1" x14ac:dyDescent="0.2"/>
    <row r="61847" customFormat="1" x14ac:dyDescent="0.2"/>
    <row r="61848" customFormat="1" x14ac:dyDescent="0.2"/>
    <row r="61849" customFormat="1" x14ac:dyDescent="0.2"/>
    <row r="61850" customFormat="1" x14ac:dyDescent="0.2"/>
    <row r="61851" customFormat="1" x14ac:dyDescent="0.2"/>
    <row r="61852" customFormat="1" x14ac:dyDescent="0.2"/>
    <row r="61853" customFormat="1" x14ac:dyDescent="0.2"/>
    <row r="61854" customFormat="1" x14ac:dyDescent="0.2"/>
    <row r="61855" customFormat="1" x14ac:dyDescent="0.2"/>
    <row r="61856" customFormat="1" x14ac:dyDescent="0.2"/>
    <row r="61857" customFormat="1" x14ac:dyDescent="0.2"/>
    <row r="61858" customFormat="1" x14ac:dyDescent="0.2"/>
    <row r="61859" customFormat="1" x14ac:dyDescent="0.2"/>
    <row r="61860" customFormat="1" x14ac:dyDescent="0.2"/>
    <row r="61861" customFormat="1" x14ac:dyDescent="0.2"/>
    <row r="61862" customFormat="1" x14ac:dyDescent="0.2"/>
    <row r="61863" customFormat="1" x14ac:dyDescent="0.2"/>
    <row r="61864" customFormat="1" x14ac:dyDescent="0.2"/>
    <row r="61865" customFormat="1" x14ac:dyDescent="0.2"/>
    <row r="61866" customFormat="1" x14ac:dyDescent="0.2"/>
    <row r="61867" customFormat="1" x14ac:dyDescent="0.2"/>
    <row r="61868" customFormat="1" x14ac:dyDescent="0.2"/>
    <row r="61869" customFormat="1" x14ac:dyDescent="0.2"/>
    <row r="61870" customFormat="1" x14ac:dyDescent="0.2"/>
    <row r="61871" customFormat="1" x14ac:dyDescent="0.2"/>
    <row r="61872" customFormat="1" x14ac:dyDescent="0.2"/>
    <row r="61873" customFormat="1" x14ac:dyDescent="0.2"/>
    <row r="61874" customFormat="1" x14ac:dyDescent="0.2"/>
    <row r="61875" customFormat="1" x14ac:dyDescent="0.2"/>
    <row r="61876" customFormat="1" x14ac:dyDescent="0.2"/>
    <row r="61877" customFormat="1" x14ac:dyDescent="0.2"/>
    <row r="61878" customFormat="1" x14ac:dyDescent="0.2"/>
    <row r="61879" customFormat="1" x14ac:dyDescent="0.2"/>
    <row r="61880" customFormat="1" x14ac:dyDescent="0.2"/>
    <row r="61881" customFormat="1" x14ac:dyDescent="0.2"/>
    <row r="61882" customFormat="1" x14ac:dyDescent="0.2"/>
    <row r="61883" customFormat="1" x14ac:dyDescent="0.2"/>
    <row r="61884" customFormat="1" x14ac:dyDescent="0.2"/>
    <row r="61885" customFormat="1" x14ac:dyDescent="0.2"/>
    <row r="61886" customFormat="1" x14ac:dyDescent="0.2"/>
    <row r="61887" customFormat="1" x14ac:dyDescent="0.2"/>
    <row r="61888" customFormat="1" x14ac:dyDescent="0.2"/>
    <row r="61889" customFormat="1" x14ac:dyDescent="0.2"/>
    <row r="61890" customFormat="1" x14ac:dyDescent="0.2"/>
    <row r="61891" customFormat="1" x14ac:dyDescent="0.2"/>
    <row r="61892" customFormat="1" x14ac:dyDescent="0.2"/>
    <row r="61893" customFormat="1" x14ac:dyDescent="0.2"/>
    <row r="61894" customFormat="1" x14ac:dyDescent="0.2"/>
    <row r="61895" customFormat="1" x14ac:dyDescent="0.2"/>
    <row r="61896" customFormat="1" x14ac:dyDescent="0.2"/>
    <row r="61897" customFormat="1" x14ac:dyDescent="0.2"/>
    <row r="61898" customFormat="1" x14ac:dyDescent="0.2"/>
    <row r="61899" customFormat="1" x14ac:dyDescent="0.2"/>
    <row r="61900" customFormat="1" x14ac:dyDescent="0.2"/>
    <row r="61901" customFormat="1" x14ac:dyDescent="0.2"/>
    <row r="61902" customFormat="1" x14ac:dyDescent="0.2"/>
    <row r="61903" customFormat="1" x14ac:dyDescent="0.2"/>
    <row r="61904" customFormat="1" x14ac:dyDescent="0.2"/>
    <row r="61905" customFormat="1" x14ac:dyDescent="0.2"/>
    <row r="61906" customFormat="1" x14ac:dyDescent="0.2"/>
    <row r="61907" customFormat="1" x14ac:dyDescent="0.2"/>
    <row r="61908" customFormat="1" x14ac:dyDescent="0.2"/>
    <row r="61909" customFormat="1" x14ac:dyDescent="0.2"/>
    <row r="61910" customFormat="1" x14ac:dyDescent="0.2"/>
    <row r="61911" customFormat="1" x14ac:dyDescent="0.2"/>
    <row r="61912" customFormat="1" x14ac:dyDescent="0.2"/>
    <row r="61913" customFormat="1" x14ac:dyDescent="0.2"/>
    <row r="61914" customFormat="1" x14ac:dyDescent="0.2"/>
    <row r="61915" customFormat="1" x14ac:dyDescent="0.2"/>
    <row r="61916" customFormat="1" x14ac:dyDescent="0.2"/>
    <row r="61917" customFormat="1" x14ac:dyDescent="0.2"/>
    <row r="61918" customFormat="1" x14ac:dyDescent="0.2"/>
    <row r="61919" customFormat="1" x14ac:dyDescent="0.2"/>
    <row r="61920" customFormat="1" x14ac:dyDescent="0.2"/>
    <row r="61921" customFormat="1" x14ac:dyDescent="0.2"/>
    <row r="61922" customFormat="1" x14ac:dyDescent="0.2"/>
    <row r="61923" customFormat="1" x14ac:dyDescent="0.2"/>
    <row r="61924" customFormat="1" x14ac:dyDescent="0.2"/>
    <row r="61925" customFormat="1" x14ac:dyDescent="0.2"/>
    <row r="61926" customFormat="1" x14ac:dyDescent="0.2"/>
    <row r="61927" customFormat="1" x14ac:dyDescent="0.2"/>
    <row r="61928" customFormat="1" x14ac:dyDescent="0.2"/>
    <row r="61929" customFormat="1" x14ac:dyDescent="0.2"/>
    <row r="61930" customFormat="1" x14ac:dyDescent="0.2"/>
    <row r="61931" customFormat="1" x14ac:dyDescent="0.2"/>
    <row r="61932" customFormat="1" x14ac:dyDescent="0.2"/>
    <row r="61933" customFormat="1" x14ac:dyDescent="0.2"/>
    <row r="61934" customFormat="1" x14ac:dyDescent="0.2"/>
    <row r="61935" customFormat="1" x14ac:dyDescent="0.2"/>
    <row r="61936" customFormat="1" x14ac:dyDescent="0.2"/>
    <row r="61937" customFormat="1" x14ac:dyDescent="0.2"/>
    <row r="61938" customFormat="1" x14ac:dyDescent="0.2"/>
    <row r="61939" customFormat="1" x14ac:dyDescent="0.2"/>
    <row r="61940" customFormat="1" x14ac:dyDescent="0.2"/>
    <row r="61941" customFormat="1" x14ac:dyDescent="0.2"/>
    <row r="61942" customFormat="1" x14ac:dyDescent="0.2"/>
    <row r="61943" customFormat="1" x14ac:dyDescent="0.2"/>
    <row r="61944" customFormat="1" x14ac:dyDescent="0.2"/>
    <row r="61945" customFormat="1" x14ac:dyDescent="0.2"/>
    <row r="61946" customFormat="1" x14ac:dyDescent="0.2"/>
    <row r="61947" customFormat="1" x14ac:dyDescent="0.2"/>
    <row r="61948" customFormat="1" x14ac:dyDescent="0.2"/>
    <row r="61949" customFormat="1" x14ac:dyDescent="0.2"/>
    <row r="61950" customFormat="1" x14ac:dyDescent="0.2"/>
    <row r="61951" customFormat="1" x14ac:dyDescent="0.2"/>
    <row r="61952" customFormat="1" x14ac:dyDescent="0.2"/>
    <row r="61953" customFormat="1" x14ac:dyDescent="0.2"/>
    <row r="61954" customFormat="1" x14ac:dyDescent="0.2"/>
    <row r="61955" customFormat="1" x14ac:dyDescent="0.2"/>
    <row r="61956" customFormat="1" x14ac:dyDescent="0.2"/>
    <row r="61957" customFormat="1" x14ac:dyDescent="0.2"/>
    <row r="61958" customFormat="1" x14ac:dyDescent="0.2"/>
    <row r="61959" customFormat="1" x14ac:dyDescent="0.2"/>
    <row r="61960" customFormat="1" x14ac:dyDescent="0.2"/>
    <row r="61961" customFormat="1" x14ac:dyDescent="0.2"/>
    <row r="61962" customFormat="1" x14ac:dyDescent="0.2"/>
    <row r="61963" customFormat="1" x14ac:dyDescent="0.2"/>
    <row r="61964" customFormat="1" x14ac:dyDescent="0.2"/>
    <row r="61965" customFormat="1" x14ac:dyDescent="0.2"/>
    <row r="61966" customFormat="1" x14ac:dyDescent="0.2"/>
    <row r="61967" customFormat="1" x14ac:dyDescent="0.2"/>
    <row r="61968" customFormat="1" x14ac:dyDescent="0.2"/>
    <row r="61969" customFormat="1" x14ac:dyDescent="0.2"/>
    <row r="61970" customFormat="1" x14ac:dyDescent="0.2"/>
    <row r="61971" customFormat="1" x14ac:dyDescent="0.2"/>
    <row r="61972" customFormat="1" x14ac:dyDescent="0.2"/>
    <row r="61973" customFormat="1" x14ac:dyDescent="0.2"/>
    <row r="61974" customFormat="1" x14ac:dyDescent="0.2"/>
    <row r="61975" customFormat="1" x14ac:dyDescent="0.2"/>
    <row r="61976" customFormat="1" x14ac:dyDescent="0.2"/>
    <row r="61977" customFormat="1" x14ac:dyDescent="0.2"/>
    <row r="61978" customFormat="1" x14ac:dyDescent="0.2"/>
    <row r="61979" customFormat="1" x14ac:dyDescent="0.2"/>
    <row r="61980" customFormat="1" x14ac:dyDescent="0.2"/>
    <row r="61981" customFormat="1" x14ac:dyDescent="0.2"/>
    <row r="61982" customFormat="1" x14ac:dyDescent="0.2"/>
    <row r="61983" customFormat="1" x14ac:dyDescent="0.2"/>
    <row r="61984" customFormat="1" x14ac:dyDescent="0.2"/>
    <row r="61985" customFormat="1" x14ac:dyDescent="0.2"/>
    <row r="61986" customFormat="1" x14ac:dyDescent="0.2"/>
    <row r="61987" customFormat="1" x14ac:dyDescent="0.2"/>
    <row r="61988" customFormat="1" x14ac:dyDescent="0.2"/>
    <row r="61989" customFormat="1" x14ac:dyDescent="0.2"/>
    <row r="61990" customFormat="1" x14ac:dyDescent="0.2"/>
    <row r="61991" customFormat="1" x14ac:dyDescent="0.2"/>
    <row r="61992" customFormat="1" x14ac:dyDescent="0.2"/>
    <row r="61993" customFormat="1" x14ac:dyDescent="0.2"/>
    <row r="61994" customFormat="1" x14ac:dyDescent="0.2"/>
    <row r="61995" customFormat="1" x14ac:dyDescent="0.2"/>
    <row r="61996" customFormat="1" x14ac:dyDescent="0.2"/>
    <row r="61997" customFormat="1" x14ac:dyDescent="0.2"/>
    <row r="61998" customFormat="1" x14ac:dyDescent="0.2"/>
    <row r="61999" customFormat="1" x14ac:dyDescent="0.2"/>
    <row r="62000" customFormat="1" x14ac:dyDescent="0.2"/>
    <row r="62001" customFormat="1" x14ac:dyDescent="0.2"/>
    <row r="62002" customFormat="1" x14ac:dyDescent="0.2"/>
    <row r="62003" customFormat="1" x14ac:dyDescent="0.2"/>
    <row r="62004" customFormat="1" x14ac:dyDescent="0.2"/>
    <row r="62005" customFormat="1" x14ac:dyDescent="0.2"/>
    <row r="62006" customFormat="1" x14ac:dyDescent="0.2"/>
    <row r="62007" customFormat="1" x14ac:dyDescent="0.2"/>
    <row r="62008" customFormat="1" x14ac:dyDescent="0.2"/>
    <row r="62009" customFormat="1" x14ac:dyDescent="0.2"/>
    <row r="62010" customFormat="1" x14ac:dyDescent="0.2"/>
    <row r="62011" customFormat="1" x14ac:dyDescent="0.2"/>
    <row r="62012" customFormat="1" x14ac:dyDescent="0.2"/>
    <row r="62013" customFormat="1" x14ac:dyDescent="0.2"/>
    <row r="62014" customFormat="1" x14ac:dyDescent="0.2"/>
    <row r="62015" customFormat="1" x14ac:dyDescent="0.2"/>
    <row r="62016" customFormat="1" x14ac:dyDescent="0.2"/>
    <row r="62017" customFormat="1" x14ac:dyDescent="0.2"/>
    <row r="62018" customFormat="1" x14ac:dyDescent="0.2"/>
    <row r="62019" customFormat="1" x14ac:dyDescent="0.2"/>
    <row r="62020" customFormat="1" x14ac:dyDescent="0.2"/>
    <row r="62021" customFormat="1" x14ac:dyDescent="0.2"/>
    <row r="62022" customFormat="1" x14ac:dyDescent="0.2"/>
    <row r="62023" customFormat="1" x14ac:dyDescent="0.2"/>
    <row r="62024" customFormat="1" x14ac:dyDescent="0.2"/>
    <row r="62025" customFormat="1" x14ac:dyDescent="0.2"/>
    <row r="62026" customFormat="1" x14ac:dyDescent="0.2"/>
    <row r="62027" customFormat="1" x14ac:dyDescent="0.2"/>
    <row r="62028" customFormat="1" x14ac:dyDescent="0.2"/>
    <row r="62029" customFormat="1" x14ac:dyDescent="0.2"/>
    <row r="62030" customFormat="1" x14ac:dyDescent="0.2"/>
    <row r="62031" customFormat="1" x14ac:dyDescent="0.2"/>
    <row r="62032" customFormat="1" x14ac:dyDescent="0.2"/>
    <row r="62033" customFormat="1" x14ac:dyDescent="0.2"/>
    <row r="62034" customFormat="1" x14ac:dyDescent="0.2"/>
    <row r="62035" customFormat="1" x14ac:dyDescent="0.2"/>
    <row r="62036" customFormat="1" x14ac:dyDescent="0.2"/>
    <row r="62037" customFormat="1" x14ac:dyDescent="0.2"/>
    <row r="62038" customFormat="1" x14ac:dyDescent="0.2"/>
    <row r="62039" customFormat="1" x14ac:dyDescent="0.2"/>
    <row r="62040" customFormat="1" x14ac:dyDescent="0.2"/>
    <row r="62041" customFormat="1" x14ac:dyDescent="0.2"/>
    <row r="62042" customFormat="1" x14ac:dyDescent="0.2"/>
    <row r="62043" customFormat="1" x14ac:dyDescent="0.2"/>
    <row r="62044" customFormat="1" x14ac:dyDescent="0.2"/>
    <row r="62045" customFormat="1" x14ac:dyDescent="0.2"/>
    <row r="62046" customFormat="1" x14ac:dyDescent="0.2"/>
    <row r="62047" customFormat="1" x14ac:dyDescent="0.2"/>
    <row r="62048" customFormat="1" x14ac:dyDescent="0.2"/>
    <row r="62049" customFormat="1" x14ac:dyDescent="0.2"/>
    <row r="62050" customFormat="1" x14ac:dyDescent="0.2"/>
    <row r="62051" customFormat="1" x14ac:dyDescent="0.2"/>
    <row r="62052" customFormat="1" x14ac:dyDescent="0.2"/>
    <row r="62053" customFormat="1" x14ac:dyDescent="0.2"/>
    <row r="62054" customFormat="1" x14ac:dyDescent="0.2"/>
    <row r="62055" customFormat="1" x14ac:dyDescent="0.2"/>
    <row r="62056" customFormat="1" x14ac:dyDescent="0.2"/>
    <row r="62057" customFormat="1" x14ac:dyDescent="0.2"/>
    <row r="62058" customFormat="1" x14ac:dyDescent="0.2"/>
    <row r="62059" customFormat="1" x14ac:dyDescent="0.2"/>
    <row r="62060" customFormat="1" x14ac:dyDescent="0.2"/>
    <row r="62061" customFormat="1" x14ac:dyDescent="0.2"/>
    <row r="62062" customFormat="1" x14ac:dyDescent="0.2"/>
    <row r="62063" customFormat="1" x14ac:dyDescent="0.2"/>
    <row r="62064" customFormat="1" x14ac:dyDescent="0.2"/>
    <row r="62065" customFormat="1" x14ac:dyDescent="0.2"/>
    <row r="62066" customFormat="1" x14ac:dyDescent="0.2"/>
    <row r="62067" customFormat="1" x14ac:dyDescent="0.2"/>
    <row r="62068" customFormat="1" x14ac:dyDescent="0.2"/>
    <row r="62069" customFormat="1" x14ac:dyDescent="0.2"/>
    <row r="62070" customFormat="1" x14ac:dyDescent="0.2"/>
    <row r="62071" customFormat="1" x14ac:dyDescent="0.2"/>
    <row r="62072" customFormat="1" x14ac:dyDescent="0.2"/>
    <row r="62073" customFormat="1" x14ac:dyDescent="0.2"/>
    <row r="62074" customFormat="1" x14ac:dyDescent="0.2"/>
    <row r="62075" customFormat="1" x14ac:dyDescent="0.2"/>
    <row r="62076" customFormat="1" x14ac:dyDescent="0.2"/>
    <row r="62077" customFormat="1" x14ac:dyDescent="0.2"/>
    <row r="62078" customFormat="1" x14ac:dyDescent="0.2"/>
    <row r="62079" customFormat="1" x14ac:dyDescent="0.2"/>
    <row r="62080" customFormat="1" x14ac:dyDescent="0.2"/>
    <row r="62081" customFormat="1" x14ac:dyDescent="0.2"/>
    <row r="62082" customFormat="1" x14ac:dyDescent="0.2"/>
    <row r="62083" customFormat="1" x14ac:dyDescent="0.2"/>
    <row r="62084" customFormat="1" x14ac:dyDescent="0.2"/>
    <row r="62085" customFormat="1" x14ac:dyDescent="0.2"/>
    <row r="62086" customFormat="1" x14ac:dyDescent="0.2"/>
    <row r="62087" customFormat="1" x14ac:dyDescent="0.2"/>
    <row r="62088" customFormat="1" x14ac:dyDescent="0.2"/>
    <row r="62089" customFormat="1" x14ac:dyDescent="0.2"/>
    <row r="62090" customFormat="1" x14ac:dyDescent="0.2"/>
    <row r="62091" customFormat="1" x14ac:dyDescent="0.2"/>
    <row r="62092" customFormat="1" x14ac:dyDescent="0.2"/>
    <row r="62093" customFormat="1" x14ac:dyDescent="0.2"/>
    <row r="62094" customFormat="1" x14ac:dyDescent="0.2"/>
    <row r="62095" customFormat="1" x14ac:dyDescent="0.2"/>
    <row r="62096" customFormat="1" x14ac:dyDescent="0.2"/>
    <row r="62097" customFormat="1" x14ac:dyDescent="0.2"/>
    <row r="62098" customFormat="1" x14ac:dyDescent="0.2"/>
    <row r="62099" customFormat="1" x14ac:dyDescent="0.2"/>
    <row r="62100" customFormat="1" x14ac:dyDescent="0.2"/>
    <row r="62101" customFormat="1" x14ac:dyDescent="0.2"/>
    <row r="62102" customFormat="1" x14ac:dyDescent="0.2"/>
    <row r="62103" customFormat="1" x14ac:dyDescent="0.2"/>
    <row r="62104" customFormat="1" x14ac:dyDescent="0.2"/>
    <row r="62105" customFormat="1" x14ac:dyDescent="0.2"/>
    <row r="62106" customFormat="1" x14ac:dyDescent="0.2"/>
    <row r="62107" customFormat="1" x14ac:dyDescent="0.2"/>
    <row r="62108" customFormat="1" x14ac:dyDescent="0.2"/>
    <row r="62109" customFormat="1" x14ac:dyDescent="0.2"/>
    <row r="62110" customFormat="1" x14ac:dyDescent="0.2"/>
    <row r="62111" customFormat="1" x14ac:dyDescent="0.2"/>
    <row r="62112" customFormat="1" x14ac:dyDescent="0.2"/>
    <row r="62113" customFormat="1" x14ac:dyDescent="0.2"/>
    <row r="62114" customFormat="1" x14ac:dyDescent="0.2"/>
    <row r="62115" customFormat="1" x14ac:dyDescent="0.2"/>
    <row r="62116" customFormat="1" x14ac:dyDescent="0.2"/>
    <row r="62117" customFormat="1" x14ac:dyDescent="0.2"/>
    <row r="62118" customFormat="1" x14ac:dyDescent="0.2"/>
    <row r="62119" customFormat="1" x14ac:dyDescent="0.2"/>
    <row r="62120" customFormat="1" x14ac:dyDescent="0.2"/>
    <row r="62121" customFormat="1" x14ac:dyDescent="0.2"/>
    <row r="62122" customFormat="1" x14ac:dyDescent="0.2"/>
    <row r="62123" customFormat="1" x14ac:dyDescent="0.2"/>
    <row r="62124" customFormat="1" x14ac:dyDescent="0.2"/>
    <row r="62125" customFormat="1" x14ac:dyDescent="0.2"/>
    <row r="62126" customFormat="1" x14ac:dyDescent="0.2"/>
    <row r="62127" customFormat="1" x14ac:dyDescent="0.2"/>
    <row r="62128" customFormat="1" x14ac:dyDescent="0.2"/>
    <row r="62129" customFormat="1" x14ac:dyDescent="0.2"/>
    <row r="62130" customFormat="1" x14ac:dyDescent="0.2"/>
    <row r="62131" customFormat="1" x14ac:dyDescent="0.2"/>
    <row r="62132" customFormat="1" x14ac:dyDescent="0.2"/>
    <row r="62133" customFormat="1" x14ac:dyDescent="0.2"/>
    <row r="62134" customFormat="1" x14ac:dyDescent="0.2"/>
    <row r="62135" customFormat="1" x14ac:dyDescent="0.2"/>
    <row r="62136" customFormat="1" x14ac:dyDescent="0.2"/>
    <row r="62137" customFormat="1" x14ac:dyDescent="0.2"/>
    <row r="62138" customFormat="1" x14ac:dyDescent="0.2"/>
    <row r="62139" customFormat="1" x14ac:dyDescent="0.2"/>
    <row r="62140" customFormat="1" x14ac:dyDescent="0.2"/>
    <row r="62141" customFormat="1" x14ac:dyDescent="0.2"/>
    <row r="62142" customFormat="1" x14ac:dyDescent="0.2"/>
    <row r="62143" customFormat="1" x14ac:dyDescent="0.2"/>
    <row r="62144" customFormat="1" x14ac:dyDescent="0.2"/>
    <row r="62145" customFormat="1" x14ac:dyDescent="0.2"/>
    <row r="62146" customFormat="1" x14ac:dyDescent="0.2"/>
    <row r="62147" customFormat="1" x14ac:dyDescent="0.2"/>
    <row r="62148" customFormat="1" x14ac:dyDescent="0.2"/>
    <row r="62149" customFormat="1" x14ac:dyDescent="0.2"/>
    <row r="62150" customFormat="1" x14ac:dyDescent="0.2"/>
    <row r="62151" customFormat="1" x14ac:dyDescent="0.2"/>
    <row r="62152" customFormat="1" x14ac:dyDescent="0.2"/>
    <row r="62153" customFormat="1" x14ac:dyDescent="0.2"/>
    <row r="62154" customFormat="1" x14ac:dyDescent="0.2"/>
    <row r="62155" customFormat="1" x14ac:dyDescent="0.2"/>
    <row r="62156" customFormat="1" x14ac:dyDescent="0.2"/>
    <row r="62157" customFormat="1" x14ac:dyDescent="0.2"/>
    <row r="62158" customFormat="1" x14ac:dyDescent="0.2"/>
    <row r="62159" customFormat="1" x14ac:dyDescent="0.2"/>
    <row r="62160" customFormat="1" x14ac:dyDescent="0.2"/>
    <row r="62161" customFormat="1" x14ac:dyDescent="0.2"/>
    <row r="62162" customFormat="1" x14ac:dyDescent="0.2"/>
    <row r="62163" customFormat="1" x14ac:dyDescent="0.2"/>
    <row r="62164" customFormat="1" x14ac:dyDescent="0.2"/>
    <row r="62165" customFormat="1" x14ac:dyDescent="0.2"/>
    <row r="62166" customFormat="1" x14ac:dyDescent="0.2"/>
    <row r="62167" customFormat="1" x14ac:dyDescent="0.2"/>
    <row r="62168" customFormat="1" x14ac:dyDescent="0.2"/>
    <row r="62169" customFormat="1" x14ac:dyDescent="0.2"/>
    <row r="62170" customFormat="1" x14ac:dyDescent="0.2"/>
    <row r="62171" customFormat="1" x14ac:dyDescent="0.2"/>
    <row r="62172" customFormat="1" x14ac:dyDescent="0.2"/>
    <row r="62173" customFormat="1" x14ac:dyDescent="0.2"/>
    <row r="62174" customFormat="1" x14ac:dyDescent="0.2"/>
    <row r="62175" customFormat="1" x14ac:dyDescent="0.2"/>
    <row r="62176" customFormat="1" x14ac:dyDescent="0.2"/>
    <row r="62177" customFormat="1" x14ac:dyDescent="0.2"/>
    <row r="62178" customFormat="1" x14ac:dyDescent="0.2"/>
    <row r="62179" customFormat="1" x14ac:dyDescent="0.2"/>
    <row r="62180" customFormat="1" x14ac:dyDescent="0.2"/>
    <row r="62181" customFormat="1" x14ac:dyDescent="0.2"/>
    <row r="62182" customFormat="1" x14ac:dyDescent="0.2"/>
    <row r="62183" customFormat="1" x14ac:dyDescent="0.2"/>
    <row r="62184" customFormat="1" x14ac:dyDescent="0.2"/>
    <row r="62185" customFormat="1" x14ac:dyDescent="0.2"/>
    <row r="62186" customFormat="1" x14ac:dyDescent="0.2"/>
    <row r="62187" customFormat="1" x14ac:dyDescent="0.2"/>
    <row r="62188" customFormat="1" x14ac:dyDescent="0.2"/>
    <row r="62189" customFormat="1" x14ac:dyDescent="0.2"/>
    <row r="62190" customFormat="1" x14ac:dyDescent="0.2"/>
    <row r="62191" customFormat="1" x14ac:dyDescent="0.2"/>
    <row r="62192" customFormat="1" x14ac:dyDescent="0.2"/>
    <row r="62193" customFormat="1" x14ac:dyDescent="0.2"/>
    <row r="62194" customFormat="1" x14ac:dyDescent="0.2"/>
    <row r="62195" customFormat="1" x14ac:dyDescent="0.2"/>
    <row r="62196" customFormat="1" x14ac:dyDescent="0.2"/>
    <row r="62197" customFormat="1" x14ac:dyDescent="0.2"/>
    <row r="62198" customFormat="1" x14ac:dyDescent="0.2"/>
    <row r="62199" customFormat="1" x14ac:dyDescent="0.2"/>
    <row r="62200" customFormat="1" x14ac:dyDescent="0.2"/>
    <row r="62201" customFormat="1" x14ac:dyDescent="0.2"/>
    <row r="62202" customFormat="1" x14ac:dyDescent="0.2"/>
    <row r="62203" customFormat="1" x14ac:dyDescent="0.2"/>
    <row r="62204" customFormat="1" x14ac:dyDescent="0.2"/>
    <row r="62205" customFormat="1" x14ac:dyDescent="0.2"/>
    <row r="62206" customFormat="1" x14ac:dyDescent="0.2"/>
    <row r="62207" customFormat="1" x14ac:dyDescent="0.2"/>
    <row r="62208" customFormat="1" x14ac:dyDescent="0.2"/>
    <row r="62209" customFormat="1" x14ac:dyDescent="0.2"/>
    <row r="62210" customFormat="1" x14ac:dyDescent="0.2"/>
    <row r="62211" customFormat="1" x14ac:dyDescent="0.2"/>
    <row r="62212" customFormat="1" x14ac:dyDescent="0.2"/>
    <row r="62213" customFormat="1" x14ac:dyDescent="0.2"/>
    <row r="62214" customFormat="1" x14ac:dyDescent="0.2"/>
    <row r="62215" customFormat="1" x14ac:dyDescent="0.2"/>
    <row r="62216" customFormat="1" x14ac:dyDescent="0.2"/>
    <row r="62217" customFormat="1" x14ac:dyDescent="0.2"/>
    <row r="62218" customFormat="1" x14ac:dyDescent="0.2"/>
    <row r="62219" customFormat="1" x14ac:dyDescent="0.2"/>
    <row r="62220" customFormat="1" x14ac:dyDescent="0.2"/>
    <row r="62221" customFormat="1" x14ac:dyDescent="0.2"/>
    <row r="62222" customFormat="1" x14ac:dyDescent="0.2"/>
    <row r="62223" customFormat="1" x14ac:dyDescent="0.2"/>
    <row r="62224" customFormat="1" x14ac:dyDescent="0.2"/>
    <row r="62225" customFormat="1" x14ac:dyDescent="0.2"/>
    <row r="62226" customFormat="1" x14ac:dyDescent="0.2"/>
    <row r="62227" customFormat="1" x14ac:dyDescent="0.2"/>
    <row r="62228" customFormat="1" x14ac:dyDescent="0.2"/>
    <row r="62229" customFormat="1" x14ac:dyDescent="0.2"/>
    <row r="62230" customFormat="1" x14ac:dyDescent="0.2"/>
    <row r="62231" customFormat="1" x14ac:dyDescent="0.2"/>
    <row r="62232" customFormat="1" x14ac:dyDescent="0.2"/>
    <row r="62233" customFormat="1" x14ac:dyDescent="0.2"/>
    <row r="62234" customFormat="1" x14ac:dyDescent="0.2"/>
    <row r="62235" customFormat="1" x14ac:dyDescent="0.2"/>
    <row r="62236" customFormat="1" x14ac:dyDescent="0.2"/>
    <row r="62237" customFormat="1" x14ac:dyDescent="0.2"/>
    <row r="62238" customFormat="1" x14ac:dyDescent="0.2"/>
    <row r="62239" customFormat="1" x14ac:dyDescent="0.2"/>
    <row r="62240" customFormat="1" x14ac:dyDescent="0.2"/>
    <row r="62241" customFormat="1" x14ac:dyDescent="0.2"/>
    <row r="62242" customFormat="1" x14ac:dyDescent="0.2"/>
    <row r="62243" customFormat="1" x14ac:dyDescent="0.2"/>
    <row r="62244" customFormat="1" x14ac:dyDescent="0.2"/>
    <row r="62245" customFormat="1" x14ac:dyDescent="0.2"/>
    <row r="62246" customFormat="1" x14ac:dyDescent="0.2"/>
    <row r="62247" customFormat="1" x14ac:dyDescent="0.2"/>
    <row r="62248" customFormat="1" x14ac:dyDescent="0.2"/>
    <row r="62249" customFormat="1" x14ac:dyDescent="0.2"/>
    <row r="62250" customFormat="1" x14ac:dyDescent="0.2"/>
    <row r="62251" customFormat="1" x14ac:dyDescent="0.2"/>
    <row r="62252" customFormat="1" x14ac:dyDescent="0.2"/>
    <row r="62253" customFormat="1" x14ac:dyDescent="0.2"/>
    <row r="62254" customFormat="1" x14ac:dyDescent="0.2"/>
    <row r="62255" customFormat="1" x14ac:dyDescent="0.2"/>
    <row r="62256" customFormat="1" x14ac:dyDescent="0.2"/>
    <row r="62257" customFormat="1" x14ac:dyDescent="0.2"/>
    <row r="62258" customFormat="1" x14ac:dyDescent="0.2"/>
    <row r="62259" customFormat="1" x14ac:dyDescent="0.2"/>
    <row r="62260" customFormat="1" x14ac:dyDescent="0.2"/>
    <row r="62261" customFormat="1" x14ac:dyDescent="0.2"/>
    <row r="62262" customFormat="1" x14ac:dyDescent="0.2"/>
    <row r="62263" customFormat="1" x14ac:dyDescent="0.2"/>
    <row r="62264" customFormat="1" x14ac:dyDescent="0.2"/>
    <row r="62265" customFormat="1" x14ac:dyDescent="0.2"/>
    <row r="62266" customFormat="1" x14ac:dyDescent="0.2"/>
    <row r="62267" customFormat="1" x14ac:dyDescent="0.2"/>
    <row r="62268" customFormat="1" x14ac:dyDescent="0.2"/>
    <row r="62269" customFormat="1" x14ac:dyDescent="0.2"/>
    <row r="62270" customFormat="1" x14ac:dyDescent="0.2"/>
    <row r="62271" customFormat="1" x14ac:dyDescent="0.2"/>
    <row r="62272" customFormat="1" x14ac:dyDescent="0.2"/>
    <row r="62273" customFormat="1" x14ac:dyDescent="0.2"/>
    <row r="62274" customFormat="1" x14ac:dyDescent="0.2"/>
    <row r="62275" customFormat="1" x14ac:dyDescent="0.2"/>
    <row r="62276" customFormat="1" x14ac:dyDescent="0.2"/>
    <row r="62277" customFormat="1" x14ac:dyDescent="0.2"/>
    <row r="62278" customFormat="1" x14ac:dyDescent="0.2"/>
    <row r="62279" customFormat="1" x14ac:dyDescent="0.2"/>
    <row r="62280" customFormat="1" x14ac:dyDescent="0.2"/>
    <row r="62281" customFormat="1" x14ac:dyDescent="0.2"/>
    <row r="62282" customFormat="1" x14ac:dyDescent="0.2"/>
    <row r="62283" customFormat="1" x14ac:dyDescent="0.2"/>
    <row r="62284" customFormat="1" x14ac:dyDescent="0.2"/>
    <row r="62285" customFormat="1" x14ac:dyDescent="0.2"/>
    <row r="62286" customFormat="1" x14ac:dyDescent="0.2"/>
    <row r="62287" customFormat="1" x14ac:dyDescent="0.2"/>
    <row r="62288" customFormat="1" x14ac:dyDescent="0.2"/>
    <row r="62289" customFormat="1" x14ac:dyDescent="0.2"/>
    <row r="62290" customFormat="1" x14ac:dyDescent="0.2"/>
    <row r="62291" customFormat="1" x14ac:dyDescent="0.2"/>
    <row r="62292" customFormat="1" x14ac:dyDescent="0.2"/>
    <row r="62293" customFormat="1" x14ac:dyDescent="0.2"/>
    <row r="62294" customFormat="1" x14ac:dyDescent="0.2"/>
    <row r="62295" customFormat="1" x14ac:dyDescent="0.2"/>
    <row r="62296" customFormat="1" x14ac:dyDescent="0.2"/>
    <row r="62297" customFormat="1" x14ac:dyDescent="0.2"/>
    <row r="62298" customFormat="1" x14ac:dyDescent="0.2"/>
    <row r="62299" customFormat="1" x14ac:dyDescent="0.2"/>
    <row r="62300" customFormat="1" x14ac:dyDescent="0.2"/>
    <row r="62301" customFormat="1" x14ac:dyDescent="0.2"/>
    <row r="62302" customFormat="1" x14ac:dyDescent="0.2"/>
    <row r="62303" customFormat="1" x14ac:dyDescent="0.2"/>
    <row r="62304" customFormat="1" x14ac:dyDescent="0.2"/>
    <row r="62305" customFormat="1" x14ac:dyDescent="0.2"/>
    <row r="62306" customFormat="1" x14ac:dyDescent="0.2"/>
    <row r="62307" customFormat="1" x14ac:dyDescent="0.2"/>
    <row r="62308" customFormat="1" x14ac:dyDescent="0.2"/>
    <row r="62309" customFormat="1" x14ac:dyDescent="0.2"/>
    <row r="62310" customFormat="1" x14ac:dyDescent="0.2"/>
    <row r="62311" customFormat="1" x14ac:dyDescent="0.2"/>
    <row r="62312" customFormat="1" x14ac:dyDescent="0.2"/>
    <row r="62313" customFormat="1" x14ac:dyDescent="0.2"/>
    <row r="62314" customFormat="1" x14ac:dyDescent="0.2"/>
    <row r="62315" customFormat="1" x14ac:dyDescent="0.2"/>
    <row r="62316" customFormat="1" x14ac:dyDescent="0.2"/>
    <row r="62317" customFormat="1" x14ac:dyDescent="0.2"/>
    <row r="62318" customFormat="1" x14ac:dyDescent="0.2"/>
    <row r="62319" customFormat="1" x14ac:dyDescent="0.2"/>
    <row r="62320" customFormat="1" x14ac:dyDescent="0.2"/>
    <row r="62321" customFormat="1" x14ac:dyDescent="0.2"/>
    <row r="62322" customFormat="1" x14ac:dyDescent="0.2"/>
    <row r="62323" customFormat="1" x14ac:dyDescent="0.2"/>
    <row r="62324" customFormat="1" x14ac:dyDescent="0.2"/>
    <row r="62325" customFormat="1" x14ac:dyDescent="0.2"/>
    <row r="62326" customFormat="1" x14ac:dyDescent="0.2"/>
    <row r="62327" customFormat="1" x14ac:dyDescent="0.2"/>
    <row r="62328" customFormat="1" x14ac:dyDescent="0.2"/>
    <row r="62329" customFormat="1" x14ac:dyDescent="0.2"/>
    <row r="62330" customFormat="1" x14ac:dyDescent="0.2"/>
    <row r="62331" customFormat="1" x14ac:dyDescent="0.2"/>
    <row r="62332" customFormat="1" x14ac:dyDescent="0.2"/>
    <row r="62333" customFormat="1" x14ac:dyDescent="0.2"/>
    <row r="62334" customFormat="1" x14ac:dyDescent="0.2"/>
    <row r="62335" customFormat="1" x14ac:dyDescent="0.2"/>
    <row r="62336" customFormat="1" x14ac:dyDescent="0.2"/>
    <row r="62337" customFormat="1" x14ac:dyDescent="0.2"/>
    <row r="62338" customFormat="1" x14ac:dyDescent="0.2"/>
    <row r="62339" customFormat="1" x14ac:dyDescent="0.2"/>
    <row r="62340" customFormat="1" x14ac:dyDescent="0.2"/>
    <row r="62341" customFormat="1" x14ac:dyDescent="0.2"/>
    <row r="62342" customFormat="1" x14ac:dyDescent="0.2"/>
    <row r="62343" customFormat="1" x14ac:dyDescent="0.2"/>
    <row r="62344" customFormat="1" x14ac:dyDescent="0.2"/>
    <row r="62345" customFormat="1" x14ac:dyDescent="0.2"/>
    <row r="62346" customFormat="1" x14ac:dyDescent="0.2"/>
    <row r="62347" customFormat="1" x14ac:dyDescent="0.2"/>
    <row r="62348" customFormat="1" x14ac:dyDescent="0.2"/>
    <row r="62349" customFormat="1" x14ac:dyDescent="0.2"/>
    <row r="62350" customFormat="1" x14ac:dyDescent="0.2"/>
    <row r="62351" customFormat="1" x14ac:dyDescent="0.2"/>
    <row r="62352" customFormat="1" x14ac:dyDescent="0.2"/>
    <row r="62353" customFormat="1" x14ac:dyDescent="0.2"/>
    <row r="62354" customFormat="1" x14ac:dyDescent="0.2"/>
    <row r="62355" customFormat="1" x14ac:dyDescent="0.2"/>
    <row r="62356" customFormat="1" x14ac:dyDescent="0.2"/>
    <row r="62357" customFormat="1" x14ac:dyDescent="0.2"/>
    <row r="62358" customFormat="1" x14ac:dyDescent="0.2"/>
    <row r="62359" customFormat="1" x14ac:dyDescent="0.2"/>
    <row r="62360" customFormat="1" x14ac:dyDescent="0.2"/>
    <row r="62361" customFormat="1" x14ac:dyDescent="0.2"/>
    <row r="62362" customFormat="1" x14ac:dyDescent="0.2"/>
    <row r="62363" customFormat="1" x14ac:dyDescent="0.2"/>
    <row r="62364" customFormat="1" x14ac:dyDescent="0.2"/>
    <row r="62365" customFormat="1" x14ac:dyDescent="0.2"/>
    <row r="62366" customFormat="1" x14ac:dyDescent="0.2"/>
    <row r="62367" customFormat="1" x14ac:dyDescent="0.2"/>
    <row r="62368" customFormat="1" x14ac:dyDescent="0.2"/>
    <row r="62369" customFormat="1" x14ac:dyDescent="0.2"/>
    <row r="62370" customFormat="1" x14ac:dyDescent="0.2"/>
    <row r="62371" customFormat="1" x14ac:dyDescent="0.2"/>
    <row r="62372" customFormat="1" x14ac:dyDescent="0.2"/>
    <row r="62373" customFormat="1" x14ac:dyDescent="0.2"/>
    <row r="62374" customFormat="1" x14ac:dyDescent="0.2"/>
    <row r="62375" customFormat="1" x14ac:dyDescent="0.2"/>
    <row r="62376" customFormat="1" x14ac:dyDescent="0.2"/>
    <row r="62377" customFormat="1" x14ac:dyDescent="0.2"/>
    <row r="62378" customFormat="1" x14ac:dyDescent="0.2"/>
    <row r="62379" customFormat="1" x14ac:dyDescent="0.2"/>
    <row r="62380" customFormat="1" x14ac:dyDescent="0.2"/>
    <row r="62381" customFormat="1" x14ac:dyDescent="0.2"/>
    <row r="62382" customFormat="1" x14ac:dyDescent="0.2"/>
    <row r="62383" customFormat="1" x14ac:dyDescent="0.2"/>
    <row r="62384" customFormat="1" x14ac:dyDescent="0.2"/>
    <row r="62385" customFormat="1" x14ac:dyDescent="0.2"/>
    <row r="62386" customFormat="1" x14ac:dyDescent="0.2"/>
    <row r="62387" customFormat="1" x14ac:dyDescent="0.2"/>
    <row r="62388" customFormat="1" x14ac:dyDescent="0.2"/>
    <row r="62389" customFormat="1" x14ac:dyDescent="0.2"/>
    <row r="62390" customFormat="1" x14ac:dyDescent="0.2"/>
    <row r="62391" customFormat="1" x14ac:dyDescent="0.2"/>
    <row r="62392" customFormat="1" x14ac:dyDescent="0.2"/>
    <row r="62393" customFormat="1" x14ac:dyDescent="0.2"/>
    <row r="62394" customFormat="1" x14ac:dyDescent="0.2"/>
    <row r="62395" customFormat="1" x14ac:dyDescent="0.2"/>
    <row r="62396" customFormat="1" x14ac:dyDescent="0.2"/>
    <row r="62397" customFormat="1" x14ac:dyDescent="0.2"/>
    <row r="62398" customFormat="1" x14ac:dyDescent="0.2"/>
    <row r="62399" customFormat="1" x14ac:dyDescent="0.2"/>
    <row r="62400" customFormat="1" x14ac:dyDescent="0.2"/>
    <row r="62401" customFormat="1" x14ac:dyDescent="0.2"/>
    <row r="62402" customFormat="1" x14ac:dyDescent="0.2"/>
    <row r="62403" customFormat="1" x14ac:dyDescent="0.2"/>
    <row r="62404" customFormat="1" x14ac:dyDescent="0.2"/>
    <row r="62405" customFormat="1" x14ac:dyDescent="0.2"/>
    <row r="62406" customFormat="1" x14ac:dyDescent="0.2"/>
    <row r="62407" customFormat="1" x14ac:dyDescent="0.2"/>
    <row r="62408" customFormat="1" x14ac:dyDescent="0.2"/>
    <row r="62409" customFormat="1" x14ac:dyDescent="0.2"/>
    <row r="62410" customFormat="1" x14ac:dyDescent="0.2"/>
    <row r="62411" customFormat="1" x14ac:dyDescent="0.2"/>
    <row r="62412" customFormat="1" x14ac:dyDescent="0.2"/>
    <row r="62413" customFormat="1" x14ac:dyDescent="0.2"/>
    <row r="62414" customFormat="1" x14ac:dyDescent="0.2"/>
    <row r="62415" customFormat="1" x14ac:dyDescent="0.2"/>
    <row r="62416" customFormat="1" x14ac:dyDescent="0.2"/>
    <row r="62417" customFormat="1" x14ac:dyDescent="0.2"/>
    <row r="62418" customFormat="1" x14ac:dyDescent="0.2"/>
    <row r="62419" customFormat="1" x14ac:dyDescent="0.2"/>
    <row r="62420" customFormat="1" x14ac:dyDescent="0.2"/>
    <row r="62421" customFormat="1" x14ac:dyDescent="0.2"/>
    <row r="62422" customFormat="1" x14ac:dyDescent="0.2"/>
    <row r="62423" customFormat="1" x14ac:dyDescent="0.2"/>
    <row r="62424" customFormat="1" x14ac:dyDescent="0.2"/>
    <row r="62425" customFormat="1" x14ac:dyDescent="0.2"/>
    <row r="62426" customFormat="1" x14ac:dyDescent="0.2"/>
    <row r="62427" customFormat="1" x14ac:dyDescent="0.2"/>
    <row r="62428" customFormat="1" x14ac:dyDescent="0.2"/>
    <row r="62429" customFormat="1" x14ac:dyDescent="0.2"/>
    <row r="62430" customFormat="1" x14ac:dyDescent="0.2"/>
    <row r="62431" customFormat="1" x14ac:dyDescent="0.2"/>
    <row r="62432" customFormat="1" x14ac:dyDescent="0.2"/>
    <row r="62433" customFormat="1" x14ac:dyDescent="0.2"/>
    <row r="62434" customFormat="1" x14ac:dyDescent="0.2"/>
    <row r="62435" customFormat="1" x14ac:dyDescent="0.2"/>
    <row r="62436" customFormat="1" x14ac:dyDescent="0.2"/>
    <row r="62437" customFormat="1" x14ac:dyDescent="0.2"/>
    <row r="62438" customFormat="1" x14ac:dyDescent="0.2"/>
    <row r="62439" customFormat="1" x14ac:dyDescent="0.2"/>
    <row r="62440" customFormat="1" x14ac:dyDescent="0.2"/>
    <row r="62441" customFormat="1" x14ac:dyDescent="0.2"/>
    <row r="62442" customFormat="1" x14ac:dyDescent="0.2"/>
    <row r="62443" customFormat="1" x14ac:dyDescent="0.2"/>
    <row r="62444" customFormat="1" x14ac:dyDescent="0.2"/>
    <row r="62445" customFormat="1" x14ac:dyDescent="0.2"/>
    <row r="62446" customFormat="1" x14ac:dyDescent="0.2"/>
    <row r="62447" customFormat="1" x14ac:dyDescent="0.2"/>
    <row r="62448" customFormat="1" x14ac:dyDescent="0.2"/>
    <row r="62449" customFormat="1" x14ac:dyDescent="0.2"/>
    <row r="62450" customFormat="1" x14ac:dyDescent="0.2"/>
    <row r="62451" customFormat="1" x14ac:dyDescent="0.2"/>
    <row r="62452" customFormat="1" x14ac:dyDescent="0.2"/>
    <row r="62453" customFormat="1" x14ac:dyDescent="0.2"/>
    <row r="62454" customFormat="1" x14ac:dyDescent="0.2"/>
    <row r="62455" customFormat="1" x14ac:dyDescent="0.2"/>
    <row r="62456" customFormat="1" x14ac:dyDescent="0.2"/>
    <row r="62457" customFormat="1" x14ac:dyDescent="0.2"/>
    <row r="62458" customFormat="1" x14ac:dyDescent="0.2"/>
    <row r="62459" customFormat="1" x14ac:dyDescent="0.2"/>
    <row r="62460" customFormat="1" x14ac:dyDescent="0.2"/>
    <row r="62461" customFormat="1" x14ac:dyDescent="0.2"/>
    <row r="62462" customFormat="1" x14ac:dyDescent="0.2"/>
    <row r="62463" customFormat="1" x14ac:dyDescent="0.2"/>
    <row r="62464" customFormat="1" x14ac:dyDescent="0.2"/>
    <row r="62465" customFormat="1" x14ac:dyDescent="0.2"/>
    <row r="62466" customFormat="1" x14ac:dyDescent="0.2"/>
    <row r="62467" customFormat="1" x14ac:dyDescent="0.2"/>
    <row r="62468" customFormat="1" x14ac:dyDescent="0.2"/>
    <row r="62469" customFormat="1" x14ac:dyDescent="0.2"/>
    <row r="62470" customFormat="1" x14ac:dyDescent="0.2"/>
    <row r="62471" customFormat="1" x14ac:dyDescent="0.2"/>
    <row r="62472" customFormat="1" x14ac:dyDescent="0.2"/>
    <row r="62473" customFormat="1" x14ac:dyDescent="0.2"/>
    <row r="62474" customFormat="1" x14ac:dyDescent="0.2"/>
    <row r="62475" customFormat="1" x14ac:dyDescent="0.2"/>
    <row r="62476" customFormat="1" x14ac:dyDescent="0.2"/>
    <row r="62477" customFormat="1" x14ac:dyDescent="0.2"/>
    <row r="62478" customFormat="1" x14ac:dyDescent="0.2"/>
    <row r="62479" customFormat="1" x14ac:dyDescent="0.2"/>
    <row r="62480" customFormat="1" x14ac:dyDescent="0.2"/>
    <row r="62481" customFormat="1" x14ac:dyDescent="0.2"/>
    <row r="62482" customFormat="1" x14ac:dyDescent="0.2"/>
    <row r="62483" customFormat="1" x14ac:dyDescent="0.2"/>
    <row r="62484" customFormat="1" x14ac:dyDescent="0.2"/>
    <row r="62485" customFormat="1" x14ac:dyDescent="0.2"/>
    <row r="62486" customFormat="1" x14ac:dyDescent="0.2"/>
    <row r="62487" customFormat="1" x14ac:dyDescent="0.2"/>
    <row r="62488" customFormat="1" x14ac:dyDescent="0.2"/>
    <row r="62489" customFormat="1" x14ac:dyDescent="0.2"/>
    <row r="62490" customFormat="1" x14ac:dyDescent="0.2"/>
    <row r="62491" customFormat="1" x14ac:dyDescent="0.2"/>
    <row r="62492" customFormat="1" x14ac:dyDescent="0.2"/>
    <row r="62493" customFormat="1" x14ac:dyDescent="0.2"/>
    <row r="62494" customFormat="1" x14ac:dyDescent="0.2"/>
    <row r="62495" customFormat="1" x14ac:dyDescent="0.2"/>
    <row r="62496" customFormat="1" x14ac:dyDescent="0.2"/>
    <row r="62497" customFormat="1" x14ac:dyDescent="0.2"/>
    <row r="62498" customFormat="1" x14ac:dyDescent="0.2"/>
    <row r="62499" customFormat="1" x14ac:dyDescent="0.2"/>
    <row r="62500" customFormat="1" x14ac:dyDescent="0.2"/>
    <row r="62501" customFormat="1" x14ac:dyDescent="0.2"/>
    <row r="62502" customFormat="1" x14ac:dyDescent="0.2"/>
    <row r="62503" customFormat="1" x14ac:dyDescent="0.2"/>
    <row r="62504" customFormat="1" x14ac:dyDescent="0.2"/>
    <row r="62505" customFormat="1" x14ac:dyDescent="0.2"/>
    <row r="62506" customFormat="1" x14ac:dyDescent="0.2"/>
    <row r="62507" customFormat="1" x14ac:dyDescent="0.2"/>
    <row r="62508" customFormat="1" x14ac:dyDescent="0.2"/>
    <row r="62509" customFormat="1" x14ac:dyDescent="0.2"/>
    <row r="62510" customFormat="1" x14ac:dyDescent="0.2"/>
    <row r="62511" customFormat="1" x14ac:dyDescent="0.2"/>
    <row r="62512" customFormat="1" x14ac:dyDescent="0.2"/>
    <row r="62513" customFormat="1" x14ac:dyDescent="0.2"/>
    <row r="62514" customFormat="1" x14ac:dyDescent="0.2"/>
    <row r="62515" customFormat="1" x14ac:dyDescent="0.2"/>
    <row r="62516" customFormat="1" x14ac:dyDescent="0.2"/>
    <row r="62517" customFormat="1" x14ac:dyDescent="0.2"/>
    <row r="62518" customFormat="1" x14ac:dyDescent="0.2"/>
    <row r="62519" customFormat="1" x14ac:dyDescent="0.2"/>
    <row r="62520" customFormat="1" x14ac:dyDescent="0.2"/>
    <row r="62521" customFormat="1" x14ac:dyDescent="0.2"/>
    <row r="62522" customFormat="1" x14ac:dyDescent="0.2"/>
    <row r="62523" customFormat="1" x14ac:dyDescent="0.2"/>
    <row r="62524" customFormat="1" x14ac:dyDescent="0.2"/>
    <row r="62525" customFormat="1" x14ac:dyDescent="0.2"/>
    <row r="62526" customFormat="1" x14ac:dyDescent="0.2"/>
    <row r="62527" customFormat="1" x14ac:dyDescent="0.2"/>
    <row r="62528" customFormat="1" x14ac:dyDescent="0.2"/>
    <row r="62529" customFormat="1" x14ac:dyDescent="0.2"/>
    <row r="62530" customFormat="1" x14ac:dyDescent="0.2"/>
    <row r="62531" customFormat="1" x14ac:dyDescent="0.2"/>
    <row r="62532" customFormat="1" x14ac:dyDescent="0.2"/>
    <row r="62533" customFormat="1" x14ac:dyDescent="0.2"/>
    <row r="62534" customFormat="1" x14ac:dyDescent="0.2"/>
    <row r="62535" customFormat="1" x14ac:dyDescent="0.2"/>
    <row r="62536" customFormat="1" x14ac:dyDescent="0.2"/>
    <row r="62537" customFormat="1" x14ac:dyDescent="0.2"/>
    <row r="62538" customFormat="1" x14ac:dyDescent="0.2"/>
    <row r="62539" customFormat="1" x14ac:dyDescent="0.2"/>
    <row r="62540" customFormat="1" x14ac:dyDescent="0.2"/>
    <row r="62541" customFormat="1" x14ac:dyDescent="0.2"/>
    <row r="62542" customFormat="1" x14ac:dyDescent="0.2"/>
    <row r="62543" customFormat="1" x14ac:dyDescent="0.2"/>
    <row r="62544" customFormat="1" x14ac:dyDescent="0.2"/>
    <row r="62545" customFormat="1" x14ac:dyDescent="0.2"/>
    <row r="62546" customFormat="1" x14ac:dyDescent="0.2"/>
    <row r="62547" customFormat="1" x14ac:dyDescent="0.2"/>
    <row r="62548" customFormat="1" x14ac:dyDescent="0.2"/>
    <row r="62549" customFormat="1" x14ac:dyDescent="0.2"/>
    <row r="62550" customFormat="1" x14ac:dyDescent="0.2"/>
    <row r="62551" customFormat="1" x14ac:dyDescent="0.2"/>
    <row r="62552" customFormat="1" x14ac:dyDescent="0.2"/>
    <row r="62553" customFormat="1" x14ac:dyDescent="0.2"/>
    <row r="62554" customFormat="1" x14ac:dyDescent="0.2"/>
    <row r="62555" customFormat="1" x14ac:dyDescent="0.2"/>
    <row r="62556" customFormat="1" x14ac:dyDescent="0.2"/>
    <row r="62557" customFormat="1" x14ac:dyDescent="0.2"/>
    <row r="62558" customFormat="1" x14ac:dyDescent="0.2"/>
    <row r="62559" customFormat="1" x14ac:dyDescent="0.2"/>
    <row r="62560" customFormat="1" x14ac:dyDescent="0.2"/>
    <row r="62561" customFormat="1" x14ac:dyDescent="0.2"/>
    <row r="62562" customFormat="1" x14ac:dyDescent="0.2"/>
    <row r="62563" customFormat="1" x14ac:dyDescent="0.2"/>
    <row r="62564" customFormat="1" x14ac:dyDescent="0.2"/>
    <row r="62565" customFormat="1" x14ac:dyDescent="0.2"/>
    <row r="62566" customFormat="1" x14ac:dyDescent="0.2"/>
    <row r="62567" customFormat="1" x14ac:dyDescent="0.2"/>
    <row r="62568" customFormat="1" x14ac:dyDescent="0.2"/>
    <row r="62569" customFormat="1" x14ac:dyDescent="0.2"/>
    <row r="62570" customFormat="1" x14ac:dyDescent="0.2"/>
    <row r="62571" customFormat="1" x14ac:dyDescent="0.2"/>
    <row r="62572" customFormat="1" x14ac:dyDescent="0.2"/>
    <row r="62573" customFormat="1" x14ac:dyDescent="0.2"/>
    <row r="62574" customFormat="1" x14ac:dyDescent="0.2"/>
    <row r="62575" customFormat="1" x14ac:dyDescent="0.2"/>
    <row r="62576" customFormat="1" x14ac:dyDescent="0.2"/>
    <row r="62577" customFormat="1" x14ac:dyDescent="0.2"/>
    <row r="62578" customFormat="1" x14ac:dyDescent="0.2"/>
    <row r="62579" customFormat="1" x14ac:dyDescent="0.2"/>
    <row r="62580" customFormat="1" x14ac:dyDescent="0.2"/>
    <row r="62581" customFormat="1" x14ac:dyDescent="0.2"/>
    <row r="62582" customFormat="1" x14ac:dyDescent="0.2"/>
    <row r="62583" customFormat="1" x14ac:dyDescent="0.2"/>
    <row r="62584" customFormat="1" x14ac:dyDescent="0.2"/>
    <row r="62585" customFormat="1" x14ac:dyDescent="0.2"/>
    <row r="62586" customFormat="1" x14ac:dyDescent="0.2"/>
    <row r="62587" customFormat="1" x14ac:dyDescent="0.2"/>
    <row r="62588" customFormat="1" x14ac:dyDescent="0.2"/>
    <row r="62589" customFormat="1" x14ac:dyDescent="0.2"/>
    <row r="62590" customFormat="1" x14ac:dyDescent="0.2"/>
    <row r="62591" customFormat="1" x14ac:dyDescent="0.2"/>
    <row r="62592" customFormat="1" x14ac:dyDescent="0.2"/>
    <row r="62593" customFormat="1" x14ac:dyDescent="0.2"/>
    <row r="62594" customFormat="1" x14ac:dyDescent="0.2"/>
    <row r="62595" customFormat="1" x14ac:dyDescent="0.2"/>
    <row r="62596" customFormat="1" x14ac:dyDescent="0.2"/>
    <row r="62597" customFormat="1" x14ac:dyDescent="0.2"/>
    <row r="62598" customFormat="1" x14ac:dyDescent="0.2"/>
    <row r="62599" customFormat="1" x14ac:dyDescent="0.2"/>
    <row r="62600" customFormat="1" x14ac:dyDescent="0.2"/>
    <row r="62601" customFormat="1" x14ac:dyDescent="0.2"/>
    <row r="62602" customFormat="1" x14ac:dyDescent="0.2"/>
    <row r="62603" customFormat="1" x14ac:dyDescent="0.2"/>
    <row r="62604" customFormat="1" x14ac:dyDescent="0.2"/>
    <row r="62605" customFormat="1" x14ac:dyDescent="0.2"/>
    <row r="62606" customFormat="1" x14ac:dyDescent="0.2"/>
    <row r="62607" customFormat="1" x14ac:dyDescent="0.2"/>
    <row r="62608" customFormat="1" x14ac:dyDescent="0.2"/>
    <row r="62609" customFormat="1" x14ac:dyDescent="0.2"/>
    <row r="62610" customFormat="1" x14ac:dyDescent="0.2"/>
    <row r="62611" customFormat="1" x14ac:dyDescent="0.2"/>
    <row r="62612" customFormat="1" x14ac:dyDescent="0.2"/>
    <row r="62613" customFormat="1" x14ac:dyDescent="0.2"/>
    <row r="62614" customFormat="1" x14ac:dyDescent="0.2"/>
    <row r="62615" customFormat="1" x14ac:dyDescent="0.2"/>
    <row r="62616" customFormat="1" x14ac:dyDescent="0.2"/>
    <row r="62617" customFormat="1" x14ac:dyDescent="0.2"/>
    <row r="62618" customFormat="1" x14ac:dyDescent="0.2"/>
    <row r="62619" customFormat="1" x14ac:dyDescent="0.2"/>
    <row r="62620" customFormat="1" x14ac:dyDescent="0.2"/>
    <row r="62621" customFormat="1" x14ac:dyDescent="0.2"/>
    <row r="62622" customFormat="1" x14ac:dyDescent="0.2"/>
    <row r="62623" customFormat="1" x14ac:dyDescent="0.2"/>
    <row r="62624" customFormat="1" x14ac:dyDescent="0.2"/>
    <row r="62625" customFormat="1" x14ac:dyDescent="0.2"/>
    <row r="62626" customFormat="1" x14ac:dyDescent="0.2"/>
    <row r="62627" customFormat="1" x14ac:dyDescent="0.2"/>
    <row r="62628" customFormat="1" x14ac:dyDescent="0.2"/>
    <row r="62629" customFormat="1" x14ac:dyDescent="0.2"/>
    <row r="62630" customFormat="1" x14ac:dyDescent="0.2"/>
    <row r="62631" customFormat="1" x14ac:dyDescent="0.2"/>
    <row r="62632" customFormat="1" x14ac:dyDescent="0.2"/>
    <row r="62633" customFormat="1" x14ac:dyDescent="0.2"/>
    <row r="62634" customFormat="1" x14ac:dyDescent="0.2"/>
    <row r="62635" customFormat="1" x14ac:dyDescent="0.2"/>
    <row r="62636" customFormat="1" x14ac:dyDescent="0.2"/>
    <row r="62637" customFormat="1" x14ac:dyDescent="0.2"/>
    <row r="62638" customFormat="1" x14ac:dyDescent="0.2"/>
    <row r="62639" customFormat="1" x14ac:dyDescent="0.2"/>
    <row r="62640" customFormat="1" x14ac:dyDescent="0.2"/>
    <row r="62641" customFormat="1" x14ac:dyDescent="0.2"/>
    <row r="62642" customFormat="1" x14ac:dyDescent="0.2"/>
    <row r="62643" customFormat="1" x14ac:dyDescent="0.2"/>
    <row r="62644" customFormat="1" x14ac:dyDescent="0.2"/>
    <row r="62645" customFormat="1" x14ac:dyDescent="0.2"/>
    <row r="62646" customFormat="1" x14ac:dyDescent="0.2"/>
    <row r="62647" customFormat="1" x14ac:dyDescent="0.2"/>
    <row r="62648" customFormat="1" x14ac:dyDescent="0.2"/>
    <row r="62649" customFormat="1" x14ac:dyDescent="0.2"/>
    <row r="62650" customFormat="1" x14ac:dyDescent="0.2"/>
    <row r="62651" customFormat="1" x14ac:dyDescent="0.2"/>
    <row r="62652" customFormat="1" x14ac:dyDescent="0.2"/>
    <row r="62653" customFormat="1" x14ac:dyDescent="0.2"/>
    <row r="62654" customFormat="1" x14ac:dyDescent="0.2"/>
    <row r="62655" customFormat="1" x14ac:dyDescent="0.2"/>
    <row r="62656" customFormat="1" x14ac:dyDescent="0.2"/>
    <row r="62657" customFormat="1" x14ac:dyDescent="0.2"/>
    <row r="62658" customFormat="1" x14ac:dyDescent="0.2"/>
    <row r="62659" customFormat="1" x14ac:dyDescent="0.2"/>
    <row r="62660" customFormat="1" x14ac:dyDescent="0.2"/>
    <row r="62661" customFormat="1" x14ac:dyDescent="0.2"/>
    <row r="62662" customFormat="1" x14ac:dyDescent="0.2"/>
    <row r="62663" customFormat="1" x14ac:dyDescent="0.2"/>
    <row r="62664" customFormat="1" x14ac:dyDescent="0.2"/>
    <row r="62665" customFormat="1" x14ac:dyDescent="0.2"/>
    <row r="62666" customFormat="1" x14ac:dyDescent="0.2"/>
    <row r="62667" customFormat="1" x14ac:dyDescent="0.2"/>
    <row r="62668" customFormat="1" x14ac:dyDescent="0.2"/>
    <row r="62669" customFormat="1" x14ac:dyDescent="0.2"/>
    <row r="62670" customFormat="1" x14ac:dyDescent="0.2"/>
    <row r="62671" customFormat="1" x14ac:dyDescent="0.2"/>
    <row r="62672" customFormat="1" x14ac:dyDescent="0.2"/>
    <row r="62673" customFormat="1" x14ac:dyDescent="0.2"/>
    <row r="62674" customFormat="1" x14ac:dyDescent="0.2"/>
    <row r="62675" customFormat="1" x14ac:dyDescent="0.2"/>
    <row r="62676" customFormat="1" x14ac:dyDescent="0.2"/>
    <row r="62677" customFormat="1" x14ac:dyDescent="0.2"/>
    <row r="62678" customFormat="1" x14ac:dyDescent="0.2"/>
    <row r="62679" customFormat="1" x14ac:dyDescent="0.2"/>
    <row r="62680" customFormat="1" x14ac:dyDescent="0.2"/>
    <row r="62681" customFormat="1" x14ac:dyDescent="0.2"/>
    <row r="62682" customFormat="1" x14ac:dyDescent="0.2"/>
    <row r="62683" customFormat="1" x14ac:dyDescent="0.2"/>
    <row r="62684" customFormat="1" x14ac:dyDescent="0.2"/>
    <row r="62685" customFormat="1" x14ac:dyDescent="0.2"/>
    <row r="62686" customFormat="1" x14ac:dyDescent="0.2"/>
    <row r="62687" customFormat="1" x14ac:dyDescent="0.2"/>
    <row r="62688" customFormat="1" x14ac:dyDescent="0.2"/>
    <row r="62689" customFormat="1" x14ac:dyDescent="0.2"/>
    <row r="62690" customFormat="1" x14ac:dyDescent="0.2"/>
    <row r="62691" customFormat="1" x14ac:dyDescent="0.2"/>
    <row r="62692" customFormat="1" x14ac:dyDescent="0.2"/>
    <row r="62693" customFormat="1" x14ac:dyDescent="0.2"/>
    <row r="62694" customFormat="1" x14ac:dyDescent="0.2"/>
    <row r="62695" customFormat="1" x14ac:dyDescent="0.2"/>
    <row r="62696" customFormat="1" x14ac:dyDescent="0.2"/>
    <row r="62697" customFormat="1" x14ac:dyDescent="0.2"/>
    <row r="62698" customFormat="1" x14ac:dyDescent="0.2"/>
    <row r="62699" customFormat="1" x14ac:dyDescent="0.2"/>
    <row r="62700" customFormat="1" x14ac:dyDescent="0.2"/>
    <row r="62701" customFormat="1" x14ac:dyDescent="0.2"/>
    <row r="62702" customFormat="1" x14ac:dyDescent="0.2"/>
    <row r="62703" customFormat="1" x14ac:dyDescent="0.2"/>
    <row r="62704" customFormat="1" x14ac:dyDescent="0.2"/>
    <row r="62705" customFormat="1" x14ac:dyDescent="0.2"/>
    <row r="62706" customFormat="1" x14ac:dyDescent="0.2"/>
    <row r="62707" customFormat="1" x14ac:dyDescent="0.2"/>
    <row r="62708" customFormat="1" x14ac:dyDescent="0.2"/>
    <row r="62709" customFormat="1" x14ac:dyDescent="0.2"/>
    <row r="62710" customFormat="1" x14ac:dyDescent="0.2"/>
    <row r="62711" customFormat="1" x14ac:dyDescent="0.2"/>
    <row r="62712" customFormat="1" x14ac:dyDescent="0.2"/>
    <row r="62713" customFormat="1" x14ac:dyDescent="0.2"/>
    <row r="62714" customFormat="1" x14ac:dyDescent="0.2"/>
    <row r="62715" customFormat="1" x14ac:dyDescent="0.2"/>
    <row r="62716" customFormat="1" x14ac:dyDescent="0.2"/>
    <row r="62717" customFormat="1" x14ac:dyDescent="0.2"/>
    <row r="62718" customFormat="1" x14ac:dyDescent="0.2"/>
    <row r="62719" customFormat="1" x14ac:dyDescent="0.2"/>
    <row r="62720" customFormat="1" x14ac:dyDescent="0.2"/>
    <row r="62721" customFormat="1" x14ac:dyDescent="0.2"/>
    <row r="62722" customFormat="1" x14ac:dyDescent="0.2"/>
    <row r="62723" customFormat="1" x14ac:dyDescent="0.2"/>
    <row r="62724" customFormat="1" x14ac:dyDescent="0.2"/>
    <row r="62725" customFormat="1" x14ac:dyDescent="0.2"/>
    <row r="62726" customFormat="1" x14ac:dyDescent="0.2"/>
    <row r="62727" customFormat="1" x14ac:dyDescent="0.2"/>
    <row r="62728" customFormat="1" x14ac:dyDescent="0.2"/>
    <row r="62729" customFormat="1" x14ac:dyDescent="0.2"/>
    <row r="62730" customFormat="1" x14ac:dyDescent="0.2"/>
    <row r="62731" customFormat="1" x14ac:dyDescent="0.2"/>
    <row r="62732" customFormat="1" x14ac:dyDescent="0.2"/>
    <row r="62733" customFormat="1" x14ac:dyDescent="0.2"/>
    <row r="62734" customFormat="1" x14ac:dyDescent="0.2"/>
    <row r="62735" customFormat="1" x14ac:dyDescent="0.2"/>
    <row r="62736" customFormat="1" x14ac:dyDescent="0.2"/>
    <row r="62737" customFormat="1" x14ac:dyDescent="0.2"/>
    <row r="62738" customFormat="1" x14ac:dyDescent="0.2"/>
    <row r="62739" customFormat="1" x14ac:dyDescent="0.2"/>
    <row r="62740" customFormat="1" x14ac:dyDescent="0.2"/>
    <row r="62741" customFormat="1" x14ac:dyDescent="0.2"/>
    <row r="62742" customFormat="1" x14ac:dyDescent="0.2"/>
    <row r="62743" customFormat="1" x14ac:dyDescent="0.2"/>
    <row r="62744" customFormat="1" x14ac:dyDescent="0.2"/>
    <row r="62745" customFormat="1" x14ac:dyDescent="0.2"/>
    <row r="62746" customFormat="1" x14ac:dyDescent="0.2"/>
    <row r="62747" customFormat="1" x14ac:dyDescent="0.2"/>
    <row r="62748" customFormat="1" x14ac:dyDescent="0.2"/>
    <row r="62749" customFormat="1" x14ac:dyDescent="0.2"/>
    <row r="62750" customFormat="1" x14ac:dyDescent="0.2"/>
    <row r="62751" customFormat="1" x14ac:dyDescent="0.2"/>
    <row r="62752" customFormat="1" x14ac:dyDescent="0.2"/>
    <row r="62753" customFormat="1" x14ac:dyDescent="0.2"/>
    <row r="62754" customFormat="1" x14ac:dyDescent="0.2"/>
    <row r="62755" customFormat="1" x14ac:dyDescent="0.2"/>
    <row r="62756" customFormat="1" x14ac:dyDescent="0.2"/>
    <row r="62757" customFormat="1" x14ac:dyDescent="0.2"/>
    <row r="62758" customFormat="1" x14ac:dyDescent="0.2"/>
    <row r="62759" customFormat="1" x14ac:dyDescent="0.2"/>
    <row r="62760" customFormat="1" x14ac:dyDescent="0.2"/>
    <row r="62761" customFormat="1" x14ac:dyDescent="0.2"/>
    <row r="62762" customFormat="1" x14ac:dyDescent="0.2"/>
    <row r="62763" customFormat="1" x14ac:dyDescent="0.2"/>
    <row r="62764" customFormat="1" x14ac:dyDescent="0.2"/>
    <row r="62765" customFormat="1" x14ac:dyDescent="0.2"/>
    <row r="62766" customFormat="1" x14ac:dyDescent="0.2"/>
    <row r="62767" customFormat="1" x14ac:dyDescent="0.2"/>
    <row r="62768" customFormat="1" x14ac:dyDescent="0.2"/>
    <row r="62769" customFormat="1" x14ac:dyDescent="0.2"/>
    <row r="62770" customFormat="1" x14ac:dyDescent="0.2"/>
    <row r="62771" customFormat="1" x14ac:dyDescent="0.2"/>
    <row r="62772" customFormat="1" x14ac:dyDescent="0.2"/>
    <row r="62773" customFormat="1" x14ac:dyDescent="0.2"/>
    <row r="62774" customFormat="1" x14ac:dyDescent="0.2"/>
    <row r="62775" customFormat="1" x14ac:dyDescent="0.2"/>
    <row r="62776" customFormat="1" x14ac:dyDescent="0.2"/>
    <row r="62777" customFormat="1" x14ac:dyDescent="0.2"/>
    <row r="62778" customFormat="1" x14ac:dyDescent="0.2"/>
    <row r="62779" customFormat="1" x14ac:dyDescent="0.2"/>
    <row r="62780" customFormat="1" x14ac:dyDescent="0.2"/>
    <row r="62781" customFormat="1" x14ac:dyDescent="0.2"/>
    <row r="62782" customFormat="1" x14ac:dyDescent="0.2"/>
    <row r="62783" customFormat="1" x14ac:dyDescent="0.2"/>
    <row r="62784" customFormat="1" x14ac:dyDescent="0.2"/>
    <row r="62785" customFormat="1" x14ac:dyDescent="0.2"/>
    <row r="62786" customFormat="1" x14ac:dyDescent="0.2"/>
    <row r="62787" customFormat="1" x14ac:dyDescent="0.2"/>
    <row r="62788" customFormat="1" x14ac:dyDescent="0.2"/>
    <row r="62789" customFormat="1" x14ac:dyDescent="0.2"/>
    <row r="62790" customFormat="1" x14ac:dyDescent="0.2"/>
    <row r="62791" customFormat="1" x14ac:dyDescent="0.2"/>
    <row r="62792" customFormat="1" x14ac:dyDescent="0.2"/>
    <row r="62793" customFormat="1" x14ac:dyDescent="0.2"/>
    <row r="62794" customFormat="1" x14ac:dyDescent="0.2"/>
    <row r="62795" customFormat="1" x14ac:dyDescent="0.2"/>
    <row r="62796" customFormat="1" x14ac:dyDescent="0.2"/>
    <row r="62797" customFormat="1" x14ac:dyDescent="0.2"/>
    <row r="62798" customFormat="1" x14ac:dyDescent="0.2"/>
    <row r="62799" customFormat="1" x14ac:dyDescent="0.2"/>
    <row r="62800" customFormat="1" x14ac:dyDescent="0.2"/>
    <row r="62801" customFormat="1" x14ac:dyDescent="0.2"/>
    <row r="62802" customFormat="1" x14ac:dyDescent="0.2"/>
    <row r="62803" customFormat="1" x14ac:dyDescent="0.2"/>
    <row r="62804" customFormat="1" x14ac:dyDescent="0.2"/>
    <row r="62805" customFormat="1" x14ac:dyDescent="0.2"/>
    <row r="62806" customFormat="1" x14ac:dyDescent="0.2"/>
    <row r="62807" customFormat="1" x14ac:dyDescent="0.2"/>
    <row r="62808" customFormat="1" x14ac:dyDescent="0.2"/>
    <row r="62809" customFormat="1" x14ac:dyDescent="0.2"/>
    <row r="62810" customFormat="1" x14ac:dyDescent="0.2"/>
    <row r="62811" customFormat="1" x14ac:dyDescent="0.2"/>
    <row r="62812" customFormat="1" x14ac:dyDescent="0.2"/>
    <row r="62813" customFormat="1" x14ac:dyDescent="0.2"/>
    <row r="62814" customFormat="1" x14ac:dyDescent="0.2"/>
    <row r="62815" customFormat="1" x14ac:dyDescent="0.2"/>
    <row r="62816" customFormat="1" x14ac:dyDescent="0.2"/>
    <row r="62817" customFormat="1" x14ac:dyDescent="0.2"/>
    <row r="62818" customFormat="1" x14ac:dyDescent="0.2"/>
    <row r="62819" customFormat="1" x14ac:dyDescent="0.2"/>
    <row r="62820" customFormat="1" x14ac:dyDescent="0.2"/>
    <row r="62821" customFormat="1" x14ac:dyDescent="0.2"/>
    <row r="62822" customFormat="1" x14ac:dyDescent="0.2"/>
    <row r="62823" customFormat="1" x14ac:dyDescent="0.2"/>
    <row r="62824" customFormat="1" x14ac:dyDescent="0.2"/>
    <row r="62825" customFormat="1" x14ac:dyDescent="0.2"/>
    <row r="62826" customFormat="1" x14ac:dyDescent="0.2"/>
    <row r="62827" customFormat="1" x14ac:dyDescent="0.2"/>
    <row r="62828" customFormat="1" x14ac:dyDescent="0.2"/>
    <row r="62829" customFormat="1" x14ac:dyDescent="0.2"/>
    <row r="62830" customFormat="1" x14ac:dyDescent="0.2"/>
    <row r="62831" customFormat="1" x14ac:dyDescent="0.2"/>
    <row r="62832" customFormat="1" x14ac:dyDescent="0.2"/>
    <row r="62833" customFormat="1" x14ac:dyDescent="0.2"/>
    <row r="62834" customFormat="1" x14ac:dyDescent="0.2"/>
    <row r="62835" customFormat="1" x14ac:dyDescent="0.2"/>
    <row r="62836" customFormat="1" x14ac:dyDescent="0.2"/>
    <row r="62837" customFormat="1" x14ac:dyDescent="0.2"/>
    <row r="62838" customFormat="1" x14ac:dyDescent="0.2"/>
    <row r="62839" customFormat="1" x14ac:dyDescent="0.2"/>
    <row r="62840" customFormat="1" x14ac:dyDescent="0.2"/>
    <row r="62841" customFormat="1" x14ac:dyDescent="0.2"/>
    <row r="62842" customFormat="1" x14ac:dyDescent="0.2"/>
    <row r="62843" customFormat="1" x14ac:dyDescent="0.2"/>
    <row r="62844" customFormat="1" x14ac:dyDescent="0.2"/>
    <row r="62845" customFormat="1" x14ac:dyDescent="0.2"/>
    <row r="62846" customFormat="1" x14ac:dyDescent="0.2"/>
    <row r="62847" customFormat="1" x14ac:dyDescent="0.2"/>
    <row r="62848" customFormat="1" x14ac:dyDescent="0.2"/>
    <row r="62849" customFormat="1" x14ac:dyDescent="0.2"/>
    <row r="62850" customFormat="1" x14ac:dyDescent="0.2"/>
    <row r="62851" customFormat="1" x14ac:dyDescent="0.2"/>
    <row r="62852" customFormat="1" x14ac:dyDescent="0.2"/>
    <row r="62853" customFormat="1" x14ac:dyDescent="0.2"/>
    <row r="62854" customFormat="1" x14ac:dyDescent="0.2"/>
    <row r="62855" customFormat="1" x14ac:dyDescent="0.2"/>
    <row r="62856" customFormat="1" x14ac:dyDescent="0.2"/>
    <row r="62857" customFormat="1" x14ac:dyDescent="0.2"/>
    <row r="62858" customFormat="1" x14ac:dyDescent="0.2"/>
    <row r="62859" customFormat="1" x14ac:dyDescent="0.2"/>
    <row r="62860" customFormat="1" x14ac:dyDescent="0.2"/>
    <row r="62861" customFormat="1" x14ac:dyDescent="0.2"/>
    <row r="62862" customFormat="1" x14ac:dyDescent="0.2"/>
    <row r="62863" customFormat="1" x14ac:dyDescent="0.2"/>
    <row r="62864" customFormat="1" x14ac:dyDescent="0.2"/>
    <row r="62865" customFormat="1" x14ac:dyDescent="0.2"/>
    <row r="62866" customFormat="1" x14ac:dyDescent="0.2"/>
    <row r="62867" customFormat="1" x14ac:dyDescent="0.2"/>
    <row r="62868" customFormat="1" x14ac:dyDescent="0.2"/>
    <row r="62869" customFormat="1" x14ac:dyDescent="0.2"/>
    <row r="62870" customFormat="1" x14ac:dyDescent="0.2"/>
    <row r="62871" customFormat="1" x14ac:dyDescent="0.2"/>
    <row r="62872" customFormat="1" x14ac:dyDescent="0.2"/>
    <row r="62873" customFormat="1" x14ac:dyDescent="0.2"/>
    <row r="62874" customFormat="1" x14ac:dyDescent="0.2"/>
    <row r="62875" customFormat="1" x14ac:dyDescent="0.2"/>
    <row r="62876" customFormat="1" x14ac:dyDescent="0.2"/>
    <row r="62877" customFormat="1" x14ac:dyDescent="0.2"/>
    <row r="62878" customFormat="1" x14ac:dyDescent="0.2"/>
    <row r="62879" customFormat="1" x14ac:dyDescent="0.2"/>
    <row r="62880" customFormat="1" x14ac:dyDescent="0.2"/>
    <row r="62881" customFormat="1" x14ac:dyDescent="0.2"/>
    <row r="62882" customFormat="1" x14ac:dyDescent="0.2"/>
    <row r="62883" customFormat="1" x14ac:dyDescent="0.2"/>
    <row r="62884" customFormat="1" x14ac:dyDescent="0.2"/>
    <row r="62885" customFormat="1" x14ac:dyDescent="0.2"/>
    <row r="62886" customFormat="1" x14ac:dyDescent="0.2"/>
    <row r="62887" customFormat="1" x14ac:dyDescent="0.2"/>
    <row r="62888" customFormat="1" x14ac:dyDescent="0.2"/>
    <row r="62889" customFormat="1" x14ac:dyDescent="0.2"/>
    <row r="62890" customFormat="1" x14ac:dyDescent="0.2"/>
    <row r="62891" customFormat="1" x14ac:dyDescent="0.2"/>
    <row r="62892" customFormat="1" x14ac:dyDescent="0.2"/>
    <row r="62893" customFormat="1" x14ac:dyDescent="0.2"/>
    <row r="62894" customFormat="1" x14ac:dyDescent="0.2"/>
    <row r="62895" customFormat="1" x14ac:dyDescent="0.2"/>
    <row r="62896" customFormat="1" x14ac:dyDescent="0.2"/>
    <row r="62897" customFormat="1" x14ac:dyDescent="0.2"/>
    <row r="62898" customFormat="1" x14ac:dyDescent="0.2"/>
    <row r="62899" customFormat="1" x14ac:dyDescent="0.2"/>
    <row r="62900" customFormat="1" x14ac:dyDescent="0.2"/>
    <row r="62901" customFormat="1" x14ac:dyDescent="0.2"/>
    <row r="62902" customFormat="1" x14ac:dyDescent="0.2"/>
    <row r="62903" customFormat="1" x14ac:dyDescent="0.2"/>
    <row r="62904" customFormat="1" x14ac:dyDescent="0.2"/>
    <row r="62905" customFormat="1" x14ac:dyDescent="0.2"/>
    <row r="62906" customFormat="1" x14ac:dyDescent="0.2"/>
    <row r="62907" customFormat="1" x14ac:dyDescent="0.2"/>
    <row r="62908" customFormat="1" x14ac:dyDescent="0.2"/>
    <row r="62909" customFormat="1" x14ac:dyDescent="0.2"/>
    <row r="62910" customFormat="1" x14ac:dyDescent="0.2"/>
    <row r="62911" customFormat="1" x14ac:dyDescent="0.2"/>
    <row r="62912" customFormat="1" x14ac:dyDescent="0.2"/>
    <row r="62913" customFormat="1" x14ac:dyDescent="0.2"/>
    <row r="62914" customFormat="1" x14ac:dyDescent="0.2"/>
    <row r="62915" customFormat="1" x14ac:dyDescent="0.2"/>
    <row r="62916" customFormat="1" x14ac:dyDescent="0.2"/>
    <row r="62917" customFormat="1" x14ac:dyDescent="0.2"/>
    <row r="62918" customFormat="1" x14ac:dyDescent="0.2"/>
    <row r="62919" customFormat="1" x14ac:dyDescent="0.2"/>
    <row r="62920" customFormat="1" x14ac:dyDescent="0.2"/>
    <row r="62921" customFormat="1" x14ac:dyDescent="0.2"/>
    <row r="62922" customFormat="1" x14ac:dyDescent="0.2"/>
    <row r="62923" customFormat="1" x14ac:dyDescent="0.2"/>
    <row r="62924" customFormat="1" x14ac:dyDescent="0.2"/>
    <row r="62925" customFormat="1" x14ac:dyDescent="0.2"/>
    <row r="62926" customFormat="1" x14ac:dyDescent="0.2"/>
    <row r="62927" customFormat="1" x14ac:dyDescent="0.2"/>
    <row r="62928" customFormat="1" x14ac:dyDescent="0.2"/>
    <row r="62929" customFormat="1" x14ac:dyDescent="0.2"/>
    <row r="62930" customFormat="1" x14ac:dyDescent="0.2"/>
    <row r="62931" customFormat="1" x14ac:dyDescent="0.2"/>
    <row r="62932" customFormat="1" x14ac:dyDescent="0.2"/>
    <row r="62933" customFormat="1" x14ac:dyDescent="0.2"/>
    <row r="62934" customFormat="1" x14ac:dyDescent="0.2"/>
    <row r="62935" customFormat="1" x14ac:dyDescent="0.2"/>
    <row r="62936" customFormat="1" x14ac:dyDescent="0.2"/>
    <row r="62937" customFormat="1" x14ac:dyDescent="0.2"/>
    <row r="62938" customFormat="1" x14ac:dyDescent="0.2"/>
    <row r="62939" customFormat="1" x14ac:dyDescent="0.2"/>
    <row r="62940" customFormat="1" x14ac:dyDescent="0.2"/>
    <row r="62941" customFormat="1" x14ac:dyDescent="0.2"/>
    <row r="62942" customFormat="1" x14ac:dyDescent="0.2"/>
    <row r="62943" customFormat="1" x14ac:dyDescent="0.2"/>
    <row r="62944" customFormat="1" x14ac:dyDescent="0.2"/>
    <row r="62945" customFormat="1" x14ac:dyDescent="0.2"/>
    <row r="62946" customFormat="1" x14ac:dyDescent="0.2"/>
    <row r="62947" customFormat="1" x14ac:dyDescent="0.2"/>
    <row r="62948" customFormat="1" x14ac:dyDescent="0.2"/>
    <row r="62949" customFormat="1" x14ac:dyDescent="0.2"/>
    <row r="62950" customFormat="1" x14ac:dyDescent="0.2"/>
    <row r="62951" customFormat="1" x14ac:dyDescent="0.2"/>
    <row r="62952" customFormat="1" x14ac:dyDescent="0.2"/>
    <row r="62953" customFormat="1" x14ac:dyDescent="0.2"/>
    <row r="62954" customFormat="1" x14ac:dyDescent="0.2"/>
    <row r="62955" customFormat="1" x14ac:dyDescent="0.2"/>
    <row r="62956" customFormat="1" x14ac:dyDescent="0.2"/>
    <row r="62957" customFormat="1" x14ac:dyDescent="0.2"/>
    <row r="62958" customFormat="1" x14ac:dyDescent="0.2"/>
    <row r="62959" customFormat="1" x14ac:dyDescent="0.2"/>
    <row r="62960" customFormat="1" x14ac:dyDescent="0.2"/>
    <row r="62961" customFormat="1" x14ac:dyDescent="0.2"/>
    <row r="62962" customFormat="1" x14ac:dyDescent="0.2"/>
    <row r="62963" customFormat="1" x14ac:dyDescent="0.2"/>
    <row r="62964" customFormat="1" x14ac:dyDescent="0.2"/>
    <row r="62965" customFormat="1" x14ac:dyDescent="0.2"/>
    <row r="62966" customFormat="1" x14ac:dyDescent="0.2"/>
    <row r="62967" customFormat="1" x14ac:dyDescent="0.2"/>
    <row r="62968" customFormat="1" x14ac:dyDescent="0.2"/>
    <row r="62969" customFormat="1" x14ac:dyDescent="0.2"/>
    <row r="62970" customFormat="1" x14ac:dyDescent="0.2"/>
    <row r="62971" customFormat="1" x14ac:dyDescent="0.2"/>
    <row r="62972" customFormat="1" x14ac:dyDescent="0.2"/>
    <row r="62973" customFormat="1" x14ac:dyDescent="0.2"/>
    <row r="62974" customFormat="1" x14ac:dyDescent="0.2"/>
    <row r="62975" customFormat="1" x14ac:dyDescent="0.2"/>
    <row r="62976" customFormat="1" x14ac:dyDescent="0.2"/>
    <row r="62977" customFormat="1" x14ac:dyDescent="0.2"/>
    <row r="62978" customFormat="1" x14ac:dyDescent="0.2"/>
    <row r="62979" customFormat="1" x14ac:dyDescent="0.2"/>
    <row r="62980" customFormat="1" x14ac:dyDescent="0.2"/>
    <row r="62981" customFormat="1" x14ac:dyDescent="0.2"/>
    <row r="62982" customFormat="1" x14ac:dyDescent="0.2"/>
    <row r="62983" customFormat="1" x14ac:dyDescent="0.2"/>
    <row r="62984" customFormat="1" x14ac:dyDescent="0.2"/>
    <row r="62985" customFormat="1" x14ac:dyDescent="0.2"/>
    <row r="62986" customFormat="1" x14ac:dyDescent="0.2"/>
    <row r="62987" customFormat="1" x14ac:dyDescent="0.2"/>
    <row r="62988" customFormat="1" x14ac:dyDescent="0.2"/>
    <row r="62989" customFormat="1" x14ac:dyDescent="0.2"/>
    <row r="62990" customFormat="1" x14ac:dyDescent="0.2"/>
    <row r="62991" customFormat="1" x14ac:dyDescent="0.2"/>
    <row r="62992" customFormat="1" x14ac:dyDescent="0.2"/>
    <row r="62993" customFormat="1" x14ac:dyDescent="0.2"/>
    <row r="62994" customFormat="1" x14ac:dyDescent="0.2"/>
    <row r="62995" customFormat="1" x14ac:dyDescent="0.2"/>
    <row r="62996" customFormat="1" x14ac:dyDescent="0.2"/>
    <row r="62997" customFormat="1" x14ac:dyDescent="0.2"/>
    <row r="62998" customFormat="1" x14ac:dyDescent="0.2"/>
    <row r="62999" customFormat="1" x14ac:dyDescent="0.2"/>
    <row r="63000" customFormat="1" x14ac:dyDescent="0.2"/>
    <row r="63001" customFormat="1" x14ac:dyDescent="0.2"/>
    <row r="63002" customFormat="1" x14ac:dyDescent="0.2"/>
    <row r="63003" customFormat="1" x14ac:dyDescent="0.2"/>
    <row r="63004" customFormat="1" x14ac:dyDescent="0.2"/>
    <row r="63005" customFormat="1" x14ac:dyDescent="0.2"/>
    <row r="63006" customFormat="1" x14ac:dyDescent="0.2"/>
    <row r="63007" customFormat="1" x14ac:dyDescent="0.2"/>
    <row r="63008" customFormat="1" x14ac:dyDescent="0.2"/>
    <row r="63009" customFormat="1" x14ac:dyDescent="0.2"/>
    <row r="63010" customFormat="1" x14ac:dyDescent="0.2"/>
    <row r="63011" customFormat="1" x14ac:dyDescent="0.2"/>
    <row r="63012" customFormat="1" x14ac:dyDescent="0.2"/>
    <row r="63013" customFormat="1" x14ac:dyDescent="0.2"/>
    <row r="63014" customFormat="1" x14ac:dyDescent="0.2"/>
    <row r="63015" customFormat="1" x14ac:dyDescent="0.2"/>
    <row r="63016" customFormat="1" x14ac:dyDescent="0.2"/>
    <row r="63017" customFormat="1" x14ac:dyDescent="0.2"/>
    <row r="63018" customFormat="1" x14ac:dyDescent="0.2"/>
    <row r="63019" customFormat="1" x14ac:dyDescent="0.2"/>
    <row r="63020" customFormat="1" x14ac:dyDescent="0.2"/>
    <row r="63021" customFormat="1" x14ac:dyDescent="0.2"/>
    <row r="63022" customFormat="1" x14ac:dyDescent="0.2"/>
    <row r="63023" customFormat="1" x14ac:dyDescent="0.2"/>
    <row r="63024" customFormat="1" x14ac:dyDescent="0.2"/>
    <row r="63025" customFormat="1" x14ac:dyDescent="0.2"/>
    <row r="63026" customFormat="1" x14ac:dyDescent="0.2"/>
    <row r="63027" customFormat="1" x14ac:dyDescent="0.2"/>
    <row r="63028" customFormat="1" x14ac:dyDescent="0.2"/>
    <row r="63029" customFormat="1" x14ac:dyDescent="0.2"/>
    <row r="63030" customFormat="1" x14ac:dyDescent="0.2"/>
    <row r="63031" customFormat="1" x14ac:dyDescent="0.2"/>
    <row r="63032" customFormat="1" x14ac:dyDescent="0.2"/>
    <row r="63033" customFormat="1" x14ac:dyDescent="0.2"/>
    <row r="63034" customFormat="1" x14ac:dyDescent="0.2"/>
    <row r="63035" customFormat="1" x14ac:dyDescent="0.2"/>
    <row r="63036" customFormat="1" x14ac:dyDescent="0.2"/>
    <row r="63037" customFormat="1" x14ac:dyDescent="0.2"/>
    <row r="63038" customFormat="1" x14ac:dyDescent="0.2"/>
    <row r="63039" customFormat="1" x14ac:dyDescent="0.2"/>
    <row r="63040" customFormat="1" x14ac:dyDescent="0.2"/>
    <row r="63041" customFormat="1" x14ac:dyDescent="0.2"/>
    <row r="63042" customFormat="1" x14ac:dyDescent="0.2"/>
    <row r="63043" customFormat="1" x14ac:dyDescent="0.2"/>
    <row r="63044" customFormat="1" x14ac:dyDescent="0.2"/>
    <row r="63045" customFormat="1" x14ac:dyDescent="0.2"/>
    <row r="63046" customFormat="1" x14ac:dyDescent="0.2"/>
    <row r="63047" customFormat="1" x14ac:dyDescent="0.2"/>
    <row r="63048" customFormat="1" x14ac:dyDescent="0.2"/>
    <row r="63049" customFormat="1" x14ac:dyDescent="0.2"/>
    <row r="63050" customFormat="1" x14ac:dyDescent="0.2"/>
    <row r="63051" customFormat="1" x14ac:dyDescent="0.2"/>
    <row r="63052" customFormat="1" x14ac:dyDescent="0.2"/>
    <row r="63053" customFormat="1" x14ac:dyDescent="0.2"/>
    <row r="63054" customFormat="1" x14ac:dyDescent="0.2"/>
    <row r="63055" customFormat="1" x14ac:dyDescent="0.2"/>
    <row r="63056" customFormat="1" x14ac:dyDescent="0.2"/>
    <row r="63057" customFormat="1" x14ac:dyDescent="0.2"/>
    <row r="63058" customFormat="1" x14ac:dyDescent="0.2"/>
    <row r="63059" customFormat="1" x14ac:dyDescent="0.2"/>
    <row r="63060" customFormat="1" x14ac:dyDescent="0.2"/>
    <row r="63061" customFormat="1" x14ac:dyDescent="0.2"/>
    <row r="63062" customFormat="1" x14ac:dyDescent="0.2"/>
    <row r="63063" customFormat="1" x14ac:dyDescent="0.2"/>
    <row r="63064" customFormat="1" x14ac:dyDescent="0.2"/>
    <row r="63065" customFormat="1" x14ac:dyDescent="0.2"/>
    <row r="63066" customFormat="1" x14ac:dyDescent="0.2"/>
    <row r="63067" customFormat="1" x14ac:dyDescent="0.2"/>
    <row r="63068" customFormat="1" x14ac:dyDescent="0.2"/>
    <row r="63069" customFormat="1" x14ac:dyDescent="0.2"/>
    <row r="63070" customFormat="1" x14ac:dyDescent="0.2"/>
    <row r="63071" customFormat="1" x14ac:dyDescent="0.2"/>
    <row r="63072" customFormat="1" x14ac:dyDescent="0.2"/>
    <row r="63073" customFormat="1" x14ac:dyDescent="0.2"/>
    <row r="63074" customFormat="1" x14ac:dyDescent="0.2"/>
    <row r="63075" customFormat="1" x14ac:dyDescent="0.2"/>
    <row r="63076" customFormat="1" x14ac:dyDescent="0.2"/>
    <row r="63077" customFormat="1" x14ac:dyDescent="0.2"/>
    <row r="63078" customFormat="1" x14ac:dyDescent="0.2"/>
    <row r="63079" customFormat="1" x14ac:dyDescent="0.2"/>
    <row r="63080" customFormat="1" x14ac:dyDescent="0.2"/>
    <row r="63081" customFormat="1" x14ac:dyDescent="0.2"/>
    <row r="63082" customFormat="1" x14ac:dyDescent="0.2"/>
    <row r="63083" customFormat="1" x14ac:dyDescent="0.2"/>
    <row r="63084" customFormat="1" x14ac:dyDescent="0.2"/>
    <row r="63085" customFormat="1" x14ac:dyDescent="0.2"/>
    <row r="63086" customFormat="1" x14ac:dyDescent="0.2"/>
    <row r="63087" customFormat="1" x14ac:dyDescent="0.2"/>
    <row r="63088" customFormat="1" x14ac:dyDescent="0.2"/>
    <row r="63089" customFormat="1" x14ac:dyDescent="0.2"/>
    <row r="63090" customFormat="1" x14ac:dyDescent="0.2"/>
    <row r="63091" customFormat="1" x14ac:dyDescent="0.2"/>
    <row r="63092" customFormat="1" x14ac:dyDescent="0.2"/>
    <row r="63093" customFormat="1" x14ac:dyDescent="0.2"/>
    <row r="63094" customFormat="1" x14ac:dyDescent="0.2"/>
    <row r="63095" customFormat="1" x14ac:dyDescent="0.2"/>
    <row r="63096" customFormat="1" x14ac:dyDescent="0.2"/>
    <row r="63097" customFormat="1" x14ac:dyDescent="0.2"/>
    <row r="63098" customFormat="1" x14ac:dyDescent="0.2"/>
    <row r="63099" customFormat="1" x14ac:dyDescent="0.2"/>
    <row r="63100" customFormat="1" x14ac:dyDescent="0.2"/>
    <row r="63101" customFormat="1" x14ac:dyDescent="0.2"/>
    <row r="63102" customFormat="1" x14ac:dyDescent="0.2"/>
    <row r="63103" customFormat="1" x14ac:dyDescent="0.2"/>
    <row r="63104" customFormat="1" x14ac:dyDescent="0.2"/>
    <row r="63105" customFormat="1" x14ac:dyDescent="0.2"/>
    <row r="63106" customFormat="1" x14ac:dyDescent="0.2"/>
    <row r="63107" customFormat="1" x14ac:dyDescent="0.2"/>
    <row r="63108" customFormat="1" x14ac:dyDescent="0.2"/>
    <row r="63109" customFormat="1" x14ac:dyDescent="0.2"/>
    <row r="63110" customFormat="1" x14ac:dyDescent="0.2"/>
    <row r="63111" customFormat="1" x14ac:dyDescent="0.2"/>
    <row r="63112" customFormat="1" x14ac:dyDescent="0.2"/>
    <row r="63113" customFormat="1" x14ac:dyDescent="0.2"/>
    <row r="63114" customFormat="1" x14ac:dyDescent="0.2"/>
    <row r="63115" customFormat="1" x14ac:dyDescent="0.2"/>
    <row r="63116" customFormat="1" x14ac:dyDescent="0.2"/>
    <row r="63117" customFormat="1" x14ac:dyDescent="0.2"/>
    <row r="63118" customFormat="1" x14ac:dyDescent="0.2"/>
    <row r="63119" customFormat="1" x14ac:dyDescent="0.2"/>
    <row r="63120" customFormat="1" x14ac:dyDescent="0.2"/>
    <row r="63121" customFormat="1" x14ac:dyDescent="0.2"/>
    <row r="63122" customFormat="1" x14ac:dyDescent="0.2"/>
    <row r="63123" customFormat="1" x14ac:dyDescent="0.2"/>
    <row r="63124" customFormat="1" x14ac:dyDescent="0.2"/>
    <row r="63125" customFormat="1" x14ac:dyDescent="0.2"/>
    <row r="63126" customFormat="1" x14ac:dyDescent="0.2"/>
    <row r="63127" customFormat="1" x14ac:dyDescent="0.2"/>
    <row r="63128" customFormat="1" x14ac:dyDescent="0.2"/>
    <row r="63129" customFormat="1" x14ac:dyDescent="0.2"/>
    <row r="63130" customFormat="1" x14ac:dyDescent="0.2"/>
    <row r="63131" customFormat="1" x14ac:dyDescent="0.2"/>
    <row r="63132" customFormat="1" x14ac:dyDescent="0.2"/>
    <row r="63133" customFormat="1" x14ac:dyDescent="0.2"/>
    <row r="63134" customFormat="1" x14ac:dyDescent="0.2"/>
    <row r="63135" customFormat="1" x14ac:dyDescent="0.2"/>
    <row r="63136" customFormat="1" x14ac:dyDescent="0.2"/>
    <row r="63137" customFormat="1" x14ac:dyDescent="0.2"/>
    <row r="63138" customFormat="1" x14ac:dyDescent="0.2"/>
    <row r="63139" customFormat="1" x14ac:dyDescent="0.2"/>
    <row r="63140" customFormat="1" x14ac:dyDescent="0.2"/>
    <row r="63141" customFormat="1" x14ac:dyDescent="0.2"/>
    <row r="63142" customFormat="1" x14ac:dyDescent="0.2"/>
    <row r="63143" customFormat="1" x14ac:dyDescent="0.2"/>
    <row r="63144" customFormat="1" x14ac:dyDescent="0.2"/>
    <row r="63145" customFormat="1" x14ac:dyDescent="0.2"/>
    <row r="63146" customFormat="1" x14ac:dyDescent="0.2"/>
    <row r="63147" customFormat="1" x14ac:dyDescent="0.2"/>
    <row r="63148" customFormat="1" x14ac:dyDescent="0.2"/>
    <row r="63149" customFormat="1" x14ac:dyDescent="0.2"/>
    <row r="63150" customFormat="1" x14ac:dyDescent="0.2"/>
    <row r="63151" customFormat="1" x14ac:dyDescent="0.2"/>
    <row r="63152" customFormat="1" x14ac:dyDescent="0.2"/>
    <row r="63153" customFormat="1" x14ac:dyDescent="0.2"/>
    <row r="63154" customFormat="1" x14ac:dyDescent="0.2"/>
    <row r="63155" customFormat="1" x14ac:dyDescent="0.2"/>
    <row r="63156" customFormat="1" x14ac:dyDescent="0.2"/>
    <row r="63157" customFormat="1" x14ac:dyDescent="0.2"/>
    <row r="63158" customFormat="1" x14ac:dyDescent="0.2"/>
    <row r="63159" customFormat="1" x14ac:dyDescent="0.2"/>
    <row r="63160" customFormat="1" x14ac:dyDescent="0.2"/>
    <row r="63161" customFormat="1" x14ac:dyDescent="0.2"/>
    <row r="63162" customFormat="1" x14ac:dyDescent="0.2"/>
    <row r="63163" customFormat="1" x14ac:dyDescent="0.2"/>
    <row r="63164" customFormat="1" x14ac:dyDescent="0.2"/>
    <row r="63165" customFormat="1" x14ac:dyDescent="0.2"/>
    <row r="63166" customFormat="1" x14ac:dyDescent="0.2"/>
    <row r="63167" customFormat="1" x14ac:dyDescent="0.2"/>
    <row r="63168" customFormat="1" x14ac:dyDescent="0.2"/>
    <row r="63169" customFormat="1" x14ac:dyDescent="0.2"/>
    <row r="63170" customFormat="1" x14ac:dyDescent="0.2"/>
    <row r="63171" customFormat="1" x14ac:dyDescent="0.2"/>
    <row r="63172" customFormat="1" x14ac:dyDescent="0.2"/>
    <row r="63173" customFormat="1" x14ac:dyDescent="0.2"/>
    <row r="63174" customFormat="1" x14ac:dyDescent="0.2"/>
    <row r="63175" customFormat="1" x14ac:dyDescent="0.2"/>
    <row r="63176" customFormat="1" x14ac:dyDescent="0.2"/>
    <row r="63177" customFormat="1" x14ac:dyDescent="0.2"/>
    <row r="63178" customFormat="1" x14ac:dyDescent="0.2"/>
    <row r="63179" customFormat="1" x14ac:dyDescent="0.2"/>
    <row r="63180" customFormat="1" x14ac:dyDescent="0.2"/>
    <row r="63181" customFormat="1" x14ac:dyDescent="0.2"/>
    <row r="63182" customFormat="1" x14ac:dyDescent="0.2"/>
    <row r="63183" customFormat="1" x14ac:dyDescent="0.2"/>
    <row r="63184" customFormat="1" x14ac:dyDescent="0.2"/>
    <row r="63185" customFormat="1" x14ac:dyDescent="0.2"/>
    <row r="63186" customFormat="1" x14ac:dyDescent="0.2"/>
    <row r="63187" customFormat="1" x14ac:dyDescent="0.2"/>
    <row r="63188" customFormat="1" x14ac:dyDescent="0.2"/>
    <row r="63189" customFormat="1" x14ac:dyDescent="0.2"/>
    <row r="63190" customFormat="1" x14ac:dyDescent="0.2"/>
    <row r="63191" customFormat="1" x14ac:dyDescent="0.2"/>
    <row r="63192" customFormat="1" x14ac:dyDescent="0.2"/>
    <row r="63193" customFormat="1" x14ac:dyDescent="0.2"/>
    <row r="63194" customFormat="1" x14ac:dyDescent="0.2"/>
    <row r="63195" customFormat="1" x14ac:dyDescent="0.2"/>
    <row r="63196" customFormat="1" x14ac:dyDescent="0.2"/>
    <row r="63197" customFormat="1" x14ac:dyDescent="0.2"/>
    <row r="63198" customFormat="1" x14ac:dyDescent="0.2"/>
    <row r="63199" customFormat="1" x14ac:dyDescent="0.2"/>
    <row r="63200" customFormat="1" x14ac:dyDescent="0.2"/>
    <row r="63201" customFormat="1" x14ac:dyDescent="0.2"/>
    <row r="63202" customFormat="1" x14ac:dyDescent="0.2"/>
    <row r="63203" customFormat="1" x14ac:dyDescent="0.2"/>
    <row r="63204" customFormat="1" x14ac:dyDescent="0.2"/>
    <row r="63205" customFormat="1" x14ac:dyDescent="0.2"/>
    <row r="63206" customFormat="1" x14ac:dyDescent="0.2"/>
    <row r="63207" customFormat="1" x14ac:dyDescent="0.2"/>
    <row r="63208" customFormat="1" x14ac:dyDescent="0.2"/>
    <row r="63209" customFormat="1" x14ac:dyDescent="0.2"/>
    <row r="63210" customFormat="1" x14ac:dyDescent="0.2"/>
    <row r="63211" customFormat="1" x14ac:dyDescent="0.2"/>
    <row r="63212" customFormat="1" x14ac:dyDescent="0.2"/>
    <row r="63213" customFormat="1" x14ac:dyDescent="0.2"/>
    <row r="63214" customFormat="1" x14ac:dyDescent="0.2"/>
    <row r="63215" customFormat="1" x14ac:dyDescent="0.2"/>
    <row r="63216" customFormat="1" x14ac:dyDescent="0.2"/>
    <row r="63217" customFormat="1" x14ac:dyDescent="0.2"/>
    <row r="63218" customFormat="1" x14ac:dyDescent="0.2"/>
    <row r="63219" customFormat="1" x14ac:dyDescent="0.2"/>
    <row r="63220" customFormat="1" x14ac:dyDescent="0.2"/>
    <row r="63221" customFormat="1" x14ac:dyDescent="0.2"/>
    <row r="63222" customFormat="1" x14ac:dyDescent="0.2"/>
    <row r="63223" customFormat="1" x14ac:dyDescent="0.2"/>
    <row r="63224" customFormat="1" x14ac:dyDescent="0.2"/>
    <row r="63225" customFormat="1" x14ac:dyDescent="0.2"/>
    <row r="63226" customFormat="1" x14ac:dyDescent="0.2"/>
    <row r="63227" customFormat="1" x14ac:dyDescent="0.2"/>
    <row r="63228" customFormat="1" x14ac:dyDescent="0.2"/>
    <row r="63229" customFormat="1" x14ac:dyDescent="0.2"/>
    <row r="63230" customFormat="1" x14ac:dyDescent="0.2"/>
    <row r="63231" customFormat="1" x14ac:dyDescent="0.2"/>
    <row r="63232" customFormat="1" x14ac:dyDescent="0.2"/>
    <row r="63233" customFormat="1" x14ac:dyDescent="0.2"/>
    <row r="63234" customFormat="1" x14ac:dyDescent="0.2"/>
    <row r="63235" customFormat="1" x14ac:dyDescent="0.2"/>
    <row r="63236" customFormat="1" x14ac:dyDescent="0.2"/>
    <row r="63237" customFormat="1" x14ac:dyDescent="0.2"/>
    <row r="63238" customFormat="1" x14ac:dyDescent="0.2"/>
    <row r="63239" customFormat="1" x14ac:dyDescent="0.2"/>
    <row r="63240" customFormat="1" x14ac:dyDescent="0.2"/>
    <row r="63241" customFormat="1" x14ac:dyDescent="0.2"/>
    <row r="63242" customFormat="1" x14ac:dyDescent="0.2"/>
    <row r="63243" customFormat="1" x14ac:dyDescent="0.2"/>
    <row r="63244" customFormat="1" x14ac:dyDescent="0.2"/>
    <row r="63245" customFormat="1" x14ac:dyDescent="0.2"/>
    <row r="63246" customFormat="1" x14ac:dyDescent="0.2"/>
    <row r="63247" customFormat="1" x14ac:dyDescent="0.2"/>
    <row r="63248" customFormat="1" x14ac:dyDescent="0.2"/>
    <row r="63249" customFormat="1" x14ac:dyDescent="0.2"/>
    <row r="63250" customFormat="1" x14ac:dyDescent="0.2"/>
    <row r="63251" customFormat="1" x14ac:dyDescent="0.2"/>
    <row r="63252" customFormat="1" x14ac:dyDescent="0.2"/>
    <row r="63253" customFormat="1" x14ac:dyDescent="0.2"/>
    <row r="63254" customFormat="1" x14ac:dyDescent="0.2"/>
    <row r="63255" customFormat="1" x14ac:dyDescent="0.2"/>
    <row r="63256" customFormat="1" x14ac:dyDescent="0.2"/>
    <row r="63257" customFormat="1" x14ac:dyDescent="0.2"/>
    <row r="63258" customFormat="1" x14ac:dyDescent="0.2"/>
    <row r="63259" customFormat="1" x14ac:dyDescent="0.2"/>
    <row r="63260" customFormat="1" x14ac:dyDescent="0.2"/>
    <row r="63261" customFormat="1" x14ac:dyDescent="0.2"/>
    <row r="63262" customFormat="1" x14ac:dyDescent="0.2"/>
    <row r="63263" customFormat="1" x14ac:dyDescent="0.2"/>
    <row r="63264" customFormat="1" x14ac:dyDescent="0.2"/>
    <row r="63265" customFormat="1" x14ac:dyDescent="0.2"/>
    <row r="63266" customFormat="1" x14ac:dyDescent="0.2"/>
    <row r="63267" customFormat="1" x14ac:dyDescent="0.2"/>
    <row r="63268" customFormat="1" x14ac:dyDescent="0.2"/>
    <row r="63269" customFormat="1" x14ac:dyDescent="0.2"/>
    <row r="63270" customFormat="1" x14ac:dyDescent="0.2"/>
    <row r="63271" customFormat="1" x14ac:dyDescent="0.2"/>
    <row r="63272" customFormat="1" x14ac:dyDescent="0.2"/>
    <row r="63273" customFormat="1" x14ac:dyDescent="0.2"/>
    <row r="63274" customFormat="1" x14ac:dyDescent="0.2"/>
    <row r="63275" customFormat="1" x14ac:dyDescent="0.2"/>
    <row r="63276" customFormat="1" x14ac:dyDescent="0.2"/>
    <row r="63277" customFormat="1" x14ac:dyDescent="0.2"/>
    <row r="63278" customFormat="1" x14ac:dyDescent="0.2"/>
    <row r="63279" customFormat="1" x14ac:dyDescent="0.2"/>
    <row r="63280" customFormat="1" x14ac:dyDescent="0.2"/>
    <row r="63281" customFormat="1" x14ac:dyDescent="0.2"/>
    <row r="63282" customFormat="1" x14ac:dyDescent="0.2"/>
    <row r="63283" customFormat="1" x14ac:dyDescent="0.2"/>
    <row r="63284" customFormat="1" x14ac:dyDescent="0.2"/>
    <row r="63285" customFormat="1" x14ac:dyDescent="0.2"/>
    <row r="63286" customFormat="1" x14ac:dyDescent="0.2"/>
    <row r="63287" customFormat="1" x14ac:dyDescent="0.2"/>
    <row r="63288" customFormat="1" x14ac:dyDescent="0.2"/>
    <row r="63289" customFormat="1" x14ac:dyDescent="0.2"/>
    <row r="63290" customFormat="1" x14ac:dyDescent="0.2"/>
    <row r="63291" customFormat="1" x14ac:dyDescent="0.2"/>
    <row r="63292" customFormat="1" x14ac:dyDescent="0.2"/>
    <row r="63293" customFormat="1" x14ac:dyDescent="0.2"/>
    <row r="63294" customFormat="1" x14ac:dyDescent="0.2"/>
    <row r="63295" customFormat="1" x14ac:dyDescent="0.2"/>
    <row r="63296" customFormat="1" x14ac:dyDescent="0.2"/>
    <row r="63297" customFormat="1" x14ac:dyDescent="0.2"/>
    <row r="63298" customFormat="1" x14ac:dyDescent="0.2"/>
    <row r="63299" customFormat="1" x14ac:dyDescent="0.2"/>
    <row r="63300" customFormat="1" x14ac:dyDescent="0.2"/>
    <row r="63301" customFormat="1" x14ac:dyDescent="0.2"/>
    <row r="63302" customFormat="1" x14ac:dyDescent="0.2"/>
    <row r="63303" customFormat="1" x14ac:dyDescent="0.2"/>
    <row r="63304" customFormat="1" x14ac:dyDescent="0.2"/>
    <row r="63305" customFormat="1" x14ac:dyDescent="0.2"/>
    <row r="63306" customFormat="1" x14ac:dyDescent="0.2"/>
    <row r="63307" customFormat="1" x14ac:dyDescent="0.2"/>
    <row r="63308" customFormat="1" x14ac:dyDescent="0.2"/>
    <row r="63309" customFormat="1" x14ac:dyDescent="0.2"/>
    <row r="63310" customFormat="1" x14ac:dyDescent="0.2"/>
    <row r="63311" customFormat="1" x14ac:dyDescent="0.2"/>
    <row r="63312" customFormat="1" x14ac:dyDescent="0.2"/>
    <row r="63313" customFormat="1" x14ac:dyDescent="0.2"/>
    <row r="63314" customFormat="1" x14ac:dyDescent="0.2"/>
    <row r="63315" customFormat="1" x14ac:dyDescent="0.2"/>
    <row r="63316" customFormat="1" x14ac:dyDescent="0.2"/>
    <row r="63317" customFormat="1" x14ac:dyDescent="0.2"/>
    <row r="63318" customFormat="1" x14ac:dyDescent="0.2"/>
    <row r="63319" customFormat="1" x14ac:dyDescent="0.2"/>
    <row r="63320" customFormat="1" x14ac:dyDescent="0.2"/>
    <row r="63321" customFormat="1" x14ac:dyDescent="0.2"/>
    <row r="63322" customFormat="1" x14ac:dyDescent="0.2"/>
    <row r="63323" customFormat="1" x14ac:dyDescent="0.2"/>
    <row r="63324" customFormat="1" x14ac:dyDescent="0.2"/>
    <row r="63325" customFormat="1" x14ac:dyDescent="0.2"/>
    <row r="63326" customFormat="1" x14ac:dyDescent="0.2"/>
    <row r="63327" customFormat="1" x14ac:dyDescent="0.2"/>
    <row r="63328" customFormat="1" x14ac:dyDescent="0.2"/>
    <row r="63329" customFormat="1" x14ac:dyDescent="0.2"/>
    <row r="63330" customFormat="1" x14ac:dyDescent="0.2"/>
    <row r="63331" customFormat="1" x14ac:dyDescent="0.2"/>
    <row r="63332" customFormat="1" x14ac:dyDescent="0.2"/>
    <row r="63333" customFormat="1" x14ac:dyDescent="0.2"/>
    <row r="63334" customFormat="1" x14ac:dyDescent="0.2"/>
    <row r="63335" customFormat="1" x14ac:dyDescent="0.2"/>
    <row r="63336" customFormat="1" x14ac:dyDescent="0.2"/>
    <row r="63337" customFormat="1" x14ac:dyDescent="0.2"/>
    <row r="63338" customFormat="1" x14ac:dyDescent="0.2"/>
    <row r="63339" customFormat="1" x14ac:dyDescent="0.2"/>
    <row r="63340" customFormat="1" x14ac:dyDescent="0.2"/>
    <row r="63341" customFormat="1" x14ac:dyDescent="0.2"/>
    <row r="63342" customFormat="1" x14ac:dyDescent="0.2"/>
    <row r="63343" customFormat="1" x14ac:dyDescent="0.2"/>
    <row r="63344" customFormat="1" x14ac:dyDescent="0.2"/>
    <row r="63345" customFormat="1" x14ac:dyDescent="0.2"/>
    <row r="63346" customFormat="1" x14ac:dyDescent="0.2"/>
    <row r="63347" customFormat="1" x14ac:dyDescent="0.2"/>
    <row r="63348" customFormat="1" x14ac:dyDescent="0.2"/>
    <row r="63349" customFormat="1" x14ac:dyDescent="0.2"/>
    <row r="63350" customFormat="1" x14ac:dyDescent="0.2"/>
    <row r="63351" customFormat="1" x14ac:dyDescent="0.2"/>
    <row r="63352" customFormat="1" x14ac:dyDescent="0.2"/>
    <row r="63353" customFormat="1" x14ac:dyDescent="0.2"/>
    <row r="63354" customFormat="1" x14ac:dyDescent="0.2"/>
    <row r="63355" customFormat="1" x14ac:dyDescent="0.2"/>
    <row r="63356" customFormat="1" x14ac:dyDescent="0.2"/>
    <row r="63357" customFormat="1" x14ac:dyDescent="0.2"/>
    <row r="63358" customFormat="1" x14ac:dyDescent="0.2"/>
    <row r="63359" customFormat="1" x14ac:dyDescent="0.2"/>
    <row r="63360" customFormat="1" x14ac:dyDescent="0.2"/>
    <row r="63361" customFormat="1" x14ac:dyDescent="0.2"/>
    <row r="63362" customFormat="1" x14ac:dyDescent="0.2"/>
    <row r="63363" customFormat="1" x14ac:dyDescent="0.2"/>
    <row r="63364" customFormat="1" x14ac:dyDescent="0.2"/>
    <row r="63365" customFormat="1" x14ac:dyDescent="0.2"/>
    <row r="63366" customFormat="1" x14ac:dyDescent="0.2"/>
    <row r="63367" customFormat="1" x14ac:dyDescent="0.2"/>
    <row r="63368" customFormat="1" x14ac:dyDescent="0.2"/>
    <row r="63369" customFormat="1" x14ac:dyDescent="0.2"/>
    <row r="63370" customFormat="1" x14ac:dyDescent="0.2"/>
    <row r="63371" customFormat="1" x14ac:dyDescent="0.2"/>
    <row r="63372" customFormat="1" x14ac:dyDescent="0.2"/>
    <row r="63373" customFormat="1" x14ac:dyDescent="0.2"/>
    <row r="63374" customFormat="1" x14ac:dyDescent="0.2"/>
    <row r="63375" customFormat="1" x14ac:dyDescent="0.2"/>
    <row r="63376" customFormat="1" x14ac:dyDescent="0.2"/>
    <row r="63377" customFormat="1" x14ac:dyDescent="0.2"/>
    <row r="63378" customFormat="1" x14ac:dyDescent="0.2"/>
    <row r="63379" customFormat="1" x14ac:dyDescent="0.2"/>
    <row r="63380" customFormat="1" x14ac:dyDescent="0.2"/>
    <row r="63381" customFormat="1" x14ac:dyDescent="0.2"/>
    <row r="63382" customFormat="1" x14ac:dyDescent="0.2"/>
    <row r="63383" customFormat="1" x14ac:dyDescent="0.2"/>
    <row r="63384" customFormat="1" x14ac:dyDescent="0.2"/>
    <row r="63385" customFormat="1" x14ac:dyDescent="0.2"/>
    <row r="63386" customFormat="1" x14ac:dyDescent="0.2"/>
    <row r="63387" customFormat="1" x14ac:dyDescent="0.2"/>
    <row r="63388" customFormat="1" x14ac:dyDescent="0.2"/>
    <row r="63389" customFormat="1" x14ac:dyDescent="0.2"/>
    <row r="63390" customFormat="1" x14ac:dyDescent="0.2"/>
    <row r="63391" customFormat="1" x14ac:dyDescent="0.2"/>
    <row r="63392" customFormat="1" x14ac:dyDescent="0.2"/>
    <row r="63393" customFormat="1" x14ac:dyDescent="0.2"/>
    <row r="63394" customFormat="1" x14ac:dyDescent="0.2"/>
    <row r="63395" customFormat="1" x14ac:dyDescent="0.2"/>
    <row r="63396" customFormat="1" x14ac:dyDescent="0.2"/>
    <row r="63397" customFormat="1" x14ac:dyDescent="0.2"/>
    <row r="63398" customFormat="1" x14ac:dyDescent="0.2"/>
    <row r="63399" customFormat="1" x14ac:dyDescent="0.2"/>
    <row r="63400" customFormat="1" x14ac:dyDescent="0.2"/>
    <row r="63401" customFormat="1" x14ac:dyDescent="0.2"/>
    <row r="63402" customFormat="1" x14ac:dyDescent="0.2"/>
    <row r="63403" customFormat="1" x14ac:dyDescent="0.2"/>
    <row r="63404" customFormat="1" x14ac:dyDescent="0.2"/>
    <row r="63405" customFormat="1" x14ac:dyDescent="0.2"/>
    <row r="63406" customFormat="1" x14ac:dyDescent="0.2"/>
    <row r="63407" customFormat="1" x14ac:dyDescent="0.2"/>
    <row r="63408" customFormat="1" x14ac:dyDescent="0.2"/>
    <row r="63409" customFormat="1" x14ac:dyDescent="0.2"/>
    <row r="63410" customFormat="1" x14ac:dyDescent="0.2"/>
    <row r="63411" customFormat="1" x14ac:dyDescent="0.2"/>
    <row r="63412" customFormat="1" x14ac:dyDescent="0.2"/>
    <row r="63413" customFormat="1" x14ac:dyDescent="0.2"/>
    <row r="63414" customFormat="1" x14ac:dyDescent="0.2"/>
    <row r="63415" customFormat="1" x14ac:dyDescent="0.2"/>
    <row r="63416" customFormat="1" x14ac:dyDescent="0.2"/>
    <row r="63417" customFormat="1" x14ac:dyDescent="0.2"/>
    <row r="63418" customFormat="1" x14ac:dyDescent="0.2"/>
    <row r="63419" customFormat="1" x14ac:dyDescent="0.2"/>
    <row r="63420" customFormat="1" x14ac:dyDescent="0.2"/>
    <row r="63421" customFormat="1" x14ac:dyDescent="0.2"/>
    <row r="63422" customFormat="1" x14ac:dyDescent="0.2"/>
    <row r="63423" customFormat="1" x14ac:dyDescent="0.2"/>
    <row r="63424" customFormat="1" x14ac:dyDescent="0.2"/>
    <row r="63425" customFormat="1" x14ac:dyDescent="0.2"/>
    <row r="63426" customFormat="1" x14ac:dyDescent="0.2"/>
    <row r="63427" customFormat="1" x14ac:dyDescent="0.2"/>
    <row r="63428" customFormat="1" x14ac:dyDescent="0.2"/>
    <row r="63429" customFormat="1" x14ac:dyDescent="0.2"/>
    <row r="63430" customFormat="1" x14ac:dyDescent="0.2"/>
    <row r="63431" customFormat="1" x14ac:dyDescent="0.2"/>
    <row r="63432" customFormat="1" x14ac:dyDescent="0.2"/>
    <row r="63433" customFormat="1" x14ac:dyDescent="0.2"/>
    <row r="63434" customFormat="1" x14ac:dyDescent="0.2"/>
    <row r="63435" customFormat="1" x14ac:dyDescent="0.2"/>
    <row r="63436" customFormat="1" x14ac:dyDescent="0.2"/>
    <row r="63437" customFormat="1" x14ac:dyDescent="0.2"/>
    <row r="63438" customFormat="1" x14ac:dyDescent="0.2"/>
    <row r="63439" customFormat="1" x14ac:dyDescent="0.2"/>
    <row r="63440" customFormat="1" x14ac:dyDescent="0.2"/>
    <row r="63441" customFormat="1" x14ac:dyDescent="0.2"/>
    <row r="63442" customFormat="1" x14ac:dyDescent="0.2"/>
    <row r="63443" customFormat="1" x14ac:dyDescent="0.2"/>
    <row r="63444" customFormat="1" x14ac:dyDescent="0.2"/>
    <row r="63445" customFormat="1" x14ac:dyDescent="0.2"/>
    <row r="63446" customFormat="1" x14ac:dyDescent="0.2"/>
    <row r="63447" customFormat="1" x14ac:dyDescent="0.2"/>
    <row r="63448" customFormat="1" x14ac:dyDescent="0.2"/>
    <row r="63449" customFormat="1" x14ac:dyDescent="0.2"/>
    <row r="63450" customFormat="1" x14ac:dyDescent="0.2"/>
    <row r="63451" customFormat="1" x14ac:dyDescent="0.2"/>
    <row r="63452" customFormat="1" x14ac:dyDescent="0.2"/>
    <row r="63453" customFormat="1" x14ac:dyDescent="0.2"/>
    <row r="63454" customFormat="1" x14ac:dyDescent="0.2"/>
    <row r="63455" customFormat="1" x14ac:dyDescent="0.2"/>
    <row r="63456" customFormat="1" x14ac:dyDescent="0.2"/>
    <row r="63457" customFormat="1" x14ac:dyDescent="0.2"/>
    <row r="63458" customFormat="1" x14ac:dyDescent="0.2"/>
    <row r="63459" customFormat="1" x14ac:dyDescent="0.2"/>
    <row r="63460" customFormat="1" x14ac:dyDescent="0.2"/>
    <row r="63461" customFormat="1" x14ac:dyDescent="0.2"/>
    <row r="63462" customFormat="1" x14ac:dyDescent="0.2"/>
    <row r="63463" customFormat="1" x14ac:dyDescent="0.2"/>
    <row r="63464" customFormat="1" x14ac:dyDescent="0.2"/>
    <row r="63465" customFormat="1" x14ac:dyDescent="0.2"/>
    <row r="63466" customFormat="1" x14ac:dyDescent="0.2"/>
    <row r="63467" customFormat="1" x14ac:dyDescent="0.2"/>
    <row r="63468" customFormat="1" x14ac:dyDescent="0.2"/>
    <row r="63469" customFormat="1" x14ac:dyDescent="0.2"/>
    <row r="63470" customFormat="1" x14ac:dyDescent="0.2"/>
    <row r="63471" customFormat="1" x14ac:dyDescent="0.2"/>
    <row r="63472" customFormat="1" x14ac:dyDescent="0.2"/>
    <row r="63473" customFormat="1" x14ac:dyDescent="0.2"/>
    <row r="63474" customFormat="1" x14ac:dyDescent="0.2"/>
    <row r="63475" customFormat="1" x14ac:dyDescent="0.2"/>
    <row r="63476" customFormat="1" x14ac:dyDescent="0.2"/>
    <row r="63477" customFormat="1" x14ac:dyDescent="0.2"/>
    <row r="63478" customFormat="1" x14ac:dyDescent="0.2"/>
    <row r="63479" customFormat="1" x14ac:dyDescent="0.2"/>
    <row r="63480" customFormat="1" x14ac:dyDescent="0.2"/>
    <row r="63481" customFormat="1" x14ac:dyDescent="0.2"/>
    <row r="63482" customFormat="1" x14ac:dyDescent="0.2"/>
    <row r="63483" customFormat="1" x14ac:dyDescent="0.2"/>
    <row r="63484" customFormat="1" x14ac:dyDescent="0.2"/>
    <row r="63485" customFormat="1" x14ac:dyDescent="0.2"/>
    <row r="63486" customFormat="1" x14ac:dyDescent="0.2"/>
    <row r="63487" customFormat="1" x14ac:dyDescent="0.2"/>
    <row r="63488" customFormat="1" x14ac:dyDescent="0.2"/>
    <row r="63489" customFormat="1" x14ac:dyDescent="0.2"/>
    <row r="63490" customFormat="1" x14ac:dyDescent="0.2"/>
    <row r="63491" customFormat="1" x14ac:dyDescent="0.2"/>
    <row r="63492" customFormat="1" x14ac:dyDescent="0.2"/>
    <row r="63493" customFormat="1" x14ac:dyDescent="0.2"/>
    <row r="63494" customFormat="1" x14ac:dyDescent="0.2"/>
    <row r="63495" customFormat="1" x14ac:dyDescent="0.2"/>
    <row r="63496" customFormat="1" x14ac:dyDescent="0.2"/>
    <row r="63497" customFormat="1" x14ac:dyDescent="0.2"/>
    <row r="63498" customFormat="1" x14ac:dyDescent="0.2"/>
    <row r="63499" customFormat="1" x14ac:dyDescent="0.2"/>
    <row r="63500" customFormat="1" x14ac:dyDescent="0.2"/>
    <row r="63501" customFormat="1" x14ac:dyDescent="0.2"/>
    <row r="63502" customFormat="1" x14ac:dyDescent="0.2"/>
    <row r="63503" customFormat="1" x14ac:dyDescent="0.2"/>
    <row r="63504" customFormat="1" x14ac:dyDescent="0.2"/>
    <row r="63505" customFormat="1" x14ac:dyDescent="0.2"/>
    <row r="63506" customFormat="1" x14ac:dyDescent="0.2"/>
    <row r="63507" customFormat="1" x14ac:dyDescent="0.2"/>
    <row r="63508" customFormat="1" x14ac:dyDescent="0.2"/>
    <row r="63509" customFormat="1" x14ac:dyDescent="0.2"/>
    <row r="63510" customFormat="1" x14ac:dyDescent="0.2"/>
    <row r="63511" customFormat="1" x14ac:dyDescent="0.2"/>
    <row r="63512" customFormat="1" x14ac:dyDescent="0.2"/>
    <row r="63513" customFormat="1" x14ac:dyDescent="0.2"/>
    <row r="63514" customFormat="1" x14ac:dyDescent="0.2"/>
    <row r="63515" customFormat="1" x14ac:dyDescent="0.2"/>
    <row r="63516" customFormat="1" x14ac:dyDescent="0.2"/>
    <row r="63517" customFormat="1" x14ac:dyDescent="0.2"/>
    <row r="63518" customFormat="1" x14ac:dyDescent="0.2"/>
    <row r="63519" customFormat="1" x14ac:dyDescent="0.2"/>
    <row r="63520" customFormat="1" x14ac:dyDescent="0.2"/>
    <row r="63521" customFormat="1" x14ac:dyDescent="0.2"/>
    <row r="63522" customFormat="1" x14ac:dyDescent="0.2"/>
    <row r="63523" customFormat="1" x14ac:dyDescent="0.2"/>
    <row r="63524" customFormat="1" x14ac:dyDescent="0.2"/>
    <row r="63525" customFormat="1" x14ac:dyDescent="0.2"/>
    <row r="63526" customFormat="1" x14ac:dyDescent="0.2"/>
    <row r="63527" customFormat="1" x14ac:dyDescent="0.2"/>
    <row r="63528" customFormat="1" x14ac:dyDescent="0.2"/>
    <row r="63529" customFormat="1" x14ac:dyDescent="0.2"/>
    <row r="63530" customFormat="1" x14ac:dyDescent="0.2"/>
    <row r="63531" customFormat="1" x14ac:dyDescent="0.2"/>
    <row r="63532" customFormat="1" x14ac:dyDescent="0.2"/>
    <row r="63533" customFormat="1" x14ac:dyDescent="0.2"/>
    <row r="63534" customFormat="1" x14ac:dyDescent="0.2"/>
    <row r="63535" customFormat="1" x14ac:dyDescent="0.2"/>
    <row r="63536" customFormat="1" x14ac:dyDescent="0.2"/>
    <row r="63537" customFormat="1" x14ac:dyDescent="0.2"/>
    <row r="63538" customFormat="1" x14ac:dyDescent="0.2"/>
    <row r="63539" customFormat="1" x14ac:dyDescent="0.2"/>
    <row r="63540" customFormat="1" x14ac:dyDescent="0.2"/>
    <row r="63541" customFormat="1" x14ac:dyDescent="0.2"/>
    <row r="63542" customFormat="1" x14ac:dyDescent="0.2"/>
    <row r="63543" customFormat="1" x14ac:dyDescent="0.2"/>
    <row r="63544" customFormat="1" x14ac:dyDescent="0.2"/>
    <row r="63545" customFormat="1" x14ac:dyDescent="0.2"/>
    <row r="63546" customFormat="1" x14ac:dyDescent="0.2"/>
    <row r="63547" customFormat="1" x14ac:dyDescent="0.2"/>
    <row r="63548" customFormat="1" x14ac:dyDescent="0.2"/>
    <row r="63549" customFormat="1" x14ac:dyDescent="0.2"/>
    <row r="63550" customFormat="1" x14ac:dyDescent="0.2"/>
    <row r="63551" customFormat="1" x14ac:dyDescent="0.2"/>
    <row r="63552" customFormat="1" x14ac:dyDescent="0.2"/>
    <row r="63553" customFormat="1" x14ac:dyDescent="0.2"/>
    <row r="63554" customFormat="1" x14ac:dyDescent="0.2"/>
    <row r="63555" customFormat="1" x14ac:dyDescent="0.2"/>
    <row r="63556" customFormat="1" x14ac:dyDescent="0.2"/>
    <row r="63557" customFormat="1" x14ac:dyDescent="0.2"/>
    <row r="63558" customFormat="1" x14ac:dyDescent="0.2"/>
    <row r="63559" customFormat="1" x14ac:dyDescent="0.2"/>
    <row r="63560" customFormat="1" x14ac:dyDescent="0.2"/>
    <row r="63561" customFormat="1" x14ac:dyDescent="0.2"/>
    <row r="63562" customFormat="1" x14ac:dyDescent="0.2"/>
    <row r="63563" customFormat="1" x14ac:dyDescent="0.2"/>
    <row r="63564" customFormat="1" x14ac:dyDescent="0.2"/>
    <row r="63565" customFormat="1" x14ac:dyDescent="0.2"/>
    <row r="63566" customFormat="1" x14ac:dyDescent="0.2"/>
    <row r="63567" customFormat="1" x14ac:dyDescent="0.2"/>
    <row r="63568" customFormat="1" x14ac:dyDescent="0.2"/>
    <row r="63569" customFormat="1" x14ac:dyDescent="0.2"/>
    <row r="63570" customFormat="1" x14ac:dyDescent="0.2"/>
    <row r="63571" customFormat="1" x14ac:dyDescent="0.2"/>
    <row r="63572" customFormat="1" x14ac:dyDescent="0.2"/>
    <row r="63573" customFormat="1" x14ac:dyDescent="0.2"/>
    <row r="63574" customFormat="1" x14ac:dyDescent="0.2"/>
    <row r="63575" customFormat="1" x14ac:dyDescent="0.2"/>
    <row r="63576" customFormat="1" x14ac:dyDescent="0.2"/>
    <row r="63577" customFormat="1" x14ac:dyDescent="0.2"/>
    <row r="63578" customFormat="1" x14ac:dyDescent="0.2"/>
    <row r="63579" customFormat="1" x14ac:dyDescent="0.2"/>
    <row r="63580" customFormat="1" x14ac:dyDescent="0.2"/>
    <row r="63581" customFormat="1" x14ac:dyDescent="0.2"/>
    <row r="63582" customFormat="1" x14ac:dyDescent="0.2"/>
    <row r="63583" customFormat="1" x14ac:dyDescent="0.2"/>
    <row r="63584" customFormat="1" x14ac:dyDescent="0.2"/>
    <row r="63585" customFormat="1" x14ac:dyDescent="0.2"/>
    <row r="63586" customFormat="1" x14ac:dyDescent="0.2"/>
    <row r="63587" customFormat="1" x14ac:dyDescent="0.2"/>
    <row r="63588" customFormat="1" x14ac:dyDescent="0.2"/>
    <row r="63589" customFormat="1" x14ac:dyDescent="0.2"/>
    <row r="63590" customFormat="1" x14ac:dyDescent="0.2"/>
    <row r="63591" customFormat="1" x14ac:dyDescent="0.2"/>
    <row r="63592" customFormat="1" x14ac:dyDescent="0.2"/>
    <row r="63593" customFormat="1" x14ac:dyDescent="0.2"/>
    <row r="63594" customFormat="1" x14ac:dyDescent="0.2"/>
    <row r="63595" customFormat="1" x14ac:dyDescent="0.2"/>
    <row r="63596" customFormat="1" x14ac:dyDescent="0.2"/>
    <row r="63597" customFormat="1" x14ac:dyDescent="0.2"/>
    <row r="63598" customFormat="1" x14ac:dyDescent="0.2"/>
    <row r="63599" customFormat="1" x14ac:dyDescent="0.2"/>
    <row r="63600" customFormat="1" x14ac:dyDescent="0.2"/>
    <row r="63601" customFormat="1" x14ac:dyDescent="0.2"/>
    <row r="63602" customFormat="1" x14ac:dyDescent="0.2"/>
    <row r="63603" customFormat="1" x14ac:dyDescent="0.2"/>
    <row r="63604" customFormat="1" x14ac:dyDescent="0.2"/>
    <row r="63605" customFormat="1" x14ac:dyDescent="0.2"/>
    <row r="63606" customFormat="1" x14ac:dyDescent="0.2"/>
    <row r="63607" customFormat="1" x14ac:dyDescent="0.2"/>
    <row r="63608" customFormat="1" x14ac:dyDescent="0.2"/>
    <row r="63609" customFormat="1" x14ac:dyDescent="0.2"/>
    <row r="63610" customFormat="1" x14ac:dyDescent="0.2"/>
    <row r="63611" customFormat="1" x14ac:dyDescent="0.2"/>
    <row r="63612" customFormat="1" x14ac:dyDescent="0.2"/>
    <row r="63613" customFormat="1" x14ac:dyDescent="0.2"/>
    <row r="63614" customFormat="1" x14ac:dyDescent="0.2"/>
    <row r="63615" customFormat="1" x14ac:dyDescent="0.2"/>
    <row r="63616" customFormat="1" x14ac:dyDescent="0.2"/>
    <row r="63617" customFormat="1" x14ac:dyDescent="0.2"/>
    <row r="63618" customFormat="1" x14ac:dyDescent="0.2"/>
    <row r="63619" customFormat="1" x14ac:dyDescent="0.2"/>
    <row r="63620" customFormat="1" x14ac:dyDescent="0.2"/>
    <row r="63621" customFormat="1" x14ac:dyDescent="0.2"/>
    <row r="63622" customFormat="1" x14ac:dyDescent="0.2"/>
    <row r="63623" customFormat="1" x14ac:dyDescent="0.2"/>
    <row r="63624" customFormat="1" x14ac:dyDescent="0.2"/>
    <row r="63625" customFormat="1" x14ac:dyDescent="0.2"/>
    <row r="63626" customFormat="1" x14ac:dyDescent="0.2"/>
    <row r="63627" customFormat="1" x14ac:dyDescent="0.2"/>
    <row r="63628" customFormat="1" x14ac:dyDescent="0.2"/>
    <row r="63629" customFormat="1" x14ac:dyDescent="0.2"/>
    <row r="63630" customFormat="1" x14ac:dyDescent="0.2"/>
    <row r="63631" customFormat="1" x14ac:dyDescent="0.2"/>
    <row r="63632" customFormat="1" x14ac:dyDescent="0.2"/>
    <row r="63633" customFormat="1" x14ac:dyDescent="0.2"/>
    <row r="63634" customFormat="1" x14ac:dyDescent="0.2"/>
    <row r="63635" customFormat="1" x14ac:dyDescent="0.2"/>
    <row r="63636" customFormat="1" x14ac:dyDescent="0.2"/>
    <row r="63637" customFormat="1" x14ac:dyDescent="0.2"/>
    <row r="63638" customFormat="1" x14ac:dyDescent="0.2"/>
    <row r="63639" customFormat="1" x14ac:dyDescent="0.2"/>
    <row r="63640" customFormat="1" x14ac:dyDescent="0.2"/>
    <row r="63641" customFormat="1" x14ac:dyDescent="0.2"/>
    <row r="63642" customFormat="1" x14ac:dyDescent="0.2"/>
    <row r="63643" customFormat="1" x14ac:dyDescent="0.2"/>
    <row r="63644" customFormat="1" x14ac:dyDescent="0.2"/>
    <row r="63645" customFormat="1" x14ac:dyDescent="0.2"/>
    <row r="63646" customFormat="1" x14ac:dyDescent="0.2"/>
    <row r="63647" customFormat="1" x14ac:dyDescent="0.2"/>
    <row r="63648" customFormat="1" x14ac:dyDescent="0.2"/>
    <row r="63649" customFormat="1" x14ac:dyDescent="0.2"/>
    <row r="63650" customFormat="1" x14ac:dyDescent="0.2"/>
    <row r="63651" customFormat="1" x14ac:dyDescent="0.2"/>
    <row r="63652" customFormat="1" x14ac:dyDescent="0.2"/>
    <row r="63653" customFormat="1" x14ac:dyDescent="0.2"/>
    <row r="63654" customFormat="1" x14ac:dyDescent="0.2"/>
    <row r="63655" customFormat="1" x14ac:dyDescent="0.2"/>
    <row r="63656" customFormat="1" x14ac:dyDescent="0.2"/>
    <row r="63657" customFormat="1" x14ac:dyDescent="0.2"/>
    <row r="63658" customFormat="1" x14ac:dyDescent="0.2"/>
    <row r="63659" customFormat="1" x14ac:dyDescent="0.2"/>
    <row r="63660" customFormat="1" x14ac:dyDescent="0.2"/>
    <row r="63661" customFormat="1" x14ac:dyDescent="0.2"/>
    <row r="63662" customFormat="1" x14ac:dyDescent="0.2"/>
    <row r="63663" customFormat="1" x14ac:dyDescent="0.2"/>
    <row r="63664" customFormat="1" x14ac:dyDescent="0.2"/>
    <row r="63665" customFormat="1" x14ac:dyDescent="0.2"/>
    <row r="63666" customFormat="1" x14ac:dyDescent="0.2"/>
    <row r="63667" customFormat="1" x14ac:dyDescent="0.2"/>
    <row r="63668" customFormat="1" x14ac:dyDescent="0.2"/>
    <row r="63669" customFormat="1" x14ac:dyDescent="0.2"/>
    <row r="63670" customFormat="1" x14ac:dyDescent="0.2"/>
    <row r="63671" customFormat="1" x14ac:dyDescent="0.2"/>
    <row r="63672" customFormat="1" x14ac:dyDescent="0.2"/>
    <row r="63673" customFormat="1" x14ac:dyDescent="0.2"/>
    <row r="63674" customFormat="1" x14ac:dyDescent="0.2"/>
    <row r="63675" customFormat="1" x14ac:dyDescent="0.2"/>
    <row r="63676" customFormat="1" x14ac:dyDescent="0.2"/>
    <row r="63677" customFormat="1" x14ac:dyDescent="0.2"/>
    <row r="63678" customFormat="1" x14ac:dyDescent="0.2"/>
    <row r="63679" customFormat="1" x14ac:dyDescent="0.2"/>
    <row r="63680" customFormat="1" x14ac:dyDescent="0.2"/>
    <row r="63681" customFormat="1" x14ac:dyDescent="0.2"/>
    <row r="63682" customFormat="1" x14ac:dyDescent="0.2"/>
    <row r="63683" customFormat="1" x14ac:dyDescent="0.2"/>
    <row r="63684" customFormat="1" x14ac:dyDescent="0.2"/>
    <row r="63685" customFormat="1" x14ac:dyDescent="0.2"/>
    <row r="63686" customFormat="1" x14ac:dyDescent="0.2"/>
    <row r="63687" customFormat="1" x14ac:dyDescent="0.2"/>
    <row r="63688" customFormat="1" x14ac:dyDescent="0.2"/>
    <row r="63689" customFormat="1" x14ac:dyDescent="0.2"/>
    <row r="63690" customFormat="1" x14ac:dyDescent="0.2"/>
    <row r="63691" customFormat="1" x14ac:dyDescent="0.2"/>
    <row r="63692" customFormat="1" x14ac:dyDescent="0.2"/>
    <row r="63693" customFormat="1" x14ac:dyDescent="0.2"/>
    <row r="63694" customFormat="1" x14ac:dyDescent="0.2"/>
    <row r="63695" customFormat="1" x14ac:dyDescent="0.2"/>
    <row r="63696" customFormat="1" x14ac:dyDescent="0.2"/>
    <row r="63697" customFormat="1" x14ac:dyDescent="0.2"/>
    <row r="63698" customFormat="1" x14ac:dyDescent="0.2"/>
    <row r="63699" customFormat="1" x14ac:dyDescent="0.2"/>
    <row r="63700" customFormat="1" x14ac:dyDescent="0.2"/>
    <row r="63701" customFormat="1" x14ac:dyDescent="0.2"/>
    <row r="63702" customFormat="1" x14ac:dyDescent="0.2"/>
    <row r="63703" customFormat="1" x14ac:dyDescent="0.2"/>
    <row r="63704" customFormat="1" x14ac:dyDescent="0.2"/>
    <row r="63705" customFormat="1" x14ac:dyDescent="0.2"/>
    <row r="63706" customFormat="1" x14ac:dyDescent="0.2"/>
    <row r="63707" customFormat="1" x14ac:dyDescent="0.2"/>
    <row r="63708" customFormat="1" x14ac:dyDescent="0.2"/>
    <row r="63709" customFormat="1" x14ac:dyDescent="0.2"/>
    <row r="63710" customFormat="1" x14ac:dyDescent="0.2"/>
    <row r="63711" customFormat="1" x14ac:dyDescent="0.2"/>
    <row r="63712" customFormat="1" x14ac:dyDescent="0.2"/>
    <row r="63713" customFormat="1" x14ac:dyDescent="0.2"/>
    <row r="63714" customFormat="1" x14ac:dyDescent="0.2"/>
    <row r="63715" customFormat="1" x14ac:dyDescent="0.2"/>
    <row r="63716" customFormat="1" x14ac:dyDescent="0.2"/>
    <row r="63717" customFormat="1" x14ac:dyDescent="0.2"/>
    <row r="63718" customFormat="1" x14ac:dyDescent="0.2"/>
    <row r="63719" customFormat="1" x14ac:dyDescent="0.2"/>
    <row r="63720" customFormat="1" x14ac:dyDescent="0.2"/>
    <row r="63721" customFormat="1" x14ac:dyDescent="0.2"/>
    <row r="63722" customFormat="1" x14ac:dyDescent="0.2"/>
    <row r="63723" customFormat="1" x14ac:dyDescent="0.2"/>
    <row r="63724" customFormat="1" x14ac:dyDescent="0.2"/>
    <row r="63725" customFormat="1" x14ac:dyDescent="0.2"/>
    <row r="63726" customFormat="1" x14ac:dyDescent="0.2"/>
    <row r="63727" customFormat="1" x14ac:dyDescent="0.2"/>
    <row r="63728" customFormat="1" x14ac:dyDescent="0.2"/>
    <row r="63729" customFormat="1" x14ac:dyDescent="0.2"/>
    <row r="63730" customFormat="1" x14ac:dyDescent="0.2"/>
    <row r="63731" customFormat="1" x14ac:dyDescent="0.2"/>
    <row r="63732" customFormat="1" x14ac:dyDescent="0.2"/>
    <row r="63733" customFormat="1" x14ac:dyDescent="0.2"/>
    <row r="63734" customFormat="1" x14ac:dyDescent="0.2"/>
    <row r="63735" customFormat="1" x14ac:dyDescent="0.2"/>
    <row r="63736" customFormat="1" x14ac:dyDescent="0.2"/>
    <row r="63737" customFormat="1" x14ac:dyDescent="0.2"/>
    <row r="63738" customFormat="1" x14ac:dyDescent="0.2"/>
    <row r="63739" customFormat="1" x14ac:dyDescent="0.2"/>
    <row r="63740" customFormat="1" x14ac:dyDescent="0.2"/>
    <row r="63741" customFormat="1" x14ac:dyDescent="0.2"/>
    <row r="63742" customFormat="1" x14ac:dyDescent="0.2"/>
    <row r="63743" customFormat="1" x14ac:dyDescent="0.2"/>
    <row r="63744" customFormat="1" x14ac:dyDescent="0.2"/>
    <row r="63745" customFormat="1" x14ac:dyDescent="0.2"/>
    <row r="63746" customFormat="1" x14ac:dyDescent="0.2"/>
    <row r="63747" customFormat="1" x14ac:dyDescent="0.2"/>
    <row r="63748" customFormat="1" x14ac:dyDescent="0.2"/>
    <row r="63749" customFormat="1" x14ac:dyDescent="0.2"/>
    <row r="63750" customFormat="1" x14ac:dyDescent="0.2"/>
    <row r="63751" customFormat="1" x14ac:dyDescent="0.2"/>
    <row r="63752" customFormat="1" x14ac:dyDescent="0.2"/>
    <row r="63753" customFormat="1" x14ac:dyDescent="0.2"/>
    <row r="63754" customFormat="1" x14ac:dyDescent="0.2"/>
    <row r="63755" customFormat="1" x14ac:dyDescent="0.2"/>
    <row r="63756" customFormat="1" x14ac:dyDescent="0.2"/>
    <row r="63757" customFormat="1" x14ac:dyDescent="0.2"/>
    <row r="63758" customFormat="1" x14ac:dyDescent="0.2"/>
    <row r="63759" customFormat="1" x14ac:dyDescent="0.2"/>
    <row r="63760" customFormat="1" x14ac:dyDescent="0.2"/>
    <row r="63761" customFormat="1" x14ac:dyDescent="0.2"/>
    <row r="63762" customFormat="1" x14ac:dyDescent="0.2"/>
    <row r="63763" customFormat="1" x14ac:dyDescent="0.2"/>
    <row r="63764" customFormat="1" x14ac:dyDescent="0.2"/>
    <row r="63765" customFormat="1" x14ac:dyDescent="0.2"/>
    <row r="63766" customFormat="1" x14ac:dyDescent="0.2"/>
    <row r="63767" customFormat="1" x14ac:dyDescent="0.2"/>
    <row r="63768" customFormat="1" x14ac:dyDescent="0.2"/>
    <row r="63769" customFormat="1" x14ac:dyDescent="0.2"/>
    <row r="63770" customFormat="1" x14ac:dyDescent="0.2"/>
    <row r="63771" customFormat="1" x14ac:dyDescent="0.2"/>
    <row r="63772" customFormat="1" x14ac:dyDescent="0.2"/>
    <row r="63773" customFormat="1" x14ac:dyDescent="0.2"/>
    <row r="63774" customFormat="1" x14ac:dyDescent="0.2"/>
    <row r="63775" customFormat="1" x14ac:dyDescent="0.2"/>
    <row r="63776" customFormat="1" x14ac:dyDescent="0.2"/>
    <row r="63777" customFormat="1" x14ac:dyDescent="0.2"/>
    <row r="63778" customFormat="1" x14ac:dyDescent="0.2"/>
    <row r="63779" customFormat="1" x14ac:dyDescent="0.2"/>
    <row r="63780" customFormat="1" x14ac:dyDescent="0.2"/>
    <row r="63781" customFormat="1" x14ac:dyDescent="0.2"/>
    <row r="63782" customFormat="1" x14ac:dyDescent="0.2"/>
    <row r="63783" customFormat="1" x14ac:dyDescent="0.2"/>
    <row r="63784" customFormat="1" x14ac:dyDescent="0.2"/>
    <row r="63785" customFormat="1" x14ac:dyDescent="0.2"/>
    <row r="63786" customFormat="1" x14ac:dyDescent="0.2"/>
    <row r="63787" customFormat="1" x14ac:dyDescent="0.2"/>
    <row r="63788" customFormat="1" x14ac:dyDescent="0.2"/>
    <row r="63789" customFormat="1" x14ac:dyDescent="0.2"/>
    <row r="63790" customFormat="1" x14ac:dyDescent="0.2"/>
    <row r="63791" customFormat="1" x14ac:dyDescent="0.2"/>
    <row r="63792" customFormat="1" x14ac:dyDescent="0.2"/>
    <row r="63793" customFormat="1" x14ac:dyDescent="0.2"/>
    <row r="63794" customFormat="1" x14ac:dyDescent="0.2"/>
    <row r="63795" customFormat="1" x14ac:dyDescent="0.2"/>
    <row r="63796" customFormat="1" x14ac:dyDescent="0.2"/>
    <row r="63797" customFormat="1" x14ac:dyDescent="0.2"/>
    <row r="63798" customFormat="1" x14ac:dyDescent="0.2"/>
    <row r="63799" customFormat="1" x14ac:dyDescent="0.2"/>
    <row r="63800" customFormat="1" x14ac:dyDescent="0.2"/>
    <row r="63801" customFormat="1" x14ac:dyDescent="0.2"/>
    <row r="63802" customFormat="1" x14ac:dyDescent="0.2"/>
    <row r="63803" customFormat="1" x14ac:dyDescent="0.2"/>
    <row r="63804" customFormat="1" x14ac:dyDescent="0.2"/>
    <row r="63805" customFormat="1" x14ac:dyDescent="0.2"/>
    <row r="63806" customFormat="1" x14ac:dyDescent="0.2"/>
    <row r="63807" customFormat="1" x14ac:dyDescent="0.2"/>
    <row r="63808" customFormat="1" x14ac:dyDescent="0.2"/>
    <row r="63809" customFormat="1" x14ac:dyDescent="0.2"/>
    <row r="63810" customFormat="1" x14ac:dyDescent="0.2"/>
    <row r="63811" customFormat="1" x14ac:dyDescent="0.2"/>
    <row r="63812" customFormat="1" x14ac:dyDescent="0.2"/>
    <row r="63813" customFormat="1" x14ac:dyDescent="0.2"/>
    <row r="63814" customFormat="1" x14ac:dyDescent="0.2"/>
    <row r="63815" customFormat="1" x14ac:dyDescent="0.2"/>
    <row r="63816" customFormat="1" x14ac:dyDescent="0.2"/>
    <row r="63817" customFormat="1" x14ac:dyDescent="0.2"/>
    <row r="63818" customFormat="1" x14ac:dyDescent="0.2"/>
    <row r="63819" customFormat="1" x14ac:dyDescent="0.2"/>
    <row r="63820" customFormat="1" x14ac:dyDescent="0.2"/>
    <row r="63821" customFormat="1" x14ac:dyDescent="0.2"/>
    <row r="63822" customFormat="1" x14ac:dyDescent="0.2"/>
    <row r="63823" customFormat="1" x14ac:dyDescent="0.2"/>
    <row r="63824" customFormat="1" x14ac:dyDescent="0.2"/>
    <row r="63825" customFormat="1" x14ac:dyDescent="0.2"/>
    <row r="63826" customFormat="1" x14ac:dyDescent="0.2"/>
    <row r="63827" customFormat="1" x14ac:dyDescent="0.2"/>
    <row r="63828" customFormat="1" x14ac:dyDescent="0.2"/>
    <row r="63829" customFormat="1" x14ac:dyDescent="0.2"/>
    <row r="63830" customFormat="1" x14ac:dyDescent="0.2"/>
    <row r="63831" customFormat="1" x14ac:dyDescent="0.2"/>
    <row r="63832" customFormat="1" x14ac:dyDescent="0.2"/>
    <row r="63833" customFormat="1" x14ac:dyDescent="0.2"/>
    <row r="63834" customFormat="1" x14ac:dyDescent="0.2"/>
    <row r="63835" customFormat="1" x14ac:dyDescent="0.2"/>
    <row r="63836" customFormat="1" x14ac:dyDescent="0.2"/>
    <row r="63837" customFormat="1" x14ac:dyDescent="0.2"/>
    <row r="63838" customFormat="1" x14ac:dyDescent="0.2"/>
    <row r="63839" customFormat="1" x14ac:dyDescent="0.2"/>
    <row r="63840" customFormat="1" x14ac:dyDescent="0.2"/>
    <row r="63841" customFormat="1" x14ac:dyDescent="0.2"/>
    <row r="63842" customFormat="1" x14ac:dyDescent="0.2"/>
    <row r="63843" customFormat="1" x14ac:dyDescent="0.2"/>
    <row r="63844" customFormat="1" x14ac:dyDescent="0.2"/>
    <row r="63845" customFormat="1" x14ac:dyDescent="0.2"/>
    <row r="63846" customFormat="1" x14ac:dyDescent="0.2"/>
    <row r="63847" customFormat="1" x14ac:dyDescent="0.2"/>
    <row r="63848" customFormat="1" x14ac:dyDescent="0.2"/>
    <row r="63849" customFormat="1" x14ac:dyDescent="0.2"/>
    <row r="63850" customFormat="1" x14ac:dyDescent="0.2"/>
    <row r="63851" customFormat="1" x14ac:dyDescent="0.2"/>
    <row r="63852" customFormat="1" x14ac:dyDescent="0.2"/>
    <row r="63853" customFormat="1" x14ac:dyDescent="0.2"/>
    <row r="63854" customFormat="1" x14ac:dyDescent="0.2"/>
    <row r="63855" customFormat="1" x14ac:dyDescent="0.2"/>
    <row r="63856" customFormat="1" x14ac:dyDescent="0.2"/>
    <row r="63857" customFormat="1" x14ac:dyDescent="0.2"/>
    <row r="63858" customFormat="1" x14ac:dyDescent="0.2"/>
    <row r="63859" customFormat="1" x14ac:dyDescent="0.2"/>
    <row r="63860" customFormat="1" x14ac:dyDescent="0.2"/>
    <row r="63861" customFormat="1" x14ac:dyDescent="0.2"/>
    <row r="63862" customFormat="1" x14ac:dyDescent="0.2"/>
    <row r="63863" customFormat="1" x14ac:dyDescent="0.2"/>
    <row r="63864" customFormat="1" x14ac:dyDescent="0.2"/>
    <row r="63865" customFormat="1" x14ac:dyDescent="0.2"/>
    <row r="63866" customFormat="1" x14ac:dyDescent="0.2"/>
    <row r="63867" customFormat="1" x14ac:dyDescent="0.2"/>
    <row r="63868" customFormat="1" x14ac:dyDescent="0.2"/>
    <row r="63869" customFormat="1" x14ac:dyDescent="0.2"/>
    <row r="63870" customFormat="1" x14ac:dyDescent="0.2"/>
    <row r="63871" customFormat="1" x14ac:dyDescent="0.2"/>
    <row r="63872" customFormat="1" x14ac:dyDescent="0.2"/>
    <row r="63873" customFormat="1" x14ac:dyDescent="0.2"/>
    <row r="63874" customFormat="1" x14ac:dyDescent="0.2"/>
    <row r="63875" customFormat="1" x14ac:dyDescent="0.2"/>
    <row r="63876" customFormat="1" x14ac:dyDescent="0.2"/>
    <row r="63877" customFormat="1" x14ac:dyDescent="0.2"/>
    <row r="63878" customFormat="1" x14ac:dyDescent="0.2"/>
    <row r="63879" customFormat="1" x14ac:dyDescent="0.2"/>
    <row r="63880" customFormat="1" x14ac:dyDescent="0.2"/>
    <row r="63881" customFormat="1" x14ac:dyDescent="0.2"/>
    <row r="63882" customFormat="1" x14ac:dyDescent="0.2"/>
    <row r="63883" customFormat="1" x14ac:dyDescent="0.2"/>
    <row r="63884" customFormat="1" x14ac:dyDescent="0.2"/>
    <row r="63885" customFormat="1" x14ac:dyDescent="0.2"/>
    <row r="63886" customFormat="1" x14ac:dyDescent="0.2"/>
    <row r="63887" customFormat="1" x14ac:dyDescent="0.2"/>
    <row r="63888" customFormat="1" x14ac:dyDescent="0.2"/>
    <row r="63889" customFormat="1" x14ac:dyDescent="0.2"/>
    <row r="63890" customFormat="1" x14ac:dyDescent="0.2"/>
    <row r="63891" customFormat="1" x14ac:dyDescent="0.2"/>
    <row r="63892" customFormat="1" x14ac:dyDescent="0.2"/>
    <row r="63893" customFormat="1" x14ac:dyDescent="0.2"/>
    <row r="63894" customFormat="1" x14ac:dyDescent="0.2"/>
    <row r="63895" customFormat="1" x14ac:dyDescent="0.2"/>
    <row r="63896" customFormat="1" x14ac:dyDescent="0.2"/>
    <row r="63897" customFormat="1" x14ac:dyDescent="0.2"/>
    <row r="63898" customFormat="1" x14ac:dyDescent="0.2"/>
    <row r="63899" customFormat="1" x14ac:dyDescent="0.2"/>
    <row r="63900" customFormat="1" x14ac:dyDescent="0.2"/>
    <row r="63901" customFormat="1" x14ac:dyDescent="0.2"/>
    <row r="63902" customFormat="1" x14ac:dyDescent="0.2"/>
    <row r="63903" customFormat="1" x14ac:dyDescent="0.2"/>
    <row r="63904" customFormat="1" x14ac:dyDescent="0.2"/>
    <row r="63905" customFormat="1" x14ac:dyDescent="0.2"/>
    <row r="63906" customFormat="1" x14ac:dyDescent="0.2"/>
    <row r="63907" customFormat="1" x14ac:dyDescent="0.2"/>
    <row r="63908" customFormat="1" x14ac:dyDescent="0.2"/>
    <row r="63909" customFormat="1" x14ac:dyDescent="0.2"/>
    <row r="63910" customFormat="1" x14ac:dyDescent="0.2"/>
    <row r="63911" customFormat="1" x14ac:dyDescent="0.2"/>
    <row r="63912" customFormat="1" x14ac:dyDescent="0.2"/>
    <row r="63913" customFormat="1" x14ac:dyDescent="0.2"/>
    <row r="63914" customFormat="1" x14ac:dyDescent="0.2"/>
    <row r="63915" customFormat="1" x14ac:dyDescent="0.2"/>
    <row r="63916" customFormat="1" x14ac:dyDescent="0.2"/>
    <row r="63917" customFormat="1" x14ac:dyDescent="0.2"/>
    <row r="63918" customFormat="1" x14ac:dyDescent="0.2"/>
    <row r="63919" customFormat="1" x14ac:dyDescent="0.2"/>
    <row r="63920" customFormat="1" x14ac:dyDescent="0.2"/>
    <row r="63921" customFormat="1" x14ac:dyDescent="0.2"/>
    <row r="63922" customFormat="1" x14ac:dyDescent="0.2"/>
    <row r="63923" customFormat="1" x14ac:dyDescent="0.2"/>
    <row r="63924" customFormat="1" x14ac:dyDescent="0.2"/>
    <row r="63925" customFormat="1" x14ac:dyDescent="0.2"/>
    <row r="63926" customFormat="1" x14ac:dyDescent="0.2"/>
    <row r="63927" customFormat="1" x14ac:dyDescent="0.2"/>
    <row r="63928" customFormat="1" x14ac:dyDescent="0.2"/>
    <row r="63929" customFormat="1" x14ac:dyDescent="0.2"/>
    <row r="63930" customFormat="1" x14ac:dyDescent="0.2"/>
    <row r="63931" customFormat="1" x14ac:dyDescent="0.2"/>
    <row r="63932" customFormat="1" x14ac:dyDescent="0.2"/>
    <row r="63933" customFormat="1" x14ac:dyDescent="0.2"/>
    <row r="63934" customFormat="1" x14ac:dyDescent="0.2"/>
    <row r="63935" customFormat="1" x14ac:dyDescent="0.2"/>
    <row r="63936" customFormat="1" x14ac:dyDescent="0.2"/>
    <row r="63937" customFormat="1" x14ac:dyDescent="0.2"/>
    <row r="63938" customFormat="1" x14ac:dyDescent="0.2"/>
    <row r="63939" customFormat="1" x14ac:dyDescent="0.2"/>
    <row r="63940" customFormat="1" x14ac:dyDescent="0.2"/>
    <row r="63941" customFormat="1" x14ac:dyDescent="0.2"/>
    <row r="63942" customFormat="1" x14ac:dyDescent="0.2"/>
    <row r="63943" customFormat="1" x14ac:dyDescent="0.2"/>
    <row r="63944" customFormat="1" x14ac:dyDescent="0.2"/>
    <row r="63945" customFormat="1" x14ac:dyDescent="0.2"/>
    <row r="63946" customFormat="1" x14ac:dyDescent="0.2"/>
    <row r="63947" customFormat="1" x14ac:dyDescent="0.2"/>
    <row r="63948" customFormat="1" x14ac:dyDescent="0.2"/>
    <row r="63949" customFormat="1" x14ac:dyDescent="0.2"/>
    <row r="63950" customFormat="1" x14ac:dyDescent="0.2"/>
    <row r="63951" customFormat="1" x14ac:dyDescent="0.2"/>
    <row r="63952" customFormat="1" x14ac:dyDescent="0.2"/>
    <row r="63953" customFormat="1" x14ac:dyDescent="0.2"/>
    <row r="63954" customFormat="1" x14ac:dyDescent="0.2"/>
    <row r="63955" customFormat="1" x14ac:dyDescent="0.2"/>
    <row r="63956" customFormat="1" x14ac:dyDescent="0.2"/>
    <row r="63957" customFormat="1" x14ac:dyDescent="0.2"/>
    <row r="63958" customFormat="1" x14ac:dyDescent="0.2"/>
    <row r="63959" customFormat="1" x14ac:dyDescent="0.2"/>
    <row r="63960" customFormat="1" x14ac:dyDescent="0.2"/>
    <row r="63961" customFormat="1" x14ac:dyDescent="0.2"/>
    <row r="63962" customFormat="1" x14ac:dyDescent="0.2"/>
    <row r="63963" customFormat="1" x14ac:dyDescent="0.2"/>
    <row r="63964" customFormat="1" x14ac:dyDescent="0.2"/>
    <row r="63965" customFormat="1" x14ac:dyDescent="0.2"/>
    <row r="63966" customFormat="1" x14ac:dyDescent="0.2"/>
    <row r="63967" customFormat="1" x14ac:dyDescent="0.2"/>
    <row r="63968" customFormat="1" x14ac:dyDescent="0.2"/>
    <row r="63969" customFormat="1" x14ac:dyDescent="0.2"/>
    <row r="63970" customFormat="1" x14ac:dyDescent="0.2"/>
    <row r="63971" customFormat="1" x14ac:dyDescent="0.2"/>
    <row r="63972" customFormat="1" x14ac:dyDescent="0.2"/>
    <row r="63973" customFormat="1" x14ac:dyDescent="0.2"/>
    <row r="63974" customFormat="1" x14ac:dyDescent="0.2"/>
    <row r="63975" customFormat="1" x14ac:dyDescent="0.2"/>
    <row r="63976" customFormat="1" x14ac:dyDescent="0.2"/>
    <row r="63977" customFormat="1" x14ac:dyDescent="0.2"/>
    <row r="63978" customFormat="1" x14ac:dyDescent="0.2"/>
    <row r="63979" customFormat="1" x14ac:dyDescent="0.2"/>
    <row r="63980" customFormat="1" x14ac:dyDescent="0.2"/>
    <row r="63981" customFormat="1" x14ac:dyDescent="0.2"/>
    <row r="63982" customFormat="1" x14ac:dyDescent="0.2"/>
    <row r="63983" customFormat="1" x14ac:dyDescent="0.2"/>
    <row r="63984" customFormat="1" x14ac:dyDescent="0.2"/>
    <row r="63985" customFormat="1" x14ac:dyDescent="0.2"/>
    <row r="63986" customFormat="1" x14ac:dyDescent="0.2"/>
    <row r="63987" customFormat="1" x14ac:dyDescent="0.2"/>
    <row r="63988" customFormat="1" x14ac:dyDescent="0.2"/>
    <row r="63989" customFormat="1" x14ac:dyDescent="0.2"/>
    <row r="63990" customFormat="1" x14ac:dyDescent="0.2"/>
    <row r="63991" customFormat="1" x14ac:dyDescent="0.2"/>
    <row r="63992" customFormat="1" x14ac:dyDescent="0.2"/>
    <row r="63993" customFormat="1" x14ac:dyDescent="0.2"/>
    <row r="63994" customFormat="1" x14ac:dyDescent="0.2"/>
    <row r="63995" customFormat="1" x14ac:dyDescent="0.2"/>
    <row r="63996" customFormat="1" x14ac:dyDescent="0.2"/>
    <row r="63997" customFormat="1" x14ac:dyDescent="0.2"/>
    <row r="63998" customFormat="1" x14ac:dyDescent="0.2"/>
    <row r="63999" customFormat="1" x14ac:dyDescent="0.2"/>
    <row r="64000" customFormat="1" x14ac:dyDescent="0.2"/>
    <row r="64001" customFormat="1" x14ac:dyDescent="0.2"/>
    <row r="64002" customFormat="1" x14ac:dyDescent="0.2"/>
    <row r="64003" customFormat="1" x14ac:dyDescent="0.2"/>
    <row r="64004" customFormat="1" x14ac:dyDescent="0.2"/>
    <row r="64005" customFormat="1" x14ac:dyDescent="0.2"/>
    <row r="64006" customFormat="1" x14ac:dyDescent="0.2"/>
    <row r="64007" customFormat="1" x14ac:dyDescent="0.2"/>
    <row r="64008" customFormat="1" x14ac:dyDescent="0.2"/>
    <row r="64009" customFormat="1" x14ac:dyDescent="0.2"/>
    <row r="64010" customFormat="1" x14ac:dyDescent="0.2"/>
    <row r="64011" customFormat="1" x14ac:dyDescent="0.2"/>
    <row r="64012" customFormat="1" x14ac:dyDescent="0.2"/>
    <row r="64013" customFormat="1" x14ac:dyDescent="0.2"/>
    <row r="64014" customFormat="1" x14ac:dyDescent="0.2"/>
    <row r="64015" customFormat="1" x14ac:dyDescent="0.2"/>
    <row r="64016" customFormat="1" x14ac:dyDescent="0.2"/>
    <row r="64017" customFormat="1" x14ac:dyDescent="0.2"/>
    <row r="64018" customFormat="1" x14ac:dyDescent="0.2"/>
    <row r="64019" customFormat="1" x14ac:dyDescent="0.2"/>
    <row r="64020" customFormat="1" x14ac:dyDescent="0.2"/>
    <row r="64021" customFormat="1" x14ac:dyDescent="0.2"/>
    <row r="64022" customFormat="1" x14ac:dyDescent="0.2"/>
    <row r="64023" customFormat="1" x14ac:dyDescent="0.2"/>
    <row r="64024" customFormat="1" x14ac:dyDescent="0.2"/>
    <row r="64025" customFormat="1" x14ac:dyDescent="0.2"/>
    <row r="64026" customFormat="1" x14ac:dyDescent="0.2"/>
    <row r="64027" customFormat="1" x14ac:dyDescent="0.2"/>
    <row r="64028" customFormat="1" x14ac:dyDescent="0.2"/>
    <row r="64029" customFormat="1" x14ac:dyDescent="0.2"/>
    <row r="64030" customFormat="1" x14ac:dyDescent="0.2"/>
    <row r="64031" customFormat="1" x14ac:dyDescent="0.2"/>
    <row r="64032" customFormat="1" x14ac:dyDescent="0.2"/>
    <row r="64033" customFormat="1" x14ac:dyDescent="0.2"/>
    <row r="64034" customFormat="1" x14ac:dyDescent="0.2"/>
    <row r="64035" customFormat="1" x14ac:dyDescent="0.2"/>
    <row r="64036" customFormat="1" x14ac:dyDescent="0.2"/>
    <row r="64037" customFormat="1" x14ac:dyDescent="0.2"/>
    <row r="64038" customFormat="1" x14ac:dyDescent="0.2"/>
    <row r="64039" customFormat="1" x14ac:dyDescent="0.2"/>
    <row r="64040" customFormat="1" x14ac:dyDescent="0.2"/>
    <row r="64041" customFormat="1" x14ac:dyDescent="0.2"/>
    <row r="64042" customFormat="1" x14ac:dyDescent="0.2"/>
    <row r="64043" customFormat="1" x14ac:dyDescent="0.2"/>
    <row r="64044" customFormat="1" x14ac:dyDescent="0.2"/>
    <row r="64045" customFormat="1" x14ac:dyDescent="0.2"/>
    <row r="64046" customFormat="1" x14ac:dyDescent="0.2"/>
    <row r="64047" customFormat="1" x14ac:dyDescent="0.2"/>
    <row r="64048" customFormat="1" x14ac:dyDescent="0.2"/>
    <row r="64049" customFormat="1" x14ac:dyDescent="0.2"/>
    <row r="64050" customFormat="1" x14ac:dyDescent="0.2"/>
    <row r="64051" customFormat="1" x14ac:dyDescent="0.2"/>
    <row r="64052" customFormat="1" x14ac:dyDescent="0.2"/>
    <row r="64053" customFormat="1" x14ac:dyDescent="0.2"/>
    <row r="64054" customFormat="1" x14ac:dyDescent="0.2"/>
    <row r="64055" customFormat="1" x14ac:dyDescent="0.2"/>
    <row r="64056" customFormat="1" x14ac:dyDescent="0.2"/>
    <row r="64057" customFormat="1" x14ac:dyDescent="0.2"/>
    <row r="64058" customFormat="1" x14ac:dyDescent="0.2"/>
    <row r="64059" customFormat="1" x14ac:dyDescent="0.2"/>
    <row r="64060" customFormat="1" x14ac:dyDescent="0.2"/>
    <row r="64061" customFormat="1" x14ac:dyDescent="0.2"/>
    <row r="64062" customFormat="1" x14ac:dyDescent="0.2"/>
    <row r="64063" customFormat="1" x14ac:dyDescent="0.2"/>
    <row r="64064" customFormat="1" x14ac:dyDescent="0.2"/>
    <row r="64065" customFormat="1" x14ac:dyDescent="0.2"/>
    <row r="64066" customFormat="1" x14ac:dyDescent="0.2"/>
    <row r="64067" customFormat="1" x14ac:dyDescent="0.2"/>
    <row r="64068" customFormat="1" x14ac:dyDescent="0.2"/>
    <row r="64069" customFormat="1" x14ac:dyDescent="0.2"/>
    <row r="64070" customFormat="1" x14ac:dyDescent="0.2"/>
    <row r="64071" customFormat="1" x14ac:dyDescent="0.2"/>
    <row r="64072" customFormat="1" x14ac:dyDescent="0.2"/>
    <row r="64073" customFormat="1" x14ac:dyDescent="0.2"/>
    <row r="64074" customFormat="1" x14ac:dyDescent="0.2"/>
    <row r="64075" customFormat="1" x14ac:dyDescent="0.2"/>
    <row r="64076" customFormat="1" x14ac:dyDescent="0.2"/>
    <row r="64077" customFormat="1" x14ac:dyDescent="0.2"/>
    <row r="64078" customFormat="1" x14ac:dyDescent="0.2"/>
    <row r="64079" customFormat="1" x14ac:dyDescent="0.2"/>
    <row r="64080" customFormat="1" x14ac:dyDescent="0.2"/>
    <row r="64081" customFormat="1" x14ac:dyDescent="0.2"/>
    <row r="64082" customFormat="1" x14ac:dyDescent="0.2"/>
    <row r="64083" customFormat="1" x14ac:dyDescent="0.2"/>
    <row r="64084" customFormat="1" x14ac:dyDescent="0.2"/>
    <row r="64085" customFormat="1" x14ac:dyDescent="0.2"/>
    <row r="64086" customFormat="1" x14ac:dyDescent="0.2"/>
    <row r="64087" customFormat="1" x14ac:dyDescent="0.2"/>
    <row r="64088" customFormat="1" x14ac:dyDescent="0.2"/>
    <row r="64089" customFormat="1" x14ac:dyDescent="0.2"/>
    <row r="64090" customFormat="1" x14ac:dyDescent="0.2"/>
    <row r="64091" customFormat="1" x14ac:dyDescent="0.2"/>
    <row r="64092" customFormat="1" x14ac:dyDescent="0.2"/>
    <row r="64093" customFormat="1" x14ac:dyDescent="0.2"/>
    <row r="64094" customFormat="1" x14ac:dyDescent="0.2"/>
    <row r="64095" customFormat="1" x14ac:dyDescent="0.2"/>
    <row r="64096" customFormat="1" x14ac:dyDescent="0.2"/>
    <row r="64097" customFormat="1" x14ac:dyDescent="0.2"/>
    <row r="64098" customFormat="1" x14ac:dyDescent="0.2"/>
    <row r="64099" customFormat="1" x14ac:dyDescent="0.2"/>
    <row r="64100" customFormat="1" x14ac:dyDescent="0.2"/>
    <row r="64101" customFormat="1" x14ac:dyDescent="0.2"/>
    <row r="64102" customFormat="1" x14ac:dyDescent="0.2"/>
    <row r="64103" customFormat="1" x14ac:dyDescent="0.2"/>
    <row r="64104" customFormat="1" x14ac:dyDescent="0.2"/>
    <row r="64105" customFormat="1" x14ac:dyDescent="0.2"/>
    <row r="64106" customFormat="1" x14ac:dyDescent="0.2"/>
    <row r="64107" customFormat="1" x14ac:dyDescent="0.2"/>
    <row r="64108" customFormat="1" x14ac:dyDescent="0.2"/>
    <row r="64109" customFormat="1" x14ac:dyDescent="0.2"/>
    <row r="64110" customFormat="1" x14ac:dyDescent="0.2"/>
    <row r="64111" customFormat="1" x14ac:dyDescent="0.2"/>
    <row r="64112" customFormat="1" x14ac:dyDescent="0.2"/>
    <row r="64113" customFormat="1" x14ac:dyDescent="0.2"/>
    <row r="64114" customFormat="1" x14ac:dyDescent="0.2"/>
    <row r="64115" customFormat="1" x14ac:dyDescent="0.2"/>
    <row r="64116" customFormat="1" x14ac:dyDescent="0.2"/>
    <row r="64117" customFormat="1" x14ac:dyDescent="0.2"/>
    <row r="64118" customFormat="1" x14ac:dyDescent="0.2"/>
    <row r="64119" customFormat="1" x14ac:dyDescent="0.2"/>
    <row r="64120" customFormat="1" x14ac:dyDescent="0.2"/>
    <row r="64121" customFormat="1" x14ac:dyDescent="0.2"/>
    <row r="64122" customFormat="1" x14ac:dyDescent="0.2"/>
    <row r="64123" customFormat="1" x14ac:dyDescent="0.2"/>
    <row r="64124" customFormat="1" x14ac:dyDescent="0.2"/>
    <row r="64125" customFormat="1" x14ac:dyDescent="0.2"/>
    <row r="64126" customFormat="1" x14ac:dyDescent="0.2"/>
    <row r="64127" customFormat="1" x14ac:dyDescent="0.2"/>
    <row r="64128" customFormat="1" x14ac:dyDescent="0.2"/>
    <row r="64129" customFormat="1" x14ac:dyDescent="0.2"/>
    <row r="64130" customFormat="1" x14ac:dyDescent="0.2"/>
    <row r="64131" customFormat="1" x14ac:dyDescent="0.2"/>
    <row r="64132" customFormat="1" x14ac:dyDescent="0.2"/>
    <row r="64133" customFormat="1" x14ac:dyDescent="0.2"/>
    <row r="64134" customFormat="1" x14ac:dyDescent="0.2"/>
    <row r="64135" customFormat="1" x14ac:dyDescent="0.2"/>
    <row r="64136" customFormat="1" x14ac:dyDescent="0.2"/>
    <row r="64137" customFormat="1" x14ac:dyDescent="0.2"/>
    <row r="64138" customFormat="1" x14ac:dyDescent="0.2"/>
    <row r="64139" customFormat="1" x14ac:dyDescent="0.2"/>
    <row r="64140" customFormat="1" x14ac:dyDescent="0.2"/>
    <row r="64141" customFormat="1" x14ac:dyDescent="0.2"/>
    <row r="64142" customFormat="1" x14ac:dyDescent="0.2"/>
    <row r="64143" customFormat="1" x14ac:dyDescent="0.2"/>
    <row r="64144" customFormat="1" x14ac:dyDescent="0.2"/>
    <row r="64145" customFormat="1" x14ac:dyDescent="0.2"/>
    <row r="64146" customFormat="1" x14ac:dyDescent="0.2"/>
    <row r="64147" customFormat="1" x14ac:dyDescent="0.2"/>
    <row r="64148" customFormat="1" x14ac:dyDescent="0.2"/>
    <row r="64149" customFormat="1" x14ac:dyDescent="0.2"/>
    <row r="64150" customFormat="1" x14ac:dyDescent="0.2"/>
    <row r="64151" customFormat="1" x14ac:dyDescent="0.2"/>
    <row r="64152" customFormat="1" x14ac:dyDescent="0.2"/>
    <row r="64153" customFormat="1" x14ac:dyDescent="0.2"/>
    <row r="64154" customFormat="1" x14ac:dyDescent="0.2"/>
    <row r="64155" customFormat="1" x14ac:dyDescent="0.2"/>
    <row r="64156" customFormat="1" x14ac:dyDescent="0.2"/>
    <row r="64157" customFormat="1" x14ac:dyDescent="0.2"/>
    <row r="64158" customFormat="1" x14ac:dyDescent="0.2"/>
    <row r="64159" customFormat="1" x14ac:dyDescent="0.2"/>
    <row r="64160" customFormat="1" x14ac:dyDescent="0.2"/>
    <row r="64161" customFormat="1" x14ac:dyDescent="0.2"/>
    <row r="64162" customFormat="1" x14ac:dyDescent="0.2"/>
    <row r="64163" customFormat="1" x14ac:dyDescent="0.2"/>
    <row r="64164" customFormat="1" x14ac:dyDescent="0.2"/>
    <row r="64165" customFormat="1" x14ac:dyDescent="0.2"/>
    <row r="64166" customFormat="1" x14ac:dyDescent="0.2"/>
    <row r="64167" customFormat="1" x14ac:dyDescent="0.2"/>
    <row r="64168" customFormat="1" x14ac:dyDescent="0.2"/>
    <row r="64169" customFormat="1" x14ac:dyDescent="0.2"/>
    <row r="64170" customFormat="1" x14ac:dyDescent="0.2"/>
    <row r="64171" customFormat="1" x14ac:dyDescent="0.2"/>
    <row r="64172" customFormat="1" x14ac:dyDescent="0.2"/>
    <row r="64173" customFormat="1" x14ac:dyDescent="0.2"/>
    <row r="64174" customFormat="1" x14ac:dyDescent="0.2"/>
    <row r="64175" customFormat="1" x14ac:dyDescent="0.2"/>
    <row r="64176" customFormat="1" x14ac:dyDescent="0.2"/>
    <row r="64177" customFormat="1" x14ac:dyDescent="0.2"/>
    <row r="64178" customFormat="1" x14ac:dyDescent="0.2"/>
    <row r="64179" customFormat="1" x14ac:dyDescent="0.2"/>
    <row r="64180" customFormat="1" x14ac:dyDescent="0.2"/>
    <row r="64181" customFormat="1" x14ac:dyDescent="0.2"/>
    <row r="64182" customFormat="1" x14ac:dyDescent="0.2"/>
    <row r="64183" customFormat="1" x14ac:dyDescent="0.2"/>
    <row r="64184" customFormat="1" x14ac:dyDescent="0.2"/>
    <row r="64185" customFormat="1" x14ac:dyDescent="0.2"/>
    <row r="64186" customFormat="1" x14ac:dyDescent="0.2"/>
    <row r="64187" customFormat="1" x14ac:dyDescent="0.2"/>
    <row r="64188" customFormat="1" x14ac:dyDescent="0.2"/>
    <row r="64189" customFormat="1" x14ac:dyDescent="0.2"/>
    <row r="64190" customFormat="1" x14ac:dyDescent="0.2"/>
    <row r="64191" customFormat="1" x14ac:dyDescent="0.2"/>
    <row r="64192" customFormat="1" x14ac:dyDescent="0.2"/>
    <row r="64193" customFormat="1" x14ac:dyDescent="0.2"/>
    <row r="64194" customFormat="1" x14ac:dyDescent="0.2"/>
    <row r="64195" customFormat="1" x14ac:dyDescent="0.2"/>
    <row r="64196" customFormat="1" x14ac:dyDescent="0.2"/>
    <row r="64197" customFormat="1" x14ac:dyDescent="0.2"/>
    <row r="64198" customFormat="1" x14ac:dyDescent="0.2"/>
    <row r="64199" customFormat="1" x14ac:dyDescent="0.2"/>
    <row r="64200" customFormat="1" x14ac:dyDescent="0.2"/>
    <row r="64201" customFormat="1" x14ac:dyDescent="0.2"/>
    <row r="64202" customFormat="1" x14ac:dyDescent="0.2"/>
    <row r="64203" customFormat="1" x14ac:dyDescent="0.2"/>
    <row r="64204" customFormat="1" x14ac:dyDescent="0.2"/>
    <row r="64205" customFormat="1" x14ac:dyDescent="0.2"/>
    <row r="64206" customFormat="1" x14ac:dyDescent="0.2"/>
    <row r="64207" customFormat="1" x14ac:dyDescent="0.2"/>
    <row r="64208" customFormat="1" x14ac:dyDescent="0.2"/>
    <row r="64209" customFormat="1" x14ac:dyDescent="0.2"/>
    <row r="64210" customFormat="1" x14ac:dyDescent="0.2"/>
    <row r="64211" customFormat="1" x14ac:dyDescent="0.2"/>
    <row r="64212" customFormat="1" x14ac:dyDescent="0.2"/>
    <row r="64213" customFormat="1" x14ac:dyDescent="0.2"/>
    <row r="64214" customFormat="1" x14ac:dyDescent="0.2"/>
    <row r="64215" customFormat="1" x14ac:dyDescent="0.2"/>
    <row r="64216" customFormat="1" x14ac:dyDescent="0.2"/>
    <row r="64217" customFormat="1" x14ac:dyDescent="0.2"/>
    <row r="64218" customFormat="1" x14ac:dyDescent="0.2"/>
    <row r="64219" customFormat="1" x14ac:dyDescent="0.2"/>
    <row r="64220" customFormat="1" x14ac:dyDescent="0.2"/>
    <row r="64221" customFormat="1" x14ac:dyDescent="0.2"/>
    <row r="64222" customFormat="1" x14ac:dyDescent="0.2"/>
    <row r="64223" customFormat="1" x14ac:dyDescent="0.2"/>
    <row r="64224" customFormat="1" x14ac:dyDescent="0.2"/>
    <row r="64225" customFormat="1" x14ac:dyDescent="0.2"/>
    <row r="64226" customFormat="1" x14ac:dyDescent="0.2"/>
    <row r="64227" customFormat="1" x14ac:dyDescent="0.2"/>
    <row r="64228" customFormat="1" x14ac:dyDescent="0.2"/>
    <row r="64229" customFormat="1" x14ac:dyDescent="0.2"/>
    <row r="64230" customFormat="1" x14ac:dyDescent="0.2"/>
    <row r="64231" customFormat="1" x14ac:dyDescent="0.2"/>
    <row r="64232" customFormat="1" x14ac:dyDescent="0.2"/>
    <row r="64233" customFormat="1" x14ac:dyDescent="0.2"/>
    <row r="64234" customFormat="1" x14ac:dyDescent="0.2"/>
    <row r="64235" customFormat="1" x14ac:dyDescent="0.2"/>
    <row r="64236" customFormat="1" x14ac:dyDescent="0.2"/>
    <row r="64237" customFormat="1" x14ac:dyDescent="0.2"/>
    <row r="64238" customFormat="1" x14ac:dyDescent="0.2"/>
    <row r="64239" customFormat="1" x14ac:dyDescent="0.2"/>
    <row r="64240" customFormat="1" x14ac:dyDescent="0.2"/>
    <row r="64241" customFormat="1" x14ac:dyDescent="0.2"/>
    <row r="64242" customFormat="1" x14ac:dyDescent="0.2"/>
    <row r="64243" customFormat="1" x14ac:dyDescent="0.2"/>
    <row r="64244" customFormat="1" x14ac:dyDescent="0.2"/>
    <row r="64245" customFormat="1" x14ac:dyDescent="0.2"/>
    <row r="64246" customFormat="1" x14ac:dyDescent="0.2"/>
    <row r="64247" customFormat="1" x14ac:dyDescent="0.2"/>
    <row r="64248" customFormat="1" x14ac:dyDescent="0.2"/>
    <row r="64249" customFormat="1" x14ac:dyDescent="0.2"/>
    <row r="64250" customFormat="1" x14ac:dyDescent="0.2"/>
    <row r="64251" customFormat="1" x14ac:dyDescent="0.2"/>
    <row r="64252" customFormat="1" x14ac:dyDescent="0.2"/>
    <row r="64253" customFormat="1" x14ac:dyDescent="0.2"/>
    <row r="64254" customFormat="1" x14ac:dyDescent="0.2"/>
    <row r="64255" customFormat="1" x14ac:dyDescent="0.2"/>
    <row r="64256" customFormat="1" x14ac:dyDescent="0.2"/>
    <row r="64257" customFormat="1" x14ac:dyDescent="0.2"/>
    <row r="64258" customFormat="1" x14ac:dyDescent="0.2"/>
    <row r="64259" customFormat="1" x14ac:dyDescent="0.2"/>
    <row r="64260" customFormat="1" x14ac:dyDescent="0.2"/>
    <row r="64261" customFormat="1" x14ac:dyDescent="0.2"/>
    <row r="64262" customFormat="1" x14ac:dyDescent="0.2"/>
    <row r="64263" customFormat="1" x14ac:dyDescent="0.2"/>
    <row r="64264" customFormat="1" x14ac:dyDescent="0.2"/>
    <row r="64265" customFormat="1" x14ac:dyDescent="0.2"/>
    <row r="64266" customFormat="1" x14ac:dyDescent="0.2"/>
    <row r="64267" customFormat="1" x14ac:dyDescent="0.2"/>
    <row r="64268" customFormat="1" x14ac:dyDescent="0.2"/>
    <row r="64269" customFormat="1" x14ac:dyDescent="0.2"/>
    <row r="64270" customFormat="1" x14ac:dyDescent="0.2"/>
    <row r="64271" customFormat="1" x14ac:dyDescent="0.2"/>
    <row r="64272" customFormat="1" x14ac:dyDescent="0.2"/>
    <row r="64273" customFormat="1" x14ac:dyDescent="0.2"/>
    <row r="64274" customFormat="1" x14ac:dyDescent="0.2"/>
    <row r="64275" customFormat="1" x14ac:dyDescent="0.2"/>
    <row r="64276" customFormat="1" x14ac:dyDescent="0.2"/>
    <row r="64277" customFormat="1" x14ac:dyDescent="0.2"/>
    <row r="64278" customFormat="1" x14ac:dyDescent="0.2"/>
    <row r="64279" customFormat="1" x14ac:dyDescent="0.2"/>
    <row r="64280" customFormat="1" x14ac:dyDescent="0.2"/>
    <row r="64281" customFormat="1" x14ac:dyDescent="0.2"/>
    <row r="64282" customFormat="1" x14ac:dyDescent="0.2"/>
    <row r="64283" customFormat="1" x14ac:dyDescent="0.2"/>
    <row r="64284" customFormat="1" x14ac:dyDescent="0.2"/>
    <row r="64285" customFormat="1" x14ac:dyDescent="0.2"/>
    <row r="64286" customFormat="1" x14ac:dyDescent="0.2"/>
    <row r="64287" customFormat="1" x14ac:dyDescent="0.2"/>
    <row r="64288" customFormat="1" x14ac:dyDescent="0.2"/>
    <row r="64289" customFormat="1" x14ac:dyDescent="0.2"/>
    <row r="64290" customFormat="1" x14ac:dyDescent="0.2"/>
    <row r="64291" customFormat="1" x14ac:dyDescent="0.2"/>
    <row r="64292" customFormat="1" x14ac:dyDescent="0.2"/>
    <row r="64293" customFormat="1" x14ac:dyDescent="0.2"/>
    <row r="64294" customFormat="1" x14ac:dyDescent="0.2"/>
    <row r="64295" customFormat="1" x14ac:dyDescent="0.2"/>
    <row r="64296" customFormat="1" x14ac:dyDescent="0.2"/>
    <row r="64297" customFormat="1" x14ac:dyDescent="0.2"/>
    <row r="64298" customFormat="1" x14ac:dyDescent="0.2"/>
    <row r="64299" customFormat="1" x14ac:dyDescent="0.2"/>
    <row r="64300" customFormat="1" x14ac:dyDescent="0.2"/>
    <row r="64301" customFormat="1" x14ac:dyDescent="0.2"/>
    <row r="64302" customFormat="1" x14ac:dyDescent="0.2"/>
    <row r="64303" customFormat="1" x14ac:dyDescent="0.2"/>
    <row r="64304" customFormat="1" x14ac:dyDescent="0.2"/>
    <row r="64305" customFormat="1" x14ac:dyDescent="0.2"/>
    <row r="64306" customFormat="1" x14ac:dyDescent="0.2"/>
    <row r="64307" customFormat="1" x14ac:dyDescent="0.2"/>
    <row r="64308" customFormat="1" x14ac:dyDescent="0.2"/>
    <row r="64309" customFormat="1" x14ac:dyDescent="0.2"/>
    <row r="64310" customFormat="1" x14ac:dyDescent="0.2"/>
    <row r="64311" customFormat="1" x14ac:dyDescent="0.2"/>
    <row r="64312" customFormat="1" x14ac:dyDescent="0.2"/>
    <row r="64313" customFormat="1" x14ac:dyDescent="0.2"/>
    <row r="64314" customFormat="1" x14ac:dyDescent="0.2"/>
    <row r="64315" customFormat="1" x14ac:dyDescent="0.2"/>
    <row r="64316" customFormat="1" x14ac:dyDescent="0.2"/>
    <row r="64317" customFormat="1" x14ac:dyDescent="0.2"/>
    <row r="64318" customFormat="1" x14ac:dyDescent="0.2"/>
    <row r="64319" customFormat="1" x14ac:dyDescent="0.2"/>
    <row r="64320" customFormat="1" x14ac:dyDescent="0.2"/>
    <row r="64321" customFormat="1" x14ac:dyDescent="0.2"/>
    <row r="64322" customFormat="1" x14ac:dyDescent="0.2"/>
    <row r="64323" customFormat="1" x14ac:dyDescent="0.2"/>
    <row r="64324" customFormat="1" x14ac:dyDescent="0.2"/>
    <row r="64325" customFormat="1" x14ac:dyDescent="0.2"/>
    <row r="64326" customFormat="1" x14ac:dyDescent="0.2"/>
    <row r="64327" customFormat="1" x14ac:dyDescent="0.2"/>
    <row r="64328" customFormat="1" x14ac:dyDescent="0.2"/>
    <row r="64329" customFormat="1" x14ac:dyDescent="0.2"/>
    <row r="64330" customFormat="1" x14ac:dyDescent="0.2"/>
    <row r="64331" customFormat="1" x14ac:dyDescent="0.2"/>
    <row r="64332" customFormat="1" x14ac:dyDescent="0.2"/>
    <row r="64333" customFormat="1" x14ac:dyDescent="0.2"/>
    <row r="64334" customFormat="1" x14ac:dyDescent="0.2"/>
    <row r="64335" customFormat="1" x14ac:dyDescent="0.2"/>
    <row r="64336" customFormat="1" x14ac:dyDescent="0.2"/>
    <row r="64337" customFormat="1" x14ac:dyDescent="0.2"/>
    <row r="64338" customFormat="1" x14ac:dyDescent="0.2"/>
    <row r="64339" customFormat="1" x14ac:dyDescent="0.2"/>
    <row r="64340" customFormat="1" x14ac:dyDescent="0.2"/>
    <row r="64341" customFormat="1" x14ac:dyDescent="0.2"/>
    <row r="64342" customFormat="1" x14ac:dyDescent="0.2"/>
    <row r="64343" customFormat="1" x14ac:dyDescent="0.2"/>
    <row r="64344" customFormat="1" x14ac:dyDescent="0.2"/>
    <row r="64345" customFormat="1" x14ac:dyDescent="0.2"/>
    <row r="64346" customFormat="1" x14ac:dyDescent="0.2"/>
    <row r="64347" customFormat="1" x14ac:dyDescent="0.2"/>
    <row r="64348" customFormat="1" x14ac:dyDescent="0.2"/>
    <row r="64349" customFormat="1" x14ac:dyDescent="0.2"/>
    <row r="64350" customFormat="1" x14ac:dyDescent="0.2"/>
    <row r="64351" customFormat="1" x14ac:dyDescent="0.2"/>
    <row r="64352" customFormat="1" x14ac:dyDescent="0.2"/>
    <row r="64353" customFormat="1" x14ac:dyDescent="0.2"/>
    <row r="64354" customFormat="1" x14ac:dyDescent="0.2"/>
    <row r="64355" customFormat="1" x14ac:dyDescent="0.2"/>
    <row r="64356" customFormat="1" x14ac:dyDescent="0.2"/>
    <row r="64357" customFormat="1" x14ac:dyDescent="0.2"/>
    <row r="64358" customFormat="1" x14ac:dyDescent="0.2"/>
    <row r="64359" customFormat="1" x14ac:dyDescent="0.2"/>
    <row r="64360" customFormat="1" x14ac:dyDescent="0.2"/>
    <row r="64361" customFormat="1" x14ac:dyDescent="0.2"/>
    <row r="64362" customFormat="1" x14ac:dyDescent="0.2"/>
    <row r="64363" customFormat="1" x14ac:dyDescent="0.2"/>
    <row r="64364" customFormat="1" x14ac:dyDescent="0.2"/>
    <row r="64365" customFormat="1" x14ac:dyDescent="0.2"/>
    <row r="64366" customFormat="1" x14ac:dyDescent="0.2"/>
    <row r="64367" customFormat="1" x14ac:dyDescent="0.2"/>
    <row r="64368" customFormat="1" x14ac:dyDescent="0.2"/>
    <row r="64369" customFormat="1" x14ac:dyDescent="0.2"/>
    <row r="64370" customFormat="1" x14ac:dyDescent="0.2"/>
    <row r="64371" customFormat="1" x14ac:dyDescent="0.2"/>
    <row r="64372" customFormat="1" x14ac:dyDescent="0.2"/>
    <row r="64373" customFormat="1" x14ac:dyDescent="0.2"/>
    <row r="64374" customFormat="1" x14ac:dyDescent="0.2"/>
    <row r="64375" customFormat="1" x14ac:dyDescent="0.2"/>
    <row r="64376" customFormat="1" x14ac:dyDescent="0.2"/>
    <row r="64377" customFormat="1" x14ac:dyDescent="0.2"/>
    <row r="64378" customFormat="1" x14ac:dyDescent="0.2"/>
    <row r="64379" customFormat="1" x14ac:dyDescent="0.2"/>
    <row r="64380" customFormat="1" x14ac:dyDescent="0.2"/>
    <row r="64381" customFormat="1" x14ac:dyDescent="0.2"/>
    <row r="64382" customFormat="1" x14ac:dyDescent="0.2"/>
    <row r="64383" customFormat="1" x14ac:dyDescent="0.2"/>
    <row r="64384" customFormat="1" x14ac:dyDescent="0.2"/>
    <row r="64385" customFormat="1" x14ac:dyDescent="0.2"/>
    <row r="64386" customFormat="1" x14ac:dyDescent="0.2"/>
    <row r="64387" customFormat="1" x14ac:dyDescent="0.2"/>
    <row r="64388" customFormat="1" x14ac:dyDescent="0.2"/>
    <row r="64389" customFormat="1" x14ac:dyDescent="0.2"/>
    <row r="64390" customFormat="1" x14ac:dyDescent="0.2"/>
    <row r="64391" customFormat="1" x14ac:dyDescent="0.2"/>
    <row r="64392" customFormat="1" x14ac:dyDescent="0.2"/>
    <row r="64393" customFormat="1" x14ac:dyDescent="0.2"/>
    <row r="64394" customFormat="1" x14ac:dyDescent="0.2"/>
    <row r="64395" customFormat="1" x14ac:dyDescent="0.2"/>
    <row r="64396" customFormat="1" x14ac:dyDescent="0.2"/>
    <row r="64397" customFormat="1" x14ac:dyDescent="0.2"/>
    <row r="64398" customFormat="1" x14ac:dyDescent="0.2"/>
    <row r="64399" customFormat="1" x14ac:dyDescent="0.2"/>
    <row r="64400" customFormat="1" x14ac:dyDescent="0.2"/>
    <row r="64401" customFormat="1" x14ac:dyDescent="0.2"/>
    <row r="64402" customFormat="1" x14ac:dyDescent="0.2"/>
    <row r="64403" customFormat="1" x14ac:dyDescent="0.2"/>
    <row r="64404" customFormat="1" x14ac:dyDescent="0.2"/>
    <row r="64405" customFormat="1" x14ac:dyDescent="0.2"/>
    <row r="64406" customFormat="1" x14ac:dyDescent="0.2"/>
    <row r="64407" customFormat="1" x14ac:dyDescent="0.2"/>
    <row r="64408" customFormat="1" x14ac:dyDescent="0.2"/>
    <row r="64409" customFormat="1" x14ac:dyDescent="0.2"/>
    <row r="64410" customFormat="1" x14ac:dyDescent="0.2"/>
    <row r="64411" customFormat="1" x14ac:dyDescent="0.2"/>
    <row r="64412" customFormat="1" x14ac:dyDescent="0.2"/>
    <row r="64413" customFormat="1" x14ac:dyDescent="0.2"/>
    <row r="64414" customFormat="1" x14ac:dyDescent="0.2"/>
    <row r="64415" customFormat="1" x14ac:dyDescent="0.2"/>
    <row r="64416" customFormat="1" x14ac:dyDescent="0.2"/>
    <row r="64417" customFormat="1" x14ac:dyDescent="0.2"/>
    <row r="64418" customFormat="1" x14ac:dyDescent="0.2"/>
    <row r="64419" customFormat="1" x14ac:dyDescent="0.2"/>
    <row r="64420" customFormat="1" x14ac:dyDescent="0.2"/>
    <row r="64421" customFormat="1" x14ac:dyDescent="0.2"/>
    <row r="64422" customFormat="1" x14ac:dyDescent="0.2"/>
    <row r="64423" customFormat="1" x14ac:dyDescent="0.2"/>
    <row r="64424" customFormat="1" x14ac:dyDescent="0.2"/>
    <row r="64425" customFormat="1" x14ac:dyDescent="0.2"/>
    <row r="64426" customFormat="1" x14ac:dyDescent="0.2"/>
    <row r="64427" customFormat="1" x14ac:dyDescent="0.2"/>
    <row r="64428" customFormat="1" x14ac:dyDescent="0.2"/>
    <row r="64429" customFormat="1" x14ac:dyDescent="0.2"/>
    <row r="64430" customFormat="1" x14ac:dyDescent="0.2"/>
    <row r="64431" customFormat="1" x14ac:dyDescent="0.2"/>
    <row r="64432" customFormat="1" x14ac:dyDescent="0.2"/>
    <row r="64433" customFormat="1" x14ac:dyDescent="0.2"/>
    <row r="64434" customFormat="1" x14ac:dyDescent="0.2"/>
    <row r="64435" customFormat="1" x14ac:dyDescent="0.2"/>
    <row r="64436" customFormat="1" x14ac:dyDescent="0.2"/>
    <row r="64437" customFormat="1" x14ac:dyDescent="0.2"/>
    <row r="64438" customFormat="1" x14ac:dyDescent="0.2"/>
    <row r="64439" customFormat="1" x14ac:dyDescent="0.2"/>
    <row r="64440" customFormat="1" x14ac:dyDescent="0.2"/>
    <row r="64441" customFormat="1" x14ac:dyDescent="0.2"/>
    <row r="64442" customFormat="1" x14ac:dyDescent="0.2"/>
    <row r="64443" customFormat="1" x14ac:dyDescent="0.2"/>
    <row r="64444" customFormat="1" x14ac:dyDescent="0.2"/>
    <row r="64445" customFormat="1" x14ac:dyDescent="0.2"/>
    <row r="64446" customFormat="1" x14ac:dyDescent="0.2"/>
    <row r="64447" customFormat="1" x14ac:dyDescent="0.2"/>
    <row r="64448" customFormat="1" x14ac:dyDescent="0.2"/>
    <row r="64449" customFormat="1" x14ac:dyDescent="0.2"/>
    <row r="64450" customFormat="1" x14ac:dyDescent="0.2"/>
    <row r="64451" customFormat="1" x14ac:dyDescent="0.2"/>
    <row r="64452" customFormat="1" x14ac:dyDescent="0.2"/>
    <row r="64453" customFormat="1" x14ac:dyDescent="0.2"/>
    <row r="64454" customFormat="1" x14ac:dyDescent="0.2"/>
    <row r="64455" customFormat="1" x14ac:dyDescent="0.2"/>
    <row r="64456" customFormat="1" x14ac:dyDescent="0.2"/>
    <row r="64457" customFormat="1" x14ac:dyDescent="0.2"/>
    <row r="64458" customFormat="1" x14ac:dyDescent="0.2"/>
    <row r="64459" customFormat="1" x14ac:dyDescent="0.2"/>
    <row r="64460" customFormat="1" x14ac:dyDescent="0.2"/>
    <row r="64461" customFormat="1" x14ac:dyDescent="0.2"/>
    <row r="64462" customFormat="1" x14ac:dyDescent="0.2"/>
    <row r="64463" customFormat="1" x14ac:dyDescent="0.2"/>
    <row r="64464" customFormat="1" x14ac:dyDescent="0.2"/>
    <row r="64465" customFormat="1" x14ac:dyDescent="0.2"/>
    <row r="64466" customFormat="1" x14ac:dyDescent="0.2"/>
    <row r="64467" customFormat="1" x14ac:dyDescent="0.2"/>
    <row r="64468" customFormat="1" x14ac:dyDescent="0.2"/>
    <row r="64469" customFormat="1" x14ac:dyDescent="0.2"/>
    <row r="64470" customFormat="1" x14ac:dyDescent="0.2"/>
    <row r="64471" customFormat="1" x14ac:dyDescent="0.2"/>
    <row r="64472" customFormat="1" x14ac:dyDescent="0.2"/>
    <row r="64473" customFormat="1" x14ac:dyDescent="0.2"/>
    <row r="64474" customFormat="1" x14ac:dyDescent="0.2"/>
    <row r="64475" customFormat="1" x14ac:dyDescent="0.2"/>
    <row r="64476" customFormat="1" x14ac:dyDescent="0.2"/>
    <row r="64477" customFormat="1" x14ac:dyDescent="0.2"/>
    <row r="64478" customFormat="1" x14ac:dyDescent="0.2"/>
    <row r="64479" customFormat="1" x14ac:dyDescent="0.2"/>
    <row r="64480" customFormat="1" x14ac:dyDescent="0.2"/>
    <row r="64481" customFormat="1" x14ac:dyDescent="0.2"/>
    <row r="64482" customFormat="1" x14ac:dyDescent="0.2"/>
    <row r="64483" customFormat="1" x14ac:dyDescent="0.2"/>
    <row r="64484" customFormat="1" x14ac:dyDescent="0.2"/>
    <row r="64485" customFormat="1" x14ac:dyDescent="0.2"/>
    <row r="64486" customFormat="1" x14ac:dyDescent="0.2"/>
    <row r="64487" customFormat="1" x14ac:dyDescent="0.2"/>
    <row r="64488" customFormat="1" x14ac:dyDescent="0.2"/>
    <row r="64489" customFormat="1" x14ac:dyDescent="0.2"/>
    <row r="64490" customFormat="1" x14ac:dyDescent="0.2"/>
    <row r="64491" customFormat="1" x14ac:dyDescent="0.2"/>
    <row r="64492" customFormat="1" x14ac:dyDescent="0.2"/>
    <row r="64493" customFormat="1" x14ac:dyDescent="0.2"/>
    <row r="64494" customFormat="1" x14ac:dyDescent="0.2"/>
    <row r="64495" customFormat="1" x14ac:dyDescent="0.2"/>
    <row r="64496" customFormat="1" x14ac:dyDescent="0.2"/>
    <row r="64497" customFormat="1" x14ac:dyDescent="0.2"/>
    <row r="64498" customFormat="1" x14ac:dyDescent="0.2"/>
    <row r="64499" customFormat="1" x14ac:dyDescent="0.2"/>
    <row r="64500" customFormat="1" x14ac:dyDescent="0.2"/>
    <row r="64501" customFormat="1" x14ac:dyDescent="0.2"/>
    <row r="64502" customFormat="1" x14ac:dyDescent="0.2"/>
    <row r="64503" customFormat="1" x14ac:dyDescent="0.2"/>
    <row r="64504" customFormat="1" x14ac:dyDescent="0.2"/>
    <row r="64505" customFormat="1" x14ac:dyDescent="0.2"/>
    <row r="64506" customFormat="1" x14ac:dyDescent="0.2"/>
    <row r="64507" customFormat="1" x14ac:dyDescent="0.2"/>
    <row r="64508" customFormat="1" x14ac:dyDescent="0.2"/>
    <row r="64509" customFormat="1" x14ac:dyDescent="0.2"/>
    <row r="64510" customFormat="1" x14ac:dyDescent="0.2"/>
    <row r="64511" customFormat="1" x14ac:dyDescent="0.2"/>
    <row r="64512" customFormat="1" x14ac:dyDescent="0.2"/>
    <row r="64513" customFormat="1" x14ac:dyDescent="0.2"/>
    <row r="64514" customFormat="1" x14ac:dyDescent="0.2"/>
    <row r="64515" customFormat="1" x14ac:dyDescent="0.2"/>
    <row r="64516" customFormat="1" x14ac:dyDescent="0.2"/>
    <row r="64517" customFormat="1" x14ac:dyDescent="0.2"/>
    <row r="64518" customFormat="1" x14ac:dyDescent="0.2"/>
    <row r="64519" customFormat="1" x14ac:dyDescent="0.2"/>
    <row r="64520" customFormat="1" x14ac:dyDescent="0.2"/>
    <row r="64521" customFormat="1" x14ac:dyDescent="0.2"/>
    <row r="64522" customFormat="1" x14ac:dyDescent="0.2"/>
    <row r="64523" customFormat="1" x14ac:dyDescent="0.2"/>
    <row r="64524" customFormat="1" x14ac:dyDescent="0.2"/>
    <row r="64525" customFormat="1" x14ac:dyDescent="0.2"/>
    <row r="64526" customFormat="1" x14ac:dyDescent="0.2"/>
    <row r="64527" customFormat="1" x14ac:dyDescent="0.2"/>
    <row r="64528" customFormat="1" x14ac:dyDescent="0.2"/>
    <row r="64529" customFormat="1" x14ac:dyDescent="0.2"/>
    <row r="64530" customFormat="1" x14ac:dyDescent="0.2"/>
    <row r="64531" customFormat="1" x14ac:dyDescent="0.2"/>
    <row r="64532" customFormat="1" x14ac:dyDescent="0.2"/>
    <row r="64533" customFormat="1" x14ac:dyDescent="0.2"/>
    <row r="64534" customFormat="1" x14ac:dyDescent="0.2"/>
    <row r="64535" customFormat="1" x14ac:dyDescent="0.2"/>
    <row r="64536" customFormat="1" x14ac:dyDescent="0.2"/>
    <row r="64537" customFormat="1" x14ac:dyDescent="0.2"/>
    <row r="64538" customFormat="1" x14ac:dyDescent="0.2"/>
    <row r="64539" customFormat="1" x14ac:dyDescent="0.2"/>
    <row r="64540" customFormat="1" x14ac:dyDescent="0.2"/>
    <row r="64541" customFormat="1" x14ac:dyDescent="0.2"/>
    <row r="64542" customFormat="1" x14ac:dyDescent="0.2"/>
    <row r="64543" customFormat="1" x14ac:dyDescent="0.2"/>
    <row r="64544" customFormat="1" x14ac:dyDescent="0.2"/>
    <row r="64545" customFormat="1" x14ac:dyDescent="0.2"/>
    <row r="64546" customFormat="1" x14ac:dyDescent="0.2"/>
    <row r="64547" customFormat="1" x14ac:dyDescent="0.2"/>
    <row r="64548" customFormat="1" x14ac:dyDescent="0.2"/>
    <row r="64549" customFormat="1" x14ac:dyDescent="0.2"/>
    <row r="64550" customFormat="1" x14ac:dyDescent="0.2"/>
    <row r="64551" customFormat="1" x14ac:dyDescent="0.2"/>
    <row r="64552" customFormat="1" x14ac:dyDescent="0.2"/>
    <row r="64553" customFormat="1" x14ac:dyDescent="0.2"/>
    <row r="64554" customFormat="1" x14ac:dyDescent="0.2"/>
    <row r="64555" customFormat="1" x14ac:dyDescent="0.2"/>
    <row r="64556" customFormat="1" x14ac:dyDescent="0.2"/>
    <row r="64557" customFormat="1" x14ac:dyDescent="0.2"/>
    <row r="64558" customFormat="1" x14ac:dyDescent="0.2"/>
    <row r="64559" customFormat="1" x14ac:dyDescent="0.2"/>
    <row r="64560" customFormat="1" x14ac:dyDescent="0.2"/>
    <row r="64561" customFormat="1" x14ac:dyDescent="0.2"/>
    <row r="64562" customFormat="1" x14ac:dyDescent="0.2"/>
    <row r="64563" customFormat="1" x14ac:dyDescent="0.2"/>
    <row r="64564" customFormat="1" x14ac:dyDescent="0.2"/>
    <row r="64565" customFormat="1" x14ac:dyDescent="0.2"/>
    <row r="64566" customFormat="1" x14ac:dyDescent="0.2"/>
    <row r="64567" customFormat="1" x14ac:dyDescent="0.2"/>
    <row r="64568" customFormat="1" x14ac:dyDescent="0.2"/>
    <row r="64569" customFormat="1" x14ac:dyDescent="0.2"/>
    <row r="64570" customFormat="1" x14ac:dyDescent="0.2"/>
    <row r="64571" customFormat="1" x14ac:dyDescent="0.2"/>
    <row r="64572" customFormat="1" x14ac:dyDescent="0.2"/>
    <row r="64573" customFormat="1" x14ac:dyDescent="0.2"/>
    <row r="64574" customFormat="1" x14ac:dyDescent="0.2"/>
    <row r="64575" customFormat="1" x14ac:dyDescent="0.2"/>
    <row r="64576" customFormat="1" x14ac:dyDescent="0.2"/>
    <row r="64577" customFormat="1" x14ac:dyDescent="0.2"/>
    <row r="64578" customFormat="1" x14ac:dyDescent="0.2"/>
    <row r="64579" customFormat="1" x14ac:dyDescent="0.2"/>
    <row r="64580" customFormat="1" x14ac:dyDescent="0.2"/>
    <row r="64581" customFormat="1" x14ac:dyDescent="0.2"/>
    <row r="64582" customFormat="1" x14ac:dyDescent="0.2"/>
    <row r="64583" customFormat="1" x14ac:dyDescent="0.2"/>
    <row r="64584" customFormat="1" x14ac:dyDescent="0.2"/>
    <row r="64585" customFormat="1" x14ac:dyDescent="0.2"/>
    <row r="64586" customFormat="1" x14ac:dyDescent="0.2"/>
    <row r="64587" customFormat="1" x14ac:dyDescent="0.2"/>
    <row r="64588" customFormat="1" x14ac:dyDescent="0.2"/>
    <row r="64589" customFormat="1" x14ac:dyDescent="0.2"/>
    <row r="64590" customFormat="1" x14ac:dyDescent="0.2"/>
    <row r="64591" customFormat="1" x14ac:dyDescent="0.2"/>
    <row r="64592" customFormat="1" x14ac:dyDescent="0.2"/>
    <row r="64593" customFormat="1" x14ac:dyDescent="0.2"/>
    <row r="64594" customFormat="1" x14ac:dyDescent="0.2"/>
    <row r="64595" customFormat="1" x14ac:dyDescent="0.2"/>
    <row r="64596" customFormat="1" x14ac:dyDescent="0.2"/>
    <row r="64597" customFormat="1" x14ac:dyDescent="0.2"/>
    <row r="64598" customFormat="1" x14ac:dyDescent="0.2"/>
    <row r="64599" customFormat="1" x14ac:dyDescent="0.2"/>
    <row r="64600" customFormat="1" x14ac:dyDescent="0.2"/>
    <row r="64601" customFormat="1" x14ac:dyDescent="0.2"/>
    <row r="64602" customFormat="1" x14ac:dyDescent="0.2"/>
    <row r="64603" customFormat="1" x14ac:dyDescent="0.2"/>
    <row r="64604" customFormat="1" x14ac:dyDescent="0.2"/>
    <row r="64605" customFormat="1" x14ac:dyDescent="0.2"/>
    <row r="64606" customFormat="1" x14ac:dyDescent="0.2"/>
    <row r="64607" customFormat="1" x14ac:dyDescent="0.2"/>
    <row r="64608" customFormat="1" x14ac:dyDescent="0.2"/>
    <row r="64609" customFormat="1" x14ac:dyDescent="0.2"/>
    <row r="64610" customFormat="1" x14ac:dyDescent="0.2"/>
    <row r="64611" customFormat="1" x14ac:dyDescent="0.2"/>
    <row r="64612" customFormat="1" x14ac:dyDescent="0.2"/>
    <row r="64613" customFormat="1" x14ac:dyDescent="0.2"/>
    <row r="64614" customFormat="1" x14ac:dyDescent="0.2"/>
    <row r="64615" customFormat="1" x14ac:dyDescent="0.2"/>
    <row r="64616" customFormat="1" x14ac:dyDescent="0.2"/>
    <row r="64617" customFormat="1" x14ac:dyDescent="0.2"/>
    <row r="64618" customFormat="1" x14ac:dyDescent="0.2"/>
    <row r="64619" customFormat="1" x14ac:dyDescent="0.2"/>
    <row r="64620" customFormat="1" x14ac:dyDescent="0.2"/>
    <row r="64621" customFormat="1" x14ac:dyDescent="0.2"/>
    <row r="64622" customFormat="1" x14ac:dyDescent="0.2"/>
    <row r="64623" customFormat="1" x14ac:dyDescent="0.2"/>
    <row r="64624" customFormat="1" x14ac:dyDescent="0.2"/>
    <row r="64625" customFormat="1" x14ac:dyDescent="0.2"/>
    <row r="64626" customFormat="1" x14ac:dyDescent="0.2"/>
    <row r="64627" customFormat="1" x14ac:dyDescent="0.2"/>
    <row r="64628" customFormat="1" x14ac:dyDescent="0.2"/>
    <row r="64629" customFormat="1" x14ac:dyDescent="0.2"/>
    <row r="64630" customFormat="1" x14ac:dyDescent="0.2"/>
    <row r="64631" customFormat="1" x14ac:dyDescent="0.2"/>
    <row r="64632" customFormat="1" x14ac:dyDescent="0.2"/>
    <row r="64633" customFormat="1" x14ac:dyDescent="0.2"/>
    <row r="64634" customFormat="1" x14ac:dyDescent="0.2"/>
    <row r="64635" customFormat="1" x14ac:dyDescent="0.2"/>
    <row r="64636" customFormat="1" x14ac:dyDescent="0.2"/>
    <row r="64637" customFormat="1" x14ac:dyDescent="0.2"/>
    <row r="64638" customFormat="1" x14ac:dyDescent="0.2"/>
    <row r="64639" customFormat="1" x14ac:dyDescent="0.2"/>
    <row r="64640" customFormat="1" x14ac:dyDescent="0.2"/>
    <row r="64641" customFormat="1" x14ac:dyDescent="0.2"/>
    <row r="64642" customFormat="1" x14ac:dyDescent="0.2"/>
    <row r="64643" customFormat="1" x14ac:dyDescent="0.2"/>
    <row r="64644" customFormat="1" x14ac:dyDescent="0.2"/>
    <row r="64645" customFormat="1" x14ac:dyDescent="0.2"/>
    <row r="64646" customFormat="1" x14ac:dyDescent="0.2"/>
    <row r="64647" customFormat="1" x14ac:dyDescent="0.2"/>
    <row r="64648" customFormat="1" x14ac:dyDescent="0.2"/>
    <row r="64649" customFormat="1" x14ac:dyDescent="0.2"/>
    <row r="64650" customFormat="1" x14ac:dyDescent="0.2"/>
    <row r="64651" customFormat="1" x14ac:dyDescent="0.2"/>
    <row r="64652" customFormat="1" x14ac:dyDescent="0.2"/>
    <row r="64653" customFormat="1" x14ac:dyDescent="0.2"/>
    <row r="64654" customFormat="1" x14ac:dyDescent="0.2"/>
    <row r="64655" customFormat="1" x14ac:dyDescent="0.2"/>
    <row r="64656" customFormat="1" x14ac:dyDescent="0.2"/>
    <row r="64657" customFormat="1" x14ac:dyDescent="0.2"/>
    <row r="64658" customFormat="1" x14ac:dyDescent="0.2"/>
    <row r="64659" customFormat="1" x14ac:dyDescent="0.2"/>
    <row r="64660" customFormat="1" x14ac:dyDescent="0.2"/>
    <row r="64661" customFormat="1" x14ac:dyDescent="0.2"/>
    <row r="64662" customFormat="1" x14ac:dyDescent="0.2"/>
    <row r="64663" customFormat="1" x14ac:dyDescent="0.2"/>
    <row r="64664" customFormat="1" x14ac:dyDescent="0.2"/>
    <row r="64665" customFormat="1" x14ac:dyDescent="0.2"/>
    <row r="64666" customFormat="1" x14ac:dyDescent="0.2"/>
    <row r="64667" customFormat="1" x14ac:dyDescent="0.2"/>
    <row r="64668" customFormat="1" x14ac:dyDescent="0.2"/>
    <row r="64669" customFormat="1" x14ac:dyDescent="0.2"/>
    <row r="64670" customFormat="1" x14ac:dyDescent="0.2"/>
    <row r="64671" customFormat="1" x14ac:dyDescent="0.2"/>
    <row r="64672" customFormat="1" x14ac:dyDescent="0.2"/>
    <row r="64673" customFormat="1" x14ac:dyDescent="0.2"/>
    <row r="64674" customFormat="1" x14ac:dyDescent="0.2"/>
    <row r="64675" customFormat="1" x14ac:dyDescent="0.2"/>
    <row r="64676" customFormat="1" x14ac:dyDescent="0.2"/>
    <row r="64677" customFormat="1" x14ac:dyDescent="0.2"/>
    <row r="64678" customFormat="1" x14ac:dyDescent="0.2"/>
    <row r="64679" customFormat="1" x14ac:dyDescent="0.2"/>
    <row r="64680" customFormat="1" x14ac:dyDescent="0.2"/>
    <row r="64681" customFormat="1" x14ac:dyDescent="0.2"/>
    <row r="64682" customFormat="1" x14ac:dyDescent="0.2"/>
    <row r="64683" customFormat="1" x14ac:dyDescent="0.2"/>
    <row r="64684" customFormat="1" x14ac:dyDescent="0.2"/>
    <row r="64685" customFormat="1" x14ac:dyDescent="0.2"/>
    <row r="64686" customFormat="1" x14ac:dyDescent="0.2"/>
    <row r="64687" customFormat="1" x14ac:dyDescent="0.2"/>
    <row r="64688" customFormat="1" x14ac:dyDescent="0.2"/>
    <row r="64689" customFormat="1" x14ac:dyDescent="0.2"/>
    <row r="64690" customFormat="1" x14ac:dyDescent="0.2"/>
    <row r="64691" customFormat="1" x14ac:dyDescent="0.2"/>
    <row r="64692" customFormat="1" x14ac:dyDescent="0.2"/>
    <row r="64693" customFormat="1" x14ac:dyDescent="0.2"/>
    <row r="64694" customFormat="1" x14ac:dyDescent="0.2"/>
    <row r="64695" customFormat="1" x14ac:dyDescent="0.2"/>
    <row r="64696" customFormat="1" x14ac:dyDescent="0.2"/>
    <row r="64697" customFormat="1" x14ac:dyDescent="0.2"/>
    <row r="64698" customFormat="1" x14ac:dyDescent="0.2"/>
    <row r="64699" customFormat="1" x14ac:dyDescent="0.2"/>
    <row r="64700" customFormat="1" x14ac:dyDescent="0.2"/>
    <row r="64701" customFormat="1" x14ac:dyDescent="0.2"/>
    <row r="64702" customFormat="1" x14ac:dyDescent="0.2"/>
    <row r="64703" customFormat="1" x14ac:dyDescent="0.2"/>
    <row r="64704" customFormat="1" x14ac:dyDescent="0.2"/>
    <row r="64705" customFormat="1" x14ac:dyDescent="0.2"/>
    <row r="64706" customFormat="1" x14ac:dyDescent="0.2"/>
    <row r="64707" customFormat="1" x14ac:dyDescent="0.2"/>
    <row r="64708" customFormat="1" x14ac:dyDescent="0.2"/>
    <row r="64709" customFormat="1" x14ac:dyDescent="0.2"/>
    <row r="64710" customFormat="1" x14ac:dyDescent="0.2"/>
    <row r="64711" customFormat="1" x14ac:dyDescent="0.2"/>
    <row r="64712" customFormat="1" x14ac:dyDescent="0.2"/>
    <row r="64713" customFormat="1" x14ac:dyDescent="0.2"/>
    <row r="64714" customFormat="1" x14ac:dyDescent="0.2"/>
    <row r="64715" customFormat="1" x14ac:dyDescent="0.2"/>
    <row r="64716" customFormat="1" x14ac:dyDescent="0.2"/>
    <row r="64717" customFormat="1" x14ac:dyDescent="0.2"/>
    <row r="64718" customFormat="1" x14ac:dyDescent="0.2"/>
    <row r="64719" customFormat="1" x14ac:dyDescent="0.2"/>
    <row r="64720" customFormat="1" x14ac:dyDescent="0.2"/>
    <row r="64721" customFormat="1" x14ac:dyDescent="0.2"/>
    <row r="64722" customFormat="1" x14ac:dyDescent="0.2"/>
    <row r="64723" customFormat="1" x14ac:dyDescent="0.2"/>
    <row r="64724" customFormat="1" x14ac:dyDescent="0.2"/>
    <row r="64725" customFormat="1" x14ac:dyDescent="0.2"/>
    <row r="64726" customFormat="1" x14ac:dyDescent="0.2"/>
    <row r="64727" customFormat="1" x14ac:dyDescent="0.2"/>
    <row r="64728" customFormat="1" x14ac:dyDescent="0.2"/>
    <row r="64729" customFormat="1" x14ac:dyDescent="0.2"/>
    <row r="64730" customFormat="1" x14ac:dyDescent="0.2"/>
    <row r="64731" customFormat="1" x14ac:dyDescent="0.2"/>
    <row r="64732" customFormat="1" x14ac:dyDescent="0.2"/>
    <row r="64733" customFormat="1" x14ac:dyDescent="0.2"/>
    <row r="64734" customFormat="1" x14ac:dyDescent="0.2"/>
    <row r="64735" customFormat="1" x14ac:dyDescent="0.2"/>
    <row r="64736" customFormat="1" x14ac:dyDescent="0.2"/>
    <row r="64737" customFormat="1" x14ac:dyDescent="0.2"/>
    <row r="64738" customFormat="1" x14ac:dyDescent="0.2"/>
    <row r="64739" customFormat="1" x14ac:dyDescent="0.2"/>
    <row r="64740" customFormat="1" x14ac:dyDescent="0.2"/>
    <row r="64741" customFormat="1" x14ac:dyDescent="0.2"/>
    <row r="64742" customFormat="1" x14ac:dyDescent="0.2"/>
    <row r="64743" customFormat="1" x14ac:dyDescent="0.2"/>
    <row r="64744" customFormat="1" x14ac:dyDescent="0.2"/>
    <row r="64745" customFormat="1" x14ac:dyDescent="0.2"/>
    <row r="64746" customFormat="1" x14ac:dyDescent="0.2"/>
    <row r="64747" customFormat="1" x14ac:dyDescent="0.2"/>
    <row r="64748" customFormat="1" x14ac:dyDescent="0.2"/>
    <row r="64749" customFormat="1" x14ac:dyDescent="0.2"/>
    <row r="64750" customFormat="1" x14ac:dyDescent="0.2"/>
    <row r="64751" customFormat="1" x14ac:dyDescent="0.2"/>
    <row r="64752" customFormat="1" x14ac:dyDescent="0.2"/>
    <row r="64753" customFormat="1" x14ac:dyDescent="0.2"/>
    <row r="64754" customFormat="1" x14ac:dyDescent="0.2"/>
    <row r="64755" customFormat="1" x14ac:dyDescent="0.2"/>
    <row r="64756" customFormat="1" x14ac:dyDescent="0.2"/>
    <row r="64757" customFormat="1" x14ac:dyDescent="0.2"/>
    <row r="64758" customFormat="1" x14ac:dyDescent="0.2"/>
    <row r="64759" customFormat="1" x14ac:dyDescent="0.2"/>
    <row r="64760" customFormat="1" x14ac:dyDescent="0.2"/>
    <row r="64761" customFormat="1" x14ac:dyDescent="0.2"/>
    <row r="64762" customFormat="1" x14ac:dyDescent="0.2"/>
    <row r="64763" customFormat="1" x14ac:dyDescent="0.2"/>
    <row r="64764" customFormat="1" x14ac:dyDescent="0.2"/>
    <row r="64765" customFormat="1" x14ac:dyDescent="0.2"/>
    <row r="64766" customFormat="1" x14ac:dyDescent="0.2"/>
    <row r="64767" customFormat="1" x14ac:dyDescent="0.2"/>
    <row r="64768" customFormat="1" x14ac:dyDescent="0.2"/>
    <row r="64769" customFormat="1" x14ac:dyDescent="0.2"/>
    <row r="64770" customFormat="1" x14ac:dyDescent="0.2"/>
    <row r="64771" customFormat="1" x14ac:dyDescent="0.2"/>
    <row r="64772" customFormat="1" x14ac:dyDescent="0.2"/>
    <row r="64773" customFormat="1" x14ac:dyDescent="0.2"/>
    <row r="64774" customFormat="1" x14ac:dyDescent="0.2"/>
    <row r="64775" customFormat="1" x14ac:dyDescent="0.2"/>
    <row r="64776" customFormat="1" x14ac:dyDescent="0.2"/>
    <row r="64777" customFormat="1" x14ac:dyDescent="0.2"/>
    <row r="64778" customFormat="1" x14ac:dyDescent="0.2"/>
    <row r="64779" customFormat="1" x14ac:dyDescent="0.2"/>
    <row r="64780" customFormat="1" x14ac:dyDescent="0.2"/>
    <row r="64781" customFormat="1" x14ac:dyDescent="0.2"/>
    <row r="64782" customFormat="1" x14ac:dyDescent="0.2"/>
    <row r="64783" customFormat="1" x14ac:dyDescent="0.2"/>
    <row r="64784" customFormat="1" x14ac:dyDescent="0.2"/>
    <row r="64785" customFormat="1" x14ac:dyDescent="0.2"/>
    <row r="64786" customFormat="1" x14ac:dyDescent="0.2"/>
    <row r="64787" customFormat="1" x14ac:dyDescent="0.2"/>
    <row r="64788" customFormat="1" x14ac:dyDescent="0.2"/>
    <row r="64789" customFormat="1" x14ac:dyDescent="0.2"/>
    <row r="64790" customFormat="1" x14ac:dyDescent="0.2"/>
    <row r="64791" customFormat="1" x14ac:dyDescent="0.2"/>
    <row r="64792" customFormat="1" x14ac:dyDescent="0.2"/>
    <row r="64793" customFormat="1" x14ac:dyDescent="0.2"/>
    <row r="64794" customFormat="1" x14ac:dyDescent="0.2"/>
    <row r="64795" customFormat="1" x14ac:dyDescent="0.2"/>
    <row r="64796" customFormat="1" x14ac:dyDescent="0.2"/>
    <row r="64797" customFormat="1" x14ac:dyDescent="0.2"/>
    <row r="64798" customFormat="1" x14ac:dyDescent="0.2"/>
    <row r="64799" customFormat="1" x14ac:dyDescent="0.2"/>
    <row r="64800" customFormat="1" x14ac:dyDescent="0.2"/>
    <row r="64801" customFormat="1" x14ac:dyDescent="0.2"/>
    <row r="64802" customFormat="1" x14ac:dyDescent="0.2"/>
    <row r="64803" customFormat="1" x14ac:dyDescent="0.2"/>
    <row r="64804" customFormat="1" x14ac:dyDescent="0.2"/>
    <row r="64805" customFormat="1" x14ac:dyDescent="0.2"/>
    <row r="64806" customFormat="1" x14ac:dyDescent="0.2"/>
    <row r="64807" customFormat="1" x14ac:dyDescent="0.2"/>
    <row r="64808" customFormat="1" x14ac:dyDescent="0.2"/>
    <row r="64809" customFormat="1" x14ac:dyDescent="0.2"/>
    <row r="64810" customFormat="1" x14ac:dyDescent="0.2"/>
    <row r="64811" customFormat="1" x14ac:dyDescent="0.2"/>
    <row r="64812" customFormat="1" x14ac:dyDescent="0.2"/>
    <row r="64813" customFormat="1" x14ac:dyDescent="0.2"/>
    <row r="64814" customFormat="1" x14ac:dyDescent="0.2"/>
    <row r="64815" customFormat="1" x14ac:dyDescent="0.2"/>
    <row r="64816" customFormat="1" x14ac:dyDescent="0.2"/>
    <row r="64817" customFormat="1" x14ac:dyDescent="0.2"/>
    <row r="64818" customFormat="1" x14ac:dyDescent="0.2"/>
    <row r="64819" customFormat="1" x14ac:dyDescent="0.2"/>
    <row r="64820" customFormat="1" x14ac:dyDescent="0.2"/>
    <row r="64821" customFormat="1" x14ac:dyDescent="0.2"/>
    <row r="64822" customFormat="1" x14ac:dyDescent="0.2"/>
    <row r="64823" customFormat="1" x14ac:dyDescent="0.2"/>
    <row r="64824" customFormat="1" x14ac:dyDescent="0.2"/>
    <row r="64825" customFormat="1" x14ac:dyDescent="0.2"/>
    <row r="64826" customFormat="1" x14ac:dyDescent="0.2"/>
    <row r="64827" customFormat="1" x14ac:dyDescent="0.2"/>
    <row r="64828" customFormat="1" x14ac:dyDescent="0.2"/>
    <row r="64829" customFormat="1" x14ac:dyDescent="0.2"/>
    <row r="64830" customFormat="1" x14ac:dyDescent="0.2"/>
    <row r="64831" customFormat="1" x14ac:dyDescent="0.2"/>
    <row r="64832" customFormat="1" x14ac:dyDescent="0.2"/>
    <row r="64833" customFormat="1" x14ac:dyDescent="0.2"/>
    <row r="64834" customFormat="1" x14ac:dyDescent="0.2"/>
    <row r="64835" customFormat="1" x14ac:dyDescent="0.2"/>
    <row r="64836" customFormat="1" x14ac:dyDescent="0.2"/>
    <row r="64837" customFormat="1" x14ac:dyDescent="0.2"/>
    <row r="64838" customFormat="1" x14ac:dyDescent="0.2"/>
    <row r="64839" customFormat="1" x14ac:dyDescent="0.2"/>
    <row r="64840" customFormat="1" x14ac:dyDescent="0.2"/>
    <row r="64841" customFormat="1" x14ac:dyDescent="0.2"/>
    <row r="64842" customFormat="1" x14ac:dyDescent="0.2"/>
    <row r="64843" customFormat="1" x14ac:dyDescent="0.2"/>
    <row r="64844" customFormat="1" x14ac:dyDescent="0.2"/>
    <row r="64845" customFormat="1" x14ac:dyDescent="0.2"/>
    <row r="64846" customFormat="1" x14ac:dyDescent="0.2"/>
    <row r="64847" customFormat="1" x14ac:dyDescent="0.2"/>
    <row r="64848" customFormat="1" x14ac:dyDescent="0.2"/>
    <row r="64849" customFormat="1" x14ac:dyDescent="0.2"/>
    <row r="64850" customFormat="1" x14ac:dyDescent="0.2"/>
    <row r="64851" customFormat="1" x14ac:dyDescent="0.2"/>
    <row r="64852" customFormat="1" x14ac:dyDescent="0.2"/>
    <row r="64853" customFormat="1" x14ac:dyDescent="0.2"/>
    <row r="64854" customFormat="1" x14ac:dyDescent="0.2"/>
    <row r="64855" customFormat="1" x14ac:dyDescent="0.2"/>
    <row r="64856" customFormat="1" x14ac:dyDescent="0.2"/>
    <row r="64857" customFormat="1" x14ac:dyDescent="0.2"/>
    <row r="64858" customFormat="1" x14ac:dyDescent="0.2"/>
    <row r="64859" customFormat="1" x14ac:dyDescent="0.2"/>
    <row r="64860" customFormat="1" x14ac:dyDescent="0.2"/>
    <row r="64861" customFormat="1" x14ac:dyDescent="0.2"/>
    <row r="64862" customFormat="1" x14ac:dyDescent="0.2"/>
    <row r="64863" customFormat="1" x14ac:dyDescent="0.2"/>
    <row r="64864" customFormat="1" x14ac:dyDescent="0.2"/>
    <row r="64865" customFormat="1" x14ac:dyDescent="0.2"/>
    <row r="64866" customFormat="1" x14ac:dyDescent="0.2"/>
    <row r="64867" customFormat="1" x14ac:dyDescent="0.2"/>
    <row r="64868" customFormat="1" x14ac:dyDescent="0.2"/>
    <row r="64869" customFormat="1" x14ac:dyDescent="0.2"/>
    <row r="64870" customFormat="1" x14ac:dyDescent="0.2"/>
    <row r="64871" customFormat="1" x14ac:dyDescent="0.2"/>
    <row r="64872" customFormat="1" x14ac:dyDescent="0.2"/>
    <row r="64873" customFormat="1" x14ac:dyDescent="0.2"/>
    <row r="64874" customFormat="1" x14ac:dyDescent="0.2"/>
    <row r="64875" customFormat="1" x14ac:dyDescent="0.2"/>
    <row r="64876" customFormat="1" x14ac:dyDescent="0.2"/>
    <row r="64877" customFormat="1" x14ac:dyDescent="0.2"/>
    <row r="64878" customFormat="1" x14ac:dyDescent="0.2"/>
    <row r="64879" customFormat="1" x14ac:dyDescent="0.2"/>
    <row r="64880" customFormat="1" x14ac:dyDescent="0.2"/>
    <row r="64881" customFormat="1" x14ac:dyDescent="0.2"/>
    <row r="64882" customFormat="1" x14ac:dyDescent="0.2"/>
    <row r="64883" customFormat="1" x14ac:dyDescent="0.2"/>
    <row r="64884" customFormat="1" x14ac:dyDescent="0.2"/>
    <row r="64885" customFormat="1" x14ac:dyDescent="0.2"/>
    <row r="64886" customFormat="1" x14ac:dyDescent="0.2"/>
    <row r="64887" customFormat="1" x14ac:dyDescent="0.2"/>
    <row r="64888" customFormat="1" x14ac:dyDescent="0.2"/>
    <row r="64889" customFormat="1" x14ac:dyDescent="0.2"/>
    <row r="64890" customFormat="1" x14ac:dyDescent="0.2"/>
    <row r="64891" customFormat="1" x14ac:dyDescent="0.2"/>
    <row r="64892" customFormat="1" x14ac:dyDescent="0.2"/>
    <row r="64893" customFormat="1" x14ac:dyDescent="0.2"/>
    <row r="64894" customFormat="1" x14ac:dyDescent="0.2"/>
    <row r="64895" customFormat="1" x14ac:dyDescent="0.2"/>
    <row r="64896" customFormat="1" x14ac:dyDescent="0.2"/>
    <row r="64897" customFormat="1" x14ac:dyDescent="0.2"/>
    <row r="64898" customFormat="1" x14ac:dyDescent="0.2"/>
    <row r="64899" customFormat="1" x14ac:dyDescent="0.2"/>
    <row r="64900" customFormat="1" x14ac:dyDescent="0.2"/>
    <row r="64901" customFormat="1" x14ac:dyDescent="0.2"/>
    <row r="64902" customFormat="1" x14ac:dyDescent="0.2"/>
    <row r="64903" customFormat="1" x14ac:dyDescent="0.2"/>
    <row r="64904" customFormat="1" x14ac:dyDescent="0.2"/>
    <row r="64905" customFormat="1" x14ac:dyDescent="0.2"/>
    <row r="64906" customFormat="1" x14ac:dyDescent="0.2"/>
    <row r="64907" customFormat="1" x14ac:dyDescent="0.2"/>
    <row r="64908" customFormat="1" x14ac:dyDescent="0.2"/>
    <row r="64909" customFormat="1" x14ac:dyDescent="0.2"/>
    <row r="64910" customFormat="1" x14ac:dyDescent="0.2"/>
    <row r="64911" customFormat="1" x14ac:dyDescent="0.2"/>
    <row r="64912" customFormat="1" x14ac:dyDescent="0.2"/>
    <row r="64913" customFormat="1" x14ac:dyDescent="0.2"/>
    <row r="64914" customFormat="1" x14ac:dyDescent="0.2"/>
    <row r="64915" customFormat="1" x14ac:dyDescent="0.2"/>
    <row r="64916" customFormat="1" x14ac:dyDescent="0.2"/>
    <row r="64917" customFormat="1" x14ac:dyDescent="0.2"/>
    <row r="64918" customFormat="1" x14ac:dyDescent="0.2"/>
    <row r="64919" customFormat="1" x14ac:dyDescent="0.2"/>
    <row r="64920" customFormat="1" x14ac:dyDescent="0.2"/>
    <row r="64921" customFormat="1" x14ac:dyDescent="0.2"/>
    <row r="64922" customFormat="1" x14ac:dyDescent="0.2"/>
    <row r="64923" customFormat="1" x14ac:dyDescent="0.2"/>
    <row r="64924" customFormat="1" x14ac:dyDescent="0.2"/>
    <row r="64925" customFormat="1" x14ac:dyDescent="0.2"/>
    <row r="64926" customFormat="1" x14ac:dyDescent="0.2"/>
    <row r="64927" customFormat="1" x14ac:dyDescent="0.2"/>
    <row r="64928" customFormat="1" x14ac:dyDescent="0.2"/>
    <row r="64929" customFormat="1" x14ac:dyDescent="0.2"/>
    <row r="64930" customFormat="1" x14ac:dyDescent="0.2"/>
    <row r="64931" customFormat="1" x14ac:dyDescent="0.2"/>
    <row r="64932" customFormat="1" x14ac:dyDescent="0.2"/>
    <row r="64933" customFormat="1" x14ac:dyDescent="0.2"/>
    <row r="64934" customFormat="1" x14ac:dyDescent="0.2"/>
    <row r="64935" customFormat="1" x14ac:dyDescent="0.2"/>
    <row r="64936" customFormat="1" x14ac:dyDescent="0.2"/>
    <row r="64937" customFormat="1" x14ac:dyDescent="0.2"/>
    <row r="64938" customFormat="1" x14ac:dyDescent="0.2"/>
    <row r="64939" customFormat="1" x14ac:dyDescent="0.2"/>
    <row r="64940" customFormat="1" x14ac:dyDescent="0.2"/>
    <row r="64941" customFormat="1" x14ac:dyDescent="0.2"/>
    <row r="64942" customFormat="1" x14ac:dyDescent="0.2"/>
    <row r="64943" customFormat="1" x14ac:dyDescent="0.2"/>
    <row r="64944" customFormat="1" x14ac:dyDescent="0.2"/>
    <row r="64945" customFormat="1" x14ac:dyDescent="0.2"/>
    <row r="64946" customFormat="1" x14ac:dyDescent="0.2"/>
    <row r="64947" customFormat="1" x14ac:dyDescent="0.2"/>
    <row r="64948" customFormat="1" x14ac:dyDescent="0.2"/>
    <row r="64949" customFormat="1" x14ac:dyDescent="0.2"/>
    <row r="64950" customFormat="1" x14ac:dyDescent="0.2"/>
    <row r="64951" customFormat="1" x14ac:dyDescent="0.2"/>
    <row r="64952" customFormat="1" x14ac:dyDescent="0.2"/>
    <row r="64953" customFormat="1" x14ac:dyDescent="0.2"/>
    <row r="64954" customFormat="1" x14ac:dyDescent="0.2"/>
    <row r="64955" customFormat="1" x14ac:dyDescent="0.2"/>
    <row r="64956" customFormat="1" x14ac:dyDescent="0.2"/>
    <row r="64957" customFormat="1" x14ac:dyDescent="0.2"/>
    <row r="64958" customFormat="1" x14ac:dyDescent="0.2"/>
    <row r="64959" customFormat="1" x14ac:dyDescent="0.2"/>
    <row r="64960" customFormat="1" x14ac:dyDescent="0.2"/>
    <row r="64961" customFormat="1" x14ac:dyDescent="0.2"/>
    <row r="64962" customFormat="1" x14ac:dyDescent="0.2"/>
    <row r="64963" customFormat="1" x14ac:dyDescent="0.2"/>
    <row r="64964" customFormat="1" x14ac:dyDescent="0.2"/>
    <row r="64965" customFormat="1" x14ac:dyDescent="0.2"/>
    <row r="64966" customFormat="1" x14ac:dyDescent="0.2"/>
    <row r="64967" customFormat="1" x14ac:dyDescent="0.2"/>
    <row r="64968" customFormat="1" x14ac:dyDescent="0.2"/>
    <row r="64969" customFormat="1" x14ac:dyDescent="0.2"/>
    <row r="64970" customFormat="1" x14ac:dyDescent="0.2"/>
    <row r="64971" customFormat="1" x14ac:dyDescent="0.2"/>
    <row r="64972" customFormat="1" x14ac:dyDescent="0.2"/>
    <row r="64973" customFormat="1" x14ac:dyDescent="0.2"/>
    <row r="64974" customFormat="1" x14ac:dyDescent="0.2"/>
    <row r="64975" customFormat="1" x14ac:dyDescent="0.2"/>
    <row r="64976" customFormat="1" x14ac:dyDescent="0.2"/>
    <row r="64977" customFormat="1" x14ac:dyDescent="0.2"/>
    <row r="64978" customFormat="1" x14ac:dyDescent="0.2"/>
    <row r="64979" customFormat="1" x14ac:dyDescent="0.2"/>
    <row r="64980" customFormat="1" x14ac:dyDescent="0.2"/>
    <row r="64981" customFormat="1" x14ac:dyDescent="0.2"/>
    <row r="64982" customFormat="1" x14ac:dyDescent="0.2"/>
    <row r="64983" customFormat="1" x14ac:dyDescent="0.2"/>
    <row r="64984" customFormat="1" x14ac:dyDescent="0.2"/>
    <row r="64985" customFormat="1" x14ac:dyDescent="0.2"/>
    <row r="64986" customFormat="1" x14ac:dyDescent="0.2"/>
    <row r="64987" customFormat="1" x14ac:dyDescent="0.2"/>
    <row r="64988" customFormat="1" x14ac:dyDescent="0.2"/>
    <row r="64989" customFormat="1" x14ac:dyDescent="0.2"/>
    <row r="64990" customFormat="1" x14ac:dyDescent="0.2"/>
    <row r="64991" customFormat="1" x14ac:dyDescent="0.2"/>
    <row r="64992" customFormat="1" x14ac:dyDescent="0.2"/>
    <row r="64993" customFormat="1" x14ac:dyDescent="0.2"/>
    <row r="64994" customFormat="1" x14ac:dyDescent="0.2"/>
    <row r="64995" customFormat="1" x14ac:dyDescent="0.2"/>
    <row r="64996" customFormat="1" x14ac:dyDescent="0.2"/>
    <row r="64997" customFormat="1" x14ac:dyDescent="0.2"/>
    <row r="64998" customFormat="1" x14ac:dyDescent="0.2"/>
    <row r="64999" customFormat="1" x14ac:dyDescent="0.2"/>
    <row r="65000" customFormat="1" x14ac:dyDescent="0.2"/>
    <row r="65001" customFormat="1" x14ac:dyDescent="0.2"/>
    <row r="65002" customFormat="1" x14ac:dyDescent="0.2"/>
    <row r="65003" customFormat="1" x14ac:dyDescent="0.2"/>
    <row r="65004" customFormat="1" x14ac:dyDescent="0.2"/>
    <row r="65005" customFormat="1" x14ac:dyDescent="0.2"/>
    <row r="65006" customFormat="1" x14ac:dyDescent="0.2"/>
    <row r="65007" customFormat="1" x14ac:dyDescent="0.2"/>
    <row r="65008" customFormat="1" x14ac:dyDescent="0.2"/>
    <row r="65009" customFormat="1" x14ac:dyDescent="0.2"/>
    <row r="65010" customFormat="1" x14ac:dyDescent="0.2"/>
    <row r="65011" customFormat="1" x14ac:dyDescent="0.2"/>
    <row r="65012" customFormat="1" x14ac:dyDescent="0.2"/>
    <row r="65013" customFormat="1" x14ac:dyDescent="0.2"/>
    <row r="65014" customFormat="1" x14ac:dyDescent="0.2"/>
    <row r="65015" customFormat="1" x14ac:dyDescent="0.2"/>
    <row r="65016" customFormat="1" x14ac:dyDescent="0.2"/>
    <row r="65017" customFormat="1" x14ac:dyDescent="0.2"/>
    <row r="65018" customFormat="1" x14ac:dyDescent="0.2"/>
    <row r="65019" customFormat="1" x14ac:dyDescent="0.2"/>
    <row r="65020" customFormat="1" x14ac:dyDescent="0.2"/>
    <row r="65021" customFormat="1" x14ac:dyDescent="0.2"/>
    <row r="65022" customFormat="1" x14ac:dyDescent="0.2"/>
    <row r="65023" customFormat="1" x14ac:dyDescent="0.2"/>
    <row r="65024" customFormat="1" x14ac:dyDescent="0.2"/>
    <row r="65025" customFormat="1" x14ac:dyDescent="0.2"/>
    <row r="65026" customFormat="1" x14ac:dyDescent="0.2"/>
    <row r="65027" customFormat="1" x14ac:dyDescent="0.2"/>
    <row r="65028" customFormat="1" x14ac:dyDescent="0.2"/>
    <row r="65029" customFormat="1" x14ac:dyDescent="0.2"/>
    <row r="65030" customFormat="1" x14ac:dyDescent="0.2"/>
    <row r="65031" customFormat="1" x14ac:dyDescent="0.2"/>
    <row r="65032" customFormat="1" x14ac:dyDescent="0.2"/>
    <row r="65033" customFormat="1" x14ac:dyDescent="0.2"/>
    <row r="65034" customFormat="1" x14ac:dyDescent="0.2"/>
    <row r="65035" customFormat="1" x14ac:dyDescent="0.2"/>
    <row r="65036" customFormat="1" x14ac:dyDescent="0.2"/>
    <row r="65037" customFormat="1" x14ac:dyDescent="0.2"/>
    <row r="65038" customFormat="1" x14ac:dyDescent="0.2"/>
    <row r="65039" customFormat="1" x14ac:dyDescent="0.2"/>
    <row r="65040" customFormat="1" x14ac:dyDescent="0.2"/>
    <row r="65041" customFormat="1" x14ac:dyDescent="0.2"/>
    <row r="65042" customFormat="1" x14ac:dyDescent="0.2"/>
    <row r="65043" customFormat="1" x14ac:dyDescent="0.2"/>
    <row r="65044" customFormat="1" x14ac:dyDescent="0.2"/>
    <row r="65045" customFormat="1" x14ac:dyDescent="0.2"/>
    <row r="65046" customFormat="1" x14ac:dyDescent="0.2"/>
    <row r="65047" customFormat="1" x14ac:dyDescent="0.2"/>
    <row r="65048" customFormat="1" x14ac:dyDescent="0.2"/>
    <row r="65049" customFormat="1" x14ac:dyDescent="0.2"/>
    <row r="65050" customFormat="1" x14ac:dyDescent="0.2"/>
    <row r="65051" customFormat="1" x14ac:dyDescent="0.2"/>
    <row r="65052" customFormat="1" x14ac:dyDescent="0.2"/>
    <row r="65053" customFormat="1" x14ac:dyDescent="0.2"/>
    <row r="65054" customFormat="1" x14ac:dyDescent="0.2"/>
    <row r="65055" customFormat="1" x14ac:dyDescent="0.2"/>
    <row r="65056" customFormat="1" x14ac:dyDescent="0.2"/>
    <row r="65057" customFormat="1" x14ac:dyDescent="0.2"/>
    <row r="65058" customFormat="1" x14ac:dyDescent="0.2"/>
    <row r="65059" customFormat="1" x14ac:dyDescent="0.2"/>
    <row r="65060" customFormat="1" x14ac:dyDescent="0.2"/>
    <row r="65061" customFormat="1" x14ac:dyDescent="0.2"/>
    <row r="65062" customFormat="1" x14ac:dyDescent="0.2"/>
    <row r="65063" customFormat="1" x14ac:dyDescent="0.2"/>
    <row r="65064" customFormat="1" x14ac:dyDescent="0.2"/>
    <row r="65065" customFormat="1" x14ac:dyDescent="0.2"/>
    <row r="65066" customFormat="1" x14ac:dyDescent="0.2"/>
    <row r="65067" customFormat="1" x14ac:dyDescent="0.2"/>
    <row r="65068" customFormat="1" x14ac:dyDescent="0.2"/>
    <row r="65069" customFormat="1" x14ac:dyDescent="0.2"/>
    <row r="65070" customFormat="1" x14ac:dyDescent="0.2"/>
    <row r="65071" customFormat="1" x14ac:dyDescent="0.2"/>
    <row r="65072" customFormat="1" x14ac:dyDescent="0.2"/>
    <row r="65073" customFormat="1" x14ac:dyDescent="0.2"/>
    <row r="65074" customFormat="1" x14ac:dyDescent="0.2"/>
    <row r="65075" customFormat="1" x14ac:dyDescent="0.2"/>
    <row r="65076" customFormat="1" x14ac:dyDescent="0.2"/>
    <row r="65077" customFormat="1" x14ac:dyDescent="0.2"/>
    <row r="65078" customFormat="1" x14ac:dyDescent="0.2"/>
    <row r="65079" customFormat="1" x14ac:dyDescent="0.2"/>
    <row r="65080" customFormat="1" x14ac:dyDescent="0.2"/>
    <row r="65081" customFormat="1" x14ac:dyDescent="0.2"/>
    <row r="65082" customFormat="1" x14ac:dyDescent="0.2"/>
    <row r="65083" customFormat="1" x14ac:dyDescent="0.2"/>
    <row r="65084" customFormat="1" x14ac:dyDescent="0.2"/>
    <row r="65085" customFormat="1" x14ac:dyDescent="0.2"/>
    <row r="65086" customFormat="1" x14ac:dyDescent="0.2"/>
    <row r="65087" customFormat="1" x14ac:dyDescent="0.2"/>
    <row r="65088" customFormat="1" x14ac:dyDescent="0.2"/>
    <row r="65089" customFormat="1" x14ac:dyDescent="0.2"/>
    <row r="65090" customFormat="1" x14ac:dyDescent="0.2"/>
    <row r="65091" customFormat="1" x14ac:dyDescent="0.2"/>
    <row r="65092" customFormat="1" x14ac:dyDescent="0.2"/>
    <row r="65093" customFormat="1" x14ac:dyDescent="0.2"/>
    <row r="65094" customFormat="1" x14ac:dyDescent="0.2"/>
    <row r="65095" customFormat="1" x14ac:dyDescent="0.2"/>
    <row r="65096" customFormat="1" x14ac:dyDescent="0.2"/>
    <row r="65097" customFormat="1" x14ac:dyDescent="0.2"/>
    <row r="65098" customFormat="1" x14ac:dyDescent="0.2"/>
    <row r="65099" customFormat="1" x14ac:dyDescent="0.2"/>
    <row r="65100" customFormat="1" x14ac:dyDescent="0.2"/>
    <row r="65101" customFormat="1" x14ac:dyDescent="0.2"/>
    <row r="65102" customFormat="1" x14ac:dyDescent="0.2"/>
    <row r="65103" customFormat="1" x14ac:dyDescent="0.2"/>
    <row r="65104" customFormat="1" x14ac:dyDescent="0.2"/>
    <row r="65105" customFormat="1" x14ac:dyDescent="0.2"/>
    <row r="65106" customFormat="1" x14ac:dyDescent="0.2"/>
    <row r="65107" customFormat="1" x14ac:dyDescent="0.2"/>
    <row r="65108" customFormat="1" x14ac:dyDescent="0.2"/>
    <row r="65109" customFormat="1" x14ac:dyDescent="0.2"/>
    <row r="65110" customFormat="1" x14ac:dyDescent="0.2"/>
    <row r="65111" customFormat="1" x14ac:dyDescent="0.2"/>
    <row r="65112" customFormat="1" x14ac:dyDescent="0.2"/>
    <row r="65113" customFormat="1" x14ac:dyDescent="0.2"/>
    <row r="65114" customFormat="1" x14ac:dyDescent="0.2"/>
    <row r="65115" customFormat="1" x14ac:dyDescent="0.2"/>
    <row r="65116" customFormat="1" x14ac:dyDescent="0.2"/>
    <row r="65117" customFormat="1" x14ac:dyDescent="0.2"/>
    <row r="65118" customFormat="1" x14ac:dyDescent="0.2"/>
    <row r="65119" customFormat="1" x14ac:dyDescent="0.2"/>
    <row r="65120" customFormat="1" x14ac:dyDescent="0.2"/>
    <row r="65121" customFormat="1" x14ac:dyDescent="0.2"/>
    <row r="65122" customFormat="1" x14ac:dyDescent="0.2"/>
    <row r="65123" customFormat="1" x14ac:dyDescent="0.2"/>
    <row r="65124" customFormat="1" x14ac:dyDescent="0.2"/>
    <row r="65125" customFormat="1" x14ac:dyDescent="0.2"/>
    <row r="65126" customFormat="1" x14ac:dyDescent="0.2"/>
    <row r="65127" customFormat="1" x14ac:dyDescent="0.2"/>
    <row r="65128" customFormat="1" x14ac:dyDescent="0.2"/>
    <row r="65129" customFormat="1" x14ac:dyDescent="0.2"/>
    <row r="65130" customFormat="1" x14ac:dyDescent="0.2"/>
    <row r="65131" customFormat="1" x14ac:dyDescent="0.2"/>
    <row r="65132" customFormat="1" x14ac:dyDescent="0.2"/>
    <row r="65133" customFormat="1" x14ac:dyDescent="0.2"/>
    <row r="65134" customFormat="1" x14ac:dyDescent="0.2"/>
    <row r="65135" customFormat="1" x14ac:dyDescent="0.2"/>
    <row r="65136" customFormat="1" x14ac:dyDescent="0.2"/>
    <row r="65137" customFormat="1" x14ac:dyDescent="0.2"/>
    <row r="65138" customFormat="1" x14ac:dyDescent="0.2"/>
    <row r="65139" customFormat="1" x14ac:dyDescent="0.2"/>
    <row r="65140" customFormat="1" x14ac:dyDescent="0.2"/>
    <row r="65141" customFormat="1" x14ac:dyDescent="0.2"/>
    <row r="65142" customFormat="1" x14ac:dyDescent="0.2"/>
    <row r="65143" customFormat="1" x14ac:dyDescent="0.2"/>
    <row r="65144" customFormat="1" x14ac:dyDescent="0.2"/>
    <row r="65145" customFormat="1" x14ac:dyDescent="0.2"/>
    <row r="65146" customFormat="1" x14ac:dyDescent="0.2"/>
    <row r="65147" customFormat="1" x14ac:dyDescent="0.2"/>
    <row r="65148" customFormat="1" x14ac:dyDescent="0.2"/>
    <row r="65149" customFormat="1" x14ac:dyDescent="0.2"/>
    <row r="65150" customFormat="1" x14ac:dyDescent="0.2"/>
    <row r="65151" customFormat="1" x14ac:dyDescent="0.2"/>
    <row r="65152" customFormat="1" x14ac:dyDescent="0.2"/>
    <row r="65153" customFormat="1" x14ac:dyDescent="0.2"/>
    <row r="65154" customFormat="1" x14ac:dyDescent="0.2"/>
    <row r="65155" customFormat="1" x14ac:dyDescent="0.2"/>
    <row r="65156" customFormat="1" x14ac:dyDescent="0.2"/>
    <row r="65157" customFormat="1" x14ac:dyDescent="0.2"/>
    <row r="65158" customFormat="1" x14ac:dyDescent="0.2"/>
    <row r="65159" customFormat="1" x14ac:dyDescent="0.2"/>
    <row r="65160" customFormat="1" x14ac:dyDescent="0.2"/>
    <row r="65161" customFormat="1" x14ac:dyDescent="0.2"/>
    <row r="65162" customFormat="1" x14ac:dyDescent="0.2"/>
    <row r="65163" customFormat="1" x14ac:dyDescent="0.2"/>
    <row r="65164" customFormat="1" x14ac:dyDescent="0.2"/>
    <row r="65165" customFormat="1" x14ac:dyDescent="0.2"/>
    <row r="65166" customFormat="1" x14ac:dyDescent="0.2"/>
    <row r="65167" customFormat="1" x14ac:dyDescent="0.2"/>
    <row r="65168" customFormat="1" x14ac:dyDescent="0.2"/>
    <row r="65169" customFormat="1" x14ac:dyDescent="0.2"/>
    <row r="65170" customFormat="1" x14ac:dyDescent="0.2"/>
    <row r="65171" customFormat="1" x14ac:dyDescent="0.2"/>
    <row r="65172" customFormat="1" x14ac:dyDescent="0.2"/>
    <row r="65173" customFormat="1" x14ac:dyDescent="0.2"/>
    <row r="65174" customFormat="1" x14ac:dyDescent="0.2"/>
    <row r="65175" customFormat="1" x14ac:dyDescent="0.2"/>
    <row r="65176" customFormat="1" x14ac:dyDescent="0.2"/>
    <row r="65177" customFormat="1" x14ac:dyDescent="0.2"/>
    <row r="65178" customFormat="1" x14ac:dyDescent="0.2"/>
    <row r="65179" customFormat="1" x14ac:dyDescent="0.2"/>
    <row r="65180" customFormat="1" x14ac:dyDescent="0.2"/>
    <row r="65181" customFormat="1" x14ac:dyDescent="0.2"/>
    <row r="65182" customFormat="1" x14ac:dyDescent="0.2"/>
    <row r="65183" customFormat="1" x14ac:dyDescent="0.2"/>
    <row r="65184" customFormat="1" x14ac:dyDescent="0.2"/>
    <row r="65185" customFormat="1" x14ac:dyDescent="0.2"/>
    <row r="65186" customFormat="1" x14ac:dyDescent="0.2"/>
    <row r="65187" customFormat="1" x14ac:dyDescent="0.2"/>
    <row r="65188" customFormat="1" x14ac:dyDescent="0.2"/>
    <row r="65189" customFormat="1" x14ac:dyDescent="0.2"/>
    <row r="65190" customFormat="1" x14ac:dyDescent="0.2"/>
    <row r="65191" customFormat="1" x14ac:dyDescent="0.2"/>
    <row r="65192" customFormat="1" x14ac:dyDescent="0.2"/>
    <row r="65193" customFormat="1" x14ac:dyDescent="0.2"/>
    <row r="65194" customFormat="1" x14ac:dyDescent="0.2"/>
    <row r="65195" customFormat="1" x14ac:dyDescent="0.2"/>
    <row r="65196" customFormat="1" x14ac:dyDescent="0.2"/>
    <row r="65197" customFormat="1" x14ac:dyDescent="0.2"/>
    <row r="65198" customFormat="1" x14ac:dyDescent="0.2"/>
    <row r="65199" customFormat="1" x14ac:dyDescent="0.2"/>
    <row r="65200" customFormat="1" x14ac:dyDescent="0.2"/>
    <row r="65201" customFormat="1" x14ac:dyDescent="0.2"/>
    <row r="65202" customFormat="1" x14ac:dyDescent="0.2"/>
    <row r="65203" customFormat="1" x14ac:dyDescent="0.2"/>
    <row r="65204" customFormat="1" x14ac:dyDescent="0.2"/>
    <row r="65205" customFormat="1" x14ac:dyDescent="0.2"/>
    <row r="65206" customFormat="1" x14ac:dyDescent="0.2"/>
    <row r="65207" customFormat="1" x14ac:dyDescent="0.2"/>
    <row r="65208" customFormat="1" x14ac:dyDescent="0.2"/>
    <row r="65209" customFormat="1" x14ac:dyDescent="0.2"/>
    <row r="65210" customFormat="1" x14ac:dyDescent="0.2"/>
    <row r="65211" customFormat="1" x14ac:dyDescent="0.2"/>
    <row r="65212" customFormat="1" x14ac:dyDescent="0.2"/>
    <row r="65213" customFormat="1" x14ac:dyDescent="0.2"/>
    <row r="65214" customFormat="1" x14ac:dyDescent="0.2"/>
    <row r="65215" customFormat="1" x14ac:dyDescent="0.2"/>
    <row r="65216" customFormat="1" x14ac:dyDescent="0.2"/>
    <row r="65217" customFormat="1" x14ac:dyDescent="0.2"/>
    <row r="65218" customFormat="1" x14ac:dyDescent="0.2"/>
    <row r="65219" customFormat="1" x14ac:dyDescent="0.2"/>
    <row r="65220" customFormat="1" x14ac:dyDescent="0.2"/>
    <row r="65221" customFormat="1" x14ac:dyDescent="0.2"/>
    <row r="65222" customFormat="1" x14ac:dyDescent="0.2"/>
    <row r="65223" customFormat="1" x14ac:dyDescent="0.2"/>
    <row r="65224" customFormat="1" x14ac:dyDescent="0.2"/>
    <row r="65225" customFormat="1" x14ac:dyDescent="0.2"/>
    <row r="65226" customFormat="1" x14ac:dyDescent="0.2"/>
    <row r="65227" customFormat="1" x14ac:dyDescent="0.2"/>
    <row r="65228" customFormat="1" x14ac:dyDescent="0.2"/>
    <row r="65229" customFormat="1" x14ac:dyDescent="0.2"/>
    <row r="65230" customFormat="1" x14ac:dyDescent="0.2"/>
    <row r="65231" customFormat="1" x14ac:dyDescent="0.2"/>
    <row r="65232" customFormat="1" x14ac:dyDescent="0.2"/>
    <row r="65233" customFormat="1" x14ac:dyDescent="0.2"/>
    <row r="65234" customFormat="1" x14ac:dyDescent="0.2"/>
    <row r="65235" customFormat="1" x14ac:dyDescent="0.2"/>
    <row r="65236" customFormat="1" x14ac:dyDescent="0.2"/>
    <row r="65237" customFormat="1" x14ac:dyDescent="0.2"/>
    <row r="65238" customFormat="1" x14ac:dyDescent="0.2"/>
    <row r="65239" customFormat="1" x14ac:dyDescent="0.2"/>
    <row r="65240" customFormat="1" x14ac:dyDescent="0.2"/>
    <row r="65241" customFormat="1" x14ac:dyDescent="0.2"/>
    <row r="65242" customFormat="1" x14ac:dyDescent="0.2"/>
    <row r="65243" customFormat="1" x14ac:dyDescent="0.2"/>
    <row r="65244" customFormat="1" x14ac:dyDescent="0.2"/>
    <row r="65245" customFormat="1" x14ac:dyDescent="0.2"/>
    <row r="65246" customFormat="1" x14ac:dyDescent="0.2"/>
    <row r="65247" customFormat="1" x14ac:dyDescent="0.2"/>
    <row r="65248" customFormat="1" x14ac:dyDescent="0.2"/>
    <row r="65249" customFormat="1" x14ac:dyDescent="0.2"/>
    <row r="65250" customFormat="1" x14ac:dyDescent="0.2"/>
    <row r="65251" customFormat="1" x14ac:dyDescent="0.2"/>
    <row r="65252" customFormat="1" x14ac:dyDescent="0.2"/>
    <row r="65253" customFormat="1" x14ac:dyDescent="0.2"/>
    <row r="65254" customFormat="1" x14ac:dyDescent="0.2"/>
    <row r="65255" customFormat="1" x14ac:dyDescent="0.2"/>
    <row r="65256" customFormat="1" x14ac:dyDescent="0.2"/>
    <row r="65257" customFormat="1" x14ac:dyDescent="0.2"/>
    <row r="65258" customFormat="1" x14ac:dyDescent="0.2"/>
    <row r="65259" customFormat="1" x14ac:dyDescent="0.2"/>
    <row r="65260" customFormat="1" x14ac:dyDescent="0.2"/>
    <row r="65261" customFormat="1" x14ac:dyDescent="0.2"/>
    <row r="65262" customFormat="1" x14ac:dyDescent="0.2"/>
    <row r="65263" customFormat="1" x14ac:dyDescent="0.2"/>
    <row r="65264" customFormat="1" x14ac:dyDescent="0.2"/>
    <row r="65265" customFormat="1" x14ac:dyDescent="0.2"/>
    <row r="65266" customFormat="1" x14ac:dyDescent="0.2"/>
    <row r="65267" customFormat="1" x14ac:dyDescent="0.2"/>
    <row r="65268" customFormat="1" x14ac:dyDescent="0.2"/>
    <row r="65269" customFormat="1" x14ac:dyDescent="0.2"/>
    <row r="65270" customFormat="1" x14ac:dyDescent="0.2"/>
    <row r="65271" customFormat="1" x14ac:dyDescent="0.2"/>
    <row r="65272" customFormat="1" x14ac:dyDescent="0.2"/>
    <row r="65273" customFormat="1" x14ac:dyDescent="0.2"/>
    <row r="65274" customFormat="1" x14ac:dyDescent="0.2"/>
    <row r="65275" customFormat="1" x14ac:dyDescent="0.2"/>
    <row r="65276" customFormat="1" x14ac:dyDescent="0.2"/>
    <row r="65277" customFormat="1" x14ac:dyDescent="0.2"/>
    <row r="65278" customFormat="1" x14ac:dyDescent="0.2"/>
    <row r="65279" customFormat="1" x14ac:dyDescent="0.2"/>
    <row r="65280" customFormat="1" x14ac:dyDescent="0.2"/>
    <row r="65281" customFormat="1" x14ac:dyDescent="0.2"/>
    <row r="65282" customFormat="1" x14ac:dyDescent="0.2"/>
    <row r="65283" customFormat="1" x14ac:dyDescent="0.2"/>
    <row r="65284" customFormat="1" x14ac:dyDescent="0.2"/>
    <row r="65285" customFormat="1" x14ac:dyDescent="0.2"/>
    <row r="65286" customFormat="1" x14ac:dyDescent="0.2"/>
    <row r="65287" customFormat="1" x14ac:dyDescent="0.2"/>
    <row r="65288" customFormat="1" x14ac:dyDescent="0.2"/>
    <row r="65289" customFormat="1" x14ac:dyDescent="0.2"/>
    <row r="65290" customFormat="1" x14ac:dyDescent="0.2"/>
    <row r="65291" customFormat="1" x14ac:dyDescent="0.2"/>
    <row r="65292" customFormat="1" x14ac:dyDescent="0.2"/>
    <row r="65293" customFormat="1" x14ac:dyDescent="0.2"/>
    <row r="65294" customFormat="1" x14ac:dyDescent="0.2"/>
    <row r="65295" customFormat="1" x14ac:dyDescent="0.2"/>
    <row r="65296" customFormat="1" x14ac:dyDescent="0.2"/>
    <row r="65297" customFormat="1" x14ac:dyDescent="0.2"/>
    <row r="65298" customFormat="1" x14ac:dyDescent="0.2"/>
    <row r="65299" customFormat="1" x14ac:dyDescent="0.2"/>
    <row r="65300" customFormat="1" x14ac:dyDescent="0.2"/>
    <row r="65301" customFormat="1" x14ac:dyDescent="0.2"/>
    <row r="65302" customFormat="1" x14ac:dyDescent="0.2"/>
    <row r="65303" customFormat="1" x14ac:dyDescent="0.2"/>
    <row r="65304" customFormat="1" x14ac:dyDescent="0.2"/>
    <row r="65305" customFormat="1" x14ac:dyDescent="0.2"/>
    <row r="65306" customFormat="1" x14ac:dyDescent="0.2"/>
    <row r="65307" customFormat="1" x14ac:dyDescent="0.2"/>
    <row r="65308" customFormat="1" x14ac:dyDescent="0.2"/>
    <row r="65309" customFormat="1" x14ac:dyDescent="0.2"/>
    <row r="65310" customFormat="1" x14ac:dyDescent="0.2"/>
    <row r="65311" customFormat="1" x14ac:dyDescent="0.2"/>
    <row r="65312" customFormat="1" x14ac:dyDescent="0.2"/>
    <row r="65313" customFormat="1" x14ac:dyDescent="0.2"/>
    <row r="65314" customFormat="1" x14ac:dyDescent="0.2"/>
    <row r="65315" customFormat="1" x14ac:dyDescent="0.2"/>
    <row r="65316" customFormat="1" x14ac:dyDescent="0.2"/>
    <row r="65317" customFormat="1" x14ac:dyDescent="0.2"/>
    <row r="65318" customFormat="1" x14ac:dyDescent="0.2"/>
    <row r="65319" customFormat="1" x14ac:dyDescent="0.2"/>
    <row r="65320" customFormat="1" x14ac:dyDescent="0.2"/>
    <row r="65321" customFormat="1" x14ac:dyDescent="0.2"/>
    <row r="65322" customFormat="1" x14ac:dyDescent="0.2"/>
    <row r="65323" customFormat="1" x14ac:dyDescent="0.2"/>
    <row r="65324" customFormat="1" x14ac:dyDescent="0.2"/>
    <row r="65325" customFormat="1" x14ac:dyDescent="0.2"/>
    <row r="65326" customFormat="1" x14ac:dyDescent="0.2"/>
    <row r="65327" customFormat="1" x14ac:dyDescent="0.2"/>
    <row r="65328" customFormat="1" x14ac:dyDescent="0.2"/>
    <row r="65329" customFormat="1" x14ac:dyDescent="0.2"/>
    <row r="65330" customFormat="1" x14ac:dyDescent="0.2"/>
    <row r="65331" customFormat="1" x14ac:dyDescent="0.2"/>
    <row r="65332" customFormat="1" x14ac:dyDescent="0.2"/>
    <row r="65333" customFormat="1" x14ac:dyDescent="0.2"/>
    <row r="65334" customFormat="1" x14ac:dyDescent="0.2"/>
    <row r="65335" customFormat="1" x14ac:dyDescent="0.2"/>
    <row r="65336" customFormat="1" x14ac:dyDescent="0.2"/>
    <row r="65337" customFormat="1" x14ac:dyDescent="0.2"/>
    <row r="65338" customFormat="1" x14ac:dyDescent="0.2"/>
    <row r="65339" customFormat="1" x14ac:dyDescent="0.2"/>
    <row r="65340" customFormat="1" x14ac:dyDescent="0.2"/>
    <row r="65341" customFormat="1" x14ac:dyDescent="0.2"/>
    <row r="65342" customFormat="1" x14ac:dyDescent="0.2"/>
    <row r="65343" customFormat="1" x14ac:dyDescent="0.2"/>
    <row r="65344" customFormat="1" x14ac:dyDescent="0.2"/>
    <row r="65345" customFormat="1" x14ac:dyDescent="0.2"/>
    <row r="65346" customFormat="1" x14ac:dyDescent="0.2"/>
    <row r="65347" customFormat="1" x14ac:dyDescent="0.2"/>
    <row r="65348" customFormat="1" x14ac:dyDescent="0.2"/>
    <row r="65349" customFormat="1" x14ac:dyDescent="0.2"/>
    <row r="65350" customFormat="1" x14ac:dyDescent="0.2"/>
    <row r="65351" customFormat="1" x14ac:dyDescent="0.2"/>
    <row r="65352" customFormat="1" x14ac:dyDescent="0.2"/>
    <row r="65353" customFormat="1" x14ac:dyDescent="0.2"/>
    <row r="65354" customFormat="1" x14ac:dyDescent="0.2"/>
    <row r="65355" customFormat="1" x14ac:dyDescent="0.2"/>
    <row r="65356" customFormat="1" x14ac:dyDescent="0.2"/>
    <row r="65357" customFormat="1" x14ac:dyDescent="0.2"/>
    <row r="65358" customFormat="1" x14ac:dyDescent="0.2"/>
    <row r="65359" customFormat="1" x14ac:dyDescent="0.2"/>
    <row r="65360" customFormat="1" x14ac:dyDescent="0.2"/>
    <row r="65361" customFormat="1" x14ac:dyDescent="0.2"/>
    <row r="65362" customFormat="1" x14ac:dyDescent="0.2"/>
    <row r="65363" customFormat="1" x14ac:dyDescent="0.2"/>
    <row r="65364" customFormat="1" x14ac:dyDescent="0.2"/>
    <row r="65365" customFormat="1" x14ac:dyDescent="0.2"/>
    <row r="65366" customFormat="1" x14ac:dyDescent="0.2"/>
    <row r="65367" customFormat="1" x14ac:dyDescent="0.2"/>
    <row r="65368" customFormat="1" x14ac:dyDescent="0.2"/>
    <row r="65369" customFormat="1" x14ac:dyDescent="0.2"/>
    <row r="65370" customFormat="1" x14ac:dyDescent="0.2"/>
    <row r="65371" customFormat="1" x14ac:dyDescent="0.2"/>
    <row r="65372" customFormat="1" x14ac:dyDescent="0.2"/>
    <row r="65373" customFormat="1" x14ac:dyDescent="0.2"/>
    <row r="65374" customFormat="1" x14ac:dyDescent="0.2"/>
    <row r="65375" customFormat="1" x14ac:dyDescent="0.2"/>
    <row r="65376" customFormat="1" x14ac:dyDescent="0.2"/>
    <row r="65377" customFormat="1" x14ac:dyDescent="0.2"/>
    <row r="65378" customFormat="1" x14ac:dyDescent="0.2"/>
    <row r="65379" customFormat="1" x14ac:dyDescent="0.2"/>
    <row r="65380" customFormat="1" x14ac:dyDescent="0.2"/>
    <row r="65381" customFormat="1" x14ac:dyDescent="0.2"/>
    <row r="65382" customFormat="1" x14ac:dyDescent="0.2"/>
    <row r="65383" customFormat="1" x14ac:dyDescent="0.2"/>
    <row r="65384" customFormat="1" x14ac:dyDescent="0.2"/>
    <row r="65385" customFormat="1" x14ac:dyDescent="0.2"/>
    <row r="65386" customFormat="1" x14ac:dyDescent="0.2"/>
    <row r="65387" customFormat="1" x14ac:dyDescent="0.2"/>
    <row r="65388" customFormat="1" x14ac:dyDescent="0.2"/>
    <row r="65389" customFormat="1" x14ac:dyDescent="0.2"/>
    <row r="65390" customFormat="1" x14ac:dyDescent="0.2"/>
    <row r="65391" customFormat="1" x14ac:dyDescent="0.2"/>
    <row r="65392" customFormat="1" x14ac:dyDescent="0.2"/>
    <row r="65393" customFormat="1" x14ac:dyDescent="0.2"/>
    <row r="65394" customFormat="1" x14ac:dyDescent="0.2"/>
    <row r="65395" customFormat="1" x14ac:dyDescent="0.2"/>
    <row r="65396" customFormat="1" x14ac:dyDescent="0.2"/>
    <row r="65397" customFormat="1" x14ac:dyDescent="0.2"/>
    <row r="65398" customFormat="1" x14ac:dyDescent="0.2"/>
    <row r="65399" customFormat="1" x14ac:dyDescent="0.2"/>
    <row r="65400" customFormat="1" x14ac:dyDescent="0.2"/>
    <row r="65401" customFormat="1" x14ac:dyDescent="0.2"/>
    <row r="65402" customFormat="1" x14ac:dyDescent="0.2"/>
    <row r="65403" customFormat="1" x14ac:dyDescent="0.2"/>
    <row r="65404" customFormat="1" x14ac:dyDescent="0.2"/>
    <row r="65405" customFormat="1" x14ac:dyDescent="0.2"/>
    <row r="65406" customFormat="1" x14ac:dyDescent="0.2"/>
    <row r="65407" customFormat="1" x14ac:dyDescent="0.2"/>
    <row r="65408" customFormat="1" x14ac:dyDescent="0.2"/>
    <row r="65409" customFormat="1" x14ac:dyDescent="0.2"/>
    <row r="65410" customFormat="1" x14ac:dyDescent="0.2"/>
    <row r="65411" customFormat="1" x14ac:dyDescent="0.2"/>
    <row r="65412" customFormat="1" x14ac:dyDescent="0.2"/>
    <row r="65413" customFormat="1" x14ac:dyDescent="0.2"/>
    <row r="65414" customFormat="1" x14ac:dyDescent="0.2"/>
    <row r="65415" customFormat="1" x14ac:dyDescent="0.2"/>
    <row r="65416" customFormat="1" x14ac:dyDescent="0.2"/>
    <row r="65417" customFormat="1" x14ac:dyDescent="0.2"/>
    <row r="65418" customFormat="1" x14ac:dyDescent="0.2"/>
    <row r="65419" customFormat="1" x14ac:dyDescent="0.2"/>
    <row r="65420" customFormat="1" x14ac:dyDescent="0.2"/>
    <row r="65421" customFormat="1" x14ac:dyDescent="0.2"/>
    <row r="65422" customFormat="1" x14ac:dyDescent="0.2"/>
    <row r="65423" customFormat="1" x14ac:dyDescent="0.2"/>
    <row r="65424" customFormat="1" x14ac:dyDescent="0.2"/>
    <row r="65425" customFormat="1" x14ac:dyDescent="0.2"/>
    <row r="65426" customFormat="1" x14ac:dyDescent="0.2"/>
    <row r="65427" customFormat="1" x14ac:dyDescent="0.2"/>
    <row r="65428" customFormat="1" x14ac:dyDescent="0.2"/>
    <row r="65429" customFormat="1" x14ac:dyDescent="0.2"/>
    <row r="65430" customFormat="1" x14ac:dyDescent="0.2"/>
    <row r="65431" customFormat="1" x14ac:dyDescent="0.2"/>
    <row r="65432" customFormat="1" x14ac:dyDescent="0.2"/>
    <row r="65433" customFormat="1" x14ac:dyDescent="0.2"/>
    <row r="65434" customFormat="1" x14ac:dyDescent="0.2"/>
    <row r="65435" customFormat="1" x14ac:dyDescent="0.2"/>
    <row r="65436" customFormat="1" x14ac:dyDescent="0.2"/>
    <row r="65437" customFormat="1" x14ac:dyDescent="0.2"/>
    <row r="65438" customFormat="1" x14ac:dyDescent="0.2"/>
    <row r="65439" customFormat="1" x14ac:dyDescent="0.2"/>
    <row r="65440" customFormat="1" x14ac:dyDescent="0.2"/>
    <row r="65441" customFormat="1" x14ac:dyDescent="0.2"/>
    <row r="65442" customFormat="1" x14ac:dyDescent="0.2"/>
    <row r="65443" customFormat="1" x14ac:dyDescent="0.2"/>
    <row r="65444" customFormat="1" x14ac:dyDescent="0.2"/>
    <row r="65445" customFormat="1" x14ac:dyDescent="0.2"/>
    <row r="65446" customFormat="1" x14ac:dyDescent="0.2"/>
    <row r="65447" customFormat="1" x14ac:dyDescent="0.2"/>
    <row r="65448" customFormat="1" x14ac:dyDescent="0.2"/>
    <row r="65449" customFormat="1" x14ac:dyDescent="0.2"/>
    <row r="65450" customFormat="1" x14ac:dyDescent="0.2"/>
    <row r="65451" customFormat="1" x14ac:dyDescent="0.2"/>
    <row r="65452" customFormat="1" x14ac:dyDescent="0.2"/>
    <row r="65453" customFormat="1" x14ac:dyDescent="0.2"/>
    <row r="65454" customFormat="1" x14ac:dyDescent="0.2"/>
    <row r="65455" customFormat="1" x14ac:dyDescent="0.2"/>
    <row r="65456" customFormat="1" x14ac:dyDescent="0.2"/>
    <row r="65457" customFormat="1" x14ac:dyDescent="0.2"/>
    <row r="65458" customFormat="1" x14ac:dyDescent="0.2"/>
    <row r="65459" customFormat="1" x14ac:dyDescent="0.2"/>
    <row r="65460" customFormat="1" x14ac:dyDescent="0.2"/>
    <row r="65461" customFormat="1" x14ac:dyDescent="0.2"/>
    <row r="65462" customFormat="1" x14ac:dyDescent="0.2"/>
    <row r="65463" customFormat="1" x14ac:dyDescent="0.2"/>
    <row r="65464" customFormat="1" x14ac:dyDescent="0.2"/>
    <row r="65465" customFormat="1" x14ac:dyDescent="0.2"/>
    <row r="65466" customFormat="1" x14ac:dyDescent="0.2"/>
    <row r="65467" customFormat="1" x14ac:dyDescent="0.2"/>
    <row r="65468" customFormat="1" x14ac:dyDescent="0.2"/>
    <row r="65469" customFormat="1" x14ac:dyDescent="0.2"/>
    <row r="65470" customFormat="1" x14ac:dyDescent="0.2"/>
    <row r="65471" customFormat="1" x14ac:dyDescent="0.2"/>
    <row r="65472" customFormat="1" x14ac:dyDescent="0.2"/>
    <row r="65473" customFormat="1" x14ac:dyDescent="0.2"/>
    <row r="65474" customFormat="1" x14ac:dyDescent="0.2"/>
    <row r="65475" customFormat="1" x14ac:dyDescent="0.2"/>
    <row r="65476" customFormat="1" x14ac:dyDescent="0.2"/>
    <row r="65477" customFormat="1" x14ac:dyDescent="0.2"/>
    <row r="65478" customFormat="1" x14ac:dyDescent="0.2"/>
    <row r="65479" customFormat="1" x14ac:dyDescent="0.2"/>
    <row r="65480" customFormat="1" x14ac:dyDescent="0.2"/>
    <row r="65481" customFormat="1" x14ac:dyDescent="0.2"/>
    <row r="65482" customFormat="1" x14ac:dyDescent="0.2"/>
    <row r="65483" customFormat="1" x14ac:dyDescent="0.2"/>
    <row r="65484" customFormat="1" x14ac:dyDescent="0.2"/>
    <row r="65485" customFormat="1" x14ac:dyDescent="0.2"/>
    <row r="65486" customFormat="1" x14ac:dyDescent="0.2"/>
    <row r="65487" customFormat="1" x14ac:dyDescent="0.2"/>
    <row r="65488" customFormat="1" x14ac:dyDescent="0.2"/>
    <row r="65489" customFormat="1" x14ac:dyDescent="0.2"/>
    <row r="65490" customFormat="1" x14ac:dyDescent="0.2"/>
    <row r="65491" customFormat="1" x14ac:dyDescent="0.2"/>
    <row r="65492" customFormat="1" x14ac:dyDescent="0.2"/>
    <row r="65493" customFormat="1" x14ac:dyDescent="0.2"/>
    <row r="65494" customFormat="1" x14ac:dyDescent="0.2"/>
    <row r="65495" customFormat="1" x14ac:dyDescent="0.2"/>
    <row r="65496" customFormat="1" x14ac:dyDescent="0.2"/>
    <row r="65497" customFormat="1" x14ac:dyDescent="0.2"/>
    <row r="65498" customFormat="1" x14ac:dyDescent="0.2"/>
    <row r="65499" customFormat="1" x14ac:dyDescent="0.2"/>
    <row r="65500" customFormat="1" x14ac:dyDescent="0.2"/>
    <row r="65501" customFormat="1" x14ac:dyDescent="0.2"/>
    <row r="65502" customFormat="1" x14ac:dyDescent="0.2"/>
    <row r="65503" customFormat="1" x14ac:dyDescent="0.2"/>
    <row r="65504" customFormat="1" x14ac:dyDescent="0.2"/>
    <row r="65505" customFormat="1" x14ac:dyDescent="0.2"/>
    <row r="65506" customFormat="1" x14ac:dyDescent="0.2"/>
    <row r="65507" customFormat="1" x14ac:dyDescent="0.2"/>
    <row r="65508" customFormat="1" x14ac:dyDescent="0.2"/>
    <row r="65509" customFormat="1" x14ac:dyDescent="0.2"/>
    <row r="65510" customFormat="1" x14ac:dyDescent="0.2"/>
    <row r="65511" customFormat="1" x14ac:dyDescent="0.2"/>
    <row r="65512" customFormat="1" x14ac:dyDescent="0.2"/>
    <row r="65513" customFormat="1" x14ac:dyDescent="0.2"/>
    <row r="65514" customFormat="1" x14ac:dyDescent="0.2"/>
    <row r="65515" customFormat="1" x14ac:dyDescent="0.2"/>
    <row r="65516" customFormat="1" x14ac:dyDescent="0.2"/>
    <row r="65517" customFormat="1" x14ac:dyDescent="0.2"/>
    <row r="65518" customFormat="1" x14ac:dyDescent="0.2"/>
    <row r="65519" customFormat="1" x14ac:dyDescent="0.2"/>
    <row r="65520" customFormat="1" x14ac:dyDescent="0.2"/>
    <row r="65521" customFormat="1" x14ac:dyDescent="0.2"/>
    <row r="65522" customFormat="1" x14ac:dyDescent="0.2"/>
    <row r="65523" customFormat="1" x14ac:dyDescent="0.2"/>
    <row r="65524" customFormat="1" x14ac:dyDescent="0.2"/>
    <row r="65525" customFormat="1" x14ac:dyDescent="0.2"/>
    <row r="65526" customFormat="1" x14ac:dyDescent="0.2"/>
    <row r="65527" customFormat="1" x14ac:dyDescent="0.2"/>
    <row r="65528" customFormat="1" x14ac:dyDescent="0.2"/>
    <row r="65529" customFormat="1" x14ac:dyDescent="0.2"/>
    <row r="65530" customFormat="1" x14ac:dyDescent="0.2"/>
    <row r="65531" customFormat="1" x14ac:dyDescent="0.2"/>
    <row r="65532" customFormat="1" x14ac:dyDescent="0.2"/>
    <row r="65533" customFormat="1" x14ac:dyDescent="0.2"/>
    <row r="65534" customFormat="1" x14ac:dyDescent="0.2"/>
    <row r="65535" customFormat="1" x14ac:dyDescent="0.2"/>
    <row r="65536" customFormat="1" x14ac:dyDescent="0.2"/>
    <row r="65537" customFormat="1" x14ac:dyDescent="0.2"/>
    <row r="65538" customFormat="1" x14ac:dyDescent="0.2"/>
    <row r="65539" customFormat="1" x14ac:dyDescent="0.2"/>
    <row r="65540" customFormat="1" x14ac:dyDescent="0.2"/>
    <row r="65541" customFormat="1" x14ac:dyDescent="0.2"/>
    <row r="65542" customFormat="1" x14ac:dyDescent="0.2"/>
    <row r="65543" customFormat="1" x14ac:dyDescent="0.2"/>
    <row r="65544" customFormat="1" x14ac:dyDescent="0.2"/>
    <row r="65545" customFormat="1" x14ac:dyDescent="0.2"/>
    <row r="65546" customFormat="1" x14ac:dyDescent="0.2"/>
    <row r="65547" customFormat="1" x14ac:dyDescent="0.2"/>
    <row r="65548" customFormat="1" x14ac:dyDescent="0.2"/>
    <row r="65549" customFormat="1" x14ac:dyDescent="0.2"/>
    <row r="65550" customFormat="1" x14ac:dyDescent="0.2"/>
    <row r="65551" customFormat="1" x14ac:dyDescent="0.2"/>
    <row r="65552" customFormat="1" x14ac:dyDescent="0.2"/>
    <row r="65553" customFormat="1" x14ac:dyDescent="0.2"/>
    <row r="65554" customFormat="1" x14ac:dyDescent="0.2"/>
    <row r="65555" customFormat="1" x14ac:dyDescent="0.2"/>
    <row r="65556" customFormat="1" x14ac:dyDescent="0.2"/>
    <row r="65557" customFormat="1" x14ac:dyDescent="0.2"/>
    <row r="65558" customFormat="1" x14ac:dyDescent="0.2"/>
    <row r="65559" customFormat="1" x14ac:dyDescent="0.2"/>
    <row r="65560" customFormat="1" x14ac:dyDescent="0.2"/>
    <row r="65561" customFormat="1" x14ac:dyDescent="0.2"/>
    <row r="65562" customFormat="1" x14ac:dyDescent="0.2"/>
    <row r="65563" customFormat="1" x14ac:dyDescent="0.2"/>
    <row r="65564" customFormat="1" x14ac:dyDescent="0.2"/>
    <row r="65565" customFormat="1" x14ac:dyDescent="0.2"/>
    <row r="65566" customFormat="1" x14ac:dyDescent="0.2"/>
    <row r="65567" customFormat="1" x14ac:dyDescent="0.2"/>
    <row r="65568" customFormat="1" x14ac:dyDescent="0.2"/>
    <row r="65569" customFormat="1" x14ac:dyDescent="0.2"/>
    <row r="65570" customFormat="1" x14ac:dyDescent="0.2"/>
    <row r="65571" customFormat="1" x14ac:dyDescent="0.2"/>
    <row r="65572" customFormat="1" x14ac:dyDescent="0.2"/>
    <row r="65573" customFormat="1" x14ac:dyDescent="0.2"/>
    <row r="65574" customFormat="1" x14ac:dyDescent="0.2"/>
    <row r="65575" customFormat="1" x14ac:dyDescent="0.2"/>
    <row r="65576" customFormat="1" x14ac:dyDescent="0.2"/>
    <row r="65577" customFormat="1" x14ac:dyDescent="0.2"/>
    <row r="65578" customFormat="1" x14ac:dyDescent="0.2"/>
    <row r="65579" customFormat="1" x14ac:dyDescent="0.2"/>
    <row r="65580" customFormat="1" x14ac:dyDescent="0.2"/>
    <row r="65581" customFormat="1" x14ac:dyDescent="0.2"/>
    <row r="65582" customFormat="1" x14ac:dyDescent="0.2"/>
    <row r="65583" customFormat="1" x14ac:dyDescent="0.2"/>
    <row r="65584" customFormat="1" x14ac:dyDescent="0.2"/>
    <row r="65585" customFormat="1" x14ac:dyDescent="0.2"/>
    <row r="65586" customFormat="1" x14ac:dyDescent="0.2"/>
    <row r="65587" customFormat="1" x14ac:dyDescent="0.2"/>
    <row r="65588" customFormat="1" x14ac:dyDescent="0.2"/>
    <row r="65589" customFormat="1" x14ac:dyDescent="0.2"/>
    <row r="65590" customFormat="1" x14ac:dyDescent="0.2"/>
    <row r="65591" customFormat="1" x14ac:dyDescent="0.2"/>
    <row r="65592" customFormat="1" x14ac:dyDescent="0.2"/>
    <row r="65593" customFormat="1" x14ac:dyDescent="0.2"/>
    <row r="65594" customFormat="1" x14ac:dyDescent="0.2"/>
    <row r="65595" customFormat="1" x14ac:dyDescent="0.2"/>
    <row r="65596" customFormat="1" x14ac:dyDescent="0.2"/>
    <row r="65597" customFormat="1" x14ac:dyDescent="0.2"/>
    <row r="65598" customFormat="1" x14ac:dyDescent="0.2"/>
    <row r="65599" customFormat="1" x14ac:dyDescent="0.2"/>
    <row r="65600" customFormat="1" x14ac:dyDescent="0.2"/>
    <row r="65601" customFormat="1" x14ac:dyDescent="0.2"/>
    <row r="65602" customFormat="1" x14ac:dyDescent="0.2"/>
    <row r="65603" customFormat="1" x14ac:dyDescent="0.2"/>
    <row r="65604" customFormat="1" x14ac:dyDescent="0.2"/>
    <row r="65605" customFormat="1" x14ac:dyDescent="0.2"/>
    <row r="65606" customFormat="1" x14ac:dyDescent="0.2"/>
    <row r="65607" customFormat="1" x14ac:dyDescent="0.2"/>
    <row r="65608" customFormat="1" x14ac:dyDescent="0.2"/>
    <row r="65609" customFormat="1" x14ac:dyDescent="0.2"/>
    <row r="65610" customFormat="1" x14ac:dyDescent="0.2"/>
    <row r="65611" customFormat="1" x14ac:dyDescent="0.2"/>
    <row r="65612" customFormat="1" x14ac:dyDescent="0.2"/>
    <row r="65613" customFormat="1" x14ac:dyDescent="0.2"/>
    <row r="65614" customFormat="1" x14ac:dyDescent="0.2"/>
    <row r="65615" customFormat="1" x14ac:dyDescent="0.2"/>
    <row r="65616" customFormat="1" x14ac:dyDescent="0.2"/>
    <row r="65617" customFormat="1" x14ac:dyDescent="0.2"/>
    <row r="65618" customFormat="1" x14ac:dyDescent="0.2"/>
    <row r="65619" customFormat="1" x14ac:dyDescent="0.2"/>
    <row r="65620" customFormat="1" x14ac:dyDescent="0.2"/>
    <row r="65621" customFormat="1" x14ac:dyDescent="0.2"/>
    <row r="65622" customFormat="1" x14ac:dyDescent="0.2"/>
    <row r="65623" customFormat="1" x14ac:dyDescent="0.2"/>
    <row r="65624" customFormat="1" x14ac:dyDescent="0.2"/>
    <row r="65625" customFormat="1" x14ac:dyDescent="0.2"/>
    <row r="65626" customFormat="1" x14ac:dyDescent="0.2"/>
    <row r="65627" customFormat="1" x14ac:dyDescent="0.2"/>
    <row r="65628" customFormat="1" x14ac:dyDescent="0.2"/>
    <row r="65629" customFormat="1" x14ac:dyDescent="0.2"/>
    <row r="65630" customFormat="1" x14ac:dyDescent="0.2"/>
    <row r="65631" customFormat="1" x14ac:dyDescent="0.2"/>
    <row r="65632" customFormat="1" x14ac:dyDescent="0.2"/>
    <row r="65633" customFormat="1" x14ac:dyDescent="0.2"/>
    <row r="65634" customFormat="1" x14ac:dyDescent="0.2"/>
    <row r="65635" customFormat="1" x14ac:dyDescent="0.2"/>
    <row r="65636" customFormat="1" x14ac:dyDescent="0.2"/>
    <row r="65637" customFormat="1" x14ac:dyDescent="0.2"/>
    <row r="65638" customFormat="1" x14ac:dyDescent="0.2"/>
    <row r="65639" customFormat="1" x14ac:dyDescent="0.2"/>
    <row r="65640" customFormat="1" x14ac:dyDescent="0.2"/>
    <row r="65641" customFormat="1" x14ac:dyDescent="0.2"/>
    <row r="65642" customFormat="1" x14ac:dyDescent="0.2"/>
    <row r="65643" customFormat="1" x14ac:dyDescent="0.2"/>
    <row r="65644" customFormat="1" x14ac:dyDescent="0.2"/>
    <row r="65645" customFormat="1" x14ac:dyDescent="0.2"/>
    <row r="65646" customFormat="1" x14ac:dyDescent="0.2"/>
    <row r="65647" customFormat="1" x14ac:dyDescent="0.2"/>
    <row r="65648" customFormat="1" x14ac:dyDescent="0.2"/>
    <row r="65649" customFormat="1" x14ac:dyDescent="0.2"/>
    <row r="65650" customFormat="1" x14ac:dyDescent="0.2"/>
    <row r="65651" customFormat="1" x14ac:dyDescent="0.2"/>
    <row r="65652" customFormat="1" x14ac:dyDescent="0.2"/>
    <row r="65653" customFormat="1" x14ac:dyDescent="0.2"/>
    <row r="65654" customFormat="1" x14ac:dyDescent="0.2"/>
    <row r="65655" customFormat="1" x14ac:dyDescent="0.2"/>
    <row r="65656" customFormat="1" x14ac:dyDescent="0.2"/>
    <row r="65657" customFormat="1" x14ac:dyDescent="0.2"/>
    <row r="65658" customFormat="1" x14ac:dyDescent="0.2"/>
    <row r="65659" customFormat="1" x14ac:dyDescent="0.2"/>
    <row r="65660" customFormat="1" x14ac:dyDescent="0.2"/>
    <row r="65661" customFormat="1" x14ac:dyDescent="0.2"/>
    <row r="65662" customFormat="1" x14ac:dyDescent="0.2"/>
    <row r="65663" customFormat="1" x14ac:dyDescent="0.2"/>
    <row r="65664" customFormat="1" x14ac:dyDescent="0.2"/>
    <row r="65665" customFormat="1" x14ac:dyDescent="0.2"/>
    <row r="65666" customFormat="1" x14ac:dyDescent="0.2"/>
    <row r="65667" customFormat="1" x14ac:dyDescent="0.2"/>
    <row r="65668" customFormat="1" x14ac:dyDescent="0.2"/>
    <row r="65669" customFormat="1" x14ac:dyDescent="0.2"/>
    <row r="65670" customFormat="1" x14ac:dyDescent="0.2"/>
    <row r="65671" customFormat="1" x14ac:dyDescent="0.2"/>
    <row r="65672" customFormat="1" x14ac:dyDescent="0.2"/>
    <row r="65673" customFormat="1" x14ac:dyDescent="0.2"/>
    <row r="65674" customFormat="1" x14ac:dyDescent="0.2"/>
    <row r="65675" customFormat="1" x14ac:dyDescent="0.2"/>
    <row r="65676" customFormat="1" x14ac:dyDescent="0.2"/>
    <row r="65677" customFormat="1" x14ac:dyDescent="0.2"/>
    <row r="65678" customFormat="1" x14ac:dyDescent="0.2"/>
    <row r="65679" customFormat="1" x14ac:dyDescent="0.2"/>
    <row r="65680" customFormat="1" x14ac:dyDescent="0.2"/>
    <row r="65681" customFormat="1" x14ac:dyDescent="0.2"/>
    <row r="65682" customFormat="1" x14ac:dyDescent="0.2"/>
    <row r="65683" customFormat="1" x14ac:dyDescent="0.2"/>
    <row r="65684" customFormat="1" x14ac:dyDescent="0.2"/>
    <row r="65685" customFormat="1" x14ac:dyDescent="0.2"/>
    <row r="65686" customFormat="1" x14ac:dyDescent="0.2"/>
    <row r="65687" customFormat="1" x14ac:dyDescent="0.2"/>
    <row r="65688" customFormat="1" x14ac:dyDescent="0.2"/>
    <row r="65689" customFormat="1" x14ac:dyDescent="0.2"/>
    <row r="65690" customFormat="1" x14ac:dyDescent="0.2"/>
    <row r="65691" customFormat="1" x14ac:dyDescent="0.2"/>
    <row r="65692" customFormat="1" x14ac:dyDescent="0.2"/>
    <row r="65693" customFormat="1" x14ac:dyDescent="0.2"/>
    <row r="65694" customFormat="1" x14ac:dyDescent="0.2"/>
    <row r="65695" customFormat="1" x14ac:dyDescent="0.2"/>
    <row r="65696" customFormat="1" x14ac:dyDescent="0.2"/>
    <row r="65697" customFormat="1" x14ac:dyDescent="0.2"/>
    <row r="65698" customFormat="1" x14ac:dyDescent="0.2"/>
    <row r="65699" customFormat="1" x14ac:dyDescent="0.2"/>
    <row r="65700" customFormat="1" x14ac:dyDescent="0.2"/>
    <row r="65701" customFormat="1" x14ac:dyDescent="0.2"/>
    <row r="65702" customFormat="1" x14ac:dyDescent="0.2"/>
    <row r="65703" customFormat="1" x14ac:dyDescent="0.2"/>
    <row r="65704" customFormat="1" x14ac:dyDescent="0.2"/>
    <row r="65705" customFormat="1" x14ac:dyDescent="0.2"/>
    <row r="65706" customFormat="1" x14ac:dyDescent="0.2"/>
    <row r="65707" customFormat="1" x14ac:dyDescent="0.2"/>
    <row r="65708" customFormat="1" x14ac:dyDescent="0.2"/>
    <row r="65709" customFormat="1" x14ac:dyDescent="0.2"/>
    <row r="65710" customFormat="1" x14ac:dyDescent="0.2"/>
    <row r="65711" customFormat="1" x14ac:dyDescent="0.2"/>
    <row r="65712" customFormat="1" x14ac:dyDescent="0.2"/>
    <row r="65713" customFormat="1" x14ac:dyDescent="0.2"/>
    <row r="65714" customFormat="1" x14ac:dyDescent="0.2"/>
    <row r="65715" customFormat="1" x14ac:dyDescent="0.2"/>
    <row r="65716" customFormat="1" x14ac:dyDescent="0.2"/>
    <row r="65717" customFormat="1" x14ac:dyDescent="0.2"/>
    <row r="65718" customFormat="1" x14ac:dyDescent="0.2"/>
    <row r="65719" customFormat="1" x14ac:dyDescent="0.2"/>
    <row r="65720" customFormat="1" x14ac:dyDescent="0.2"/>
    <row r="65721" customFormat="1" x14ac:dyDescent="0.2"/>
    <row r="65722" customFormat="1" x14ac:dyDescent="0.2"/>
    <row r="65723" customFormat="1" x14ac:dyDescent="0.2"/>
    <row r="65724" customFormat="1" x14ac:dyDescent="0.2"/>
    <row r="65725" customFormat="1" x14ac:dyDescent="0.2"/>
    <row r="65726" customFormat="1" x14ac:dyDescent="0.2"/>
    <row r="65727" customFormat="1" x14ac:dyDescent="0.2"/>
    <row r="65728" customFormat="1" x14ac:dyDescent="0.2"/>
    <row r="65729" customFormat="1" x14ac:dyDescent="0.2"/>
    <row r="65730" customFormat="1" x14ac:dyDescent="0.2"/>
    <row r="65731" customFormat="1" x14ac:dyDescent="0.2"/>
    <row r="65732" customFormat="1" x14ac:dyDescent="0.2"/>
    <row r="65733" customFormat="1" x14ac:dyDescent="0.2"/>
    <row r="65734" customFormat="1" x14ac:dyDescent="0.2"/>
    <row r="65735" customFormat="1" x14ac:dyDescent="0.2"/>
    <row r="65736" customFormat="1" x14ac:dyDescent="0.2"/>
    <row r="65737" customFormat="1" x14ac:dyDescent="0.2"/>
    <row r="65738" customFormat="1" x14ac:dyDescent="0.2"/>
    <row r="65739" customFormat="1" x14ac:dyDescent="0.2"/>
    <row r="65740" customFormat="1" x14ac:dyDescent="0.2"/>
    <row r="65741" customFormat="1" x14ac:dyDescent="0.2"/>
    <row r="65742" customFormat="1" x14ac:dyDescent="0.2"/>
    <row r="65743" customFormat="1" x14ac:dyDescent="0.2"/>
    <row r="65744" customFormat="1" x14ac:dyDescent="0.2"/>
    <row r="65745" customFormat="1" x14ac:dyDescent="0.2"/>
    <row r="65746" customFormat="1" x14ac:dyDescent="0.2"/>
    <row r="65747" customFormat="1" x14ac:dyDescent="0.2"/>
    <row r="65748" customFormat="1" x14ac:dyDescent="0.2"/>
    <row r="65749" customFormat="1" x14ac:dyDescent="0.2"/>
    <row r="65750" customFormat="1" x14ac:dyDescent="0.2"/>
    <row r="65751" customFormat="1" x14ac:dyDescent="0.2"/>
    <row r="65752" customFormat="1" x14ac:dyDescent="0.2"/>
    <row r="65753" customFormat="1" x14ac:dyDescent="0.2"/>
    <row r="65754" customFormat="1" x14ac:dyDescent="0.2"/>
    <row r="65755" customFormat="1" x14ac:dyDescent="0.2"/>
    <row r="65756" customFormat="1" x14ac:dyDescent="0.2"/>
    <row r="65757" customFormat="1" x14ac:dyDescent="0.2"/>
    <row r="65758" customFormat="1" x14ac:dyDescent="0.2"/>
    <row r="65759" customFormat="1" x14ac:dyDescent="0.2"/>
    <row r="65760" customFormat="1" x14ac:dyDescent="0.2"/>
    <row r="65761" customFormat="1" x14ac:dyDescent="0.2"/>
    <row r="65762" customFormat="1" x14ac:dyDescent="0.2"/>
    <row r="65763" customFormat="1" x14ac:dyDescent="0.2"/>
    <row r="65764" customFormat="1" x14ac:dyDescent="0.2"/>
    <row r="65765" customFormat="1" x14ac:dyDescent="0.2"/>
    <row r="65766" customFormat="1" x14ac:dyDescent="0.2"/>
    <row r="65767" customFormat="1" x14ac:dyDescent="0.2"/>
    <row r="65768" customFormat="1" x14ac:dyDescent="0.2"/>
    <row r="65769" customFormat="1" x14ac:dyDescent="0.2"/>
    <row r="65770" customFormat="1" x14ac:dyDescent="0.2"/>
    <row r="65771" customFormat="1" x14ac:dyDescent="0.2"/>
    <row r="65772" customFormat="1" x14ac:dyDescent="0.2"/>
    <row r="65773" customFormat="1" x14ac:dyDescent="0.2"/>
    <row r="65774" customFormat="1" x14ac:dyDescent="0.2"/>
    <row r="65775" customFormat="1" x14ac:dyDescent="0.2"/>
    <row r="65776" customFormat="1" x14ac:dyDescent="0.2"/>
    <row r="65777" customFormat="1" x14ac:dyDescent="0.2"/>
    <row r="65778" customFormat="1" x14ac:dyDescent="0.2"/>
    <row r="65779" customFormat="1" x14ac:dyDescent="0.2"/>
    <row r="65780" customFormat="1" x14ac:dyDescent="0.2"/>
    <row r="65781" customFormat="1" x14ac:dyDescent="0.2"/>
    <row r="65782" customFormat="1" x14ac:dyDescent="0.2"/>
    <row r="65783" customFormat="1" x14ac:dyDescent="0.2"/>
    <row r="65784" customFormat="1" x14ac:dyDescent="0.2"/>
    <row r="65785" customFormat="1" x14ac:dyDescent="0.2"/>
    <row r="65786" customFormat="1" x14ac:dyDescent="0.2"/>
    <row r="65787" customFormat="1" x14ac:dyDescent="0.2"/>
    <row r="65788" customFormat="1" x14ac:dyDescent="0.2"/>
    <row r="65789" customFormat="1" x14ac:dyDescent="0.2"/>
    <row r="65790" customFormat="1" x14ac:dyDescent="0.2"/>
    <row r="65791" customFormat="1" x14ac:dyDescent="0.2"/>
    <row r="65792" customFormat="1" x14ac:dyDescent="0.2"/>
    <row r="65793" customFormat="1" x14ac:dyDescent="0.2"/>
    <row r="65794" customFormat="1" x14ac:dyDescent="0.2"/>
    <row r="65795" customFormat="1" x14ac:dyDescent="0.2"/>
    <row r="65796" customFormat="1" x14ac:dyDescent="0.2"/>
    <row r="65797" customFormat="1" x14ac:dyDescent="0.2"/>
    <row r="65798" customFormat="1" x14ac:dyDescent="0.2"/>
    <row r="65799" customFormat="1" x14ac:dyDescent="0.2"/>
    <row r="65800" customFormat="1" x14ac:dyDescent="0.2"/>
    <row r="65801" customFormat="1" x14ac:dyDescent="0.2"/>
    <row r="65802" customFormat="1" x14ac:dyDescent="0.2"/>
    <row r="65803" customFormat="1" x14ac:dyDescent="0.2"/>
    <row r="65804" customFormat="1" x14ac:dyDescent="0.2"/>
    <row r="65805" customFormat="1" x14ac:dyDescent="0.2"/>
    <row r="65806" customFormat="1" x14ac:dyDescent="0.2"/>
    <row r="65807" customFormat="1" x14ac:dyDescent="0.2"/>
    <row r="65808" customFormat="1" x14ac:dyDescent="0.2"/>
    <row r="65809" customFormat="1" x14ac:dyDescent="0.2"/>
    <row r="65810" customFormat="1" x14ac:dyDescent="0.2"/>
    <row r="65811" customFormat="1" x14ac:dyDescent="0.2"/>
    <row r="65812" customFormat="1" x14ac:dyDescent="0.2"/>
    <row r="65813" customFormat="1" x14ac:dyDescent="0.2"/>
    <row r="65814" customFormat="1" x14ac:dyDescent="0.2"/>
    <row r="65815" customFormat="1" x14ac:dyDescent="0.2"/>
    <row r="65816" customFormat="1" x14ac:dyDescent="0.2"/>
    <row r="65817" customFormat="1" x14ac:dyDescent="0.2"/>
    <row r="65818" customFormat="1" x14ac:dyDescent="0.2"/>
    <row r="65819" customFormat="1" x14ac:dyDescent="0.2"/>
    <row r="65820" customFormat="1" x14ac:dyDescent="0.2"/>
    <row r="65821" customFormat="1" x14ac:dyDescent="0.2"/>
    <row r="65822" customFormat="1" x14ac:dyDescent="0.2"/>
    <row r="65823" customFormat="1" x14ac:dyDescent="0.2"/>
    <row r="65824" customFormat="1" x14ac:dyDescent="0.2"/>
    <row r="65825" customFormat="1" x14ac:dyDescent="0.2"/>
    <row r="65826" customFormat="1" x14ac:dyDescent="0.2"/>
    <row r="65827" customFormat="1" x14ac:dyDescent="0.2"/>
    <row r="65828" customFormat="1" x14ac:dyDescent="0.2"/>
    <row r="65829" customFormat="1" x14ac:dyDescent="0.2"/>
    <row r="65830" customFormat="1" x14ac:dyDescent="0.2"/>
    <row r="65831" customFormat="1" x14ac:dyDescent="0.2"/>
    <row r="65832" customFormat="1" x14ac:dyDescent="0.2"/>
    <row r="65833" customFormat="1" x14ac:dyDescent="0.2"/>
    <row r="65834" customFormat="1" x14ac:dyDescent="0.2"/>
    <row r="65835" customFormat="1" x14ac:dyDescent="0.2"/>
    <row r="65836" customFormat="1" x14ac:dyDescent="0.2"/>
    <row r="65837" customFormat="1" x14ac:dyDescent="0.2"/>
    <row r="65838" customFormat="1" x14ac:dyDescent="0.2"/>
    <row r="65839" customFormat="1" x14ac:dyDescent="0.2"/>
    <row r="65840" customFormat="1" x14ac:dyDescent="0.2"/>
    <row r="65841" customFormat="1" x14ac:dyDescent="0.2"/>
    <row r="65842" customFormat="1" x14ac:dyDescent="0.2"/>
    <row r="65843" customFormat="1" x14ac:dyDescent="0.2"/>
    <row r="65844" customFormat="1" x14ac:dyDescent="0.2"/>
    <row r="65845" customFormat="1" x14ac:dyDescent="0.2"/>
    <row r="65846" customFormat="1" x14ac:dyDescent="0.2"/>
    <row r="65847" customFormat="1" x14ac:dyDescent="0.2"/>
    <row r="65848" customFormat="1" x14ac:dyDescent="0.2"/>
    <row r="65849" customFormat="1" x14ac:dyDescent="0.2"/>
    <row r="65850" customFormat="1" x14ac:dyDescent="0.2"/>
    <row r="65851" customFormat="1" x14ac:dyDescent="0.2"/>
    <row r="65852" customFormat="1" x14ac:dyDescent="0.2"/>
    <row r="65853" customFormat="1" x14ac:dyDescent="0.2"/>
    <row r="65854" customFormat="1" x14ac:dyDescent="0.2"/>
    <row r="65855" customFormat="1" x14ac:dyDescent="0.2"/>
    <row r="65856" customFormat="1" x14ac:dyDescent="0.2"/>
    <row r="65857" customFormat="1" x14ac:dyDescent="0.2"/>
    <row r="65858" customFormat="1" x14ac:dyDescent="0.2"/>
    <row r="65859" customFormat="1" x14ac:dyDescent="0.2"/>
    <row r="65860" customFormat="1" x14ac:dyDescent="0.2"/>
    <row r="65861" customFormat="1" x14ac:dyDescent="0.2"/>
    <row r="65862" customFormat="1" x14ac:dyDescent="0.2"/>
    <row r="65863" customFormat="1" x14ac:dyDescent="0.2"/>
    <row r="65864" customFormat="1" x14ac:dyDescent="0.2"/>
    <row r="65865" customFormat="1" x14ac:dyDescent="0.2"/>
    <row r="65866" customFormat="1" x14ac:dyDescent="0.2"/>
    <row r="65867" customFormat="1" x14ac:dyDescent="0.2"/>
    <row r="65868" customFormat="1" x14ac:dyDescent="0.2"/>
    <row r="65869" customFormat="1" x14ac:dyDescent="0.2"/>
    <row r="65870" customFormat="1" x14ac:dyDescent="0.2"/>
    <row r="65871" customFormat="1" x14ac:dyDescent="0.2"/>
    <row r="65872" customFormat="1" x14ac:dyDescent="0.2"/>
    <row r="65873" customFormat="1" x14ac:dyDescent="0.2"/>
    <row r="65874" customFormat="1" x14ac:dyDescent="0.2"/>
    <row r="65875" customFormat="1" x14ac:dyDescent="0.2"/>
    <row r="65876" customFormat="1" x14ac:dyDescent="0.2"/>
    <row r="65877" customFormat="1" x14ac:dyDescent="0.2"/>
    <row r="65878" customFormat="1" x14ac:dyDescent="0.2"/>
    <row r="65879" customFormat="1" x14ac:dyDescent="0.2"/>
    <row r="65880" customFormat="1" x14ac:dyDescent="0.2"/>
    <row r="65881" customFormat="1" x14ac:dyDescent="0.2"/>
    <row r="65882" customFormat="1" x14ac:dyDescent="0.2"/>
    <row r="65883" customFormat="1" x14ac:dyDescent="0.2"/>
    <row r="65884" customFormat="1" x14ac:dyDescent="0.2"/>
    <row r="65885" customFormat="1" x14ac:dyDescent="0.2"/>
    <row r="65886" customFormat="1" x14ac:dyDescent="0.2"/>
    <row r="65887" customFormat="1" x14ac:dyDescent="0.2"/>
    <row r="65888" customFormat="1" x14ac:dyDescent="0.2"/>
    <row r="65889" customFormat="1" x14ac:dyDescent="0.2"/>
    <row r="65890" customFormat="1" x14ac:dyDescent="0.2"/>
    <row r="65891" customFormat="1" x14ac:dyDescent="0.2"/>
    <row r="65892" customFormat="1" x14ac:dyDescent="0.2"/>
    <row r="65893" customFormat="1" x14ac:dyDescent="0.2"/>
    <row r="65894" customFormat="1" x14ac:dyDescent="0.2"/>
    <row r="65895" customFormat="1" x14ac:dyDescent="0.2"/>
    <row r="65896" customFormat="1" x14ac:dyDescent="0.2"/>
    <row r="65897" customFormat="1" x14ac:dyDescent="0.2"/>
    <row r="65898" customFormat="1" x14ac:dyDescent="0.2"/>
    <row r="65899" customFormat="1" x14ac:dyDescent="0.2"/>
    <row r="65900" customFormat="1" x14ac:dyDescent="0.2"/>
    <row r="65901" customFormat="1" x14ac:dyDescent="0.2"/>
    <row r="65902" customFormat="1" x14ac:dyDescent="0.2"/>
    <row r="65903" customFormat="1" x14ac:dyDescent="0.2"/>
    <row r="65904" customFormat="1" x14ac:dyDescent="0.2"/>
    <row r="65905" customFormat="1" x14ac:dyDescent="0.2"/>
    <row r="65906" customFormat="1" x14ac:dyDescent="0.2"/>
    <row r="65907" customFormat="1" x14ac:dyDescent="0.2"/>
    <row r="65908" customFormat="1" x14ac:dyDescent="0.2"/>
    <row r="65909" customFormat="1" x14ac:dyDescent="0.2"/>
    <row r="65910" customFormat="1" x14ac:dyDescent="0.2"/>
    <row r="65911" customFormat="1" x14ac:dyDescent="0.2"/>
    <row r="65912" customFormat="1" x14ac:dyDescent="0.2"/>
    <row r="65913" customFormat="1" x14ac:dyDescent="0.2"/>
    <row r="65914" customFormat="1" x14ac:dyDescent="0.2"/>
    <row r="65915" customFormat="1" x14ac:dyDescent="0.2"/>
    <row r="65916" customFormat="1" x14ac:dyDescent="0.2"/>
    <row r="65917" customFormat="1" x14ac:dyDescent="0.2"/>
    <row r="65918" customFormat="1" x14ac:dyDescent="0.2"/>
    <row r="65919" customFormat="1" x14ac:dyDescent="0.2"/>
    <row r="65920" customFormat="1" x14ac:dyDescent="0.2"/>
    <row r="65921" customFormat="1" x14ac:dyDescent="0.2"/>
    <row r="65922" customFormat="1" x14ac:dyDescent="0.2"/>
    <row r="65923" customFormat="1" x14ac:dyDescent="0.2"/>
    <row r="65924" customFormat="1" x14ac:dyDescent="0.2"/>
    <row r="65925" customFormat="1" x14ac:dyDescent="0.2"/>
    <row r="65926" customFormat="1" x14ac:dyDescent="0.2"/>
    <row r="65927" customFormat="1" x14ac:dyDescent="0.2"/>
    <row r="65928" customFormat="1" x14ac:dyDescent="0.2"/>
    <row r="65929" customFormat="1" x14ac:dyDescent="0.2"/>
    <row r="65930" customFormat="1" x14ac:dyDescent="0.2"/>
    <row r="65931" customFormat="1" x14ac:dyDescent="0.2"/>
    <row r="65932" customFormat="1" x14ac:dyDescent="0.2"/>
    <row r="65933" customFormat="1" x14ac:dyDescent="0.2"/>
    <row r="65934" customFormat="1" x14ac:dyDescent="0.2"/>
    <row r="65935" customFormat="1" x14ac:dyDescent="0.2"/>
    <row r="65936" customFormat="1" x14ac:dyDescent="0.2"/>
    <row r="65937" customFormat="1" x14ac:dyDescent="0.2"/>
    <row r="65938" customFormat="1" x14ac:dyDescent="0.2"/>
    <row r="65939" customFormat="1" x14ac:dyDescent="0.2"/>
    <row r="65940" customFormat="1" x14ac:dyDescent="0.2"/>
    <row r="65941" customFormat="1" x14ac:dyDescent="0.2"/>
    <row r="65942" customFormat="1" x14ac:dyDescent="0.2"/>
    <row r="65943" customFormat="1" x14ac:dyDescent="0.2"/>
    <row r="65944" customFormat="1" x14ac:dyDescent="0.2"/>
    <row r="65945" customFormat="1" x14ac:dyDescent="0.2"/>
    <row r="65946" customFormat="1" x14ac:dyDescent="0.2"/>
    <row r="65947" customFormat="1" x14ac:dyDescent="0.2"/>
    <row r="65948" customFormat="1" x14ac:dyDescent="0.2"/>
    <row r="65949" customFormat="1" x14ac:dyDescent="0.2"/>
    <row r="65950" customFormat="1" x14ac:dyDescent="0.2"/>
    <row r="65951" customFormat="1" x14ac:dyDescent="0.2"/>
    <row r="65952" customFormat="1" x14ac:dyDescent="0.2"/>
    <row r="65953" customFormat="1" x14ac:dyDescent="0.2"/>
    <row r="65954" customFormat="1" x14ac:dyDescent="0.2"/>
    <row r="65955" customFormat="1" x14ac:dyDescent="0.2"/>
    <row r="65956" customFormat="1" x14ac:dyDescent="0.2"/>
    <row r="65957" customFormat="1" x14ac:dyDescent="0.2"/>
    <row r="65958" customFormat="1" x14ac:dyDescent="0.2"/>
    <row r="65959" customFormat="1" x14ac:dyDescent="0.2"/>
    <row r="65960" customFormat="1" x14ac:dyDescent="0.2"/>
    <row r="65961" customFormat="1" x14ac:dyDescent="0.2"/>
    <row r="65962" customFormat="1" x14ac:dyDescent="0.2"/>
    <row r="65963" customFormat="1" x14ac:dyDescent="0.2"/>
    <row r="65964" customFormat="1" x14ac:dyDescent="0.2"/>
    <row r="65965" customFormat="1" x14ac:dyDescent="0.2"/>
    <row r="65966" customFormat="1" x14ac:dyDescent="0.2"/>
    <row r="65967" customFormat="1" x14ac:dyDescent="0.2"/>
    <row r="65968" customFormat="1" x14ac:dyDescent="0.2"/>
    <row r="65969" customFormat="1" x14ac:dyDescent="0.2"/>
    <row r="65970" customFormat="1" x14ac:dyDescent="0.2"/>
    <row r="65971" customFormat="1" x14ac:dyDescent="0.2"/>
    <row r="65972" customFormat="1" x14ac:dyDescent="0.2"/>
    <row r="65973" customFormat="1" x14ac:dyDescent="0.2"/>
    <row r="65974" customFormat="1" x14ac:dyDescent="0.2"/>
    <row r="65975" customFormat="1" x14ac:dyDescent="0.2"/>
    <row r="65976" customFormat="1" x14ac:dyDescent="0.2"/>
    <row r="65977" customFormat="1" x14ac:dyDescent="0.2"/>
    <row r="65978" customFormat="1" x14ac:dyDescent="0.2"/>
    <row r="65979" customFormat="1" x14ac:dyDescent="0.2"/>
    <row r="65980" customFormat="1" x14ac:dyDescent="0.2"/>
    <row r="65981" customFormat="1" x14ac:dyDescent="0.2"/>
    <row r="65982" customFormat="1" x14ac:dyDescent="0.2"/>
    <row r="65983" customFormat="1" x14ac:dyDescent="0.2"/>
    <row r="65984" customFormat="1" x14ac:dyDescent="0.2"/>
    <row r="65985" customFormat="1" x14ac:dyDescent="0.2"/>
    <row r="65986" customFormat="1" x14ac:dyDescent="0.2"/>
    <row r="65987" customFormat="1" x14ac:dyDescent="0.2"/>
    <row r="65988" customFormat="1" x14ac:dyDescent="0.2"/>
    <row r="65989" customFormat="1" x14ac:dyDescent="0.2"/>
    <row r="65990" customFormat="1" x14ac:dyDescent="0.2"/>
    <row r="65991" customFormat="1" x14ac:dyDescent="0.2"/>
    <row r="65992" customFormat="1" x14ac:dyDescent="0.2"/>
    <row r="65993" customFormat="1" x14ac:dyDescent="0.2"/>
    <row r="65994" customFormat="1" x14ac:dyDescent="0.2"/>
    <row r="65995" customFormat="1" x14ac:dyDescent="0.2"/>
    <row r="65996" customFormat="1" x14ac:dyDescent="0.2"/>
    <row r="65997" customFormat="1" x14ac:dyDescent="0.2"/>
    <row r="65998" customFormat="1" x14ac:dyDescent="0.2"/>
    <row r="65999" customFormat="1" x14ac:dyDescent="0.2"/>
    <row r="66000" customFormat="1" x14ac:dyDescent="0.2"/>
    <row r="66001" customFormat="1" x14ac:dyDescent="0.2"/>
    <row r="66002" customFormat="1" x14ac:dyDescent="0.2"/>
    <row r="66003" customFormat="1" x14ac:dyDescent="0.2"/>
    <row r="66004" customFormat="1" x14ac:dyDescent="0.2"/>
    <row r="66005" customFormat="1" x14ac:dyDescent="0.2"/>
    <row r="66006" customFormat="1" x14ac:dyDescent="0.2"/>
    <row r="66007" customFormat="1" x14ac:dyDescent="0.2"/>
    <row r="66008" customFormat="1" x14ac:dyDescent="0.2"/>
    <row r="66009" customFormat="1" x14ac:dyDescent="0.2"/>
    <row r="66010" customFormat="1" x14ac:dyDescent="0.2"/>
    <row r="66011" customFormat="1" x14ac:dyDescent="0.2"/>
    <row r="66012" customFormat="1" x14ac:dyDescent="0.2"/>
    <row r="66013" customFormat="1" x14ac:dyDescent="0.2"/>
    <row r="66014" customFormat="1" x14ac:dyDescent="0.2"/>
    <row r="66015" customFormat="1" x14ac:dyDescent="0.2"/>
    <row r="66016" customFormat="1" x14ac:dyDescent="0.2"/>
    <row r="66017" customFormat="1" x14ac:dyDescent="0.2"/>
    <row r="66018" customFormat="1" x14ac:dyDescent="0.2"/>
    <row r="66019" customFormat="1" x14ac:dyDescent="0.2"/>
    <row r="66020" customFormat="1" x14ac:dyDescent="0.2"/>
    <row r="66021" customFormat="1" x14ac:dyDescent="0.2"/>
    <row r="66022" customFormat="1" x14ac:dyDescent="0.2"/>
    <row r="66023" customFormat="1" x14ac:dyDescent="0.2"/>
    <row r="66024" customFormat="1" x14ac:dyDescent="0.2"/>
    <row r="66025" customFormat="1" x14ac:dyDescent="0.2"/>
    <row r="66026" customFormat="1" x14ac:dyDescent="0.2"/>
    <row r="66027" customFormat="1" x14ac:dyDescent="0.2"/>
    <row r="66028" customFormat="1" x14ac:dyDescent="0.2"/>
    <row r="66029" customFormat="1" x14ac:dyDescent="0.2"/>
    <row r="66030" customFormat="1" x14ac:dyDescent="0.2"/>
    <row r="66031" customFormat="1" x14ac:dyDescent="0.2"/>
    <row r="66032" customFormat="1" x14ac:dyDescent="0.2"/>
    <row r="66033" customFormat="1" x14ac:dyDescent="0.2"/>
    <row r="66034" customFormat="1" x14ac:dyDescent="0.2"/>
    <row r="66035" customFormat="1" x14ac:dyDescent="0.2"/>
    <row r="66036" customFormat="1" x14ac:dyDescent="0.2"/>
    <row r="66037" customFormat="1" x14ac:dyDescent="0.2"/>
    <row r="66038" customFormat="1" x14ac:dyDescent="0.2"/>
    <row r="66039" customFormat="1" x14ac:dyDescent="0.2"/>
    <row r="66040" customFormat="1" x14ac:dyDescent="0.2"/>
    <row r="66041" customFormat="1" x14ac:dyDescent="0.2"/>
    <row r="66042" customFormat="1" x14ac:dyDescent="0.2"/>
    <row r="66043" customFormat="1" x14ac:dyDescent="0.2"/>
    <row r="66044" customFormat="1" x14ac:dyDescent="0.2"/>
    <row r="66045" customFormat="1" x14ac:dyDescent="0.2"/>
    <row r="66046" customFormat="1" x14ac:dyDescent="0.2"/>
    <row r="66047" customFormat="1" x14ac:dyDescent="0.2"/>
    <row r="66048" customFormat="1" x14ac:dyDescent="0.2"/>
    <row r="66049" customFormat="1" x14ac:dyDescent="0.2"/>
    <row r="66050" customFormat="1" x14ac:dyDescent="0.2"/>
    <row r="66051" customFormat="1" x14ac:dyDescent="0.2"/>
    <row r="66052" customFormat="1" x14ac:dyDescent="0.2"/>
    <row r="66053" customFormat="1" x14ac:dyDescent="0.2"/>
    <row r="66054" customFormat="1" x14ac:dyDescent="0.2"/>
    <row r="66055" customFormat="1" x14ac:dyDescent="0.2"/>
    <row r="66056" customFormat="1" x14ac:dyDescent="0.2"/>
    <row r="66057" customFormat="1" x14ac:dyDescent="0.2"/>
    <row r="66058" customFormat="1" x14ac:dyDescent="0.2"/>
    <row r="66059" customFormat="1" x14ac:dyDescent="0.2"/>
    <row r="66060" customFormat="1" x14ac:dyDescent="0.2"/>
    <row r="66061" customFormat="1" x14ac:dyDescent="0.2"/>
    <row r="66062" customFormat="1" x14ac:dyDescent="0.2"/>
    <row r="66063" customFormat="1" x14ac:dyDescent="0.2"/>
    <row r="66064" customFormat="1" x14ac:dyDescent="0.2"/>
    <row r="66065" customFormat="1" x14ac:dyDescent="0.2"/>
    <row r="66066" customFormat="1" x14ac:dyDescent="0.2"/>
    <row r="66067" customFormat="1" x14ac:dyDescent="0.2"/>
    <row r="66068" customFormat="1" x14ac:dyDescent="0.2"/>
    <row r="66069" customFormat="1" x14ac:dyDescent="0.2"/>
    <row r="66070" customFormat="1" x14ac:dyDescent="0.2"/>
    <row r="66071" customFormat="1" x14ac:dyDescent="0.2"/>
    <row r="66072" customFormat="1" x14ac:dyDescent="0.2"/>
    <row r="66073" customFormat="1" x14ac:dyDescent="0.2"/>
    <row r="66074" customFormat="1" x14ac:dyDescent="0.2"/>
    <row r="66075" customFormat="1" x14ac:dyDescent="0.2"/>
    <row r="66076" customFormat="1" x14ac:dyDescent="0.2"/>
    <row r="66077" customFormat="1" x14ac:dyDescent="0.2"/>
    <row r="66078" customFormat="1" x14ac:dyDescent="0.2"/>
    <row r="66079" customFormat="1" x14ac:dyDescent="0.2"/>
    <row r="66080" customFormat="1" x14ac:dyDescent="0.2"/>
    <row r="66081" customFormat="1" x14ac:dyDescent="0.2"/>
    <row r="66082" customFormat="1" x14ac:dyDescent="0.2"/>
    <row r="66083" customFormat="1" x14ac:dyDescent="0.2"/>
    <row r="66084" customFormat="1" x14ac:dyDescent="0.2"/>
    <row r="66085" customFormat="1" x14ac:dyDescent="0.2"/>
    <row r="66086" customFormat="1" x14ac:dyDescent="0.2"/>
    <row r="66087" customFormat="1" x14ac:dyDescent="0.2"/>
    <row r="66088" customFormat="1" x14ac:dyDescent="0.2"/>
    <row r="66089" customFormat="1" x14ac:dyDescent="0.2"/>
    <row r="66090" customFormat="1" x14ac:dyDescent="0.2"/>
    <row r="66091" customFormat="1" x14ac:dyDescent="0.2"/>
    <row r="66092" customFormat="1" x14ac:dyDescent="0.2"/>
    <row r="66093" customFormat="1" x14ac:dyDescent="0.2"/>
    <row r="66094" customFormat="1" x14ac:dyDescent="0.2"/>
    <row r="66095" customFormat="1" x14ac:dyDescent="0.2"/>
    <row r="66096" customFormat="1" x14ac:dyDescent="0.2"/>
    <row r="66097" customFormat="1" x14ac:dyDescent="0.2"/>
    <row r="66098" customFormat="1" x14ac:dyDescent="0.2"/>
    <row r="66099" customFormat="1" x14ac:dyDescent="0.2"/>
    <row r="66100" customFormat="1" x14ac:dyDescent="0.2"/>
    <row r="66101" customFormat="1" x14ac:dyDescent="0.2"/>
    <row r="66102" customFormat="1" x14ac:dyDescent="0.2"/>
    <row r="66103" customFormat="1" x14ac:dyDescent="0.2"/>
    <row r="66104" customFormat="1" x14ac:dyDescent="0.2"/>
    <row r="66105" customFormat="1" x14ac:dyDescent="0.2"/>
    <row r="66106" customFormat="1" x14ac:dyDescent="0.2"/>
    <row r="66107" customFormat="1" x14ac:dyDescent="0.2"/>
    <row r="66108" customFormat="1" x14ac:dyDescent="0.2"/>
    <row r="66109" customFormat="1" x14ac:dyDescent="0.2"/>
    <row r="66110" customFormat="1" x14ac:dyDescent="0.2"/>
    <row r="66111" customFormat="1" x14ac:dyDescent="0.2"/>
    <row r="66112" customFormat="1" x14ac:dyDescent="0.2"/>
    <row r="66113" customFormat="1" x14ac:dyDescent="0.2"/>
    <row r="66114" customFormat="1" x14ac:dyDescent="0.2"/>
    <row r="66115" customFormat="1" x14ac:dyDescent="0.2"/>
    <row r="66116" customFormat="1" x14ac:dyDescent="0.2"/>
    <row r="66117" customFormat="1" x14ac:dyDescent="0.2"/>
    <row r="66118" customFormat="1" x14ac:dyDescent="0.2"/>
    <row r="66119" customFormat="1" x14ac:dyDescent="0.2"/>
    <row r="66120" customFormat="1" x14ac:dyDescent="0.2"/>
    <row r="66121" customFormat="1" x14ac:dyDescent="0.2"/>
    <row r="66122" customFormat="1" x14ac:dyDescent="0.2"/>
    <row r="66123" customFormat="1" x14ac:dyDescent="0.2"/>
    <row r="66124" customFormat="1" x14ac:dyDescent="0.2"/>
    <row r="66125" customFormat="1" x14ac:dyDescent="0.2"/>
    <row r="66126" customFormat="1" x14ac:dyDescent="0.2"/>
    <row r="66127" customFormat="1" x14ac:dyDescent="0.2"/>
    <row r="66128" customFormat="1" x14ac:dyDescent="0.2"/>
    <row r="66129" customFormat="1" x14ac:dyDescent="0.2"/>
    <row r="66130" customFormat="1" x14ac:dyDescent="0.2"/>
    <row r="66131" customFormat="1" x14ac:dyDescent="0.2"/>
    <row r="66132" customFormat="1" x14ac:dyDescent="0.2"/>
    <row r="66133" customFormat="1" x14ac:dyDescent="0.2"/>
    <row r="66134" customFormat="1" x14ac:dyDescent="0.2"/>
    <row r="66135" customFormat="1" x14ac:dyDescent="0.2"/>
    <row r="66136" customFormat="1" x14ac:dyDescent="0.2"/>
    <row r="66137" customFormat="1" x14ac:dyDescent="0.2"/>
    <row r="66138" customFormat="1" x14ac:dyDescent="0.2"/>
    <row r="66139" customFormat="1" x14ac:dyDescent="0.2"/>
    <row r="66140" customFormat="1" x14ac:dyDescent="0.2"/>
    <row r="66141" customFormat="1" x14ac:dyDescent="0.2"/>
    <row r="66142" customFormat="1" x14ac:dyDescent="0.2"/>
    <row r="66143" customFormat="1" x14ac:dyDescent="0.2"/>
    <row r="66144" customFormat="1" x14ac:dyDescent="0.2"/>
    <row r="66145" customFormat="1" x14ac:dyDescent="0.2"/>
    <row r="66146" customFormat="1" x14ac:dyDescent="0.2"/>
    <row r="66147" customFormat="1" x14ac:dyDescent="0.2"/>
    <row r="66148" customFormat="1" x14ac:dyDescent="0.2"/>
    <row r="66149" customFormat="1" x14ac:dyDescent="0.2"/>
    <row r="66150" customFormat="1" x14ac:dyDescent="0.2"/>
    <row r="66151" customFormat="1" x14ac:dyDescent="0.2"/>
    <row r="66152" customFormat="1" x14ac:dyDescent="0.2"/>
    <row r="66153" customFormat="1" x14ac:dyDescent="0.2"/>
    <row r="66154" customFormat="1" x14ac:dyDescent="0.2"/>
    <row r="66155" customFormat="1" x14ac:dyDescent="0.2"/>
    <row r="66156" customFormat="1" x14ac:dyDescent="0.2"/>
    <row r="66157" customFormat="1" x14ac:dyDescent="0.2"/>
    <row r="66158" customFormat="1" x14ac:dyDescent="0.2"/>
    <row r="66159" customFormat="1" x14ac:dyDescent="0.2"/>
    <row r="66160" customFormat="1" x14ac:dyDescent="0.2"/>
    <row r="66161" customFormat="1" x14ac:dyDescent="0.2"/>
    <row r="66162" customFormat="1" x14ac:dyDescent="0.2"/>
    <row r="66163" customFormat="1" x14ac:dyDescent="0.2"/>
    <row r="66164" customFormat="1" x14ac:dyDescent="0.2"/>
    <row r="66165" customFormat="1" x14ac:dyDescent="0.2"/>
    <row r="66166" customFormat="1" x14ac:dyDescent="0.2"/>
    <row r="66167" customFormat="1" x14ac:dyDescent="0.2"/>
    <row r="66168" customFormat="1" x14ac:dyDescent="0.2"/>
    <row r="66169" customFormat="1" x14ac:dyDescent="0.2"/>
    <row r="66170" customFormat="1" x14ac:dyDescent="0.2"/>
    <row r="66171" customFormat="1" x14ac:dyDescent="0.2"/>
    <row r="66172" customFormat="1" x14ac:dyDescent="0.2"/>
    <row r="66173" customFormat="1" x14ac:dyDescent="0.2"/>
    <row r="66174" customFormat="1" x14ac:dyDescent="0.2"/>
    <row r="66175" customFormat="1" x14ac:dyDescent="0.2"/>
    <row r="66176" customFormat="1" x14ac:dyDescent="0.2"/>
    <row r="66177" customFormat="1" x14ac:dyDescent="0.2"/>
    <row r="66178" customFormat="1" x14ac:dyDescent="0.2"/>
    <row r="66179" customFormat="1" x14ac:dyDescent="0.2"/>
    <row r="66180" customFormat="1" x14ac:dyDescent="0.2"/>
    <row r="66181" customFormat="1" x14ac:dyDescent="0.2"/>
    <row r="66182" customFormat="1" x14ac:dyDescent="0.2"/>
    <row r="66183" customFormat="1" x14ac:dyDescent="0.2"/>
    <row r="66184" customFormat="1" x14ac:dyDescent="0.2"/>
    <row r="66185" customFormat="1" x14ac:dyDescent="0.2"/>
    <row r="66186" customFormat="1" x14ac:dyDescent="0.2"/>
    <row r="66187" customFormat="1" x14ac:dyDescent="0.2"/>
    <row r="66188" customFormat="1" x14ac:dyDescent="0.2"/>
    <row r="66189" customFormat="1" x14ac:dyDescent="0.2"/>
    <row r="66190" customFormat="1" x14ac:dyDescent="0.2"/>
    <row r="66191" customFormat="1" x14ac:dyDescent="0.2"/>
    <row r="66192" customFormat="1" x14ac:dyDescent="0.2"/>
    <row r="66193" customFormat="1" x14ac:dyDescent="0.2"/>
    <row r="66194" customFormat="1" x14ac:dyDescent="0.2"/>
    <row r="66195" customFormat="1" x14ac:dyDescent="0.2"/>
    <row r="66196" customFormat="1" x14ac:dyDescent="0.2"/>
    <row r="66197" customFormat="1" x14ac:dyDescent="0.2"/>
    <row r="66198" customFormat="1" x14ac:dyDescent="0.2"/>
    <row r="66199" customFormat="1" x14ac:dyDescent="0.2"/>
    <row r="66200" customFormat="1" x14ac:dyDescent="0.2"/>
    <row r="66201" customFormat="1" x14ac:dyDescent="0.2"/>
    <row r="66202" customFormat="1" x14ac:dyDescent="0.2"/>
    <row r="66203" customFormat="1" x14ac:dyDescent="0.2"/>
    <row r="66204" customFormat="1" x14ac:dyDescent="0.2"/>
    <row r="66205" customFormat="1" x14ac:dyDescent="0.2"/>
    <row r="66206" customFormat="1" x14ac:dyDescent="0.2"/>
    <row r="66207" customFormat="1" x14ac:dyDescent="0.2"/>
    <row r="66208" customFormat="1" x14ac:dyDescent="0.2"/>
    <row r="66209" customFormat="1" x14ac:dyDescent="0.2"/>
    <row r="66210" customFormat="1" x14ac:dyDescent="0.2"/>
    <row r="66211" customFormat="1" x14ac:dyDescent="0.2"/>
    <row r="66212" customFormat="1" x14ac:dyDescent="0.2"/>
    <row r="66213" customFormat="1" x14ac:dyDescent="0.2"/>
    <row r="66214" customFormat="1" x14ac:dyDescent="0.2"/>
    <row r="66215" customFormat="1" x14ac:dyDescent="0.2"/>
    <row r="66216" customFormat="1" x14ac:dyDescent="0.2"/>
    <row r="66217" customFormat="1" x14ac:dyDescent="0.2"/>
    <row r="66218" customFormat="1" x14ac:dyDescent="0.2"/>
    <row r="66219" customFormat="1" x14ac:dyDescent="0.2"/>
    <row r="66220" customFormat="1" x14ac:dyDescent="0.2"/>
    <row r="66221" customFormat="1" x14ac:dyDescent="0.2"/>
    <row r="66222" customFormat="1" x14ac:dyDescent="0.2"/>
    <row r="66223" customFormat="1" x14ac:dyDescent="0.2"/>
    <row r="66224" customFormat="1" x14ac:dyDescent="0.2"/>
    <row r="66225" customFormat="1" x14ac:dyDescent="0.2"/>
    <row r="66226" customFormat="1" x14ac:dyDescent="0.2"/>
    <row r="66227" customFormat="1" x14ac:dyDescent="0.2"/>
    <row r="66228" customFormat="1" x14ac:dyDescent="0.2"/>
    <row r="66229" customFormat="1" x14ac:dyDescent="0.2"/>
    <row r="66230" customFormat="1" x14ac:dyDescent="0.2"/>
    <row r="66231" customFormat="1" x14ac:dyDescent="0.2"/>
    <row r="66232" customFormat="1" x14ac:dyDescent="0.2"/>
    <row r="66233" customFormat="1" x14ac:dyDescent="0.2"/>
    <row r="66234" customFormat="1" x14ac:dyDescent="0.2"/>
    <row r="66235" customFormat="1" x14ac:dyDescent="0.2"/>
    <row r="66236" customFormat="1" x14ac:dyDescent="0.2"/>
    <row r="66237" customFormat="1" x14ac:dyDescent="0.2"/>
    <row r="66238" customFormat="1" x14ac:dyDescent="0.2"/>
    <row r="66239" customFormat="1" x14ac:dyDescent="0.2"/>
    <row r="66240" customFormat="1" x14ac:dyDescent="0.2"/>
    <row r="66241" customFormat="1" x14ac:dyDescent="0.2"/>
    <row r="66242" customFormat="1" x14ac:dyDescent="0.2"/>
    <row r="66243" customFormat="1" x14ac:dyDescent="0.2"/>
    <row r="66244" customFormat="1" x14ac:dyDescent="0.2"/>
    <row r="66245" customFormat="1" x14ac:dyDescent="0.2"/>
    <row r="66246" customFormat="1" x14ac:dyDescent="0.2"/>
    <row r="66247" customFormat="1" x14ac:dyDescent="0.2"/>
    <row r="66248" customFormat="1" x14ac:dyDescent="0.2"/>
    <row r="66249" customFormat="1" x14ac:dyDescent="0.2"/>
    <row r="66250" customFormat="1" x14ac:dyDescent="0.2"/>
    <row r="66251" customFormat="1" x14ac:dyDescent="0.2"/>
    <row r="66252" customFormat="1" x14ac:dyDescent="0.2"/>
    <row r="66253" customFormat="1" x14ac:dyDescent="0.2"/>
    <row r="66254" customFormat="1" x14ac:dyDescent="0.2"/>
    <row r="66255" customFormat="1" x14ac:dyDescent="0.2"/>
    <row r="66256" customFormat="1" x14ac:dyDescent="0.2"/>
    <row r="66257" customFormat="1" x14ac:dyDescent="0.2"/>
    <row r="66258" customFormat="1" x14ac:dyDescent="0.2"/>
    <row r="66259" customFormat="1" x14ac:dyDescent="0.2"/>
    <row r="66260" customFormat="1" x14ac:dyDescent="0.2"/>
    <row r="66261" customFormat="1" x14ac:dyDescent="0.2"/>
    <row r="66262" customFormat="1" x14ac:dyDescent="0.2"/>
    <row r="66263" customFormat="1" x14ac:dyDescent="0.2"/>
    <row r="66264" customFormat="1" x14ac:dyDescent="0.2"/>
    <row r="66265" customFormat="1" x14ac:dyDescent="0.2"/>
    <row r="66266" customFormat="1" x14ac:dyDescent="0.2"/>
    <row r="66267" customFormat="1" x14ac:dyDescent="0.2"/>
    <row r="66268" customFormat="1" x14ac:dyDescent="0.2"/>
    <row r="66269" customFormat="1" x14ac:dyDescent="0.2"/>
    <row r="66270" customFormat="1" x14ac:dyDescent="0.2"/>
    <row r="66271" customFormat="1" x14ac:dyDescent="0.2"/>
    <row r="66272" customFormat="1" x14ac:dyDescent="0.2"/>
    <row r="66273" customFormat="1" x14ac:dyDescent="0.2"/>
    <row r="66274" customFormat="1" x14ac:dyDescent="0.2"/>
    <row r="66275" customFormat="1" x14ac:dyDescent="0.2"/>
    <row r="66276" customFormat="1" x14ac:dyDescent="0.2"/>
    <row r="66277" customFormat="1" x14ac:dyDescent="0.2"/>
    <row r="66278" customFormat="1" x14ac:dyDescent="0.2"/>
    <row r="66279" customFormat="1" x14ac:dyDescent="0.2"/>
    <row r="66280" customFormat="1" x14ac:dyDescent="0.2"/>
    <row r="66281" customFormat="1" x14ac:dyDescent="0.2"/>
    <row r="66282" customFormat="1" x14ac:dyDescent="0.2"/>
    <row r="66283" customFormat="1" x14ac:dyDescent="0.2"/>
    <row r="66284" customFormat="1" x14ac:dyDescent="0.2"/>
    <row r="66285" customFormat="1" x14ac:dyDescent="0.2"/>
    <row r="66286" customFormat="1" x14ac:dyDescent="0.2"/>
    <row r="66287" customFormat="1" x14ac:dyDescent="0.2"/>
    <row r="66288" customFormat="1" x14ac:dyDescent="0.2"/>
    <row r="66289" customFormat="1" x14ac:dyDescent="0.2"/>
    <row r="66290" customFormat="1" x14ac:dyDescent="0.2"/>
    <row r="66291" customFormat="1" x14ac:dyDescent="0.2"/>
    <row r="66292" customFormat="1" x14ac:dyDescent="0.2"/>
    <row r="66293" customFormat="1" x14ac:dyDescent="0.2"/>
    <row r="66294" customFormat="1" x14ac:dyDescent="0.2"/>
    <row r="66295" customFormat="1" x14ac:dyDescent="0.2"/>
    <row r="66296" customFormat="1" x14ac:dyDescent="0.2"/>
    <row r="66297" customFormat="1" x14ac:dyDescent="0.2"/>
    <row r="66298" customFormat="1" x14ac:dyDescent="0.2"/>
    <row r="66299" customFormat="1" x14ac:dyDescent="0.2"/>
    <row r="66300" customFormat="1" x14ac:dyDescent="0.2"/>
    <row r="66301" customFormat="1" x14ac:dyDescent="0.2"/>
    <row r="66302" customFormat="1" x14ac:dyDescent="0.2"/>
    <row r="66303" customFormat="1" x14ac:dyDescent="0.2"/>
    <row r="66304" customFormat="1" x14ac:dyDescent="0.2"/>
    <row r="66305" customFormat="1" x14ac:dyDescent="0.2"/>
    <row r="66306" customFormat="1" x14ac:dyDescent="0.2"/>
    <row r="66307" customFormat="1" x14ac:dyDescent="0.2"/>
    <row r="66308" customFormat="1" x14ac:dyDescent="0.2"/>
    <row r="66309" customFormat="1" x14ac:dyDescent="0.2"/>
    <row r="66310" customFormat="1" x14ac:dyDescent="0.2"/>
    <row r="66311" customFormat="1" x14ac:dyDescent="0.2"/>
    <row r="66312" customFormat="1" x14ac:dyDescent="0.2"/>
    <row r="66313" customFormat="1" x14ac:dyDescent="0.2"/>
    <row r="66314" customFormat="1" x14ac:dyDescent="0.2"/>
    <row r="66315" customFormat="1" x14ac:dyDescent="0.2"/>
    <row r="66316" customFormat="1" x14ac:dyDescent="0.2"/>
    <row r="66317" customFormat="1" x14ac:dyDescent="0.2"/>
    <row r="66318" customFormat="1" x14ac:dyDescent="0.2"/>
    <row r="66319" customFormat="1" x14ac:dyDescent="0.2"/>
    <row r="66320" customFormat="1" x14ac:dyDescent="0.2"/>
    <row r="66321" customFormat="1" x14ac:dyDescent="0.2"/>
    <row r="66322" customFormat="1" x14ac:dyDescent="0.2"/>
    <row r="66323" customFormat="1" x14ac:dyDescent="0.2"/>
    <row r="66324" customFormat="1" x14ac:dyDescent="0.2"/>
    <row r="66325" customFormat="1" x14ac:dyDescent="0.2"/>
    <row r="66326" customFormat="1" x14ac:dyDescent="0.2"/>
    <row r="66327" customFormat="1" x14ac:dyDescent="0.2"/>
    <row r="66328" customFormat="1" x14ac:dyDescent="0.2"/>
    <row r="66329" customFormat="1" x14ac:dyDescent="0.2"/>
    <row r="66330" customFormat="1" x14ac:dyDescent="0.2"/>
    <row r="66331" customFormat="1" x14ac:dyDescent="0.2"/>
    <row r="66332" customFormat="1" x14ac:dyDescent="0.2"/>
    <row r="66333" customFormat="1" x14ac:dyDescent="0.2"/>
    <row r="66334" customFormat="1" x14ac:dyDescent="0.2"/>
    <row r="66335" customFormat="1" x14ac:dyDescent="0.2"/>
    <row r="66336" customFormat="1" x14ac:dyDescent="0.2"/>
    <row r="66337" customFormat="1" x14ac:dyDescent="0.2"/>
    <row r="66338" customFormat="1" x14ac:dyDescent="0.2"/>
    <row r="66339" customFormat="1" x14ac:dyDescent="0.2"/>
    <row r="66340" customFormat="1" x14ac:dyDescent="0.2"/>
    <row r="66341" customFormat="1" x14ac:dyDescent="0.2"/>
    <row r="66342" customFormat="1" x14ac:dyDescent="0.2"/>
    <row r="66343" customFormat="1" x14ac:dyDescent="0.2"/>
    <row r="66344" customFormat="1" x14ac:dyDescent="0.2"/>
    <row r="66345" customFormat="1" x14ac:dyDescent="0.2"/>
    <row r="66346" customFormat="1" x14ac:dyDescent="0.2"/>
    <row r="66347" customFormat="1" x14ac:dyDescent="0.2"/>
    <row r="66348" customFormat="1" x14ac:dyDescent="0.2"/>
    <row r="66349" customFormat="1" x14ac:dyDescent="0.2"/>
    <row r="66350" customFormat="1" x14ac:dyDescent="0.2"/>
    <row r="66351" customFormat="1" x14ac:dyDescent="0.2"/>
    <row r="66352" customFormat="1" x14ac:dyDescent="0.2"/>
    <row r="66353" customFormat="1" x14ac:dyDescent="0.2"/>
    <row r="66354" customFormat="1" x14ac:dyDescent="0.2"/>
    <row r="66355" customFormat="1" x14ac:dyDescent="0.2"/>
    <row r="66356" customFormat="1" x14ac:dyDescent="0.2"/>
    <row r="66357" customFormat="1" x14ac:dyDescent="0.2"/>
    <row r="66358" customFormat="1" x14ac:dyDescent="0.2"/>
    <row r="66359" customFormat="1" x14ac:dyDescent="0.2"/>
    <row r="66360" customFormat="1" x14ac:dyDescent="0.2"/>
    <row r="66361" customFormat="1" x14ac:dyDescent="0.2"/>
    <row r="66362" customFormat="1" x14ac:dyDescent="0.2"/>
    <row r="66363" customFormat="1" x14ac:dyDescent="0.2"/>
    <row r="66364" customFormat="1" x14ac:dyDescent="0.2"/>
    <row r="66365" customFormat="1" x14ac:dyDescent="0.2"/>
    <row r="66366" customFormat="1" x14ac:dyDescent="0.2"/>
    <row r="66367" customFormat="1" x14ac:dyDescent="0.2"/>
    <row r="66368" customFormat="1" x14ac:dyDescent="0.2"/>
    <row r="66369" customFormat="1" x14ac:dyDescent="0.2"/>
    <row r="66370" customFormat="1" x14ac:dyDescent="0.2"/>
    <row r="66371" customFormat="1" x14ac:dyDescent="0.2"/>
    <row r="66372" customFormat="1" x14ac:dyDescent="0.2"/>
    <row r="66373" customFormat="1" x14ac:dyDescent="0.2"/>
    <row r="66374" customFormat="1" x14ac:dyDescent="0.2"/>
    <row r="66375" customFormat="1" x14ac:dyDescent="0.2"/>
    <row r="66376" customFormat="1" x14ac:dyDescent="0.2"/>
    <row r="66377" customFormat="1" x14ac:dyDescent="0.2"/>
    <row r="66378" customFormat="1" x14ac:dyDescent="0.2"/>
    <row r="66379" customFormat="1" x14ac:dyDescent="0.2"/>
    <row r="66380" customFormat="1" x14ac:dyDescent="0.2"/>
    <row r="66381" customFormat="1" x14ac:dyDescent="0.2"/>
    <row r="66382" customFormat="1" x14ac:dyDescent="0.2"/>
    <row r="66383" customFormat="1" x14ac:dyDescent="0.2"/>
    <row r="66384" customFormat="1" x14ac:dyDescent="0.2"/>
    <row r="66385" customFormat="1" x14ac:dyDescent="0.2"/>
    <row r="66386" customFormat="1" x14ac:dyDescent="0.2"/>
    <row r="66387" customFormat="1" x14ac:dyDescent="0.2"/>
    <row r="66388" customFormat="1" x14ac:dyDescent="0.2"/>
    <row r="66389" customFormat="1" x14ac:dyDescent="0.2"/>
    <row r="66390" customFormat="1" x14ac:dyDescent="0.2"/>
    <row r="66391" customFormat="1" x14ac:dyDescent="0.2"/>
    <row r="66392" customFormat="1" x14ac:dyDescent="0.2"/>
    <row r="66393" customFormat="1" x14ac:dyDescent="0.2"/>
    <row r="66394" customFormat="1" x14ac:dyDescent="0.2"/>
    <row r="66395" customFormat="1" x14ac:dyDescent="0.2"/>
    <row r="66396" customFormat="1" x14ac:dyDescent="0.2"/>
    <row r="66397" customFormat="1" x14ac:dyDescent="0.2"/>
    <row r="66398" customFormat="1" x14ac:dyDescent="0.2"/>
    <row r="66399" customFormat="1" x14ac:dyDescent="0.2"/>
    <row r="66400" customFormat="1" x14ac:dyDescent="0.2"/>
    <row r="66401" customFormat="1" x14ac:dyDescent="0.2"/>
    <row r="66402" customFormat="1" x14ac:dyDescent="0.2"/>
    <row r="66403" customFormat="1" x14ac:dyDescent="0.2"/>
    <row r="66404" customFormat="1" x14ac:dyDescent="0.2"/>
    <row r="66405" customFormat="1" x14ac:dyDescent="0.2"/>
    <row r="66406" customFormat="1" x14ac:dyDescent="0.2"/>
    <row r="66407" customFormat="1" x14ac:dyDescent="0.2"/>
    <row r="66408" customFormat="1" x14ac:dyDescent="0.2"/>
    <row r="66409" customFormat="1" x14ac:dyDescent="0.2"/>
    <row r="66410" customFormat="1" x14ac:dyDescent="0.2"/>
    <row r="66411" customFormat="1" x14ac:dyDescent="0.2"/>
    <row r="66412" customFormat="1" x14ac:dyDescent="0.2"/>
    <row r="66413" customFormat="1" x14ac:dyDescent="0.2"/>
    <row r="66414" customFormat="1" x14ac:dyDescent="0.2"/>
    <row r="66415" customFormat="1" x14ac:dyDescent="0.2"/>
    <row r="66416" customFormat="1" x14ac:dyDescent="0.2"/>
    <row r="66417" customFormat="1" x14ac:dyDescent="0.2"/>
    <row r="66418" customFormat="1" x14ac:dyDescent="0.2"/>
    <row r="66419" customFormat="1" x14ac:dyDescent="0.2"/>
    <row r="66420" customFormat="1" x14ac:dyDescent="0.2"/>
    <row r="66421" customFormat="1" x14ac:dyDescent="0.2"/>
    <row r="66422" customFormat="1" x14ac:dyDescent="0.2"/>
    <row r="66423" customFormat="1" x14ac:dyDescent="0.2"/>
    <row r="66424" customFormat="1" x14ac:dyDescent="0.2"/>
    <row r="66425" customFormat="1" x14ac:dyDescent="0.2"/>
    <row r="66426" customFormat="1" x14ac:dyDescent="0.2"/>
    <row r="66427" customFormat="1" x14ac:dyDescent="0.2"/>
    <row r="66428" customFormat="1" x14ac:dyDescent="0.2"/>
    <row r="66429" customFormat="1" x14ac:dyDescent="0.2"/>
    <row r="66430" customFormat="1" x14ac:dyDescent="0.2"/>
    <row r="66431" customFormat="1" x14ac:dyDescent="0.2"/>
    <row r="66432" customFormat="1" x14ac:dyDescent="0.2"/>
    <row r="66433" customFormat="1" x14ac:dyDescent="0.2"/>
    <row r="66434" customFormat="1" x14ac:dyDescent="0.2"/>
    <row r="66435" customFormat="1" x14ac:dyDescent="0.2"/>
    <row r="66436" customFormat="1" x14ac:dyDescent="0.2"/>
    <row r="66437" customFormat="1" x14ac:dyDescent="0.2"/>
    <row r="66438" customFormat="1" x14ac:dyDescent="0.2"/>
    <row r="66439" customFormat="1" x14ac:dyDescent="0.2"/>
    <row r="66440" customFormat="1" x14ac:dyDescent="0.2"/>
    <row r="66441" customFormat="1" x14ac:dyDescent="0.2"/>
    <row r="66442" customFormat="1" x14ac:dyDescent="0.2"/>
    <row r="66443" customFormat="1" x14ac:dyDescent="0.2"/>
    <row r="66444" customFormat="1" x14ac:dyDescent="0.2"/>
    <row r="66445" customFormat="1" x14ac:dyDescent="0.2"/>
    <row r="66446" customFormat="1" x14ac:dyDescent="0.2"/>
    <row r="66447" customFormat="1" x14ac:dyDescent="0.2"/>
    <row r="66448" customFormat="1" x14ac:dyDescent="0.2"/>
    <row r="66449" customFormat="1" x14ac:dyDescent="0.2"/>
    <row r="66450" customFormat="1" x14ac:dyDescent="0.2"/>
    <row r="66451" customFormat="1" x14ac:dyDescent="0.2"/>
    <row r="66452" customFormat="1" x14ac:dyDescent="0.2"/>
    <row r="66453" customFormat="1" x14ac:dyDescent="0.2"/>
    <row r="66454" customFormat="1" x14ac:dyDescent="0.2"/>
    <row r="66455" customFormat="1" x14ac:dyDescent="0.2"/>
    <row r="66456" customFormat="1" x14ac:dyDescent="0.2"/>
    <row r="66457" customFormat="1" x14ac:dyDescent="0.2"/>
    <row r="66458" customFormat="1" x14ac:dyDescent="0.2"/>
    <row r="66459" customFormat="1" x14ac:dyDescent="0.2"/>
    <row r="66460" customFormat="1" x14ac:dyDescent="0.2"/>
    <row r="66461" customFormat="1" x14ac:dyDescent="0.2"/>
    <row r="66462" customFormat="1" x14ac:dyDescent="0.2"/>
    <row r="66463" customFormat="1" x14ac:dyDescent="0.2"/>
    <row r="66464" customFormat="1" x14ac:dyDescent="0.2"/>
    <row r="66465" customFormat="1" x14ac:dyDescent="0.2"/>
    <row r="66466" customFormat="1" x14ac:dyDescent="0.2"/>
    <row r="66467" customFormat="1" x14ac:dyDescent="0.2"/>
    <row r="66468" customFormat="1" x14ac:dyDescent="0.2"/>
    <row r="66469" customFormat="1" x14ac:dyDescent="0.2"/>
    <row r="66470" customFormat="1" x14ac:dyDescent="0.2"/>
    <row r="66471" customFormat="1" x14ac:dyDescent="0.2"/>
    <row r="66472" customFormat="1" x14ac:dyDescent="0.2"/>
    <row r="66473" customFormat="1" x14ac:dyDescent="0.2"/>
    <row r="66474" customFormat="1" x14ac:dyDescent="0.2"/>
    <row r="66475" customFormat="1" x14ac:dyDescent="0.2"/>
    <row r="66476" customFormat="1" x14ac:dyDescent="0.2"/>
    <row r="66477" customFormat="1" x14ac:dyDescent="0.2"/>
    <row r="66478" customFormat="1" x14ac:dyDescent="0.2"/>
    <row r="66479" customFormat="1" x14ac:dyDescent="0.2"/>
    <row r="66480" customFormat="1" x14ac:dyDescent="0.2"/>
    <row r="66481" customFormat="1" x14ac:dyDescent="0.2"/>
    <row r="66482" customFormat="1" x14ac:dyDescent="0.2"/>
    <row r="66483" customFormat="1" x14ac:dyDescent="0.2"/>
    <row r="66484" customFormat="1" x14ac:dyDescent="0.2"/>
    <row r="66485" customFormat="1" x14ac:dyDescent="0.2"/>
    <row r="66486" customFormat="1" x14ac:dyDescent="0.2"/>
    <row r="66487" customFormat="1" x14ac:dyDescent="0.2"/>
    <row r="66488" customFormat="1" x14ac:dyDescent="0.2"/>
    <row r="66489" customFormat="1" x14ac:dyDescent="0.2"/>
    <row r="66490" customFormat="1" x14ac:dyDescent="0.2"/>
    <row r="66491" customFormat="1" x14ac:dyDescent="0.2"/>
    <row r="66492" customFormat="1" x14ac:dyDescent="0.2"/>
    <row r="66493" customFormat="1" x14ac:dyDescent="0.2"/>
    <row r="66494" customFormat="1" x14ac:dyDescent="0.2"/>
    <row r="66495" customFormat="1" x14ac:dyDescent="0.2"/>
    <row r="66496" customFormat="1" x14ac:dyDescent="0.2"/>
    <row r="66497" customFormat="1" x14ac:dyDescent="0.2"/>
    <row r="66498" customFormat="1" x14ac:dyDescent="0.2"/>
    <row r="66499" customFormat="1" x14ac:dyDescent="0.2"/>
    <row r="66500" customFormat="1" x14ac:dyDescent="0.2"/>
    <row r="66501" customFormat="1" x14ac:dyDescent="0.2"/>
    <row r="66502" customFormat="1" x14ac:dyDescent="0.2"/>
    <row r="66503" customFormat="1" x14ac:dyDescent="0.2"/>
    <row r="66504" customFormat="1" x14ac:dyDescent="0.2"/>
    <row r="66505" customFormat="1" x14ac:dyDescent="0.2"/>
    <row r="66506" customFormat="1" x14ac:dyDescent="0.2"/>
    <row r="66507" customFormat="1" x14ac:dyDescent="0.2"/>
    <row r="66508" customFormat="1" x14ac:dyDescent="0.2"/>
    <row r="66509" customFormat="1" x14ac:dyDescent="0.2"/>
    <row r="66510" customFormat="1" x14ac:dyDescent="0.2"/>
    <row r="66511" customFormat="1" x14ac:dyDescent="0.2"/>
    <row r="66512" customFormat="1" x14ac:dyDescent="0.2"/>
    <row r="66513" customFormat="1" x14ac:dyDescent="0.2"/>
    <row r="66514" customFormat="1" x14ac:dyDescent="0.2"/>
    <row r="66515" customFormat="1" x14ac:dyDescent="0.2"/>
    <row r="66516" customFormat="1" x14ac:dyDescent="0.2"/>
    <row r="66517" customFormat="1" x14ac:dyDescent="0.2"/>
    <row r="66518" customFormat="1" x14ac:dyDescent="0.2"/>
    <row r="66519" customFormat="1" x14ac:dyDescent="0.2"/>
    <row r="66520" customFormat="1" x14ac:dyDescent="0.2"/>
    <row r="66521" customFormat="1" x14ac:dyDescent="0.2"/>
    <row r="66522" customFormat="1" x14ac:dyDescent="0.2"/>
    <row r="66523" customFormat="1" x14ac:dyDescent="0.2"/>
    <row r="66524" customFormat="1" x14ac:dyDescent="0.2"/>
    <row r="66525" customFormat="1" x14ac:dyDescent="0.2"/>
    <row r="66526" customFormat="1" x14ac:dyDescent="0.2"/>
    <row r="66527" customFormat="1" x14ac:dyDescent="0.2"/>
    <row r="66528" customFormat="1" x14ac:dyDescent="0.2"/>
    <row r="66529" customFormat="1" x14ac:dyDescent="0.2"/>
    <row r="66530" customFormat="1" x14ac:dyDescent="0.2"/>
    <row r="66531" customFormat="1" x14ac:dyDescent="0.2"/>
    <row r="66532" customFormat="1" x14ac:dyDescent="0.2"/>
    <row r="66533" customFormat="1" x14ac:dyDescent="0.2"/>
    <row r="66534" customFormat="1" x14ac:dyDescent="0.2"/>
    <row r="66535" customFormat="1" x14ac:dyDescent="0.2"/>
    <row r="66536" customFormat="1" x14ac:dyDescent="0.2"/>
    <row r="66537" customFormat="1" x14ac:dyDescent="0.2"/>
    <row r="66538" customFormat="1" x14ac:dyDescent="0.2"/>
    <row r="66539" customFormat="1" x14ac:dyDescent="0.2"/>
    <row r="66540" customFormat="1" x14ac:dyDescent="0.2"/>
    <row r="66541" customFormat="1" x14ac:dyDescent="0.2"/>
    <row r="66542" customFormat="1" x14ac:dyDescent="0.2"/>
    <row r="66543" customFormat="1" x14ac:dyDescent="0.2"/>
    <row r="66544" customFormat="1" x14ac:dyDescent="0.2"/>
    <row r="66545" customFormat="1" x14ac:dyDescent="0.2"/>
    <row r="66546" customFormat="1" x14ac:dyDescent="0.2"/>
    <row r="66547" customFormat="1" x14ac:dyDescent="0.2"/>
    <row r="66548" customFormat="1" x14ac:dyDescent="0.2"/>
    <row r="66549" customFormat="1" x14ac:dyDescent="0.2"/>
    <row r="66550" customFormat="1" x14ac:dyDescent="0.2"/>
    <row r="66551" customFormat="1" x14ac:dyDescent="0.2"/>
    <row r="66552" customFormat="1" x14ac:dyDescent="0.2"/>
    <row r="66553" customFormat="1" x14ac:dyDescent="0.2"/>
    <row r="66554" customFormat="1" x14ac:dyDescent="0.2"/>
    <row r="66555" customFormat="1" x14ac:dyDescent="0.2"/>
    <row r="66556" customFormat="1" x14ac:dyDescent="0.2"/>
    <row r="66557" customFormat="1" x14ac:dyDescent="0.2"/>
    <row r="66558" customFormat="1" x14ac:dyDescent="0.2"/>
    <row r="66559" customFormat="1" x14ac:dyDescent="0.2"/>
    <row r="66560" customFormat="1" x14ac:dyDescent="0.2"/>
    <row r="66561" customFormat="1" x14ac:dyDescent="0.2"/>
    <row r="66562" customFormat="1" x14ac:dyDescent="0.2"/>
    <row r="66563" customFormat="1" x14ac:dyDescent="0.2"/>
    <row r="66564" customFormat="1" x14ac:dyDescent="0.2"/>
    <row r="66565" customFormat="1" x14ac:dyDescent="0.2"/>
    <row r="66566" customFormat="1" x14ac:dyDescent="0.2"/>
    <row r="66567" customFormat="1" x14ac:dyDescent="0.2"/>
    <row r="66568" customFormat="1" x14ac:dyDescent="0.2"/>
    <row r="66569" customFormat="1" x14ac:dyDescent="0.2"/>
    <row r="66570" customFormat="1" x14ac:dyDescent="0.2"/>
    <row r="66571" customFormat="1" x14ac:dyDescent="0.2"/>
    <row r="66572" customFormat="1" x14ac:dyDescent="0.2"/>
    <row r="66573" customFormat="1" x14ac:dyDescent="0.2"/>
    <row r="66574" customFormat="1" x14ac:dyDescent="0.2"/>
    <row r="66575" customFormat="1" x14ac:dyDescent="0.2"/>
    <row r="66576" customFormat="1" x14ac:dyDescent="0.2"/>
    <row r="66577" customFormat="1" x14ac:dyDescent="0.2"/>
    <row r="66578" customFormat="1" x14ac:dyDescent="0.2"/>
    <row r="66579" customFormat="1" x14ac:dyDescent="0.2"/>
    <row r="66580" customFormat="1" x14ac:dyDescent="0.2"/>
    <row r="66581" customFormat="1" x14ac:dyDescent="0.2"/>
    <row r="66582" customFormat="1" x14ac:dyDescent="0.2"/>
    <row r="66583" customFormat="1" x14ac:dyDescent="0.2"/>
    <row r="66584" customFormat="1" x14ac:dyDescent="0.2"/>
    <row r="66585" customFormat="1" x14ac:dyDescent="0.2"/>
    <row r="66586" customFormat="1" x14ac:dyDescent="0.2"/>
    <row r="66587" customFormat="1" x14ac:dyDescent="0.2"/>
    <row r="66588" customFormat="1" x14ac:dyDescent="0.2"/>
    <row r="66589" customFormat="1" x14ac:dyDescent="0.2"/>
    <row r="66590" customFormat="1" x14ac:dyDescent="0.2"/>
    <row r="66591" customFormat="1" x14ac:dyDescent="0.2"/>
    <row r="66592" customFormat="1" x14ac:dyDescent="0.2"/>
    <row r="66593" customFormat="1" x14ac:dyDescent="0.2"/>
    <row r="66594" customFormat="1" x14ac:dyDescent="0.2"/>
    <row r="66595" customFormat="1" x14ac:dyDescent="0.2"/>
    <row r="66596" customFormat="1" x14ac:dyDescent="0.2"/>
    <row r="66597" customFormat="1" x14ac:dyDescent="0.2"/>
    <row r="66598" customFormat="1" x14ac:dyDescent="0.2"/>
    <row r="66599" customFormat="1" x14ac:dyDescent="0.2"/>
    <row r="66600" customFormat="1" x14ac:dyDescent="0.2"/>
    <row r="66601" customFormat="1" x14ac:dyDescent="0.2"/>
    <row r="66602" customFormat="1" x14ac:dyDescent="0.2"/>
    <row r="66603" customFormat="1" x14ac:dyDescent="0.2"/>
    <row r="66604" customFormat="1" x14ac:dyDescent="0.2"/>
    <row r="66605" customFormat="1" x14ac:dyDescent="0.2"/>
    <row r="66606" customFormat="1" x14ac:dyDescent="0.2"/>
    <row r="66607" customFormat="1" x14ac:dyDescent="0.2"/>
    <row r="66608" customFormat="1" x14ac:dyDescent="0.2"/>
    <row r="66609" customFormat="1" x14ac:dyDescent="0.2"/>
    <row r="66610" customFormat="1" x14ac:dyDescent="0.2"/>
    <row r="66611" customFormat="1" x14ac:dyDescent="0.2"/>
    <row r="66612" customFormat="1" x14ac:dyDescent="0.2"/>
    <row r="66613" customFormat="1" x14ac:dyDescent="0.2"/>
    <row r="66614" customFormat="1" x14ac:dyDescent="0.2"/>
    <row r="66615" customFormat="1" x14ac:dyDescent="0.2"/>
    <row r="66616" customFormat="1" x14ac:dyDescent="0.2"/>
    <row r="66617" customFormat="1" x14ac:dyDescent="0.2"/>
    <row r="66618" customFormat="1" x14ac:dyDescent="0.2"/>
    <row r="66619" customFormat="1" x14ac:dyDescent="0.2"/>
    <row r="66620" customFormat="1" x14ac:dyDescent="0.2"/>
    <row r="66621" customFormat="1" x14ac:dyDescent="0.2"/>
    <row r="66622" customFormat="1" x14ac:dyDescent="0.2"/>
    <row r="66623" customFormat="1" x14ac:dyDescent="0.2"/>
    <row r="66624" customFormat="1" x14ac:dyDescent="0.2"/>
    <row r="66625" customFormat="1" x14ac:dyDescent="0.2"/>
    <row r="66626" customFormat="1" x14ac:dyDescent="0.2"/>
    <row r="66627" customFormat="1" x14ac:dyDescent="0.2"/>
    <row r="66628" customFormat="1" x14ac:dyDescent="0.2"/>
    <row r="66629" customFormat="1" x14ac:dyDescent="0.2"/>
    <row r="66630" customFormat="1" x14ac:dyDescent="0.2"/>
    <row r="66631" customFormat="1" x14ac:dyDescent="0.2"/>
    <row r="66632" customFormat="1" x14ac:dyDescent="0.2"/>
    <row r="66633" customFormat="1" x14ac:dyDescent="0.2"/>
    <row r="66634" customFormat="1" x14ac:dyDescent="0.2"/>
    <row r="66635" customFormat="1" x14ac:dyDescent="0.2"/>
    <row r="66636" customFormat="1" x14ac:dyDescent="0.2"/>
    <row r="66637" customFormat="1" x14ac:dyDescent="0.2"/>
    <row r="66638" customFormat="1" x14ac:dyDescent="0.2"/>
    <row r="66639" customFormat="1" x14ac:dyDescent="0.2"/>
    <row r="66640" customFormat="1" x14ac:dyDescent="0.2"/>
    <row r="66641" customFormat="1" x14ac:dyDescent="0.2"/>
    <row r="66642" customFormat="1" x14ac:dyDescent="0.2"/>
    <row r="66643" customFormat="1" x14ac:dyDescent="0.2"/>
    <row r="66644" customFormat="1" x14ac:dyDescent="0.2"/>
    <row r="66645" customFormat="1" x14ac:dyDescent="0.2"/>
    <row r="66646" customFormat="1" x14ac:dyDescent="0.2"/>
    <row r="66647" customFormat="1" x14ac:dyDescent="0.2"/>
    <row r="66648" customFormat="1" x14ac:dyDescent="0.2"/>
    <row r="66649" customFormat="1" x14ac:dyDescent="0.2"/>
    <row r="66650" customFormat="1" x14ac:dyDescent="0.2"/>
    <row r="66651" customFormat="1" x14ac:dyDescent="0.2"/>
    <row r="66652" customFormat="1" x14ac:dyDescent="0.2"/>
    <row r="66653" customFormat="1" x14ac:dyDescent="0.2"/>
    <row r="66654" customFormat="1" x14ac:dyDescent="0.2"/>
    <row r="66655" customFormat="1" x14ac:dyDescent="0.2"/>
    <row r="66656" customFormat="1" x14ac:dyDescent="0.2"/>
    <row r="66657" customFormat="1" x14ac:dyDescent="0.2"/>
    <row r="66658" customFormat="1" x14ac:dyDescent="0.2"/>
    <row r="66659" customFormat="1" x14ac:dyDescent="0.2"/>
    <row r="66660" customFormat="1" x14ac:dyDescent="0.2"/>
    <row r="66661" customFormat="1" x14ac:dyDescent="0.2"/>
    <row r="66662" customFormat="1" x14ac:dyDescent="0.2"/>
    <row r="66663" customFormat="1" x14ac:dyDescent="0.2"/>
    <row r="66664" customFormat="1" x14ac:dyDescent="0.2"/>
    <row r="66665" customFormat="1" x14ac:dyDescent="0.2"/>
    <row r="66666" customFormat="1" x14ac:dyDescent="0.2"/>
    <row r="66667" customFormat="1" x14ac:dyDescent="0.2"/>
    <row r="66668" customFormat="1" x14ac:dyDescent="0.2"/>
    <row r="66669" customFormat="1" x14ac:dyDescent="0.2"/>
    <row r="66670" customFormat="1" x14ac:dyDescent="0.2"/>
    <row r="66671" customFormat="1" x14ac:dyDescent="0.2"/>
    <row r="66672" customFormat="1" x14ac:dyDescent="0.2"/>
    <row r="66673" customFormat="1" x14ac:dyDescent="0.2"/>
    <row r="66674" customFormat="1" x14ac:dyDescent="0.2"/>
    <row r="66675" customFormat="1" x14ac:dyDescent="0.2"/>
    <row r="66676" customFormat="1" x14ac:dyDescent="0.2"/>
    <row r="66677" customFormat="1" x14ac:dyDescent="0.2"/>
    <row r="66678" customFormat="1" x14ac:dyDescent="0.2"/>
    <row r="66679" customFormat="1" x14ac:dyDescent="0.2"/>
    <row r="66680" customFormat="1" x14ac:dyDescent="0.2"/>
    <row r="66681" customFormat="1" x14ac:dyDescent="0.2"/>
    <row r="66682" customFormat="1" x14ac:dyDescent="0.2"/>
    <row r="66683" customFormat="1" x14ac:dyDescent="0.2"/>
    <row r="66684" customFormat="1" x14ac:dyDescent="0.2"/>
    <row r="66685" customFormat="1" x14ac:dyDescent="0.2"/>
    <row r="66686" customFormat="1" x14ac:dyDescent="0.2"/>
    <row r="66687" customFormat="1" x14ac:dyDescent="0.2"/>
    <row r="66688" customFormat="1" x14ac:dyDescent="0.2"/>
    <row r="66689" customFormat="1" x14ac:dyDescent="0.2"/>
    <row r="66690" customFormat="1" x14ac:dyDescent="0.2"/>
    <row r="66691" customFormat="1" x14ac:dyDescent="0.2"/>
    <row r="66692" customFormat="1" x14ac:dyDescent="0.2"/>
    <row r="66693" customFormat="1" x14ac:dyDescent="0.2"/>
    <row r="66694" customFormat="1" x14ac:dyDescent="0.2"/>
    <row r="66695" customFormat="1" x14ac:dyDescent="0.2"/>
    <row r="66696" customFormat="1" x14ac:dyDescent="0.2"/>
    <row r="66697" customFormat="1" x14ac:dyDescent="0.2"/>
    <row r="66698" customFormat="1" x14ac:dyDescent="0.2"/>
    <row r="66699" customFormat="1" x14ac:dyDescent="0.2"/>
    <row r="66700" customFormat="1" x14ac:dyDescent="0.2"/>
    <row r="66701" customFormat="1" x14ac:dyDescent="0.2"/>
    <row r="66702" customFormat="1" x14ac:dyDescent="0.2"/>
    <row r="66703" customFormat="1" x14ac:dyDescent="0.2"/>
    <row r="66704" customFormat="1" x14ac:dyDescent="0.2"/>
    <row r="66705" customFormat="1" x14ac:dyDescent="0.2"/>
    <row r="66706" customFormat="1" x14ac:dyDescent="0.2"/>
    <row r="66707" customFormat="1" x14ac:dyDescent="0.2"/>
    <row r="66708" customFormat="1" x14ac:dyDescent="0.2"/>
    <row r="66709" customFormat="1" x14ac:dyDescent="0.2"/>
    <row r="66710" customFormat="1" x14ac:dyDescent="0.2"/>
    <row r="66711" customFormat="1" x14ac:dyDescent="0.2"/>
    <row r="66712" customFormat="1" x14ac:dyDescent="0.2"/>
    <row r="66713" customFormat="1" x14ac:dyDescent="0.2"/>
    <row r="66714" customFormat="1" x14ac:dyDescent="0.2"/>
    <row r="66715" customFormat="1" x14ac:dyDescent="0.2"/>
    <row r="66716" customFormat="1" x14ac:dyDescent="0.2"/>
    <row r="66717" customFormat="1" x14ac:dyDescent="0.2"/>
    <row r="66718" customFormat="1" x14ac:dyDescent="0.2"/>
    <row r="66719" customFormat="1" x14ac:dyDescent="0.2"/>
    <row r="66720" customFormat="1" x14ac:dyDescent="0.2"/>
    <row r="66721" customFormat="1" x14ac:dyDescent="0.2"/>
    <row r="66722" customFormat="1" x14ac:dyDescent="0.2"/>
    <row r="66723" customFormat="1" x14ac:dyDescent="0.2"/>
    <row r="66724" customFormat="1" x14ac:dyDescent="0.2"/>
    <row r="66725" customFormat="1" x14ac:dyDescent="0.2"/>
    <row r="66726" customFormat="1" x14ac:dyDescent="0.2"/>
    <row r="66727" customFormat="1" x14ac:dyDescent="0.2"/>
    <row r="66728" customFormat="1" x14ac:dyDescent="0.2"/>
    <row r="66729" customFormat="1" x14ac:dyDescent="0.2"/>
    <row r="66730" customFormat="1" x14ac:dyDescent="0.2"/>
    <row r="66731" customFormat="1" x14ac:dyDescent="0.2"/>
    <row r="66732" customFormat="1" x14ac:dyDescent="0.2"/>
    <row r="66733" customFormat="1" x14ac:dyDescent="0.2"/>
    <row r="66734" customFormat="1" x14ac:dyDescent="0.2"/>
    <row r="66735" customFormat="1" x14ac:dyDescent="0.2"/>
    <row r="66736" customFormat="1" x14ac:dyDescent="0.2"/>
    <row r="66737" customFormat="1" x14ac:dyDescent="0.2"/>
    <row r="66738" customFormat="1" x14ac:dyDescent="0.2"/>
    <row r="66739" customFormat="1" x14ac:dyDescent="0.2"/>
    <row r="66740" customFormat="1" x14ac:dyDescent="0.2"/>
    <row r="66741" customFormat="1" x14ac:dyDescent="0.2"/>
    <row r="66742" customFormat="1" x14ac:dyDescent="0.2"/>
    <row r="66743" customFormat="1" x14ac:dyDescent="0.2"/>
    <row r="66744" customFormat="1" x14ac:dyDescent="0.2"/>
    <row r="66745" customFormat="1" x14ac:dyDescent="0.2"/>
    <row r="66746" customFormat="1" x14ac:dyDescent="0.2"/>
    <row r="66747" customFormat="1" x14ac:dyDescent="0.2"/>
    <row r="66748" customFormat="1" x14ac:dyDescent="0.2"/>
    <row r="66749" customFormat="1" x14ac:dyDescent="0.2"/>
    <row r="66750" customFormat="1" x14ac:dyDescent="0.2"/>
    <row r="66751" customFormat="1" x14ac:dyDescent="0.2"/>
    <row r="66752" customFormat="1" x14ac:dyDescent="0.2"/>
    <row r="66753" customFormat="1" x14ac:dyDescent="0.2"/>
    <row r="66754" customFormat="1" x14ac:dyDescent="0.2"/>
    <row r="66755" customFormat="1" x14ac:dyDescent="0.2"/>
    <row r="66756" customFormat="1" x14ac:dyDescent="0.2"/>
    <row r="66757" customFormat="1" x14ac:dyDescent="0.2"/>
    <row r="66758" customFormat="1" x14ac:dyDescent="0.2"/>
    <row r="66759" customFormat="1" x14ac:dyDescent="0.2"/>
    <row r="66760" customFormat="1" x14ac:dyDescent="0.2"/>
    <row r="66761" customFormat="1" x14ac:dyDescent="0.2"/>
    <row r="66762" customFormat="1" x14ac:dyDescent="0.2"/>
    <row r="66763" customFormat="1" x14ac:dyDescent="0.2"/>
    <row r="66764" customFormat="1" x14ac:dyDescent="0.2"/>
    <row r="66765" customFormat="1" x14ac:dyDescent="0.2"/>
    <row r="66766" customFormat="1" x14ac:dyDescent="0.2"/>
    <row r="66767" customFormat="1" x14ac:dyDescent="0.2"/>
    <row r="66768" customFormat="1" x14ac:dyDescent="0.2"/>
    <row r="66769" customFormat="1" x14ac:dyDescent="0.2"/>
    <row r="66770" customFormat="1" x14ac:dyDescent="0.2"/>
    <row r="66771" customFormat="1" x14ac:dyDescent="0.2"/>
    <row r="66772" customFormat="1" x14ac:dyDescent="0.2"/>
    <row r="66773" customFormat="1" x14ac:dyDescent="0.2"/>
    <row r="66774" customFormat="1" x14ac:dyDescent="0.2"/>
    <row r="66775" customFormat="1" x14ac:dyDescent="0.2"/>
    <row r="66776" customFormat="1" x14ac:dyDescent="0.2"/>
    <row r="66777" customFormat="1" x14ac:dyDescent="0.2"/>
    <row r="66778" customFormat="1" x14ac:dyDescent="0.2"/>
    <row r="66779" customFormat="1" x14ac:dyDescent="0.2"/>
    <row r="66780" customFormat="1" x14ac:dyDescent="0.2"/>
    <row r="66781" customFormat="1" x14ac:dyDescent="0.2"/>
    <row r="66782" customFormat="1" x14ac:dyDescent="0.2"/>
    <row r="66783" customFormat="1" x14ac:dyDescent="0.2"/>
    <row r="66784" customFormat="1" x14ac:dyDescent="0.2"/>
    <row r="66785" customFormat="1" x14ac:dyDescent="0.2"/>
    <row r="66786" customFormat="1" x14ac:dyDescent="0.2"/>
    <row r="66787" customFormat="1" x14ac:dyDescent="0.2"/>
    <row r="66788" customFormat="1" x14ac:dyDescent="0.2"/>
    <row r="66789" customFormat="1" x14ac:dyDescent="0.2"/>
    <row r="66790" customFormat="1" x14ac:dyDescent="0.2"/>
    <row r="66791" customFormat="1" x14ac:dyDescent="0.2"/>
    <row r="66792" customFormat="1" x14ac:dyDescent="0.2"/>
    <row r="66793" customFormat="1" x14ac:dyDescent="0.2"/>
    <row r="66794" customFormat="1" x14ac:dyDescent="0.2"/>
    <row r="66795" customFormat="1" x14ac:dyDescent="0.2"/>
    <row r="66796" customFormat="1" x14ac:dyDescent="0.2"/>
    <row r="66797" customFormat="1" x14ac:dyDescent="0.2"/>
    <row r="66798" customFormat="1" x14ac:dyDescent="0.2"/>
    <row r="66799" customFormat="1" x14ac:dyDescent="0.2"/>
    <row r="66800" customFormat="1" x14ac:dyDescent="0.2"/>
    <row r="66801" customFormat="1" x14ac:dyDescent="0.2"/>
    <row r="66802" customFormat="1" x14ac:dyDescent="0.2"/>
    <row r="66803" customFormat="1" x14ac:dyDescent="0.2"/>
    <row r="66804" customFormat="1" x14ac:dyDescent="0.2"/>
    <row r="66805" customFormat="1" x14ac:dyDescent="0.2"/>
    <row r="66806" customFormat="1" x14ac:dyDescent="0.2"/>
    <row r="66807" customFormat="1" x14ac:dyDescent="0.2"/>
    <row r="66808" customFormat="1" x14ac:dyDescent="0.2"/>
    <row r="66809" customFormat="1" x14ac:dyDescent="0.2"/>
    <row r="66810" customFormat="1" x14ac:dyDescent="0.2"/>
    <row r="66811" customFormat="1" x14ac:dyDescent="0.2"/>
    <row r="66812" customFormat="1" x14ac:dyDescent="0.2"/>
    <row r="66813" customFormat="1" x14ac:dyDescent="0.2"/>
    <row r="66814" customFormat="1" x14ac:dyDescent="0.2"/>
    <row r="66815" customFormat="1" x14ac:dyDescent="0.2"/>
    <row r="66816" customFormat="1" x14ac:dyDescent="0.2"/>
    <row r="66817" customFormat="1" x14ac:dyDescent="0.2"/>
    <row r="66818" customFormat="1" x14ac:dyDescent="0.2"/>
    <row r="66819" customFormat="1" x14ac:dyDescent="0.2"/>
    <row r="66820" customFormat="1" x14ac:dyDescent="0.2"/>
    <row r="66821" customFormat="1" x14ac:dyDescent="0.2"/>
    <row r="66822" customFormat="1" x14ac:dyDescent="0.2"/>
    <row r="66823" customFormat="1" x14ac:dyDescent="0.2"/>
    <row r="66824" customFormat="1" x14ac:dyDescent="0.2"/>
    <row r="66825" customFormat="1" x14ac:dyDescent="0.2"/>
    <row r="66826" customFormat="1" x14ac:dyDescent="0.2"/>
    <row r="66827" customFormat="1" x14ac:dyDescent="0.2"/>
    <row r="66828" customFormat="1" x14ac:dyDescent="0.2"/>
    <row r="66829" customFormat="1" x14ac:dyDescent="0.2"/>
    <row r="66830" customFormat="1" x14ac:dyDescent="0.2"/>
    <row r="66831" customFormat="1" x14ac:dyDescent="0.2"/>
    <row r="66832" customFormat="1" x14ac:dyDescent="0.2"/>
    <row r="66833" customFormat="1" x14ac:dyDescent="0.2"/>
    <row r="66834" customFormat="1" x14ac:dyDescent="0.2"/>
    <row r="66835" customFormat="1" x14ac:dyDescent="0.2"/>
    <row r="66836" customFormat="1" x14ac:dyDescent="0.2"/>
    <row r="66837" customFormat="1" x14ac:dyDescent="0.2"/>
    <row r="66838" customFormat="1" x14ac:dyDescent="0.2"/>
    <row r="66839" customFormat="1" x14ac:dyDescent="0.2"/>
    <row r="66840" customFormat="1" x14ac:dyDescent="0.2"/>
    <row r="66841" customFormat="1" x14ac:dyDescent="0.2"/>
    <row r="66842" customFormat="1" x14ac:dyDescent="0.2"/>
    <row r="66843" customFormat="1" x14ac:dyDescent="0.2"/>
    <row r="66844" customFormat="1" x14ac:dyDescent="0.2"/>
    <row r="66845" customFormat="1" x14ac:dyDescent="0.2"/>
    <row r="66846" customFormat="1" x14ac:dyDescent="0.2"/>
    <row r="66847" customFormat="1" x14ac:dyDescent="0.2"/>
    <row r="66848" customFormat="1" x14ac:dyDescent="0.2"/>
    <row r="66849" customFormat="1" x14ac:dyDescent="0.2"/>
    <row r="66850" customFormat="1" x14ac:dyDescent="0.2"/>
    <row r="66851" customFormat="1" x14ac:dyDescent="0.2"/>
    <row r="66852" customFormat="1" x14ac:dyDescent="0.2"/>
    <row r="66853" customFormat="1" x14ac:dyDescent="0.2"/>
    <row r="66854" customFormat="1" x14ac:dyDescent="0.2"/>
    <row r="66855" customFormat="1" x14ac:dyDescent="0.2"/>
    <row r="66856" customFormat="1" x14ac:dyDescent="0.2"/>
    <row r="66857" customFormat="1" x14ac:dyDescent="0.2"/>
    <row r="66858" customFormat="1" x14ac:dyDescent="0.2"/>
    <row r="66859" customFormat="1" x14ac:dyDescent="0.2"/>
    <row r="66860" customFormat="1" x14ac:dyDescent="0.2"/>
    <row r="66861" customFormat="1" x14ac:dyDescent="0.2"/>
    <row r="66862" customFormat="1" x14ac:dyDescent="0.2"/>
    <row r="66863" customFormat="1" x14ac:dyDescent="0.2"/>
    <row r="66864" customFormat="1" x14ac:dyDescent="0.2"/>
    <row r="66865" customFormat="1" x14ac:dyDescent="0.2"/>
    <row r="66866" customFormat="1" x14ac:dyDescent="0.2"/>
    <row r="66867" customFormat="1" x14ac:dyDescent="0.2"/>
    <row r="66868" customFormat="1" x14ac:dyDescent="0.2"/>
    <row r="66869" customFormat="1" x14ac:dyDescent="0.2"/>
    <row r="66870" customFormat="1" x14ac:dyDescent="0.2"/>
    <row r="66871" customFormat="1" x14ac:dyDescent="0.2"/>
    <row r="66872" customFormat="1" x14ac:dyDescent="0.2"/>
    <row r="66873" customFormat="1" x14ac:dyDescent="0.2"/>
    <row r="66874" customFormat="1" x14ac:dyDescent="0.2"/>
    <row r="66875" customFormat="1" x14ac:dyDescent="0.2"/>
    <row r="66876" customFormat="1" x14ac:dyDescent="0.2"/>
    <row r="66877" customFormat="1" x14ac:dyDescent="0.2"/>
    <row r="66878" customFormat="1" x14ac:dyDescent="0.2"/>
    <row r="66879" customFormat="1" x14ac:dyDescent="0.2"/>
    <row r="66880" customFormat="1" x14ac:dyDescent="0.2"/>
    <row r="66881" customFormat="1" x14ac:dyDescent="0.2"/>
    <row r="66882" customFormat="1" x14ac:dyDescent="0.2"/>
    <row r="66883" customFormat="1" x14ac:dyDescent="0.2"/>
    <row r="66884" customFormat="1" x14ac:dyDescent="0.2"/>
    <row r="66885" customFormat="1" x14ac:dyDescent="0.2"/>
    <row r="66886" customFormat="1" x14ac:dyDescent="0.2"/>
    <row r="66887" customFormat="1" x14ac:dyDescent="0.2"/>
    <row r="66888" customFormat="1" x14ac:dyDescent="0.2"/>
    <row r="66889" customFormat="1" x14ac:dyDescent="0.2"/>
    <row r="66890" customFormat="1" x14ac:dyDescent="0.2"/>
    <row r="66891" customFormat="1" x14ac:dyDescent="0.2"/>
    <row r="66892" customFormat="1" x14ac:dyDescent="0.2"/>
    <row r="66893" customFormat="1" x14ac:dyDescent="0.2"/>
    <row r="66894" customFormat="1" x14ac:dyDescent="0.2"/>
    <row r="66895" customFormat="1" x14ac:dyDescent="0.2"/>
    <row r="66896" customFormat="1" x14ac:dyDescent="0.2"/>
    <row r="66897" customFormat="1" x14ac:dyDescent="0.2"/>
    <row r="66898" customFormat="1" x14ac:dyDescent="0.2"/>
    <row r="66899" customFormat="1" x14ac:dyDescent="0.2"/>
    <row r="66900" customFormat="1" x14ac:dyDescent="0.2"/>
    <row r="66901" customFormat="1" x14ac:dyDescent="0.2"/>
    <row r="66902" customFormat="1" x14ac:dyDescent="0.2"/>
    <row r="66903" customFormat="1" x14ac:dyDescent="0.2"/>
    <row r="66904" customFormat="1" x14ac:dyDescent="0.2"/>
    <row r="66905" customFormat="1" x14ac:dyDescent="0.2"/>
    <row r="66906" customFormat="1" x14ac:dyDescent="0.2"/>
    <row r="66907" customFormat="1" x14ac:dyDescent="0.2"/>
    <row r="66908" customFormat="1" x14ac:dyDescent="0.2"/>
    <row r="66909" customFormat="1" x14ac:dyDescent="0.2"/>
    <row r="66910" customFormat="1" x14ac:dyDescent="0.2"/>
    <row r="66911" customFormat="1" x14ac:dyDescent="0.2"/>
    <row r="66912" customFormat="1" x14ac:dyDescent="0.2"/>
    <row r="66913" customFormat="1" x14ac:dyDescent="0.2"/>
    <row r="66914" customFormat="1" x14ac:dyDescent="0.2"/>
    <row r="66915" customFormat="1" x14ac:dyDescent="0.2"/>
    <row r="66916" customFormat="1" x14ac:dyDescent="0.2"/>
    <row r="66917" customFormat="1" x14ac:dyDescent="0.2"/>
    <row r="66918" customFormat="1" x14ac:dyDescent="0.2"/>
    <row r="66919" customFormat="1" x14ac:dyDescent="0.2"/>
    <row r="66920" customFormat="1" x14ac:dyDescent="0.2"/>
    <row r="66921" customFormat="1" x14ac:dyDescent="0.2"/>
    <row r="66922" customFormat="1" x14ac:dyDescent="0.2"/>
    <row r="66923" customFormat="1" x14ac:dyDescent="0.2"/>
    <row r="66924" customFormat="1" x14ac:dyDescent="0.2"/>
    <row r="66925" customFormat="1" x14ac:dyDescent="0.2"/>
    <row r="66926" customFormat="1" x14ac:dyDescent="0.2"/>
    <row r="66927" customFormat="1" x14ac:dyDescent="0.2"/>
    <row r="66928" customFormat="1" x14ac:dyDescent="0.2"/>
    <row r="66929" customFormat="1" x14ac:dyDescent="0.2"/>
    <row r="66930" customFormat="1" x14ac:dyDescent="0.2"/>
    <row r="66931" customFormat="1" x14ac:dyDescent="0.2"/>
    <row r="66932" customFormat="1" x14ac:dyDescent="0.2"/>
    <row r="66933" customFormat="1" x14ac:dyDescent="0.2"/>
    <row r="66934" customFormat="1" x14ac:dyDescent="0.2"/>
    <row r="66935" customFormat="1" x14ac:dyDescent="0.2"/>
    <row r="66936" customFormat="1" x14ac:dyDescent="0.2"/>
    <row r="66937" customFormat="1" x14ac:dyDescent="0.2"/>
    <row r="66938" customFormat="1" x14ac:dyDescent="0.2"/>
    <row r="66939" customFormat="1" x14ac:dyDescent="0.2"/>
    <row r="66940" customFormat="1" x14ac:dyDescent="0.2"/>
    <row r="66941" customFormat="1" x14ac:dyDescent="0.2"/>
    <row r="66942" customFormat="1" x14ac:dyDescent="0.2"/>
    <row r="66943" customFormat="1" x14ac:dyDescent="0.2"/>
    <row r="66944" customFormat="1" x14ac:dyDescent="0.2"/>
    <row r="66945" customFormat="1" x14ac:dyDescent="0.2"/>
    <row r="66946" customFormat="1" x14ac:dyDescent="0.2"/>
    <row r="66947" customFormat="1" x14ac:dyDescent="0.2"/>
    <row r="66948" customFormat="1" x14ac:dyDescent="0.2"/>
    <row r="66949" customFormat="1" x14ac:dyDescent="0.2"/>
    <row r="66950" customFormat="1" x14ac:dyDescent="0.2"/>
    <row r="66951" customFormat="1" x14ac:dyDescent="0.2"/>
    <row r="66952" customFormat="1" x14ac:dyDescent="0.2"/>
    <row r="66953" customFormat="1" x14ac:dyDescent="0.2"/>
    <row r="66954" customFormat="1" x14ac:dyDescent="0.2"/>
    <row r="66955" customFormat="1" x14ac:dyDescent="0.2"/>
    <row r="66956" customFormat="1" x14ac:dyDescent="0.2"/>
    <row r="66957" customFormat="1" x14ac:dyDescent="0.2"/>
    <row r="66958" customFormat="1" x14ac:dyDescent="0.2"/>
    <row r="66959" customFormat="1" x14ac:dyDescent="0.2"/>
    <row r="66960" customFormat="1" x14ac:dyDescent="0.2"/>
    <row r="66961" customFormat="1" x14ac:dyDescent="0.2"/>
    <row r="66962" customFormat="1" x14ac:dyDescent="0.2"/>
    <row r="66963" customFormat="1" x14ac:dyDescent="0.2"/>
    <row r="66964" customFormat="1" x14ac:dyDescent="0.2"/>
    <row r="66965" customFormat="1" x14ac:dyDescent="0.2"/>
    <row r="66966" customFormat="1" x14ac:dyDescent="0.2"/>
    <row r="66967" customFormat="1" x14ac:dyDescent="0.2"/>
    <row r="66968" customFormat="1" x14ac:dyDescent="0.2"/>
    <row r="66969" customFormat="1" x14ac:dyDescent="0.2"/>
    <row r="66970" customFormat="1" x14ac:dyDescent="0.2"/>
    <row r="66971" customFormat="1" x14ac:dyDescent="0.2"/>
    <row r="66972" customFormat="1" x14ac:dyDescent="0.2"/>
    <row r="66973" customFormat="1" x14ac:dyDescent="0.2"/>
    <row r="66974" customFormat="1" x14ac:dyDescent="0.2"/>
    <row r="66975" customFormat="1" x14ac:dyDescent="0.2"/>
    <row r="66976" customFormat="1" x14ac:dyDescent="0.2"/>
    <row r="66977" customFormat="1" x14ac:dyDescent="0.2"/>
    <row r="66978" customFormat="1" x14ac:dyDescent="0.2"/>
    <row r="66979" customFormat="1" x14ac:dyDescent="0.2"/>
    <row r="66980" customFormat="1" x14ac:dyDescent="0.2"/>
    <row r="66981" customFormat="1" x14ac:dyDescent="0.2"/>
    <row r="66982" customFormat="1" x14ac:dyDescent="0.2"/>
    <row r="66983" customFormat="1" x14ac:dyDescent="0.2"/>
    <row r="66984" customFormat="1" x14ac:dyDescent="0.2"/>
    <row r="66985" customFormat="1" x14ac:dyDescent="0.2"/>
    <row r="66986" customFormat="1" x14ac:dyDescent="0.2"/>
    <row r="66987" customFormat="1" x14ac:dyDescent="0.2"/>
    <row r="66988" customFormat="1" x14ac:dyDescent="0.2"/>
    <row r="66989" customFormat="1" x14ac:dyDescent="0.2"/>
    <row r="66990" customFormat="1" x14ac:dyDescent="0.2"/>
    <row r="66991" customFormat="1" x14ac:dyDescent="0.2"/>
    <row r="66992" customFormat="1" x14ac:dyDescent="0.2"/>
    <row r="66993" customFormat="1" x14ac:dyDescent="0.2"/>
    <row r="66994" customFormat="1" x14ac:dyDescent="0.2"/>
    <row r="66995" customFormat="1" x14ac:dyDescent="0.2"/>
    <row r="66996" customFormat="1" x14ac:dyDescent="0.2"/>
    <row r="66997" customFormat="1" x14ac:dyDescent="0.2"/>
    <row r="66998" customFormat="1" x14ac:dyDescent="0.2"/>
    <row r="66999" customFormat="1" x14ac:dyDescent="0.2"/>
    <row r="67000" customFormat="1" x14ac:dyDescent="0.2"/>
    <row r="67001" customFormat="1" x14ac:dyDescent="0.2"/>
    <row r="67002" customFormat="1" x14ac:dyDescent="0.2"/>
    <row r="67003" customFormat="1" x14ac:dyDescent="0.2"/>
    <row r="67004" customFormat="1" x14ac:dyDescent="0.2"/>
    <row r="67005" customFormat="1" x14ac:dyDescent="0.2"/>
    <row r="67006" customFormat="1" x14ac:dyDescent="0.2"/>
    <row r="67007" customFormat="1" x14ac:dyDescent="0.2"/>
    <row r="67008" customFormat="1" x14ac:dyDescent="0.2"/>
    <row r="67009" customFormat="1" x14ac:dyDescent="0.2"/>
    <row r="67010" customFormat="1" x14ac:dyDescent="0.2"/>
    <row r="67011" customFormat="1" x14ac:dyDescent="0.2"/>
    <row r="67012" customFormat="1" x14ac:dyDescent="0.2"/>
    <row r="67013" customFormat="1" x14ac:dyDescent="0.2"/>
    <row r="67014" customFormat="1" x14ac:dyDescent="0.2"/>
    <row r="67015" customFormat="1" x14ac:dyDescent="0.2"/>
    <row r="67016" customFormat="1" x14ac:dyDescent="0.2"/>
    <row r="67017" customFormat="1" x14ac:dyDescent="0.2"/>
    <row r="67018" customFormat="1" x14ac:dyDescent="0.2"/>
    <row r="67019" customFormat="1" x14ac:dyDescent="0.2"/>
    <row r="67020" customFormat="1" x14ac:dyDescent="0.2"/>
    <row r="67021" customFormat="1" x14ac:dyDescent="0.2"/>
    <row r="67022" customFormat="1" x14ac:dyDescent="0.2"/>
    <row r="67023" customFormat="1" x14ac:dyDescent="0.2"/>
    <row r="67024" customFormat="1" x14ac:dyDescent="0.2"/>
    <row r="67025" customFormat="1" x14ac:dyDescent="0.2"/>
    <row r="67026" customFormat="1" x14ac:dyDescent="0.2"/>
    <row r="67027" customFormat="1" x14ac:dyDescent="0.2"/>
    <row r="67028" customFormat="1" x14ac:dyDescent="0.2"/>
    <row r="67029" customFormat="1" x14ac:dyDescent="0.2"/>
    <row r="67030" customFormat="1" x14ac:dyDescent="0.2"/>
    <row r="67031" customFormat="1" x14ac:dyDescent="0.2"/>
    <row r="67032" customFormat="1" x14ac:dyDescent="0.2"/>
    <row r="67033" customFormat="1" x14ac:dyDescent="0.2"/>
    <row r="67034" customFormat="1" x14ac:dyDescent="0.2"/>
    <row r="67035" customFormat="1" x14ac:dyDescent="0.2"/>
    <row r="67036" customFormat="1" x14ac:dyDescent="0.2"/>
    <row r="67037" customFormat="1" x14ac:dyDescent="0.2"/>
    <row r="67038" customFormat="1" x14ac:dyDescent="0.2"/>
    <row r="67039" customFormat="1" x14ac:dyDescent="0.2"/>
    <row r="67040" customFormat="1" x14ac:dyDescent="0.2"/>
    <row r="67041" customFormat="1" x14ac:dyDescent="0.2"/>
    <row r="67042" customFormat="1" x14ac:dyDescent="0.2"/>
    <row r="67043" customFormat="1" x14ac:dyDescent="0.2"/>
    <row r="67044" customFormat="1" x14ac:dyDescent="0.2"/>
    <row r="67045" customFormat="1" x14ac:dyDescent="0.2"/>
    <row r="67046" customFormat="1" x14ac:dyDescent="0.2"/>
    <row r="67047" customFormat="1" x14ac:dyDescent="0.2"/>
    <row r="67048" customFormat="1" x14ac:dyDescent="0.2"/>
    <row r="67049" customFormat="1" x14ac:dyDescent="0.2"/>
    <row r="67050" customFormat="1" x14ac:dyDescent="0.2"/>
    <row r="67051" customFormat="1" x14ac:dyDescent="0.2"/>
    <row r="67052" customFormat="1" x14ac:dyDescent="0.2"/>
    <row r="67053" customFormat="1" x14ac:dyDescent="0.2"/>
    <row r="67054" customFormat="1" x14ac:dyDescent="0.2"/>
    <row r="67055" customFormat="1" x14ac:dyDescent="0.2"/>
    <row r="67056" customFormat="1" x14ac:dyDescent="0.2"/>
    <row r="67057" customFormat="1" x14ac:dyDescent="0.2"/>
    <row r="67058" customFormat="1" x14ac:dyDescent="0.2"/>
    <row r="67059" customFormat="1" x14ac:dyDescent="0.2"/>
    <row r="67060" customFormat="1" x14ac:dyDescent="0.2"/>
    <row r="67061" customFormat="1" x14ac:dyDescent="0.2"/>
    <row r="67062" customFormat="1" x14ac:dyDescent="0.2"/>
    <row r="67063" customFormat="1" x14ac:dyDescent="0.2"/>
    <row r="67064" customFormat="1" x14ac:dyDescent="0.2"/>
    <row r="67065" customFormat="1" x14ac:dyDescent="0.2"/>
    <row r="67066" customFormat="1" x14ac:dyDescent="0.2"/>
    <row r="67067" customFormat="1" x14ac:dyDescent="0.2"/>
    <row r="67068" customFormat="1" x14ac:dyDescent="0.2"/>
    <row r="67069" customFormat="1" x14ac:dyDescent="0.2"/>
    <row r="67070" customFormat="1" x14ac:dyDescent="0.2"/>
    <row r="67071" customFormat="1" x14ac:dyDescent="0.2"/>
    <row r="67072" customFormat="1" x14ac:dyDescent="0.2"/>
    <row r="67073" customFormat="1" x14ac:dyDescent="0.2"/>
    <row r="67074" customFormat="1" x14ac:dyDescent="0.2"/>
    <row r="67075" customFormat="1" x14ac:dyDescent="0.2"/>
    <row r="67076" customFormat="1" x14ac:dyDescent="0.2"/>
    <row r="67077" customFormat="1" x14ac:dyDescent="0.2"/>
    <row r="67078" customFormat="1" x14ac:dyDescent="0.2"/>
    <row r="67079" customFormat="1" x14ac:dyDescent="0.2"/>
    <row r="67080" customFormat="1" x14ac:dyDescent="0.2"/>
    <row r="67081" customFormat="1" x14ac:dyDescent="0.2"/>
    <row r="67082" customFormat="1" x14ac:dyDescent="0.2"/>
    <row r="67083" customFormat="1" x14ac:dyDescent="0.2"/>
    <row r="67084" customFormat="1" x14ac:dyDescent="0.2"/>
    <row r="67085" customFormat="1" x14ac:dyDescent="0.2"/>
    <row r="67086" customFormat="1" x14ac:dyDescent="0.2"/>
    <row r="67087" customFormat="1" x14ac:dyDescent="0.2"/>
    <row r="67088" customFormat="1" x14ac:dyDescent="0.2"/>
    <row r="67089" customFormat="1" x14ac:dyDescent="0.2"/>
    <row r="67090" customFormat="1" x14ac:dyDescent="0.2"/>
    <row r="67091" customFormat="1" x14ac:dyDescent="0.2"/>
    <row r="67092" customFormat="1" x14ac:dyDescent="0.2"/>
    <row r="67093" customFormat="1" x14ac:dyDescent="0.2"/>
    <row r="67094" customFormat="1" x14ac:dyDescent="0.2"/>
    <row r="67095" customFormat="1" x14ac:dyDescent="0.2"/>
    <row r="67096" customFormat="1" x14ac:dyDescent="0.2"/>
    <row r="67097" customFormat="1" x14ac:dyDescent="0.2"/>
    <row r="67098" customFormat="1" x14ac:dyDescent="0.2"/>
    <row r="67099" customFormat="1" x14ac:dyDescent="0.2"/>
    <row r="67100" customFormat="1" x14ac:dyDescent="0.2"/>
    <row r="67101" customFormat="1" x14ac:dyDescent="0.2"/>
    <row r="67102" customFormat="1" x14ac:dyDescent="0.2"/>
    <row r="67103" customFormat="1" x14ac:dyDescent="0.2"/>
    <row r="67104" customFormat="1" x14ac:dyDescent="0.2"/>
    <row r="67105" customFormat="1" x14ac:dyDescent="0.2"/>
    <row r="67106" customFormat="1" x14ac:dyDescent="0.2"/>
    <row r="67107" customFormat="1" x14ac:dyDescent="0.2"/>
    <row r="67108" customFormat="1" x14ac:dyDescent="0.2"/>
    <row r="67109" customFormat="1" x14ac:dyDescent="0.2"/>
    <row r="67110" customFormat="1" x14ac:dyDescent="0.2"/>
    <row r="67111" customFormat="1" x14ac:dyDescent="0.2"/>
    <row r="67112" customFormat="1" x14ac:dyDescent="0.2"/>
    <row r="67113" customFormat="1" x14ac:dyDescent="0.2"/>
    <row r="67114" customFormat="1" x14ac:dyDescent="0.2"/>
    <row r="67115" customFormat="1" x14ac:dyDescent="0.2"/>
    <row r="67116" customFormat="1" x14ac:dyDescent="0.2"/>
    <row r="67117" customFormat="1" x14ac:dyDescent="0.2"/>
    <row r="67118" customFormat="1" x14ac:dyDescent="0.2"/>
    <row r="67119" customFormat="1" x14ac:dyDescent="0.2"/>
    <row r="67120" customFormat="1" x14ac:dyDescent="0.2"/>
    <row r="67121" customFormat="1" x14ac:dyDescent="0.2"/>
    <row r="67122" customFormat="1" x14ac:dyDescent="0.2"/>
    <row r="67123" customFormat="1" x14ac:dyDescent="0.2"/>
    <row r="67124" customFormat="1" x14ac:dyDescent="0.2"/>
    <row r="67125" customFormat="1" x14ac:dyDescent="0.2"/>
    <row r="67126" customFormat="1" x14ac:dyDescent="0.2"/>
    <row r="67127" customFormat="1" x14ac:dyDescent="0.2"/>
    <row r="67128" customFormat="1" x14ac:dyDescent="0.2"/>
    <row r="67129" customFormat="1" x14ac:dyDescent="0.2"/>
    <row r="67130" customFormat="1" x14ac:dyDescent="0.2"/>
    <row r="67131" customFormat="1" x14ac:dyDescent="0.2"/>
    <row r="67132" customFormat="1" x14ac:dyDescent="0.2"/>
    <row r="67133" customFormat="1" x14ac:dyDescent="0.2"/>
    <row r="67134" customFormat="1" x14ac:dyDescent="0.2"/>
    <row r="67135" customFormat="1" x14ac:dyDescent="0.2"/>
    <row r="67136" customFormat="1" x14ac:dyDescent="0.2"/>
    <row r="67137" customFormat="1" x14ac:dyDescent="0.2"/>
    <row r="67138" customFormat="1" x14ac:dyDescent="0.2"/>
    <row r="67139" customFormat="1" x14ac:dyDescent="0.2"/>
    <row r="67140" customFormat="1" x14ac:dyDescent="0.2"/>
    <row r="67141" customFormat="1" x14ac:dyDescent="0.2"/>
    <row r="67142" customFormat="1" x14ac:dyDescent="0.2"/>
    <row r="67143" customFormat="1" x14ac:dyDescent="0.2"/>
    <row r="67144" customFormat="1" x14ac:dyDescent="0.2"/>
    <row r="67145" customFormat="1" x14ac:dyDescent="0.2"/>
    <row r="67146" customFormat="1" x14ac:dyDescent="0.2"/>
    <row r="67147" customFormat="1" x14ac:dyDescent="0.2"/>
    <row r="67148" customFormat="1" x14ac:dyDescent="0.2"/>
    <row r="67149" customFormat="1" x14ac:dyDescent="0.2"/>
    <row r="67150" customFormat="1" x14ac:dyDescent="0.2"/>
    <row r="67151" customFormat="1" x14ac:dyDescent="0.2"/>
    <row r="67152" customFormat="1" x14ac:dyDescent="0.2"/>
    <row r="67153" customFormat="1" x14ac:dyDescent="0.2"/>
    <row r="67154" customFormat="1" x14ac:dyDescent="0.2"/>
    <row r="67155" customFormat="1" x14ac:dyDescent="0.2"/>
    <row r="67156" customFormat="1" x14ac:dyDescent="0.2"/>
    <row r="67157" customFormat="1" x14ac:dyDescent="0.2"/>
    <row r="67158" customFormat="1" x14ac:dyDescent="0.2"/>
    <row r="67159" customFormat="1" x14ac:dyDescent="0.2"/>
    <row r="67160" customFormat="1" x14ac:dyDescent="0.2"/>
    <row r="67161" customFormat="1" x14ac:dyDescent="0.2"/>
    <row r="67162" customFormat="1" x14ac:dyDescent="0.2"/>
    <row r="67163" customFormat="1" x14ac:dyDescent="0.2"/>
    <row r="67164" customFormat="1" x14ac:dyDescent="0.2"/>
    <row r="67165" customFormat="1" x14ac:dyDescent="0.2"/>
    <row r="67166" customFormat="1" x14ac:dyDescent="0.2"/>
    <row r="67167" customFormat="1" x14ac:dyDescent="0.2"/>
    <row r="67168" customFormat="1" x14ac:dyDescent="0.2"/>
    <row r="67169" customFormat="1" x14ac:dyDescent="0.2"/>
    <row r="67170" customFormat="1" x14ac:dyDescent="0.2"/>
    <row r="67171" customFormat="1" x14ac:dyDescent="0.2"/>
    <row r="67172" customFormat="1" x14ac:dyDescent="0.2"/>
    <row r="67173" customFormat="1" x14ac:dyDescent="0.2"/>
    <row r="67174" customFormat="1" x14ac:dyDescent="0.2"/>
    <row r="67175" customFormat="1" x14ac:dyDescent="0.2"/>
    <row r="67176" customFormat="1" x14ac:dyDescent="0.2"/>
    <row r="67177" customFormat="1" x14ac:dyDescent="0.2"/>
    <row r="67178" customFormat="1" x14ac:dyDescent="0.2"/>
    <row r="67179" customFormat="1" x14ac:dyDescent="0.2"/>
    <row r="67180" customFormat="1" x14ac:dyDescent="0.2"/>
    <row r="67181" customFormat="1" x14ac:dyDescent="0.2"/>
    <row r="67182" customFormat="1" x14ac:dyDescent="0.2"/>
    <row r="67183" customFormat="1" x14ac:dyDescent="0.2"/>
    <row r="67184" customFormat="1" x14ac:dyDescent="0.2"/>
    <row r="67185" customFormat="1" x14ac:dyDescent="0.2"/>
    <row r="67186" customFormat="1" x14ac:dyDescent="0.2"/>
    <row r="67187" customFormat="1" x14ac:dyDescent="0.2"/>
    <row r="67188" customFormat="1" x14ac:dyDescent="0.2"/>
    <row r="67189" customFormat="1" x14ac:dyDescent="0.2"/>
    <row r="67190" customFormat="1" x14ac:dyDescent="0.2"/>
    <row r="67191" customFormat="1" x14ac:dyDescent="0.2"/>
    <row r="67192" customFormat="1" x14ac:dyDescent="0.2"/>
    <row r="67193" customFormat="1" x14ac:dyDescent="0.2"/>
    <row r="67194" customFormat="1" x14ac:dyDescent="0.2"/>
    <row r="67195" customFormat="1" x14ac:dyDescent="0.2"/>
    <row r="67196" customFormat="1" x14ac:dyDescent="0.2"/>
    <row r="67197" customFormat="1" x14ac:dyDescent="0.2"/>
    <row r="67198" customFormat="1" x14ac:dyDescent="0.2"/>
    <row r="67199" customFormat="1" x14ac:dyDescent="0.2"/>
    <row r="67200" customFormat="1" x14ac:dyDescent="0.2"/>
    <row r="67201" customFormat="1" x14ac:dyDescent="0.2"/>
    <row r="67202" customFormat="1" x14ac:dyDescent="0.2"/>
    <row r="67203" customFormat="1" x14ac:dyDescent="0.2"/>
    <row r="67204" customFormat="1" x14ac:dyDescent="0.2"/>
    <row r="67205" customFormat="1" x14ac:dyDescent="0.2"/>
    <row r="67206" customFormat="1" x14ac:dyDescent="0.2"/>
    <row r="67207" customFormat="1" x14ac:dyDescent="0.2"/>
    <row r="67208" customFormat="1" x14ac:dyDescent="0.2"/>
    <row r="67209" customFormat="1" x14ac:dyDescent="0.2"/>
    <row r="67210" customFormat="1" x14ac:dyDescent="0.2"/>
    <row r="67211" customFormat="1" x14ac:dyDescent="0.2"/>
    <row r="67212" customFormat="1" x14ac:dyDescent="0.2"/>
    <row r="67213" customFormat="1" x14ac:dyDescent="0.2"/>
    <row r="67214" customFormat="1" x14ac:dyDescent="0.2"/>
    <row r="67215" customFormat="1" x14ac:dyDescent="0.2"/>
    <row r="67216" customFormat="1" x14ac:dyDescent="0.2"/>
    <row r="67217" customFormat="1" x14ac:dyDescent="0.2"/>
    <row r="67218" customFormat="1" x14ac:dyDescent="0.2"/>
    <row r="67219" customFormat="1" x14ac:dyDescent="0.2"/>
    <row r="67220" customFormat="1" x14ac:dyDescent="0.2"/>
    <row r="67221" customFormat="1" x14ac:dyDescent="0.2"/>
    <row r="67222" customFormat="1" x14ac:dyDescent="0.2"/>
    <row r="67223" customFormat="1" x14ac:dyDescent="0.2"/>
    <row r="67224" customFormat="1" x14ac:dyDescent="0.2"/>
    <row r="67225" customFormat="1" x14ac:dyDescent="0.2"/>
    <row r="67226" customFormat="1" x14ac:dyDescent="0.2"/>
    <row r="67227" customFormat="1" x14ac:dyDescent="0.2"/>
    <row r="67228" customFormat="1" x14ac:dyDescent="0.2"/>
    <row r="67229" customFormat="1" x14ac:dyDescent="0.2"/>
    <row r="67230" customFormat="1" x14ac:dyDescent="0.2"/>
    <row r="67231" customFormat="1" x14ac:dyDescent="0.2"/>
    <row r="67232" customFormat="1" x14ac:dyDescent="0.2"/>
    <row r="67233" customFormat="1" x14ac:dyDescent="0.2"/>
    <row r="67234" customFormat="1" x14ac:dyDescent="0.2"/>
    <row r="67235" customFormat="1" x14ac:dyDescent="0.2"/>
    <row r="67236" customFormat="1" x14ac:dyDescent="0.2"/>
    <row r="67237" customFormat="1" x14ac:dyDescent="0.2"/>
    <row r="67238" customFormat="1" x14ac:dyDescent="0.2"/>
    <row r="67239" customFormat="1" x14ac:dyDescent="0.2"/>
    <row r="67240" customFormat="1" x14ac:dyDescent="0.2"/>
    <row r="67241" customFormat="1" x14ac:dyDescent="0.2"/>
    <row r="67242" customFormat="1" x14ac:dyDescent="0.2"/>
    <row r="67243" customFormat="1" x14ac:dyDescent="0.2"/>
    <row r="67244" customFormat="1" x14ac:dyDescent="0.2"/>
    <row r="67245" customFormat="1" x14ac:dyDescent="0.2"/>
    <row r="67246" customFormat="1" x14ac:dyDescent="0.2"/>
    <row r="67247" customFormat="1" x14ac:dyDescent="0.2"/>
    <row r="67248" customFormat="1" x14ac:dyDescent="0.2"/>
    <row r="67249" customFormat="1" x14ac:dyDescent="0.2"/>
    <row r="67250" customFormat="1" x14ac:dyDescent="0.2"/>
    <row r="67251" customFormat="1" x14ac:dyDescent="0.2"/>
    <row r="67252" customFormat="1" x14ac:dyDescent="0.2"/>
    <row r="67253" customFormat="1" x14ac:dyDescent="0.2"/>
    <row r="67254" customFormat="1" x14ac:dyDescent="0.2"/>
    <row r="67255" customFormat="1" x14ac:dyDescent="0.2"/>
    <row r="67256" customFormat="1" x14ac:dyDescent="0.2"/>
    <row r="67257" customFormat="1" x14ac:dyDescent="0.2"/>
    <row r="67258" customFormat="1" x14ac:dyDescent="0.2"/>
    <row r="67259" customFormat="1" x14ac:dyDescent="0.2"/>
    <row r="67260" customFormat="1" x14ac:dyDescent="0.2"/>
    <row r="67261" customFormat="1" x14ac:dyDescent="0.2"/>
    <row r="67262" customFormat="1" x14ac:dyDescent="0.2"/>
    <row r="67263" customFormat="1" x14ac:dyDescent="0.2"/>
    <row r="67264" customFormat="1" x14ac:dyDescent="0.2"/>
    <row r="67265" customFormat="1" x14ac:dyDescent="0.2"/>
    <row r="67266" customFormat="1" x14ac:dyDescent="0.2"/>
    <row r="67267" customFormat="1" x14ac:dyDescent="0.2"/>
    <row r="67268" customFormat="1" x14ac:dyDescent="0.2"/>
    <row r="67269" customFormat="1" x14ac:dyDescent="0.2"/>
    <row r="67270" customFormat="1" x14ac:dyDescent="0.2"/>
    <row r="67271" customFormat="1" x14ac:dyDescent="0.2"/>
    <row r="67272" customFormat="1" x14ac:dyDescent="0.2"/>
    <row r="67273" customFormat="1" x14ac:dyDescent="0.2"/>
    <row r="67274" customFormat="1" x14ac:dyDescent="0.2"/>
    <row r="67275" customFormat="1" x14ac:dyDescent="0.2"/>
    <row r="67276" customFormat="1" x14ac:dyDescent="0.2"/>
    <row r="67277" customFormat="1" x14ac:dyDescent="0.2"/>
    <row r="67278" customFormat="1" x14ac:dyDescent="0.2"/>
    <row r="67279" customFormat="1" x14ac:dyDescent="0.2"/>
    <row r="67280" customFormat="1" x14ac:dyDescent="0.2"/>
    <row r="67281" customFormat="1" x14ac:dyDescent="0.2"/>
    <row r="67282" customFormat="1" x14ac:dyDescent="0.2"/>
    <row r="67283" customFormat="1" x14ac:dyDescent="0.2"/>
    <row r="67284" customFormat="1" x14ac:dyDescent="0.2"/>
    <row r="67285" customFormat="1" x14ac:dyDescent="0.2"/>
    <row r="67286" customFormat="1" x14ac:dyDescent="0.2"/>
    <row r="67287" customFormat="1" x14ac:dyDescent="0.2"/>
    <row r="67288" customFormat="1" x14ac:dyDescent="0.2"/>
    <row r="67289" customFormat="1" x14ac:dyDescent="0.2"/>
    <row r="67290" customFormat="1" x14ac:dyDescent="0.2"/>
    <row r="67291" customFormat="1" x14ac:dyDescent="0.2"/>
    <row r="67292" customFormat="1" x14ac:dyDescent="0.2"/>
    <row r="67293" customFormat="1" x14ac:dyDescent="0.2"/>
    <row r="67294" customFormat="1" x14ac:dyDescent="0.2"/>
    <row r="67295" customFormat="1" x14ac:dyDescent="0.2"/>
    <row r="67296" customFormat="1" x14ac:dyDescent="0.2"/>
    <row r="67297" customFormat="1" x14ac:dyDescent="0.2"/>
    <row r="67298" customFormat="1" x14ac:dyDescent="0.2"/>
    <row r="67299" customFormat="1" x14ac:dyDescent="0.2"/>
    <row r="67300" customFormat="1" x14ac:dyDescent="0.2"/>
    <row r="67301" customFormat="1" x14ac:dyDescent="0.2"/>
    <row r="67302" customFormat="1" x14ac:dyDescent="0.2"/>
    <row r="67303" customFormat="1" x14ac:dyDescent="0.2"/>
    <row r="67304" customFormat="1" x14ac:dyDescent="0.2"/>
    <row r="67305" customFormat="1" x14ac:dyDescent="0.2"/>
    <row r="67306" customFormat="1" x14ac:dyDescent="0.2"/>
    <row r="67307" customFormat="1" x14ac:dyDescent="0.2"/>
    <row r="67308" customFormat="1" x14ac:dyDescent="0.2"/>
    <row r="67309" customFormat="1" x14ac:dyDescent="0.2"/>
    <row r="67310" customFormat="1" x14ac:dyDescent="0.2"/>
    <row r="67311" customFormat="1" x14ac:dyDescent="0.2"/>
    <row r="67312" customFormat="1" x14ac:dyDescent="0.2"/>
    <row r="67313" customFormat="1" x14ac:dyDescent="0.2"/>
    <row r="67314" customFormat="1" x14ac:dyDescent="0.2"/>
    <row r="67315" customFormat="1" x14ac:dyDescent="0.2"/>
    <row r="67316" customFormat="1" x14ac:dyDescent="0.2"/>
    <row r="67317" customFormat="1" x14ac:dyDescent="0.2"/>
    <row r="67318" customFormat="1" x14ac:dyDescent="0.2"/>
    <row r="67319" customFormat="1" x14ac:dyDescent="0.2"/>
    <row r="67320" customFormat="1" x14ac:dyDescent="0.2"/>
    <row r="67321" customFormat="1" x14ac:dyDescent="0.2"/>
    <row r="67322" customFormat="1" x14ac:dyDescent="0.2"/>
    <row r="67323" customFormat="1" x14ac:dyDescent="0.2"/>
    <row r="67324" customFormat="1" x14ac:dyDescent="0.2"/>
    <row r="67325" customFormat="1" x14ac:dyDescent="0.2"/>
    <row r="67326" customFormat="1" x14ac:dyDescent="0.2"/>
    <row r="67327" customFormat="1" x14ac:dyDescent="0.2"/>
    <row r="67328" customFormat="1" x14ac:dyDescent="0.2"/>
    <row r="67329" customFormat="1" x14ac:dyDescent="0.2"/>
    <row r="67330" customFormat="1" x14ac:dyDescent="0.2"/>
    <row r="67331" customFormat="1" x14ac:dyDescent="0.2"/>
    <row r="67332" customFormat="1" x14ac:dyDescent="0.2"/>
    <row r="67333" customFormat="1" x14ac:dyDescent="0.2"/>
    <row r="67334" customFormat="1" x14ac:dyDescent="0.2"/>
    <row r="67335" customFormat="1" x14ac:dyDescent="0.2"/>
    <row r="67336" customFormat="1" x14ac:dyDescent="0.2"/>
    <row r="67337" customFormat="1" x14ac:dyDescent="0.2"/>
    <row r="67338" customFormat="1" x14ac:dyDescent="0.2"/>
    <row r="67339" customFormat="1" x14ac:dyDescent="0.2"/>
    <row r="67340" customFormat="1" x14ac:dyDescent="0.2"/>
    <row r="67341" customFormat="1" x14ac:dyDescent="0.2"/>
    <row r="67342" customFormat="1" x14ac:dyDescent="0.2"/>
    <row r="67343" customFormat="1" x14ac:dyDescent="0.2"/>
    <row r="67344" customFormat="1" x14ac:dyDescent="0.2"/>
    <row r="67345" customFormat="1" x14ac:dyDescent="0.2"/>
    <row r="67346" customFormat="1" x14ac:dyDescent="0.2"/>
    <row r="67347" customFormat="1" x14ac:dyDescent="0.2"/>
    <row r="67348" customFormat="1" x14ac:dyDescent="0.2"/>
    <row r="67349" customFormat="1" x14ac:dyDescent="0.2"/>
    <row r="67350" customFormat="1" x14ac:dyDescent="0.2"/>
    <row r="67351" customFormat="1" x14ac:dyDescent="0.2"/>
    <row r="67352" customFormat="1" x14ac:dyDescent="0.2"/>
    <row r="67353" customFormat="1" x14ac:dyDescent="0.2"/>
    <row r="67354" customFormat="1" x14ac:dyDescent="0.2"/>
    <row r="67355" customFormat="1" x14ac:dyDescent="0.2"/>
    <row r="67356" customFormat="1" x14ac:dyDescent="0.2"/>
    <row r="67357" customFormat="1" x14ac:dyDescent="0.2"/>
    <row r="67358" customFormat="1" x14ac:dyDescent="0.2"/>
    <row r="67359" customFormat="1" x14ac:dyDescent="0.2"/>
    <row r="67360" customFormat="1" x14ac:dyDescent="0.2"/>
    <row r="67361" customFormat="1" x14ac:dyDescent="0.2"/>
    <row r="67362" customFormat="1" x14ac:dyDescent="0.2"/>
    <row r="67363" customFormat="1" x14ac:dyDescent="0.2"/>
    <row r="67364" customFormat="1" x14ac:dyDescent="0.2"/>
    <row r="67365" customFormat="1" x14ac:dyDescent="0.2"/>
    <row r="67366" customFormat="1" x14ac:dyDescent="0.2"/>
    <row r="67367" customFormat="1" x14ac:dyDescent="0.2"/>
    <row r="67368" customFormat="1" x14ac:dyDescent="0.2"/>
    <row r="67369" customFormat="1" x14ac:dyDescent="0.2"/>
    <row r="67370" customFormat="1" x14ac:dyDescent="0.2"/>
    <row r="67371" customFormat="1" x14ac:dyDescent="0.2"/>
    <row r="67372" customFormat="1" x14ac:dyDescent="0.2"/>
    <row r="67373" customFormat="1" x14ac:dyDescent="0.2"/>
    <row r="67374" customFormat="1" x14ac:dyDescent="0.2"/>
    <row r="67375" customFormat="1" x14ac:dyDescent="0.2"/>
    <row r="67376" customFormat="1" x14ac:dyDescent="0.2"/>
    <row r="67377" customFormat="1" x14ac:dyDescent="0.2"/>
    <row r="67378" customFormat="1" x14ac:dyDescent="0.2"/>
    <row r="67379" customFormat="1" x14ac:dyDescent="0.2"/>
    <row r="67380" customFormat="1" x14ac:dyDescent="0.2"/>
    <row r="67381" customFormat="1" x14ac:dyDescent="0.2"/>
    <row r="67382" customFormat="1" x14ac:dyDescent="0.2"/>
    <row r="67383" customFormat="1" x14ac:dyDescent="0.2"/>
    <row r="67384" customFormat="1" x14ac:dyDescent="0.2"/>
    <row r="67385" customFormat="1" x14ac:dyDescent="0.2"/>
    <row r="67386" customFormat="1" x14ac:dyDescent="0.2"/>
    <row r="67387" customFormat="1" x14ac:dyDescent="0.2"/>
    <row r="67388" customFormat="1" x14ac:dyDescent="0.2"/>
    <row r="67389" customFormat="1" x14ac:dyDescent="0.2"/>
    <row r="67390" customFormat="1" x14ac:dyDescent="0.2"/>
    <row r="67391" customFormat="1" x14ac:dyDescent="0.2"/>
    <row r="67392" customFormat="1" x14ac:dyDescent="0.2"/>
    <row r="67393" customFormat="1" x14ac:dyDescent="0.2"/>
    <row r="67394" customFormat="1" x14ac:dyDescent="0.2"/>
    <row r="67395" customFormat="1" x14ac:dyDescent="0.2"/>
    <row r="67396" customFormat="1" x14ac:dyDescent="0.2"/>
    <row r="67397" customFormat="1" x14ac:dyDescent="0.2"/>
    <row r="67398" customFormat="1" x14ac:dyDescent="0.2"/>
    <row r="67399" customFormat="1" x14ac:dyDescent="0.2"/>
    <row r="67400" customFormat="1" x14ac:dyDescent="0.2"/>
    <row r="67401" customFormat="1" x14ac:dyDescent="0.2"/>
    <row r="67402" customFormat="1" x14ac:dyDescent="0.2"/>
    <row r="67403" customFormat="1" x14ac:dyDescent="0.2"/>
    <row r="67404" customFormat="1" x14ac:dyDescent="0.2"/>
    <row r="67405" customFormat="1" x14ac:dyDescent="0.2"/>
    <row r="67406" customFormat="1" x14ac:dyDescent="0.2"/>
    <row r="67407" customFormat="1" x14ac:dyDescent="0.2"/>
    <row r="67408" customFormat="1" x14ac:dyDescent="0.2"/>
    <row r="67409" customFormat="1" x14ac:dyDescent="0.2"/>
    <row r="67410" customFormat="1" x14ac:dyDescent="0.2"/>
    <row r="67411" customFormat="1" x14ac:dyDescent="0.2"/>
    <row r="67412" customFormat="1" x14ac:dyDescent="0.2"/>
    <row r="67413" customFormat="1" x14ac:dyDescent="0.2"/>
    <row r="67414" customFormat="1" x14ac:dyDescent="0.2"/>
    <row r="67415" customFormat="1" x14ac:dyDescent="0.2"/>
    <row r="67416" customFormat="1" x14ac:dyDescent="0.2"/>
    <row r="67417" customFormat="1" x14ac:dyDescent="0.2"/>
    <row r="67418" customFormat="1" x14ac:dyDescent="0.2"/>
    <row r="67419" customFormat="1" x14ac:dyDescent="0.2"/>
    <row r="67420" customFormat="1" x14ac:dyDescent="0.2"/>
    <row r="67421" customFormat="1" x14ac:dyDescent="0.2"/>
    <row r="67422" customFormat="1" x14ac:dyDescent="0.2"/>
    <row r="67423" customFormat="1" x14ac:dyDescent="0.2"/>
    <row r="67424" customFormat="1" x14ac:dyDescent="0.2"/>
    <row r="67425" customFormat="1" x14ac:dyDescent="0.2"/>
    <row r="67426" customFormat="1" x14ac:dyDescent="0.2"/>
    <row r="67427" customFormat="1" x14ac:dyDescent="0.2"/>
    <row r="67428" customFormat="1" x14ac:dyDescent="0.2"/>
    <row r="67429" customFormat="1" x14ac:dyDescent="0.2"/>
    <row r="67430" customFormat="1" x14ac:dyDescent="0.2"/>
    <row r="67431" customFormat="1" x14ac:dyDescent="0.2"/>
    <row r="67432" customFormat="1" x14ac:dyDescent="0.2"/>
    <row r="67433" customFormat="1" x14ac:dyDescent="0.2"/>
    <row r="67434" customFormat="1" x14ac:dyDescent="0.2"/>
    <row r="67435" customFormat="1" x14ac:dyDescent="0.2"/>
    <row r="67436" customFormat="1" x14ac:dyDescent="0.2"/>
    <row r="67437" customFormat="1" x14ac:dyDescent="0.2"/>
    <row r="67438" customFormat="1" x14ac:dyDescent="0.2"/>
    <row r="67439" customFormat="1" x14ac:dyDescent="0.2"/>
    <row r="67440" customFormat="1" x14ac:dyDescent="0.2"/>
    <row r="67441" customFormat="1" x14ac:dyDescent="0.2"/>
    <row r="67442" customFormat="1" x14ac:dyDescent="0.2"/>
    <row r="67443" customFormat="1" x14ac:dyDescent="0.2"/>
    <row r="67444" customFormat="1" x14ac:dyDescent="0.2"/>
    <row r="67445" customFormat="1" x14ac:dyDescent="0.2"/>
    <row r="67446" customFormat="1" x14ac:dyDescent="0.2"/>
    <row r="67447" customFormat="1" x14ac:dyDescent="0.2"/>
    <row r="67448" customFormat="1" x14ac:dyDescent="0.2"/>
    <row r="67449" customFormat="1" x14ac:dyDescent="0.2"/>
    <row r="67450" customFormat="1" x14ac:dyDescent="0.2"/>
    <row r="67451" customFormat="1" x14ac:dyDescent="0.2"/>
    <row r="67452" customFormat="1" x14ac:dyDescent="0.2"/>
    <row r="67453" customFormat="1" x14ac:dyDescent="0.2"/>
    <row r="67454" customFormat="1" x14ac:dyDescent="0.2"/>
    <row r="67455" customFormat="1" x14ac:dyDescent="0.2"/>
    <row r="67456" customFormat="1" x14ac:dyDescent="0.2"/>
    <row r="67457" customFormat="1" x14ac:dyDescent="0.2"/>
    <row r="67458" customFormat="1" x14ac:dyDescent="0.2"/>
    <row r="67459" customFormat="1" x14ac:dyDescent="0.2"/>
    <row r="67460" customFormat="1" x14ac:dyDescent="0.2"/>
    <row r="67461" customFormat="1" x14ac:dyDescent="0.2"/>
    <row r="67462" customFormat="1" x14ac:dyDescent="0.2"/>
    <row r="67463" customFormat="1" x14ac:dyDescent="0.2"/>
    <row r="67464" customFormat="1" x14ac:dyDescent="0.2"/>
    <row r="67465" customFormat="1" x14ac:dyDescent="0.2"/>
    <row r="67466" customFormat="1" x14ac:dyDescent="0.2"/>
    <row r="67467" customFormat="1" x14ac:dyDescent="0.2"/>
    <row r="67468" customFormat="1" x14ac:dyDescent="0.2"/>
    <row r="67469" customFormat="1" x14ac:dyDescent="0.2"/>
    <row r="67470" customFormat="1" x14ac:dyDescent="0.2"/>
    <row r="67471" customFormat="1" x14ac:dyDescent="0.2"/>
    <row r="67472" customFormat="1" x14ac:dyDescent="0.2"/>
    <row r="67473" customFormat="1" x14ac:dyDescent="0.2"/>
    <row r="67474" customFormat="1" x14ac:dyDescent="0.2"/>
    <row r="67475" customFormat="1" x14ac:dyDescent="0.2"/>
    <row r="67476" customFormat="1" x14ac:dyDescent="0.2"/>
    <row r="67477" customFormat="1" x14ac:dyDescent="0.2"/>
    <row r="67478" customFormat="1" x14ac:dyDescent="0.2"/>
    <row r="67479" customFormat="1" x14ac:dyDescent="0.2"/>
    <row r="67480" customFormat="1" x14ac:dyDescent="0.2"/>
    <row r="67481" customFormat="1" x14ac:dyDescent="0.2"/>
    <row r="67482" customFormat="1" x14ac:dyDescent="0.2"/>
    <row r="67483" customFormat="1" x14ac:dyDescent="0.2"/>
    <row r="67484" customFormat="1" x14ac:dyDescent="0.2"/>
    <row r="67485" customFormat="1" x14ac:dyDescent="0.2"/>
    <row r="67486" customFormat="1" x14ac:dyDescent="0.2"/>
    <row r="67487" customFormat="1" x14ac:dyDescent="0.2"/>
    <row r="67488" customFormat="1" x14ac:dyDescent="0.2"/>
    <row r="67489" customFormat="1" x14ac:dyDescent="0.2"/>
    <row r="67490" customFormat="1" x14ac:dyDescent="0.2"/>
    <row r="67491" customFormat="1" x14ac:dyDescent="0.2"/>
    <row r="67492" customFormat="1" x14ac:dyDescent="0.2"/>
    <row r="67493" customFormat="1" x14ac:dyDescent="0.2"/>
    <row r="67494" customFormat="1" x14ac:dyDescent="0.2"/>
    <row r="67495" customFormat="1" x14ac:dyDescent="0.2"/>
    <row r="67496" customFormat="1" x14ac:dyDescent="0.2"/>
    <row r="67497" customFormat="1" x14ac:dyDescent="0.2"/>
    <row r="67498" customFormat="1" x14ac:dyDescent="0.2"/>
    <row r="67499" customFormat="1" x14ac:dyDescent="0.2"/>
    <row r="67500" customFormat="1" x14ac:dyDescent="0.2"/>
    <row r="67501" customFormat="1" x14ac:dyDescent="0.2"/>
    <row r="67502" customFormat="1" x14ac:dyDescent="0.2"/>
    <row r="67503" customFormat="1" x14ac:dyDescent="0.2"/>
    <row r="67504" customFormat="1" x14ac:dyDescent="0.2"/>
    <row r="67505" customFormat="1" x14ac:dyDescent="0.2"/>
    <row r="67506" customFormat="1" x14ac:dyDescent="0.2"/>
    <row r="67507" customFormat="1" x14ac:dyDescent="0.2"/>
    <row r="67508" customFormat="1" x14ac:dyDescent="0.2"/>
    <row r="67509" customFormat="1" x14ac:dyDescent="0.2"/>
    <row r="67510" customFormat="1" x14ac:dyDescent="0.2"/>
    <row r="67511" customFormat="1" x14ac:dyDescent="0.2"/>
    <row r="67512" customFormat="1" x14ac:dyDescent="0.2"/>
    <row r="67513" customFormat="1" x14ac:dyDescent="0.2"/>
    <row r="67514" customFormat="1" x14ac:dyDescent="0.2"/>
    <row r="67515" customFormat="1" x14ac:dyDescent="0.2"/>
    <row r="67516" customFormat="1" x14ac:dyDescent="0.2"/>
    <row r="67517" customFormat="1" x14ac:dyDescent="0.2"/>
    <row r="67518" customFormat="1" x14ac:dyDescent="0.2"/>
    <row r="67519" customFormat="1" x14ac:dyDescent="0.2"/>
    <row r="67520" customFormat="1" x14ac:dyDescent="0.2"/>
    <row r="67521" customFormat="1" x14ac:dyDescent="0.2"/>
    <row r="67522" customFormat="1" x14ac:dyDescent="0.2"/>
    <row r="67523" customFormat="1" x14ac:dyDescent="0.2"/>
    <row r="67524" customFormat="1" x14ac:dyDescent="0.2"/>
    <row r="67525" customFormat="1" x14ac:dyDescent="0.2"/>
    <row r="67526" customFormat="1" x14ac:dyDescent="0.2"/>
    <row r="67527" customFormat="1" x14ac:dyDescent="0.2"/>
    <row r="67528" customFormat="1" x14ac:dyDescent="0.2"/>
    <row r="67529" customFormat="1" x14ac:dyDescent="0.2"/>
    <row r="67530" customFormat="1" x14ac:dyDescent="0.2"/>
    <row r="67531" customFormat="1" x14ac:dyDescent="0.2"/>
    <row r="67532" customFormat="1" x14ac:dyDescent="0.2"/>
    <row r="67533" customFormat="1" x14ac:dyDescent="0.2"/>
    <row r="67534" customFormat="1" x14ac:dyDescent="0.2"/>
    <row r="67535" customFormat="1" x14ac:dyDescent="0.2"/>
    <row r="67536" customFormat="1" x14ac:dyDescent="0.2"/>
    <row r="67537" customFormat="1" x14ac:dyDescent="0.2"/>
    <row r="67538" customFormat="1" x14ac:dyDescent="0.2"/>
    <row r="67539" customFormat="1" x14ac:dyDescent="0.2"/>
    <row r="67540" customFormat="1" x14ac:dyDescent="0.2"/>
    <row r="67541" customFormat="1" x14ac:dyDescent="0.2"/>
    <row r="67542" customFormat="1" x14ac:dyDescent="0.2"/>
    <row r="67543" customFormat="1" x14ac:dyDescent="0.2"/>
    <row r="67544" customFormat="1" x14ac:dyDescent="0.2"/>
    <row r="67545" customFormat="1" x14ac:dyDescent="0.2"/>
    <row r="67546" customFormat="1" x14ac:dyDescent="0.2"/>
    <row r="67547" customFormat="1" x14ac:dyDescent="0.2"/>
    <row r="67548" customFormat="1" x14ac:dyDescent="0.2"/>
    <row r="67549" customFormat="1" x14ac:dyDescent="0.2"/>
    <row r="67550" customFormat="1" x14ac:dyDescent="0.2"/>
    <row r="67551" customFormat="1" x14ac:dyDescent="0.2"/>
    <row r="67552" customFormat="1" x14ac:dyDescent="0.2"/>
    <row r="67553" customFormat="1" x14ac:dyDescent="0.2"/>
    <row r="67554" customFormat="1" x14ac:dyDescent="0.2"/>
    <row r="67555" customFormat="1" x14ac:dyDescent="0.2"/>
    <row r="67556" customFormat="1" x14ac:dyDescent="0.2"/>
    <row r="67557" customFormat="1" x14ac:dyDescent="0.2"/>
    <row r="67558" customFormat="1" x14ac:dyDescent="0.2"/>
    <row r="67559" customFormat="1" x14ac:dyDescent="0.2"/>
    <row r="67560" customFormat="1" x14ac:dyDescent="0.2"/>
    <row r="67561" customFormat="1" x14ac:dyDescent="0.2"/>
    <row r="67562" customFormat="1" x14ac:dyDescent="0.2"/>
    <row r="67563" customFormat="1" x14ac:dyDescent="0.2"/>
    <row r="67564" customFormat="1" x14ac:dyDescent="0.2"/>
    <row r="67565" customFormat="1" x14ac:dyDescent="0.2"/>
    <row r="67566" customFormat="1" x14ac:dyDescent="0.2"/>
    <row r="67567" customFormat="1" x14ac:dyDescent="0.2"/>
    <row r="67568" customFormat="1" x14ac:dyDescent="0.2"/>
    <row r="67569" customFormat="1" x14ac:dyDescent="0.2"/>
    <row r="67570" customFormat="1" x14ac:dyDescent="0.2"/>
    <row r="67571" customFormat="1" x14ac:dyDescent="0.2"/>
    <row r="67572" customFormat="1" x14ac:dyDescent="0.2"/>
    <row r="67573" customFormat="1" x14ac:dyDescent="0.2"/>
    <row r="67574" customFormat="1" x14ac:dyDescent="0.2"/>
    <row r="67575" customFormat="1" x14ac:dyDescent="0.2"/>
    <row r="67576" customFormat="1" x14ac:dyDescent="0.2"/>
    <row r="67577" customFormat="1" x14ac:dyDescent="0.2"/>
    <row r="67578" customFormat="1" x14ac:dyDescent="0.2"/>
    <row r="67579" customFormat="1" x14ac:dyDescent="0.2"/>
    <row r="67580" customFormat="1" x14ac:dyDescent="0.2"/>
    <row r="67581" customFormat="1" x14ac:dyDescent="0.2"/>
    <row r="67582" customFormat="1" x14ac:dyDescent="0.2"/>
    <row r="67583" customFormat="1" x14ac:dyDescent="0.2"/>
    <row r="67584" customFormat="1" x14ac:dyDescent="0.2"/>
    <row r="67585" customFormat="1" x14ac:dyDescent="0.2"/>
    <row r="67586" customFormat="1" x14ac:dyDescent="0.2"/>
    <row r="67587" customFormat="1" x14ac:dyDescent="0.2"/>
    <row r="67588" customFormat="1" x14ac:dyDescent="0.2"/>
    <row r="67589" customFormat="1" x14ac:dyDescent="0.2"/>
    <row r="67590" customFormat="1" x14ac:dyDescent="0.2"/>
    <row r="67591" customFormat="1" x14ac:dyDescent="0.2"/>
    <row r="67592" customFormat="1" x14ac:dyDescent="0.2"/>
    <row r="67593" customFormat="1" x14ac:dyDescent="0.2"/>
    <row r="67594" customFormat="1" x14ac:dyDescent="0.2"/>
    <row r="67595" customFormat="1" x14ac:dyDescent="0.2"/>
    <row r="67596" customFormat="1" x14ac:dyDescent="0.2"/>
    <row r="67597" customFormat="1" x14ac:dyDescent="0.2"/>
    <row r="67598" customFormat="1" x14ac:dyDescent="0.2"/>
    <row r="67599" customFormat="1" x14ac:dyDescent="0.2"/>
    <row r="67600" customFormat="1" x14ac:dyDescent="0.2"/>
    <row r="67601" customFormat="1" x14ac:dyDescent="0.2"/>
    <row r="67602" customFormat="1" x14ac:dyDescent="0.2"/>
    <row r="67603" customFormat="1" x14ac:dyDescent="0.2"/>
    <row r="67604" customFormat="1" x14ac:dyDescent="0.2"/>
    <row r="67605" customFormat="1" x14ac:dyDescent="0.2"/>
    <row r="67606" customFormat="1" x14ac:dyDescent="0.2"/>
    <row r="67607" customFormat="1" x14ac:dyDescent="0.2"/>
    <row r="67608" customFormat="1" x14ac:dyDescent="0.2"/>
    <row r="67609" customFormat="1" x14ac:dyDescent="0.2"/>
    <row r="67610" customFormat="1" x14ac:dyDescent="0.2"/>
    <row r="67611" customFormat="1" x14ac:dyDescent="0.2"/>
    <row r="67612" customFormat="1" x14ac:dyDescent="0.2"/>
    <row r="67613" customFormat="1" x14ac:dyDescent="0.2"/>
    <row r="67614" customFormat="1" x14ac:dyDescent="0.2"/>
    <row r="67615" customFormat="1" x14ac:dyDescent="0.2"/>
    <row r="67616" customFormat="1" x14ac:dyDescent="0.2"/>
    <row r="67617" customFormat="1" x14ac:dyDescent="0.2"/>
    <row r="67618" customFormat="1" x14ac:dyDescent="0.2"/>
    <row r="67619" customFormat="1" x14ac:dyDescent="0.2"/>
    <row r="67620" customFormat="1" x14ac:dyDescent="0.2"/>
    <row r="67621" customFormat="1" x14ac:dyDescent="0.2"/>
    <row r="67622" customFormat="1" x14ac:dyDescent="0.2"/>
    <row r="67623" customFormat="1" x14ac:dyDescent="0.2"/>
    <row r="67624" customFormat="1" x14ac:dyDescent="0.2"/>
    <row r="67625" customFormat="1" x14ac:dyDescent="0.2"/>
    <row r="67626" customFormat="1" x14ac:dyDescent="0.2"/>
    <row r="67627" customFormat="1" x14ac:dyDescent="0.2"/>
    <row r="67628" customFormat="1" x14ac:dyDescent="0.2"/>
    <row r="67629" customFormat="1" x14ac:dyDescent="0.2"/>
    <row r="67630" customFormat="1" x14ac:dyDescent="0.2"/>
    <row r="67631" customFormat="1" x14ac:dyDescent="0.2"/>
    <row r="67632" customFormat="1" x14ac:dyDescent="0.2"/>
    <row r="67633" customFormat="1" x14ac:dyDescent="0.2"/>
    <row r="67634" customFormat="1" x14ac:dyDescent="0.2"/>
    <row r="67635" customFormat="1" x14ac:dyDescent="0.2"/>
    <row r="67636" customFormat="1" x14ac:dyDescent="0.2"/>
    <row r="67637" customFormat="1" x14ac:dyDescent="0.2"/>
    <row r="67638" customFormat="1" x14ac:dyDescent="0.2"/>
    <row r="67639" customFormat="1" x14ac:dyDescent="0.2"/>
    <row r="67640" customFormat="1" x14ac:dyDescent="0.2"/>
    <row r="67641" customFormat="1" x14ac:dyDescent="0.2"/>
    <row r="67642" customFormat="1" x14ac:dyDescent="0.2"/>
    <row r="67643" customFormat="1" x14ac:dyDescent="0.2"/>
    <row r="67644" customFormat="1" x14ac:dyDescent="0.2"/>
    <row r="67645" customFormat="1" x14ac:dyDescent="0.2"/>
    <row r="67646" customFormat="1" x14ac:dyDescent="0.2"/>
    <row r="67647" customFormat="1" x14ac:dyDescent="0.2"/>
    <row r="67648" customFormat="1" x14ac:dyDescent="0.2"/>
    <row r="67649" customFormat="1" x14ac:dyDescent="0.2"/>
    <row r="67650" customFormat="1" x14ac:dyDescent="0.2"/>
    <row r="67651" customFormat="1" x14ac:dyDescent="0.2"/>
    <row r="67652" customFormat="1" x14ac:dyDescent="0.2"/>
    <row r="67653" customFormat="1" x14ac:dyDescent="0.2"/>
    <row r="67654" customFormat="1" x14ac:dyDescent="0.2"/>
    <row r="67655" customFormat="1" x14ac:dyDescent="0.2"/>
    <row r="67656" customFormat="1" x14ac:dyDescent="0.2"/>
    <row r="67657" customFormat="1" x14ac:dyDescent="0.2"/>
    <row r="67658" customFormat="1" x14ac:dyDescent="0.2"/>
    <row r="67659" customFormat="1" x14ac:dyDescent="0.2"/>
    <row r="67660" customFormat="1" x14ac:dyDescent="0.2"/>
    <row r="67661" customFormat="1" x14ac:dyDescent="0.2"/>
    <row r="67662" customFormat="1" x14ac:dyDescent="0.2"/>
    <row r="67663" customFormat="1" x14ac:dyDescent="0.2"/>
    <row r="67664" customFormat="1" x14ac:dyDescent="0.2"/>
    <row r="67665" customFormat="1" x14ac:dyDescent="0.2"/>
    <row r="67666" customFormat="1" x14ac:dyDescent="0.2"/>
    <row r="67667" customFormat="1" x14ac:dyDescent="0.2"/>
    <row r="67668" customFormat="1" x14ac:dyDescent="0.2"/>
    <row r="67669" customFormat="1" x14ac:dyDescent="0.2"/>
    <row r="67670" customFormat="1" x14ac:dyDescent="0.2"/>
    <row r="67671" customFormat="1" x14ac:dyDescent="0.2"/>
    <row r="67672" customFormat="1" x14ac:dyDescent="0.2"/>
    <row r="67673" customFormat="1" x14ac:dyDescent="0.2"/>
    <row r="67674" customFormat="1" x14ac:dyDescent="0.2"/>
    <row r="67675" customFormat="1" x14ac:dyDescent="0.2"/>
    <row r="67676" customFormat="1" x14ac:dyDescent="0.2"/>
    <row r="67677" customFormat="1" x14ac:dyDescent="0.2"/>
    <row r="67678" customFormat="1" x14ac:dyDescent="0.2"/>
    <row r="67679" customFormat="1" x14ac:dyDescent="0.2"/>
    <row r="67680" customFormat="1" x14ac:dyDescent="0.2"/>
    <row r="67681" customFormat="1" x14ac:dyDescent="0.2"/>
    <row r="67682" customFormat="1" x14ac:dyDescent="0.2"/>
    <row r="67683" customFormat="1" x14ac:dyDescent="0.2"/>
    <row r="67684" customFormat="1" x14ac:dyDescent="0.2"/>
    <row r="67685" customFormat="1" x14ac:dyDescent="0.2"/>
    <row r="67686" customFormat="1" x14ac:dyDescent="0.2"/>
    <row r="67687" customFormat="1" x14ac:dyDescent="0.2"/>
    <row r="67688" customFormat="1" x14ac:dyDescent="0.2"/>
    <row r="67689" customFormat="1" x14ac:dyDescent="0.2"/>
    <row r="67690" customFormat="1" x14ac:dyDescent="0.2"/>
    <row r="67691" customFormat="1" x14ac:dyDescent="0.2"/>
    <row r="67692" customFormat="1" x14ac:dyDescent="0.2"/>
    <row r="67693" customFormat="1" x14ac:dyDescent="0.2"/>
    <row r="67694" customFormat="1" x14ac:dyDescent="0.2"/>
    <row r="67695" customFormat="1" x14ac:dyDescent="0.2"/>
    <row r="67696" customFormat="1" x14ac:dyDescent="0.2"/>
    <row r="67697" customFormat="1" x14ac:dyDescent="0.2"/>
    <row r="67698" customFormat="1" x14ac:dyDescent="0.2"/>
    <row r="67699" customFormat="1" x14ac:dyDescent="0.2"/>
    <row r="67700" customFormat="1" x14ac:dyDescent="0.2"/>
    <row r="67701" customFormat="1" x14ac:dyDescent="0.2"/>
    <row r="67702" customFormat="1" x14ac:dyDescent="0.2"/>
    <row r="67703" customFormat="1" x14ac:dyDescent="0.2"/>
    <row r="67704" customFormat="1" x14ac:dyDescent="0.2"/>
    <row r="67705" customFormat="1" x14ac:dyDescent="0.2"/>
    <row r="67706" customFormat="1" x14ac:dyDescent="0.2"/>
    <row r="67707" customFormat="1" x14ac:dyDescent="0.2"/>
    <row r="67708" customFormat="1" x14ac:dyDescent="0.2"/>
    <row r="67709" customFormat="1" x14ac:dyDescent="0.2"/>
    <row r="67710" customFormat="1" x14ac:dyDescent="0.2"/>
    <row r="67711" customFormat="1" x14ac:dyDescent="0.2"/>
    <row r="67712" customFormat="1" x14ac:dyDescent="0.2"/>
    <row r="67713" customFormat="1" x14ac:dyDescent="0.2"/>
    <row r="67714" customFormat="1" x14ac:dyDescent="0.2"/>
    <row r="67715" customFormat="1" x14ac:dyDescent="0.2"/>
    <row r="67716" customFormat="1" x14ac:dyDescent="0.2"/>
    <row r="67717" customFormat="1" x14ac:dyDescent="0.2"/>
    <row r="67718" customFormat="1" x14ac:dyDescent="0.2"/>
    <row r="67719" customFormat="1" x14ac:dyDescent="0.2"/>
    <row r="67720" customFormat="1" x14ac:dyDescent="0.2"/>
    <row r="67721" customFormat="1" x14ac:dyDescent="0.2"/>
    <row r="67722" customFormat="1" x14ac:dyDescent="0.2"/>
    <row r="67723" customFormat="1" x14ac:dyDescent="0.2"/>
    <row r="67724" customFormat="1" x14ac:dyDescent="0.2"/>
    <row r="67725" customFormat="1" x14ac:dyDescent="0.2"/>
    <row r="67726" customFormat="1" x14ac:dyDescent="0.2"/>
    <row r="67727" customFormat="1" x14ac:dyDescent="0.2"/>
    <row r="67728" customFormat="1" x14ac:dyDescent="0.2"/>
    <row r="67729" customFormat="1" x14ac:dyDescent="0.2"/>
    <row r="67730" customFormat="1" x14ac:dyDescent="0.2"/>
    <row r="67731" customFormat="1" x14ac:dyDescent="0.2"/>
    <row r="67732" customFormat="1" x14ac:dyDescent="0.2"/>
    <row r="67733" customFormat="1" x14ac:dyDescent="0.2"/>
    <row r="67734" customFormat="1" x14ac:dyDescent="0.2"/>
    <row r="67735" customFormat="1" x14ac:dyDescent="0.2"/>
    <row r="67736" customFormat="1" x14ac:dyDescent="0.2"/>
    <row r="67737" customFormat="1" x14ac:dyDescent="0.2"/>
    <row r="67738" customFormat="1" x14ac:dyDescent="0.2"/>
    <row r="67739" customFormat="1" x14ac:dyDescent="0.2"/>
    <row r="67740" customFormat="1" x14ac:dyDescent="0.2"/>
    <row r="67741" customFormat="1" x14ac:dyDescent="0.2"/>
    <row r="67742" customFormat="1" x14ac:dyDescent="0.2"/>
    <row r="67743" customFormat="1" x14ac:dyDescent="0.2"/>
    <row r="67744" customFormat="1" x14ac:dyDescent="0.2"/>
    <row r="67745" customFormat="1" x14ac:dyDescent="0.2"/>
    <row r="67746" customFormat="1" x14ac:dyDescent="0.2"/>
    <row r="67747" customFormat="1" x14ac:dyDescent="0.2"/>
    <row r="67748" customFormat="1" x14ac:dyDescent="0.2"/>
    <row r="67749" customFormat="1" x14ac:dyDescent="0.2"/>
    <row r="67750" customFormat="1" x14ac:dyDescent="0.2"/>
    <row r="67751" customFormat="1" x14ac:dyDescent="0.2"/>
    <row r="67752" customFormat="1" x14ac:dyDescent="0.2"/>
    <row r="67753" customFormat="1" x14ac:dyDescent="0.2"/>
    <row r="67754" customFormat="1" x14ac:dyDescent="0.2"/>
    <row r="67755" customFormat="1" x14ac:dyDescent="0.2"/>
    <row r="67756" customFormat="1" x14ac:dyDescent="0.2"/>
    <row r="67757" customFormat="1" x14ac:dyDescent="0.2"/>
    <row r="67758" customFormat="1" x14ac:dyDescent="0.2"/>
    <row r="67759" customFormat="1" x14ac:dyDescent="0.2"/>
    <row r="67760" customFormat="1" x14ac:dyDescent="0.2"/>
    <row r="67761" customFormat="1" x14ac:dyDescent="0.2"/>
    <row r="67762" customFormat="1" x14ac:dyDescent="0.2"/>
    <row r="67763" customFormat="1" x14ac:dyDescent="0.2"/>
    <row r="67764" customFormat="1" x14ac:dyDescent="0.2"/>
    <row r="67765" customFormat="1" x14ac:dyDescent="0.2"/>
    <row r="67766" customFormat="1" x14ac:dyDescent="0.2"/>
    <row r="67767" customFormat="1" x14ac:dyDescent="0.2"/>
    <row r="67768" customFormat="1" x14ac:dyDescent="0.2"/>
    <row r="67769" customFormat="1" x14ac:dyDescent="0.2"/>
    <row r="67770" customFormat="1" x14ac:dyDescent="0.2"/>
    <row r="67771" customFormat="1" x14ac:dyDescent="0.2"/>
    <row r="67772" customFormat="1" x14ac:dyDescent="0.2"/>
    <row r="67773" customFormat="1" x14ac:dyDescent="0.2"/>
    <row r="67774" customFormat="1" x14ac:dyDescent="0.2"/>
    <row r="67775" customFormat="1" x14ac:dyDescent="0.2"/>
    <row r="67776" customFormat="1" x14ac:dyDescent="0.2"/>
    <row r="67777" customFormat="1" x14ac:dyDescent="0.2"/>
    <row r="67778" customFormat="1" x14ac:dyDescent="0.2"/>
    <row r="67779" customFormat="1" x14ac:dyDescent="0.2"/>
    <row r="67780" customFormat="1" x14ac:dyDescent="0.2"/>
    <row r="67781" customFormat="1" x14ac:dyDescent="0.2"/>
    <row r="67782" customFormat="1" x14ac:dyDescent="0.2"/>
    <row r="67783" customFormat="1" x14ac:dyDescent="0.2"/>
    <row r="67784" customFormat="1" x14ac:dyDescent="0.2"/>
    <row r="67785" customFormat="1" x14ac:dyDescent="0.2"/>
    <row r="67786" customFormat="1" x14ac:dyDescent="0.2"/>
    <row r="67787" customFormat="1" x14ac:dyDescent="0.2"/>
    <row r="67788" customFormat="1" x14ac:dyDescent="0.2"/>
    <row r="67789" customFormat="1" x14ac:dyDescent="0.2"/>
    <row r="67790" customFormat="1" x14ac:dyDescent="0.2"/>
    <row r="67791" customFormat="1" x14ac:dyDescent="0.2"/>
    <row r="67792" customFormat="1" x14ac:dyDescent="0.2"/>
    <row r="67793" customFormat="1" x14ac:dyDescent="0.2"/>
    <row r="67794" customFormat="1" x14ac:dyDescent="0.2"/>
    <row r="67795" customFormat="1" x14ac:dyDescent="0.2"/>
    <row r="67796" customFormat="1" x14ac:dyDescent="0.2"/>
    <row r="67797" customFormat="1" x14ac:dyDescent="0.2"/>
    <row r="67798" customFormat="1" x14ac:dyDescent="0.2"/>
    <row r="67799" customFormat="1" x14ac:dyDescent="0.2"/>
    <row r="67800" customFormat="1" x14ac:dyDescent="0.2"/>
    <row r="67801" customFormat="1" x14ac:dyDescent="0.2"/>
    <row r="67802" customFormat="1" x14ac:dyDescent="0.2"/>
    <row r="67803" customFormat="1" x14ac:dyDescent="0.2"/>
    <row r="67804" customFormat="1" x14ac:dyDescent="0.2"/>
    <row r="67805" customFormat="1" x14ac:dyDescent="0.2"/>
    <row r="67806" customFormat="1" x14ac:dyDescent="0.2"/>
    <row r="67807" customFormat="1" x14ac:dyDescent="0.2"/>
    <row r="67808" customFormat="1" x14ac:dyDescent="0.2"/>
    <row r="67809" customFormat="1" x14ac:dyDescent="0.2"/>
    <row r="67810" customFormat="1" x14ac:dyDescent="0.2"/>
    <row r="67811" customFormat="1" x14ac:dyDescent="0.2"/>
    <row r="67812" customFormat="1" x14ac:dyDescent="0.2"/>
    <row r="67813" customFormat="1" x14ac:dyDescent="0.2"/>
    <row r="67814" customFormat="1" x14ac:dyDescent="0.2"/>
    <row r="67815" customFormat="1" x14ac:dyDescent="0.2"/>
    <row r="67816" customFormat="1" x14ac:dyDescent="0.2"/>
    <row r="67817" customFormat="1" x14ac:dyDescent="0.2"/>
    <row r="67818" customFormat="1" x14ac:dyDescent="0.2"/>
    <row r="67819" customFormat="1" x14ac:dyDescent="0.2"/>
    <row r="67820" customFormat="1" x14ac:dyDescent="0.2"/>
    <row r="67821" customFormat="1" x14ac:dyDescent="0.2"/>
    <row r="67822" customFormat="1" x14ac:dyDescent="0.2"/>
    <row r="67823" customFormat="1" x14ac:dyDescent="0.2"/>
    <row r="67824" customFormat="1" x14ac:dyDescent="0.2"/>
    <row r="67825" customFormat="1" x14ac:dyDescent="0.2"/>
    <row r="67826" customFormat="1" x14ac:dyDescent="0.2"/>
    <row r="67827" customFormat="1" x14ac:dyDescent="0.2"/>
    <row r="67828" customFormat="1" x14ac:dyDescent="0.2"/>
    <row r="67829" customFormat="1" x14ac:dyDescent="0.2"/>
    <row r="67830" customFormat="1" x14ac:dyDescent="0.2"/>
    <row r="67831" customFormat="1" x14ac:dyDescent="0.2"/>
    <row r="67832" customFormat="1" x14ac:dyDescent="0.2"/>
    <row r="67833" customFormat="1" x14ac:dyDescent="0.2"/>
    <row r="67834" customFormat="1" x14ac:dyDescent="0.2"/>
    <row r="67835" customFormat="1" x14ac:dyDescent="0.2"/>
    <row r="67836" customFormat="1" x14ac:dyDescent="0.2"/>
    <row r="67837" customFormat="1" x14ac:dyDescent="0.2"/>
    <row r="67838" customFormat="1" x14ac:dyDescent="0.2"/>
    <row r="67839" customFormat="1" x14ac:dyDescent="0.2"/>
    <row r="67840" customFormat="1" x14ac:dyDescent="0.2"/>
    <row r="67841" customFormat="1" x14ac:dyDescent="0.2"/>
    <row r="67842" customFormat="1" x14ac:dyDescent="0.2"/>
    <row r="67843" customFormat="1" x14ac:dyDescent="0.2"/>
    <row r="67844" customFormat="1" x14ac:dyDescent="0.2"/>
    <row r="67845" customFormat="1" x14ac:dyDescent="0.2"/>
    <row r="67846" customFormat="1" x14ac:dyDescent="0.2"/>
    <row r="67847" customFormat="1" x14ac:dyDescent="0.2"/>
    <row r="67848" customFormat="1" x14ac:dyDescent="0.2"/>
    <row r="67849" customFormat="1" x14ac:dyDescent="0.2"/>
    <row r="67850" customFormat="1" x14ac:dyDescent="0.2"/>
    <row r="67851" customFormat="1" x14ac:dyDescent="0.2"/>
    <row r="67852" customFormat="1" x14ac:dyDescent="0.2"/>
    <row r="67853" customFormat="1" x14ac:dyDescent="0.2"/>
    <row r="67854" customFormat="1" x14ac:dyDescent="0.2"/>
    <row r="67855" customFormat="1" x14ac:dyDescent="0.2"/>
    <row r="67856" customFormat="1" x14ac:dyDescent="0.2"/>
    <row r="67857" customFormat="1" x14ac:dyDescent="0.2"/>
    <row r="67858" customFormat="1" x14ac:dyDescent="0.2"/>
    <row r="67859" customFormat="1" x14ac:dyDescent="0.2"/>
    <row r="67860" customFormat="1" x14ac:dyDescent="0.2"/>
    <row r="67861" customFormat="1" x14ac:dyDescent="0.2"/>
    <row r="67862" customFormat="1" x14ac:dyDescent="0.2"/>
    <row r="67863" customFormat="1" x14ac:dyDescent="0.2"/>
    <row r="67864" customFormat="1" x14ac:dyDescent="0.2"/>
    <row r="67865" customFormat="1" x14ac:dyDescent="0.2"/>
    <row r="67866" customFormat="1" x14ac:dyDescent="0.2"/>
    <row r="67867" customFormat="1" x14ac:dyDescent="0.2"/>
    <row r="67868" customFormat="1" x14ac:dyDescent="0.2"/>
    <row r="67869" customFormat="1" x14ac:dyDescent="0.2"/>
    <row r="67870" customFormat="1" x14ac:dyDescent="0.2"/>
    <row r="67871" customFormat="1" x14ac:dyDescent="0.2"/>
    <row r="67872" customFormat="1" x14ac:dyDescent="0.2"/>
    <row r="67873" customFormat="1" x14ac:dyDescent="0.2"/>
    <row r="67874" customFormat="1" x14ac:dyDescent="0.2"/>
    <row r="67875" customFormat="1" x14ac:dyDescent="0.2"/>
    <row r="67876" customFormat="1" x14ac:dyDescent="0.2"/>
    <row r="67877" customFormat="1" x14ac:dyDescent="0.2"/>
    <row r="67878" customFormat="1" x14ac:dyDescent="0.2"/>
    <row r="67879" customFormat="1" x14ac:dyDescent="0.2"/>
    <row r="67880" customFormat="1" x14ac:dyDescent="0.2"/>
    <row r="67881" customFormat="1" x14ac:dyDescent="0.2"/>
    <row r="67882" customFormat="1" x14ac:dyDescent="0.2"/>
    <row r="67883" customFormat="1" x14ac:dyDescent="0.2"/>
    <row r="67884" customFormat="1" x14ac:dyDescent="0.2"/>
    <row r="67885" customFormat="1" x14ac:dyDescent="0.2"/>
    <row r="67886" customFormat="1" x14ac:dyDescent="0.2"/>
    <row r="67887" customFormat="1" x14ac:dyDescent="0.2"/>
    <row r="67888" customFormat="1" x14ac:dyDescent="0.2"/>
    <row r="67889" customFormat="1" x14ac:dyDescent="0.2"/>
    <row r="67890" customFormat="1" x14ac:dyDescent="0.2"/>
    <row r="67891" customFormat="1" x14ac:dyDescent="0.2"/>
    <row r="67892" customFormat="1" x14ac:dyDescent="0.2"/>
    <row r="67893" customFormat="1" x14ac:dyDescent="0.2"/>
    <row r="67894" customFormat="1" x14ac:dyDescent="0.2"/>
    <row r="67895" customFormat="1" x14ac:dyDescent="0.2"/>
    <row r="67896" customFormat="1" x14ac:dyDescent="0.2"/>
    <row r="67897" customFormat="1" x14ac:dyDescent="0.2"/>
    <row r="67898" customFormat="1" x14ac:dyDescent="0.2"/>
    <row r="67899" customFormat="1" x14ac:dyDescent="0.2"/>
    <row r="67900" customFormat="1" x14ac:dyDescent="0.2"/>
    <row r="67901" customFormat="1" x14ac:dyDescent="0.2"/>
    <row r="67902" customFormat="1" x14ac:dyDescent="0.2"/>
    <row r="67903" customFormat="1" x14ac:dyDescent="0.2"/>
    <row r="67904" customFormat="1" x14ac:dyDescent="0.2"/>
    <row r="67905" customFormat="1" x14ac:dyDescent="0.2"/>
    <row r="67906" customFormat="1" x14ac:dyDescent="0.2"/>
    <row r="67907" customFormat="1" x14ac:dyDescent="0.2"/>
    <row r="67908" customFormat="1" x14ac:dyDescent="0.2"/>
    <row r="67909" customFormat="1" x14ac:dyDescent="0.2"/>
    <row r="67910" customFormat="1" x14ac:dyDescent="0.2"/>
    <row r="67911" customFormat="1" x14ac:dyDescent="0.2"/>
    <row r="67912" customFormat="1" x14ac:dyDescent="0.2"/>
    <row r="67913" customFormat="1" x14ac:dyDescent="0.2"/>
    <row r="67914" customFormat="1" x14ac:dyDescent="0.2"/>
    <row r="67915" customFormat="1" x14ac:dyDescent="0.2"/>
    <row r="67916" customFormat="1" x14ac:dyDescent="0.2"/>
    <row r="67917" customFormat="1" x14ac:dyDescent="0.2"/>
    <row r="67918" customFormat="1" x14ac:dyDescent="0.2"/>
    <row r="67919" customFormat="1" x14ac:dyDescent="0.2"/>
    <row r="67920" customFormat="1" x14ac:dyDescent="0.2"/>
    <row r="67921" customFormat="1" x14ac:dyDescent="0.2"/>
    <row r="67922" customFormat="1" x14ac:dyDescent="0.2"/>
    <row r="67923" customFormat="1" x14ac:dyDescent="0.2"/>
    <row r="67924" customFormat="1" x14ac:dyDescent="0.2"/>
    <row r="67925" customFormat="1" x14ac:dyDescent="0.2"/>
    <row r="67926" customFormat="1" x14ac:dyDescent="0.2"/>
    <row r="67927" customFormat="1" x14ac:dyDescent="0.2"/>
    <row r="67928" customFormat="1" x14ac:dyDescent="0.2"/>
    <row r="67929" customFormat="1" x14ac:dyDescent="0.2"/>
    <row r="67930" customFormat="1" x14ac:dyDescent="0.2"/>
    <row r="67931" customFormat="1" x14ac:dyDescent="0.2"/>
    <row r="67932" customFormat="1" x14ac:dyDescent="0.2"/>
    <row r="67933" customFormat="1" x14ac:dyDescent="0.2"/>
    <row r="67934" customFormat="1" x14ac:dyDescent="0.2"/>
    <row r="67935" customFormat="1" x14ac:dyDescent="0.2"/>
    <row r="67936" customFormat="1" x14ac:dyDescent="0.2"/>
    <row r="67937" customFormat="1" x14ac:dyDescent="0.2"/>
    <row r="67938" customFormat="1" x14ac:dyDescent="0.2"/>
    <row r="67939" customFormat="1" x14ac:dyDescent="0.2"/>
    <row r="67940" customFormat="1" x14ac:dyDescent="0.2"/>
    <row r="67941" customFormat="1" x14ac:dyDescent="0.2"/>
    <row r="67942" customFormat="1" x14ac:dyDescent="0.2"/>
    <row r="67943" customFormat="1" x14ac:dyDescent="0.2"/>
    <row r="67944" customFormat="1" x14ac:dyDescent="0.2"/>
    <row r="67945" customFormat="1" x14ac:dyDescent="0.2"/>
    <row r="67946" customFormat="1" x14ac:dyDescent="0.2"/>
    <row r="67947" customFormat="1" x14ac:dyDescent="0.2"/>
    <row r="67948" customFormat="1" x14ac:dyDescent="0.2"/>
    <row r="67949" customFormat="1" x14ac:dyDescent="0.2"/>
    <row r="67950" customFormat="1" x14ac:dyDescent="0.2"/>
    <row r="67951" customFormat="1" x14ac:dyDescent="0.2"/>
    <row r="67952" customFormat="1" x14ac:dyDescent="0.2"/>
    <row r="67953" customFormat="1" x14ac:dyDescent="0.2"/>
    <row r="67954" customFormat="1" x14ac:dyDescent="0.2"/>
    <row r="67955" customFormat="1" x14ac:dyDescent="0.2"/>
    <row r="67956" customFormat="1" x14ac:dyDescent="0.2"/>
    <row r="67957" customFormat="1" x14ac:dyDescent="0.2"/>
    <row r="67958" customFormat="1" x14ac:dyDescent="0.2"/>
    <row r="67959" customFormat="1" x14ac:dyDescent="0.2"/>
    <row r="67960" customFormat="1" x14ac:dyDescent="0.2"/>
    <row r="67961" customFormat="1" x14ac:dyDescent="0.2"/>
    <row r="67962" customFormat="1" x14ac:dyDescent="0.2"/>
    <row r="67963" customFormat="1" x14ac:dyDescent="0.2"/>
    <row r="67964" customFormat="1" x14ac:dyDescent="0.2"/>
    <row r="67965" customFormat="1" x14ac:dyDescent="0.2"/>
    <row r="67966" customFormat="1" x14ac:dyDescent="0.2"/>
    <row r="67967" customFormat="1" x14ac:dyDescent="0.2"/>
    <row r="67968" customFormat="1" x14ac:dyDescent="0.2"/>
    <row r="67969" customFormat="1" x14ac:dyDescent="0.2"/>
    <row r="67970" customFormat="1" x14ac:dyDescent="0.2"/>
    <row r="67971" customFormat="1" x14ac:dyDescent="0.2"/>
    <row r="67972" customFormat="1" x14ac:dyDescent="0.2"/>
    <row r="67973" customFormat="1" x14ac:dyDescent="0.2"/>
    <row r="67974" customFormat="1" x14ac:dyDescent="0.2"/>
    <row r="67975" customFormat="1" x14ac:dyDescent="0.2"/>
    <row r="67976" customFormat="1" x14ac:dyDescent="0.2"/>
    <row r="67977" customFormat="1" x14ac:dyDescent="0.2"/>
    <row r="67978" customFormat="1" x14ac:dyDescent="0.2"/>
    <row r="67979" customFormat="1" x14ac:dyDescent="0.2"/>
    <row r="67980" customFormat="1" x14ac:dyDescent="0.2"/>
    <row r="67981" customFormat="1" x14ac:dyDescent="0.2"/>
    <row r="67982" customFormat="1" x14ac:dyDescent="0.2"/>
    <row r="67983" customFormat="1" x14ac:dyDescent="0.2"/>
    <row r="67984" customFormat="1" x14ac:dyDescent="0.2"/>
    <row r="67985" customFormat="1" x14ac:dyDescent="0.2"/>
    <row r="67986" customFormat="1" x14ac:dyDescent="0.2"/>
    <row r="67987" customFormat="1" x14ac:dyDescent="0.2"/>
    <row r="67988" customFormat="1" x14ac:dyDescent="0.2"/>
    <row r="67989" customFormat="1" x14ac:dyDescent="0.2"/>
    <row r="67990" customFormat="1" x14ac:dyDescent="0.2"/>
    <row r="67991" customFormat="1" x14ac:dyDescent="0.2"/>
    <row r="67992" customFormat="1" x14ac:dyDescent="0.2"/>
    <row r="67993" customFormat="1" x14ac:dyDescent="0.2"/>
    <row r="67994" customFormat="1" x14ac:dyDescent="0.2"/>
    <row r="67995" customFormat="1" x14ac:dyDescent="0.2"/>
    <row r="67996" customFormat="1" x14ac:dyDescent="0.2"/>
    <row r="67997" customFormat="1" x14ac:dyDescent="0.2"/>
    <row r="67998" customFormat="1" x14ac:dyDescent="0.2"/>
    <row r="67999" customFormat="1" x14ac:dyDescent="0.2"/>
    <row r="68000" customFormat="1" x14ac:dyDescent="0.2"/>
    <row r="68001" customFormat="1" x14ac:dyDescent="0.2"/>
    <row r="68002" customFormat="1" x14ac:dyDescent="0.2"/>
    <row r="68003" customFormat="1" x14ac:dyDescent="0.2"/>
    <row r="68004" customFormat="1" x14ac:dyDescent="0.2"/>
    <row r="68005" customFormat="1" x14ac:dyDescent="0.2"/>
    <row r="68006" customFormat="1" x14ac:dyDescent="0.2"/>
    <row r="68007" customFormat="1" x14ac:dyDescent="0.2"/>
    <row r="68008" customFormat="1" x14ac:dyDescent="0.2"/>
    <row r="68009" customFormat="1" x14ac:dyDescent="0.2"/>
    <row r="68010" customFormat="1" x14ac:dyDescent="0.2"/>
    <row r="68011" customFormat="1" x14ac:dyDescent="0.2"/>
    <row r="68012" customFormat="1" x14ac:dyDescent="0.2"/>
    <row r="68013" customFormat="1" x14ac:dyDescent="0.2"/>
    <row r="68014" customFormat="1" x14ac:dyDescent="0.2"/>
    <row r="68015" customFormat="1" x14ac:dyDescent="0.2"/>
    <row r="68016" customFormat="1" x14ac:dyDescent="0.2"/>
    <row r="68017" customFormat="1" x14ac:dyDescent="0.2"/>
    <row r="68018" customFormat="1" x14ac:dyDescent="0.2"/>
    <row r="68019" customFormat="1" x14ac:dyDescent="0.2"/>
    <row r="68020" customFormat="1" x14ac:dyDescent="0.2"/>
    <row r="68021" customFormat="1" x14ac:dyDescent="0.2"/>
    <row r="68022" customFormat="1" x14ac:dyDescent="0.2"/>
    <row r="68023" customFormat="1" x14ac:dyDescent="0.2"/>
    <row r="68024" customFormat="1" x14ac:dyDescent="0.2"/>
    <row r="68025" customFormat="1" x14ac:dyDescent="0.2"/>
    <row r="68026" customFormat="1" x14ac:dyDescent="0.2"/>
    <row r="68027" customFormat="1" x14ac:dyDescent="0.2"/>
    <row r="68028" customFormat="1" x14ac:dyDescent="0.2"/>
    <row r="68029" customFormat="1" x14ac:dyDescent="0.2"/>
    <row r="68030" customFormat="1" x14ac:dyDescent="0.2"/>
    <row r="68031" customFormat="1" x14ac:dyDescent="0.2"/>
    <row r="68032" customFormat="1" x14ac:dyDescent="0.2"/>
    <row r="68033" customFormat="1" x14ac:dyDescent="0.2"/>
    <row r="68034" customFormat="1" x14ac:dyDescent="0.2"/>
    <row r="68035" customFormat="1" x14ac:dyDescent="0.2"/>
    <row r="68036" customFormat="1" x14ac:dyDescent="0.2"/>
    <row r="68037" customFormat="1" x14ac:dyDescent="0.2"/>
    <row r="68038" customFormat="1" x14ac:dyDescent="0.2"/>
    <row r="68039" customFormat="1" x14ac:dyDescent="0.2"/>
    <row r="68040" customFormat="1" x14ac:dyDescent="0.2"/>
    <row r="68041" customFormat="1" x14ac:dyDescent="0.2"/>
    <row r="68042" customFormat="1" x14ac:dyDescent="0.2"/>
    <row r="68043" customFormat="1" x14ac:dyDescent="0.2"/>
    <row r="68044" customFormat="1" x14ac:dyDescent="0.2"/>
    <row r="68045" customFormat="1" x14ac:dyDescent="0.2"/>
    <row r="68046" customFormat="1" x14ac:dyDescent="0.2"/>
    <row r="68047" customFormat="1" x14ac:dyDescent="0.2"/>
    <row r="68048" customFormat="1" x14ac:dyDescent="0.2"/>
    <row r="68049" customFormat="1" x14ac:dyDescent="0.2"/>
    <row r="68050" customFormat="1" x14ac:dyDescent="0.2"/>
    <row r="68051" customFormat="1" x14ac:dyDescent="0.2"/>
    <row r="68052" customFormat="1" x14ac:dyDescent="0.2"/>
    <row r="68053" customFormat="1" x14ac:dyDescent="0.2"/>
    <row r="68054" customFormat="1" x14ac:dyDescent="0.2"/>
    <row r="68055" customFormat="1" x14ac:dyDescent="0.2"/>
    <row r="68056" customFormat="1" x14ac:dyDescent="0.2"/>
    <row r="68057" customFormat="1" x14ac:dyDescent="0.2"/>
    <row r="68058" customFormat="1" x14ac:dyDescent="0.2"/>
    <row r="68059" customFormat="1" x14ac:dyDescent="0.2"/>
    <row r="68060" customFormat="1" x14ac:dyDescent="0.2"/>
    <row r="68061" customFormat="1" x14ac:dyDescent="0.2"/>
    <row r="68062" customFormat="1" x14ac:dyDescent="0.2"/>
    <row r="68063" customFormat="1" x14ac:dyDescent="0.2"/>
    <row r="68064" customFormat="1" x14ac:dyDescent="0.2"/>
    <row r="68065" customFormat="1" x14ac:dyDescent="0.2"/>
    <row r="68066" customFormat="1" x14ac:dyDescent="0.2"/>
    <row r="68067" customFormat="1" x14ac:dyDescent="0.2"/>
    <row r="68068" customFormat="1" x14ac:dyDescent="0.2"/>
    <row r="68069" customFormat="1" x14ac:dyDescent="0.2"/>
    <row r="68070" customFormat="1" x14ac:dyDescent="0.2"/>
    <row r="68071" customFormat="1" x14ac:dyDescent="0.2"/>
    <row r="68072" customFormat="1" x14ac:dyDescent="0.2"/>
    <row r="68073" customFormat="1" x14ac:dyDescent="0.2"/>
    <row r="68074" customFormat="1" x14ac:dyDescent="0.2"/>
    <row r="68075" customFormat="1" x14ac:dyDescent="0.2"/>
    <row r="68076" customFormat="1" x14ac:dyDescent="0.2"/>
    <row r="68077" customFormat="1" x14ac:dyDescent="0.2"/>
    <row r="68078" customFormat="1" x14ac:dyDescent="0.2"/>
    <row r="68079" customFormat="1" x14ac:dyDescent="0.2"/>
    <row r="68080" customFormat="1" x14ac:dyDescent="0.2"/>
    <row r="68081" customFormat="1" x14ac:dyDescent="0.2"/>
    <row r="68082" customFormat="1" x14ac:dyDescent="0.2"/>
    <row r="68083" customFormat="1" x14ac:dyDescent="0.2"/>
    <row r="68084" customFormat="1" x14ac:dyDescent="0.2"/>
    <row r="68085" customFormat="1" x14ac:dyDescent="0.2"/>
    <row r="68086" customFormat="1" x14ac:dyDescent="0.2"/>
    <row r="68087" customFormat="1" x14ac:dyDescent="0.2"/>
    <row r="68088" customFormat="1" x14ac:dyDescent="0.2"/>
    <row r="68089" customFormat="1" x14ac:dyDescent="0.2"/>
    <row r="68090" customFormat="1" x14ac:dyDescent="0.2"/>
    <row r="68091" customFormat="1" x14ac:dyDescent="0.2"/>
    <row r="68092" customFormat="1" x14ac:dyDescent="0.2"/>
    <row r="68093" customFormat="1" x14ac:dyDescent="0.2"/>
    <row r="68094" customFormat="1" x14ac:dyDescent="0.2"/>
    <row r="68095" customFormat="1" x14ac:dyDescent="0.2"/>
    <row r="68096" customFormat="1" x14ac:dyDescent="0.2"/>
    <row r="68097" customFormat="1" x14ac:dyDescent="0.2"/>
    <row r="68098" customFormat="1" x14ac:dyDescent="0.2"/>
    <row r="68099" customFormat="1" x14ac:dyDescent="0.2"/>
    <row r="68100" customFormat="1" x14ac:dyDescent="0.2"/>
    <row r="68101" customFormat="1" x14ac:dyDescent="0.2"/>
    <row r="68102" customFormat="1" x14ac:dyDescent="0.2"/>
    <row r="68103" customFormat="1" x14ac:dyDescent="0.2"/>
    <row r="68104" customFormat="1" x14ac:dyDescent="0.2"/>
    <row r="68105" customFormat="1" x14ac:dyDescent="0.2"/>
    <row r="68106" customFormat="1" x14ac:dyDescent="0.2"/>
    <row r="68107" customFormat="1" x14ac:dyDescent="0.2"/>
    <row r="68108" customFormat="1" x14ac:dyDescent="0.2"/>
    <row r="68109" customFormat="1" x14ac:dyDescent="0.2"/>
    <row r="68110" customFormat="1" x14ac:dyDescent="0.2"/>
    <row r="68111" customFormat="1" x14ac:dyDescent="0.2"/>
    <row r="68112" customFormat="1" x14ac:dyDescent="0.2"/>
    <row r="68113" customFormat="1" x14ac:dyDescent="0.2"/>
    <row r="68114" customFormat="1" x14ac:dyDescent="0.2"/>
    <row r="68115" customFormat="1" x14ac:dyDescent="0.2"/>
    <row r="68116" customFormat="1" x14ac:dyDescent="0.2"/>
    <row r="68117" customFormat="1" x14ac:dyDescent="0.2"/>
    <row r="68118" customFormat="1" x14ac:dyDescent="0.2"/>
    <row r="68119" customFormat="1" x14ac:dyDescent="0.2"/>
    <row r="68120" customFormat="1" x14ac:dyDescent="0.2"/>
    <row r="68121" customFormat="1" x14ac:dyDescent="0.2"/>
    <row r="68122" customFormat="1" x14ac:dyDescent="0.2"/>
    <row r="68123" customFormat="1" x14ac:dyDescent="0.2"/>
    <row r="68124" customFormat="1" x14ac:dyDescent="0.2"/>
    <row r="68125" customFormat="1" x14ac:dyDescent="0.2"/>
    <row r="68126" customFormat="1" x14ac:dyDescent="0.2"/>
    <row r="68127" customFormat="1" x14ac:dyDescent="0.2"/>
    <row r="68128" customFormat="1" x14ac:dyDescent="0.2"/>
    <row r="68129" customFormat="1" x14ac:dyDescent="0.2"/>
    <row r="68130" customFormat="1" x14ac:dyDescent="0.2"/>
    <row r="68131" customFormat="1" x14ac:dyDescent="0.2"/>
    <row r="68132" customFormat="1" x14ac:dyDescent="0.2"/>
    <row r="68133" customFormat="1" x14ac:dyDescent="0.2"/>
    <row r="68134" customFormat="1" x14ac:dyDescent="0.2"/>
    <row r="68135" customFormat="1" x14ac:dyDescent="0.2"/>
    <row r="68136" customFormat="1" x14ac:dyDescent="0.2"/>
    <row r="68137" customFormat="1" x14ac:dyDescent="0.2"/>
    <row r="68138" customFormat="1" x14ac:dyDescent="0.2"/>
    <row r="68139" customFormat="1" x14ac:dyDescent="0.2"/>
    <row r="68140" customFormat="1" x14ac:dyDescent="0.2"/>
    <row r="68141" customFormat="1" x14ac:dyDescent="0.2"/>
    <row r="68142" customFormat="1" x14ac:dyDescent="0.2"/>
    <row r="68143" customFormat="1" x14ac:dyDescent="0.2"/>
    <row r="68144" customFormat="1" x14ac:dyDescent="0.2"/>
    <row r="68145" customFormat="1" x14ac:dyDescent="0.2"/>
    <row r="68146" customFormat="1" x14ac:dyDescent="0.2"/>
    <row r="68147" customFormat="1" x14ac:dyDescent="0.2"/>
    <row r="68148" customFormat="1" x14ac:dyDescent="0.2"/>
    <row r="68149" customFormat="1" x14ac:dyDescent="0.2"/>
    <row r="68150" customFormat="1" x14ac:dyDescent="0.2"/>
    <row r="68151" customFormat="1" x14ac:dyDescent="0.2"/>
    <row r="68152" customFormat="1" x14ac:dyDescent="0.2"/>
    <row r="68153" customFormat="1" x14ac:dyDescent="0.2"/>
    <row r="68154" customFormat="1" x14ac:dyDescent="0.2"/>
    <row r="68155" customFormat="1" x14ac:dyDescent="0.2"/>
    <row r="68156" customFormat="1" x14ac:dyDescent="0.2"/>
    <row r="68157" customFormat="1" x14ac:dyDescent="0.2"/>
    <row r="68158" customFormat="1" x14ac:dyDescent="0.2"/>
    <row r="68159" customFormat="1" x14ac:dyDescent="0.2"/>
    <row r="68160" customFormat="1" x14ac:dyDescent="0.2"/>
    <row r="68161" customFormat="1" x14ac:dyDescent="0.2"/>
    <row r="68162" customFormat="1" x14ac:dyDescent="0.2"/>
    <row r="68163" customFormat="1" x14ac:dyDescent="0.2"/>
    <row r="68164" customFormat="1" x14ac:dyDescent="0.2"/>
    <row r="68165" customFormat="1" x14ac:dyDescent="0.2"/>
    <row r="68166" customFormat="1" x14ac:dyDescent="0.2"/>
    <row r="68167" customFormat="1" x14ac:dyDescent="0.2"/>
    <row r="68168" customFormat="1" x14ac:dyDescent="0.2"/>
    <row r="68169" customFormat="1" x14ac:dyDescent="0.2"/>
    <row r="68170" customFormat="1" x14ac:dyDescent="0.2"/>
    <row r="68171" customFormat="1" x14ac:dyDescent="0.2"/>
    <row r="68172" customFormat="1" x14ac:dyDescent="0.2"/>
    <row r="68173" customFormat="1" x14ac:dyDescent="0.2"/>
    <row r="68174" customFormat="1" x14ac:dyDescent="0.2"/>
    <row r="68175" customFormat="1" x14ac:dyDescent="0.2"/>
    <row r="68176" customFormat="1" x14ac:dyDescent="0.2"/>
    <row r="68177" customFormat="1" x14ac:dyDescent="0.2"/>
    <row r="68178" customFormat="1" x14ac:dyDescent="0.2"/>
    <row r="68179" customFormat="1" x14ac:dyDescent="0.2"/>
    <row r="68180" customFormat="1" x14ac:dyDescent="0.2"/>
    <row r="68181" customFormat="1" x14ac:dyDescent="0.2"/>
    <row r="68182" customFormat="1" x14ac:dyDescent="0.2"/>
    <row r="68183" customFormat="1" x14ac:dyDescent="0.2"/>
    <row r="68184" customFormat="1" x14ac:dyDescent="0.2"/>
    <row r="68185" customFormat="1" x14ac:dyDescent="0.2"/>
    <row r="68186" customFormat="1" x14ac:dyDescent="0.2"/>
    <row r="68187" customFormat="1" x14ac:dyDescent="0.2"/>
    <row r="68188" customFormat="1" x14ac:dyDescent="0.2"/>
    <row r="68189" customFormat="1" x14ac:dyDescent="0.2"/>
    <row r="68190" customFormat="1" x14ac:dyDescent="0.2"/>
    <row r="68191" customFormat="1" x14ac:dyDescent="0.2"/>
    <row r="68192" customFormat="1" x14ac:dyDescent="0.2"/>
    <row r="68193" customFormat="1" x14ac:dyDescent="0.2"/>
    <row r="68194" customFormat="1" x14ac:dyDescent="0.2"/>
    <row r="68195" customFormat="1" x14ac:dyDescent="0.2"/>
    <row r="68196" customFormat="1" x14ac:dyDescent="0.2"/>
    <row r="68197" customFormat="1" x14ac:dyDescent="0.2"/>
    <row r="68198" customFormat="1" x14ac:dyDescent="0.2"/>
    <row r="68199" customFormat="1" x14ac:dyDescent="0.2"/>
    <row r="68200" customFormat="1" x14ac:dyDescent="0.2"/>
    <row r="68201" customFormat="1" x14ac:dyDescent="0.2"/>
    <row r="68202" customFormat="1" x14ac:dyDescent="0.2"/>
    <row r="68203" customFormat="1" x14ac:dyDescent="0.2"/>
    <row r="68204" customFormat="1" x14ac:dyDescent="0.2"/>
    <row r="68205" customFormat="1" x14ac:dyDescent="0.2"/>
    <row r="68206" customFormat="1" x14ac:dyDescent="0.2"/>
    <row r="68207" customFormat="1" x14ac:dyDescent="0.2"/>
    <row r="68208" customFormat="1" x14ac:dyDescent="0.2"/>
    <row r="68209" customFormat="1" x14ac:dyDescent="0.2"/>
    <row r="68210" customFormat="1" x14ac:dyDescent="0.2"/>
    <row r="68211" customFormat="1" x14ac:dyDescent="0.2"/>
    <row r="68212" customFormat="1" x14ac:dyDescent="0.2"/>
    <row r="68213" customFormat="1" x14ac:dyDescent="0.2"/>
    <row r="68214" customFormat="1" x14ac:dyDescent="0.2"/>
    <row r="68215" customFormat="1" x14ac:dyDescent="0.2"/>
    <row r="68216" customFormat="1" x14ac:dyDescent="0.2"/>
    <row r="68217" customFormat="1" x14ac:dyDescent="0.2"/>
    <row r="68218" customFormat="1" x14ac:dyDescent="0.2"/>
    <row r="68219" customFormat="1" x14ac:dyDescent="0.2"/>
    <row r="68220" customFormat="1" x14ac:dyDescent="0.2"/>
    <row r="68221" customFormat="1" x14ac:dyDescent="0.2"/>
    <row r="68222" customFormat="1" x14ac:dyDescent="0.2"/>
    <row r="68223" customFormat="1" x14ac:dyDescent="0.2"/>
    <row r="68224" customFormat="1" x14ac:dyDescent="0.2"/>
    <row r="68225" customFormat="1" x14ac:dyDescent="0.2"/>
    <row r="68226" customFormat="1" x14ac:dyDescent="0.2"/>
    <row r="68227" customFormat="1" x14ac:dyDescent="0.2"/>
    <row r="68228" customFormat="1" x14ac:dyDescent="0.2"/>
    <row r="68229" customFormat="1" x14ac:dyDescent="0.2"/>
    <row r="68230" customFormat="1" x14ac:dyDescent="0.2"/>
    <row r="68231" customFormat="1" x14ac:dyDescent="0.2"/>
    <row r="68232" customFormat="1" x14ac:dyDescent="0.2"/>
    <row r="68233" customFormat="1" x14ac:dyDescent="0.2"/>
    <row r="68234" customFormat="1" x14ac:dyDescent="0.2"/>
    <row r="68235" customFormat="1" x14ac:dyDescent="0.2"/>
    <row r="68236" customFormat="1" x14ac:dyDescent="0.2"/>
    <row r="68237" customFormat="1" x14ac:dyDescent="0.2"/>
    <row r="68238" customFormat="1" x14ac:dyDescent="0.2"/>
    <row r="68239" customFormat="1" x14ac:dyDescent="0.2"/>
    <row r="68240" customFormat="1" x14ac:dyDescent="0.2"/>
    <row r="68241" customFormat="1" x14ac:dyDescent="0.2"/>
    <row r="68242" customFormat="1" x14ac:dyDescent="0.2"/>
    <row r="68243" customFormat="1" x14ac:dyDescent="0.2"/>
    <row r="68244" customFormat="1" x14ac:dyDescent="0.2"/>
    <row r="68245" customFormat="1" x14ac:dyDescent="0.2"/>
    <row r="68246" customFormat="1" x14ac:dyDescent="0.2"/>
    <row r="68247" customFormat="1" x14ac:dyDescent="0.2"/>
    <row r="68248" customFormat="1" x14ac:dyDescent="0.2"/>
    <row r="68249" customFormat="1" x14ac:dyDescent="0.2"/>
    <row r="68250" customFormat="1" x14ac:dyDescent="0.2"/>
    <row r="68251" customFormat="1" x14ac:dyDescent="0.2"/>
    <row r="68252" customFormat="1" x14ac:dyDescent="0.2"/>
    <row r="68253" customFormat="1" x14ac:dyDescent="0.2"/>
    <row r="68254" customFormat="1" x14ac:dyDescent="0.2"/>
    <row r="68255" customFormat="1" x14ac:dyDescent="0.2"/>
    <row r="68256" customFormat="1" x14ac:dyDescent="0.2"/>
    <row r="68257" customFormat="1" x14ac:dyDescent="0.2"/>
    <row r="68258" customFormat="1" x14ac:dyDescent="0.2"/>
    <row r="68259" customFormat="1" x14ac:dyDescent="0.2"/>
    <row r="68260" customFormat="1" x14ac:dyDescent="0.2"/>
    <row r="68261" customFormat="1" x14ac:dyDescent="0.2"/>
    <row r="68262" customFormat="1" x14ac:dyDescent="0.2"/>
    <row r="68263" customFormat="1" x14ac:dyDescent="0.2"/>
    <row r="68264" customFormat="1" x14ac:dyDescent="0.2"/>
    <row r="68265" customFormat="1" x14ac:dyDescent="0.2"/>
    <row r="68266" customFormat="1" x14ac:dyDescent="0.2"/>
    <row r="68267" customFormat="1" x14ac:dyDescent="0.2"/>
    <row r="68268" customFormat="1" x14ac:dyDescent="0.2"/>
    <row r="68269" customFormat="1" x14ac:dyDescent="0.2"/>
    <row r="68270" customFormat="1" x14ac:dyDescent="0.2"/>
    <row r="68271" customFormat="1" x14ac:dyDescent="0.2"/>
    <row r="68272" customFormat="1" x14ac:dyDescent="0.2"/>
    <row r="68273" customFormat="1" x14ac:dyDescent="0.2"/>
    <row r="68274" customFormat="1" x14ac:dyDescent="0.2"/>
    <row r="68275" customFormat="1" x14ac:dyDescent="0.2"/>
    <row r="68276" customFormat="1" x14ac:dyDescent="0.2"/>
    <row r="68277" customFormat="1" x14ac:dyDescent="0.2"/>
    <row r="68278" customFormat="1" x14ac:dyDescent="0.2"/>
    <row r="68279" customFormat="1" x14ac:dyDescent="0.2"/>
    <row r="68280" customFormat="1" x14ac:dyDescent="0.2"/>
    <row r="68281" customFormat="1" x14ac:dyDescent="0.2"/>
    <row r="68282" customFormat="1" x14ac:dyDescent="0.2"/>
    <row r="68283" customFormat="1" x14ac:dyDescent="0.2"/>
    <row r="68284" customFormat="1" x14ac:dyDescent="0.2"/>
    <row r="68285" customFormat="1" x14ac:dyDescent="0.2"/>
    <row r="68286" customFormat="1" x14ac:dyDescent="0.2"/>
    <row r="68287" customFormat="1" x14ac:dyDescent="0.2"/>
    <row r="68288" customFormat="1" x14ac:dyDescent="0.2"/>
    <row r="68289" customFormat="1" x14ac:dyDescent="0.2"/>
    <row r="68290" customFormat="1" x14ac:dyDescent="0.2"/>
    <row r="68291" customFormat="1" x14ac:dyDescent="0.2"/>
    <row r="68292" customFormat="1" x14ac:dyDescent="0.2"/>
    <row r="68293" customFormat="1" x14ac:dyDescent="0.2"/>
    <row r="68294" customFormat="1" x14ac:dyDescent="0.2"/>
    <row r="68295" customFormat="1" x14ac:dyDescent="0.2"/>
    <row r="68296" customFormat="1" x14ac:dyDescent="0.2"/>
    <row r="68297" customFormat="1" x14ac:dyDescent="0.2"/>
    <row r="68298" customFormat="1" x14ac:dyDescent="0.2"/>
    <row r="68299" customFormat="1" x14ac:dyDescent="0.2"/>
    <row r="68300" customFormat="1" x14ac:dyDescent="0.2"/>
    <row r="68301" customFormat="1" x14ac:dyDescent="0.2"/>
    <row r="68302" customFormat="1" x14ac:dyDescent="0.2"/>
    <row r="68303" customFormat="1" x14ac:dyDescent="0.2"/>
    <row r="68304" customFormat="1" x14ac:dyDescent="0.2"/>
    <row r="68305" customFormat="1" x14ac:dyDescent="0.2"/>
    <row r="68306" customFormat="1" x14ac:dyDescent="0.2"/>
    <row r="68307" customFormat="1" x14ac:dyDescent="0.2"/>
    <row r="68308" customFormat="1" x14ac:dyDescent="0.2"/>
    <row r="68309" customFormat="1" x14ac:dyDescent="0.2"/>
    <row r="68310" customFormat="1" x14ac:dyDescent="0.2"/>
    <row r="68311" customFormat="1" x14ac:dyDescent="0.2"/>
    <row r="68312" customFormat="1" x14ac:dyDescent="0.2"/>
    <row r="68313" customFormat="1" x14ac:dyDescent="0.2"/>
    <row r="68314" customFormat="1" x14ac:dyDescent="0.2"/>
    <row r="68315" customFormat="1" x14ac:dyDescent="0.2"/>
    <row r="68316" customFormat="1" x14ac:dyDescent="0.2"/>
    <row r="68317" customFormat="1" x14ac:dyDescent="0.2"/>
    <row r="68318" customFormat="1" x14ac:dyDescent="0.2"/>
    <row r="68319" customFormat="1" x14ac:dyDescent="0.2"/>
    <row r="68320" customFormat="1" x14ac:dyDescent="0.2"/>
    <row r="68321" customFormat="1" x14ac:dyDescent="0.2"/>
    <row r="68322" customFormat="1" x14ac:dyDescent="0.2"/>
    <row r="68323" customFormat="1" x14ac:dyDescent="0.2"/>
    <row r="68324" customFormat="1" x14ac:dyDescent="0.2"/>
    <row r="68325" customFormat="1" x14ac:dyDescent="0.2"/>
    <row r="68326" customFormat="1" x14ac:dyDescent="0.2"/>
    <row r="68327" customFormat="1" x14ac:dyDescent="0.2"/>
    <row r="68328" customFormat="1" x14ac:dyDescent="0.2"/>
    <row r="68329" customFormat="1" x14ac:dyDescent="0.2"/>
    <row r="68330" customFormat="1" x14ac:dyDescent="0.2"/>
    <row r="68331" customFormat="1" x14ac:dyDescent="0.2"/>
    <row r="68332" customFormat="1" x14ac:dyDescent="0.2"/>
    <row r="68333" customFormat="1" x14ac:dyDescent="0.2"/>
    <row r="68334" customFormat="1" x14ac:dyDescent="0.2"/>
    <row r="68335" customFormat="1" x14ac:dyDescent="0.2"/>
    <row r="68336" customFormat="1" x14ac:dyDescent="0.2"/>
    <row r="68337" customFormat="1" x14ac:dyDescent="0.2"/>
    <row r="68338" customFormat="1" x14ac:dyDescent="0.2"/>
    <row r="68339" customFormat="1" x14ac:dyDescent="0.2"/>
    <row r="68340" customFormat="1" x14ac:dyDescent="0.2"/>
    <row r="68341" customFormat="1" x14ac:dyDescent="0.2"/>
    <row r="68342" customFormat="1" x14ac:dyDescent="0.2"/>
    <row r="68343" customFormat="1" x14ac:dyDescent="0.2"/>
    <row r="68344" customFormat="1" x14ac:dyDescent="0.2"/>
    <row r="68345" customFormat="1" x14ac:dyDescent="0.2"/>
    <row r="68346" customFormat="1" x14ac:dyDescent="0.2"/>
    <row r="68347" customFormat="1" x14ac:dyDescent="0.2"/>
    <row r="68348" customFormat="1" x14ac:dyDescent="0.2"/>
    <row r="68349" customFormat="1" x14ac:dyDescent="0.2"/>
    <row r="68350" customFormat="1" x14ac:dyDescent="0.2"/>
    <row r="68351" customFormat="1" x14ac:dyDescent="0.2"/>
    <row r="68352" customFormat="1" x14ac:dyDescent="0.2"/>
    <row r="68353" customFormat="1" x14ac:dyDescent="0.2"/>
    <row r="68354" customFormat="1" x14ac:dyDescent="0.2"/>
    <row r="68355" customFormat="1" x14ac:dyDescent="0.2"/>
    <row r="68356" customFormat="1" x14ac:dyDescent="0.2"/>
    <row r="68357" customFormat="1" x14ac:dyDescent="0.2"/>
    <row r="68358" customFormat="1" x14ac:dyDescent="0.2"/>
    <row r="68359" customFormat="1" x14ac:dyDescent="0.2"/>
    <row r="68360" customFormat="1" x14ac:dyDescent="0.2"/>
    <row r="68361" customFormat="1" x14ac:dyDescent="0.2"/>
    <row r="68362" customFormat="1" x14ac:dyDescent="0.2"/>
    <row r="68363" customFormat="1" x14ac:dyDescent="0.2"/>
    <row r="68364" customFormat="1" x14ac:dyDescent="0.2"/>
    <row r="68365" customFormat="1" x14ac:dyDescent="0.2"/>
    <row r="68366" customFormat="1" x14ac:dyDescent="0.2"/>
    <row r="68367" customFormat="1" x14ac:dyDescent="0.2"/>
    <row r="68368" customFormat="1" x14ac:dyDescent="0.2"/>
    <row r="68369" customFormat="1" x14ac:dyDescent="0.2"/>
    <row r="68370" customFormat="1" x14ac:dyDescent="0.2"/>
    <row r="68371" customFormat="1" x14ac:dyDescent="0.2"/>
    <row r="68372" customFormat="1" x14ac:dyDescent="0.2"/>
    <row r="68373" customFormat="1" x14ac:dyDescent="0.2"/>
    <row r="68374" customFormat="1" x14ac:dyDescent="0.2"/>
    <row r="68375" customFormat="1" x14ac:dyDescent="0.2"/>
    <row r="68376" customFormat="1" x14ac:dyDescent="0.2"/>
    <row r="68377" customFormat="1" x14ac:dyDescent="0.2"/>
    <row r="68378" customFormat="1" x14ac:dyDescent="0.2"/>
    <row r="68379" customFormat="1" x14ac:dyDescent="0.2"/>
    <row r="68380" customFormat="1" x14ac:dyDescent="0.2"/>
    <row r="68381" customFormat="1" x14ac:dyDescent="0.2"/>
    <row r="68382" customFormat="1" x14ac:dyDescent="0.2"/>
    <row r="68383" customFormat="1" x14ac:dyDescent="0.2"/>
    <row r="68384" customFormat="1" x14ac:dyDescent="0.2"/>
    <row r="68385" customFormat="1" x14ac:dyDescent="0.2"/>
    <row r="68386" customFormat="1" x14ac:dyDescent="0.2"/>
    <row r="68387" customFormat="1" x14ac:dyDescent="0.2"/>
    <row r="68388" customFormat="1" x14ac:dyDescent="0.2"/>
    <row r="68389" customFormat="1" x14ac:dyDescent="0.2"/>
    <row r="68390" customFormat="1" x14ac:dyDescent="0.2"/>
    <row r="68391" customFormat="1" x14ac:dyDescent="0.2"/>
    <row r="68392" customFormat="1" x14ac:dyDescent="0.2"/>
    <row r="68393" customFormat="1" x14ac:dyDescent="0.2"/>
    <row r="68394" customFormat="1" x14ac:dyDescent="0.2"/>
    <row r="68395" customFormat="1" x14ac:dyDescent="0.2"/>
    <row r="68396" customFormat="1" x14ac:dyDescent="0.2"/>
    <row r="68397" customFormat="1" x14ac:dyDescent="0.2"/>
    <row r="68398" customFormat="1" x14ac:dyDescent="0.2"/>
    <row r="68399" customFormat="1" x14ac:dyDescent="0.2"/>
    <row r="68400" customFormat="1" x14ac:dyDescent="0.2"/>
    <row r="68401" customFormat="1" x14ac:dyDescent="0.2"/>
    <row r="68402" customFormat="1" x14ac:dyDescent="0.2"/>
    <row r="68403" customFormat="1" x14ac:dyDescent="0.2"/>
    <row r="68404" customFormat="1" x14ac:dyDescent="0.2"/>
    <row r="68405" customFormat="1" x14ac:dyDescent="0.2"/>
    <row r="68406" customFormat="1" x14ac:dyDescent="0.2"/>
    <row r="68407" customFormat="1" x14ac:dyDescent="0.2"/>
    <row r="68408" customFormat="1" x14ac:dyDescent="0.2"/>
    <row r="68409" customFormat="1" x14ac:dyDescent="0.2"/>
    <row r="68410" customFormat="1" x14ac:dyDescent="0.2"/>
    <row r="68411" customFormat="1" x14ac:dyDescent="0.2"/>
    <row r="68412" customFormat="1" x14ac:dyDescent="0.2"/>
    <row r="68413" customFormat="1" x14ac:dyDescent="0.2"/>
    <row r="68414" customFormat="1" x14ac:dyDescent="0.2"/>
    <row r="68415" customFormat="1" x14ac:dyDescent="0.2"/>
    <row r="68416" customFormat="1" x14ac:dyDescent="0.2"/>
    <row r="68417" customFormat="1" x14ac:dyDescent="0.2"/>
    <row r="68418" customFormat="1" x14ac:dyDescent="0.2"/>
    <row r="68419" customFormat="1" x14ac:dyDescent="0.2"/>
    <row r="68420" customFormat="1" x14ac:dyDescent="0.2"/>
    <row r="68421" customFormat="1" x14ac:dyDescent="0.2"/>
    <row r="68422" customFormat="1" x14ac:dyDescent="0.2"/>
    <row r="68423" customFormat="1" x14ac:dyDescent="0.2"/>
    <row r="68424" customFormat="1" x14ac:dyDescent="0.2"/>
    <row r="68425" customFormat="1" x14ac:dyDescent="0.2"/>
    <row r="68426" customFormat="1" x14ac:dyDescent="0.2"/>
    <row r="68427" customFormat="1" x14ac:dyDescent="0.2"/>
    <row r="68428" customFormat="1" x14ac:dyDescent="0.2"/>
    <row r="68429" customFormat="1" x14ac:dyDescent="0.2"/>
    <row r="68430" customFormat="1" x14ac:dyDescent="0.2"/>
    <row r="68431" customFormat="1" x14ac:dyDescent="0.2"/>
    <row r="68432" customFormat="1" x14ac:dyDescent="0.2"/>
    <row r="68433" customFormat="1" x14ac:dyDescent="0.2"/>
    <row r="68434" customFormat="1" x14ac:dyDescent="0.2"/>
    <row r="68435" customFormat="1" x14ac:dyDescent="0.2"/>
    <row r="68436" customFormat="1" x14ac:dyDescent="0.2"/>
    <row r="68437" customFormat="1" x14ac:dyDescent="0.2"/>
    <row r="68438" customFormat="1" x14ac:dyDescent="0.2"/>
    <row r="68439" customFormat="1" x14ac:dyDescent="0.2"/>
    <row r="68440" customFormat="1" x14ac:dyDescent="0.2"/>
    <row r="68441" customFormat="1" x14ac:dyDescent="0.2"/>
    <row r="68442" customFormat="1" x14ac:dyDescent="0.2"/>
    <row r="68443" customFormat="1" x14ac:dyDescent="0.2"/>
    <row r="68444" customFormat="1" x14ac:dyDescent="0.2"/>
    <row r="68445" customFormat="1" x14ac:dyDescent="0.2"/>
    <row r="68446" customFormat="1" x14ac:dyDescent="0.2"/>
    <row r="68447" customFormat="1" x14ac:dyDescent="0.2"/>
    <row r="68448" customFormat="1" x14ac:dyDescent="0.2"/>
    <row r="68449" customFormat="1" x14ac:dyDescent="0.2"/>
    <row r="68450" customFormat="1" x14ac:dyDescent="0.2"/>
    <row r="68451" customFormat="1" x14ac:dyDescent="0.2"/>
    <row r="68452" customFormat="1" x14ac:dyDescent="0.2"/>
    <row r="68453" customFormat="1" x14ac:dyDescent="0.2"/>
    <row r="68454" customFormat="1" x14ac:dyDescent="0.2"/>
    <row r="68455" customFormat="1" x14ac:dyDescent="0.2"/>
    <row r="68456" customFormat="1" x14ac:dyDescent="0.2"/>
    <row r="68457" customFormat="1" x14ac:dyDescent="0.2"/>
    <row r="68458" customFormat="1" x14ac:dyDescent="0.2"/>
    <row r="68459" customFormat="1" x14ac:dyDescent="0.2"/>
    <row r="68460" customFormat="1" x14ac:dyDescent="0.2"/>
    <row r="68461" customFormat="1" x14ac:dyDescent="0.2"/>
    <row r="68462" customFormat="1" x14ac:dyDescent="0.2"/>
    <row r="68463" customFormat="1" x14ac:dyDescent="0.2"/>
    <row r="68464" customFormat="1" x14ac:dyDescent="0.2"/>
    <row r="68465" customFormat="1" x14ac:dyDescent="0.2"/>
    <row r="68466" customFormat="1" x14ac:dyDescent="0.2"/>
    <row r="68467" customFormat="1" x14ac:dyDescent="0.2"/>
    <row r="68468" customFormat="1" x14ac:dyDescent="0.2"/>
    <row r="68469" customFormat="1" x14ac:dyDescent="0.2"/>
    <row r="68470" customFormat="1" x14ac:dyDescent="0.2"/>
    <row r="68471" customFormat="1" x14ac:dyDescent="0.2"/>
    <row r="68472" customFormat="1" x14ac:dyDescent="0.2"/>
    <row r="68473" customFormat="1" x14ac:dyDescent="0.2"/>
    <row r="68474" customFormat="1" x14ac:dyDescent="0.2"/>
    <row r="68475" customFormat="1" x14ac:dyDescent="0.2"/>
    <row r="68476" customFormat="1" x14ac:dyDescent="0.2"/>
    <row r="68477" customFormat="1" x14ac:dyDescent="0.2"/>
    <row r="68478" customFormat="1" x14ac:dyDescent="0.2"/>
    <row r="68479" customFormat="1" x14ac:dyDescent="0.2"/>
    <row r="68480" customFormat="1" x14ac:dyDescent="0.2"/>
    <row r="68481" customFormat="1" x14ac:dyDescent="0.2"/>
    <row r="68482" customFormat="1" x14ac:dyDescent="0.2"/>
    <row r="68483" customFormat="1" x14ac:dyDescent="0.2"/>
    <row r="68484" customFormat="1" x14ac:dyDescent="0.2"/>
    <row r="68485" customFormat="1" x14ac:dyDescent="0.2"/>
    <row r="68486" customFormat="1" x14ac:dyDescent="0.2"/>
    <row r="68487" customFormat="1" x14ac:dyDescent="0.2"/>
    <row r="68488" customFormat="1" x14ac:dyDescent="0.2"/>
    <row r="68489" customFormat="1" x14ac:dyDescent="0.2"/>
    <row r="68490" customFormat="1" x14ac:dyDescent="0.2"/>
    <row r="68491" customFormat="1" x14ac:dyDescent="0.2"/>
    <row r="68492" customFormat="1" x14ac:dyDescent="0.2"/>
    <row r="68493" customFormat="1" x14ac:dyDescent="0.2"/>
    <row r="68494" customFormat="1" x14ac:dyDescent="0.2"/>
    <row r="68495" customFormat="1" x14ac:dyDescent="0.2"/>
    <row r="68496" customFormat="1" x14ac:dyDescent="0.2"/>
    <row r="68497" customFormat="1" x14ac:dyDescent="0.2"/>
    <row r="68498" customFormat="1" x14ac:dyDescent="0.2"/>
    <row r="68499" customFormat="1" x14ac:dyDescent="0.2"/>
    <row r="68500" customFormat="1" x14ac:dyDescent="0.2"/>
    <row r="68501" customFormat="1" x14ac:dyDescent="0.2"/>
    <row r="68502" customFormat="1" x14ac:dyDescent="0.2"/>
    <row r="68503" customFormat="1" x14ac:dyDescent="0.2"/>
    <row r="68504" customFormat="1" x14ac:dyDescent="0.2"/>
    <row r="68505" customFormat="1" x14ac:dyDescent="0.2"/>
    <row r="68506" customFormat="1" x14ac:dyDescent="0.2"/>
    <row r="68507" customFormat="1" x14ac:dyDescent="0.2"/>
    <row r="68508" customFormat="1" x14ac:dyDescent="0.2"/>
    <row r="68509" customFormat="1" x14ac:dyDescent="0.2"/>
    <row r="68510" customFormat="1" x14ac:dyDescent="0.2"/>
    <row r="68511" customFormat="1" x14ac:dyDescent="0.2"/>
    <row r="68512" customFormat="1" x14ac:dyDescent="0.2"/>
    <row r="68513" customFormat="1" x14ac:dyDescent="0.2"/>
    <row r="68514" customFormat="1" x14ac:dyDescent="0.2"/>
    <row r="68515" customFormat="1" x14ac:dyDescent="0.2"/>
    <row r="68516" customFormat="1" x14ac:dyDescent="0.2"/>
    <row r="68517" customFormat="1" x14ac:dyDescent="0.2"/>
    <row r="68518" customFormat="1" x14ac:dyDescent="0.2"/>
    <row r="68519" customFormat="1" x14ac:dyDescent="0.2"/>
    <row r="68520" customFormat="1" x14ac:dyDescent="0.2"/>
    <row r="68521" customFormat="1" x14ac:dyDescent="0.2"/>
    <row r="68522" customFormat="1" x14ac:dyDescent="0.2"/>
    <row r="68523" customFormat="1" x14ac:dyDescent="0.2"/>
    <row r="68524" customFormat="1" x14ac:dyDescent="0.2"/>
    <row r="68525" customFormat="1" x14ac:dyDescent="0.2"/>
    <row r="68526" customFormat="1" x14ac:dyDescent="0.2"/>
    <row r="68527" customFormat="1" x14ac:dyDescent="0.2"/>
    <row r="68528" customFormat="1" x14ac:dyDescent="0.2"/>
    <row r="68529" customFormat="1" x14ac:dyDescent="0.2"/>
    <row r="68530" customFormat="1" x14ac:dyDescent="0.2"/>
    <row r="68531" customFormat="1" x14ac:dyDescent="0.2"/>
    <row r="68532" customFormat="1" x14ac:dyDescent="0.2"/>
    <row r="68533" customFormat="1" x14ac:dyDescent="0.2"/>
    <row r="68534" customFormat="1" x14ac:dyDescent="0.2"/>
    <row r="68535" customFormat="1" x14ac:dyDescent="0.2"/>
    <row r="68536" customFormat="1" x14ac:dyDescent="0.2"/>
    <row r="68537" customFormat="1" x14ac:dyDescent="0.2"/>
    <row r="68538" customFormat="1" x14ac:dyDescent="0.2"/>
    <row r="68539" customFormat="1" x14ac:dyDescent="0.2"/>
    <row r="68540" customFormat="1" x14ac:dyDescent="0.2"/>
    <row r="68541" customFormat="1" x14ac:dyDescent="0.2"/>
    <row r="68542" customFormat="1" x14ac:dyDescent="0.2"/>
    <row r="68543" customFormat="1" x14ac:dyDescent="0.2"/>
    <row r="68544" customFormat="1" x14ac:dyDescent="0.2"/>
    <row r="68545" customFormat="1" x14ac:dyDescent="0.2"/>
    <row r="68546" customFormat="1" x14ac:dyDescent="0.2"/>
    <row r="68547" customFormat="1" x14ac:dyDescent="0.2"/>
    <row r="68548" customFormat="1" x14ac:dyDescent="0.2"/>
    <row r="68549" customFormat="1" x14ac:dyDescent="0.2"/>
    <row r="68550" customFormat="1" x14ac:dyDescent="0.2"/>
    <row r="68551" customFormat="1" x14ac:dyDescent="0.2"/>
    <row r="68552" customFormat="1" x14ac:dyDescent="0.2"/>
    <row r="68553" customFormat="1" x14ac:dyDescent="0.2"/>
    <row r="68554" customFormat="1" x14ac:dyDescent="0.2"/>
    <row r="68555" customFormat="1" x14ac:dyDescent="0.2"/>
    <row r="68556" customFormat="1" x14ac:dyDescent="0.2"/>
    <row r="68557" customFormat="1" x14ac:dyDescent="0.2"/>
    <row r="68558" customFormat="1" x14ac:dyDescent="0.2"/>
    <row r="68559" customFormat="1" x14ac:dyDescent="0.2"/>
    <row r="68560" customFormat="1" x14ac:dyDescent="0.2"/>
    <row r="68561" customFormat="1" x14ac:dyDescent="0.2"/>
    <row r="68562" customFormat="1" x14ac:dyDescent="0.2"/>
    <row r="68563" customFormat="1" x14ac:dyDescent="0.2"/>
    <row r="68564" customFormat="1" x14ac:dyDescent="0.2"/>
    <row r="68565" customFormat="1" x14ac:dyDescent="0.2"/>
    <row r="68566" customFormat="1" x14ac:dyDescent="0.2"/>
    <row r="68567" customFormat="1" x14ac:dyDescent="0.2"/>
    <row r="68568" customFormat="1" x14ac:dyDescent="0.2"/>
    <row r="68569" customFormat="1" x14ac:dyDescent="0.2"/>
    <row r="68570" customFormat="1" x14ac:dyDescent="0.2"/>
    <row r="68571" customFormat="1" x14ac:dyDescent="0.2"/>
    <row r="68572" customFormat="1" x14ac:dyDescent="0.2"/>
    <row r="68573" customFormat="1" x14ac:dyDescent="0.2"/>
    <row r="68574" customFormat="1" x14ac:dyDescent="0.2"/>
    <row r="68575" customFormat="1" x14ac:dyDescent="0.2"/>
    <row r="68576" customFormat="1" x14ac:dyDescent="0.2"/>
    <row r="68577" customFormat="1" x14ac:dyDescent="0.2"/>
    <row r="68578" customFormat="1" x14ac:dyDescent="0.2"/>
    <row r="68579" customFormat="1" x14ac:dyDescent="0.2"/>
    <row r="68580" customFormat="1" x14ac:dyDescent="0.2"/>
    <row r="68581" customFormat="1" x14ac:dyDescent="0.2"/>
    <row r="68582" customFormat="1" x14ac:dyDescent="0.2"/>
    <row r="68583" customFormat="1" x14ac:dyDescent="0.2"/>
    <row r="68584" customFormat="1" x14ac:dyDescent="0.2"/>
    <row r="68585" customFormat="1" x14ac:dyDescent="0.2"/>
    <row r="68586" customFormat="1" x14ac:dyDescent="0.2"/>
    <row r="68587" customFormat="1" x14ac:dyDescent="0.2"/>
    <row r="68588" customFormat="1" x14ac:dyDescent="0.2"/>
    <row r="68589" customFormat="1" x14ac:dyDescent="0.2"/>
    <row r="68590" customFormat="1" x14ac:dyDescent="0.2"/>
    <row r="68591" customFormat="1" x14ac:dyDescent="0.2"/>
    <row r="68592" customFormat="1" x14ac:dyDescent="0.2"/>
    <row r="68593" customFormat="1" x14ac:dyDescent="0.2"/>
    <row r="68594" customFormat="1" x14ac:dyDescent="0.2"/>
    <row r="68595" customFormat="1" x14ac:dyDescent="0.2"/>
    <row r="68596" customFormat="1" x14ac:dyDescent="0.2"/>
    <row r="68597" customFormat="1" x14ac:dyDescent="0.2"/>
    <row r="68598" customFormat="1" x14ac:dyDescent="0.2"/>
    <row r="68599" customFormat="1" x14ac:dyDescent="0.2"/>
    <row r="68600" customFormat="1" x14ac:dyDescent="0.2"/>
    <row r="68601" customFormat="1" x14ac:dyDescent="0.2"/>
    <row r="68602" customFormat="1" x14ac:dyDescent="0.2"/>
    <row r="68603" customFormat="1" x14ac:dyDescent="0.2"/>
    <row r="68604" customFormat="1" x14ac:dyDescent="0.2"/>
    <row r="68605" customFormat="1" x14ac:dyDescent="0.2"/>
    <row r="68606" customFormat="1" x14ac:dyDescent="0.2"/>
    <row r="68607" customFormat="1" x14ac:dyDescent="0.2"/>
    <row r="68608" customFormat="1" x14ac:dyDescent="0.2"/>
    <row r="68609" customFormat="1" x14ac:dyDescent="0.2"/>
    <row r="68610" customFormat="1" x14ac:dyDescent="0.2"/>
    <row r="68611" customFormat="1" x14ac:dyDescent="0.2"/>
    <row r="68612" customFormat="1" x14ac:dyDescent="0.2"/>
    <row r="68613" customFormat="1" x14ac:dyDescent="0.2"/>
    <row r="68614" customFormat="1" x14ac:dyDescent="0.2"/>
    <row r="68615" customFormat="1" x14ac:dyDescent="0.2"/>
    <row r="68616" customFormat="1" x14ac:dyDescent="0.2"/>
    <row r="68617" customFormat="1" x14ac:dyDescent="0.2"/>
    <row r="68618" customFormat="1" x14ac:dyDescent="0.2"/>
    <row r="68619" customFormat="1" x14ac:dyDescent="0.2"/>
    <row r="68620" customFormat="1" x14ac:dyDescent="0.2"/>
    <row r="68621" customFormat="1" x14ac:dyDescent="0.2"/>
    <row r="68622" customFormat="1" x14ac:dyDescent="0.2"/>
    <row r="68623" customFormat="1" x14ac:dyDescent="0.2"/>
    <row r="68624" customFormat="1" x14ac:dyDescent="0.2"/>
    <row r="68625" customFormat="1" x14ac:dyDescent="0.2"/>
    <row r="68626" customFormat="1" x14ac:dyDescent="0.2"/>
    <row r="68627" customFormat="1" x14ac:dyDescent="0.2"/>
    <row r="68628" customFormat="1" x14ac:dyDescent="0.2"/>
    <row r="68629" customFormat="1" x14ac:dyDescent="0.2"/>
    <row r="68630" customFormat="1" x14ac:dyDescent="0.2"/>
    <row r="68631" customFormat="1" x14ac:dyDescent="0.2"/>
    <row r="68632" customFormat="1" x14ac:dyDescent="0.2"/>
    <row r="68633" customFormat="1" x14ac:dyDescent="0.2"/>
    <row r="68634" customFormat="1" x14ac:dyDescent="0.2"/>
    <row r="68635" customFormat="1" x14ac:dyDescent="0.2"/>
    <row r="68636" customFormat="1" x14ac:dyDescent="0.2"/>
    <row r="68637" customFormat="1" x14ac:dyDescent="0.2"/>
    <row r="68638" customFormat="1" x14ac:dyDescent="0.2"/>
    <row r="68639" customFormat="1" x14ac:dyDescent="0.2"/>
    <row r="68640" customFormat="1" x14ac:dyDescent="0.2"/>
    <row r="68641" customFormat="1" x14ac:dyDescent="0.2"/>
    <row r="68642" customFormat="1" x14ac:dyDescent="0.2"/>
    <row r="68643" customFormat="1" x14ac:dyDescent="0.2"/>
    <row r="68644" customFormat="1" x14ac:dyDescent="0.2"/>
    <row r="68645" customFormat="1" x14ac:dyDescent="0.2"/>
    <row r="68646" customFormat="1" x14ac:dyDescent="0.2"/>
    <row r="68647" customFormat="1" x14ac:dyDescent="0.2"/>
    <row r="68648" customFormat="1" x14ac:dyDescent="0.2"/>
    <row r="68649" customFormat="1" x14ac:dyDescent="0.2"/>
    <row r="68650" customFormat="1" x14ac:dyDescent="0.2"/>
    <row r="68651" customFormat="1" x14ac:dyDescent="0.2"/>
    <row r="68652" customFormat="1" x14ac:dyDescent="0.2"/>
    <row r="68653" customFormat="1" x14ac:dyDescent="0.2"/>
    <row r="68654" customFormat="1" x14ac:dyDescent="0.2"/>
    <row r="68655" customFormat="1" x14ac:dyDescent="0.2"/>
    <row r="68656" customFormat="1" x14ac:dyDescent="0.2"/>
    <row r="68657" customFormat="1" x14ac:dyDescent="0.2"/>
    <row r="68658" customFormat="1" x14ac:dyDescent="0.2"/>
    <row r="68659" customFormat="1" x14ac:dyDescent="0.2"/>
    <row r="68660" customFormat="1" x14ac:dyDescent="0.2"/>
    <row r="68661" customFormat="1" x14ac:dyDescent="0.2"/>
    <row r="68662" customFormat="1" x14ac:dyDescent="0.2"/>
    <row r="68663" customFormat="1" x14ac:dyDescent="0.2"/>
    <row r="68664" customFormat="1" x14ac:dyDescent="0.2"/>
    <row r="68665" customFormat="1" x14ac:dyDescent="0.2"/>
    <row r="68666" customFormat="1" x14ac:dyDescent="0.2"/>
    <row r="68667" customFormat="1" x14ac:dyDescent="0.2"/>
    <row r="68668" customFormat="1" x14ac:dyDescent="0.2"/>
    <row r="68669" customFormat="1" x14ac:dyDescent="0.2"/>
    <row r="68670" customFormat="1" x14ac:dyDescent="0.2"/>
    <row r="68671" customFormat="1" x14ac:dyDescent="0.2"/>
    <row r="68672" customFormat="1" x14ac:dyDescent="0.2"/>
    <row r="68673" customFormat="1" x14ac:dyDescent="0.2"/>
    <row r="68674" customFormat="1" x14ac:dyDescent="0.2"/>
    <row r="68675" customFormat="1" x14ac:dyDescent="0.2"/>
    <row r="68676" customFormat="1" x14ac:dyDescent="0.2"/>
    <row r="68677" customFormat="1" x14ac:dyDescent="0.2"/>
    <row r="68678" customFormat="1" x14ac:dyDescent="0.2"/>
    <row r="68679" customFormat="1" x14ac:dyDescent="0.2"/>
    <row r="68680" customFormat="1" x14ac:dyDescent="0.2"/>
    <row r="68681" customFormat="1" x14ac:dyDescent="0.2"/>
    <row r="68682" customFormat="1" x14ac:dyDescent="0.2"/>
    <row r="68683" customFormat="1" x14ac:dyDescent="0.2"/>
    <row r="68684" customFormat="1" x14ac:dyDescent="0.2"/>
    <row r="68685" customFormat="1" x14ac:dyDescent="0.2"/>
    <row r="68686" customFormat="1" x14ac:dyDescent="0.2"/>
    <row r="68687" customFormat="1" x14ac:dyDescent="0.2"/>
    <row r="68688" customFormat="1" x14ac:dyDescent="0.2"/>
    <row r="68689" customFormat="1" x14ac:dyDescent="0.2"/>
    <row r="68690" customFormat="1" x14ac:dyDescent="0.2"/>
    <row r="68691" customFormat="1" x14ac:dyDescent="0.2"/>
    <row r="68692" customFormat="1" x14ac:dyDescent="0.2"/>
    <row r="68693" customFormat="1" x14ac:dyDescent="0.2"/>
    <row r="68694" customFormat="1" x14ac:dyDescent="0.2"/>
    <row r="68695" customFormat="1" x14ac:dyDescent="0.2"/>
    <row r="68696" customFormat="1" x14ac:dyDescent="0.2"/>
    <row r="68697" customFormat="1" x14ac:dyDescent="0.2"/>
    <row r="68698" customFormat="1" x14ac:dyDescent="0.2"/>
    <row r="68699" customFormat="1" x14ac:dyDescent="0.2"/>
    <row r="68700" customFormat="1" x14ac:dyDescent="0.2"/>
    <row r="68701" customFormat="1" x14ac:dyDescent="0.2"/>
    <row r="68702" customFormat="1" x14ac:dyDescent="0.2"/>
    <row r="68703" customFormat="1" x14ac:dyDescent="0.2"/>
    <row r="68704" customFormat="1" x14ac:dyDescent="0.2"/>
    <row r="68705" customFormat="1" x14ac:dyDescent="0.2"/>
    <row r="68706" customFormat="1" x14ac:dyDescent="0.2"/>
    <row r="68707" customFormat="1" x14ac:dyDescent="0.2"/>
    <row r="68708" customFormat="1" x14ac:dyDescent="0.2"/>
    <row r="68709" customFormat="1" x14ac:dyDescent="0.2"/>
    <row r="68710" customFormat="1" x14ac:dyDescent="0.2"/>
    <row r="68711" customFormat="1" x14ac:dyDescent="0.2"/>
    <row r="68712" customFormat="1" x14ac:dyDescent="0.2"/>
    <row r="68713" customFormat="1" x14ac:dyDescent="0.2"/>
    <row r="68714" customFormat="1" x14ac:dyDescent="0.2"/>
    <row r="68715" customFormat="1" x14ac:dyDescent="0.2"/>
    <row r="68716" customFormat="1" x14ac:dyDescent="0.2"/>
    <row r="68717" customFormat="1" x14ac:dyDescent="0.2"/>
    <row r="68718" customFormat="1" x14ac:dyDescent="0.2"/>
    <row r="68719" customFormat="1" x14ac:dyDescent="0.2"/>
    <row r="68720" customFormat="1" x14ac:dyDescent="0.2"/>
    <row r="68721" customFormat="1" x14ac:dyDescent="0.2"/>
    <row r="68722" customFormat="1" x14ac:dyDescent="0.2"/>
    <row r="68723" customFormat="1" x14ac:dyDescent="0.2"/>
    <row r="68724" customFormat="1" x14ac:dyDescent="0.2"/>
    <row r="68725" customFormat="1" x14ac:dyDescent="0.2"/>
    <row r="68726" customFormat="1" x14ac:dyDescent="0.2"/>
    <row r="68727" customFormat="1" x14ac:dyDescent="0.2"/>
    <row r="68728" customFormat="1" x14ac:dyDescent="0.2"/>
    <row r="68729" customFormat="1" x14ac:dyDescent="0.2"/>
    <row r="68730" customFormat="1" x14ac:dyDescent="0.2"/>
    <row r="68731" customFormat="1" x14ac:dyDescent="0.2"/>
    <row r="68732" customFormat="1" x14ac:dyDescent="0.2"/>
    <row r="68733" customFormat="1" x14ac:dyDescent="0.2"/>
    <row r="68734" customFormat="1" x14ac:dyDescent="0.2"/>
    <row r="68735" customFormat="1" x14ac:dyDescent="0.2"/>
    <row r="68736" customFormat="1" x14ac:dyDescent="0.2"/>
    <row r="68737" customFormat="1" x14ac:dyDescent="0.2"/>
    <row r="68738" customFormat="1" x14ac:dyDescent="0.2"/>
    <row r="68739" customFormat="1" x14ac:dyDescent="0.2"/>
    <row r="68740" customFormat="1" x14ac:dyDescent="0.2"/>
    <row r="68741" customFormat="1" x14ac:dyDescent="0.2"/>
    <row r="68742" customFormat="1" x14ac:dyDescent="0.2"/>
    <row r="68743" customFormat="1" x14ac:dyDescent="0.2"/>
    <row r="68744" customFormat="1" x14ac:dyDescent="0.2"/>
    <row r="68745" customFormat="1" x14ac:dyDescent="0.2"/>
    <row r="68746" customFormat="1" x14ac:dyDescent="0.2"/>
    <row r="68747" customFormat="1" x14ac:dyDescent="0.2"/>
    <row r="68748" customFormat="1" x14ac:dyDescent="0.2"/>
    <row r="68749" customFormat="1" x14ac:dyDescent="0.2"/>
    <row r="68750" customFormat="1" x14ac:dyDescent="0.2"/>
    <row r="68751" customFormat="1" x14ac:dyDescent="0.2"/>
    <row r="68752" customFormat="1" x14ac:dyDescent="0.2"/>
    <row r="68753" customFormat="1" x14ac:dyDescent="0.2"/>
    <row r="68754" customFormat="1" x14ac:dyDescent="0.2"/>
    <row r="68755" customFormat="1" x14ac:dyDescent="0.2"/>
    <row r="68756" customFormat="1" x14ac:dyDescent="0.2"/>
    <row r="68757" customFormat="1" x14ac:dyDescent="0.2"/>
    <row r="68758" customFormat="1" x14ac:dyDescent="0.2"/>
    <row r="68759" customFormat="1" x14ac:dyDescent="0.2"/>
    <row r="68760" customFormat="1" x14ac:dyDescent="0.2"/>
    <row r="68761" customFormat="1" x14ac:dyDescent="0.2"/>
    <row r="68762" customFormat="1" x14ac:dyDescent="0.2"/>
    <row r="68763" customFormat="1" x14ac:dyDescent="0.2"/>
    <row r="68764" customFormat="1" x14ac:dyDescent="0.2"/>
    <row r="68765" customFormat="1" x14ac:dyDescent="0.2"/>
    <row r="68766" customFormat="1" x14ac:dyDescent="0.2"/>
    <row r="68767" customFormat="1" x14ac:dyDescent="0.2"/>
    <row r="68768" customFormat="1" x14ac:dyDescent="0.2"/>
    <row r="68769" customFormat="1" x14ac:dyDescent="0.2"/>
    <row r="68770" customFormat="1" x14ac:dyDescent="0.2"/>
    <row r="68771" customFormat="1" x14ac:dyDescent="0.2"/>
    <row r="68772" customFormat="1" x14ac:dyDescent="0.2"/>
    <row r="68773" customFormat="1" x14ac:dyDescent="0.2"/>
    <row r="68774" customFormat="1" x14ac:dyDescent="0.2"/>
    <row r="68775" customFormat="1" x14ac:dyDescent="0.2"/>
    <row r="68776" customFormat="1" x14ac:dyDescent="0.2"/>
    <row r="68777" customFormat="1" x14ac:dyDescent="0.2"/>
    <row r="68778" customFormat="1" x14ac:dyDescent="0.2"/>
    <row r="68779" customFormat="1" x14ac:dyDescent="0.2"/>
    <row r="68780" customFormat="1" x14ac:dyDescent="0.2"/>
    <row r="68781" customFormat="1" x14ac:dyDescent="0.2"/>
    <row r="68782" customFormat="1" x14ac:dyDescent="0.2"/>
    <row r="68783" customFormat="1" x14ac:dyDescent="0.2"/>
    <row r="68784" customFormat="1" x14ac:dyDescent="0.2"/>
    <row r="68785" customFormat="1" x14ac:dyDescent="0.2"/>
    <row r="68786" customFormat="1" x14ac:dyDescent="0.2"/>
    <row r="68787" customFormat="1" x14ac:dyDescent="0.2"/>
    <row r="68788" customFormat="1" x14ac:dyDescent="0.2"/>
    <row r="68789" customFormat="1" x14ac:dyDescent="0.2"/>
    <row r="68790" customFormat="1" x14ac:dyDescent="0.2"/>
    <row r="68791" customFormat="1" x14ac:dyDescent="0.2"/>
    <row r="68792" customFormat="1" x14ac:dyDescent="0.2"/>
    <row r="68793" customFormat="1" x14ac:dyDescent="0.2"/>
    <row r="68794" customFormat="1" x14ac:dyDescent="0.2"/>
    <row r="68795" customFormat="1" x14ac:dyDescent="0.2"/>
    <row r="68796" customFormat="1" x14ac:dyDescent="0.2"/>
    <row r="68797" customFormat="1" x14ac:dyDescent="0.2"/>
    <row r="68798" customFormat="1" x14ac:dyDescent="0.2"/>
    <row r="68799" customFormat="1" x14ac:dyDescent="0.2"/>
    <row r="68800" customFormat="1" x14ac:dyDescent="0.2"/>
    <row r="68801" customFormat="1" x14ac:dyDescent="0.2"/>
    <row r="68802" customFormat="1" x14ac:dyDescent="0.2"/>
    <row r="68803" customFormat="1" x14ac:dyDescent="0.2"/>
    <row r="68804" customFormat="1" x14ac:dyDescent="0.2"/>
    <row r="68805" customFormat="1" x14ac:dyDescent="0.2"/>
    <row r="68806" customFormat="1" x14ac:dyDescent="0.2"/>
    <row r="68807" customFormat="1" x14ac:dyDescent="0.2"/>
    <row r="68808" customFormat="1" x14ac:dyDescent="0.2"/>
    <row r="68809" customFormat="1" x14ac:dyDescent="0.2"/>
    <row r="68810" customFormat="1" x14ac:dyDescent="0.2"/>
    <row r="68811" customFormat="1" x14ac:dyDescent="0.2"/>
    <row r="68812" customFormat="1" x14ac:dyDescent="0.2"/>
    <row r="68813" customFormat="1" x14ac:dyDescent="0.2"/>
    <row r="68814" customFormat="1" x14ac:dyDescent="0.2"/>
    <row r="68815" customFormat="1" x14ac:dyDescent="0.2"/>
    <row r="68816" customFormat="1" x14ac:dyDescent="0.2"/>
    <row r="68817" customFormat="1" x14ac:dyDescent="0.2"/>
    <row r="68818" customFormat="1" x14ac:dyDescent="0.2"/>
    <row r="68819" customFormat="1" x14ac:dyDescent="0.2"/>
    <row r="68820" customFormat="1" x14ac:dyDescent="0.2"/>
    <row r="68821" customFormat="1" x14ac:dyDescent="0.2"/>
    <row r="68822" customFormat="1" x14ac:dyDescent="0.2"/>
    <row r="68823" customFormat="1" x14ac:dyDescent="0.2"/>
    <row r="68824" customFormat="1" x14ac:dyDescent="0.2"/>
    <row r="68825" customFormat="1" x14ac:dyDescent="0.2"/>
    <row r="68826" customFormat="1" x14ac:dyDescent="0.2"/>
    <row r="68827" customFormat="1" x14ac:dyDescent="0.2"/>
    <row r="68828" customFormat="1" x14ac:dyDescent="0.2"/>
    <row r="68829" customFormat="1" x14ac:dyDescent="0.2"/>
    <row r="68830" customFormat="1" x14ac:dyDescent="0.2"/>
    <row r="68831" customFormat="1" x14ac:dyDescent="0.2"/>
    <row r="68832" customFormat="1" x14ac:dyDescent="0.2"/>
    <row r="68833" customFormat="1" x14ac:dyDescent="0.2"/>
    <row r="68834" customFormat="1" x14ac:dyDescent="0.2"/>
    <row r="68835" customFormat="1" x14ac:dyDescent="0.2"/>
    <row r="68836" customFormat="1" x14ac:dyDescent="0.2"/>
    <row r="68837" customFormat="1" x14ac:dyDescent="0.2"/>
    <row r="68838" customFormat="1" x14ac:dyDescent="0.2"/>
    <row r="68839" customFormat="1" x14ac:dyDescent="0.2"/>
    <row r="68840" customFormat="1" x14ac:dyDescent="0.2"/>
    <row r="68841" customFormat="1" x14ac:dyDescent="0.2"/>
    <row r="68842" customFormat="1" x14ac:dyDescent="0.2"/>
    <row r="68843" customFormat="1" x14ac:dyDescent="0.2"/>
    <row r="68844" customFormat="1" x14ac:dyDescent="0.2"/>
    <row r="68845" customFormat="1" x14ac:dyDescent="0.2"/>
    <row r="68846" customFormat="1" x14ac:dyDescent="0.2"/>
    <row r="68847" customFormat="1" x14ac:dyDescent="0.2"/>
    <row r="68848" customFormat="1" x14ac:dyDescent="0.2"/>
    <row r="68849" customFormat="1" x14ac:dyDescent="0.2"/>
    <row r="68850" customFormat="1" x14ac:dyDescent="0.2"/>
    <row r="68851" customFormat="1" x14ac:dyDescent="0.2"/>
    <row r="68852" customFormat="1" x14ac:dyDescent="0.2"/>
    <row r="68853" customFormat="1" x14ac:dyDescent="0.2"/>
    <row r="68854" customFormat="1" x14ac:dyDescent="0.2"/>
    <row r="68855" customFormat="1" x14ac:dyDescent="0.2"/>
    <row r="68856" customFormat="1" x14ac:dyDescent="0.2"/>
    <row r="68857" customFormat="1" x14ac:dyDescent="0.2"/>
    <row r="68858" customFormat="1" x14ac:dyDescent="0.2"/>
    <row r="68859" customFormat="1" x14ac:dyDescent="0.2"/>
    <row r="68860" customFormat="1" x14ac:dyDescent="0.2"/>
    <row r="68861" customFormat="1" x14ac:dyDescent="0.2"/>
    <row r="68862" customFormat="1" x14ac:dyDescent="0.2"/>
    <row r="68863" customFormat="1" x14ac:dyDescent="0.2"/>
    <row r="68864" customFormat="1" x14ac:dyDescent="0.2"/>
    <row r="68865" customFormat="1" x14ac:dyDescent="0.2"/>
    <row r="68866" customFormat="1" x14ac:dyDescent="0.2"/>
    <row r="68867" customFormat="1" x14ac:dyDescent="0.2"/>
    <row r="68868" customFormat="1" x14ac:dyDescent="0.2"/>
    <row r="68869" customFormat="1" x14ac:dyDescent="0.2"/>
    <row r="68870" customFormat="1" x14ac:dyDescent="0.2"/>
    <row r="68871" customFormat="1" x14ac:dyDescent="0.2"/>
    <row r="68872" customFormat="1" x14ac:dyDescent="0.2"/>
    <row r="68873" customFormat="1" x14ac:dyDescent="0.2"/>
    <row r="68874" customFormat="1" x14ac:dyDescent="0.2"/>
    <row r="68875" customFormat="1" x14ac:dyDescent="0.2"/>
    <row r="68876" customFormat="1" x14ac:dyDescent="0.2"/>
    <row r="68877" customFormat="1" x14ac:dyDescent="0.2"/>
    <row r="68878" customFormat="1" x14ac:dyDescent="0.2"/>
    <row r="68879" customFormat="1" x14ac:dyDescent="0.2"/>
    <row r="68880" customFormat="1" x14ac:dyDescent="0.2"/>
    <row r="68881" customFormat="1" x14ac:dyDescent="0.2"/>
    <row r="68882" customFormat="1" x14ac:dyDescent="0.2"/>
    <row r="68883" customFormat="1" x14ac:dyDescent="0.2"/>
    <row r="68884" customFormat="1" x14ac:dyDescent="0.2"/>
    <row r="68885" customFormat="1" x14ac:dyDescent="0.2"/>
    <row r="68886" customFormat="1" x14ac:dyDescent="0.2"/>
    <row r="68887" customFormat="1" x14ac:dyDescent="0.2"/>
    <row r="68888" customFormat="1" x14ac:dyDescent="0.2"/>
    <row r="68889" customFormat="1" x14ac:dyDescent="0.2"/>
    <row r="68890" customFormat="1" x14ac:dyDescent="0.2"/>
    <row r="68891" customFormat="1" x14ac:dyDescent="0.2"/>
    <row r="68892" customFormat="1" x14ac:dyDescent="0.2"/>
    <row r="68893" customFormat="1" x14ac:dyDescent="0.2"/>
    <row r="68894" customFormat="1" x14ac:dyDescent="0.2"/>
    <row r="68895" customFormat="1" x14ac:dyDescent="0.2"/>
    <row r="68896" customFormat="1" x14ac:dyDescent="0.2"/>
    <row r="68897" customFormat="1" x14ac:dyDescent="0.2"/>
    <row r="68898" customFormat="1" x14ac:dyDescent="0.2"/>
    <row r="68899" customFormat="1" x14ac:dyDescent="0.2"/>
    <row r="68900" customFormat="1" x14ac:dyDescent="0.2"/>
    <row r="68901" customFormat="1" x14ac:dyDescent="0.2"/>
    <row r="68902" customFormat="1" x14ac:dyDescent="0.2"/>
    <row r="68903" customFormat="1" x14ac:dyDescent="0.2"/>
    <row r="68904" customFormat="1" x14ac:dyDescent="0.2"/>
    <row r="68905" customFormat="1" x14ac:dyDescent="0.2"/>
    <row r="68906" customFormat="1" x14ac:dyDescent="0.2"/>
    <row r="68907" customFormat="1" x14ac:dyDescent="0.2"/>
    <row r="68908" customFormat="1" x14ac:dyDescent="0.2"/>
    <row r="68909" customFormat="1" x14ac:dyDescent="0.2"/>
    <row r="68910" customFormat="1" x14ac:dyDescent="0.2"/>
    <row r="68911" customFormat="1" x14ac:dyDescent="0.2"/>
    <row r="68912" customFormat="1" x14ac:dyDescent="0.2"/>
    <row r="68913" customFormat="1" x14ac:dyDescent="0.2"/>
    <row r="68914" customFormat="1" x14ac:dyDescent="0.2"/>
    <row r="68915" customFormat="1" x14ac:dyDescent="0.2"/>
    <row r="68916" customFormat="1" x14ac:dyDescent="0.2"/>
    <row r="68917" customFormat="1" x14ac:dyDescent="0.2"/>
    <row r="68918" customFormat="1" x14ac:dyDescent="0.2"/>
    <row r="68919" customFormat="1" x14ac:dyDescent="0.2"/>
    <row r="68920" customFormat="1" x14ac:dyDescent="0.2"/>
    <row r="68921" customFormat="1" x14ac:dyDescent="0.2"/>
    <row r="68922" customFormat="1" x14ac:dyDescent="0.2"/>
    <row r="68923" customFormat="1" x14ac:dyDescent="0.2"/>
    <row r="68924" customFormat="1" x14ac:dyDescent="0.2"/>
    <row r="68925" customFormat="1" x14ac:dyDescent="0.2"/>
    <row r="68926" customFormat="1" x14ac:dyDescent="0.2"/>
    <row r="68927" customFormat="1" x14ac:dyDescent="0.2"/>
    <row r="68928" customFormat="1" x14ac:dyDescent="0.2"/>
    <row r="68929" customFormat="1" x14ac:dyDescent="0.2"/>
    <row r="68930" customFormat="1" x14ac:dyDescent="0.2"/>
    <row r="68931" customFormat="1" x14ac:dyDescent="0.2"/>
    <row r="68932" customFormat="1" x14ac:dyDescent="0.2"/>
    <row r="68933" customFormat="1" x14ac:dyDescent="0.2"/>
    <row r="68934" customFormat="1" x14ac:dyDescent="0.2"/>
    <row r="68935" customFormat="1" x14ac:dyDescent="0.2"/>
    <row r="68936" customFormat="1" x14ac:dyDescent="0.2"/>
    <row r="68937" customFormat="1" x14ac:dyDescent="0.2"/>
    <row r="68938" customFormat="1" x14ac:dyDescent="0.2"/>
    <row r="68939" customFormat="1" x14ac:dyDescent="0.2"/>
    <row r="68940" customFormat="1" x14ac:dyDescent="0.2"/>
    <row r="68941" customFormat="1" x14ac:dyDescent="0.2"/>
    <row r="68942" customFormat="1" x14ac:dyDescent="0.2"/>
    <row r="68943" customFormat="1" x14ac:dyDescent="0.2"/>
    <row r="68944" customFormat="1" x14ac:dyDescent="0.2"/>
    <row r="68945" customFormat="1" x14ac:dyDescent="0.2"/>
    <row r="68946" customFormat="1" x14ac:dyDescent="0.2"/>
    <row r="68947" customFormat="1" x14ac:dyDescent="0.2"/>
    <row r="68948" customFormat="1" x14ac:dyDescent="0.2"/>
    <row r="68949" customFormat="1" x14ac:dyDescent="0.2"/>
    <row r="68950" customFormat="1" x14ac:dyDescent="0.2"/>
    <row r="68951" customFormat="1" x14ac:dyDescent="0.2"/>
    <row r="68952" customFormat="1" x14ac:dyDescent="0.2"/>
    <row r="68953" customFormat="1" x14ac:dyDescent="0.2"/>
    <row r="68954" customFormat="1" x14ac:dyDescent="0.2"/>
    <row r="68955" customFormat="1" x14ac:dyDescent="0.2"/>
    <row r="68956" customFormat="1" x14ac:dyDescent="0.2"/>
    <row r="68957" customFormat="1" x14ac:dyDescent="0.2"/>
    <row r="68958" customFormat="1" x14ac:dyDescent="0.2"/>
    <row r="68959" customFormat="1" x14ac:dyDescent="0.2"/>
    <row r="68960" customFormat="1" x14ac:dyDescent="0.2"/>
    <row r="68961" customFormat="1" x14ac:dyDescent="0.2"/>
    <row r="68962" customFormat="1" x14ac:dyDescent="0.2"/>
    <row r="68963" customFormat="1" x14ac:dyDescent="0.2"/>
    <row r="68964" customFormat="1" x14ac:dyDescent="0.2"/>
    <row r="68965" customFormat="1" x14ac:dyDescent="0.2"/>
    <row r="68966" customFormat="1" x14ac:dyDescent="0.2"/>
    <row r="68967" customFormat="1" x14ac:dyDescent="0.2"/>
    <row r="68968" customFormat="1" x14ac:dyDescent="0.2"/>
    <row r="68969" customFormat="1" x14ac:dyDescent="0.2"/>
    <row r="68970" customFormat="1" x14ac:dyDescent="0.2"/>
    <row r="68971" customFormat="1" x14ac:dyDescent="0.2"/>
    <row r="68972" customFormat="1" x14ac:dyDescent="0.2"/>
    <row r="68973" customFormat="1" x14ac:dyDescent="0.2"/>
    <row r="68974" customFormat="1" x14ac:dyDescent="0.2"/>
    <row r="68975" customFormat="1" x14ac:dyDescent="0.2"/>
    <row r="68976" customFormat="1" x14ac:dyDescent="0.2"/>
    <row r="68977" customFormat="1" x14ac:dyDescent="0.2"/>
    <row r="68978" customFormat="1" x14ac:dyDescent="0.2"/>
    <row r="68979" customFormat="1" x14ac:dyDescent="0.2"/>
    <row r="68980" customFormat="1" x14ac:dyDescent="0.2"/>
    <row r="68981" customFormat="1" x14ac:dyDescent="0.2"/>
    <row r="68982" customFormat="1" x14ac:dyDescent="0.2"/>
    <row r="68983" customFormat="1" x14ac:dyDescent="0.2"/>
    <row r="68984" customFormat="1" x14ac:dyDescent="0.2"/>
    <row r="68985" customFormat="1" x14ac:dyDescent="0.2"/>
    <row r="68986" customFormat="1" x14ac:dyDescent="0.2"/>
    <row r="68987" customFormat="1" x14ac:dyDescent="0.2"/>
    <row r="68988" customFormat="1" x14ac:dyDescent="0.2"/>
    <row r="68989" customFormat="1" x14ac:dyDescent="0.2"/>
    <row r="68990" customFormat="1" x14ac:dyDescent="0.2"/>
    <row r="68991" customFormat="1" x14ac:dyDescent="0.2"/>
    <row r="68992" customFormat="1" x14ac:dyDescent="0.2"/>
    <row r="68993" customFormat="1" x14ac:dyDescent="0.2"/>
    <row r="68994" customFormat="1" x14ac:dyDescent="0.2"/>
    <row r="68995" customFormat="1" x14ac:dyDescent="0.2"/>
    <row r="68996" customFormat="1" x14ac:dyDescent="0.2"/>
    <row r="68997" customFormat="1" x14ac:dyDescent="0.2"/>
    <row r="68998" customFormat="1" x14ac:dyDescent="0.2"/>
    <row r="68999" customFormat="1" x14ac:dyDescent="0.2"/>
    <row r="69000" customFormat="1" x14ac:dyDescent="0.2"/>
    <row r="69001" customFormat="1" x14ac:dyDescent="0.2"/>
    <row r="69002" customFormat="1" x14ac:dyDescent="0.2"/>
    <row r="69003" customFormat="1" x14ac:dyDescent="0.2"/>
    <row r="69004" customFormat="1" x14ac:dyDescent="0.2"/>
    <row r="69005" customFormat="1" x14ac:dyDescent="0.2"/>
    <row r="69006" customFormat="1" x14ac:dyDescent="0.2"/>
    <row r="69007" customFormat="1" x14ac:dyDescent="0.2"/>
    <row r="69008" customFormat="1" x14ac:dyDescent="0.2"/>
    <row r="69009" customFormat="1" x14ac:dyDescent="0.2"/>
    <row r="69010" customFormat="1" x14ac:dyDescent="0.2"/>
    <row r="69011" customFormat="1" x14ac:dyDescent="0.2"/>
    <row r="69012" customFormat="1" x14ac:dyDescent="0.2"/>
    <row r="69013" customFormat="1" x14ac:dyDescent="0.2"/>
    <row r="69014" customFormat="1" x14ac:dyDescent="0.2"/>
    <row r="69015" customFormat="1" x14ac:dyDescent="0.2"/>
    <row r="69016" customFormat="1" x14ac:dyDescent="0.2"/>
    <row r="69017" customFormat="1" x14ac:dyDescent="0.2"/>
    <row r="69018" customFormat="1" x14ac:dyDescent="0.2"/>
    <row r="69019" customFormat="1" x14ac:dyDescent="0.2"/>
    <row r="69020" customFormat="1" x14ac:dyDescent="0.2"/>
    <row r="69021" customFormat="1" x14ac:dyDescent="0.2"/>
    <row r="69022" customFormat="1" x14ac:dyDescent="0.2"/>
    <row r="69023" customFormat="1" x14ac:dyDescent="0.2"/>
    <row r="69024" customFormat="1" x14ac:dyDescent="0.2"/>
    <row r="69025" customFormat="1" x14ac:dyDescent="0.2"/>
    <row r="69026" customFormat="1" x14ac:dyDescent="0.2"/>
    <row r="69027" customFormat="1" x14ac:dyDescent="0.2"/>
    <row r="69028" customFormat="1" x14ac:dyDescent="0.2"/>
    <row r="69029" customFormat="1" x14ac:dyDescent="0.2"/>
    <row r="69030" customFormat="1" x14ac:dyDescent="0.2"/>
    <row r="69031" customFormat="1" x14ac:dyDescent="0.2"/>
    <row r="69032" customFormat="1" x14ac:dyDescent="0.2"/>
    <row r="69033" customFormat="1" x14ac:dyDescent="0.2"/>
    <row r="69034" customFormat="1" x14ac:dyDescent="0.2"/>
    <row r="69035" customFormat="1" x14ac:dyDescent="0.2"/>
    <row r="69036" customFormat="1" x14ac:dyDescent="0.2"/>
    <row r="69037" customFormat="1" x14ac:dyDescent="0.2"/>
    <row r="69038" customFormat="1" x14ac:dyDescent="0.2"/>
    <row r="69039" customFormat="1" x14ac:dyDescent="0.2"/>
    <row r="69040" customFormat="1" x14ac:dyDescent="0.2"/>
    <row r="69041" customFormat="1" x14ac:dyDescent="0.2"/>
    <row r="69042" customFormat="1" x14ac:dyDescent="0.2"/>
    <row r="69043" customFormat="1" x14ac:dyDescent="0.2"/>
    <row r="69044" customFormat="1" x14ac:dyDescent="0.2"/>
    <row r="69045" customFormat="1" x14ac:dyDescent="0.2"/>
    <row r="69046" customFormat="1" x14ac:dyDescent="0.2"/>
    <row r="69047" customFormat="1" x14ac:dyDescent="0.2"/>
    <row r="69048" customFormat="1" x14ac:dyDescent="0.2"/>
    <row r="69049" customFormat="1" x14ac:dyDescent="0.2"/>
    <row r="69050" customFormat="1" x14ac:dyDescent="0.2"/>
    <row r="69051" customFormat="1" x14ac:dyDescent="0.2"/>
    <row r="69052" customFormat="1" x14ac:dyDescent="0.2"/>
    <row r="69053" customFormat="1" x14ac:dyDescent="0.2"/>
    <row r="69054" customFormat="1" x14ac:dyDescent="0.2"/>
    <row r="69055" customFormat="1" x14ac:dyDescent="0.2"/>
    <row r="69056" customFormat="1" x14ac:dyDescent="0.2"/>
    <row r="69057" customFormat="1" x14ac:dyDescent="0.2"/>
    <row r="69058" customFormat="1" x14ac:dyDescent="0.2"/>
    <row r="69059" customFormat="1" x14ac:dyDescent="0.2"/>
    <row r="69060" customFormat="1" x14ac:dyDescent="0.2"/>
    <row r="69061" customFormat="1" x14ac:dyDescent="0.2"/>
    <row r="69062" customFormat="1" x14ac:dyDescent="0.2"/>
    <row r="69063" customFormat="1" x14ac:dyDescent="0.2"/>
    <row r="69064" customFormat="1" x14ac:dyDescent="0.2"/>
    <row r="69065" customFormat="1" x14ac:dyDescent="0.2"/>
    <row r="69066" customFormat="1" x14ac:dyDescent="0.2"/>
    <row r="69067" customFormat="1" x14ac:dyDescent="0.2"/>
    <row r="69068" customFormat="1" x14ac:dyDescent="0.2"/>
    <row r="69069" customFormat="1" x14ac:dyDescent="0.2"/>
    <row r="69070" customFormat="1" x14ac:dyDescent="0.2"/>
    <row r="69071" customFormat="1" x14ac:dyDescent="0.2"/>
    <row r="69072" customFormat="1" x14ac:dyDescent="0.2"/>
    <row r="69073" customFormat="1" x14ac:dyDescent="0.2"/>
    <row r="69074" customFormat="1" x14ac:dyDescent="0.2"/>
    <row r="69075" customFormat="1" x14ac:dyDescent="0.2"/>
    <row r="69076" customFormat="1" x14ac:dyDescent="0.2"/>
    <row r="69077" customFormat="1" x14ac:dyDescent="0.2"/>
    <row r="69078" customFormat="1" x14ac:dyDescent="0.2"/>
    <row r="69079" customFormat="1" x14ac:dyDescent="0.2"/>
    <row r="69080" customFormat="1" x14ac:dyDescent="0.2"/>
    <row r="69081" customFormat="1" x14ac:dyDescent="0.2"/>
    <row r="69082" customFormat="1" x14ac:dyDescent="0.2"/>
    <row r="69083" customFormat="1" x14ac:dyDescent="0.2"/>
    <row r="69084" customFormat="1" x14ac:dyDescent="0.2"/>
    <row r="69085" customFormat="1" x14ac:dyDescent="0.2"/>
    <row r="69086" customFormat="1" x14ac:dyDescent="0.2"/>
    <row r="69087" customFormat="1" x14ac:dyDescent="0.2"/>
    <row r="69088" customFormat="1" x14ac:dyDescent="0.2"/>
    <row r="69089" customFormat="1" x14ac:dyDescent="0.2"/>
    <row r="69090" customFormat="1" x14ac:dyDescent="0.2"/>
    <row r="69091" customFormat="1" x14ac:dyDescent="0.2"/>
    <row r="69092" customFormat="1" x14ac:dyDescent="0.2"/>
    <row r="69093" customFormat="1" x14ac:dyDescent="0.2"/>
    <row r="69094" customFormat="1" x14ac:dyDescent="0.2"/>
    <row r="69095" customFormat="1" x14ac:dyDescent="0.2"/>
    <row r="69096" customFormat="1" x14ac:dyDescent="0.2"/>
    <row r="69097" customFormat="1" x14ac:dyDescent="0.2"/>
    <row r="69098" customFormat="1" x14ac:dyDescent="0.2"/>
    <row r="69099" customFormat="1" x14ac:dyDescent="0.2"/>
    <row r="69100" customFormat="1" x14ac:dyDescent="0.2"/>
    <row r="69101" customFormat="1" x14ac:dyDescent="0.2"/>
    <row r="69102" customFormat="1" x14ac:dyDescent="0.2"/>
    <row r="69103" customFormat="1" x14ac:dyDescent="0.2"/>
    <row r="69104" customFormat="1" x14ac:dyDescent="0.2"/>
    <row r="69105" customFormat="1" x14ac:dyDescent="0.2"/>
    <row r="69106" customFormat="1" x14ac:dyDescent="0.2"/>
    <row r="69107" customFormat="1" x14ac:dyDescent="0.2"/>
    <row r="69108" customFormat="1" x14ac:dyDescent="0.2"/>
    <row r="69109" customFormat="1" x14ac:dyDescent="0.2"/>
    <row r="69110" customFormat="1" x14ac:dyDescent="0.2"/>
    <row r="69111" customFormat="1" x14ac:dyDescent="0.2"/>
    <row r="69112" customFormat="1" x14ac:dyDescent="0.2"/>
    <row r="69113" customFormat="1" x14ac:dyDescent="0.2"/>
    <row r="69114" customFormat="1" x14ac:dyDescent="0.2"/>
    <row r="69115" customFormat="1" x14ac:dyDescent="0.2"/>
    <row r="69116" customFormat="1" x14ac:dyDescent="0.2"/>
    <row r="69117" customFormat="1" x14ac:dyDescent="0.2"/>
    <row r="69118" customFormat="1" x14ac:dyDescent="0.2"/>
    <row r="69119" customFormat="1" x14ac:dyDescent="0.2"/>
    <row r="69120" customFormat="1" x14ac:dyDescent="0.2"/>
    <row r="69121" customFormat="1" x14ac:dyDescent="0.2"/>
    <row r="69122" customFormat="1" x14ac:dyDescent="0.2"/>
    <row r="69123" customFormat="1" x14ac:dyDescent="0.2"/>
    <row r="69124" customFormat="1" x14ac:dyDescent="0.2"/>
    <row r="69125" customFormat="1" x14ac:dyDescent="0.2"/>
    <row r="69126" customFormat="1" x14ac:dyDescent="0.2"/>
    <row r="69127" customFormat="1" x14ac:dyDescent="0.2"/>
    <row r="69128" customFormat="1" x14ac:dyDescent="0.2"/>
    <row r="69129" customFormat="1" x14ac:dyDescent="0.2"/>
    <row r="69130" customFormat="1" x14ac:dyDescent="0.2"/>
    <row r="69131" customFormat="1" x14ac:dyDescent="0.2"/>
    <row r="69132" customFormat="1" x14ac:dyDescent="0.2"/>
    <row r="69133" customFormat="1" x14ac:dyDescent="0.2"/>
    <row r="69134" customFormat="1" x14ac:dyDescent="0.2"/>
    <row r="69135" customFormat="1" x14ac:dyDescent="0.2"/>
    <row r="69136" customFormat="1" x14ac:dyDescent="0.2"/>
    <row r="69137" customFormat="1" x14ac:dyDescent="0.2"/>
    <row r="69138" customFormat="1" x14ac:dyDescent="0.2"/>
    <row r="69139" customFormat="1" x14ac:dyDescent="0.2"/>
    <row r="69140" customFormat="1" x14ac:dyDescent="0.2"/>
    <row r="69141" customFormat="1" x14ac:dyDescent="0.2"/>
    <row r="69142" customFormat="1" x14ac:dyDescent="0.2"/>
    <row r="69143" customFormat="1" x14ac:dyDescent="0.2"/>
    <row r="69144" customFormat="1" x14ac:dyDescent="0.2"/>
    <row r="69145" customFormat="1" x14ac:dyDescent="0.2"/>
    <row r="69146" customFormat="1" x14ac:dyDescent="0.2"/>
    <row r="69147" customFormat="1" x14ac:dyDescent="0.2"/>
    <row r="69148" customFormat="1" x14ac:dyDescent="0.2"/>
    <row r="69149" customFormat="1" x14ac:dyDescent="0.2"/>
    <row r="69150" customFormat="1" x14ac:dyDescent="0.2"/>
    <row r="69151" customFormat="1" x14ac:dyDescent="0.2"/>
    <row r="69152" customFormat="1" x14ac:dyDescent="0.2"/>
    <row r="69153" customFormat="1" x14ac:dyDescent="0.2"/>
    <row r="69154" customFormat="1" x14ac:dyDescent="0.2"/>
    <row r="69155" customFormat="1" x14ac:dyDescent="0.2"/>
    <row r="69156" customFormat="1" x14ac:dyDescent="0.2"/>
    <row r="69157" customFormat="1" x14ac:dyDescent="0.2"/>
    <row r="69158" customFormat="1" x14ac:dyDescent="0.2"/>
    <row r="69159" customFormat="1" x14ac:dyDescent="0.2"/>
    <row r="69160" customFormat="1" x14ac:dyDescent="0.2"/>
    <row r="69161" customFormat="1" x14ac:dyDescent="0.2"/>
    <row r="69162" customFormat="1" x14ac:dyDescent="0.2"/>
    <row r="69163" customFormat="1" x14ac:dyDescent="0.2"/>
    <row r="69164" customFormat="1" x14ac:dyDescent="0.2"/>
    <row r="69165" customFormat="1" x14ac:dyDescent="0.2"/>
    <row r="69166" customFormat="1" x14ac:dyDescent="0.2"/>
    <row r="69167" customFormat="1" x14ac:dyDescent="0.2"/>
    <row r="69168" customFormat="1" x14ac:dyDescent="0.2"/>
    <row r="69169" customFormat="1" x14ac:dyDescent="0.2"/>
    <row r="69170" customFormat="1" x14ac:dyDescent="0.2"/>
    <row r="69171" customFormat="1" x14ac:dyDescent="0.2"/>
    <row r="69172" customFormat="1" x14ac:dyDescent="0.2"/>
    <row r="69173" customFormat="1" x14ac:dyDescent="0.2"/>
    <row r="69174" customFormat="1" x14ac:dyDescent="0.2"/>
    <row r="69175" customFormat="1" x14ac:dyDescent="0.2"/>
    <row r="69176" customFormat="1" x14ac:dyDescent="0.2"/>
    <row r="69177" customFormat="1" x14ac:dyDescent="0.2"/>
    <row r="69178" customFormat="1" x14ac:dyDescent="0.2"/>
    <row r="69179" customFormat="1" x14ac:dyDescent="0.2"/>
    <row r="69180" customFormat="1" x14ac:dyDescent="0.2"/>
    <row r="69181" customFormat="1" x14ac:dyDescent="0.2"/>
    <row r="69182" customFormat="1" x14ac:dyDescent="0.2"/>
    <row r="69183" customFormat="1" x14ac:dyDescent="0.2"/>
    <row r="69184" customFormat="1" x14ac:dyDescent="0.2"/>
    <row r="69185" customFormat="1" x14ac:dyDescent="0.2"/>
    <row r="69186" customFormat="1" x14ac:dyDescent="0.2"/>
    <row r="69187" customFormat="1" x14ac:dyDescent="0.2"/>
    <row r="69188" customFormat="1" x14ac:dyDescent="0.2"/>
    <row r="69189" customFormat="1" x14ac:dyDescent="0.2"/>
    <row r="69190" customFormat="1" x14ac:dyDescent="0.2"/>
    <row r="69191" customFormat="1" x14ac:dyDescent="0.2"/>
    <row r="69192" customFormat="1" x14ac:dyDescent="0.2"/>
    <row r="69193" customFormat="1" x14ac:dyDescent="0.2"/>
    <row r="69194" customFormat="1" x14ac:dyDescent="0.2"/>
    <row r="69195" customFormat="1" x14ac:dyDescent="0.2"/>
    <row r="69196" customFormat="1" x14ac:dyDescent="0.2"/>
    <row r="69197" customFormat="1" x14ac:dyDescent="0.2"/>
    <row r="69198" customFormat="1" x14ac:dyDescent="0.2"/>
    <row r="69199" customFormat="1" x14ac:dyDescent="0.2"/>
    <row r="69200" customFormat="1" x14ac:dyDescent="0.2"/>
    <row r="69201" customFormat="1" x14ac:dyDescent="0.2"/>
    <row r="69202" customFormat="1" x14ac:dyDescent="0.2"/>
    <row r="69203" customFormat="1" x14ac:dyDescent="0.2"/>
    <row r="69204" customFormat="1" x14ac:dyDescent="0.2"/>
    <row r="69205" customFormat="1" x14ac:dyDescent="0.2"/>
    <row r="69206" customFormat="1" x14ac:dyDescent="0.2"/>
    <row r="69207" customFormat="1" x14ac:dyDescent="0.2"/>
    <row r="69208" customFormat="1" x14ac:dyDescent="0.2"/>
    <row r="69209" customFormat="1" x14ac:dyDescent="0.2"/>
    <row r="69210" customFormat="1" x14ac:dyDescent="0.2"/>
    <row r="69211" customFormat="1" x14ac:dyDescent="0.2"/>
    <row r="69212" customFormat="1" x14ac:dyDescent="0.2"/>
    <row r="69213" customFormat="1" x14ac:dyDescent="0.2"/>
    <row r="69214" customFormat="1" x14ac:dyDescent="0.2"/>
    <row r="69215" customFormat="1" x14ac:dyDescent="0.2"/>
    <row r="69216" customFormat="1" x14ac:dyDescent="0.2"/>
    <row r="69217" customFormat="1" x14ac:dyDescent="0.2"/>
    <row r="69218" customFormat="1" x14ac:dyDescent="0.2"/>
    <row r="69219" customFormat="1" x14ac:dyDescent="0.2"/>
    <row r="69220" customFormat="1" x14ac:dyDescent="0.2"/>
    <row r="69221" customFormat="1" x14ac:dyDescent="0.2"/>
    <row r="69222" customFormat="1" x14ac:dyDescent="0.2"/>
    <row r="69223" customFormat="1" x14ac:dyDescent="0.2"/>
    <row r="69224" customFormat="1" x14ac:dyDescent="0.2"/>
    <row r="69225" customFormat="1" x14ac:dyDescent="0.2"/>
    <row r="69226" customFormat="1" x14ac:dyDescent="0.2"/>
    <row r="69227" customFormat="1" x14ac:dyDescent="0.2"/>
    <row r="69228" customFormat="1" x14ac:dyDescent="0.2"/>
    <row r="69229" customFormat="1" x14ac:dyDescent="0.2"/>
    <row r="69230" customFormat="1" x14ac:dyDescent="0.2"/>
    <row r="69231" customFormat="1" x14ac:dyDescent="0.2"/>
    <row r="69232" customFormat="1" x14ac:dyDescent="0.2"/>
    <row r="69233" customFormat="1" x14ac:dyDescent="0.2"/>
    <row r="69234" customFormat="1" x14ac:dyDescent="0.2"/>
    <row r="69235" customFormat="1" x14ac:dyDescent="0.2"/>
    <row r="69236" customFormat="1" x14ac:dyDescent="0.2"/>
    <row r="69237" customFormat="1" x14ac:dyDescent="0.2"/>
    <row r="69238" customFormat="1" x14ac:dyDescent="0.2"/>
    <row r="69239" customFormat="1" x14ac:dyDescent="0.2"/>
    <row r="69240" customFormat="1" x14ac:dyDescent="0.2"/>
    <row r="69241" customFormat="1" x14ac:dyDescent="0.2"/>
    <row r="69242" customFormat="1" x14ac:dyDescent="0.2"/>
    <row r="69243" customFormat="1" x14ac:dyDescent="0.2"/>
    <row r="69244" customFormat="1" x14ac:dyDescent="0.2"/>
    <row r="69245" customFormat="1" x14ac:dyDescent="0.2"/>
    <row r="69246" customFormat="1" x14ac:dyDescent="0.2"/>
    <row r="69247" customFormat="1" x14ac:dyDescent="0.2"/>
    <row r="69248" customFormat="1" x14ac:dyDescent="0.2"/>
    <row r="69249" customFormat="1" x14ac:dyDescent="0.2"/>
    <row r="69250" customFormat="1" x14ac:dyDescent="0.2"/>
    <row r="69251" customFormat="1" x14ac:dyDescent="0.2"/>
    <row r="69252" customFormat="1" x14ac:dyDescent="0.2"/>
    <row r="69253" customFormat="1" x14ac:dyDescent="0.2"/>
    <row r="69254" customFormat="1" x14ac:dyDescent="0.2"/>
    <row r="69255" customFormat="1" x14ac:dyDescent="0.2"/>
    <row r="69256" customFormat="1" x14ac:dyDescent="0.2"/>
    <row r="69257" customFormat="1" x14ac:dyDescent="0.2"/>
    <row r="69258" customFormat="1" x14ac:dyDescent="0.2"/>
    <row r="69259" customFormat="1" x14ac:dyDescent="0.2"/>
    <row r="69260" customFormat="1" x14ac:dyDescent="0.2"/>
    <row r="69261" customFormat="1" x14ac:dyDescent="0.2"/>
    <row r="69262" customFormat="1" x14ac:dyDescent="0.2"/>
    <row r="69263" customFormat="1" x14ac:dyDescent="0.2"/>
    <row r="69264" customFormat="1" x14ac:dyDescent="0.2"/>
    <row r="69265" customFormat="1" x14ac:dyDescent="0.2"/>
    <row r="69266" customFormat="1" x14ac:dyDescent="0.2"/>
    <row r="69267" customFormat="1" x14ac:dyDescent="0.2"/>
    <row r="69268" customFormat="1" x14ac:dyDescent="0.2"/>
    <row r="69269" customFormat="1" x14ac:dyDescent="0.2"/>
    <row r="69270" customFormat="1" x14ac:dyDescent="0.2"/>
    <row r="69271" customFormat="1" x14ac:dyDescent="0.2"/>
    <row r="69272" customFormat="1" x14ac:dyDescent="0.2"/>
    <row r="69273" customFormat="1" x14ac:dyDescent="0.2"/>
    <row r="69274" customFormat="1" x14ac:dyDescent="0.2"/>
    <row r="69275" customFormat="1" x14ac:dyDescent="0.2"/>
    <row r="69276" customFormat="1" x14ac:dyDescent="0.2"/>
    <row r="69277" customFormat="1" x14ac:dyDescent="0.2"/>
    <row r="69278" customFormat="1" x14ac:dyDescent="0.2"/>
    <row r="69279" customFormat="1" x14ac:dyDescent="0.2"/>
    <row r="69280" customFormat="1" x14ac:dyDescent="0.2"/>
    <row r="69281" customFormat="1" x14ac:dyDescent="0.2"/>
    <row r="69282" customFormat="1" x14ac:dyDescent="0.2"/>
    <row r="69283" customFormat="1" x14ac:dyDescent="0.2"/>
    <row r="69284" customFormat="1" x14ac:dyDescent="0.2"/>
    <row r="69285" customFormat="1" x14ac:dyDescent="0.2"/>
    <row r="69286" customFormat="1" x14ac:dyDescent="0.2"/>
    <row r="69287" customFormat="1" x14ac:dyDescent="0.2"/>
    <row r="69288" customFormat="1" x14ac:dyDescent="0.2"/>
    <row r="69289" customFormat="1" x14ac:dyDescent="0.2"/>
    <row r="69290" customFormat="1" x14ac:dyDescent="0.2"/>
    <row r="69291" customFormat="1" x14ac:dyDescent="0.2"/>
    <row r="69292" customFormat="1" x14ac:dyDescent="0.2"/>
    <row r="69293" customFormat="1" x14ac:dyDescent="0.2"/>
    <row r="69294" customFormat="1" x14ac:dyDescent="0.2"/>
    <row r="69295" customFormat="1" x14ac:dyDescent="0.2"/>
    <row r="69296" customFormat="1" x14ac:dyDescent="0.2"/>
    <row r="69297" customFormat="1" x14ac:dyDescent="0.2"/>
    <row r="69298" customFormat="1" x14ac:dyDescent="0.2"/>
    <row r="69299" customFormat="1" x14ac:dyDescent="0.2"/>
    <row r="69300" customFormat="1" x14ac:dyDescent="0.2"/>
    <row r="69301" customFormat="1" x14ac:dyDescent="0.2"/>
    <row r="69302" customFormat="1" x14ac:dyDescent="0.2"/>
    <row r="69303" customFormat="1" x14ac:dyDescent="0.2"/>
    <row r="69304" customFormat="1" x14ac:dyDescent="0.2"/>
    <row r="69305" customFormat="1" x14ac:dyDescent="0.2"/>
    <row r="69306" customFormat="1" x14ac:dyDescent="0.2"/>
    <row r="69307" customFormat="1" x14ac:dyDescent="0.2"/>
    <row r="69308" customFormat="1" x14ac:dyDescent="0.2"/>
    <row r="69309" customFormat="1" x14ac:dyDescent="0.2"/>
    <row r="69310" customFormat="1" x14ac:dyDescent="0.2"/>
    <row r="69311" customFormat="1" x14ac:dyDescent="0.2"/>
    <row r="69312" customFormat="1" x14ac:dyDescent="0.2"/>
    <row r="69313" customFormat="1" x14ac:dyDescent="0.2"/>
    <row r="69314" customFormat="1" x14ac:dyDescent="0.2"/>
    <row r="69315" customFormat="1" x14ac:dyDescent="0.2"/>
    <row r="69316" customFormat="1" x14ac:dyDescent="0.2"/>
    <row r="69317" customFormat="1" x14ac:dyDescent="0.2"/>
    <row r="69318" customFormat="1" x14ac:dyDescent="0.2"/>
    <row r="69319" customFormat="1" x14ac:dyDescent="0.2"/>
    <row r="69320" customFormat="1" x14ac:dyDescent="0.2"/>
    <row r="69321" customFormat="1" x14ac:dyDescent="0.2"/>
    <row r="69322" customFormat="1" x14ac:dyDescent="0.2"/>
    <row r="69323" customFormat="1" x14ac:dyDescent="0.2"/>
    <row r="69324" customFormat="1" x14ac:dyDescent="0.2"/>
    <row r="69325" customFormat="1" x14ac:dyDescent="0.2"/>
    <row r="69326" customFormat="1" x14ac:dyDescent="0.2"/>
    <row r="69327" customFormat="1" x14ac:dyDescent="0.2"/>
    <row r="69328" customFormat="1" x14ac:dyDescent="0.2"/>
    <row r="69329" customFormat="1" x14ac:dyDescent="0.2"/>
    <row r="69330" customFormat="1" x14ac:dyDescent="0.2"/>
    <row r="69331" customFormat="1" x14ac:dyDescent="0.2"/>
    <row r="69332" customFormat="1" x14ac:dyDescent="0.2"/>
    <row r="69333" customFormat="1" x14ac:dyDescent="0.2"/>
    <row r="69334" customFormat="1" x14ac:dyDescent="0.2"/>
    <row r="69335" customFormat="1" x14ac:dyDescent="0.2"/>
    <row r="69336" customFormat="1" x14ac:dyDescent="0.2"/>
    <row r="69337" customFormat="1" x14ac:dyDescent="0.2"/>
    <row r="69338" customFormat="1" x14ac:dyDescent="0.2"/>
    <row r="69339" customFormat="1" x14ac:dyDescent="0.2"/>
    <row r="69340" customFormat="1" x14ac:dyDescent="0.2"/>
    <row r="69341" customFormat="1" x14ac:dyDescent="0.2"/>
    <row r="69342" customFormat="1" x14ac:dyDescent="0.2"/>
    <row r="69343" customFormat="1" x14ac:dyDescent="0.2"/>
    <row r="69344" customFormat="1" x14ac:dyDescent="0.2"/>
    <row r="69345" customFormat="1" x14ac:dyDescent="0.2"/>
    <row r="69346" customFormat="1" x14ac:dyDescent="0.2"/>
    <row r="69347" customFormat="1" x14ac:dyDescent="0.2"/>
    <row r="69348" customFormat="1" x14ac:dyDescent="0.2"/>
    <row r="69349" customFormat="1" x14ac:dyDescent="0.2"/>
    <row r="69350" customFormat="1" x14ac:dyDescent="0.2"/>
    <row r="69351" customFormat="1" x14ac:dyDescent="0.2"/>
    <row r="69352" customFormat="1" x14ac:dyDescent="0.2"/>
    <row r="69353" customFormat="1" x14ac:dyDescent="0.2"/>
    <row r="69354" customFormat="1" x14ac:dyDescent="0.2"/>
    <row r="69355" customFormat="1" x14ac:dyDescent="0.2"/>
    <row r="69356" customFormat="1" x14ac:dyDescent="0.2"/>
    <row r="69357" customFormat="1" x14ac:dyDescent="0.2"/>
    <row r="69358" customFormat="1" x14ac:dyDescent="0.2"/>
    <row r="69359" customFormat="1" x14ac:dyDescent="0.2"/>
    <row r="69360" customFormat="1" x14ac:dyDescent="0.2"/>
    <row r="69361" customFormat="1" x14ac:dyDescent="0.2"/>
    <row r="69362" customFormat="1" x14ac:dyDescent="0.2"/>
    <row r="69363" customFormat="1" x14ac:dyDescent="0.2"/>
    <row r="69364" customFormat="1" x14ac:dyDescent="0.2"/>
    <row r="69365" customFormat="1" x14ac:dyDescent="0.2"/>
    <row r="69366" customFormat="1" x14ac:dyDescent="0.2"/>
    <row r="69367" customFormat="1" x14ac:dyDescent="0.2"/>
    <row r="69368" customFormat="1" x14ac:dyDescent="0.2"/>
    <row r="69369" customFormat="1" x14ac:dyDescent="0.2"/>
    <row r="69370" customFormat="1" x14ac:dyDescent="0.2"/>
    <row r="69371" customFormat="1" x14ac:dyDescent="0.2"/>
    <row r="69372" customFormat="1" x14ac:dyDescent="0.2"/>
    <row r="69373" customFormat="1" x14ac:dyDescent="0.2"/>
    <row r="69374" customFormat="1" x14ac:dyDescent="0.2"/>
    <row r="69375" customFormat="1" x14ac:dyDescent="0.2"/>
    <row r="69376" customFormat="1" x14ac:dyDescent="0.2"/>
    <row r="69377" customFormat="1" x14ac:dyDescent="0.2"/>
    <row r="69378" customFormat="1" x14ac:dyDescent="0.2"/>
    <row r="69379" customFormat="1" x14ac:dyDescent="0.2"/>
    <row r="69380" customFormat="1" x14ac:dyDescent="0.2"/>
    <row r="69381" customFormat="1" x14ac:dyDescent="0.2"/>
    <row r="69382" customFormat="1" x14ac:dyDescent="0.2"/>
    <row r="69383" customFormat="1" x14ac:dyDescent="0.2"/>
    <row r="69384" customFormat="1" x14ac:dyDescent="0.2"/>
    <row r="69385" customFormat="1" x14ac:dyDescent="0.2"/>
    <row r="69386" customFormat="1" x14ac:dyDescent="0.2"/>
    <row r="69387" customFormat="1" x14ac:dyDescent="0.2"/>
    <row r="69388" customFormat="1" x14ac:dyDescent="0.2"/>
    <row r="69389" customFormat="1" x14ac:dyDescent="0.2"/>
    <row r="69390" customFormat="1" x14ac:dyDescent="0.2"/>
    <row r="69391" customFormat="1" x14ac:dyDescent="0.2"/>
    <row r="69392" customFormat="1" x14ac:dyDescent="0.2"/>
    <row r="69393" customFormat="1" x14ac:dyDescent="0.2"/>
    <row r="69394" customFormat="1" x14ac:dyDescent="0.2"/>
    <row r="69395" customFormat="1" x14ac:dyDescent="0.2"/>
    <row r="69396" customFormat="1" x14ac:dyDescent="0.2"/>
    <row r="69397" customFormat="1" x14ac:dyDescent="0.2"/>
    <row r="69398" customFormat="1" x14ac:dyDescent="0.2"/>
    <row r="69399" customFormat="1" x14ac:dyDescent="0.2"/>
    <row r="69400" customFormat="1" x14ac:dyDescent="0.2"/>
    <row r="69401" customFormat="1" x14ac:dyDescent="0.2"/>
    <row r="69402" customFormat="1" x14ac:dyDescent="0.2"/>
    <row r="69403" customFormat="1" x14ac:dyDescent="0.2"/>
    <row r="69404" customFormat="1" x14ac:dyDescent="0.2"/>
    <row r="69405" customFormat="1" x14ac:dyDescent="0.2"/>
    <row r="69406" customFormat="1" x14ac:dyDescent="0.2"/>
    <row r="69407" customFormat="1" x14ac:dyDescent="0.2"/>
    <row r="69408" customFormat="1" x14ac:dyDescent="0.2"/>
    <row r="69409" customFormat="1" x14ac:dyDescent="0.2"/>
    <row r="69410" customFormat="1" x14ac:dyDescent="0.2"/>
    <row r="69411" customFormat="1" x14ac:dyDescent="0.2"/>
    <row r="69412" customFormat="1" x14ac:dyDescent="0.2"/>
    <row r="69413" customFormat="1" x14ac:dyDescent="0.2"/>
    <row r="69414" customFormat="1" x14ac:dyDescent="0.2"/>
    <row r="69415" customFormat="1" x14ac:dyDescent="0.2"/>
    <row r="69416" customFormat="1" x14ac:dyDescent="0.2"/>
    <row r="69417" customFormat="1" x14ac:dyDescent="0.2"/>
    <row r="69418" customFormat="1" x14ac:dyDescent="0.2"/>
    <row r="69419" customFormat="1" x14ac:dyDescent="0.2"/>
    <row r="69420" customFormat="1" x14ac:dyDescent="0.2"/>
    <row r="69421" customFormat="1" x14ac:dyDescent="0.2"/>
    <row r="69422" customFormat="1" x14ac:dyDescent="0.2"/>
    <row r="69423" customFormat="1" x14ac:dyDescent="0.2"/>
    <row r="69424" customFormat="1" x14ac:dyDescent="0.2"/>
    <row r="69425" customFormat="1" x14ac:dyDescent="0.2"/>
    <row r="69426" customFormat="1" x14ac:dyDescent="0.2"/>
    <row r="69427" customFormat="1" x14ac:dyDescent="0.2"/>
    <row r="69428" customFormat="1" x14ac:dyDescent="0.2"/>
    <row r="69429" customFormat="1" x14ac:dyDescent="0.2"/>
    <row r="69430" customFormat="1" x14ac:dyDescent="0.2"/>
    <row r="69431" customFormat="1" x14ac:dyDescent="0.2"/>
    <row r="69432" customFormat="1" x14ac:dyDescent="0.2"/>
    <row r="69433" customFormat="1" x14ac:dyDescent="0.2"/>
    <row r="69434" customFormat="1" x14ac:dyDescent="0.2"/>
    <row r="69435" customFormat="1" x14ac:dyDescent="0.2"/>
    <row r="69436" customFormat="1" x14ac:dyDescent="0.2"/>
    <row r="69437" customFormat="1" x14ac:dyDescent="0.2"/>
    <row r="69438" customFormat="1" x14ac:dyDescent="0.2"/>
    <row r="69439" customFormat="1" x14ac:dyDescent="0.2"/>
    <row r="69440" customFormat="1" x14ac:dyDescent="0.2"/>
    <row r="69441" customFormat="1" x14ac:dyDescent="0.2"/>
    <row r="69442" customFormat="1" x14ac:dyDescent="0.2"/>
    <row r="69443" customFormat="1" x14ac:dyDescent="0.2"/>
    <row r="69444" customFormat="1" x14ac:dyDescent="0.2"/>
    <row r="69445" customFormat="1" x14ac:dyDescent="0.2"/>
    <row r="69446" customFormat="1" x14ac:dyDescent="0.2"/>
    <row r="69447" customFormat="1" x14ac:dyDescent="0.2"/>
    <row r="69448" customFormat="1" x14ac:dyDescent="0.2"/>
    <row r="69449" customFormat="1" x14ac:dyDescent="0.2"/>
    <row r="69450" customFormat="1" x14ac:dyDescent="0.2"/>
    <row r="69451" customFormat="1" x14ac:dyDescent="0.2"/>
    <row r="69452" customFormat="1" x14ac:dyDescent="0.2"/>
    <row r="69453" customFormat="1" x14ac:dyDescent="0.2"/>
    <row r="69454" customFormat="1" x14ac:dyDescent="0.2"/>
    <row r="69455" customFormat="1" x14ac:dyDescent="0.2"/>
    <row r="69456" customFormat="1" x14ac:dyDescent="0.2"/>
    <row r="69457" customFormat="1" x14ac:dyDescent="0.2"/>
    <row r="69458" customFormat="1" x14ac:dyDescent="0.2"/>
    <row r="69459" customFormat="1" x14ac:dyDescent="0.2"/>
    <row r="69460" customFormat="1" x14ac:dyDescent="0.2"/>
    <row r="69461" customFormat="1" x14ac:dyDescent="0.2"/>
    <row r="69462" customFormat="1" x14ac:dyDescent="0.2"/>
    <row r="69463" customFormat="1" x14ac:dyDescent="0.2"/>
    <row r="69464" customFormat="1" x14ac:dyDescent="0.2"/>
    <row r="69465" customFormat="1" x14ac:dyDescent="0.2"/>
    <row r="69466" customFormat="1" x14ac:dyDescent="0.2"/>
    <row r="69467" customFormat="1" x14ac:dyDescent="0.2"/>
    <row r="69468" customFormat="1" x14ac:dyDescent="0.2"/>
    <row r="69469" customFormat="1" x14ac:dyDescent="0.2"/>
    <row r="69470" customFormat="1" x14ac:dyDescent="0.2"/>
    <row r="69471" customFormat="1" x14ac:dyDescent="0.2"/>
    <row r="69472" customFormat="1" x14ac:dyDescent="0.2"/>
    <row r="69473" customFormat="1" x14ac:dyDescent="0.2"/>
    <row r="69474" customFormat="1" x14ac:dyDescent="0.2"/>
    <row r="69475" customFormat="1" x14ac:dyDescent="0.2"/>
    <row r="69476" customFormat="1" x14ac:dyDescent="0.2"/>
    <row r="69477" customFormat="1" x14ac:dyDescent="0.2"/>
    <row r="69478" customFormat="1" x14ac:dyDescent="0.2"/>
    <row r="69479" customFormat="1" x14ac:dyDescent="0.2"/>
    <row r="69480" customFormat="1" x14ac:dyDescent="0.2"/>
    <row r="69481" customFormat="1" x14ac:dyDescent="0.2"/>
    <row r="69482" customFormat="1" x14ac:dyDescent="0.2"/>
    <row r="69483" customFormat="1" x14ac:dyDescent="0.2"/>
    <row r="69484" customFormat="1" x14ac:dyDescent="0.2"/>
    <row r="69485" customFormat="1" x14ac:dyDescent="0.2"/>
    <row r="69486" customFormat="1" x14ac:dyDescent="0.2"/>
    <row r="69487" customFormat="1" x14ac:dyDescent="0.2"/>
    <row r="69488" customFormat="1" x14ac:dyDescent="0.2"/>
    <row r="69489" customFormat="1" x14ac:dyDescent="0.2"/>
    <row r="69490" customFormat="1" x14ac:dyDescent="0.2"/>
    <row r="69491" customFormat="1" x14ac:dyDescent="0.2"/>
    <row r="69492" customFormat="1" x14ac:dyDescent="0.2"/>
    <row r="69493" customFormat="1" x14ac:dyDescent="0.2"/>
    <row r="69494" customFormat="1" x14ac:dyDescent="0.2"/>
    <row r="69495" customFormat="1" x14ac:dyDescent="0.2"/>
    <row r="69496" customFormat="1" x14ac:dyDescent="0.2"/>
    <row r="69497" customFormat="1" x14ac:dyDescent="0.2"/>
    <row r="69498" customFormat="1" x14ac:dyDescent="0.2"/>
    <row r="69499" customFormat="1" x14ac:dyDescent="0.2"/>
    <row r="69500" customFormat="1" x14ac:dyDescent="0.2"/>
    <row r="69501" customFormat="1" x14ac:dyDescent="0.2"/>
    <row r="69502" customFormat="1" x14ac:dyDescent="0.2"/>
    <row r="69503" customFormat="1" x14ac:dyDescent="0.2"/>
    <row r="69504" customFormat="1" x14ac:dyDescent="0.2"/>
    <row r="69505" customFormat="1" x14ac:dyDescent="0.2"/>
    <row r="69506" customFormat="1" x14ac:dyDescent="0.2"/>
    <row r="69507" customFormat="1" x14ac:dyDescent="0.2"/>
    <row r="69508" customFormat="1" x14ac:dyDescent="0.2"/>
    <row r="69509" customFormat="1" x14ac:dyDescent="0.2"/>
    <row r="69510" customFormat="1" x14ac:dyDescent="0.2"/>
    <row r="69511" customFormat="1" x14ac:dyDescent="0.2"/>
    <row r="69512" customFormat="1" x14ac:dyDescent="0.2"/>
    <row r="69513" customFormat="1" x14ac:dyDescent="0.2"/>
    <row r="69514" customFormat="1" x14ac:dyDescent="0.2"/>
    <row r="69515" customFormat="1" x14ac:dyDescent="0.2"/>
    <row r="69516" customFormat="1" x14ac:dyDescent="0.2"/>
    <row r="69517" customFormat="1" x14ac:dyDescent="0.2"/>
    <row r="69518" customFormat="1" x14ac:dyDescent="0.2"/>
    <row r="69519" customFormat="1" x14ac:dyDescent="0.2"/>
    <row r="69520" customFormat="1" x14ac:dyDescent="0.2"/>
    <row r="69521" customFormat="1" x14ac:dyDescent="0.2"/>
    <row r="69522" customFormat="1" x14ac:dyDescent="0.2"/>
    <row r="69523" customFormat="1" x14ac:dyDescent="0.2"/>
    <row r="69524" customFormat="1" x14ac:dyDescent="0.2"/>
    <row r="69525" customFormat="1" x14ac:dyDescent="0.2"/>
    <row r="69526" customFormat="1" x14ac:dyDescent="0.2"/>
    <row r="69527" customFormat="1" x14ac:dyDescent="0.2"/>
    <row r="69528" customFormat="1" x14ac:dyDescent="0.2"/>
    <row r="69529" customFormat="1" x14ac:dyDescent="0.2"/>
    <row r="69530" customFormat="1" x14ac:dyDescent="0.2"/>
    <row r="69531" customFormat="1" x14ac:dyDescent="0.2"/>
    <row r="69532" customFormat="1" x14ac:dyDescent="0.2"/>
    <row r="69533" customFormat="1" x14ac:dyDescent="0.2"/>
    <row r="69534" customFormat="1" x14ac:dyDescent="0.2"/>
    <row r="69535" customFormat="1" x14ac:dyDescent="0.2"/>
    <row r="69536" customFormat="1" x14ac:dyDescent="0.2"/>
    <row r="69537" customFormat="1" x14ac:dyDescent="0.2"/>
    <row r="69538" customFormat="1" x14ac:dyDescent="0.2"/>
    <row r="69539" customFormat="1" x14ac:dyDescent="0.2"/>
    <row r="69540" customFormat="1" x14ac:dyDescent="0.2"/>
    <row r="69541" customFormat="1" x14ac:dyDescent="0.2"/>
    <row r="69542" customFormat="1" x14ac:dyDescent="0.2"/>
    <row r="69543" customFormat="1" x14ac:dyDescent="0.2"/>
    <row r="69544" customFormat="1" x14ac:dyDescent="0.2"/>
    <row r="69545" customFormat="1" x14ac:dyDescent="0.2"/>
    <row r="69546" customFormat="1" x14ac:dyDescent="0.2"/>
    <row r="69547" customFormat="1" x14ac:dyDescent="0.2"/>
    <row r="69548" customFormat="1" x14ac:dyDescent="0.2"/>
    <row r="69549" customFormat="1" x14ac:dyDescent="0.2"/>
    <row r="69550" customFormat="1" x14ac:dyDescent="0.2"/>
    <row r="69551" customFormat="1" x14ac:dyDescent="0.2"/>
    <row r="69552" customFormat="1" x14ac:dyDescent="0.2"/>
    <row r="69553" customFormat="1" x14ac:dyDescent="0.2"/>
    <row r="69554" customFormat="1" x14ac:dyDescent="0.2"/>
    <row r="69555" customFormat="1" x14ac:dyDescent="0.2"/>
    <row r="69556" customFormat="1" x14ac:dyDescent="0.2"/>
    <row r="69557" customFormat="1" x14ac:dyDescent="0.2"/>
    <row r="69558" customFormat="1" x14ac:dyDescent="0.2"/>
    <row r="69559" customFormat="1" x14ac:dyDescent="0.2"/>
    <row r="69560" customFormat="1" x14ac:dyDescent="0.2"/>
    <row r="69561" customFormat="1" x14ac:dyDescent="0.2"/>
    <row r="69562" customFormat="1" x14ac:dyDescent="0.2"/>
    <row r="69563" customFormat="1" x14ac:dyDescent="0.2"/>
    <row r="69564" customFormat="1" x14ac:dyDescent="0.2"/>
    <row r="69565" customFormat="1" x14ac:dyDescent="0.2"/>
    <row r="69566" customFormat="1" x14ac:dyDescent="0.2"/>
    <row r="69567" customFormat="1" x14ac:dyDescent="0.2"/>
    <row r="69568" customFormat="1" x14ac:dyDescent="0.2"/>
    <row r="69569" customFormat="1" x14ac:dyDescent="0.2"/>
    <row r="69570" customFormat="1" x14ac:dyDescent="0.2"/>
    <row r="69571" customFormat="1" x14ac:dyDescent="0.2"/>
    <row r="69572" customFormat="1" x14ac:dyDescent="0.2"/>
    <row r="69573" customFormat="1" x14ac:dyDescent="0.2"/>
    <row r="69574" customFormat="1" x14ac:dyDescent="0.2"/>
    <row r="69575" customFormat="1" x14ac:dyDescent="0.2"/>
    <row r="69576" customFormat="1" x14ac:dyDescent="0.2"/>
    <row r="69577" customFormat="1" x14ac:dyDescent="0.2"/>
    <row r="69578" customFormat="1" x14ac:dyDescent="0.2"/>
    <row r="69579" customFormat="1" x14ac:dyDescent="0.2"/>
    <row r="69580" customFormat="1" x14ac:dyDescent="0.2"/>
    <row r="69581" customFormat="1" x14ac:dyDescent="0.2"/>
    <row r="69582" customFormat="1" x14ac:dyDescent="0.2"/>
    <row r="69583" customFormat="1" x14ac:dyDescent="0.2"/>
    <row r="69584" customFormat="1" x14ac:dyDescent="0.2"/>
    <row r="69585" customFormat="1" x14ac:dyDescent="0.2"/>
    <row r="69586" customFormat="1" x14ac:dyDescent="0.2"/>
    <row r="69587" customFormat="1" x14ac:dyDescent="0.2"/>
    <row r="69588" customFormat="1" x14ac:dyDescent="0.2"/>
    <row r="69589" customFormat="1" x14ac:dyDescent="0.2"/>
    <row r="69590" customFormat="1" x14ac:dyDescent="0.2"/>
    <row r="69591" customFormat="1" x14ac:dyDescent="0.2"/>
    <row r="69592" customFormat="1" x14ac:dyDescent="0.2"/>
    <row r="69593" customFormat="1" x14ac:dyDescent="0.2"/>
    <row r="69594" customFormat="1" x14ac:dyDescent="0.2"/>
    <row r="69595" customFormat="1" x14ac:dyDescent="0.2"/>
    <row r="69596" customFormat="1" x14ac:dyDescent="0.2"/>
    <row r="69597" customFormat="1" x14ac:dyDescent="0.2"/>
    <row r="69598" customFormat="1" x14ac:dyDescent="0.2"/>
    <row r="69599" customFormat="1" x14ac:dyDescent="0.2"/>
    <row r="69600" customFormat="1" x14ac:dyDescent="0.2"/>
    <row r="69601" customFormat="1" x14ac:dyDescent="0.2"/>
    <row r="69602" customFormat="1" x14ac:dyDescent="0.2"/>
    <row r="69603" customFormat="1" x14ac:dyDescent="0.2"/>
    <row r="69604" customFormat="1" x14ac:dyDescent="0.2"/>
    <row r="69605" customFormat="1" x14ac:dyDescent="0.2"/>
    <row r="69606" customFormat="1" x14ac:dyDescent="0.2"/>
    <row r="69607" customFormat="1" x14ac:dyDescent="0.2"/>
    <row r="69608" customFormat="1" x14ac:dyDescent="0.2"/>
    <row r="69609" customFormat="1" x14ac:dyDescent="0.2"/>
    <row r="69610" customFormat="1" x14ac:dyDescent="0.2"/>
    <row r="69611" customFormat="1" x14ac:dyDescent="0.2"/>
    <row r="69612" customFormat="1" x14ac:dyDescent="0.2"/>
    <row r="69613" customFormat="1" x14ac:dyDescent="0.2"/>
    <row r="69614" customFormat="1" x14ac:dyDescent="0.2"/>
    <row r="69615" customFormat="1" x14ac:dyDescent="0.2"/>
    <row r="69616" customFormat="1" x14ac:dyDescent="0.2"/>
    <row r="69617" customFormat="1" x14ac:dyDescent="0.2"/>
    <row r="69618" customFormat="1" x14ac:dyDescent="0.2"/>
    <row r="69619" customFormat="1" x14ac:dyDescent="0.2"/>
    <row r="69620" customFormat="1" x14ac:dyDescent="0.2"/>
    <row r="69621" customFormat="1" x14ac:dyDescent="0.2"/>
    <row r="69622" customFormat="1" x14ac:dyDescent="0.2"/>
    <row r="69623" customFormat="1" x14ac:dyDescent="0.2"/>
    <row r="69624" customFormat="1" x14ac:dyDescent="0.2"/>
    <row r="69625" customFormat="1" x14ac:dyDescent="0.2"/>
    <row r="69626" customFormat="1" x14ac:dyDescent="0.2"/>
    <row r="69627" customFormat="1" x14ac:dyDescent="0.2"/>
    <row r="69628" customFormat="1" x14ac:dyDescent="0.2"/>
    <row r="69629" customFormat="1" x14ac:dyDescent="0.2"/>
    <row r="69630" customFormat="1" x14ac:dyDescent="0.2"/>
    <row r="69631" customFormat="1" x14ac:dyDescent="0.2"/>
    <row r="69632" customFormat="1" x14ac:dyDescent="0.2"/>
    <row r="69633" customFormat="1" x14ac:dyDescent="0.2"/>
    <row r="69634" customFormat="1" x14ac:dyDescent="0.2"/>
    <row r="69635" customFormat="1" x14ac:dyDescent="0.2"/>
    <row r="69636" customFormat="1" x14ac:dyDescent="0.2"/>
    <row r="69637" customFormat="1" x14ac:dyDescent="0.2"/>
    <row r="69638" customFormat="1" x14ac:dyDescent="0.2"/>
    <row r="69639" customFormat="1" x14ac:dyDescent="0.2"/>
    <row r="69640" customFormat="1" x14ac:dyDescent="0.2"/>
    <row r="69641" customFormat="1" x14ac:dyDescent="0.2"/>
    <row r="69642" customFormat="1" x14ac:dyDescent="0.2"/>
    <row r="69643" customFormat="1" x14ac:dyDescent="0.2"/>
    <row r="69644" customFormat="1" x14ac:dyDescent="0.2"/>
    <row r="69645" customFormat="1" x14ac:dyDescent="0.2"/>
    <row r="69646" customFormat="1" x14ac:dyDescent="0.2"/>
    <row r="69647" customFormat="1" x14ac:dyDescent="0.2"/>
    <row r="69648" customFormat="1" x14ac:dyDescent="0.2"/>
    <row r="69649" customFormat="1" x14ac:dyDescent="0.2"/>
    <row r="69650" customFormat="1" x14ac:dyDescent="0.2"/>
    <row r="69651" customFormat="1" x14ac:dyDescent="0.2"/>
    <row r="69652" customFormat="1" x14ac:dyDescent="0.2"/>
    <row r="69653" customFormat="1" x14ac:dyDescent="0.2"/>
    <row r="69654" customFormat="1" x14ac:dyDescent="0.2"/>
    <row r="69655" customFormat="1" x14ac:dyDescent="0.2"/>
    <row r="69656" customFormat="1" x14ac:dyDescent="0.2"/>
    <row r="69657" customFormat="1" x14ac:dyDescent="0.2"/>
    <row r="69658" customFormat="1" x14ac:dyDescent="0.2"/>
    <row r="69659" customFormat="1" x14ac:dyDescent="0.2"/>
    <row r="69660" customFormat="1" x14ac:dyDescent="0.2"/>
    <row r="69661" customFormat="1" x14ac:dyDescent="0.2"/>
    <row r="69662" customFormat="1" x14ac:dyDescent="0.2"/>
    <row r="69663" customFormat="1" x14ac:dyDescent="0.2"/>
    <row r="69664" customFormat="1" x14ac:dyDescent="0.2"/>
    <row r="69665" customFormat="1" x14ac:dyDescent="0.2"/>
    <row r="69666" customFormat="1" x14ac:dyDescent="0.2"/>
    <row r="69667" customFormat="1" x14ac:dyDescent="0.2"/>
    <row r="69668" customFormat="1" x14ac:dyDescent="0.2"/>
    <row r="69669" customFormat="1" x14ac:dyDescent="0.2"/>
    <row r="69670" customFormat="1" x14ac:dyDescent="0.2"/>
    <row r="69671" customFormat="1" x14ac:dyDescent="0.2"/>
    <row r="69672" customFormat="1" x14ac:dyDescent="0.2"/>
    <row r="69673" customFormat="1" x14ac:dyDescent="0.2"/>
    <row r="69674" customFormat="1" x14ac:dyDescent="0.2"/>
    <row r="69675" customFormat="1" x14ac:dyDescent="0.2"/>
    <row r="69676" customFormat="1" x14ac:dyDescent="0.2"/>
    <row r="69677" customFormat="1" x14ac:dyDescent="0.2"/>
    <row r="69678" customFormat="1" x14ac:dyDescent="0.2"/>
    <row r="69679" customFormat="1" x14ac:dyDescent="0.2"/>
    <row r="69680" customFormat="1" x14ac:dyDescent="0.2"/>
    <row r="69681" customFormat="1" x14ac:dyDescent="0.2"/>
    <row r="69682" customFormat="1" x14ac:dyDescent="0.2"/>
    <row r="69683" customFormat="1" x14ac:dyDescent="0.2"/>
    <row r="69684" customFormat="1" x14ac:dyDescent="0.2"/>
    <row r="69685" customFormat="1" x14ac:dyDescent="0.2"/>
    <row r="69686" customFormat="1" x14ac:dyDescent="0.2"/>
    <row r="69687" customFormat="1" x14ac:dyDescent="0.2"/>
    <row r="69688" customFormat="1" x14ac:dyDescent="0.2"/>
    <row r="69689" customFormat="1" x14ac:dyDescent="0.2"/>
    <row r="69690" customFormat="1" x14ac:dyDescent="0.2"/>
    <row r="69691" customFormat="1" x14ac:dyDescent="0.2"/>
    <row r="69692" customFormat="1" x14ac:dyDescent="0.2"/>
    <row r="69693" customFormat="1" x14ac:dyDescent="0.2"/>
    <row r="69694" customFormat="1" x14ac:dyDescent="0.2"/>
    <row r="69695" customFormat="1" x14ac:dyDescent="0.2"/>
    <row r="69696" customFormat="1" x14ac:dyDescent="0.2"/>
    <row r="69697" customFormat="1" x14ac:dyDescent="0.2"/>
    <row r="69698" customFormat="1" x14ac:dyDescent="0.2"/>
    <row r="69699" customFormat="1" x14ac:dyDescent="0.2"/>
    <row r="69700" customFormat="1" x14ac:dyDescent="0.2"/>
    <row r="69701" customFormat="1" x14ac:dyDescent="0.2"/>
    <row r="69702" customFormat="1" x14ac:dyDescent="0.2"/>
    <row r="69703" customFormat="1" x14ac:dyDescent="0.2"/>
    <row r="69704" customFormat="1" x14ac:dyDescent="0.2"/>
    <row r="69705" customFormat="1" x14ac:dyDescent="0.2"/>
    <row r="69706" customFormat="1" x14ac:dyDescent="0.2"/>
    <row r="69707" customFormat="1" x14ac:dyDescent="0.2"/>
    <row r="69708" customFormat="1" x14ac:dyDescent="0.2"/>
    <row r="69709" customFormat="1" x14ac:dyDescent="0.2"/>
    <row r="69710" customFormat="1" x14ac:dyDescent="0.2"/>
    <row r="69711" customFormat="1" x14ac:dyDescent="0.2"/>
    <row r="69712" customFormat="1" x14ac:dyDescent="0.2"/>
    <row r="69713" customFormat="1" x14ac:dyDescent="0.2"/>
    <row r="69714" customFormat="1" x14ac:dyDescent="0.2"/>
    <row r="69715" customFormat="1" x14ac:dyDescent="0.2"/>
    <row r="69716" customFormat="1" x14ac:dyDescent="0.2"/>
    <row r="69717" customFormat="1" x14ac:dyDescent="0.2"/>
    <row r="69718" customFormat="1" x14ac:dyDescent="0.2"/>
    <row r="69719" customFormat="1" x14ac:dyDescent="0.2"/>
    <row r="69720" customFormat="1" x14ac:dyDescent="0.2"/>
    <row r="69721" customFormat="1" x14ac:dyDescent="0.2"/>
    <row r="69722" customFormat="1" x14ac:dyDescent="0.2"/>
    <row r="69723" customFormat="1" x14ac:dyDescent="0.2"/>
    <row r="69724" customFormat="1" x14ac:dyDescent="0.2"/>
    <row r="69725" customFormat="1" x14ac:dyDescent="0.2"/>
    <row r="69726" customFormat="1" x14ac:dyDescent="0.2"/>
    <row r="69727" customFormat="1" x14ac:dyDescent="0.2"/>
    <row r="69728" customFormat="1" x14ac:dyDescent="0.2"/>
    <row r="69729" customFormat="1" x14ac:dyDescent="0.2"/>
    <row r="69730" customFormat="1" x14ac:dyDescent="0.2"/>
    <row r="69731" customFormat="1" x14ac:dyDescent="0.2"/>
    <row r="69732" customFormat="1" x14ac:dyDescent="0.2"/>
    <row r="69733" customFormat="1" x14ac:dyDescent="0.2"/>
    <row r="69734" customFormat="1" x14ac:dyDescent="0.2"/>
    <row r="69735" customFormat="1" x14ac:dyDescent="0.2"/>
    <row r="69736" customFormat="1" x14ac:dyDescent="0.2"/>
    <row r="69737" customFormat="1" x14ac:dyDescent="0.2"/>
    <row r="69738" customFormat="1" x14ac:dyDescent="0.2"/>
    <row r="69739" customFormat="1" x14ac:dyDescent="0.2"/>
    <row r="69740" customFormat="1" x14ac:dyDescent="0.2"/>
    <row r="69741" customFormat="1" x14ac:dyDescent="0.2"/>
    <row r="69742" customFormat="1" x14ac:dyDescent="0.2"/>
    <row r="69743" customFormat="1" x14ac:dyDescent="0.2"/>
    <row r="69744" customFormat="1" x14ac:dyDescent="0.2"/>
    <row r="69745" customFormat="1" x14ac:dyDescent="0.2"/>
    <row r="69746" customFormat="1" x14ac:dyDescent="0.2"/>
    <row r="69747" customFormat="1" x14ac:dyDescent="0.2"/>
    <row r="69748" customFormat="1" x14ac:dyDescent="0.2"/>
    <row r="69749" customFormat="1" x14ac:dyDescent="0.2"/>
    <row r="69750" customFormat="1" x14ac:dyDescent="0.2"/>
    <row r="69751" customFormat="1" x14ac:dyDescent="0.2"/>
    <row r="69752" customFormat="1" x14ac:dyDescent="0.2"/>
    <row r="69753" customFormat="1" x14ac:dyDescent="0.2"/>
    <row r="69754" customFormat="1" x14ac:dyDescent="0.2"/>
    <row r="69755" customFormat="1" x14ac:dyDescent="0.2"/>
    <row r="69756" customFormat="1" x14ac:dyDescent="0.2"/>
    <row r="69757" customFormat="1" x14ac:dyDescent="0.2"/>
    <row r="69758" customFormat="1" x14ac:dyDescent="0.2"/>
    <row r="69759" customFormat="1" x14ac:dyDescent="0.2"/>
    <row r="69760" customFormat="1" x14ac:dyDescent="0.2"/>
    <row r="69761" customFormat="1" x14ac:dyDescent="0.2"/>
    <row r="69762" customFormat="1" x14ac:dyDescent="0.2"/>
    <row r="69763" customFormat="1" x14ac:dyDescent="0.2"/>
    <row r="69764" customFormat="1" x14ac:dyDescent="0.2"/>
    <row r="69765" customFormat="1" x14ac:dyDescent="0.2"/>
    <row r="69766" customFormat="1" x14ac:dyDescent="0.2"/>
    <row r="69767" customFormat="1" x14ac:dyDescent="0.2"/>
    <row r="69768" customFormat="1" x14ac:dyDescent="0.2"/>
    <row r="69769" customFormat="1" x14ac:dyDescent="0.2"/>
    <row r="69770" customFormat="1" x14ac:dyDescent="0.2"/>
    <row r="69771" customFormat="1" x14ac:dyDescent="0.2"/>
    <row r="69772" customFormat="1" x14ac:dyDescent="0.2"/>
    <row r="69773" customFormat="1" x14ac:dyDescent="0.2"/>
    <row r="69774" customFormat="1" x14ac:dyDescent="0.2"/>
    <row r="69775" customFormat="1" x14ac:dyDescent="0.2"/>
    <row r="69776" customFormat="1" x14ac:dyDescent="0.2"/>
    <row r="69777" customFormat="1" x14ac:dyDescent="0.2"/>
    <row r="69778" customFormat="1" x14ac:dyDescent="0.2"/>
    <row r="69779" customFormat="1" x14ac:dyDescent="0.2"/>
    <row r="69780" customFormat="1" x14ac:dyDescent="0.2"/>
    <row r="69781" customFormat="1" x14ac:dyDescent="0.2"/>
    <row r="69782" customFormat="1" x14ac:dyDescent="0.2"/>
    <row r="69783" customFormat="1" x14ac:dyDescent="0.2"/>
    <row r="69784" customFormat="1" x14ac:dyDescent="0.2"/>
    <row r="69785" customFormat="1" x14ac:dyDescent="0.2"/>
    <row r="69786" customFormat="1" x14ac:dyDescent="0.2"/>
    <row r="69787" customFormat="1" x14ac:dyDescent="0.2"/>
    <row r="69788" customFormat="1" x14ac:dyDescent="0.2"/>
    <row r="69789" customFormat="1" x14ac:dyDescent="0.2"/>
    <row r="69790" customFormat="1" x14ac:dyDescent="0.2"/>
    <row r="69791" customFormat="1" x14ac:dyDescent="0.2"/>
    <row r="69792" customFormat="1" x14ac:dyDescent="0.2"/>
    <row r="69793" customFormat="1" x14ac:dyDescent="0.2"/>
    <row r="69794" customFormat="1" x14ac:dyDescent="0.2"/>
    <row r="69795" customFormat="1" x14ac:dyDescent="0.2"/>
    <row r="69796" customFormat="1" x14ac:dyDescent="0.2"/>
    <row r="69797" customFormat="1" x14ac:dyDescent="0.2"/>
    <row r="69798" customFormat="1" x14ac:dyDescent="0.2"/>
    <row r="69799" customFormat="1" x14ac:dyDescent="0.2"/>
    <row r="69800" customFormat="1" x14ac:dyDescent="0.2"/>
    <row r="69801" customFormat="1" x14ac:dyDescent="0.2"/>
    <row r="69802" customFormat="1" x14ac:dyDescent="0.2"/>
    <row r="69803" customFormat="1" x14ac:dyDescent="0.2"/>
    <row r="69804" customFormat="1" x14ac:dyDescent="0.2"/>
    <row r="69805" customFormat="1" x14ac:dyDescent="0.2"/>
    <row r="69806" customFormat="1" x14ac:dyDescent="0.2"/>
    <row r="69807" customFormat="1" x14ac:dyDescent="0.2"/>
    <row r="69808" customFormat="1" x14ac:dyDescent="0.2"/>
    <row r="69809" customFormat="1" x14ac:dyDescent="0.2"/>
    <row r="69810" customFormat="1" x14ac:dyDescent="0.2"/>
    <row r="69811" customFormat="1" x14ac:dyDescent="0.2"/>
    <row r="69812" customFormat="1" x14ac:dyDescent="0.2"/>
    <row r="69813" customFormat="1" x14ac:dyDescent="0.2"/>
    <row r="69814" customFormat="1" x14ac:dyDescent="0.2"/>
    <row r="69815" customFormat="1" x14ac:dyDescent="0.2"/>
    <row r="69816" customFormat="1" x14ac:dyDescent="0.2"/>
    <row r="69817" customFormat="1" x14ac:dyDescent="0.2"/>
    <row r="69818" customFormat="1" x14ac:dyDescent="0.2"/>
    <row r="69819" customFormat="1" x14ac:dyDescent="0.2"/>
    <row r="69820" customFormat="1" x14ac:dyDescent="0.2"/>
    <row r="69821" customFormat="1" x14ac:dyDescent="0.2"/>
    <row r="69822" customFormat="1" x14ac:dyDescent="0.2"/>
    <row r="69823" customFormat="1" x14ac:dyDescent="0.2"/>
    <row r="69824" customFormat="1" x14ac:dyDescent="0.2"/>
    <row r="69825" customFormat="1" x14ac:dyDescent="0.2"/>
    <row r="69826" customFormat="1" x14ac:dyDescent="0.2"/>
    <row r="69827" customFormat="1" x14ac:dyDescent="0.2"/>
    <row r="69828" customFormat="1" x14ac:dyDescent="0.2"/>
    <row r="69829" customFormat="1" x14ac:dyDescent="0.2"/>
    <row r="69830" customFormat="1" x14ac:dyDescent="0.2"/>
    <row r="69831" customFormat="1" x14ac:dyDescent="0.2"/>
    <row r="69832" customFormat="1" x14ac:dyDescent="0.2"/>
    <row r="69833" customFormat="1" x14ac:dyDescent="0.2"/>
    <row r="69834" customFormat="1" x14ac:dyDescent="0.2"/>
    <row r="69835" customFormat="1" x14ac:dyDescent="0.2"/>
    <row r="69836" customFormat="1" x14ac:dyDescent="0.2"/>
    <row r="69837" customFormat="1" x14ac:dyDescent="0.2"/>
    <row r="69838" customFormat="1" x14ac:dyDescent="0.2"/>
    <row r="69839" customFormat="1" x14ac:dyDescent="0.2"/>
    <row r="69840" customFormat="1" x14ac:dyDescent="0.2"/>
    <row r="69841" customFormat="1" x14ac:dyDescent="0.2"/>
    <row r="69842" customFormat="1" x14ac:dyDescent="0.2"/>
    <row r="69843" customFormat="1" x14ac:dyDescent="0.2"/>
    <row r="69844" customFormat="1" x14ac:dyDescent="0.2"/>
    <row r="69845" customFormat="1" x14ac:dyDescent="0.2"/>
    <row r="69846" customFormat="1" x14ac:dyDescent="0.2"/>
    <row r="69847" customFormat="1" x14ac:dyDescent="0.2"/>
    <row r="69848" customFormat="1" x14ac:dyDescent="0.2"/>
    <row r="69849" customFormat="1" x14ac:dyDescent="0.2"/>
    <row r="69850" customFormat="1" x14ac:dyDescent="0.2"/>
    <row r="69851" customFormat="1" x14ac:dyDescent="0.2"/>
    <row r="69852" customFormat="1" x14ac:dyDescent="0.2"/>
    <row r="69853" customFormat="1" x14ac:dyDescent="0.2"/>
    <row r="69854" customFormat="1" x14ac:dyDescent="0.2"/>
    <row r="69855" customFormat="1" x14ac:dyDescent="0.2"/>
    <row r="69856" customFormat="1" x14ac:dyDescent="0.2"/>
    <row r="69857" customFormat="1" x14ac:dyDescent="0.2"/>
    <row r="69858" customFormat="1" x14ac:dyDescent="0.2"/>
    <row r="69859" customFormat="1" x14ac:dyDescent="0.2"/>
    <row r="69860" customFormat="1" x14ac:dyDescent="0.2"/>
    <row r="69861" customFormat="1" x14ac:dyDescent="0.2"/>
    <row r="69862" customFormat="1" x14ac:dyDescent="0.2"/>
    <row r="69863" customFormat="1" x14ac:dyDescent="0.2"/>
    <row r="69864" customFormat="1" x14ac:dyDescent="0.2"/>
    <row r="69865" customFormat="1" x14ac:dyDescent="0.2"/>
    <row r="69866" customFormat="1" x14ac:dyDescent="0.2"/>
    <row r="69867" customFormat="1" x14ac:dyDescent="0.2"/>
    <row r="69868" customFormat="1" x14ac:dyDescent="0.2"/>
    <row r="69869" customFormat="1" x14ac:dyDescent="0.2"/>
    <row r="69870" customFormat="1" x14ac:dyDescent="0.2"/>
    <row r="69871" customFormat="1" x14ac:dyDescent="0.2"/>
    <row r="69872" customFormat="1" x14ac:dyDescent="0.2"/>
    <row r="69873" customFormat="1" x14ac:dyDescent="0.2"/>
    <row r="69874" customFormat="1" x14ac:dyDescent="0.2"/>
    <row r="69875" customFormat="1" x14ac:dyDescent="0.2"/>
    <row r="69876" customFormat="1" x14ac:dyDescent="0.2"/>
    <row r="69877" customFormat="1" x14ac:dyDescent="0.2"/>
    <row r="69878" customFormat="1" x14ac:dyDescent="0.2"/>
    <row r="69879" customFormat="1" x14ac:dyDescent="0.2"/>
    <row r="69880" customFormat="1" x14ac:dyDescent="0.2"/>
    <row r="69881" customFormat="1" x14ac:dyDescent="0.2"/>
    <row r="69882" customFormat="1" x14ac:dyDescent="0.2"/>
    <row r="69883" customFormat="1" x14ac:dyDescent="0.2"/>
    <row r="69884" customFormat="1" x14ac:dyDescent="0.2"/>
    <row r="69885" customFormat="1" x14ac:dyDescent="0.2"/>
    <row r="69886" customFormat="1" x14ac:dyDescent="0.2"/>
    <row r="69887" customFormat="1" x14ac:dyDescent="0.2"/>
    <row r="69888" customFormat="1" x14ac:dyDescent="0.2"/>
    <row r="69889" customFormat="1" x14ac:dyDescent="0.2"/>
    <row r="69890" customFormat="1" x14ac:dyDescent="0.2"/>
    <row r="69891" customFormat="1" x14ac:dyDescent="0.2"/>
    <row r="69892" customFormat="1" x14ac:dyDescent="0.2"/>
    <row r="69893" customFormat="1" x14ac:dyDescent="0.2"/>
    <row r="69894" customFormat="1" x14ac:dyDescent="0.2"/>
    <row r="69895" customFormat="1" x14ac:dyDescent="0.2"/>
    <row r="69896" customFormat="1" x14ac:dyDescent="0.2"/>
    <row r="69897" customFormat="1" x14ac:dyDescent="0.2"/>
    <row r="69898" customFormat="1" x14ac:dyDescent="0.2"/>
    <row r="69899" customFormat="1" x14ac:dyDescent="0.2"/>
    <row r="69900" customFormat="1" x14ac:dyDescent="0.2"/>
    <row r="69901" customFormat="1" x14ac:dyDescent="0.2"/>
    <row r="69902" customFormat="1" x14ac:dyDescent="0.2"/>
    <row r="69903" customFormat="1" x14ac:dyDescent="0.2"/>
    <row r="69904" customFormat="1" x14ac:dyDescent="0.2"/>
    <row r="69905" customFormat="1" x14ac:dyDescent="0.2"/>
    <row r="69906" customFormat="1" x14ac:dyDescent="0.2"/>
    <row r="69907" customFormat="1" x14ac:dyDescent="0.2"/>
    <row r="69908" customFormat="1" x14ac:dyDescent="0.2"/>
    <row r="69909" customFormat="1" x14ac:dyDescent="0.2"/>
    <row r="69910" customFormat="1" x14ac:dyDescent="0.2"/>
    <row r="69911" customFormat="1" x14ac:dyDescent="0.2"/>
    <row r="69912" customFormat="1" x14ac:dyDescent="0.2"/>
    <row r="69913" customFormat="1" x14ac:dyDescent="0.2"/>
    <row r="69914" customFormat="1" x14ac:dyDescent="0.2"/>
    <row r="69915" customFormat="1" x14ac:dyDescent="0.2"/>
    <row r="69916" customFormat="1" x14ac:dyDescent="0.2"/>
    <row r="69917" customFormat="1" x14ac:dyDescent="0.2"/>
    <row r="69918" customFormat="1" x14ac:dyDescent="0.2"/>
    <row r="69919" customFormat="1" x14ac:dyDescent="0.2"/>
    <row r="69920" customFormat="1" x14ac:dyDescent="0.2"/>
    <row r="69921" customFormat="1" x14ac:dyDescent="0.2"/>
    <row r="69922" customFormat="1" x14ac:dyDescent="0.2"/>
    <row r="69923" customFormat="1" x14ac:dyDescent="0.2"/>
    <row r="69924" customFormat="1" x14ac:dyDescent="0.2"/>
    <row r="69925" customFormat="1" x14ac:dyDescent="0.2"/>
    <row r="69926" customFormat="1" x14ac:dyDescent="0.2"/>
    <row r="69927" customFormat="1" x14ac:dyDescent="0.2"/>
    <row r="69928" customFormat="1" x14ac:dyDescent="0.2"/>
    <row r="69929" customFormat="1" x14ac:dyDescent="0.2"/>
    <row r="69930" customFormat="1" x14ac:dyDescent="0.2"/>
    <row r="69931" customFormat="1" x14ac:dyDescent="0.2"/>
    <row r="69932" customFormat="1" x14ac:dyDescent="0.2"/>
    <row r="69933" customFormat="1" x14ac:dyDescent="0.2"/>
    <row r="69934" customFormat="1" x14ac:dyDescent="0.2"/>
    <row r="69935" customFormat="1" x14ac:dyDescent="0.2"/>
    <row r="69936" customFormat="1" x14ac:dyDescent="0.2"/>
    <row r="69937" customFormat="1" x14ac:dyDescent="0.2"/>
    <row r="69938" customFormat="1" x14ac:dyDescent="0.2"/>
    <row r="69939" customFormat="1" x14ac:dyDescent="0.2"/>
    <row r="69940" customFormat="1" x14ac:dyDescent="0.2"/>
    <row r="69941" customFormat="1" x14ac:dyDescent="0.2"/>
    <row r="69942" customFormat="1" x14ac:dyDescent="0.2"/>
    <row r="69943" customFormat="1" x14ac:dyDescent="0.2"/>
    <row r="69944" customFormat="1" x14ac:dyDescent="0.2"/>
    <row r="69945" customFormat="1" x14ac:dyDescent="0.2"/>
    <row r="69946" customFormat="1" x14ac:dyDescent="0.2"/>
    <row r="69947" customFormat="1" x14ac:dyDescent="0.2"/>
    <row r="69948" customFormat="1" x14ac:dyDescent="0.2"/>
    <row r="69949" customFormat="1" x14ac:dyDescent="0.2"/>
    <row r="69950" customFormat="1" x14ac:dyDescent="0.2"/>
    <row r="69951" customFormat="1" x14ac:dyDescent="0.2"/>
    <row r="69952" customFormat="1" x14ac:dyDescent="0.2"/>
    <row r="69953" customFormat="1" x14ac:dyDescent="0.2"/>
    <row r="69954" customFormat="1" x14ac:dyDescent="0.2"/>
    <row r="69955" customFormat="1" x14ac:dyDescent="0.2"/>
    <row r="69956" customFormat="1" x14ac:dyDescent="0.2"/>
    <row r="69957" customFormat="1" x14ac:dyDescent="0.2"/>
    <row r="69958" customFormat="1" x14ac:dyDescent="0.2"/>
    <row r="69959" customFormat="1" x14ac:dyDescent="0.2"/>
    <row r="69960" customFormat="1" x14ac:dyDescent="0.2"/>
    <row r="69961" customFormat="1" x14ac:dyDescent="0.2"/>
    <row r="69962" customFormat="1" x14ac:dyDescent="0.2"/>
    <row r="69963" customFormat="1" x14ac:dyDescent="0.2"/>
    <row r="69964" customFormat="1" x14ac:dyDescent="0.2"/>
    <row r="69965" customFormat="1" x14ac:dyDescent="0.2"/>
    <row r="69966" customFormat="1" x14ac:dyDescent="0.2"/>
    <row r="69967" customFormat="1" x14ac:dyDescent="0.2"/>
    <row r="69968" customFormat="1" x14ac:dyDescent="0.2"/>
    <row r="69969" customFormat="1" x14ac:dyDescent="0.2"/>
    <row r="69970" customFormat="1" x14ac:dyDescent="0.2"/>
    <row r="69971" customFormat="1" x14ac:dyDescent="0.2"/>
    <row r="69972" customFormat="1" x14ac:dyDescent="0.2"/>
    <row r="69973" customFormat="1" x14ac:dyDescent="0.2"/>
    <row r="69974" customFormat="1" x14ac:dyDescent="0.2"/>
    <row r="69975" customFormat="1" x14ac:dyDescent="0.2"/>
    <row r="69976" customFormat="1" x14ac:dyDescent="0.2"/>
    <row r="69977" customFormat="1" x14ac:dyDescent="0.2"/>
    <row r="69978" customFormat="1" x14ac:dyDescent="0.2"/>
    <row r="69979" customFormat="1" x14ac:dyDescent="0.2"/>
    <row r="69980" customFormat="1" x14ac:dyDescent="0.2"/>
    <row r="69981" customFormat="1" x14ac:dyDescent="0.2"/>
    <row r="69982" customFormat="1" x14ac:dyDescent="0.2"/>
    <row r="69983" customFormat="1" x14ac:dyDescent="0.2"/>
    <row r="69984" customFormat="1" x14ac:dyDescent="0.2"/>
    <row r="69985" customFormat="1" x14ac:dyDescent="0.2"/>
    <row r="69986" customFormat="1" x14ac:dyDescent="0.2"/>
    <row r="69987" customFormat="1" x14ac:dyDescent="0.2"/>
    <row r="69988" customFormat="1" x14ac:dyDescent="0.2"/>
    <row r="69989" customFormat="1" x14ac:dyDescent="0.2"/>
    <row r="69990" customFormat="1" x14ac:dyDescent="0.2"/>
    <row r="69991" customFormat="1" x14ac:dyDescent="0.2"/>
    <row r="69992" customFormat="1" x14ac:dyDescent="0.2"/>
    <row r="69993" customFormat="1" x14ac:dyDescent="0.2"/>
    <row r="69994" customFormat="1" x14ac:dyDescent="0.2"/>
    <row r="69995" customFormat="1" x14ac:dyDescent="0.2"/>
    <row r="69996" customFormat="1" x14ac:dyDescent="0.2"/>
    <row r="69997" customFormat="1" x14ac:dyDescent="0.2"/>
    <row r="69998" customFormat="1" x14ac:dyDescent="0.2"/>
    <row r="69999" customFormat="1" x14ac:dyDescent="0.2"/>
    <row r="70000" customFormat="1" x14ac:dyDescent="0.2"/>
    <row r="70001" customFormat="1" x14ac:dyDescent="0.2"/>
    <row r="70002" customFormat="1" x14ac:dyDescent="0.2"/>
    <row r="70003" customFormat="1" x14ac:dyDescent="0.2"/>
    <row r="70004" customFormat="1" x14ac:dyDescent="0.2"/>
    <row r="70005" customFormat="1" x14ac:dyDescent="0.2"/>
    <row r="70006" customFormat="1" x14ac:dyDescent="0.2"/>
    <row r="70007" customFormat="1" x14ac:dyDescent="0.2"/>
    <row r="70008" customFormat="1" x14ac:dyDescent="0.2"/>
    <row r="70009" customFormat="1" x14ac:dyDescent="0.2"/>
    <row r="70010" customFormat="1" x14ac:dyDescent="0.2"/>
    <row r="70011" customFormat="1" x14ac:dyDescent="0.2"/>
    <row r="70012" customFormat="1" x14ac:dyDescent="0.2"/>
    <row r="70013" customFormat="1" x14ac:dyDescent="0.2"/>
    <row r="70014" customFormat="1" x14ac:dyDescent="0.2"/>
    <row r="70015" customFormat="1" x14ac:dyDescent="0.2"/>
    <row r="70016" customFormat="1" x14ac:dyDescent="0.2"/>
    <row r="70017" customFormat="1" x14ac:dyDescent="0.2"/>
    <row r="70018" customFormat="1" x14ac:dyDescent="0.2"/>
    <row r="70019" customFormat="1" x14ac:dyDescent="0.2"/>
    <row r="70020" customFormat="1" x14ac:dyDescent="0.2"/>
    <row r="70021" customFormat="1" x14ac:dyDescent="0.2"/>
    <row r="70022" customFormat="1" x14ac:dyDescent="0.2"/>
    <row r="70023" customFormat="1" x14ac:dyDescent="0.2"/>
    <row r="70024" customFormat="1" x14ac:dyDescent="0.2"/>
    <row r="70025" customFormat="1" x14ac:dyDescent="0.2"/>
    <row r="70026" customFormat="1" x14ac:dyDescent="0.2"/>
    <row r="70027" customFormat="1" x14ac:dyDescent="0.2"/>
    <row r="70028" customFormat="1" x14ac:dyDescent="0.2"/>
    <row r="70029" customFormat="1" x14ac:dyDescent="0.2"/>
    <row r="70030" customFormat="1" x14ac:dyDescent="0.2"/>
    <row r="70031" customFormat="1" x14ac:dyDescent="0.2"/>
    <row r="70032" customFormat="1" x14ac:dyDescent="0.2"/>
    <row r="70033" customFormat="1" x14ac:dyDescent="0.2"/>
    <row r="70034" customFormat="1" x14ac:dyDescent="0.2"/>
    <row r="70035" customFormat="1" x14ac:dyDescent="0.2"/>
    <row r="70036" customFormat="1" x14ac:dyDescent="0.2"/>
    <row r="70037" customFormat="1" x14ac:dyDescent="0.2"/>
    <row r="70038" customFormat="1" x14ac:dyDescent="0.2"/>
    <row r="70039" customFormat="1" x14ac:dyDescent="0.2"/>
    <row r="70040" customFormat="1" x14ac:dyDescent="0.2"/>
    <row r="70041" customFormat="1" x14ac:dyDescent="0.2"/>
    <row r="70042" customFormat="1" x14ac:dyDescent="0.2"/>
    <row r="70043" customFormat="1" x14ac:dyDescent="0.2"/>
    <row r="70044" customFormat="1" x14ac:dyDescent="0.2"/>
    <row r="70045" customFormat="1" x14ac:dyDescent="0.2"/>
    <row r="70046" customFormat="1" x14ac:dyDescent="0.2"/>
    <row r="70047" customFormat="1" x14ac:dyDescent="0.2"/>
    <row r="70048" customFormat="1" x14ac:dyDescent="0.2"/>
    <row r="70049" customFormat="1" x14ac:dyDescent="0.2"/>
    <row r="70050" customFormat="1" x14ac:dyDescent="0.2"/>
    <row r="70051" customFormat="1" x14ac:dyDescent="0.2"/>
    <row r="70052" customFormat="1" x14ac:dyDescent="0.2"/>
    <row r="70053" customFormat="1" x14ac:dyDescent="0.2"/>
    <row r="70054" customFormat="1" x14ac:dyDescent="0.2"/>
    <row r="70055" customFormat="1" x14ac:dyDescent="0.2"/>
    <row r="70056" customFormat="1" x14ac:dyDescent="0.2"/>
    <row r="70057" customFormat="1" x14ac:dyDescent="0.2"/>
    <row r="70058" customFormat="1" x14ac:dyDescent="0.2"/>
    <row r="70059" customFormat="1" x14ac:dyDescent="0.2"/>
    <row r="70060" customFormat="1" x14ac:dyDescent="0.2"/>
    <row r="70061" customFormat="1" x14ac:dyDescent="0.2"/>
    <row r="70062" customFormat="1" x14ac:dyDescent="0.2"/>
    <row r="70063" customFormat="1" x14ac:dyDescent="0.2"/>
    <row r="70064" customFormat="1" x14ac:dyDescent="0.2"/>
    <row r="70065" customFormat="1" x14ac:dyDescent="0.2"/>
    <row r="70066" customFormat="1" x14ac:dyDescent="0.2"/>
    <row r="70067" customFormat="1" x14ac:dyDescent="0.2"/>
    <row r="70068" customFormat="1" x14ac:dyDescent="0.2"/>
    <row r="70069" customFormat="1" x14ac:dyDescent="0.2"/>
    <row r="70070" customFormat="1" x14ac:dyDescent="0.2"/>
    <row r="70071" customFormat="1" x14ac:dyDescent="0.2"/>
    <row r="70072" customFormat="1" x14ac:dyDescent="0.2"/>
    <row r="70073" customFormat="1" x14ac:dyDescent="0.2"/>
    <row r="70074" customFormat="1" x14ac:dyDescent="0.2"/>
    <row r="70075" customFormat="1" x14ac:dyDescent="0.2"/>
    <row r="70076" customFormat="1" x14ac:dyDescent="0.2"/>
    <row r="70077" customFormat="1" x14ac:dyDescent="0.2"/>
    <row r="70078" customFormat="1" x14ac:dyDescent="0.2"/>
    <row r="70079" customFormat="1" x14ac:dyDescent="0.2"/>
    <row r="70080" customFormat="1" x14ac:dyDescent="0.2"/>
    <row r="70081" customFormat="1" x14ac:dyDescent="0.2"/>
    <row r="70082" customFormat="1" x14ac:dyDescent="0.2"/>
    <row r="70083" customFormat="1" x14ac:dyDescent="0.2"/>
    <row r="70084" customFormat="1" x14ac:dyDescent="0.2"/>
    <row r="70085" customFormat="1" x14ac:dyDescent="0.2"/>
    <row r="70086" customFormat="1" x14ac:dyDescent="0.2"/>
    <row r="70087" customFormat="1" x14ac:dyDescent="0.2"/>
    <row r="70088" customFormat="1" x14ac:dyDescent="0.2"/>
    <row r="70089" customFormat="1" x14ac:dyDescent="0.2"/>
    <row r="70090" customFormat="1" x14ac:dyDescent="0.2"/>
    <row r="70091" customFormat="1" x14ac:dyDescent="0.2"/>
    <row r="70092" customFormat="1" x14ac:dyDescent="0.2"/>
    <row r="70093" customFormat="1" x14ac:dyDescent="0.2"/>
    <row r="70094" customFormat="1" x14ac:dyDescent="0.2"/>
    <row r="70095" customFormat="1" x14ac:dyDescent="0.2"/>
    <row r="70096" customFormat="1" x14ac:dyDescent="0.2"/>
    <row r="70097" customFormat="1" x14ac:dyDescent="0.2"/>
    <row r="70098" customFormat="1" x14ac:dyDescent="0.2"/>
    <row r="70099" customFormat="1" x14ac:dyDescent="0.2"/>
    <row r="70100" customFormat="1" x14ac:dyDescent="0.2"/>
    <row r="70101" customFormat="1" x14ac:dyDescent="0.2"/>
    <row r="70102" customFormat="1" x14ac:dyDescent="0.2"/>
    <row r="70103" customFormat="1" x14ac:dyDescent="0.2"/>
    <row r="70104" customFormat="1" x14ac:dyDescent="0.2"/>
    <row r="70105" customFormat="1" x14ac:dyDescent="0.2"/>
    <row r="70106" customFormat="1" x14ac:dyDescent="0.2"/>
    <row r="70107" customFormat="1" x14ac:dyDescent="0.2"/>
    <row r="70108" customFormat="1" x14ac:dyDescent="0.2"/>
    <row r="70109" customFormat="1" x14ac:dyDescent="0.2"/>
    <row r="70110" customFormat="1" x14ac:dyDescent="0.2"/>
    <row r="70111" customFormat="1" x14ac:dyDescent="0.2"/>
    <row r="70112" customFormat="1" x14ac:dyDescent="0.2"/>
    <row r="70113" customFormat="1" x14ac:dyDescent="0.2"/>
    <row r="70114" customFormat="1" x14ac:dyDescent="0.2"/>
    <row r="70115" customFormat="1" x14ac:dyDescent="0.2"/>
    <row r="70116" customFormat="1" x14ac:dyDescent="0.2"/>
    <row r="70117" customFormat="1" x14ac:dyDescent="0.2"/>
    <row r="70118" customFormat="1" x14ac:dyDescent="0.2"/>
    <row r="70119" customFormat="1" x14ac:dyDescent="0.2"/>
    <row r="70120" customFormat="1" x14ac:dyDescent="0.2"/>
    <row r="70121" customFormat="1" x14ac:dyDescent="0.2"/>
    <row r="70122" customFormat="1" x14ac:dyDescent="0.2"/>
    <row r="70123" customFormat="1" x14ac:dyDescent="0.2"/>
    <row r="70124" customFormat="1" x14ac:dyDescent="0.2"/>
    <row r="70125" customFormat="1" x14ac:dyDescent="0.2"/>
    <row r="70126" customFormat="1" x14ac:dyDescent="0.2"/>
    <row r="70127" customFormat="1" x14ac:dyDescent="0.2"/>
    <row r="70128" customFormat="1" x14ac:dyDescent="0.2"/>
    <row r="70129" customFormat="1" x14ac:dyDescent="0.2"/>
    <row r="70130" customFormat="1" x14ac:dyDescent="0.2"/>
    <row r="70131" customFormat="1" x14ac:dyDescent="0.2"/>
    <row r="70132" customFormat="1" x14ac:dyDescent="0.2"/>
    <row r="70133" customFormat="1" x14ac:dyDescent="0.2"/>
    <row r="70134" customFormat="1" x14ac:dyDescent="0.2"/>
    <row r="70135" customFormat="1" x14ac:dyDescent="0.2"/>
    <row r="70136" customFormat="1" x14ac:dyDescent="0.2"/>
    <row r="70137" customFormat="1" x14ac:dyDescent="0.2"/>
    <row r="70138" customFormat="1" x14ac:dyDescent="0.2"/>
    <row r="70139" customFormat="1" x14ac:dyDescent="0.2"/>
    <row r="70140" customFormat="1" x14ac:dyDescent="0.2"/>
    <row r="70141" customFormat="1" x14ac:dyDescent="0.2"/>
    <row r="70142" customFormat="1" x14ac:dyDescent="0.2"/>
    <row r="70143" customFormat="1" x14ac:dyDescent="0.2"/>
    <row r="70144" customFormat="1" x14ac:dyDescent="0.2"/>
    <row r="70145" customFormat="1" x14ac:dyDescent="0.2"/>
    <row r="70146" customFormat="1" x14ac:dyDescent="0.2"/>
    <row r="70147" customFormat="1" x14ac:dyDescent="0.2"/>
    <row r="70148" customFormat="1" x14ac:dyDescent="0.2"/>
    <row r="70149" customFormat="1" x14ac:dyDescent="0.2"/>
    <row r="70150" customFormat="1" x14ac:dyDescent="0.2"/>
    <row r="70151" customFormat="1" x14ac:dyDescent="0.2"/>
    <row r="70152" customFormat="1" x14ac:dyDescent="0.2"/>
    <row r="70153" customFormat="1" x14ac:dyDescent="0.2"/>
    <row r="70154" customFormat="1" x14ac:dyDescent="0.2"/>
    <row r="70155" customFormat="1" x14ac:dyDescent="0.2"/>
    <row r="70156" customFormat="1" x14ac:dyDescent="0.2"/>
    <row r="70157" customFormat="1" x14ac:dyDescent="0.2"/>
    <row r="70158" customFormat="1" x14ac:dyDescent="0.2"/>
    <row r="70159" customFormat="1" x14ac:dyDescent="0.2"/>
    <row r="70160" customFormat="1" x14ac:dyDescent="0.2"/>
    <row r="70161" customFormat="1" x14ac:dyDescent="0.2"/>
    <row r="70162" customFormat="1" x14ac:dyDescent="0.2"/>
    <row r="70163" customFormat="1" x14ac:dyDescent="0.2"/>
    <row r="70164" customFormat="1" x14ac:dyDescent="0.2"/>
    <row r="70165" customFormat="1" x14ac:dyDescent="0.2"/>
    <row r="70166" customFormat="1" x14ac:dyDescent="0.2"/>
    <row r="70167" customFormat="1" x14ac:dyDescent="0.2"/>
    <row r="70168" customFormat="1" x14ac:dyDescent="0.2"/>
    <row r="70169" customFormat="1" x14ac:dyDescent="0.2"/>
    <row r="70170" customFormat="1" x14ac:dyDescent="0.2"/>
    <row r="70171" customFormat="1" x14ac:dyDescent="0.2"/>
    <row r="70172" customFormat="1" x14ac:dyDescent="0.2"/>
    <row r="70173" customFormat="1" x14ac:dyDescent="0.2"/>
    <row r="70174" customFormat="1" x14ac:dyDescent="0.2"/>
    <row r="70175" customFormat="1" x14ac:dyDescent="0.2"/>
    <row r="70176" customFormat="1" x14ac:dyDescent="0.2"/>
    <row r="70177" customFormat="1" x14ac:dyDescent="0.2"/>
    <row r="70178" customFormat="1" x14ac:dyDescent="0.2"/>
    <row r="70179" customFormat="1" x14ac:dyDescent="0.2"/>
    <row r="70180" customFormat="1" x14ac:dyDescent="0.2"/>
    <row r="70181" customFormat="1" x14ac:dyDescent="0.2"/>
    <row r="70182" customFormat="1" x14ac:dyDescent="0.2"/>
    <row r="70183" customFormat="1" x14ac:dyDescent="0.2"/>
    <row r="70184" customFormat="1" x14ac:dyDescent="0.2"/>
    <row r="70185" customFormat="1" x14ac:dyDescent="0.2"/>
    <row r="70186" customFormat="1" x14ac:dyDescent="0.2"/>
    <row r="70187" customFormat="1" x14ac:dyDescent="0.2"/>
    <row r="70188" customFormat="1" x14ac:dyDescent="0.2"/>
    <row r="70189" customFormat="1" x14ac:dyDescent="0.2"/>
    <row r="70190" customFormat="1" x14ac:dyDescent="0.2"/>
    <row r="70191" customFormat="1" x14ac:dyDescent="0.2"/>
    <row r="70192" customFormat="1" x14ac:dyDescent="0.2"/>
    <row r="70193" customFormat="1" x14ac:dyDescent="0.2"/>
    <row r="70194" customFormat="1" x14ac:dyDescent="0.2"/>
    <row r="70195" customFormat="1" x14ac:dyDescent="0.2"/>
    <row r="70196" customFormat="1" x14ac:dyDescent="0.2"/>
    <row r="70197" customFormat="1" x14ac:dyDescent="0.2"/>
    <row r="70198" customFormat="1" x14ac:dyDescent="0.2"/>
    <row r="70199" customFormat="1" x14ac:dyDescent="0.2"/>
    <row r="70200" customFormat="1" x14ac:dyDescent="0.2"/>
    <row r="70201" customFormat="1" x14ac:dyDescent="0.2"/>
    <row r="70202" customFormat="1" x14ac:dyDescent="0.2"/>
    <row r="70203" customFormat="1" x14ac:dyDescent="0.2"/>
    <row r="70204" customFormat="1" x14ac:dyDescent="0.2"/>
    <row r="70205" customFormat="1" x14ac:dyDescent="0.2"/>
    <row r="70206" customFormat="1" x14ac:dyDescent="0.2"/>
    <row r="70207" customFormat="1" x14ac:dyDescent="0.2"/>
    <row r="70208" customFormat="1" x14ac:dyDescent="0.2"/>
    <row r="70209" customFormat="1" x14ac:dyDescent="0.2"/>
    <row r="70210" customFormat="1" x14ac:dyDescent="0.2"/>
    <row r="70211" customFormat="1" x14ac:dyDescent="0.2"/>
    <row r="70212" customFormat="1" x14ac:dyDescent="0.2"/>
    <row r="70213" customFormat="1" x14ac:dyDescent="0.2"/>
    <row r="70214" customFormat="1" x14ac:dyDescent="0.2"/>
    <row r="70215" customFormat="1" x14ac:dyDescent="0.2"/>
    <row r="70216" customFormat="1" x14ac:dyDescent="0.2"/>
    <row r="70217" customFormat="1" x14ac:dyDescent="0.2"/>
    <row r="70218" customFormat="1" x14ac:dyDescent="0.2"/>
    <row r="70219" customFormat="1" x14ac:dyDescent="0.2"/>
    <row r="70220" customFormat="1" x14ac:dyDescent="0.2"/>
    <row r="70221" customFormat="1" x14ac:dyDescent="0.2"/>
    <row r="70222" customFormat="1" x14ac:dyDescent="0.2"/>
    <row r="70223" customFormat="1" x14ac:dyDescent="0.2"/>
    <row r="70224" customFormat="1" x14ac:dyDescent="0.2"/>
    <row r="70225" customFormat="1" x14ac:dyDescent="0.2"/>
    <row r="70226" customFormat="1" x14ac:dyDescent="0.2"/>
    <row r="70227" customFormat="1" x14ac:dyDescent="0.2"/>
    <row r="70228" customFormat="1" x14ac:dyDescent="0.2"/>
    <row r="70229" customFormat="1" x14ac:dyDescent="0.2"/>
    <row r="70230" customFormat="1" x14ac:dyDescent="0.2"/>
    <row r="70231" customFormat="1" x14ac:dyDescent="0.2"/>
    <row r="70232" customFormat="1" x14ac:dyDescent="0.2"/>
    <row r="70233" customFormat="1" x14ac:dyDescent="0.2"/>
    <row r="70234" customFormat="1" x14ac:dyDescent="0.2"/>
    <row r="70235" customFormat="1" x14ac:dyDescent="0.2"/>
    <row r="70236" customFormat="1" x14ac:dyDescent="0.2"/>
    <row r="70237" customFormat="1" x14ac:dyDescent="0.2"/>
    <row r="70238" customFormat="1" x14ac:dyDescent="0.2"/>
    <row r="70239" customFormat="1" x14ac:dyDescent="0.2"/>
    <row r="70240" customFormat="1" x14ac:dyDescent="0.2"/>
    <row r="70241" customFormat="1" x14ac:dyDescent="0.2"/>
    <row r="70242" customFormat="1" x14ac:dyDescent="0.2"/>
    <row r="70243" customFormat="1" x14ac:dyDescent="0.2"/>
    <row r="70244" customFormat="1" x14ac:dyDescent="0.2"/>
    <row r="70245" customFormat="1" x14ac:dyDescent="0.2"/>
    <row r="70246" customFormat="1" x14ac:dyDescent="0.2"/>
    <row r="70247" customFormat="1" x14ac:dyDescent="0.2"/>
    <row r="70248" customFormat="1" x14ac:dyDescent="0.2"/>
    <row r="70249" customFormat="1" x14ac:dyDescent="0.2"/>
    <row r="70250" customFormat="1" x14ac:dyDescent="0.2"/>
    <row r="70251" customFormat="1" x14ac:dyDescent="0.2"/>
    <row r="70252" customFormat="1" x14ac:dyDescent="0.2"/>
    <row r="70253" customFormat="1" x14ac:dyDescent="0.2"/>
    <row r="70254" customFormat="1" x14ac:dyDescent="0.2"/>
    <row r="70255" customFormat="1" x14ac:dyDescent="0.2"/>
    <row r="70256" customFormat="1" x14ac:dyDescent="0.2"/>
    <row r="70257" customFormat="1" x14ac:dyDescent="0.2"/>
    <row r="70258" customFormat="1" x14ac:dyDescent="0.2"/>
    <row r="70259" customFormat="1" x14ac:dyDescent="0.2"/>
    <row r="70260" customFormat="1" x14ac:dyDescent="0.2"/>
    <row r="70261" customFormat="1" x14ac:dyDescent="0.2"/>
    <row r="70262" customFormat="1" x14ac:dyDescent="0.2"/>
    <row r="70263" customFormat="1" x14ac:dyDescent="0.2"/>
    <row r="70264" customFormat="1" x14ac:dyDescent="0.2"/>
    <row r="70265" customFormat="1" x14ac:dyDescent="0.2"/>
    <row r="70266" customFormat="1" x14ac:dyDescent="0.2"/>
    <row r="70267" customFormat="1" x14ac:dyDescent="0.2"/>
    <row r="70268" customFormat="1" x14ac:dyDescent="0.2"/>
    <row r="70269" customFormat="1" x14ac:dyDescent="0.2"/>
    <row r="70270" customFormat="1" x14ac:dyDescent="0.2"/>
    <row r="70271" customFormat="1" x14ac:dyDescent="0.2"/>
    <row r="70272" customFormat="1" x14ac:dyDescent="0.2"/>
    <row r="70273" customFormat="1" x14ac:dyDescent="0.2"/>
    <row r="70274" customFormat="1" x14ac:dyDescent="0.2"/>
    <row r="70275" customFormat="1" x14ac:dyDescent="0.2"/>
    <row r="70276" customFormat="1" x14ac:dyDescent="0.2"/>
    <row r="70277" customFormat="1" x14ac:dyDescent="0.2"/>
    <row r="70278" customFormat="1" x14ac:dyDescent="0.2"/>
    <row r="70279" customFormat="1" x14ac:dyDescent="0.2"/>
    <row r="70280" customFormat="1" x14ac:dyDescent="0.2"/>
    <row r="70281" customFormat="1" x14ac:dyDescent="0.2"/>
    <row r="70282" customFormat="1" x14ac:dyDescent="0.2"/>
    <row r="70283" customFormat="1" x14ac:dyDescent="0.2"/>
    <row r="70284" customFormat="1" x14ac:dyDescent="0.2"/>
    <row r="70285" customFormat="1" x14ac:dyDescent="0.2"/>
    <row r="70286" customFormat="1" x14ac:dyDescent="0.2"/>
    <row r="70287" customFormat="1" x14ac:dyDescent="0.2"/>
    <row r="70288" customFormat="1" x14ac:dyDescent="0.2"/>
    <row r="70289" customFormat="1" x14ac:dyDescent="0.2"/>
    <row r="70290" customFormat="1" x14ac:dyDescent="0.2"/>
    <row r="70291" customFormat="1" x14ac:dyDescent="0.2"/>
    <row r="70292" customFormat="1" x14ac:dyDescent="0.2"/>
    <row r="70293" customFormat="1" x14ac:dyDescent="0.2"/>
    <row r="70294" customFormat="1" x14ac:dyDescent="0.2"/>
    <row r="70295" customFormat="1" x14ac:dyDescent="0.2"/>
    <row r="70296" customFormat="1" x14ac:dyDescent="0.2"/>
    <row r="70297" customFormat="1" x14ac:dyDescent="0.2"/>
    <row r="70298" customFormat="1" x14ac:dyDescent="0.2"/>
    <row r="70299" customFormat="1" x14ac:dyDescent="0.2"/>
    <row r="70300" customFormat="1" x14ac:dyDescent="0.2"/>
    <row r="70301" customFormat="1" x14ac:dyDescent="0.2"/>
    <row r="70302" customFormat="1" x14ac:dyDescent="0.2"/>
    <row r="70303" customFormat="1" x14ac:dyDescent="0.2"/>
    <row r="70304" customFormat="1" x14ac:dyDescent="0.2"/>
    <row r="70305" customFormat="1" x14ac:dyDescent="0.2"/>
    <row r="70306" customFormat="1" x14ac:dyDescent="0.2"/>
    <row r="70307" customFormat="1" x14ac:dyDescent="0.2"/>
    <row r="70308" customFormat="1" x14ac:dyDescent="0.2"/>
    <row r="70309" customFormat="1" x14ac:dyDescent="0.2"/>
    <row r="70310" customFormat="1" x14ac:dyDescent="0.2"/>
    <row r="70311" customFormat="1" x14ac:dyDescent="0.2"/>
    <row r="70312" customFormat="1" x14ac:dyDescent="0.2"/>
    <row r="70313" customFormat="1" x14ac:dyDescent="0.2"/>
    <row r="70314" customFormat="1" x14ac:dyDescent="0.2"/>
    <row r="70315" customFormat="1" x14ac:dyDescent="0.2"/>
    <row r="70316" customFormat="1" x14ac:dyDescent="0.2"/>
    <row r="70317" customFormat="1" x14ac:dyDescent="0.2"/>
    <row r="70318" customFormat="1" x14ac:dyDescent="0.2"/>
    <row r="70319" customFormat="1" x14ac:dyDescent="0.2"/>
    <row r="70320" customFormat="1" x14ac:dyDescent="0.2"/>
    <row r="70321" customFormat="1" x14ac:dyDescent="0.2"/>
    <row r="70322" customFormat="1" x14ac:dyDescent="0.2"/>
    <row r="70323" customFormat="1" x14ac:dyDescent="0.2"/>
    <row r="70324" customFormat="1" x14ac:dyDescent="0.2"/>
    <row r="70325" customFormat="1" x14ac:dyDescent="0.2"/>
    <row r="70326" customFormat="1" x14ac:dyDescent="0.2"/>
    <row r="70327" customFormat="1" x14ac:dyDescent="0.2"/>
    <row r="70328" customFormat="1" x14ac:dyDescent="0.2"/>
    <row r="70329" customFormat="1" x14ac:dyDescent="0.2"/>
    <row r="70330" customFormat="1" x14ac:dyDescent="0.2"/>
    <row r="70331" customFormat="1" x14ac:dyDescent="0.2"/>
    <row r="70332" customFormat="1" x14ac:dyDescent="0.2"/>
    <row r="70333" customFormat="1" x14ac:dyDescent="0.2"/>
    <row r="70334" customFormat="1" x14ac:dyDescent="0.2"/>
    <row r="70335" customFormat="1" x14ac:dyDescent="0.2"/>
    <row r="70336" customFormat="1" x14ac:dyDescent="0.2"/>
    <row r="70337" customFormat="1" x14ac:dyDescent="0.2"/>
    <row r="70338" customFormat="1" x14ac:dyDescent="0.2"/>
    <row r="70339" customFormat="1" x14ac:dyDescent="0.2"/>
    <row r="70340" customFormat="1" x14ac:dyDescent="0.2"/>
    <row r="70341" customFormat="1" x14ac:dyDescent="0.2"/>
    <row r="70342" customFormat="1" x14ac:dyDescent="0.2"/>
    <row r="70343" customFormat="1" x14ac:dyDescent="0.2"/>
    <row r="70344" customFormat="1" x14ac:dyDescent="0.2"/>
    <row r="70345" customFormat="1" x14ac:dyDescent="0.2"/>
    <row r="70346" customFormat="1" x14ac:dyDescent="0.2"/>
    <row r="70347" customFormat="1" x14ac:dyDescent="0.2"/>
    <row r="70348" customFormat="1" x14ac:dyDescent="0.2"/>
    <row r="70349" customFormat="1" x14ac:dyDescent="0.2"/>
    <row r="70350" customFormat="1" x14ac:dyDescent="0.2"/>
    <row r="70351" customFormat="1" x14ac:dyDescent="0.2"/>
    <row r="70352" customFormat="1" x14ac:dyDescent="0.2"/>
    <row r="70353" customFormat="1" x14ac:dyDescent="0.2"/>
    <row r="70354" customFormat="1" x14ac:dyDescent="0.2"/>
    <row r="70355" customFormat="1" x14ac:dyDescent="0.2"/>
    <row r="70356" customFormat="1" x14ac:dyDescent="0.2"/>
    <row r="70357" customFormat="1" x14ac:dyDescent="0.2"/>
    <row r="70358" customFormat="1" x14ac:dyDescent="0.2"/>
    <row r="70359" customFormat="1" x14ac:dyDescent="0.2"/>
    <row r="70360" customFormat="1" x14ac:dyDescent="0.2"/>
    <row r="70361" customFormat="1" x14ac:dyDescent="0.2"/>
    <row r="70362" customFormat="1" x14ac:dyDescent="0.2"/>
    <row r="70363" customFormat="1" x14ac:dyDescent="0.2"/>
    <row r="70364" customFormat="1" x14ac:dyDescent="0.2"/>
    <row r="70365" customFormat="1" x14ac:dyDescent="0.2"/>
    <row r="70366" customFormat="1" x14ac:dyDescent="0.2"/>
    <row r="70367" customFormat="1" x14ac:dyDescent="0.2"/>
    <row r="70368" customFormat="1" x14ac:dyDescent="0.2"/>
    <row r="70369" customFormat="1" x14ac:dyDescent="0.2"/>
    <row r="70370" customFormat="1" x14ac:dyDescent="0.2"/>
    <row r="70371" customFormat="1" x14ac:dyDescent="0.2"/>
    <row r="70372" customFormat="1" x14ac:dyDescent="0.2"/>
    <row r="70373" customFormat="1" x14ac:dyDescent="0.2"/>
    <row r="70374" customFormat="1" x14ac:dyDescent="0.2"/>
    <row r="70375" customFormat="1" x14ac:dyDescent="0.2"/>
    <row r="70376" customFormat="1" x14ac:dyDescent="0.2"/>
    <row r="70377" customFormat="1" x14ac:dyDescent="0.2"/>
    <row r="70378" customFormat="1" x14ac:dyDescent="0.2"/>
    <row r="70379" customFormat="1" x14ac:dyDescent="0.2"/>
    <row r="70380" customFormat="1" x14ac:dyDescent="0.2"/>
    <row r="70381" customFormat="1" x14ac:dyDescent="0.2"/>
    <row r="70382" customFormat="1" x14ac:dyDescent="0.2"/>
    <row r="70383" customFormat="1" x14ac:dyDescent="0.2"/>
    <row r="70384" customFormat="1" x14ac:dyDescent="0.2"/>
    <row r="70385" customFormat="1" x14ac:dyDescent="0.2"/>
    <row r="70386" customFormat="1" x14ac:dyDescent="0.2"/>
    <row r="70387" customFormat="1" x14ac:dyDescent="0.2"/>
    <row r="70388" customFormat="1" x14ac:dyDescent="0.2"/>
    <row r="70389" customFormat="1" x14ac:dyDescent="0.2"/>
    <row r="70390" customFormat="1" x14ac:dyDescent="0.2"/>
    <row r="70391" customFormat="1" x14ac:dyDescent="0.2"/>
    <row r="70392" customFormat="1" x14ac:dyDescent="0.2"/>
    <row r="70393" customFormat="1" x14ac:dyDescent="0.2"/>
    <row r="70394" customFormat="1" x14ac:dyDescent="0.2"/>
    <row r="70395" customFormat="1" x14ac:dyDescent="0.2"/>
    <row r="70396" customFormat="1" x14ac:dyDescent="0.2"/>
    <row r="70397" customFormat="1" x14ac:dyDescent="0.2"/>
    <row r="70398" customFormat="1" x14ac:dyDescent="0.2"/>
    <row r="70399" customFormat="1" x14ac:dyDescent="0.2"/>
    <row r="70400" customFormat="1" x14ac:dyDescent="0.2"/>
    <row r="70401" customFormat="1" x14ac:dyDescent="0.2"/>
    <row r="70402" customFormat="1" x14ac:dyDescent="0.2"/>
    <row r="70403" customFormat="1" x14ac:dyDescent="0.2"/>
    <row r="70404" customFormat="1" x14ac:dyDescent="0.2"/>
    <row r="70405" customFormat="1" x14ac:dyDescent="0.2"/>
    <row r="70406" customFormat="1" x14ac:dyDescent="0.2"/>
    <row r="70407" customFormat="1" x14ac:dyDescent="0.2"/>
    <row r="70408" customFormat="1" x14ac:dyDescent="0.2"/>
    <row r="70409" customFormat="1" x14ac:dyDescent="0.2"/>
    <row r="70410" customFormat="1" x14ac:dyDescent="0.2"/>
    <row r="70411" customFormat="1" x14ac:dyDescent="0.2"/>
    <row r="70412" customFormat="1" x14ac:dyDescent="0.2"/>
    <row r="70413" customFormat="1" x14ac:dyDescent="0.2"/>
    <row r="70414" customFormat="1" x14ac:dyDescent="0.2"/>
    <row r="70415" customFormat="1" x14ac:dyDescent="0.2"/>
    <row r="70416" customFormat="1" x14ac:dyDescent="0.2"/>
    <row r="70417" customFormat="1" x14ac:dyDescent="0.2"/>
    <row r="70418" customFormat="1" x14ac:dyDescent="0.2"/>
    <row r="70419" customFormat="1" x14ac:dyDescent="0.2"/>
    <row r="70420" customFormat="1" x14ac:dyDescent="0.2"/>
    <row r="70421" customFormat="1" x14ac:dyDescent="0.2"/>
    <row r="70422" customFormat="1" x14ac:dyDescent="0.2"/>
    <row r="70423" customFormat="1" x14ac:dyDescent="0.2"/>
    <row r="70424" customFormat="1" x14ac:dyDescent="0.2"/>
    <row r="70425" customFormat="1" x14ac:dyDescent="0.2"/>
    <row r="70426" customFormat="1" x14ac:dyDescent="0.2"/>
    <row r="70427" customFormat="1" x14ac:dyDescent="0.2"/>
    <row r="70428" customFormat="1" x14ac:dyDescent="0.2"/>
    <row r="70429" customFormat="1" x14ac:dyDescent="0.2"/>
    <row r="70430" customFormat="1" x14ac:dyDescent="0.2"/>
    <row r="70431" customFormat="1" x14ac:dyDescent="0.2"/>
    <row r="70432" customFormat="1" x14ac:dyDescent="0.2"/>
    <row r="70433" customFormat="1" x14ac:dyDescent="0.2"/>
    <row r="70434" customFormat="1" x14ac:dyDescent="0.2"/>
    <row r="70435" customFormat="1" x14ac:dyDescent="0.2"/>
    <row r="70436" customFormat="1" x14ac:dyDescent="0.2"/>
    <row r="70437" customFormat="1" x14ac:dyDescent="0.2"/>
    <row r="70438" customFormat="1" x14ac:dyDescent="0.2"/>
    <row r="70439" customFormat="1" x14ac:dyDescent="0.2"/>
    <row r="70440" customFormat="1" x14ac:dyDescent="0.2"/>
    <row r="70441" customFormat="1" x14ac:dyDescent="0.2"/>
    <row r="70442" customFormat="1" x14ac:dyDescent="0.2"/>
    <row r="70443" customFormat="1" x14ac:dyDescent="0.2"/>
    <row r="70444" customFormat="1" x14ac:dyDescent="0.2"/>
    <row r="70445" customFormat="1" x14ac:dyDescent="0.2"/>
    <row r="70446" customFormat="1" x14ac:dyDescent="0.2"/>
    <row r="70447" customFormat="1" x14ac:dyDescent="0.2"/>
    <row r="70448" customFormat="1" x14ac:dyDescent="0.2"/>
    <row r="70449" customFormat="1" x14ac:dyDescent="0.2"/>
    <row r="70450" customFormat="1" x14ac:dyDescent="0.2"/>
    <row r="70451" customFormat="1" x14ac:dyDescent="0.2"/>
    <row r="70452" customFormat="1" x14ac:dyDescent="0.2"/>
    <row r="70453" customFormat="1" x14ac:dyDescent="0.2"/>
    <row r="70454" customFormat="1" x14ac:dyDescent="0.2"/>
    <row r="70455" customFormat="1" x14ac:dyDescent="0.2"/>
    <row r="70456" customFormat="1" x14ac:dyDescent="0.2"/>
    <row r="70457" customFormat="1" x14ac:dyDescent="0.2"/>
    <row r="70458" customFormat="1" x14ac:dyDescent="0.2"/>
    <row r="70459" customFormat="1" x14ac:dyDescent="0.2"/>
    <row r="70460" customFormat="1" x14ac:dyDescent="0.2"/>
    <row r="70461" customFormat="1" x14ac:dyDescent="0.2"/>
    <row r="70462" customFormat="1" x14ac:dyDescent="0.2"/>
    <row r="70463" customFormat="1" x14ac:dyDescent="0.2"/>
    <row r="70464" customFormat="1" x14ac:dyDescent="0.2"/>
    <row r="70465" customFormat="1" x14ac:dyDescent="0.2"/>
    <row r="70466" customFormat="1" x14ac:dyDescent="0.2"/>
    <row r="70467" customFormat="1" x14ac:dyDescent="0.2"/>
    <row r="70468" customFormat="1" x14ac:dyDescent="0.2"/>
    <row r="70469" customFormat="1" x14ac:dyDescent="0.2"/>
    <row r="70470" customFormat="1" x14ac:dyDescent="0.2"/>
    <row r="70471" customFormat="1" x14ac:dyDescent="0.2"/>
    <row r="70472" customFormat="1" x14ac:dyDescent="0.2"/>
    <row r="70473" customFormat="1" x14ac:dyDescent="0.2"/>
    <row r="70474" customFormat="1" x14ac:dyDescent="0.2"/>
    <row r="70475" customFormat="1" x14ac:dyDescent="0.2"/>
    <row r="70476" customFormat="1" x14ac:dyDescent="0.2"/>
    <row r="70477" customFormat="1" x14ac:dyDescent="0.2"/>
    <row r="70478" customFormat="1" x14ac:dyDescent="0.2"/>
    <row r="70479" customFormat="1" x14ac:dyDescent="0.2"/>
    <row r="70480" customFormat="1" x14ac:dyDescent="0.2"/>
    <row r="70481" customFormat="1" x14ac:dyDescent="0.2"/>
    <row r="70482" customFormat="1" x14ac:dyDescent="0.2"/>
    <row r="70483" customFormat="1" x14ac:dyDescent="0.2"/>
    <row r="70484" customFormat="1" x14ac:dyDescent="0.2"/>
    <row r="70485" customFormat="1" x14ac:dyDescent="0.2"/>
    <row r="70486" customFormat="1" x14ac:dyDescent="0.2"/>
    <row r="70487" customFormat="1" x14ac:dyDescent="0.2"/>
    <row r="70488" customFormat="1" x14ac:dyDescent="0.2"/>
    <row r="70489" customFormat="1" x14ac:dyDescent="0.2"/>
    <row r="70490" customFormat="1" x14ac:dyDescent="0.2"/>
    <row r="70491" customFormat="1" x14ac:dyDescent="0.2"/>
    <row r="70492" customFormat="1" x14ac:dyDescent="0.2"/>
    <row r="70493" customFormat="1" x14ac:dyDescent="0.2"/>
    <row r="70494" customFormat="1" x14ac:dyDescent="0.2"/>
    <row r="70495" customFormat="1" x14ac:dyDescent="0.2"/>
    <row r="70496" customFormat="1" x14ac:dyDescent="0.2"/>
    <row r="70497" customFormat="1" x14ac:dyDescent="0.2"/>
    <row r="70498" customFormat="1" x14ac:dyDescent="0.2"/>
    <row r="70499" customFormat="1" x14ac:dyDescent="0.2"/>
    <row r="70500" customFormat="1" x14ac:dyDescent="0.2"/>
    <row r="70501" customFormat="1" x14ac:dyDescent="0.2"/>
    <row r="70502" customFormat="1" x14ac:dyDescent="0.2"/>
    <row r="70503" customFormat="1" x14ac:dyDescent="0.2"/>
    <row r="70504" customFormat="1" x14ac:dyDescent="0.2"/>
    <row r="70505" customFormat="1" x14ac:dyDescent="0.2"/>
    <row r="70506" customFormat="1" x14ac:dyDescent="0.2"/>
    <row r="70507" customFormat="1" x14ac:dyDescent="0.2"/>
    <row r="70508" customFormat="1" x14ac:dyDescent="0.2"/>
    <row r="70509" customFormat="1" x14ac:dyDescent="0.2"/>
    <row r="70510" customFormat="1" x14ac:dyDescent="0.2"/>
    <row r="70511" customFormat="1" x14ac:dyDescent="0.2"/>
    <row r="70512" customFormat="1" x14ac:dyDescent="0.2"/>
    <row r="70513" customFormat="1" x14ac:dyDescent="0.2"/>
    <row r="70514" customFormat="1" x14ac:dyDescent="0.2"/>
    <row r="70515" customFormat="1" x14ac:dyDescent="0.2"/>
    <row r="70516" customFormat="1" x14ac:dyDescent="0.2"/>
    <row r="70517" customFormat="1" x14ac:dyDescent="0.2"/>
    <row r="70518" customFormat="1" x14ac:dyDescent="0.2"/>
    <row r="70519" customFormat="1" x14ac:dyDescent="0.2"/>
    <row r="70520" customFormat="1" x14ac:dyDescent="0.2"/>
    <row r="70521" customFormat="1" x14ac:dyDescent="0.2"/>
    <row r="70522" customFormat="1" x14ac:dyDescent="0.2"/>
    <row r="70523" customFormat="1" x14ac:dyDescent="0.2"/>
    <row r="70524" customFormat="1" x14ac:dyDescent="0.2"/>
    <row r="70525" customFormat="1" x14ac:dyDescent="0.2"/>
    <row r="70526" customFormat="1" x14ac:dyDescent="0.2"/>
    <row r="70527" customFormat="1" x14ac:dyDescent="0.2"/>
    <row r="70528" customFormat="1" x14ac:dyDescent="0.2"/>
    <row r="70529" customFormat="1" x14ac:dyDescent="0.2"/>
    <row r="70530" customFormat="1" x14ac:dyDescent="0.2"/>
    <row r="70531" customFormat="1" x14ac:dyDescent="0.2"/>
    <row r="70532" customFormat="1" x14ac:dyDescent="0.2"/>
    <row r="70533" customFormat="1" x14ac:dyDescent="0.2"/>
    <row r="70534" customFormat="1" x14ac:dyDescent="0.2"/>
    <row r="70535" customFormat="1" x14ac:dyDescent="0.2"/>
    <row r="70536" customFormat="1" x14ac:dyDescent="0.2"/>
    <row r="70537" customFormat="1" x14ac:dyDescent="0.2"/>
    <row r="70538" customFormat="1" x14ac:dyDescent="0.2"/>
    <row r="70539" customFormat="1" x14ac:dyDescent="0.2"/>
    <row r="70540" customFormat="1" x14ac:dyDescent="0.2"/>
    <row r="70541" customFormat="1" x14ac:dyDescent="0.2"/>
    <row r="70542" customFormat="1" x14ac:dyDescent="0.2"/>
    <row r="70543" customFormat="1" x14ac:dyDescent="0.2"/>
    <row r="70544" customFormat="1" x14ac:dyDescent="0.2"/>
    <row r="70545" customFormat="1" x14ac:dyDescent="0.2"/>
    <row r="70546" customFormat="1" x14ac:dyDescent="0.2"/>
    <row r="70547" customFormat="1" x14ac:dyDescent="0.2"/>
    <row r="70548" customFormat="1" x14ac:dyDescent="0.2"/>
    <row r="70549" customFormat="1" x14ac:dyDescent="0.2"/>
    <row r="70550" customFormat="1" x14ac:dyDescent="0.2"/>
    <row r="70551" customFormat="1" x14ac:dyDescent="0.2"/>
    <row r="70552" customFormat="1" x14ac:dyDescent="0.2"/>
    <row r="70553" customFormat="1" x14ac:dyDescent="0.2"/>
    <row r="70554" customFormat="1" x14ac:dyDescent="0.2"/>
    <row r="70555" customFormat="1" x14ac:dyDescent="0.2"/>
    <row r="70556" customFormat="1" x14ac:dyDescent="0.2"/>
    <row r="70557" customFormat="1" x14ac:dyDescent="0.2"/>
    <row r="70558" customFormat="1" x14ac:dyDescent="0.2"/>
    <row r="70559" customFormat="1" x14ac:dyDescent="0.2"/>
    <row r="70560" customFormat="1" x14ac:dyDescent="0.2"/>
    <row r="70561" customFormat="1" x14ac:dyDescent="0.2"/>
    <row r="70562" customFormat="1" x14ac:dyDescent="0.2"/>
    <row r="70563" customFormat="1" x14ac:dyDescent="0.2"/>
    <row r="70564" customFormat="1" x14ac:dyDescent="0.2"/>
    <row r="70565" customFormat="1" x14ac:dyDescent="0.2"/>
    <row r="70566" customFormat="1" x14ac:dyDescent="0.2"/>
    <row r="70567" customFormat="1" x14ac:dyDescent="0.2"/>
    <row r="70568" customFormat="1" x14ac:dyDescent="0.2"/>
    <row r="70569" customFormat="1" x14ac:dyDescent="0.2"/>
    <row r="70570" customFormat="1" x14ac:dyDescent="0.2"/>
    <row r="70571" customFormat="1" x14ac:dyDescent="0.2"/>
    <row r="70572" customFormat="1" x14ac:dyDescent="0.2"/>
    <row r="70573" customFormat="1" x14ac:dyDescent="0.2"/>
    <row r="70574" customFormat="1" x14ac:dyDescent="0.2"/>
    <row r="70575" customFormat="1" x14ac:dyDescent="0.2"/>
    <row r="70576" customFormat="1" x14ac:dyDescent="0.2"/>
    <row r="70577" customFormat="1" x14ac:dyDescent="0.2"/>
    <row r="70578" customFormat="1" x14ac:dyDescent="0.2"/>
    <row r="70579" customFormat="1" x14ac:dyDescent="0.2"/>
    <row r="70580" customFormat="1" x14ac:dyDescent="0.2"/>
    <row r="70581" customFormat="1" x14ac:dyDescent="0.2"/>
    <row r="70582" customFormat="1" x14ac:dyDescent="0.2"/>
    <row r="70583" customFormat="1" x14ac:dyDescent="0.2"/>
    <row r="70584" customFormat="1" x14ac:dyDescent="0.2"/>
    <row r="70585" customFormat="1" x14ac:dyDescent="0.2"/>
    <row r="70586" customFormat="1" x14ac:dyDescent="0.2"/>
    <row r="70587" customFormat="1" x14ac:dyDescent="0.2"/>
    <row r="70588" customFormat="1" x14ac:dyDescent="0.2"/>
    <row r="70589" customFormat="1" x14ac:dyDescent="0.2"/>
    <row r="70590" customFormat="1" x14ac:dyDescent="0.2"/>
    <row r="70591" customFormat="1" x14ac:dyDescent="0.2"/>
    <row r="70592" customFormat="1" x14ac:dyDescent="0.2"/>
    <row r="70593" customFormat="1" x14ac:dyDescent="0.2"/>
    <row r="70594" customFormat="1" x14ac:dyDescent="0.2"/>
    <row r="70595" customFormat="1" x14ac:dyDescent="0.2"/>
    <row r="70596" customFormat="1" x14ac:dyDescent="0.2"/>
    <row r="70597" customFormat="1" x14ac:dyDescent="0.2"/>
    <row r="70598" customFormat="1" x14ac:dyDescent="0.2"/>
    <row r="70599" customFormat="1" x14ac:dyDescent="0.2"/>
    <row r="70600" customFormat="1" x14ac:dyDescent="0.2"/>
    <row r="70601" customFormat="1" x14ac:dyDescent="0.2"/>
    <row r="70602" customFormat="1" x14ac:dyDescent="0.2"/>
    <row r="70603" customFormat="1" x14ac:dyDescent="0.2"/>
    <row r="70604" customFormat="1" x14ac:dyDescent="0.2"/>
    <row r="70605" customFormat="1" x14ac:dyDescent="0.2"/>
    <row r="70606" customFormat="1" x14ac:dyDescent="0.2"/>
    <row r="70607" customFormat="1" x14ac:dyDescent="0.2"/>
    <row r="70608" customFormat="1" x14ac:dyDescent="0.2"/>
    <row r="70609" customFormat="1" x14ac:dyDescent="0.2"/>
    <row r="70610" customFormat="1" x14ac:dyDescent="0.2"/>
    <row r="70611" customFormat="1" x14ac:dyDescent="0.2"/>
    <row r="70612" customFormat="1" x14ac:dyDescent="0.2"/>
    <row r="70613" customFormat="1" x14ac:dyDescent="0.2"/>
    <row r="70614" customFormat="1" x14ac:dyDescent="0.2"/>
    <row r="70615" customFormat="1" x14ac:dyDescent="0.2"/>
    <row r="70616" customFormat="1" x14ac:dyDescent="0.2"/>
    <row r="70617" customFormat="1" x14ac:dyDescent="0.2"/>
    <row r="70618" customFormat="1" x14ac:dyDescent="0.2"/>
    <row r="70619" customFormat="1" x14ac:dyDescent="0.2"/>
    <row r="70620" customFormat="1" x14ac:dyDescent="0.2"/>
    <row r="70621" customFormat="1" x14ac:dyDescent="0.2"/>
    <row r="70622" customFormat="1" x14ac:dyDescent="0.2"/>
    <row r="70623" customFormat="1" x14ac:dyDescent="0.2"/>
    <row r="70624" customFormat="1" x14ac:dyDescent="0.2"/>
    <row r="70625" customFormat="1" x14ac:dyDescent="0.2"/>
    <row r="70626" customFormat="1" x14ac:dyDescent="0.2"/>
    <row r="70627" customFormat="1" x14ac:dyDescent="0.2"/>
    <row r="70628" customFormat="1" x14ac:dyDescent="0.2"/>
    <row r="70629" customFormat="1" x14ac:dyDescent="0.2"/>
    <row r="70630" customFormat="1" x14ac:dyDescent="0.2"/>
    <row r="70631" customFormat="1" x14ac:dyDescent="0.2"/>
    <row r="70632" customFormat="1" x14ac:dyDescent="0.2"/>
    <row r="70633" customFormat="1" x14ac:dyDescent="0.2"/>
    <row r="70634" customFormat="1" x14ac:dyDescent="0.2"/>
    <row r="70635" customFormat="1" x14ac:dyDescent="0.2"/>
    <row r="70636" customFormat="1" x14ac:dyDescent="0.2"/>
    <row r="70637" customFormat="1" x14ac:dyDescent="0.2"/>
    <row r="70638" customFormat="1" x14ac:dyDescent="0.2"/>
    <row r="70639" customFormat="1" x14ac:dyDescent="0.2"/>
    <row r="70640" customFormat="1" x14ac:dyDescent="0.2"/>
    <row r="70641" customFormat="1" x14ac:dyDescent="0.2"/>
    <row r="70642" customFormat="1" x14ac:dyDescent="0.2"/>
    <row r="70643" customFormat="1" x14ac:dyDescent="0.2"/>
    <row r="70644" customFormat="1" x14ac:dyDescent="0.2"/>
    <row r="70645" customFormat="1" x14ac:dyDescent="0.2"/>
    <row r="70646" customFormat="1" x14ac:dyDescent="0.2"/>
    <row r="70647" customFormat="1" x14ac:dyDescent="0.2"/>
    <row r="70648" customFormat="1" x14ac:dyDescent="0.2"/>
    <row r="70649" customFormat="1" x14ac:dyDescent="0.2"/>
    <row r="70650" customFormat="1" x14ac:dyDescent="0.2"/>
    <row r="70651" customFormat="1" x14ac:dyDescent="0.2"/>
    <row r="70652" customFormat="1" x14ac:dyDescent="0.2"/>
    <row r="70653" customFormat="1" x14ac:dyDescent="0.2"/>
    <row r="70654" customFormat="1" x14ac:dyDescent="0.2"/>
    <row r="70655" customFormat="1" x14ac:dyDescent="0.2"/>
    <row r="70656" customFormat="1" x14ac:dyDescent="0.2"/>
    <row r="70657" customFormat="1" x14ac:dyDescent="0.2"/>
    <row r="70658" customFormat="1" x14ac:dyDescent="0.2"/>
    <row r="70659" customFormat="1" x14ac:dyDescent="0.2"/>
    <row r="70660" customFormat="1" x14ac:dyDescent="0.2"/>
    <row r="70661" customFormat="1" x14ac:dyDescent="0.2"/>
    <row r="70662" customFormat="1" x14ac:dyDescent="0.2"/>
    <row r="70663" customFormat="1" x14ac:dyDescent="0.2"/>
    <row r="70664" customFormat="1" x14ac:dyDescent="0.2"/>
    <row r="70665" customFormat="1" x14ac:dyDescent="0.2"/>
    <row r="70666" customFormat="1" x14ac:dyDescent="0.2"/>
    <row r="70667" customFormat="1" x14ac:dyDescent="0.2"/>
    <row r="70668" customFormat="1" x14ac:dyDescent="0.2"/>
    <row r="70669" customFormat="1" x14ac:dyDescent="0.2"/>
    <row r="70670" customFormat="1" x14ac:dyDescent="0.2"/>
    <row r="70671" customFormat="1" x14ac:dyDescent="0.2"/>
    <row r="70672" customFormat="1" x14ac:dyDescent="0.2"/>
    <row r="70673" customFormat="1" x14ac:dyDescent="0.2"/>
    <row r="70674" customFormat="1" x14ac:dyDescent="0.2"/>
    <row r="70675" customFormat="1" x14ac:dyDescent="0.2"/>
    <row r="70676" customFormat="1" x14ac:dyDescent="0.2"/>
    <row r="70677" customFormat="1" x14ac:dyDescent="0.2"/>
    <row r="70678" customFormat="1" x14ac:dyDescent="0.2"/>
    <row r="70679" customFormat="1" x14ac:dyDescent="0.2"/>
    <row r="70680" customFormat="1" x14ac:dyDescent="0.2"/>
    <row r="70681" customFormat="1" x14ac:dyDescent="0.2"/>
    <row r="70682" customFormat="1" x14ac:dyDescent="0.2"/>
    <row r="70683" customFormat="1" x14ac:dyDescent="0.2"/>
    <row r="70684" customFormat="1" x14ac:dyDescent="0.2"/>
    <row r="70685" customFormat="1" x14ac:dyDescent="0.2"/>
    <row r="70686" customFormat="1" x14ac:dyDescent="0.2"/>
    <row r="70687" customFormat="1" x14ac:dyDescent="0.2"/>
    <row r="70688" customFormat="1" x14ac:dyDescent="0.2"/>
    <row r="70689" customFormat="1" x14ac:dyDescent="0.2"/>
    <row r="70690" customFormat="1" x14ac:dyDescent="0.2"/>
    <row r="70691" customFormat="1" x14ac:dyDescent="0.2"/>
    <row r="70692" customFormat="1" x14ac:dyDescent="0.2"/>
    <row r="70693" customFormat="1" x14ac:dyDescent="0.2"/>
    <row r="70694" customFormat="1" x14ac:dyDescent="0.2"/>
    <row r="70695" customFormat="1" x14ac:dyDescent="0.2"/>
    <row r="70696" customFormat="1" x14ac:dyDescent="0.2"/>
    <row r="70697" customFormat="1" x14ac:dyDescent="0.2"/>
    <row r="70698" customFormat="1" x14ac:dyDescent="0.2"/>
    <row r="70699" customFormat="1" x14ac:dyDescent="0.2"/>
    <row r="70700" customFormat="1" x14ac:dyDescent="0.2"/>
    <row r="70701" customFormat="1" x14ac:dyDescent="0.2"/>
    <row r="70702" customFormat="1" x14ac:dyDescent="0.2"/>
    <row r="70703" customFormat="1" x14ac:dyDescent="0.2"/>
    <row r="70704" customFormat="1" x14ac:dyDescent="0.2"/>
    <row r="70705" customFormat="1" x14ac:dyDescent="0.2"/>
    <row r="70706" customFormat="1" x14ac:dyDescent="0.2"/>
    <row r="70707" customFormat="1" x14ac:dyDescent="0.2"/>
    <row r="70708" customFormat="1" x14ac:dyDescent="0.2"/>
    <row r="70709" customFormat="1" x14ac:dyDescent="0.2"/>
    <row r="70710" customFormat="1" x14ac:dyDescent="0.2"/>
    <row r="70711" customFormat="1" x14ac:dyDescent="0.2"/>
    <row r="70712" customFormat="1" x14ac:dyDescent="0.2"/>
    <row r="70713" customFormat="1" x14ac:dyDescent="0.2"/>
    <row r="70714" customFormat="1" x14ac:dyDescent="0.2"/>
    <row r="70715" customFormat="1" x14ac:dyDescent="0.2"/>
    <row r="70716" customFormat="1" x14ac:dyDescent="0.2"/>
    <row r="70717" customFormat="1" x14ac:dyDescent="0.2"/>
    <row r="70718" customFormat="1" x14ac:dyDescent="0.2"/>
    <row r="70719" customFormat="1" x14ac:dyDescent="0.2"/>
    <row r="70720" customFormat="1" x14ac:dyDescent="0.2"/>
    <row r="70721" customFormat="1" x14ac:dyDescent="0.2"/>
    <row r="70722" customFormat="1" x14ac:dyDescent="0.2"/>
    <row r="70723" customFormat="1" x14ac:dyDescent="0.2"/>
    <row r="70724" customFormat="1" x14ac:dyDescent="0.2"/>
    <row r="70725" customFormat="1" x14ac:dyDescent="0.2"/>
    <row r="70726" customFormat="1" x14ac:dyDescent="0.2"/>
    <row r="70727" customFormat="1" x14ac:dyDescent="0.2"/>
    <row r="70728" customFormat="1" x14ac:dyDescent="0.2"/>
    <row r="70729" customFormat="1" x14ac:dyDescent="0.2"/>
    <row r="70730" customFormat="1" x14ac:dyDescent="0.2"/>
    <row r="70731" customFormat="1" x14ac:dyDescent="0.2"/>
    <row r="70732" customFormat="1" x14ac:dyDescent="0.2"/>
    <row r="70733" customFormat="1" x14ac:dyDescent="0.2"/>
    <row r="70734" customFormat="1" x14ac:dyDescent="0.2"/>
    <row r="70735" customFormat="1" x14ac:dyDescent="0.2"/>
    <row r="70736" customFormat="1" x14ac:dyDescent="0.2"/>
    <row r="70737" customFormat="1" x14ac:dyDescent="0.2"/>
    <row r="70738" customFormat="1" x14ac:dyDescent="0.2"/>
    <row r="70739" customFormat="1" x14ac:dyDescent="0.2"/>
    <row r="70740" customFormat="1" x14ac:dyDescent="0.2"/>
    <row r="70741" customFormat="1" x14ac:dyDescent="0.2"/>
    <row r="70742" customFormat="1" x14ac:dyDescent="0.2"/>
    <row r="70743" customFormat="1" x14ac:dyDescent="0.2"/>
    <row r="70744" customFormat="1" x14ac:dyDescent="0.2"/>
    <row r="70745" customFormat="1" x14ac:dyDescent="0.2"/>
    <row r="70746" customFormat="1" x14ac:dyDescent="0.2"/>
    <row r="70747" customFormat="1" x14ac:dyDescent="0.2"/>
    <row r="70748" customFormat="1" x14ac:dyDescent="0.2"/>
    <row r="70749" customFormat="1" x14ac:dyDescent="0.2"/>
    <row r="70750" customFormat="1" x14ac:dyDescent="0.2"/>
    <row r="70751" customFormat="1" x14ac:dyDescent="0.2"/>
    <row r="70752" customFormat="1" x14ac:dyDescent="0.2"/>
    <row r="70753" customFormat="1" x14ac:dyDescent="0.2"/>
    <row r="70754" customFormat="1" x14ac:dyDescent="0.2"/>
    <row r="70755" customFormat="1" x14ac:dyDescent="0.2"/>
    <row r="70756" customFormat="1" x14ac:dyDescent="0.2"/>
    <row r="70757" customFormat="1" x14ac:dyDescent="0.2"/>
    <row r="70758" customFormat="1" x14ac:dyDescent="0.2"/>
    <row r="70759" customFormat="1" x14ac:dyDescent="0.2"/>
    <row r="70760" customFormat="1" x14ac:dyDescent="0.2"/>
    <row r="70761" customFormat="1" x14ac:dyDescent="0.2"/>
    <row r="70762" customFormat="1" x14ac:dyDescent="0.2"/>
    <row r="70763" customFormat="1" x14ac:dyDescent="0.2"/>
    <row r="70764" customFormat="1" x14ac:dyDescent="0.2"/>
    <row r="70765" customFormat="1" x14ac:dyDescent="0.2"/>
    <row r="70766" customFormat="1" x14ac:dyDescent="0.2"/>
    <row r="70767" customFormat="1" x14ac:dyDescent="0.2"/>
    <row r="70768" customFormat="1" x14ac:dyDescent="0.2"/>
    <row r="70769" customFormat="1" x14ac:dyDescent="0.2"/>
    <row r="70770" customFormat="1" x14ac:dyDescent="0.2"/>
    <row r="70771" customFormat="1" x14ac:dyDescent="0.2"/>
    <row r="70772" customFormat="1" x14ac:dyDescent="0.2"/>
    <row r="70773" customFormat="1" x14ac:dyDescent="0.2"/>
    <row r="70774" customFormat="1" x14ac:dyDescent="0.2"/>
    <row r="70775" customFormat="1" x14ac:dyDescent="0.2"/>
    <row r="70776" customFormat="1" x14ac:dyDescent="0.2"/>
    <row r="70777" customFormat="1" x14ac:dyDescent="0.2"/>
    <row r="70778" customFormat="1" x14ac:dyDescent="0.2"/>
    <row r="70779" customFormat="1" x14ac:dyDescent="0.2"/>
    <row r="70780" customFormat="1" x14ac:dyDescent="0.2"/>
    <row r="70781" customFormat="1" x14ac:dyDescent="0.2"/>
    <row r="70782" customFormat="1" x14ac:dyDescent="0.2"/>
    <row r="70783" customFormat="1" x14ac:dyDescent="0.2"/>
    <row r="70784" customFormat="1" x14ac:dyDescent="0.2"/>
    <row r="70785" customFormat="1" x14ac:dyDescent="0.2"/>
    <row r="70786" customFormat="1" x14ac:dyDescent="0.2"/>
    <row r="70787" customFormat="1" x14ac:dyDescent="0.2"/>
    <row r="70788" customFormat="1" x14ac:dyDescent="0.2"/>
    <row r="70789" customFormat="1" x14ac:dyDescent="0.2"/>
    <row r="70790" customFormat="1" x14ac:dyDescent="0.2"/>
    <row r="70791" customFormat="1" x14ac:dyDescent="0.2"/>
    <row r="70792" customFormat="1" x14ac:dyDescent="0.2"/>
    <row r="70793" customFormat="1" x14ac:dyDescent="0.2"/>
    <row r="70794" customFormat="1" x14ac:dyDescent="0.2"/>
    <row r="70795" customFormat="1" x14ac:dyDescent="0.2"/>
    <row r="70796" customFormat="1" x14ac:dyDescent="0.2"/>
    <row r="70797" customFormat="1" x14ac:dyDescent="0.2"/>
    <row r="70798" customFormat="1" x14ac:dyDescent="0.2"/>
    <row r="70799" customFormat="1" x14ac:dyDescent="0.2"/>
    <row r="70800" customFormat="1" x14ac:dyDescent="0.2"/>
    <row r="70801" customFormat="1" x14ac:dyDescent="0.2"/>
    <row r="70802" customFormat="1" x14ac:dyDescent="0.2"/>
    <row r="70803" customFormat="1" x14ac:dyDescent="0.2"/>
    <row r="70804" customFormat="1" x14ac:dyDescent="0.2"/>
    <row r="70805" customFormat="1" x14ac:dyDescent="0.2"/>
    <row r="70806" customFormat="1" x14ac:dyDescent="0.2"/>
    <row r="70807" customFormat="1" x14ac:dyDescent="0.2"/>
    <row r="70808" customFormat="1" x14ac:dyDescent="0.2"/>
    <row r="70809" customFormat="1" x14ac:dyDescent="0.2"/>
    <row r="70810" customFormat="1" x14ac:dyDescent="0.2"/>
    <row r="70811" customFormat="1" x14ac:dyDescent="0.2"/>
    <row r="70812" customFormat="1" x14ac:dyDescent="0.2"/>
    <row r="70813" customFormat="1" x14ac:dyDescent="0.2"/>
    <row r="70814" customFormat="1" x14ac:dyDescent="0.2"/>
    <row r="70815" customFormat="1" x14ac:dyDescent="0.2"/>
    <row r="70816" customFormat="1" x14ac:dyDescent="0.2"/>
    <row r="70817" customFormat="1" x14ac:dyDescent="0.2"/>
    <row r="70818" customFormat="1" x14ac:dyDescent="0.2"/>
    <row r="70819" customFormat="1" x14ac:dyDescent="0.2"/>
    <row r="70820" customFormat="1" x14ac:dyDescent="0.2"/>
    <row r="70821" customFormat="1" x14ac:dyDescent="0.2"/>
    <row r="70822" customFormat="1" x14ac:dyDescent="0.2"/>
    <row r="70823" customFormat="1" x14ac:dyDescent="0.2"/>
    <row r="70824" customFormat="1" x14ac:dyDescent="0.2"/>
    <row r="70825" customFormat="1" x14ac:dyDescent="0.2"/>
    <row r="70826" customFormat="1" x14ac:dyDescent="0.2"/>
    <row r="70827" customFormat="1" x14ac:dyDescent="0.2"/>
    <row r="70828" customFormat="1" x14ac:dyDescent="0.2"/>
    <row r="70829" customFormat="1" x14ac:dyDescent="0.2"/>
    <row r="70830" customFormat="1" x14ac:dyDescent="0.2"/>
    <row r="70831" customFormat="1" x14ac:dyDescent="0.2"/>
    <row r="70832" customFormat="1" x14ac:dyDescent="0.2"/>
    <row r="70833" customFormat="1" x14ac:dyDescent="0.2"/>
    <row r="70834" customFormat="1" x14ac:dyDescent="0.2"/>
    <row r="70835" customFormat="1" x14ac:dyDescent="0.2"/>
    <row r="70836" customFormat="1" x14ac:dyDescent="0.2"/>
    <row r="70837" customFormat="1" x14ac:dyDescent="0.2"/>
    <row r="70838" customFormat="1" x14ac:dyDescent="0.2"/>
    <row r="70839" customFormat="1" x14ac:dyDescent="0.2"/>
    <row r="70840" customFormat="1" x14ac:dyDescent="0.2"/>
    <row r="70841" customFormat="1" x14ac:dyDescent="0.2"/>
    <row r="70842" customFormat="1" x14ac:dyDescent="0.2"/>
    <row r="70843" customFormat="1" x14ac:dyDescent="0.2"/>
    <row r="70844" customFormat="1" x14ac:dyDescent="0.2"/>
    <row r="70845" customFormat="1" x14ac:dyDescent="0.2"/>
    <row r="70846" customFormat="1" x14ac:dyDescent="0.2"/>
    <row r="70847" customFormat="1" x14ac:dyDescent="0.2"/>
    <row r="70848" customFormat="1" x14ac:dyDescent="0.2"/>
    <row r="70849" customFormat="1" x14ac:dyDescent="0.2"/>
    <row r="70850" customFormat="1" x14ac:dyDescent="0.2"/>
    <row r="70851" customFormat="1" x14ac:dyDescent="0.2"/>
    <row r="70852" customFormat="1" x14ac:dyDescent="0.2"/>
    <row r="70853" customFormat="1" x14ac:dyDescent="0.2"/>
    <row r="70854" customFormat="1" x14ac:dyDescent="0.2"/>
    <row r="70855" customFormat="1" x14ac:dyDescent="0.2"/>
    <row r="70856" customFormat="1" x14ac:dyDescent="0.2"/>
    <row r="70857" customFormat="1" x14ac:dyDescent="0.2"/>
    <row r="70858" customFormat="1" x14ac:dyDescent="0.2"/>
    <row r="70859" customFormat="1" x14ac:dyDescent="0.2"/>
    <row r="70860" customFormat="1" x14ac:dyDescent="0.2"/>
    <row r="70861" customFormat="1" x14ac:dyDescent="0.2"/>
    <row r="70862" customFormat="1" x14ac:dyDescent="0.2"/>
    <row r="70863" customFormat="1" x14ac:dyDescent="0.2"/>
    <row r="70864" customFormat="1" x14ac:dyDescent="0.2"/>
    <row r="70865" customFormat="1" x14ac:dyDescent="0.2"/>
    <row r="70866" customFormat="1" x14ac:dyDescent="0.2"/>
    <row r="70867" customFormat="1" x14ac:dyDescent="0.2"/>
    <row r="70868" customFormat="1" x14ac:dyDescent="0.2"/>
    <row r="70869" customFormat="1" x14ac:dyDescent="0.2"/>
    <row r="70870" customFormat="1" x14ac:dyDescent="0.2"/>
    <row r="70871" customFormat="1" x14ac:dyDescent="0.2"/>
    <row r="70872" customFormat="1" x14ac:dyDescent="0.2"/>
    <row r="70873" customFormat="1" x14ac:dyDescent="0.2"/>
    <row r="70874" customFormat="1" x14ac:dyDescent="0.2"/>
    <row r="70875" customFormat="1" x14ac:dyDescent="0.2"/>
    <row r="70876" customFormat="1" x14ac:dyDescent="0.2"/>
    <row r="70877" customFormat="1" x14ac:dyDescent="0.2"/>
    <row r="70878" customFormat="1" x14ac:dyDescent="0.2"/>
    <row r="70879" customFormat="1" x14ac:dyDescent="0.2"/>
    <row r="70880" customFormat="1" x14ac:dyDescent="0.2"/>
    <row r="70881" customFormat="1" x14ac:dyDescent="0.2"/>
    <row r="70882" customFormat="1" x14ac:dyDescent="0.2"/>
    <row r="70883" customFormat="1" x14ac:dyDescent="0.2"/>
    <row r="70884" customFormat="1" x14ac:dyDescent="0.2"/>
    <row r="70885" customFormat="1" x14ac:dyDescent="0.2"/>
    <row r="70886" customFormat="1" x14ac:dyDescent="0.2"/>
    <row r="70887" customFormat="1" x14ac:dyDescent="0.2"/>
    <row r="70888" customFormat="1" x14ac:dyDescent="0.2"/>
    <row r="70889" customFormat="1" x14ac:dyDescent="0.2"/>
    <row r="70890" customFormat="1" x14ac:dyDescent="0.2"/>
    <row r="70891" customFormat="1" x14ac:dyDescent="0.2"/>
    <row r="70892" customFormat="1" x14ac:dyDescent="0.2"/>
    <row r="70893" customFormat="1" x14ac:dyDescent="0.2"/>
    <row r="70894" customFormat="1" x14ac:dyDescent="0.2"/>
    <row r="70895" customFormat="1" x14ac:dyDescent="0.2"/>
    <row r="70896" customFormat="1" x14ac:dyDescent="0.2"/>
    <row r="70897" customFormat="1" x14ac:dyDescent="0.2"/>
    <row r="70898" customFormat="1" x14ac:dyDescent="0.2"/>
    <row r="70899" customFormat="1" x14ac:dyDescent="0.2"/>
    <row r="70900" customFormat="1" x14ac:dyDescent="0.2"/>
    <row r="70901" customFormat="1" x14ac:dyDescent="0.2"/>
    <row r="70902" customFormat="1" x14ac:dyDescent="0.2"/>
    <row r="70903" customFormat="1" x14ac:dyDescent="0.2"/>
    <row r="70904" customFormat="1" x14ac:dyDescent="0.2"/>
    <row r="70905" customFormat="1" x14ac:dyDescent="0.2"/>
    <row r="70906" customFormat="1" x14ac:dyDescent="0.2"/>
    <row r="70907" customFormat="1" x14ac:dyDescent="0.2"/>
    <row r="70908" customFormat="1" x14ac:dyDescent="0.2"/>
    <row r="70909" customFormat="1" x14ac:dyDescent="0.2"/>
    <row r="70910" customFormat="1" x14ac:dyDescent="0.2"/>
    <row r="70911" customFormat="1" x14ac:dyDescent="0.2"/>
    <row r="70912" customFormat="1" x14ac:dyDescent="0.2"/>
    <row r="70913" customFormat="1" x14ac:dyDescent="0.2"/>
    <row r="70914" customFormat="1" x14ac:dyDescent="0.2"/>
    <row r="70915" customFormat="1" x14ac:dyDescent="0.2"/>
    <row r="70916" customFormat="1" x14ac:dyDescent="0.2"/>
    <row r="70917" customFormat="1" x14ac:dyDescent="0.2"/>
    <row r="70918" customFormat="1" x14ac:dyDescent="0.2"/>
    <row r="70919" customFormat="1" x14ac:dyDescent="0.2"/>
    <row r="70920" customFormat="1" x14ac:dyDescent="0.2"/>
    <row r="70921" customFormat="1" x14ac:dyDescent="0.2"/>
    <row r="70922" customFormat="1" x14ac:dyDescent="0.2"/>
    <row r="70923" customFormat="1" x14ac:dyDescent="0.2"/>
    <row r="70924" customFormat="1" x14ac:dyDescent="0.2"/>
    <row r="70925" customFormat="1" x14ac:dyDescent="0.2"/>
    <row r="70926" customFormat="1" x14ac:dyDescent="0.2"/>
    <row r="70927" customFormat="1" x14ac:dyDescent="0.2"/>
    <row r="70928" customFormat="1" x14ac:dyDescent="0.2"/>
    <row r="70929" customFormat="1" x14ac:dyDescent="0.2"/>
    <row r="70930" customFormat="1" x14ac:dyDescent="0.2"/>
    <row r="70931" customFormat="1" x14ac:dyDescent="0.2"/>
    <row r="70932" customFormat="1" x14ac:dyDescent="0.2"/>
    <row r="70933" customFormat="1" x14ac:dyDescent="0.2"/>
    <row r="70934" customFormat="1" x14ac:dyDescent="0.2"/>
    <row r="70935" customFormat="1" x14ac:dyDescent="0.2"/>
    <row r="70936" customFormat="1" x14ac:dyDescent="0.2"/>
    <row r="70937" customFormat="1" x14ac:dyDescent="0.2"/>
    <row r="70938" customFormat="1" x14ac:dyDescent="0.2"/>
    <row r="70939" customFormat="1" x14ac:dyDescent="0.2"/>
    <row r="70940" customFormat="1" x14ac:dyDescent="0.2"/>
    <row r="70941" customFormat="1" x14ac:dyDescent="0.2"/>
    <row r="70942" customFormat="1" x14ac:dyDescent="0.2"/>
    <row r="70943" customFormat="1" x14ac:dyDescent="0.2"/>
    <row r="70944" customFormat="1" x14ac:dyDescent="0.2"/>
    <row r="70945" customFormat="1" x14ac:dyDescent="0.2"/>
    <row r="70946" customFormat="1" x14ac:dyDescent="0.2"/>
    <row r="70947" customFormat="1" x14ac:dyDescent="0.2"/>
    <row r="70948" customFormat="1" x14ac:dyDescent="0.2"/>
    <row r="70949" customFormat="1" x14ac:dyDescent="0.2"/>
    <row r="70950" customFormat="1" x14ac:dyDescent="0.2"/>
    <row r="70951" customFormat="1" x14ac:dyDescent="0.2"/>
    <row r="70952" customFormat="1" x14ac:dyDescent="0.2"/>
    <row r="70953" customFormat="1" x14ac:dyDescent="0.2"/>
    <row r="70954" customFormat="1" x14ac:dyDescent="0.2"/>
    <row r="70955" customFormat="1" x14ac:dyDescent="0.2"/>
    <row r="70956" customFormat="1" x14ac:dyDescent="0.2"/>
    <row r="70957" customFormat="1" x14ac:dyDescent="0.2"/>
    <row r="70958" customFormat="1" x14ac:dyDescent="0.2"/>
    <row r="70959" customFormat="1" x14ac:dyDescent="0.2"/>
    <row r="70960" customFormat="1" x14ac:dyDescent="0.2"/>
    <row r="70961" customFormat="1" x14ac:dyDescent="0.2"/>
    <row r="70962" customFormat="1" x14ac:dyDescent="0.2"/>
    <row r="70963" customFormat="1" x14ac:dyDescent="0.2"/>
    <row r="70964" customFormat="1" x14ac:dyDescent="0.2"/>
    <row r="70965" customFormat="1" x14ac:dyDescent="0.2"/>
    <row r="70966" customFormat="1" x14ac:dyDescent="0.2"/>
    <row r="70967" customFormat="1" x14ac:dyDescent="0.2"/>
    <row r="70968" customFormat="1" x14ac:dyDescent="0.2"/>
    <row r="70969" customFormat="1" x14ac:dyDescent="0.2"/>
    <row r="70970" customFormat="1" x14ac:dyDescent="0.2"/>
    <row r="70971" customFormat="1" x14ac:dyDescent="0.2"/>
    <row r="70972" customFormat="1" x14ac:dyDescent="0.2"/>
    <row r="70973" customFormat="1" x14ac:dyDescent="0.2"/>
    <row r="70974" customFormat="1" x14ac:dyDescent="0.2"/>
    <row r="70975" customFormat="1" x14ac:dyDescent="0.2"/>
    <row r="70976" customFormat="1" x14ac:dyDescent="0.2"/>
    <row r="70977" customFormat="1" x14ac:dyDescent="0.2"/>
    <row r="70978" customFormat="1" x14ac:dyDescent="0.2"/>
    <row r="70979" customFormat="1" x14ac:dyDescent="0.2"/>
    <row r="70980" customFormat="1" x14ac:dyDescent="0.2"/>
    <row r="70981" customFormat="1" x14ac:dyDescent="0.2"/>
    <row r="70982" customFormat="1" x14ac:dyDescent="0.2"/>
    <row r="70983" customFormat="1" x14ac:dyDescent="0.2"/>
    <row r="70984" customFormat="1" x14ac:dyDescent="0.2"/>
    <row r="70985" customFormat="1" x14ac:dyDescent="0.2"/>
    <row r="70986" customFormat="1" x14ac:dyDescent="0.2"/>
    <row r="70987" customFormat="1" x14ac:dyDescent="0.2"/>
    <row r="70988" customFormat="1" x14ac:dyDescent="0.2"/>
    <row r="70989" customFormat="1" x14ac:dyDescent="0.2"/>
    <row r="70990" customFormat="1" x14ac:dyDescent="0.2"/>
    <row r="70991" customFormat="1" x14ac:dyDescent="0.2"/>
    <row r="70992" customFormat="1" x14ac:dyDescent="0.2"/>
    <row r="70993" customFormat="1" x14ac:dyDescent="0.2"/>
    <row r="70994" customFormat="1" x14ac:dyDescent="0.2"/>
    <row r="70995" customFormat="1" x14ac:dyDescent="0.2"/>
    <row r="70996" customFormat="1" x14ac:dyDescent="0.2"/>
    <row r="70997" customFormat="1" x14ac:dyDescent="0.2"/>
    <row r="70998" customFormat="1" x14ac:dyDescent="0.2"/>
    <row r="70999" customFormat="1" x14ac:dyDescent="0.2"/>
    <row r="71000" customFormat="1" x14ac:dyDescent="0.2"/>
    <row r="71001" customFormat="1" x14ac:dyDescent="0.2"/>
    <row r="71002" customFormat="1" x14ac:dyDescent="0.2"/>
    <row r="71003" customFormat="1" x14ac:dyDescent="0.2"/>
    <row r="71004" customFormat="1" x14ac:dyDescent="0.2"/>
    <row r="71005" customFormat="1" x14ac:dyDescent="0.2"/>
    <row r="71006" customFormat="1" x14ac:dyDescent="0.2"/>
    <row r="71007" customFormat="1" x14ac:dyDescent="0.2"/>
    <row r="71008" customFormat="1" x14ac:dyDescent="0.2"/>
    <row r="71009" customFormat="1" x14ac:dyDescent="0.2"/>
    <row r="71010" customFormat="1" x14ac:dyDescent="0.2"/>
    <row r="71011" customFormat="1" x14ac:dyDescent="0.2"/>
    <row r="71012" customFormat="1" x14ac:dyDescent="0.2"/>
    <row r="71013" customFormat="1" x14ac:dyDescent="0.2"/>
    <row r="71014" customFormat="1" x14ac:dyDescent="0.2"/>
    <row r="71015" customFormat="1" x14ac:dyDescent="0.2"/>
    <row r="71016" customFormat="1" x14ac:dyDescent="0.2"/>
    <row r="71017" customFormat="1" x14ac:dyDescent="0.2"/>
    <row r="71018" customFormat="1" x14ac:dyDescent="0.2"/>
    <row r="71019" customFormat="1" x14ac:dyDescent="0.2"/>
    <row r="71020" customFormat="1" x14ac:dyDescent="0.2"/>
    <row r="71021" customFormat="1" x14ac:dyDescent="0.2"/>
    <row r="71022" customFormat="1" x14ac:dyDescent="0.2"/>
    <row r="71023" customFormat="1" x14ac:dyDescent="0.2"/>
    <row r="71024" customFormat="1" x14ac:dyDescent="0.2"/>
    <row r="71025" customFormat="1" x14ac:dyDescent="0.2"/>
    <row r="71026" customFormat="1" x14ac:dyDescent="0.2"/>
    <row r="71027" customFormat="1" x14ac:dyDescent="0.2"/>
    <row r="71028" customFormat="1" x14ac:dyDescent="0.2"/>
    <row r="71029" customFormat="1" x14ac:dyDescent="0.2"/>
    <row r="71030" customFormat="1" x14ac:dyDescent="0.2"/>
    <row r="71031" customFormat="1" x14ac:dyDescent="0.2"/>
    <row r="71032" customFormat="1" x14ac:dyDescent="0.2"/>
    <row r="71033" customFormat="1" x14ac:dyDescent="0.2"/>
    <row r="71034" customFormat="1" x14ac:dyDescent="0.2"/>
    <row r="71035" customFormat="1" x14ac:dyDescent="0.2"/>
    <row r="71036" customFormat="1" x14ac:dyDescent="0.2"/>
    <row r="71037" customFormat="1" x14ac:dyDescent="0.2"/>
    <row r="71038" customFormat="1" x14ac:dyDescent="0.2"/>
    <row r="71039" customFormat="1" x14ac:dyDescent="0.2"/>
    <row r="71040" customFormat="1" x14ac:dyDescent="0.2"/>
    <row r="71041" customFormat="1" x14ac:dyDescent="0.2"/>
    <row r="71042" customFormat="1" x14ac:dyDescent="0.2"/>
    <row r="71043" customFormat="1" x14ac:dyDescent="0.2"/>
    <row r="71044" customFormat="1" x14ac:dyDescent="0.2"/>
    <row r="71045" customFormat="1" x14ac:dyDescent="0.2"/>
    <row r="71046" customFormat="1" x14ac:dyDescent="0.2"/>
    <row r="71047" customFormat="1" x14ac:dyDescent="0.2"/>
    <row r="71048" customFormat="1" x14ac:dyDescent="0.2"/>
    <row r="71049" customFormat="1" x14ac:dyDescent="0.2"/>
    <row r="71050" customFormat="1" x14ac:dyDescent="0.2"/>
    <row r="71051" customFormat="1" x14ac:dyDescent="0.2"/>
    <row r="71052" customFormat="1" x14ac:dyDescent="0.2"/>
    <row r="71053" customFormat="1" x14ac:dyDescent="0.2"/>
    <row r="71054" customFormat="1" x14ac:dyDescent="0.2"/>
    <row r="71055" customFormat="1" x14ac:dyDescent="0.2"/>
    <row r="71056" customFormat="1" x14ac:dyDescent="0.2"/>
    <row r="71057" customFormat="1" x14ac:dyDescent="0.2"/>
    <row r="71058" customFormat="1" x14ac:dyDescent="0.2"/>
    <row r="71059" customFormat="1" x14ac:dyDescent="0.2"/>
    <row r="71060" customFormat="1" x14ac:dyDescent="0.2"/>
    <row r="71061" customFormat="1" x14ac:dyDescent="0.2"/>
    <row r="71062" customFormat="1" x14ac:dyDescent="0.2"/>
    <row r="71063" customFormat="1" x14ac:dyDescent="0.2"/>
    <row r="71064" customFormat="1" x14ac:dyDescent="0.2"/>
    <row r="71065" customFormat="1" x14ac:dyDescent="0.2"/>
    <row r="71066" customFormat="1" x14ac:dyDescent="0.2"/>
    <row r="71067" customFormat="1" x14ac:dyDescent="0.2"/>
    <row r="71068" customFormat="1" x14ac:dyDescent="0.2"/>
    <row r="71069" customFormat="1" x14ac:dyDescent="0.2"/>
    <row r="71070" customFormat="1" x14ac:dyDescent="0.2"/>
    <row r="71071" customFormat="1" x14ac:dyDescent="0.2"/>
    <row r="71072" customFormat="1" x14ac:dyDescent="0.2"/>
    <row r="71073" customFormat="1" x14ac:dyDescent="0.2"/>
    <row r="71074" customFormat="1" x14ac:dyDescent="0.2"/>
    <row r="71075" customFormat="1" x14ac:dyDescent="0.2"/>
    <row r="71076" customFormat="1" x14ac:dyDescent="0.2"/>
    <row r="71077" customFormat="1" x14ac:dyDescent="0.2"/>
    <row r="71078" customFormat="1" x14ac:dyDescent="0.2"/>
    <row r="71079" customFormat="1" x14ac:dyDescent="0.2"/>
    <row r="71080" customFormat="1" x14ac:dyDescent="0.2"/>
    <row r="71081" customFormat="1" x14ac:dyDescent="0.2"/>
    <row r="71082" customFormat="1" x14ac:dyDescent="0.2"/>
    <row r="71083" customFormat="1" x14ac:dyDescent="0.2"/>
    <row r="71084" customFormat="1" x14ac:dyDescent="0.2"/>
    <row r="71085" customFormat="1" x14ac:dyDescent="0.2"/>
    <row r="71086" customFormat="1" x14ac:dyDescent="0.2"/>
    <row r="71087" customFormat="1" x14ac:dyDescent="0.2"/>
    <row r="71088" customFormat="1" x14ac:dyDescent="0.2"/>
    <row r="71089" customFormat="1" x14ac:dyDescent="0.2"/>
    <row r="71090" customFormat="1" x14ac:dyDescent="0.2"/>
    <row r="71091" customFormat="1" x14ac:dyDescent="0.2"/>
    <row r="71092" customFormat="1" x14ac:dyDescent="0.2"/>
    <row r="71093" customFormat="1" x14ac:dyDescent="0.2"/>
    <row r="71094" customFormat="1" x14ac:dyDescent="0.2"/>
    <row r="71095" customFormat="1" x14ac:dyDescent="0.2"/>
    <row r="71096" customFormat="1" x14ac:dyDescent="0.2"/>
    <row r="71097" customFormat="1" x14ac:dyDescent="0.2"/>
    <row r="71098" customFormat="1" x14ac:dyDescent="0.2"/>
    <row r="71099" customFormat="1" x14ac:dyDescent="0.2"/>
    <row r="71100" customFormat="1" x14ac:dyDescent="0.2"/>
    <row r="71101" customFormat="1" x14ac:dyDescent="0.2"/>
    <row r="71102" customFormat="1" x14ac:dyDescent="0.2"/>
    <row r="71103" customFormat="1" x14ac:dyDescent="0.2"/>
    <row r="71104" customFormat="1" x14ac:dyDescent="0.2"/>
    <row r="71105" customFormat="1" x14ac:dyDescent="0.2"/>
    <row r="71106" customFormat="1" x14ac:dyDescent="0.2"/>
    <row r="71107" customFormat="1" x14ac:dyDescent="0.2"/>
    <row r="71108" customFormat="1" x14ac:dyDescent="0.2"/>
    <row r="71109" customFormat="1" x14ac:dyDescent="0.2"/>
    <row r="71110" customFormat="1" x14ac:dyDescent="0.2"/>
    <row r="71111" customFormat="1" x14ac:dyDescent="0.2"/>
    <row r="71112" customFormat="1" x14ac:dyDescent="0.2"/>
    <row r="71113" customFormat="1" x14ac:dyDescent="0.2"/>
    <row r="71114" customFormat="1" x14ac:dyDescent="0.2"/>
    <row r="71115" customFormat="1" x14ac:dyDescent="0.2"/>
    <row r="71116" customFormat="1" x14ac:dyDescent="0.2"/>
    <row r="71117" customFormat="1" x14ac:dyDescent="0.2"/>
    <row r="71118" customFormat="1" x14ac:dyDescent="0.2"/>
    <row r="71119" customFormat="1" x14ac:dyDescent="0.2"/>
    <row r="71120" customFormat="1" x14ac:dyDescent="0.2"/>
    <row r="71121" customFormat="1" x14ac:dyDescent="0.2"/>
    <row r="71122" customFormat="1" x14ac:dyDescent="0.2"/>
    <row r="71123" customFormat="1" x14ac:dyDescent="0.2"/>
    <row r="71124" customFormat="1" x14ac:dyDescent="0.2"/>
    <row r="71125" customFormat="1" x14ac:dyDescent="0.2"/>
    <row r="71126" customFormat="1" x14ac:dyDescent="0.2"/>
    <row r="71127" customFormat="1" x14ac:dyDescent="0.2"/>
    <row r="71128" customFormat="1" x14ac:dyDescent="0.2"/>
    <row r="71129" customFormat="1" x14ac:dyDescent="0.2"/>
    <row r="71130" customFormat="1" x14ac:dyDescent="0.2"/>
    <row r="71131" customFormat="1" x14ac:dyDescent="0.2"/>
    <row r="71132" customFormat="1" x14ac:dyDescent="0.2"/>
    <row r="71133" customFormat="1" x14ac:dyDescent="0.2"/>
    <row r="71134" customFormat="1" x14ac:dyDescent="0.2"/>
    <row r="71135" customFormat="1" x14ac:dyDescent="0.2"/>
    <row r="71136" customFormat="1" x14ac:dyDescent="0.2"/>
    <row r="71137" customFormat="1" x14ac:dyDescent="0.2"/>
    <row r="71138" customFormat="1" x14ac:dyDescent="0.2"/>
    <row r="71139" customFormat="1" x14ac:dyDescent="0.2"/>
    <row r="71140" customFormat="1" x14ac:dyDescent="0.2"/>
    <row r="71141" customFormat="1" x14ac:dyDescent="0.2"/>
    <row r="71142" customFormat="1" x14ac:dyDescent="0.2"/>
    <row r="71143" customFormat="1" x14ac:dyDescent="0.2"/>
    <row r="71144" customFormat="1" x14ac:dyDescent="0.2"/>
    <row r="71145" customFormat="1" x14ac:dyDescent="0.2"/>
    <row r="71146" customFormat="1" x14ac:dyDescent="0.2"/>
    <row r="71147" customFormat="1" x14ac:dyDescent="0.2"/>
    <row r="71148" customFormat="1" x14ac:dyDescent="0.2"/>
    <row r="71149" customFormat="1" x14ac:dyDescent="0.2"/>
    <row r="71150" customFormat="1" x14ac:dyDescent="0.2"/>
    <row r="71151" customFormat="1" x14ac:dyDescent="0.2"/>
    <row r="71152" customFormat="1" x14ac:dyDescent="0.2"/>
    <row r="71153" customFormat="1" x14ac:dyDescent="0.2"/>
    <row r="71154" customFormat="1" x14ac:dyDescent="0.2"/>
    <row r="71155" customFormat="1" x14ac:dyDescent="0.2"/>
    <row r="71156" customFormat="1" x14ac:dyDescent="0.2"/>
    <row r="71157" customFormat="1" x14ac:dyDescent="0.2"/>
    <row r="71158" customFormat="1" x14ac:dyDescent="0.2"/>
    <row r="71159" customFormat="1" x14ac:dyDescent="0.2"/>
    <row r="71160" customFormat="1" x14ac:dyDescent="0.2"/>
    <row r="71161" customFormat="1" x14ac:dyDescent="0.2"/>
    <row r="71162" customFormat="1" x14ac:dyDescent="0.2"/>
    <row r="71163" customFormat="1" x14ac:dyDescent="0.2"/>
    <row r="71164" customFormat="1" x14ac:dyDescent="0.2"/>
    <row r="71165" customFormat="1" x14ac:dyDescent="0.2"/>
    <row r="71166" customFormat="1" x14ac:dyDescent="0.2"/>
    <row r="71167" customFormat="1" x14ac:dyDescent="0.2"/>
    <row r="71168" customFormat="1" x14ac:dyDescent="0.2"/>
    <row r="71169" customFormat="1" x14ac:dyDescent="0.2"/>
    <row r="71170" customFormat="1" x14ac:dyDescent="0.2"/>
    <row r="71171" customFormat="1" x14ac:dyDescent="0.2"/>
    <row r="71172" customFormat="1" x14ac:dyDescent="0.2"/>
    <row r="71173" customFormat="1" x14ac:dyDescent="0.2"/>
    <row r="71174" customFormat="1" x14ac:dyDescent="0.2"/>
    <row r="71175" customFormat="1" x14ac:dyDescent="0.2"/>
    <row r="71176" customFormat="1" x14ac:dyDescent="0.2"/>
    <row r="71177" customFormat="1" x14ac:dyDescent="0.2"/>
    <row r="71178" customFormat="1" x14ac:dyDescent="0.2"/>
    <row r="71179" customFormat="1" x14ac:dyDescent="0.2"/>
    <row r="71180" customFormat="1" x14ac:dyDescent="0.2"/>
    <row r="71181" customFormat="1" x14ac:dyDescent="0.2"/>
    <row r="71182" customFormat="1" x14ac:dyDescent="0.2"/>
    <row r="71183" customFormat="1" x14ac:dyDescent="0.2"/>
    <row r="71184" customFormat="1" x14ac:dyDescent="0.2"/>
    <row r="71185" customFormat="1" x14ac:dyDescent="0.2"/>
    <row r="71186" customFormat="1" x14ac:dyDescent="0.2"/>
    <row r="71187" customFormat="1" x14ac:dyDescent="0.2"/>
    <row r="71188" customFormat="1" x14ac:dyDescent="0.2"/>
    <row r="71189" customFormat="1" x14ac:dyDescent="0.2"/>
    <row r="71190" customFormat="1" x14ac:dyDescent="0.2"/>
    <row r="71191" customFormat="1" x14ac:dyDescent="0.2"/>
    <row r="71192" customFormat="1" x14ac:dyDescent="0.2"/>
    <row r="71193" customFormat="1" x14ac:dyDescent="0.2"/>
    <row r="71194" customFormat="1" x14ac:dyDescent="0.2"/>
    <row r="71195" customFormat="1" x14ac:dyDescent="0.2"/>
    <row r="71196" customFormat="1" x14ac:dyDescent="0.2"/>
    <row r="71197" customFormat="1" x14ac:dyDescent="0.2"/>
    <row r="71198" customFormat="1" x14ac:dyDescent="0.2"/>
    <row r="71199" customFormat="1" x14ac:dyDescent="0.2"/>
    <row r="71200" customFormat="1" x14ac:dyDescent="0.2"/>
    <row r="71201" customFormat="1" x14ac:dyDescent="0.2"/>
    <row r="71202" customFormat="1" x14ac:dyDescent="0.2"/>
    <row r="71203" customFormat="1" x14ac:dyDescent="0.2"/>
    <row r="71204" customFormat="1" x14ac:dyDescent="0.2"/>
    <row r="71205" customFormat="1" x14ac:dyDescent="0.2"/>
    <row r="71206" customFormat="1" x14ac:dyDescent="0.2"/>
    <row r="71207" customFormat="1" x14ac:dyDescent="0.2"/>
    <row r="71208" customFormat="1" x14ac:dyDescent="0.2"/>
    <row r="71209" customFormat="1" x14ac:dyDescent="0.2"/>
    <row r="71210" customFormat="1" x14ac:dyDescent="0.2"/>
    <row r="71211" customFormat="1" x14ac:dyDescent="0.2"/>
    <row r="71212" customFormat="1" x14ac:dyDescent="0.2"/>
    <row r="71213" customFormat="1" x14ac:dyDescent="0.2"/>
    <row r="71214" customFormat="1" x14ac:dyDescent="0.2"/>
    <row r="71215" customFormat="1" x14ac:dyDescent="0.2"/>
    <row r="71216" customFormat="1" x14ac:dyDescent="0.2"/>
    <row r="71217" customFormat="1" x14ac:dyDescent="0.2"/>
    <row r="71218" customFormat="1" x14ac:dyDescent="0.2"/>
    <row r="71219" customFormat="1" x14ac:dyDescent="0.2"/>
    <row r="71220" customFormat="1" x14ac:dyDescent="0.2"/>
    <row r="71221" customFormat="1" x14ac:dyDescent="0.2"/>
    <row r="71222" customFormat="1" x14ac:dyDescent="0.2"/>
    <row r="71223" customFormat="1" x14ac:dyDescent="0.2"/>
    <row r="71224" customFormat="1" x14ac:dyDescent="0.2"/>
    <row r="71225" customFormat="1" x14ac:dyDescent="0.2"/>
    <row r="71226" customFormat="1" x14ac:dyDescent="0.2"/>
    <row r="71227" customFormat="1" x14ac:dyDescent="0.2"/>
    <row r="71228" customFormat="1" x14ac:dyDescent="0.2"/>
    <row r="71229" customFormat="1" x14ac:dyDescent="0.2"/>
    <row r="71230" customFormat="1" x14ac:dyDescent="0.2"/>
    <row r="71231" customFormat="1" x14ac:dyDescent="0.2"/>
    <row r="71232" customFormat="1" x14ac:dyDescent="0.2"/>
    <row r="71233" customFormat="1" x14ac:dyDescent="0.2"/>
    <row r="71234" customFormat="1" x14ac:dyDescent="0.2"/>
    <row r="71235" customFormat="1" x14ac:dyDescent="0.2"/>
    <row r="71236" customFormat="1" x14ac:dyDescent="0.2"/>
    <row r="71237" customFormat="1" x14ac:dyDescent="0.2"/>
    <row r="71238" customFormat="1" x14ac:dyDescent="0.2"/>
    <row r="71239" customFormat="1" x14ac:dyDescent="0.2"/>
    <row r="71240" customFormat="1" x14ac:dyDescent="0.2"/>
    <row r="71241" customFormat="1" x14ac:dyDescent="0.2"/>
    <row r="71242" customFormat="1" x14ac:dyDescent="0.2"/>
    <row r="71243" customFormat="1" x14ac:dyDescent="0.2"/>
    <row r="71244" customFormat="1" x14ac:dyDescent="0.2"/>
    <row r="71245" customFormat="1" x14ac:dyDescent="0.2"/>
    <row r="71246" customFormat="1" x14ac:dyDescent="0.2"/>
    <row r="71247" customFormat="1" x14ac:dyDescent="0.2"/>
    <row r="71248" customFormat="1" x14ac:dyDescent="0.2"/>
    <row r="71249" customFormat="1" x14ac:dyDescent="0.2"/>
    <row r="71250" customFormat="1" x14ac:dyDescent="0.2"/>
    <row r="71251" customFormat="1" x14ac:dyDescent="0.2"/>
    <row r="71252" customFormat="1" x14ac:dyDescent="0.2"/>
    <row r="71253" customFormat="1" x14ac:dyDescent="0.2"/>
    <row r="71254" customFormat="1" x14ac:dyDescent="0.2"/>
    <row r="71255" customFormat="1" x14ac:dyDescent="0.2"/>
    <row r="71256" customFormat="1" x14ac:dyDescent="0.2"/>
    <row r="71257" customFormat="1" x14ac:dyDescent="0.2"/>
    <row r="71258" customFormat="1" x14ac:dyDescent="0.2"/>
    <row r="71259" customFormat="1" x14ac:dyDescent="0.2"/>
    <row r="71260" customFormat="1" x14ac:dyDescent="0.2"/>
    <row r="71261" customFormat="1" x14ac:dyDescent="0.2"/>
    <row r="71262" customFormat="1" x14ac:dyDescent="0.2"/>
    <row r="71263" customFormat="1" x14ac:dyDescent="0.2"/>
    <row r="71264" customFormat="1" x14ac:dyDescent="0.2"/>
    <row r="71265" customFormat="1" x14ac:dyDescent="0.2"/>
    <row r="71266" customFormat="1" x14ac:dyDescent="0.2"/>
    <row r="71267" customFormat="1" x14ac:dyDescent="0.2"/>
    <row r="71268" customFormat="1" x14ac:dyDescent="0.2"/>
    <row r="71269" customFormat="1" x14ac:dyDescent="0.2"/>
    <row r="71270" customFormat="1" x14ac:dyDescent="0.2"/>
    <row r="71271" customFormat="1" x14ac:dyDescent="0.2"/>
    <row r="71272" customFormat="1" x14ac:dyDescent="0.2"/>
    <row r="71273" customFormat="1" x14ac:dyDescent="0.2"/>
    <row r="71274" customFormat="1" x14ac:dyDescent="0.2"/>
    <row r="71275" customFormat="1" x14ac:dyDescent="0.2"/>
    <row r="71276" customFormat="1" x14ac:dyDescent="0.2"/>
    <row r="71277" customFormat="1" x14ac:dyDescent="0.2"/>
    <row r="71278" customFormat="1" x14ac:dyDescent="0.2"/>
    <row r="71279" customFormat="1" x14ac:dyDescent="0.2"/>
    <row r="71280" customFormat="1" x14ac:dyDescent="0.2"/>
    <row r="71281" customFormat="1" x14ac:dyDescent="0.2"/>
    <row r="71282" customFormat="1" x14ac:dyDescent="0.2"/>
    <row r="71283" customFormat="1" x14ac:dyDescent="0.2"/>
    <row r="71284" customFormat="1" x14ac:dyDescent="0.2"/>
    <row r="71285" customFormat="1" x14ac:dyDescent="0.2"/>
    <row r="71286" customFormat="1" x14ac:dyDescent="0.2"/>
    <row r="71287" customFormat="1" x14ac:dyDescent="0.2"/>
    <row r="71288" customFormat="1" x14ac:dyDescent="0.2"/>
    <row r="71289" customFormat="1" x14ac:dyDescent="0.2"/>
    <row r="71290" customFormat="1" x14ac:dyDescent="0.2"/>
    <row r="71291" customFormat="1" x14ac:dyDescent="0.2"/>
    <row r="71292" customFormat="1" x14ac:dyDescent="0.2"/>
    <row r="71293" customFormat="1" x14ac:dyDescent="0.2"/>
    <row r="71294" customFormat="1" x14ac:dyDescent="0.2"/>
    <row r="71295" customFormat="1" x14ac:dyDescent="0.2"/>
    <row r="71296" customFormat="1" x14ac:dyDescent="0.2"/>
    <row r="71297" customFormat="1" x14ac:dyDescent="0.2"/>
    <row r="71298" customFormat="1" x14ac:dyDescent="0.2"/>
    <row r="71299" customFormat="1" x14ac:dyDescent="0.2"/>
    <row r="71300" customFormat="1" x14ac:dyDescent="0.2"/>
    <row r="71301" customFormat="1" x14ac:dyDescent="0.2"/>
    <row r="71302" customFormat="1" x14ac:dyDescent="0.2"/>
    <row r="71303" customFormat="1" x14ac:dyDescent="0.2"/>
    <row r="71304" customFormat="1" x14ac:dyDescent="0.2"/>
    <row r="71305" customFormat="1" x14ac:dyDescent="0.2"/>
    <row r="71306" customFormat="1" x14ac:dyDescent="0.2"/>
    <row r="71307" customFormat="1" x14ac:dyDescent="0.2"/>
    <row r="71308" customFormat="1" x14ac:dyDescent="0.2"/>
    <row r="71309" customFormat="1" x14ac:dyDescent="0.2"/>
    <row r="71310" customFormat="1" x14ac:dyDescent="0.2"/>
    <row r="71311" customFormat="1" x14ac:dyDescent="0.2"/>
    <row r="71312" customFormat="1" x14ac:dyDescent="0.2"/>
    <row r="71313" customFormat="1" x14ac:dyDescent="0.2"/>
    <row r="71314" customFormat="1" x14ac:dyDescent="0.2"/>
    <row r="71315" customFormat="1" x14ac:dyDescent="0.2"/>
    <row r="71316" customFormat="1" x14ac:dyDescent="0.2"/>
    <row r="71317" customFormat="1" x14ac:dyDescent="0.2"/>
    <row r="71318" customFormat="1" x14ac:dyDescent="0.2"/>
    <row r="71319" customFormat="1" x14ac:dyDescent="0.2"/>
    <row r="71320" customFormat="1" x14ac:dyDescent="0.2"/>
    <row r="71321" customFormat="1" x14ac:dyDescent="0.2"/>
    <row r="71322" customFormat="1" x14ac:dyDescent="0.2"/>
    <row r="71323" customFormat="1" x14ac:dyDescent="0.2"/>
    <row r="71324" customFormat="1" x14ac:dyDescent="0.2"/>
    <row r="71325" customFormat="1" x14ac:dyDescent="0.2"/>
    <row r="71326" customFormat="1" x14ac:dyDescent="0.2"/>
    <row r="71327" customFormat="1" x14ac:dyDescent="0.2"/>
    <row r="71328" customFormat="1" x14ac:dyDescent="0.2"/>
    <row r="71329" customFormat="1" x14ac:dyDescent="0.2"/>
    <row r="71330" customFormat="1" x14ac:dyDescent="0.2"/>
    <row r="71331" customFormat="1" x14ac:dyDescent="0.2"/>
    <row r="71332" customFormat="1" x14ac:dyDescent="0.2"/>
    <row r="71333" customFormat="1" x14ac:dyDescent="0.2"/>
    <row r="71334" customFormat="1" x14ac:dyDescent="0.2"/>
    <row r="71335" customFormat="1" x14ac:dyDescent="0.2"/>
    <row r="71336" customFormat="1" x14ac:dyDescent="0.2"/>
    <row r="71337" customFormat="1" x14ac:dyDescent="0.2"/>
    <row r="71338" customFormat="1" x14ac:dyDescent="0.2"/>
    <row r="71339" customFormat="1" x14ac:dyDescent="0.2"/>
    <row r="71340" customFormat="1" x14ac:dyDescent="0.2"/>
    <row r="71341" customFormat="1" x14ac:dyDescent="0.2"/>
    <row r="71342" customFormat="1" x14ac:dyDescent="0.2"/>
    <row r="71343" customFormat="1" x14ac:dyDescent="0.2"/>
    <row r="71344" customFormat="1" x14ac:dyDescent="0.2"/>
    <row r="71345" customFormat="1" x14ac:dyDescent="0.2"/>
    <row r="71346" customFormat="1" x14ac:dyDescent="0.2"/>
    <row r="71347" customFormat="1" x14ac:dyDescent="0.2"/>
    <row r="71348" customFormat="1" x14ac:dyDescent="0.2"/>
    <row r="71349" customFormat="1" x14ac:dyDescent="0.2"/>
    <row r="71350" customFormat="1" x14ac:dyDescent="0.2"/>
    <row r="71351" customFormat="1" x14ac:dyDescent="0.2"/>
    <row r="71352" customFormat="1" x14ac:dyDescent="0.2"/>
    <row r="71353" customFormat="1" x14ac:dyDescent="0.2"/>
    <row r="71354" customFormat="1" x14ac:dyDescent="0.2"/>
    <row r="71355" customFormat="1" x14ac:dyDescent="0.2"/>
    <row r="71356" customFormat="1" x14ac:dyDescent="0.2"/>
    <row r="71357" customFormat="1" x14ac:dyDescent="0.2"/>
    <row r="71358" customFormat="1" x14ac:dyDescent="0.2"/>
    <row r="71359" customFormat="1" x14ac:dyDescent="0.2"/>
    <row r="71360" customFormat="1" x14ac:dyDescent="0.2"/>
    <row r="71361" customFormat="1" x14ac:dyDescent="0.2"/>
    <row r="71362" customFormat="1" x14ac:dyDescent="0.2"/>
    <row r="71363" customFormat="1" x14ac:dyDescent="0.2"/>
    <row r="71364" customFormat="1" x14ac:dyDescent="0.2"/>
    <row r="71365" customFormat="1" x14ac:dyDescent="0.2"/>
    <row r="71366" customFormat="1" x14ac:dyDescent="0.2"/>
    <row r="71367" customFormat="1" x14ac:dyDescent="0.2"/>
    <row r="71368" customFormat="1" x14ac:dyDescent="0.2"/>
    <row r="71369" customFormat="1" x14ac:dyDescent="0.2"/>
    <row r="71370" customFormat="1" x14ac:dyDescent="0.2"/>
    <row r="71371" customFormat="1" x14ac:dyDescent="0.2"/>
    <row r="71372" customFormat="1" x14ac:dyDescent="0.2"/>
    <row r="71373" customFormat="1" x14ac:dyDescent="0.2"/>
    <row r="71374" customFormat="1" x14ac:dyDescent="0.2"/>
    <row r="71375" customFormat="1" x14ac:dyDescent="0.2"/>
    <row r="71376" customFormat="1" x14ac:dyDescent="0.2"/>
    <row r="71377" customFormat="1" x14ac:dyDescent="0.2"/>
    <row r="71378" customFormat="1" x14ac:dyDescent="0.2"/>
    <row r="71379" customFormat="1" x14ac:dyDescent="0.2"/>
    <row r="71380" customFormat="1" x14ac:dyDescent="0.2"/>
    <row r="71381" customFormat="1" x14ac:dyDescent="0.2"/>
    <row r="71382" customFormat="1" x14ac:dyDescent="0.2"/>
    <row r="71383" customFormat="1" x14ac:dyDescent="0.2"/>
    <row r="71384" customFormat="1" x14ac:dyDescent="0.2"/>
    <row r="71385" customFormat="1" x14ac:dyDescent="0.2"/>
    <row r="71386" customFormat="1" x14ac:dyDescent="0.2"/>
    <row r="71387" customFormat="1" x14ac:dyDescent="0.2"/>
    <row r="71388" customFormat="1" x14ac:dyDescent="0.2"/>
    <row r="71389" customFormat="1" x14ac:dyDescent="0.2"/>
    <row r="71390" customFormat="1" x14ac:dyDescent="0.2"/>
    <row r="71391" customFormat="1" x14ac:dyDescent="0.2"/>
    <row r="71392" customFormat="1" x14ac:dyDescent="0.2"/>
    <row r="71393" customFormat="1" x14ac:dyDescent="0.2"/>
    <row r="71394" customFormat="1" x14ac:dyDescent="0.2"/>
    <row r="71395" customFormat="1" x14ac:dyDescent="0.2"/>
    <row r="71396" customFormat="1" x14ac:dyDescent="0.2"/>
    <row r="71397" customFormat="1" x14ac:dyDescent="0.2"/>
    <row r="71398" customFormat="1" x14ac:dyDescent="0.2"/>
    <row r="71399" customFormat="1" x14ac:dyDescent="0.2"/>
    <row r="71400" customFormat="1" x14ac:dyDescent="0.2"/>
    <row r="71401" customFormat="1" x14ac:dyDescent="0.2"/>
    <row r="71402" customFormat="1" x14ac:dyDescent="0.2"/>
    <row r="71403" customFormat="1" x14ac:dyDescent="0.2"/>
    <row r="71404" customFormat="1" x14ac:dyDescent="0.2"/>
    <row r="71405" customFormat="1" x14ac:dyDescent="0.2"/>
    <row r="71406" customFormat="1" x14ac:dyDescent="0.2"/>
    <row r="71407" customFormat="1" x14ac:dyDescent="0.2"/>
    <row r="71408" customFormat="1" x14ac:dyDescent="0.2"/>
    <row r="71409" customFormat="1" x14ac:dyDescent="0.2"/>
    <row r="71410" customFormat="1" x14ac:dyDescent="0.2"/>
    <row r="71411" customFormat="1" x14ac:dyDescent="0.2"/>
    <row r="71412" customFormat="1" x14ac:dyDescent="0.2"/>
    <row r="71413" customFormat="1" x14ac:dyDescent="0.2"/>
    <row r="71414" customFormat="1" x14ac:dyDescent="0.2"/>
    <row r="71415" customFormat="1" x14ac:dyDescent="0.2"/>
    <row r="71416" customFormat="1" x14ac:dyDescent="0.2"/>
    <row r="71417" customFormat="1" x14ac:dyDescent="0.2"/>
    <row r="71418" customFormat="1" x14ac:dyDescent="0.2"/>
    <row r="71419" customFormat="1" x14ac:dyDescent="0.2"/>
    <row r="71420" customFormat="1" x14ac:dyDescent="0.2"/>
    <row r="71421" customFormat="1" x14ac:dyDescent="0.2"/>
    <row r="71422" customFormat="1" x14ac:dyDescent="0.2"/>
    <row r="71423" customFormat="1" x14ac:dyDescent="0.2"/>
    <row r="71424" customFormat="1" x14ac:dyDescent="0.2"/>
    <row r="71425" customFormat="1" x14ac:dyDescent="0.2"/>
    <row r="71426" customFormat="1" x14ac:dyDescent="0.2"/>
    <row r="71427" customFormat="1" x14ac:dyDescent="0.2"/>
    <row r="71428" customFormat="1" x14ac:dyDescent="0.2"/>
    <row r="71429" customFormat="1" x14ac:dyDescent="0.2"/>
    <row r="71430" customFormat="1" x14ac:dyDescent="0.2"/>
    <row r="71431" customFormat="1" x14ac:dyDescent="0.2"/>
    <row r="71432" customFormat="1" x14ac:dyDescent="0.2"/>
    <row r="71433" customFormat="1" x14ac:dyDescent="0.2"/>
    <row r="71434" customFormat="1" x14ac:dyDescent="0.2"/>
    <row r="71435" customFormat="1" x14ac:dyDescent="0.2"/>
    <row r="71436" customFormat="1" x14ac:dyDescent="0.2"/>
    <row r="71437" customFormat="1" x14ac:dyDescent="0.2"/>
    <row r="71438" customFormat="1" x14ac:dyDescent="0.2"/>
    <row r="71439" customFormat="1" x14ac:dyDescent="0.2"/>
    <row r="71440" customFormat="1" x14ac:dyDescent="0.2"/>
    <row r="71441" customFormat="1" x14ac:dyDescent="0.2"/>
    <row r="71442" customFormat="1" x14ac:dyDescent="0.2"/>
    <row r="71443" customFormat="1" x14ac:dyDescent="0.2"/>
    <row r="71444" customFormat="1" x14ac:dyDescent="0.2"/>
    <row r="71445" customFormat="1" x14ac:dyDescent="0.2"/>
    <row r="71446" customFormat="1" x14ac:dyDescent="0.2"/>
    <row r="71447" customFormat="1" x14ac:dyDescent="0.2"/>
    <row r="71448" customFormat="1" x14ac:dyDescent="0.2"/>
    <row r="71449" customFormat="1" x14ac:dyDescent="0.2"/>
    <row r="71450" customFormat="1" x14ac:dyDescent="0.2"/>
    <row r="71451" customFormat="1" x14ac:dyDescent="0.2"/>
    <row r="71452" customFormat="1" x14ac:dyDescent="0.2"/>
    <row r="71453" customFormat="1" x14ac:dyDescent="0.2"/>
    <row r="71454" customFormat="1" x14ac:dyDescent="0.2"/>
    <row r="71455" customFormat="1" x14ac:dyDescent="0.2"/>
    <row r="71456" customFormat="1" x14ac:dyDescent="0.2"/>
    <row r="71457" customFormat="1" x14ac:dyDescent="0.2"/>
    <row r="71458" customFormat="1" x14ac:dyDescent="0.2"/>
    <row r="71459" customFormat="1" x14ac:dyDescent="0.2"/>
    <row r="71460" customFormat="1" x14ac:dyDescent="0.2"/>
    <row r="71461" customFormat="1" x14ac:dyDescent="0.2"/>
    <row r="71462" customFormat="1" x14ac:dyDescent="0.2"/>
    <row r="71463" customFormat="1" x14ac:dyDescent="0.2"/>
    <row r="71464" customFormat="1" x14ac:dyDescent="0.2"/>
    <row r="71465" customFormat="1" x14ac:dyDescent="0.2"/>
    <row r="71466" customFormat="1" x14ac:dyDescent="0.2"/>
    <row r="71467" customFormat="1" x14ac:dyDescent="0.2"/>
    <row r="71468" customFormat="1" x14ac:dyDescent="0.2"/>
    <row r="71469" customFormat="1" x14ac:dyDescent="0.2"/>
    <row r="71470" customFormat="1" x14ac:dyDescent="0.2"/>
    <row r="71471" customFormat="1" x14ac:dyDescent="0.2"/>
    <row r="71472" customFormat="1" x14ac:dyDescent="0.2"/>
    <row r="71473" customFormat="1" x14ac:dyDescent="0.2"/>
    <row r="71474" customFormat="1" x14ac:dyDescent="0.2"/>
    <row r="71475" customFormat="1" x14ac:dyDescent="0.2"/>
    <row r="71476" customFormat="1" x14ac:dyDescent="0.2"/>
    <row r="71477" customFormat="1" x14ac:dyDescent="0.2"/>
    <row r="71478" customFormat="1" x14ac:dyDescent="0.2"/>
    <row r="71479" customFormat="1" x14ac:dyDescent="0.2"/>
    <row r="71480" customFormat="1" x14ac:dyDescent="0.2"/>
    <row r="71481" customFormat="1" x14ac:dyDescent="0.2"/>
    <row r="71482" customFormat="1" x14ac:dyDescent="0.2"/>
    <row r="71483" customFormat="1" x14ac:dyDescent="0.2"/>
    <row r="71484" customFormat="1" x14ac:dyDescent="0.2"/>
    <row r="71485" customFormat="1" x14ac:dyDescent="0.2"/>
    <row r="71486" customFormat="1" x14ac:dyDescent="0.2"/>
    <row r="71487" customFormat="1" x14ac:dyDescent="0.2"/>
    <row r="71488" customFormat="1" x14ac:dyDescent="0.2"/>
    <row r="71489" customFormat="1" x14ac:dyDescent="0.2"/>
    <row r="71490" customFormat="1" x14ac:dyDescent="0.2"/>
    <row r="71491" customFormat="1" x14ac:dyDescent="0.2"/>
    <row r="71492" customFormat="1" x14ac:dyDescent="0.2"/>
    <row r="71493" customFormat="1" x14ac:dyDescent="0.2"/>
    <row r="71494" customFormat="1" x14ac:dyDescent="0.2"/>
    <row r="71495" customFormat="1" x14ac:dyDescent="0.2"/>
    <row r="71496" customFormat="1" x14ac:dyDescent="0.2"/>
    <row r="71497" customFormat="1" x14ac:dyDescent="0.2"/>
    <row r="71498" customFormat="1" x14ac:dyDescent="0.2"/>
    <row r="71499" customFormat="1" x14ac:dyDescent="0.2"/>
    <row r="71500" customFormat="1" x14ac:dyDescent="0.2"/>
    <row r="71501" customFormat="1" x14ac:dyDescent="0.2"/>
    <row r="71502" customFormat="1" x14ac:dyDescent="0.2"/>
    <row r="71503" customFormat="1" x14ac:dyDescent="0.2"/>
    <row r="71504" customFormat="1" x14ac:dyDescent="0.2"/>
    <row r="71505" customFormat="1" x14ac:dyDescent="0.2"/>
    <row r="71506" customFormat="1" x14ac:dyDescent="0.2"/>
    <row r="71507" customFormat="1" x14ac:dyDescent="0.2"/>
    <row r="71508" customFormat="1" x14ac:dyDescent="0.2"/>
    <row r="71509" customFormat="1" x14ac:dyDescent="0.2"/>
    <row r="71510" customFormat="1" x14ac:dyDescent="0.2"/>
    <row r="71511" customFormat="1" x14ac:dyDescent="0.2"/>
    <row r="71512" customFormat="1" x14ac:dyDescent="0.2"/>
    <row r="71513" customFormat="1" x14ac:dyDescent="0.2"/>
    <row r="71514" customFormat="1" x14ac:dyDescent="0.2"/>
    <row r="71515" customFormat="1" x14ac:dyDescent="0.2"/>
    <row r="71516" customFormat="1" x14ac:dyDescent="0.2"/>
    <row r="71517" customFormat="1" x14ac:dyDescent="0.2"/>
    <row r="71518" customFormat="1" x14ac:dyDescent="0.2"/>
    <row r="71519" customFormat="1" x14ac:dyDescent="0.2"/>
    <row r="71520" customFormat="1" x14ac:dyDescent="0.2"/>
    <row r="71521" customFormat="1" x14ac:dyDescent="0.2"/>
    <row r="71522" customFormat="1" x14ac:dyDescent="0.2"/>
    <row r="71523" customFormat="1" x14ac:dyDescent="0.2"/>
    <row r="71524" customFormat="1" x14ac:dyDescent="0.2"/>
    <row r="71525" customFormat="1" x14ac:dyDescent="0.2"/>
    <row r="71526" customFormat="1" x14ac:dyDescent="0.2"/>
    <row r="71527" customFormat="1" x14ac:dyDescent="0.2"/>
    <row r="71528" customFormat="1" x14ac:dyDescent="0.2"/>
    <row r="71529" customFormat="1" x14ac:dyDescent="0.2"/>
    <row r="71530" customFormat="1" x14ac:dyDescent="0.2"/>
    <row r="71531" customFormat="1" x14ac:dyDescent="0.2"/>
    <row r="71532" customFormat="1" x14ac:dyDescent="0.2"/>
    <row r="71533" customFormat="1" x14ac:dyDescent="0.2"/>
    <row r="71534" customFormat="1" x14ac:dyDescent="0.2"/>
    <row r="71535" customFormat="1" x14ac:dyDescent="0.2"/>
    <row r="71536" customFormat="1" x14ac:dyDescent="0.2"/>
    <row r="71537" customFormat="1" x14ac:dyDescent="0.2"/>
    <row r="71538" customFormat="1" x14ac:dyDescent="0.2"/>
    <row r="71539" customFormat="1" x14ac:dyDescent="0.2"/>
    <row r="71540" customFormat="1" x14ac:dyDescent="0.2"/>
    <row r="71541" customFormat="1" x14ac:dyDescent="0.2"/>
    <row r="71542" customFormat="1" x14ac:dyDescent="0.2"/>
    <row r="71543" customFormat="1" x14ac:dyDescent="0.2"/>
    <row r="71544" customFormat="1" x14ac:dyDescent="0.2"/>
    <row r="71545" customFormat="1" x14ac:dyDescent="0.2"/>
    <row r="71546" customFormat="1" x14ac:dyDescent="0.2"/>
    <row r="71547" customFormat="1" x14ac:dyDescent="0.2"/>
    <row r="71548" customFormat="1" x14ac:dyDescent="0.2"/>
    <row r="71549" customFormat="1" x14ac:dyDescent="0.2"/>
    <row r="71550" customFormat="1" x14ac:dyDescent="0.2"/>
    <row r="71551" customFormat="1" x14ac:dyDescent="0.2"/>
    <row r="71552" customFormat="1" x14ac:dyDescent="0.2"/>
    <row r="71553" customFormat="1" x14ac:dyDescent="0.2"/>
    <row r="71554" customFormat="1" x14ac:dyDescent="0.2"/>
    <row r="71555" customFormat="1" x14ac:dyDescent="0.2"/>
    <row r="71556" customFormat="1" x14ac:dyDescent="0.2"/>
    <row r="71557" customFormat="1" x14ac:dyDescent="0.2"/>
    <row r="71558" customFormat="1" x14ac:dyDescent="0.2"/>
    <row r="71559" customFormat="1" x14ac:dyDescent="0.2"/>
    <row r="71560" customFormat="1" x14ac:dyDescent="0.2"/>
    <row r="71561" customFormat="1" x14ac:dyDescent="0.2"/>
    <row r="71562" customFormat="1" x14ac:dyDescent="0.2"/>
    <row r="71563" customFormat="1" x14ac:dyDescent="0.2"/>
    <row r="71564" customFormat="1" x14ac:dyDescent="0.2"/>
    <row r="71565" customFormat="1" x14ac:dyDescent="0.2"/>
    <row r="71566" customFormat="1" x14ac:dyDescent="0.2"/>
    <row r="71567" customFormat="1" x14ac:dyDescent="0.2"/>
    <row r="71568" customFormat="1" x14ac:dyDescent="0.2"/>
    <row r="71569" customFormat="1" x14ac:dyDescent="0.2"/>
    <row r="71570" customFormat="1" x14ac:dyDescent="0.2"/>
    <row r="71571" customFormat="1" x14ac:dyDescent="0.2"/>
    <row r="71572" customFormat="1" x14ac:dyDescent="0.2"/>
    <row r="71573" customFormat="1" x14ac:dyDescent="0.2"/>
    <row r="71574" customFormat="1" x14ac:dyDescent="0.2"/>
    <row r="71575" customFormat="1" x14ac:dyDescent="0.2"/>
    <row r="71576" customFormat="1" x14ac:dyDescent="0.2"/>
    <row r="71577" customFormat="1" x14ac:dyDescent="0.2"/>
    <row r="71578" customFormat="1" x14ac:dyDescent="0.2"/>
    <row r="71579" customFormat="1" x14ac:dyDescent="0.2"/>
    <row r="71580" customFormat="1" x14ac:dyDescent="0.2"/>
    <row r="71581" customFormat="1" x14ac:dyDescent="0.2"/>
    <row r="71582" customFormat="1" x14ac:dyDescent="0.2"/>
    <row r="71583" customFormat="1" x14ac:dyDescent="0.2"/>
    <row r="71584" customFormat="1" x14ac:dyDescent="0.2"/>
    <row r="71585" customFormat="1" x14ac:dyDescent="0.2"/>
    <row r="71586" customFormat="1" x14ac:dyDescent="0.2"/>
    <row r="71587" customFormat="1" x14ac:dyDescent="0.2"/>
    <row r="71588" customFormat="1" x14ac:dyDescent="0.2"/>
    <row r="71589" customFormat="1" x14ac:dyDescent="0.2"/>
    <row r="71590" customFormat="1" x14ac:dyDescent="0.2"/>
    <row r="71591" customFormat="1" x14ac:dyDescent="0.2"/>
    <row r="71592" customFormat="1" x14ac:dyDescent="0.2"/>
    <row r="71593" customFormat="1" x14ac:dyDescent="0.2"/>
    <row r="71594" customFormat="1" x14ac:dyDescent="0.2"/>
    <row r="71595" customFormat="1" x14ac:dyDescent="0.2"/>
    <row r="71596" customFormat="1" x14ac:dyDescent="0.2"/>
    <row r="71597" customFormat="1" x14ac:dyDescent="0.2"/>
    <row r="71598" customFormat="1" x14ac:dyDescent="0.2"/>
    <row r="71599" customFormat="1" x14ac:dyDescent="0.2"/>
    <row r="71600" customFormat="1" x14ac:dyDescent="0.2"/>
    <row r="71601" customFormat="1" x14ac:dyDescent="0.2"/>
    <row r="71602" customFormat="1" x14ac:dyDescent="0.2"/>
    <row r="71603" customFormat="1" x14ac:dyDescent="0.2"/>
    <row r="71604" customFormat="1" x14ac:dyDescent="0.2"/>
    <row r="71605" customFormat="1" x14ac:dyDescent="0.2"/>
    <row r="71606" customFormat="1" x14ac:dyDescent="0.2"/>
    <row r="71607" customFormat="1" x14ac:dyDescent="0.2"/>
    <row r="71608" customFormat="1" x14ac:dyDescent="0.2"/>
    <row r="71609" customFormat="1" x14ac:dyDescent="0.2"/>
    <row r="71610" customFormat="1" x14ac:dyDescent="0.2"/>
    <row r="71611" customFormat="1" x14ac:dyDescent="0.2"/>
    <row r="71612" customFormat="1" x14ac:dyDescent="0.2"/>
    <row r="71613" customFormat="1" x14ac:dyDescent="0.2"/>
    <row r="71614" customFormat="1" x14ac:dyDescent="0.2"/>
    <row r="71615" customFormat="1" x14ac:dyDescent="0.2"/>
    <row r="71616" customFormat="1" x14ac:dyDescent="0.2"/>
    <row r="71617" customFormat="1" x14ac:dyDescent="0.2"/>
    <row r="71618" customFormat="1" x14ac:dyDescent="0.2"/>
    <row r="71619" customFormat="1" x14ac:dyDescent="0.2"/>
    <row r="71620" customFormat="1" x14ac:dyDescent="0.2"/>
    <row r="71621" customFormat="1" x14ac:dyDescent="0.2"/>
    <row r="71622" customFormat="1" x14ac:dyDescent="0.2"/>
    <row r="71623" customFormat="1" x14ac:dyDescent="0.2"/>
    <row r="71624" customFormat="1" x14ac:dyDescent="0.2"/>
    <row r="71625" customFormat="1" x14ac:dyDescent="0.2"/>
    <row r="71626" customFormat="1" x14ac:dyDescent="0.2"/>
    <row r="71627" customFormat="1" x14ac:dyDescent="0.2"/>
    <row r="71628" customFormat="1" x14ac:dyDescent="0.2"/>
    <row r="71629" customFormat="1" x14ac:dyDescent="0.2"/>
    <row r="71630" customFormat="1" x14ac:dyDescent="0.2"/>
    <row r="71631" customFormat="1" x14ac:dyDescent="0.2"/>
    <row r="71632" customFormat="1" x14ac:dyDescent="0.2"/>
    <row r="71633" customFormat="1" x14ac:dyDescent="0.2"/>
    <row r="71634" customFormat="1" x14ac:dyDescent="0.2"/>
    <row r="71635" customFormat="1" x14ac:dyDescent="0.2"/>
    <row r="71636" customFormat="1" x14ac:dyDescent="0.2"/>
    <row r="71637" customFormat="1" x14ac:dyDescent="0.2"/>
    <row r="71638" customFormat="1" x14ac:dyDescent="0.2"/>
    <row r="71639" customFormat="1" x14ac:dyDescent="0.2"/>
    <row r="71640" customFormat="1" x14ac:dyDescent="0.2"/>
    <row r="71641" customFormat="1" x14ac:dyDescent="0.2"/>
    <row r="71642" customFormat="1" x14ac:dyDescent="0.2"/>
    <row r="71643" customFormat="1" x14ac:dyDescent="0.2"/>
    <row r="71644" customFormat="1" x14ac:dyDescent="0.2"/>
    <row r="71645" customFormat="1" x14ac:dyDescent="0.2"/>
    <row r="71646" customFormat="1" x14ac:dyDescent="0.2"/>
    <row r="71647" customFormat="1" x14ac:dyDescent="0.2"/>
    <row r="71648" customFormat="1" x14ac:dyDescent="0.2"/>
    <row r="71649" customFormat="1" x14ac:dyDescent="0.2"/>
    <row r="71650" customFormat="1" x14ac:dyDescent="0.2"/>
    <row r="71651" customFormat="1" x14ac:dyDescent="0.2"/>
    <row r="71652" customFormat="1" x14ac:dyDescent="0.2"/>
    <row r="71653" customFormat="1" x14ac:dyDescent="0.2"/>
    <row r="71654" customFormat="1" x14ac:dyDescent="0.2"/>
    <row r="71655" customFormat="1" x14ac:dyDescent="0.2"/>
    <row r="71656" customFormat="1" x14ac:dyDescent="0.2"/>
    <row r="71657" customFormat="1" x14ac:dyDescent="0.2"/>
    <row r="71658" customFormat="1" x14ac:dyDescent="0.2"/>
    <row r="71659" customFormat="1" x14ac:dyDescent="0.2"/>
    <row r="71660" customFormat="1" x14ac:dyDescent="0.2"/>
    <row r="71661" customFormat="1" x14ac:dyDescent="0.2"/>
    <row r="71662" customFormat="1" x14ac:dyDescent="0.2"/>
    <row r="71663" customFormat="1" x14ac:dyDescent="0.2"/>
    <row r="71664" customFormat="1" x14ac:dyDescent="0.2"/>
    <row r="71665" customFormat="1" x14ac:dyDescent="0.2"/>
    <row r="71666" customFormat="1" x14ac:dyDescent="0.2"/>
    <row r="71667" customFormat="1" x14ac:dyDescent="0.2"/>
    <row r="71668" customFormat="1" x14ac:dyDescent="0.2"/>
    <row r="71669" customFormat="1" x14ac:dyDescent="0.2"/>
    <row r="71670" customFormat="1" x14ac:dyDescent="0.2"/>
    <row r="71671" customFormat="1" x14ac:dyDescent="0.2"/>
    <row r="71672" customFormat="1" x14ac:dyDescent="0.2"/>
    <row r="71673" customFormat="1" x14ac:dyDescent="0.2"/>
    <row r="71674" customFormat="1" x14ac:dyDescent="0.2"/>
    <row r="71675" customFormat="1" x14ac:dyDescent="0.2"/>
    <row r="71676" customFormat="1" x14ac:dyDescent="0.2"/>
    <row r="71677" customFormat="1" x14ac:dyDescent="0.2"/>
    <row r="71678" customFormat="1" x14ac:dyDescent="0.2"/>
    <row r="71679" customFormat="1" x14ac:dyDescent="0.2"/>
    <row r="71680" customFormat="1" x14ac:dyDescent="0.2"/>
    <row r="71681" customFormat="1" x14ac:dyDescent="0.2"/>
    <row r="71682" customFormat="1" x14ac:dyDescent="0.2"/>
    <row r="71683" customFormat="1" x14ac:dyDescent="0.2"/>
    <row r="71684" customFormat="1" x14ac:dyDescent="0.2"/>
    <row r="71685" customFormat="1" x14ac:dyDescent="0.2"/>
    <row r="71686" customFormat="1" x14ac:dyDescent="0.2"/>
    <row r="71687" customFormat="1" x14ac:dyDescent="0.2"/>
    <row r="71688" customFormat="1" x14ac:dyDescent="0.2"/>
    <row r="71689" customFormat="1" x14ac:dyDescent="0.2"/>
    <row r="71690" customFormat="1" x14ac:dyDescent="0.2"/>
    <row r="71691" customFormat="1" x14ac:dyDescent="0.2"/>
    <row r="71692" customFormat="1" x14ac:dyDescent="0.2"/>
    <row r="71693" customFormat="1" x14ac:dyDescent="0.2"/>
    <row r="71694" customFormat="1" x14ac:dyDescent="0.2"/>
    <row r="71695" customFormat="1" x14ac:dyDescent="0.2"/>
    <row r="71696" customFormat="1" x14ac:dyDescent="0.2"/>
    <row r="71697" customFormat="1" x14ac:dyDescent="0.2"/>
    <row r="71698" customFormat="1" x14ac:dyDescent="0.2"/>
    <row r="71699" customFormat="1" x14ac:dyDescent="0.2"/>
    <row r="71700" customFormat="1" x14ac:dyDescent="0.2"/>
    <row r="71701" customFormat="1" x14ac:dyDescent="0.2"/>
    <row r="71702" customFormat="1" x14ac:dyDescent="0.2"/>
    <row r="71703" customFormat="1" x14ac:dyDescent="0.2"/>
    <row r="71704" customFormat="1" x14ac:dyDescent="0.2"/>
    <row r="71705" customFormat="1" x14ac:dyDescent="0.2"/>
    <row r="71706" customFormat="1" x14ac:dyDescent="0.2"/>
    <row r="71707" customFormat="1" x14ac:dyDescent="0.2"/>
    <row r="71708" customFormat="1" x14ac:dyDescent="0.2"/>
    <row r="71709" customFormat="1" x14ac:dyDescent="0.2"/>
    <row r="71710" customFormat="1" x14ac:dyDescent="0.2"/>
    <row r="71711" customFormat="1" x14ac:dyDescent="0.2"/>
    <row r="71712" customFormat="1" x14ac:dyDescent="0.2"/>
    <row r="71713" customFormat="1" x14ac:dyDescent="0.2"/>
    <row r="71714" customFormat="1" x14ac:dyDescent="0.2"/>
    <row r="71715" customFormat="1" x14ac:dyDescent="0.2"/>
    <row r="71716" customFormat="1" x14ac:dyDescent="0.2"/>
    <row r="71717" customFormat="1" x14ac:dyDescent="0.2"/>
    <row r="71718" customFormat="1" x14ac:dyDescent="0.2"/>
    <row r="71719" customFormat="1" x14ac:dyDescent="0.2"/>
    <row r="71720" customFormat="1" x14ac:dyDescent="0.2"/>
    <row r="71721" customFormat="1" x14ac:dyDescent="0.2"/>
    <row r="71722" customFormat="1" x14ac:dyDescent="0.2"/>
    <row r="71723" customFormat="1" x14ac:dyDescent="0.2"/>
    <row r="71724" customFormat="1" x14ac:dyDescent="0.2"/>
    <row r="71725" customFormat="1" x14ac:dyDescent="0.2"/>
    <row r="71726" customFormat="1" x14ac:dyDescent="0.2"/>
    <row r="71727" customFormat="1" x14ac:dyDescent="0.2"/>
    <row r="71728" customFormat="1" x14ac:dyDescent="0.2"/>
    <row r="71729" customFormat="1" x14ac:dyDescent="0.2"/>
    <row r="71730" customFormat="1" x14ac:dyDescent="0.2"/>
    <row r="71731" customFormat="1" x14ac:dyDescent="0.2"/>
    <row r="71732" customFormat="1" x14ac:dyDescent="0.2"/>
    <row r="71733" customFormat="1" x14ac:dyDescent="0.2"/>
    <row r="71734" customFormat="1" x14ac:dyDescent="0.2"/>
    <row r="71735" customFormat="1" x14ac:dyDescent="0.2"/>
    <row r="71736" customFormat="1" x14ac:dyDescent="0.2"/>
    <row r="71737" customFormat="1" x14ac:dyDescent="0.2"/>
    <row r="71738" customFormat="1" x14ac:dyDescent="0.2"/>
    <row r="71739" customFormat="1" x14ac:dyDescent="0.2"/>
    <row r="71740" customFormat="1" x14ac:dyDescent="0.2"/>
    <row r="71741" customFormat="1" x14ac:dyDescent="0.2"/>
    <row r="71742" customFormat="1" x14ac:dyDescent="0.2"/>
    <row r="71743" customFormat="1" x14ac:dyDescent="0.2"/>
    <row r="71744" customFormat="1" x14ac:dyDescent="0.2"/>
    <row r="71745" customFormat="1" x14ac:dyDescent="0.2"/>
    <row r="71746" customFormat="1" x14ac:dyDescent="0.2"/>
    <row r="71747" customFormat="1" x14ac:dyDescent="0.2"/>
    <row r="71748" customFormat="1" x14ac:dyDescent="0.2"/>
    <row r="71749" customFormat="1" x14ac:dyDescent="0.2"/>
    <row r="71750" customFormat="1" x14ac:dyDescent="0.2"/>
    <row r="71751" customFormat="1" x14ac:dyDescent="0.2"/>
    <row r="71752" customFormat="1" x14ac:dyDescent="0.2"/>
    <row r="71753" customFormat="1" x14ac:dyDescent="0.2"/>
    <row r="71754" customFormat="1" x14ac:dyDescent="0.2"/>
    <row r="71755" customFormat="1" x14ac:dyDescent="0.2"/>
    <row r="71756" customFormat="1" x14ac:dyDescent="0.2"/>
    <row r="71757" customFormat="1" x14ac:dyDescent="0.2"/>
    <row r="71758" customFormat="1" x14ac:dyDescent="0.2"/>
    <row r="71759" customFormat="1" x14ac:dyDescent="0.2"/>
    <row r="71760" customFormat="1" x14ac:dyDescent="0.2"/>
    <row r="71761" customFormat="1" x14ac:dyDescent="0.2"/>
    <row r="71762" customFormat="1" x14ac:dyDescent="0.2"/>
    <row r="71763" customFormat="1" x14ac:dyDescent="0.2"/>
    <row r="71764" customFormat="1" x14ac:dyDescent="0.2"/>
    <row r="71765" customFormat="1" x14ac:dyDescent="0.2"/>
    <row r="71766" customFormat="1" x14ac:dyDescent="0.2"/>
    <row r="71767" customFormat="1" x14ac:dyDescent="0.2"/>
    <row r="71768" customFormat="1" x14ac:dyDescent="0.2"/>
    <row r="71769" customFormat="1" x14ac:dyDescent="0.2"/>
    <row r="71770" customFormat="1" x14ac:dyDescent="0.2"/>
    <row r="71771" customFormat="1" x14ac:dyDescent="0.2"/>
    <row r="71772" customFormat="1" x14ac:dyDescent="0.2"/>
    <row r="71773" customFormat="1" x14ac:dyDescent="0.2"/>
    <row r="71774" customFormat="1" x14ac:dyDescent="0.2"/>
    <row r="71775" customFormat="1" x14ac:dyDescent="0.2"/>
    <row r="71776" customFormat="1" x14ac:dyDescent="0.2"/>
    <row r="71777" customFormat="1" x14ac:dyDescent="0.2"/>
    <row r="71778" customFormat="1" x14ac:dyDescent="0.2"/>
    <row r="71779" customFormat="1" x14ac:dyDescent="0.2"/>
    <row r="71780" customFormat="1" x14ac:dyDescent="0.2"/>
    <row r="71781" customFormat="1" x14ac:dyDescent="0.2"/>
    <row r="71782" customFormat="1" x14ac:dyDescent="0.2"/>
    <row r="71783" customFormat="1" x14ac:dyDescent="0.2"/>
    <row r="71784" customFormat="1" x14ac:dyDescent="0.2"/>
    <row r="71785" customFormat="1" x14ac:dyDescent="0.2"/>
    <row r="71786" customFormat="1" x14ac:dyDescent="0.2"/>
    <row r="71787" customFormat="1" x14ac:dyDescent="0.2"/>
    <row r="71788" customFormat="1" x14ac:dyDescent="0.2"/>
    <row r="71789" customFormat="1" x14ac:dyDescent="0.2"/>
    <row r="71790" customFormat="1" x14ac:dyDescent="0.2"/>
    <row r="71791" customFormat="1" x14ac:dyDescent="0.2"/>
    <row r="71792" customFormat="1" x14ac:dyDescent="0.2"/>
    <row r="71793" customFormat="1" x14ac:dyDescent="0.2"/>
    <row r="71794" customFormat="1" x14ac:dyDescent="0.2"/>
    <row r="71795" customFormat="1" x14ac:dyDescent="0.2"/>
    <row r="71796" customFormat="1" x14ac:dyDescent="0.2"/>
    <row r="71797" customFormat="1" x14ac:dyDescent="0.2"/>
    <row r="71798" customFormat="1" x14ac:dyDescent="0.2"/>
    <row r="71799" customFormat="1" x14ac:dyDescent="0.2"/>
    <row r="71800" customFormat="1" x14ac:dyDescent="0.2"/>
    <row r="71801" customFormat="1" x14ac:dyDescent="0.2"/>
    <row r="71802" customFormat="1" x14ac:dyDescent="0.2"/>
    <row r="71803" customFormat="1" x14ac:dyDescent="0.2"/>
    <row r="71804" customFormat="1" x14ac:dyDescent="0.2"/>
    <row r="71805" customFormat="1" x14ac:dyDescent="0.2"/>
    <row r="71806" customFormat="1" x14ac:dyDescent="0.2"/>
    <row r="71807" customFormat="1" x14ac:dyDescent="0.2"/>
    <row r="71808" customFormat="1" x14ac:dyDescent="0.2"/>
    <row r="71809" customFormat="1" x14ac:dyDescent="0.2"/>
    <row r="71810" customFormat="1" x14ac:dyDescent="0.2"/>
    <row r="71811" customFormat="1" x14ac:dyDescent="0.2"/>
    <row r="71812" customFormat="1" x14ac:dyDescent="0.2"/>
    <row r="71813" customFormat="1" x14ac:dyDescent="0.2"/>
    <row r="71814" customFormat="1" x14ac:dyDescent="0.2"/>
    <row r="71815" customFormat="1" x14ac:dyDescent="0.2"/>
    <row r="71816" customFormat="1" x14ac:dyDescent="0.2"/>
    <row r="71817" customFormat="1" x14ac:dyDescent="0.2"/>
    <row r="71818" customFormat="1" x14ac:dyDescent="0.2"/>
    <row r="71819" customFormat="1" x14ac:dyDescent="0.2"/>
    <row r="71820" customFormat="1" x14ac:dyDescent="0.2"/>
    <row r="71821" customFormat="1" x14ac:dyDescent="0.2"/>
    <row r="71822" customFormat="1" x14ac:dyDescent="0.2"/>
    <row r="71823" customFormat="1" x14ac:dyDescent="0.2"/>
    <row r="71824" customFormat="1" x14ac:dyDescent="0.2"/>
    <row r="71825" customFormat="1" x14ac:dyDescent="0.2"/>
    <row r="71826" customFormat="1" x14ac:dyDescent="0.2"/>
    <row r="71827" customFormat="1" x14ac:dyDescent="0.2"/>
    <row r="71828" customFormat="1" x14ac:dyDescent="0.2"/>
    <row r="71829" customFormat="1" x14ac:dyDescent="0.2"/>
    <row r="71830" customFormat="1" x14ac:dyDescent="0.2"/>
    <row r="71831" customFormat="1" x14ac:dyDescent="0.2"/>
    <row r="71832" customFormat="1" x14ac:dyDescent="0.2"/>
    <row r="71833" customFormat="1" x14ac:dyDescent="0.2"/>
    <row r="71834" customFormat="1" x14ac:dyDescent="0.2"/>
    <row r="71835" customFormat="1" x14ac:dyDescent="0.2"/>
    <row r="71836" customFormat="1" x14ac:dyDescent="0.2"/>
    <row r="71837" customFormat="1" x14ac:dyDescent="0.2"/>
    <row r="71838" customFormat="1" x14ac:dyDescent="0.2"/>
    <row r="71839" customFormat="1" x14ac:dyDescent="0.2"/>
    <row r="71840" customFormat="1" x14ac:dyDescent="0.2"/>
    <row r="71841" customFormat="1" x14ac:dyDescent="0.2"/>
    <row r="71842" customFormat="1" x14ac:dyDescent="0.2"/>
    <row r="71843" customFormat="1" x14ac:dyDescent="0.2"/>
    <row r="71844" customFormat="1" x14ac:dyDescent="0.2"/>
    <row r="71845" customFormat="1" x14ac:dyDescent="0.2"/>
    <row r="71846" customFormat="1" x14ac:dyDescent="0.2"/>
    <row r="71847" customFormat="1" x14ac:dyDescent="0.2"/>
    <row r="71848" customFormat="1" x14ac:dyDescent="0.2"/>
    <row r="71849" customFormat="1" x14ac:dyDescent="0.2"/>
    <row r="71850" customFormat="1" x14ac:dyDescent="0.2"/>
    <row r="71851" customFormat="1" x14ac:dyDescent="0.2"/>
    <row r="71852" customFormat="1" x14ac:dyDescent="0.2"/>
    <row r="71853" customFormat="1" x14ac:dyDescent="0.2"/>
    <row r="71854" customFormat="1" x14ac:dyDescent="0.2"/>
    <row r="71855" customFormat="1" x14ac:dyDescent="0.2"/>
    <row r="71856" customFormat="1" x14ac:dyDescent="0.2"/>
    <row r="71857" customFormat="1" x14ac:dyDescent="0.2"/>
    <row r="71858" customFormat="1" x14ac:dyDescent="0.2"/>
    <row r="71859" customFormat="1" x14ac:dyDescent="0.2"/>
    <row r="71860" customFormat="1" x14ac:dyDescent="0.2"/>
    <row r="71861" customFormat="1" x14ac:dyDescent="0.2"/>
    <row r="71862" customFormat="1" x14ac:dyDescent="0.2"/>
    <row r="71863" customFormat="1" x14ac:dyDescent="0.2"/>
    <row r="71864" customFormat="1" x14ac:dyDescent="0.2"/>
    <row r="71865" customFormat="1" x14ac:dyDescent="0.2"/>
    <row r="71866" customFormat="1" x14ac:dyDescent="0.2"/>
    <row r="71867" customFormat="1" x14ac:dyDescent="0.2"/>
    <row r="71868" customFormat="1" x14ac:dyDescent="0.2"/>
    <row r="71869" customFormat="1" x14ac:dyDescent="0.2"/>
    <row r="71870" customFormat="1" x14ac:dyDescent="0.2"/>
    <row r="71871" customFormat="1" x14ac:dyDescent="0.2"/>
    <row r="71872" customFormat="1" x14ac:dyDescent="0.2"/>
    <row r="71873" customFormat="1" x14ac:dyDescent="0.2"/>
    <row r="71874" customFormat="1" x14ac:dyDescent="0.2"/>
    <row r="71875" customFormat="1" x14ac:dyDescent="0.2"/>
    <row r="71876" customFormat="1" x14ac:dyDescent="0.2"/>
    <row r="71877" customFormat="1" x14ac:dyDescent="0.2"/>
    <row r="71878" customFormat="1" x14ac:dyDescent="0.2"/>
    <row r="71879" customFormat="1" x14ac:dyDescent="0.2"/>
    <row r="71880" customFormat="1" x14ac:dyDescent="0.2"/>
    <row r="71881" customFormat="1" x14ac:dyDescent="0.2"/>
    <row r="71882" customFormat="1" x14ac:dyDescent="0.2"/>
    <row r="71883" customFormat="1" x14ac:dyDescent="0.2"/>
    <row r="71884" customFormat="1" x14ac:dyDescent="0.2"/>
    <row r="71885" customFormat="1" x14ac:dyDescent="0.2"/>
    <row r="71886" customFormat="1" x14ac:dyDescent="0.2"/>
    <row r="71887" customFormat="1" x14ac:dyDescent="0.2"/>
    <row r="71888" customFormat="1" x14ac:dyDescent="0.2"/>
    <row r="71889" customFormat="1" x14ac:dyDescent="0.2"/>
    <row r="71890" customFormat="1" x14ac:dyDescent="0.2"/>
    <row r="71891" customFormat="1" x14ac:dyDescent="0.2"/>
    <row r="71892" customFormat="1" x14ac:dyDescent="0.2"/>
    <row r="71893" customFormat="1" x14ac:dyDescent="0.2"/>
    <row r="71894" customFormat="1" x14ac:dyDescent="0.2"/>
    <row r="71895" customFormat="1" x14ac:dyDescent="0.2"/>
    <row r="71896" customFormat="1" x14ac:dyDescent="0.2"/>
    <row r="71897" customFormat="1" x14ac:dyDescent="0.2"/>
    <row r="71898" customFormat="1" x14ac:dyDescent="0.2"/>
    <row r="71899" customFormat="1" x14ac:dyDescent="0.2"/>
    <row r="71900" customFormat="1" x14ac:dyDescent="0.2"/>
    <row r="71901" customFormat="1" x14ac:dyDescent="0.2"/>
    <row r="71902" customFormat="1" x14ac:dyDescent="0.2"/>
    <row r="71903" customFormat="1" x14ac:dyDescent="0.2"/>
    <row r="71904" customFormat="1" x14ac:dyDescent="0.2"/>
    <row r="71905" customFormat="1" x14ac:dyDescent="0.2"/>
    <row r="71906" customFormat="1" x14ac:dyDescent="0.2"/>
    <row r="71907" customFormat="1" x14ac:dyDescent="0.2"/>
    <row r="71908" customFormat="1" x14ac:dyDescent="0.2"/>
    <row r="71909" customFormat="1" x14ac:dyDescent="0.2"/>
    <row r="71910" customFormat="1" x14ac:dyDescent="0.2"/>
    <row r="71911" customFormat="1" x14ac:dyDescent="0.2"/>
    <row r="71912" customFormat="1" x14ac:dyDescent="0.2"/>
    <row r="71913" customFormat="1" x14ac:dyDescent="0.2"/>
    <row r="71914" customFormat="1" x14ac:dyDescent="0.2"/>
    <row r="71915" customFormat="1" x14ac:dyDescent="0.2"/>
    <row r="71916" customFormat="1" x14ac:dyDescent="0.2"/>
    <row r="71917" customFormat="1" x14ac:dyDescent="0.2"/>
    <row r="71918" customFormat="1" x14ac:dyDescent="0.2"/>
    <row r="71919" customFormat="1" x14ac:dyDescent="0.2"/>
    <row r="71920" customFormat="1" x14ac:dyDescent="0.2"/>
    <row r="71921" customFormat="1" x14ac:dyDescent="0.2"/>
    <row r="71922" customFormat="1" x14ac:dyDescent="0.2"/>
    <row r="71923" customFormat="1" x14ac:dyDescent="0.2"/>
    <row r="71924" customFormat="1" x14ac:dyDescent="0.2"/>
    <row r="71925" customFormat="1" x14ac:dyDescent="0.2"/>
    <row r="71926" customFormat="1" x14ac:dyDescent="0.2"/>
    <row r="71927" customFormat="1" x14ac:dyDescent="0.2"/>
    <row r="71928" customFormat="1" x14ac:dyDescent="0.2"/>
    <row r="71929" customFormat="1" x14ac:dyDescent="0.2"/>
    <row r="71930" customFormat="1" x14ac:dyDescent="0.2"/>
    <row r="71931" customFormat="1" x14ac:dyDescent="0.2"/>
    <row r="71932" customFormat="1" x14ac:dyDescent="0.2"/>
    <row r="71933" customFormat="1" x14ac:dyDescent="0.2"/>
    <row r="71934" customFormat="1" x14ac:dyDescent="0.2"/>
    <row r="71935" customFormat="1" x14ac:dyDescent="0.2"/>
    <row r="71936" customFormat="1" x14ac:dyDescent="0.2"/>
    <row r="71937" customFormat="1" x14ac:dyDescent="0.2"/>
    <row r="71938" customFormat="1" x14ac:dyDescent="0.2"/>
    <row r="71939" customFormat="1" x14ac:dyDescent="0.2"/>
    <row r="71940" customFormat="1" x14ac:dyDescent="0.2"/>
    <row r="71941" customFormat="1" x14ac:dyDescent="0.2"/>
    <row r="71942" customFormat="1" x14ac:dyDescent="0.2"/>
    <row r="71943" customFormat="1" x14ac:dyDescent="0.2"/>
    <row r="71944" customFormat="1" x14ac:dyDescent="0.2"/>
    <row r="71945" customFormat="1" x14ac:dyDescent="0.2"/>
    <row r="71946" customFormat="1" x14ac:dyDescent="0.2"/>
    <row r="71947" customFormat="1" x14ac:dyDescent="0.2"/>
    <row r="71948" customFormat="1" x14ac:dyDescent="0.2"/>
    <row r="71949" customFormat="1" x14ac:dyDescent="0.2"/>
    <row r="71950" customFormat="1" x14ac:dyDescent="0.2"/>
    <row r="71951" customFormat="1" x14ac:dyDescent="0.2"/>
    <row r="71952" customFormat="1" x14ac:dyDescent="0.2"/>
    <row r="71953" customFormat="1" x14ac:dyDescent="0.2"/>
    <row r="71954" customFormat="1" x14ac:dyDescent="0.2"/>
    <row r="71955" customFormat="1" x14ac:dyDescent="0.2"/>
    <row r="71956" customFormat="1" x14ac:dyDescent="0.2"/>
    <row r="71957" customFormat="1" x14ac:dyDescent="0.2"/>
    <row r="71958" customFormat="1" x14ac:dyDescent="0.2"/>
    <row r="71959" customFormat="1" x14ac:dyDescent="0.2"/>
    <row r="71960" customFormat="1" x14ac:dyDescent="0.2"/>
    <row r="71961" customFormat="1" x14ac:dyDescent="0.2"/>
    <row r="71962" customFormat="1" x14ac:dyDescent="0.2"/>
    <row r="71963" customFormat="1" x14ac:dyDescent="0.2"/>
    <row r="71964" customFormat="1" x14ac:dyDescent="0.2"/>
    <row r="71965" customFormat="1" x14ac:dyDescent="0.2"/>
    <row r="71966" customFormat="1" x14ac:dyDescent="0.2"/>
    <row r="71967" customFormat="1" x14ac:dyDescent="0.2"/>
    <row r="71968" customFormat="1" x14ac:dyDescent="0.2"/>
    <row r="71969" customFormat="1" x14ac:dyDescent="0.2"/>
    <row r="71970" customFormat="1" x14ac:dyDescent="0.2"/>
    <row r="71971" customFormat="1" x14ac:dyDescent="0.2"/>
    <row r="71972" customFormat="1" x14ac:dyDescent="0.2"/>
    <row r="71973" customFormat="1" x14ac:dyDescent="0.2"/>
    <row r="71974" customFormat="1" x14ac:dyDescent="0.2"/>
    <row r="71975" customFormat="1" x14ac:dyDescent="0.2"/>
    <row r="71976" customFormat="1" x14ac:dyDescent="0.2"/>
    <row r="71977" customFormat="1" x14ac:dyDescent="0.2"/>
    <row r="71978" customFormat="1" x14ac:dyDescent="0.2"/>
    <row r="71979" customFormat="1" x14ac:dyDescent="0.2"/>
    <row r="71980" customFormat="1" x14ac:dyDescent="0.2"/>
    <row r="71981" customFormat="1" x14ac:dyDescent="0.2"/>
    <row r="71982" customFormat="1" x14ac:dyDescent="0.2"/>
    <row r="71983" customFormat="1" x14ac:dyDescent="0.2"/>
    <row r="71984" customFormat="1" x14ac:dyDescent="0.2"/>
    <row r="71985" customFormat="1" x14ac:dyDescent="0.2"/>
    <row r="71986" customFormat="1" x14ac:dyDescent="0.2"/>
    <row r="71987" customFormat="1" x14ac:dyDescent="0.2"/>
    <row r="71988" customFormat="1" x14ac:dyDescent="0.2"/>
    <row r="71989" customFormat="1" x14ac:dyDescent="0.2"/>
    <row r="71990" customFormat="1" x14ac:dyDescent="0.2"/>
    <row r="71991" customFormat="1" x14ac:dyDescent="0.2"/>
    <row r="71992" customFormat="1" x14ac:dyDescent="0.2"/>
    <row r="71993" customFormat="1" x14ac:dyDescent="0.2"/>
    <row r="71994" customFormat="1" x14ac:dyDescent="0.2"/>
    <row r="71995" customFormat="1" x14ac:dyDescent="0.2"/>
    <row r="71996" customFormat="1" x14ac:dyDescent="0.2"/>
    <row r="71997" customFormat="1" x14ac:dyDescent="0.2"/>
    <row r="71998" customFormat="1" x14ac:dyDescent="0.2"/>
    <row r="71999" customFormat="1" x14ac:dyDescent="0.2"/>
    <row r="72000" customFormat="1" x14ac:dyDescent="0.2"/>
    <row r="72001" customFormat="1" x14ac:dyDescent="0.2"/>
    <row r="72002" customFormat="1" x14ac:dyDescent="0.2"/>
    <row r="72003" customFormat="1" x14ac:dyDescent="0.2"/>
    <row r="72004" customFormat="1" x14ac:dyDescent="0.2"/>
    <row r="72005" customFormat="1" x14ac:dyDescent="0.2"/>
    <row r="72006" customFormat="1" x14ac:dyDescent="0.2"/>
    <row r="72007" customFormat="1" x14ac:dyDescent="0.2"/>
    <row r="72008" customFormat="1" x14ac:dyDescent="0.2"/>
    <row r="72009" customFormat="1" x14ac:dyDescent="0.2"/>
    <row r="72010" customFormat="1" x14ac:dyDescent="0.2"/>
    <row r="72011" customFormat="1" x14ac:dyDescent="0.2"/>
    <row r="72012" customFormat="1" x14ac:dyDescent="0.2"/>
    <row r="72013" customFormat="1" x14ac:dyDescent="0.2"/>
    <row r="72014" customFormat="1" x14ac:dyDescent="0.2"/>
    <row r="72015" customFormat="1" x14ac:dyDescent="0.2"/>
    <row r="72016" customFormat="1" x14ac:dyDescent="0.2"/>
    <row r="72017" customFormat="1" x14ac:dyDescent="0.2"/>
    <row r="72018" customFormat="1" x14ac:dyDescent="0.2"/>
    <row r="72019" customFormat="1" x14ac:dyDescent="0.2"/>
    <row r="72020" customFormat="1" x14ac:dyDescent="0.2"/>
    <row r="72021" customFormat="1" x14ac:dyDescent="0.2"/>
    <row r="72022" customFormat="1" x14ac:dyDescent="0.2"/>
    <row r="72023" customFormat="1" x14ac:dyDescent="0.2"/>
    <row r="72024" customFormat="1" x14ac:dyDescent="0.2"/>
    <row r="72025" customFormat="1" x14ac:dyDescent="0.2"/>
    <row r="72026" customFormat="1" x14ac:dyDescent="0.2"/>
    <row r="72027" customFormat="1" x14ac:dyDescent="0.2"/>
    <row r="72028" customFormat="1" x14ac:dyDescent="0.2"/>
    <row r="72029" customFormat="1" x14ac:dyDescent="0.2"/>
    <row r="72030" customFormat="1" x14ac:dyDescent="0.2"/>
    <row r="72031" customFormat="1" x14ac:dyDescent="0.2"/>
    <row r="72032" customFormat="1" x14ac:dyDescent="0.2"/>
    <row r="72033" customFormat="1" x14ac:dyDescent="0.2"/>
    <row r="72034" customFormat="1" x14ac:dyDescent="0.2"/>
    <row r="72035" customFormat="1" x14ac:dyDescent="0.2"/>
    <row r="72036" customFormat="1" x14ac:dyDescent="0.2"/>
    <row r="72037" customFormat="1" x14ac:dyDescent="0.2"/>
    <row r="72038" customFormat="1" x14ac:dyDescent="0.2"/>
    <row r="72039" customFormat="1" x14ac:dyDescent="0.2"/>
    <row r="72040" customFormat="1" x14ac:dyDescent="0.2"/>
    <row r="72041" customFormat="1" x14ac:dyDescent="0.2"/>
    <row r="72042" customFormat="1" x14ac:dyDescent="0.2"/>
    <row r="72043" customFormat="1" x14ac:dyDescent="0.2"/>
    <row r="72044" customFormat="1" x14ac:dyDescent="0.2"/>
    <row r="72045" customFormat="1" x14ac:dyDescent="0.2"/>
    <row r="72046" customFormat="1" x14ac:dyDescent="0.2"/>
    <row r="72047" customFormat="1" x14ac:dyDescent="0.2"/>
    <row r="72048" customFormat="1" x14ac:dyDescent="0.2"/>
    <row r="72049" customFormat="1" x14ac:dyDescent="0.2"/>
    <row r="72050" customFormat="1" x14ac:dyDescent="0.2"/>
    <row r="72051" customFormat="1" x14ac:dyDescent="0.2"/>
    <row r="72052" customFormat="1" x14ac:dyDescent="0.2"/>
    <row r="72053" customFormat="1" x14ac:dyDescent="0.2"/>
    <row r="72054" customFormat="1" x14ac:dyDescent="0.2"/>
    <row r="72055" customFormat="1" x14ac:dyDescent="0.2"/>
    <row r="72056" customFormat="1" x14ac:dyDescent="0.2"/>
    <row r="72057" customFormat="1" x14ac:dyDescent="0.2"/>
    <row r="72058" customFormat="1" x14ac:dyDescent="0.2"/>
    <row r="72059" customFormat="1" x14ac:dyDescent="0.2"/>
    <row r="72060" customFormat="1" x14ac:dyDescent="0.2"/>
    <row r="72061" customFormat="1" x14ac:dyDescent="0.2"/>
    <row r="72062" customFormat="1" x14ac:dyDescent="0.2"/>
    <row r="72063" customFormat="1" x14ac:dyDescent="0.2"/>
    <row r="72064" customFormat="1" x14ac:dyDescent="0.2"/>
    <row r="72065" customFormat="1" x14ac:dyDescent="0.2"/>
    <row r="72066" customFormat="1" x14ac:dyDescent="0.2"/>
    <row r="72067" customFormat="1" x14ac:dyDescent="0.2"/>
    <row r="72068" customFormat="1" x14ac:dyDescent="0.2"/>
    <row r="72069" customFormat="1" x14ac:dyDescent="0.2"/>
    <row r="72070" customFormat="1" x14ac:dyDescent="0.2"/>
    <row r="72071" customFormat="1" x14ac:dyDescent="0.2"/>
    <row r="72072" customFormat="1" x14ac:dyDescent="0.2"/>
    <row r="72073" customFormat="1" x14ac:dyDescent="0.2"/>
    <row r="72074" customFormat="1" x14ac:dyDescent="0.2"/>
    <row r="72075" customFormat="1" x14ac:dyDescent="0.2"/>
    <row r="72076" customFormat="1" x14ac:dyDescent="0.2"/>
    <row r="72077" customFormat="1" x14ac:dyDescent="0.2"/>
    <row r="72078" customFormat="1" x14ac:dyDescent="0.2"/>
    <row r="72079" customFormat="1" x14ac:dyDescent="0.2"/>
    <row r="72080" customFormat="1" x14ac:dyDescent="0.2"/>
    <row r="72081" customFormat="1" x14ac:dyDescent="0.2"/>
    <row r="72082" customFormat="1" x14ac:dyDescent="0.2"/>
    <row r="72083" customFormat="1" x14ac:dyDescent="0.2"/>
    <row r="72084" customFormat="1" x14ac:dyDescent="0.2"/>
    <row r="72085" customFormat="1" x14ac:dyDescent="0.2"/>
    <row r="72086" customFormat="1" x14ac:dyDescent="0.2"/>
    <row r="72087" customFormat="1" x14ac:dyDescent="0.2"/>
    <row r="72088" customFormat="1" x14ac:dyDescent="0.2"/>
    <row r="72089" customFormat="1" x14ac:dyDescent="0.2"/>
    <row r="72090" customFormat="1" x14ac:dyDescent="0.2"/>
    <row r="72091" customFormat="1" x14ac:dyDescent="0.2"/>
    <row r="72092" customFormat="1" x14ac:dyDescent="0.2"/>
    <row r="72093" customFormat="1" x14ac:dyDescent="0.2"/>
    <row r="72094" customFormat="1" x14ac:dyDescent="0.2"/>
    <row r="72095" customFormat="1" x14ac:dyDescent="0.2"/>
    <row r="72096" customFormat="1" x14ac:dyDescent="0.2"/>
    <row r="72097" customFormat="1" x14ac:dyDescent="0.2"/>
    <row r="72098" customFormat="1" x14ac:dyDescent="0.2"/>
    <row r="72099" customFormat="1" x14ac:dyDescent="0.2"/>
    <row r="72100" customFormat="1" x14ac:dyDescent="0.2"/>
    <row r="72101" customFormat="1" x14ac:dyDescent="0.2"/>
    <row r="72102" customFormat="1" x14ac:dyDescent="0.2"/>
    <row r="72103" customFormat="1" x14ac:dyDescent="0.2"/>
    <row r="72104" customFormat="1" x14ac:dyDescent="0.2"/>
    <row r="72105" customFormat="1" x14ac:dyDescent="0.2"/>
    <row r="72106" customFormat="1" x14ac:dyDescent="0.2"/>
    <row r="72107" customFormat="1" x14ac:dyDescent="0.2"/>
    <row r="72108" customFormat="1" x14ac:dyDescent="0.2"/>
    <row r="72109" customFormat="1" x14ac:dyDescent="0.2"/>
    <row r="72110" customFormat="1" x14ac:dyDescent="0.2"/>
    <row r="72111" customFormat="1" x14ac:dyDescent="0.2"/>
    <row r="72112" customFormat="1" x14ac:dyDescent="0.2"/>
    <row r="72113" customFormat="1" x14ac:dyDescent="0.2"/>
    <row r="72114" customFormat="1" x14ac:dyDescent="0.2"/>
    <row r="72115" customFormat="1" x14ac:dyDescent="0.2"/>
    <row r="72116" customFormat="1" x14ac:dyDescent="0.2"/>
    <row r="72117" customFormat="1" x14ac:dyDescent="0.2"/>
    <row r="72118" customFormat="1" x14ac:dyDescent="0.2"/>
    <row r="72119" customFormat="1" x14ac:dyDescent="0.2"/>
    <row r="72120" customFormat="1" x14ac:dyDescent="0.2"/>
    <row r="72121" customFormat="1" x14ac:dyDescent="0.2"/>
    <row r="72122" customFormat="1" x14ac:dyDescent="0.2"/>
    <row r="72123" customFormat="1" x14ac:dyDescent="0.2"/>
    <row r="72124" customFormat="1" x14ac:dyDescent="0.2"/>
    <row r="72125" customFormat="1" x14ac:dyDescent="0.2"/>
    <row r="72126" customFormat="1" x14ac:dyDescent="0.2"/>
    <row r="72127" customFormat="1" x14ac:dyDescent="0.2"/>
    <row r="72128" customFormat="1" x14ac:dyDescent="0.2"/>
    <row r="72129" customFormat="1" x14ac:dyDescent="0.2"/>
    <row r="72130" customFormat="1" x14ac:dyDescent="0.2"/>
    <row r="72131" customFormat="1" x14ac:dyDescent="0.2"/>
    <row r="72132" customFormat="1" x14ac:dyDescent="0.2"/>
    <row r="72133" customFormat="1" x14ac:dyDescent="0.2"/>
    <row r="72134" customFormat="1" x14ac:dyDescent="0.2"/>
    <row r="72135" customFormat="1" x14ac:dyDescent="0.2"/>
    <row r="72136" customFormat="1" x14ac:dyDescent="0.2"/>
    <row r="72137" customFormat="1" x14ac:dyDescent="0.2"/>
    <row r="72138" customFormat="1" x14ac:dyDescent="0.2"/>
    <row r="72139" customFormat="1" x14ac:dyDescent="0.2"/>
    <row r="72140" customFormat="1" x14ac:dyDescent="0.2"/>
    <row r="72141" customFormat="1" x14ac:dyDescent="0.2"/>
    <row r="72142" customFormat="1" x14ac:dyDescent="0.2"/>
    <row r="72143" customFormat="1" x14ac:dyDescent="0.2"/>
    <row r="72144" customFormat="1" x14ac:dyDescent="0.2"/>
    <row r="72145" customFormat="1" x14ac:dyDescent="0.2"/>
    <row r="72146" customFormat="1" x14ac:dyDescent="0.2"/>
    <row r="72147" customFormat="1" x14ac:dyDescent="0.2"/>
    <row r="72148" customFormat="1" x14ac:dyDescent="0.2"/>
    <row r="72149" customFormat="1" x14ac:dyDescent="0.2"/>
    <row r="72150" customFormat="1" x14ac:dyDescent="0.2"/>
    <row r="72151" customFormat="1" x14ac:dyDescent="0.2"/>
    <row r="72152" customFormat="1" x14ac:dyDescent="0.2"/>
    <row r="72153" customFormat="1" x14ac:dyDescent="0.2"/>
    <row r="72154" customFormat="1" x14ac:dyDescent="0.2"/>
    <row r="72155" customFormat="1" x14ac:dyDescent="0.2"/>
    <row r="72156" customFormat="1" x14ac:dyDescent="0.2"/>
    <row r="72157" customFormat="1" x14ac:dyDescent="0.2"/>
    <row r="72158" customFormat="1" x14ac:dyDescent="0.2"/>
    <row r="72159" customFormat="1" x14ac:dyDescent="0.2"/>
    <row r="72160" customFormat="1" x14ac:dyDescent="0.2"/>
    <row r="72161" customFormat="1" x14ac:dyDescent="0.2"/>
    <row r="72162" customFormat="1" x14ac:dyDescent="0.2"/>
    <row r="72163" customFormat="1" x14ac:dyDescent="0.2"/>
    <row r="72164" customFormat="1" x14ac:dyDescent="0.2"/>
    <row r="72165" customFormat="1" x14ac:dyDescent="0.2"/>
    <row r="72166" customFormat="1" x14ac:dyDescent="0.2"/>
    <row r="72167" customFormat="1" x14ac:dyDescent="0.2"/>
    <row r="72168" customFormat="1" x14ac:dyDescent="0.2"/>
    <row r="72169" customFormat="1" x14ac:dyDescent="0.2"/>
    <row r="72170" customFormat="1" x14ac:dyDescent="0.2"/>
    <row r="72171" customFormat="1" x14ac:dyDescent="0.2"/>
    <row r="72172" customFormat="1" x14ac:dyDescent="0.2"/>
    <row r="72173" customFormat="1" x14ac:dyDescent="0.2"/>
    <row r="72174" customFormat="1" x14ac:dyDescent="0.2"/>
    <row r="72175" customFormat="1" x14ac:dyDescent="0.2"/>
    <row r="72176" customFormat="1" x14ac:dyDescent="0.2"/>
    <row r="72177" customFormat="1" x14ac:dyDescent="0.2"/>
    <row r="72178" customFormat="1" x14ac:dyDescent="0.2"/>
    <row r="72179" customFormat="1" x14ac:dyDescent="0.2"/>
    <row r="72180" customFormat="1" x14ac:dyDescent="0.2"/>
    <row r="72181" customFormat="1" x14ac:dyDescent="0.2"/>
    <row r="72182" customFormat="1" x14ac:dyDescent="0.2"/>
    <row r="72183" customFormat="1" x14ac:dyDescent="0.2"/>
    <row r="72184" customFormat="1" x14ac:dyDescent="0.2"/>
    <row r="72185" customFormat="1" x14ac:dyDescent="0.2"/>
    <row r="72186" customFormat="1" x14ac:dyDescent="0.2"/>
    <row r="72187" customFormat="1" x14ac:dyDescent="0.2"/>
    <row r="72188" customFormat="1" x14ac:dyDescent="0.2"/>
    <row r="72189" customFormat="1" x14ac:dyDescent="0.2"/>
    <row r="72190" customFormat="1" x14ac:dyDescent="0.2"/>
    <row r="72191" customFormat="1" x14ac:dyDescent="0.2"/>
    <row r="72192" customFormat="1" x14ac:dyDescent="0.2"/>
    <row r="72193" customFormat="1" x14ac:dyDescent="0.2"/>
    <row r="72194" customFormat="1" x14ac:dyDescent="0.2"/>
    <row r="72195" customFormat="1" x14ac:dyDescent="0.2"/>
    <row r="72196" customFormat="1" x14ac:dyDescent="0.2"/>
    <row r="72197" customFormat="1" x14ac:dyDescent="0.2"/>
    <row r="72198" customFormat="1" x14ac:dyDescent="0.2"/>
    <row r="72199" customFormat="1" x14ac:dyDescent="0.2"/>
    <row r="72200" customFormat="1" x14ac:dyDescent="0.2"/>
    <row r="72201" customFormat="1" x14ac:dyDescent="0.2"/>
    <row r="72202" customFormat="1" x14ac:dyDescent="0.2"/>
    <row r="72203" customFormat="1" x14ac:dyDescent="0.2"/>
    <row r="72204" customFormat="1" x14ac:dyDescent="0.2"/>
    <row r="72205" customFormat="1" x14ac:dyDescent="0.2"/>
    <row r="72206" customFormat="1" x14ac:dyDescent="0.2"/>
    <row r="72207" customFormat="1" x14ac:dyDescent="0.2"/>
    <row r="72208" customFormat="1" x14ac:dyDescent="0.2"/>
    <row r="72209" customFormat="1" x14ac:dyDescent="0.2"/>
    <row r="72210" customFormat="1" x14ac:dyDescent="0.2"/>
    <row r="72211" customFormat="1" x14ac:dyDescent="0.2"/>
    <row r="72212" customFormat="1" x14ac:dyDescent="0.2"/>
    <row r="72213" customFormat="1" x14ac:dyDescent="0.2"/>
    <row r="72214" customFormat="1" x14ac:dyDescent="0.2"/>
    <row r="72215" customFormat="1" x14ac:dyDescent="0.2"/>
    <row r="72216" customFormat="1" x14ac:dyDescent="0.2"/>
    <row r="72217" customFormat="1" x14ac:dyDescent="0.2"/>
    <row r="72218" customFormat="1" x14ac:dyDescent="0.2"/>
    <row r="72219" customFormat="1" x14ac:dyDescent="0.2"/>
    <row r="72220" customFormat="1" x14ac:dyDescent="0.2"/>
    <row r="72221" customFormat="1" x14ac:dyDescent="0.2"/>
    <row r="72222" customFormat="1" x14ac:dyDescent="0.2"/>
    <row r="72223" customFormat="1" x14ac:dyDescent="0.2"/>
    <row r="72224" customFormat="1" x14ac:dyDescent="0.2"/>
    <row r="72225" customFormat="1" x14ac:dyDescent="0.2"/>
    <row r="72226" customFormat="1" x14ac:dyDescent="0.2"/>
    <row r="72227" customFormat="1" x14ac:dyDescent="0.2"/>
    <row r="72228" customFormat="1" x14ac:dyDescent="0.2"/>
    <row r="72229" customFormat="1" x14ac:dyDescent="0.2"/>
    <row r="72230" customFormat="1" x14ac:dyDescent="0.2"/>
    <row r="72231" customFormat="1" x14ac:dyDescent="0.2"/>
    <row r="72232" customFormat="1" x14ac:dyDescent="0.2"/>
    <row r="72233" customFormat="1" x14ac:dyDescent="0.2"/>
    <row r="72234" customFormat="1" x14ac:dyDescent="0.2"/>
    <row r="72235" customFormat="1" x14ac:dyDescent="0.2"/>
    <row r="72236" customFormat="1" x14ac:dyDescent="0.2"/>
    <row r="72237" customFormat="1" x14ac:dyDescent="0.2"/>
    <row r="72238" customFormat="1" x14ac:dyDescent="0.2"/>
    <row r="72239" customFormat="1" x14ac:dyDescent="0.2"/>
    <row r="72240" customFormat="1" x14ac:dyDescent="0.2"/>
    <row r="72241" customFormat="1" x14ac:dyDescent="0.2"/>
    <row r="72242" customFormat="1" x14ac:dyDescent="0.2"/>
    <row r="72243" customFormat="1" x14ac:dyDescent="0.2"/>
    <row r="72244" customFormat="1" x14ac:dyDescent="0.2"/>
    <row r="72245" customFormat="1" x14ac:dyDescent="0.2"/>
    <row r="72246" customFormat="1" x14ac:dyDescent="0.2"/>
    <row r="72247" customFormat="1" x14ac:dyDescent="0.2"/>
    <row r="72248" customFormat="1" x14ac:dyDescent="0.2"/>
    <row r="72249" customFormat="1" x14ac:dyDescent="0.2"/>
    <row r="72250" customFormat="1" x14ac:dyDescent="0.2"/>
    <row r="72251" customFormat="1" x14ac:dyDescent="0.2"/>
    <row r="72252" customFormat="1" x14ac:dyDescent="0.2"/>
    <row r="72253" customFormat="1" x14ac:dyDescent="0.2"/>
    <row r="72254" customFormat="1" x14ac:dyDescent="0.2"/>
    <row r="72255" customFormat="1" x14ac:dyDescent="0.2"/>
    <row r="72256" customFormat="1" x14ac:dyDescent="0.2"/>
    <row r="72257" customFormat="1" x14ac:dyDescent="0.2"/>
    <row r="72258" customFormat="1" x14ac:dyDescent="0.2"/>
    <row r="72259" customFormat="1" x14ac:dyDescent="0.2"/>
    <row r="72260" customFormat="1" x14ac:dyDescent="0.2"/>
    <row r="72261" customFormat="1" x14ac:dyDescent="0.2"/>
    <row r="72262" customFormat="1" x14ac:dyDescent="0.2"/>
    <row r="72263" customFormat="1" x14ac:dyDescent="0.2"/>
    <row r="72264" customFormat="1" x14ac:dyDescent="0.2"/>
    <row r="72265" customFormat="1" x14ac:dyDescent="0.2"/>
    <row r="72266" customFormat="1" x14ac:dyDescent="0.2"/>
    <row r="72267" customFormat="1" x14ac:dyDescent="0.2"/>
    <row r="72268" customFormat="1" x14ac:dyDescent="0.2"/>
    <row r="72269" customFormat="1" x14ac:dyDescent="0.2"/>
    <row r="72270" customFormat="1" x14ac:dyDescent="0.2"/>
    <row r="72271" customFormat="1" x14ac:dyDescent="0.2"/>
    <row r="72272" customFormat="1" x14ac:dyDescent="0.2"/>
    <row r="72273" customFormat="1" x14ac:dyDescent="0.2"/>
    <row r="72274" customFormat="1" x14ac:dyDescent="0.2"/>
    <row r="72275" customFormat="1" x14ac:dyDescent="0.2"/>
    <row r="72276" customFormat="1" x14ac:dyDescent="0.2"/>
    <row r="72277" customFormat="1" x14ac:dyDescent="0.2"/>
    <row r="72278" customFormat="1" x14ac:dyDescent="0.2"/>
    <row r="72279" customFormat="1" x14ac:dyDescent="0.2"/>
    <row r="72280" customFormat="1" x14ac:dyDescent="0.2"/>
    <row r="72281" customFormat="1" x14ac:dyDescent="0.2"/>
    <row r="72282" customFormat="1" x14ac:dyDescent="0.2"/>
    <row r="72283" customFormat="1" x14ac:dyDescent="0.2"/>
    <row r="72284" customFormat="1" x14ac:dyDescent="0.2"/>
    <row r="72285" customFormat="1" x14ac:dyDescent="0.2"/>
    <row r="72286" customFormat="1" x14ac:dyDescent="0.2"/>
    <row r="72287" customFormat="1" x14ac:dyDescent="0.2"/>
    <row r="72288" customFormat="1" x14ac:dyDescent="0.2"/>
    <row r="72289" customFormat="1" x14ac:dyDescent="0.2"/>
    <row r="72290" customFormat="1" x14ac:dyDescent="0.2"/>
    <row r="72291" customFormat="1" x14ac:dyDescent="0.2"/>
    <row r="72292" customFormat="1" x14ac:dyDescent="0.2"/>
    <row r="72293" customFormat="1" x14ac:dyDescent="0.2"/>
    <row r="72294" customFormat="1" x14ac:dyDescent="0.2"/>
    <row r="72295" customFormat="1" x14ac:dyDescent="0.2"/>
    <row r="72296" customFormat="1" x14ac:dyDescent="0.2"/>
    <row r="72297" customFormat="1" x14ac:dyDescent="0.2"/>
    <row r="72298" customFormat="1" x14ac:dyDescent="0.2"/>
    <row r="72299" customFormat="1" x14ac:dyDescent="0.2"/>
    <row r="72300" customFormat="1" x14ac:dyDescent="0.2"/>
    <row r="72301" customFormat="1" x14ac:dyDescent="0.2"/>
    <row r="72302" customFormat="1" x14ac:dyDescent="0.2"/>
    <row r="72303" customFormat="1" x14ac:dyDescent="0.2"/>
    <row r="72304" customFormat="1" x14ac:dyDescent="0.2"/>
    <row r="72305" customFormat="1" x14ac:dyDescent="0.2"/>
    <row r="72306" customFormat="1" x14ac:dyDescent="0.2"/>
    <row r="72307" customFormat="1" x14ac:dyDescent="0.2"/>
    <row r="72308" customFormat="1" x14ac:dyDescent="0.2"/>
    <row r="72309" customFormat="1" x14ac:dyDescent="0.2"/>
    <row r="72310" customFormat="1" x14ac:dyDescent="0.2"/>
    <row r="72311" customFormat="1" x14ac:dyDescent="0.2"/>
    <row r="72312" customFormat="1" x14ac:dyDescent="0.2"/>
    <row r="72313" customFormat="1" x14ac:dyDescent="0.2"/>
    <row r="72314" customFormat="1" x14ac:dyDescent="0.2"/>
    <row r="72315" customFormat="1" x14ac:dyDescent="0.2"/>
    <row r="72316" customFormat="1" x14ac:dyDescent="0.2"/>
    <row r="72317" customFormat="1" x14ac:dyDescent="0.2"/>
    <row r="72318" customFormat="1" x14ac:dyDescent="0.2"/>
    <row r="72319" customFormat="1" x14ac:dyDescent="0.2"/>
    <row r="72320" customFormat="1" x14ac:dyDescent="0.2"/>
    <row r="72321" customFormat="1" x14ac:dyDescent="0.2"/>
    <row r="72322" customFormat="1" x14ac:dyDescent="0.2"/>
    <row r="72323" customFormat="1" x14ac:dyDescent="0.2"/>
    <row r="72324" customFormat="1" x14ac:dyDescent="0.2"/>
    <row r="72325" customFormat="1" x14ac:dyDescent="0.2"/>
    <row r="72326" customFormat="1" x14ac:dyDescent="0.2"/>
    <row r="72327" customFormat="1" x14ac:dyDescent="0.2"/>
    <row r="72328" customFormat="1" x14ac:dyDescent="0.2"/>
    <row r="72329" customFormat="1" x14ac:dyDescent="0.2"/>
    <row r="72330" customFormat="1" x14ac:dyDescent="0.2"/>
    <row r="72331" customFormat="1" x14ac:dyDescent="0.2"/>
    <row r="72332" customFormat="1" x14ac:dyDescent="0.2"/>
    <row r="72333" customFormat="1" x14ac:dyDescent="0.2"/>
    <row r="72334" customFormat="1" x14ac:dyDescent="0.2"/>
    <row r="72335" customFormat="1" x14ac:dyDescent="0.2"/>
    <row r="72336" customFormat="1" x14ac:dyDescent="0.2"/>
    <row r="72337" customFormat="1" x14ac:dyDescent="0.2"/>
    <row r="72338" customFormat="1" x14ac:dyDescent="0.2"/>
    <row r="72339" customFormat="1" x14ac:dyDescent="0.2"/>
    <row r="72340" customFormat="1" x14ac:dyDescent="0.2"/>
    <row r="72341" customFormat="1" x14ac:dyDescent="0.2"/>
    <row r="72342" customFormat="1" x14ac:dyDescent="0.2"/>
    <row r="72343" customFormat="1" x14ac:dyDescent="0.2"/>
    <row r="72344" customFormat="1" x14ac:dyDescent="0.2"/>
    <row r="72345" customFormat="1" x14ac:dyDescent="0.2"/>
    <row r="72346" customFormat="1" x14ac:dyDescent="0.2"/>
    <row r="72347" customFormat="1" x14ac:dyDescent="0.2"/>
    <row r="72348" customFormat="1" x14ac:dyDescent="0.2"/>
    <row r="72349" customFormat="1" x14ac:dyDescent="0.2"/>
    <row r="72350" customFormat="1" x14ac:dyDescent="0.2"/>
    <row r="72351" customFormat="1" x14ac:dyDescent="0.2"/>
    <row r="72352" customFormat="1" x14ac:dyDescent="0.2"/>
    <row r="72353" customFormat="1" x14ac:dyDescent="0.2"/>
    <row r="72354" customFormat="1" x14ac:dyDescent="0.2"/>
    <row r="72355" customFormat="1" x14ac:dyDescent="0.2"/>
    <row r="72356" customFormat="1" x14ac:dyDescent="0.2"/>
    <row r="72357" customFormat="1" x14ac:dyDescent="0.2"/>
    <row r="72358" customFormat="1" x14ac:dyDescent="0.2"/>
    <row r="72359" customFormat="1" x14ac:dyDescent="0.2"/>
    <row r="72360" customFormat="1" x14ac:dyDescent="0.2"/>
    <row r="72361" customFormat="1" x14ac:dyDescent="0.2"/>
    <row r="72362" customFormat="1" x14ac:dyDescent="0.2"/>
    <row r="72363" customFormat="1" x14ac:dyDescent="0.2"/>
    <row r="72364" customFormat="1" x14ac:dyDescent="0.2"/>
    <row r="72365" customFormat="1" x14ac:dyDescent="0.2"/>
    <row r="72366" customFormat="1" x14ac:dyDescent="0.2"/>
    <row r="72367" customFormat="1" x14ac:dyDescent="0.2"/>
    <row r="72368" customFormat="1" x14ac:dyDescent="0.2"/>
    <row r="72369" customFormat="1" x14ac:dyDescent="0.2"/>
    <row r="72370" customFormat="1" x14ac:dyDescent="0.2"/>
    <row r="72371" customFormat="1" x14ac:dyDescent="0.2"/>
    <row r="72372" customFormat="1" x14ac:dyDescent="0.2"/>
    <row r="72373" customFormat="1" x14ac:dyDescent="0.2"/>
    <row r="72374" customFormat="1" x14ac:dyDescent="0.2"/>
    <row r="72375" customFormat="1" x14ac:dyDescent="0.2"/>
    <row r="72376" customFormat="1" x14ac:dyDescent="0.2"/>
    <row r="72377" customFormat="1" x14ac:dyDescent="0.2"/>
    <row r="72378" customFormat="1" x14ac:dyDescent="0.2"/>
    <row r="72379" customFormat="1" x14ac:dyDescent="0.2"/>
    <row r="72380" customFormat="1" x14ac:dyDescent="0.2"/>
    <row r="72381" customFormat="1" x14ac:dyDescent="0.2"/>
    <row r="72382" customFormat="1" x14ac:dyDescent="0.2"/>
    <row r="72383" customFormat="1" x14ac:dyDescent="0.2"/>
    <row r="72384" customFormat="1" x14ac:dyDescent="0.2"/>
    <row r="72385" customFormat="1" x14ac:dyDescent="0.2"/>
    <row r="72386" customFormat="1" x14ac:dyDescent="0.2"/>
    <row r="72387" customFormat="1" x14ac:dyDescent="0.2"/>
    <row r="72388" customFormat="1" x14ac:dyDescent="0.2"/>
    <row r="72389" customFormat="1" x14ac:dyDescent="0.2"/>
    <row r="72390" customFormat="1" x14ac:dyDescent="0.2"/>
    <row r="72391" customFormat="1" x14ac:dyDescent="0.2"/>
    <row r="72392" customFormat="1" x14ac:dyDescent="0.2"/>
    <row r="72393" customFormat="1" x14ac:dyDescent="0.2"/>
    <row r="72394" customFormat="1" x14ac:dyDescent="0.2"/>
    <row r="72395" customFormat="1" x14ac:dyDescent="0.2"/>
    <row r="72396" customFormat="1" x14ac:dyDescent="0.2"/>
    <row r="72397" customFormat="1" x14ac:dyDescent="0.2"/>
    <row r="72398" customFormat="1" x14ac:dyDescent="0.2"/>
    <row r="72399" customFormat="1" x14ac:dyDescent="0.2"/>
    <row r="72400" customFormat="1" x14ac:dyDescent="0.2"/>
    <row r="72401" customFormat="1" x14ac:dyDescent="0.2"/>
    <row r="72402" customFormat="1" x14ac:dyDescent="0.2"/>
    <row r="72403" customFormat="1" x14ac:dyDescent="0.2"/>
    <row r="72404" customFormat="1" x14ac:dyDescent="0.2"/>
    <row r="72405" customFormat="1" x14ac:dyDescent="0.2"/>
    <row r="72406" customFormat="1" x14ac:dyDescent="0.2"/>
    <row r="72407" customFormat="1" x14ac:dyDescent="0.2"/>
    <row r="72408" customFormat="1" x14ac:dyDescent="0.2"/>
    <row r="72409" customFormat="1" x14ac:dyDescent="0.2"/>
    <row r="72410" customFormat="1" x14ac:dyDescent="0.2"/>
    <row r="72411" customFormat="1" x14ac:dyDescent="0.2"/>
    <row r="72412" customFormat="1" x14ac:dyDescent="0.2"/>
    <row r="72413" customFormat="1" x14ac:dyDescent="0.2"/>
    <row r="72414" customFormat="1" x14ac:dyDescent="0.2"/>
    <row r="72415" customFormat="1" x14ac:dyDescent="0.2"/>
    <row r="72416" customFormat="1" x14ac:dyDescent="0.2"/>
    <row r="72417" customFormat="1" x14ac:dyDescent="0.2"/>
    <row r="72418" customFormat="1" x14ac:dyDescent="0.2"/>
    <row r="72419" customFormat="1" x14ac:dyDescent="0.2"/>
    <row r="72420" customFormat="1" x14ac:dyDescent="0.2"/>
    <row r="72421" customFormat="1" x14ac:dyDescent="0.2"/>
    <row r="72422" customFormat="1" x14ac:dyDescent="0.2"/>
    <row r="72423" customFormat="1" x14ac:dyDescent="0.2"/>
    <row r="72424" customFormat="1" x14ac:dyDescent="0.2"/>
    <row r="72425" customFormat="1" x14ac:dyDescent="0.2"/>
    <row r="72426" customFormat="1" x14ac:dyDescent="0.2"/>
    <row r="72427" customFormat="1" x14ac:dyDescent="0.2"/>
    <row r="72428" customFormat="1" x14ac:dyDescent="0.2"/>
    <row r="72429" customFormat="1" x14ac:dyDescent="0.2"/>
    <row r="72430" customFormat="1" x14ac:dyDescent="0.2"/>
    <row r="72431" customFormat="1" x14ac:dyDescent="0.2"/>
    <row r="72432" customFormat="1" x14ac:dyDescent="0.2"/>
    <row r="72433" customFormat="1" x14ac:dyDescent="0.2"/>
    <row r="72434" customFormat="1" x14ac:dyDescent="0.2"/>
    <row r="72435" customFormat="1" x14ac:dyDescent="0.2"/>
    <row r="72436" customFormat="1" x14ac:dyDescent="0.2"/>
    <row r="72437" customFormat="1" x14ac:dyDescent="0.2"/>
    <row r="72438" customFormat="1" x14ac:dyDescent="0.2"/>
    <row r="72439" customFormat="1" x14ac:dyDescent="0.2"/>
    <row r="72440" customFormat="1" x14ac:dyDescent="0.2"/>
    <row r="72441" customFormat="1" x14ac:dyDescent="0.2"/>
    <row r="72442" customFormat="1" x14ac:dyDescent="0.2"/>
    <row r="72443" customFormat="1" x14ac:dyDescent="0.2"/>
    <row r="72444" customFormat="1" x14ac:dyDescent="0.2"/>
    <row r="72445" customFormat="1" x14ac:dyDescent="0.2"/>
    <row r="72446" customFormat="1" x14ac:dyDescent="0.2"/>
    <row r="72447" customFormat="1" x14ac:dyDescent="0.2"/>
    <row r="72448" customFormat="1" x14ac:dyDescent="0.2"/>
    <row r="72449" customFormat="1" x14ac:dyDescent="0.2"/>
    <row r="72450" customFormat="1" x14ac:dyDescent="0.2"/>
    <row r="72451" customFormat="1" x14ac:dyDescent="0.2"/>
    <row r="72452" customFormat="1" x14ac:dyDescent="0.2"/>
    <row r="72453" customFormat="1" x14ac:dyDescent="0.2"/>
    <row r="72454" customFormat="1" x14ac:dyDescent="0.2"/>
    <row r="72455" customFormat="1" x14ac:dyDescent="0.2"/>
    <row r="72456" customFormat="1" x14ac:dyDescent="0.2"/>
    <row r="72457" customFormat="1" x14ac:dyDescent="0.2"/>
    <row r="72458" customFormat="1" x14ac:dyDescent="0.2"/>
    <row r="72459" customFormat="1" x14ac:dyDescent="0.2"/>
    <row r="72460" customFormat="1" x14ac:dyDescent="0.2"/>
    <row r="72461" customFormat="1" x14ac:dyDescent="0.2"/>
    <row r="72462" customFormat="1" x14ac:dyDescent="0.2"/>
    <row r="72463" customFormat="1" x14ac:dyDescent="0.2"/>
    <row r="72464" customFormat="1" x14ac:dyDescent="0.2"/>
    <row r="72465" customFormat="1" x14ac:dyDescent="0.2"/>
    <row r="72466" customFormat="1" x14ac:dyDescent="0.2"/>
    <row r="72467" customFormat="1" x14ac:dyDescent="0.2"/>
    <row r="72468" customFormat="1" x14ac:dyDescent="0.2"/>
    <row r="72469" customFormat="1" x14ac:dyDescent="0.2"/>
    <row r="72470" customFormat="1" x14ac:dyDescent="0.2"/>
    <row r="72471" customFormat="1" x14ac:dyDescent="0.2"/>
    <row r="72472" customFormat="1" x14ac:dyDescent="0.2"/>
    <row r="72473" customFormat="1" x14ac:dyDescent="0.2"/>
    <row r="72474" customFormat="1" x14ac:dyDescent="0.2"/>
    <row r="72475" customFormat="1" x14ac:dyDescent="0.2"/>
    <row r="72476" customFormat="1" x14ac:dyDescent="0.2"/>
    <row r="72477" customFormat="1" x14ac:dyDescent="0.2"/>
    <row r="72478" customFormat="1" x14ac:dyDescent="0.2"/>
    <row r="72479" customFormat="1" x14ac:dyDescent="0.2"/>
    <row r="72480" customFormat="1" x14ac:dyDescent="0.2"/>
    <row r="72481" customFormat="1" x14ac:dyDescent="0.2"/>
    <row r="72482" customFormat="1" x14ac:dyDescent="0.2"/>
    <row r="72483" customFormat="1" x14ac:dyDescent="0.2"/>
    <row r="72484" customFormat="1" x14ac:dyDescent="0.2"/>
    <row r="72485" customFormat="1" x14ac:dyDescent="0.2"/>
    <row r="72486" customFormat="1" x14ac:dyDescent="0.2"/>
    <row r="72487" customFormat="1" x14ac:dyDescent="0.2"/>
    <row r="72488" customFormat="1" x14ac:dyDescent="0.2"/>
    <row r="72489" customFormat="1" x14ac:dyDescent="0.2"/>
    <row r="72490" customFormat="1" x14ac:dyDescent="0.2"/>
    <row r="72491" customFormat="1" x14ac:dyDescent="0.2"/>
    <row r="72492" customFormat="1" x14ac:dyDescent="0.2"/>
    <row r="72493" customFormat="1" x14ac:dyDescent="0.2"/>
    <row r="72494" customFormat="1" x14ac:dyDescent="0.2"/>
    <row r="72495" customFormat="1" x14ac:dyDescent="0.2"/>
    <row r="72496" customFormat="1" x14ac:dyDescent="0.2"/>
    <row r="72497" customFormat="1" x14ac:dyDescent="0.2"/>
    <row r="72498" customFormat="1" x14ac:dyDescent="0.2"/>
    <row r="72499" customFormat="1" x14ac:dyDescent="0.2"/>
    <row r="72500" customFormat="1" x14ac:dyDescent="0.2"/>
    <row r="72501" customFormat="1" x14ac:dyDescent="0.2"/>
    <row r="72502" customFormat="1" x14ac:dyDescent="0.2"/>
    <row r="72503" customFormat="1" x14ac:dyDescent="0.2"/>
    <row r="72504" customFormat="1" x14ac:dyDescent="0.2"/>
    <row r="72505" customFormat="1" x14ac:dyDescent="0.2"/>
    <row r="72506" customFormat="1" x14ac:dyDescent="0.2"/>
    <row r="72507" customFormat="1" x14ac:dyDescent="0.2"/>
    <row r="72508" customFormat="1" x14ac:dyDescent="0.2"/>
    <row r="72509" customFormat="1" x14ac:dyDescent="0.2"/>
    <row r="72510" customFormat="1" x14ac:dyDescent="0.2"/>
    <row r="72511" customFormat="1" x14ac:dyDescent="0.2"/>
    <row r="72512" customFormat="1" x14ac:dyDescent="0.2"/>
    <row r="72513" customFormat="1" x14ac:dyDescent="0.2"/>
    <row r="72514" customFormat="1" x14ac:dyDescent="0.2"/>
    <row r="72515" customFormat="1" x14ac:dyDescent="0.2"/>
    <row r="72516" customFormat="1" x14ac:dyDescent="0.2"/>
    <row r="72517" customFormat="1" x14ac:dyDescent="0.2"/>
    <row r="72518" customFormat="1" x14ac:dyDescent="0.2"/>
    <row r="72519" customFormat="1" x14ac:dyDescent="0.2"/>
    <row r="72520" customFormat="1" x14ac:dyDescent="0.2"/>
    <row r="72521" customFormat="1" x14ac:dyDescent="0.2"/>
    <row r="72522" customFormat="1" x14ac:dyDescent="0.2"/>
    <row r="72523" customFormat="1" x14ac:dyDescent="0.2"/>
    <row r="72524" customFormat="1" x14ac:dyDescent="0.2"/>
    <row r="72525" customFormat="1" x14ac:dyDescent="0.2"/>
    <row r="72526" customFormat="1" x14ac:dyDescent="0.2"/>
    <row r="72527" customFormat="1" x14ac:dyDescent="0.2"/>
    <row r="72528" customFormat="1" x14ac:dyDescent="0.2"/>
    <row r="72529" customFormat="1" x14ac:dyDescent="0.2"/>
    <row r="72530" customFormat="1" x14ac:dyDescent="0.2"/>
    <row r="72531" customFormat="1" x14ac:dyDescent="0.2"/>
    <row r="72532" customFormat="1" x14ac:dyDescent="0.2"/>
    <row r="72533" customFormat="1" x14ac:dyDescent="0.2"/>
    <row r="72534" customFormat="1" x14ac:dyDescent="0.2"/>
    <row r="72535" customFormat="1" x14ac:dyDescent="0.2"/>
    <row r="72536" customFormat="1" x14ac:dyDescent="0.2"/>
    <row r="72537" customFormat="1" x14ac:dyDescent="0.2"/>
    <row r="72538" customFormat="1" x14ac:dyDescent="0.2"/>
    <row r="72539" customFormat="1" x14ac:dyDescent="0.2"/>
    <row r="72540" customFormat="1" x14ac:dyDescent="0.2"/>
    <row r="72541" customFormat="1" x14ac:dyDescent="0.2"/>
    <row r="72542" customFormat="1" x14ac:dyDescent="0.2"/>
    <row r="72543" customFormat="1" x14ac:dyDescent="0.2"/>
    <row r="72544" customFormat="1" x14ac:dyDescent="0.2"/>
    <row r="72545" customFormat="1" x14ac:dyDescent="0.2"/>
    <row r="72546" customFormat="1" x14ac:dyDescent="0.2"/>
    <row r="72547" customFormat="1" x14ac:dyDescent="0.2"/>
    <row r="72548" customFormat="1" x14ac:dyDescent="0.2"/>
    <row r="72549" customFormat="1" x14ac:dyDescent="0.2"/>
    <row r="72550" customFormat="1" x14ac:dyDescent="0.2"/>
    <row r="72551" customFormat="1" x14ac:dyDescent="0.2"/>
    <row r="72552" customFormat="1" x14ac:dyDescent="0.2"/>
    <row r="72553" customFormat="1" x14ac:dyDescent="0.2"/>
    <row r="72554" customFormat="1" x14ac:dyDescent="0.2"/>
    <row r="72555" customFormat="1" x14ac:dyDescent="0.2"/>
    <row r="72556" customFormat="1" x14ac:dyDescent="0.2"/>
    <row r="72557" customFormat="1" x14ac:dyDescent="0.2"/>
    <row r="72558" customFormat="1" x14ac:dyDescent="0.2"/>
    <row r="72559" customFormat="1" x14ac:dyDescent="0.2"/>
    <row r="72560" customFormat="1" x14ac:dyDescent="0.2"/>
    <row r="72561" customFormat="1" x14ac:dyDescent="0.2"/>
    <row r="72562" customFormat="1" x14ac:dyDescent="0.2"/>
    <row r="72563" customFormat="1" x14ac:dyDescent="0.2"/>
    <row r="72564" customFormat="1" x14ac:dyDescent="0.2"/>
    <row r="72565" customFormat="1" x14ac:dyDescent="0.2"/>
    <row r="72566" customFormat="1" x14ac:dyDescent="0.2"/>
    <row r="72567" customFormat="1" x14ac:dyDescent="0.2"/>
    <row r="72568" customFormat="1" x14ac:dyDescent="0.2"/>
    <row r="72569" customFormat="1" x14ac:dyDescent="0.2"/>
    <row r="72570" customFormat="1" x14ac:dyDescent="0.2"/>
    <row r="72571" customFormat="1" x14ac:dyDescent="0.2"/>
    <row r="72572" customFormat="1" x14ac:dyDescent="0.2"/>
    <row r="72573" customFormat="1" x14ac:dyDescent="0.2"/>
    <row r="72574" customFormat="1" x14ac:dyDescent="0.2"/>
    <row r="72575" customFormat="1" x14ac:dyDescent="0.2"/>
    <row r="72576" customFormat="1" x14ac:dyDescent="0.2"/>
    <row r="72577" customFormat="1" x14ac:dyDescent="0.2"/>
    <row r="72578" customFormat="1" x14ac:dyDescent="0.2"/>
    <row r="72579" customFormat="1" x14ac:dyDescent="0.2"/>
    <row r="72580" customFormat="1" x14ac:dyDescent="0.2"/>
    <row r="72581" customFormat="1" x14ac:dyDescent="0.2"/>
    <row r="72582" customFormat="1" x14ac:dyDescent="0.2"/>
    <row r="72583" customFormat="1" x14ac:dyDescent="0.2"/>
    <row r="72584" customFormat="1" x14ac:dyDescent="0.2"/>
    <row r="72585" customFormat="1" x14ac:dyDescent="0.2"/>
    <row r="72586" customFormat="1" x14ac:dyDescent="0.2"/>
    <row r="72587" customFormat="1" x14ac:dyDescent="0.2"/>
    <row r="72588" customFormat="1" x14ac:dyDescent="0.2"/>
    <row r="72589" customFormat="1" x14ac:dyDescent="0.2"/>
    <row r="72590" customFormat="1" x14ac:dyDescent="0.2"/>
    <row r="72591" customFormat="1" x14ac:dyDescent="0.2"/>
    <row r="72592" customFormat="1" x14ac:dyDescent="0.2"/>
    <row r="72593" customFormat="1" x14ac:dyDescent="0.2"/>
    <row r="72594" customFormat="1" x14ac:dyDescent="0.2"/>
    <row r="72595" customFormat="1" x14ac:dyDescent="0.2"/>
    <row r="72596" customFormat="1" x14ac:dyDescent="0.2"/>
    <row r="72597" customFormat="1" x14ac:dyDescent="0.2"/>
    <row r="72598" customFormat="1" x14ac:dyDescent="0.2"/>
    <row r="72599" customFormat="1" x14ac:dyDescent="0.2"/>
    <row r="72600" customFormat="1" x14ac:dyDescent="0.2"/>
    <row r="72601" customFormat="1" x14ac:dyDescent="0.2"/>
    <row r="72602" customFormat="1" x14ac:dyDescent="0.2"/>
    <row r="72603" customFormat="1" x14ac:dyDescent="0.2"/>
    <row r="72604" customFormat="1" x14ac:dyDescent="0.2"/>
    <row r="72605" customFormat="1" x14ac:dyDescent="0.2"/>
    <row r="72606" customFormat="1" x14ac:dyDescent="0.2"/>
    <row r="72607" customFormat="1" x14ac:dyDescent="0.2"/>
    <row r="72608" customFormat="1" x14ac:dyDescent="0.2"/>
    <row r="72609" customFormat="1" x14ac:dyDescent="0.2"/>
    <row r="72610" customFormat="1" x14ac:dyDescent="0.2"/>
    <row r="72611" customFormat="1" x14ac:dyDescent="0.2"/>
    <row r="72612" customFormat="1" x14ac:dyDescent="0.2"/>
    <row r="72613" customFormat="1" x14ac:dyDescent="0.2"/>
    <row r="72614" customFormat="1" x14ac:dyDescent="0.2"/>
    <row r="72615" customFormat="1" x14ac:dyDescent="0.2"/>
    <row r="72616" customFormat="1" x14ac:dyDescent="0.2"/>
    <row r="72617" customFormat="1" x14ac:dyDescent="0.2"/>
    <row r="72618" customFormat="1" x14ac:dyDescent="0.2"/>
    <row r="72619" customFormat="1" x14ac:dyDescent="0.2"/>
    <row r="72620" customFormat="1" x14ac:dyDescent="0.2"/>
    <row r="72621" customFormat="1" x14ac:dyDescent="0.2"/>
    <row r="72622" customFormat="1" x14ac:dyDescent="0.2"/>
    <row r="72623" customFormat="1" x14ac:dyDescent="0.2"/>
    <row r="72624" customFormat="1" x14ac:dyDescent="0.2"/>
    <row r="72625" customFormat="1" x14ac:dyDescent="0.2"/>
    <row r="72626" customFormat="1" x14ac:dyDescent="0.2"/>
    <row r="72627" customFormat="1" x14ac:dyDescent="0.2"/>
    <row r="72628" customFormat="1" x14ac:dyDescent="0.2"/>
    <row r="72629" customFormat="1" x14ac:dyDescent="0.2"/>
    <row r="72630" customFormat="1" x14ac:dyDescent="0.2"/>
    <row r="72631" customFormat="1" x14ac:dyDescent="0.2"/>
    <row r="72632" customFormat="1" x14ac:dyDescent="0.2"/>
    <row r="72633" customFormat="1" x14ac:dyDescent="0.2"/>
    <row r="72634" customFormat="1" x14ac:dyDescent="0.2"/>
    <row r="72635" customFormat="1" x14ac:dyDescent="0.2"/>
    <row r="72636" customFormat="1" x14ac:dyDescent="0.2"/>
    <row r="72637" customFormat="1" x14ac:dyDescent="0.2"/>
    <row r="72638" customFormat="1" x14ac:dyDescent="0.2"/>
    <row r="72639" customFormat="1" x14ac:dyDescent="0.2"/>
    <row r="72640" customFormat="1" x14ac:dyDescent="0.2"/>
    <row r="72641" customFormat="1" x14ac:dyDescent="0.2"/>
    <row r="72642" customFormat="1" x14ac:dyDescent="0.2"/>
    <row r="72643" customFormat="1" x14ac:dyDescent="0.2"/>
    <row r="72644" customFormat="1" x14ac:dyDescent="0.2"/>
    <row r="72645" customFormat="1" x14ac:dyDescent="0.2"/>
    <row r="72646" customFormat="1" x14ac:dyDescent="0.2"/>
    <row r="72647" customFormat="1" x14ac:dyDescent="0.2"/>
    <row r="72648" customFormat="1" x14ac:dyDescent="0.2"/>
    <row r="72649" customFormat="1" x14ac:dyDescent="0.2"/>
    <row r="72650" customFormat="1" x14ac:dyDescent="0.2"/>
    <row r="72651" customFormat="1" x14ac:dyDescent="0.2"/>
    <row r="72652" customFormat="1" x14ac:dyDescent="0.2"/>
    <row r="72653" customFormat="1" x14ac:dyDescent="0.2"/>
    <row r="72654" customFormat="1" x14ac:dyDescent="0.2"/>
    <row r="72655" customFormat="1" x14ac:dyDescent="0.2"/>
    <row r="72656" customFormat="1" x14ac:dyDescent="0.2"/>
    <row r="72657" customFormat="1" x14ac:dyDescent="0.2"/>
    <row r="72658" customFormat="1" x14ac:dyDescent="0.2"/>
    <row r="72659" customFormat="1" x14ac:dyDescent="0.2"/>
    <row r="72660" customFormat="1" x14ac:dyDescent="0.2"/>
    <row r="72661" customFormat="1" x14ac:dyDescent="0.2"/>
    <row r="72662" customFormat="1" x14ac:dyDescent="0.2"/>
    <row r="72663" customFormat="1" x14ac:dyDescent="0.2"/>
    <row r="72664" customFormat="1" x14ac:dyDescent="0.2"/>
    <row r="72665" customFormat="1" x14ac:dyDescent="0.2"/>
    <row r="72666" customFormat="1" x14ac:dyDescent="0.2"/>
    <row r="72667" customFormat="1" x14ac:dyDescent="0.2"/>
    <row r="72668" customFormat="1" x14ac:dyDescent="0.2"/>
    <row r="72669" customFormat="1" x14ac:dyDescent="0.2"/>
    <row r="72670" customFormat="1" x14ac:dyDescent="0.2"/>
    <row r="72671" customFormat="1" x14ac:dyDescent="0.2"/>
    <row r="72672" customFormat="1" x14ac:dyDescent="0.2"/>
    <row r="72673" customFormat="1" x14ac:dyDescent="0.2"/>
    <row r="72674" customFormat="1" x14ac:dyDescent="0.2"/>
    <row r="72675" customFormat="1" x14ac:dyDescent="0.2"/>
    <row r="72676" customFormat="1" x14ac:dyDescent="0.2"/>
    <row r="72677" customFormat="1" x14ac:dyDescent="0.2"/>
    <row r="72678" customFormat="1" x14ac:dyDescent="0.2"/>
    <row r="72679" customFormat="1" x14ac:dyDescent="0.2"/>
    <row r="72680" customFormat="1" x14ac:dyDescent="0.2"/>
    <row r="72681" customFormat="1" x14ac:dyDescent="0.2"/>
    <row r="72682" customFormat="1" x14ac:dyDescent="0.2"/>
    <row r="72683" customFormat="1" x14ac:dyDescent="0.2"/>
    <row r="72684" customFormat="1" x14ac:dyDescent="0.2"/>
    <row r="72685" customFormat="1" x14ac:dyDescent="0.2"/>
    <row r="72686" customFormat="1" x14ac:dyDescent="0.2"/>
    <row r="72687" customFormat="1" x14ac:dyDescent="0.2"/>
    <row r="72688" customFormat="1" x14ac:dyDescent="0.2"/>
    <row r="72689" customFormat="1" x14ac:dyDescent="0.2"/>
    <row r="72690" customFormat="1" x14ac:dyDescent="0.2"/>
    <row r="72691" customFormat="1" x14ac:dyDescent="0.2"/>
    <row r="72692" customFormat="1" x14ac:dyDescent="0.2"/>
    <row r="72693" customFormat="1" x14ac:dyDescent="0.2"/>
    <row r="72694" customFormat="1" x14ac:dyDescent="0.2"/>
    <row r="72695" customFormat="1" x14ac:dyDescent="0.2"/>
    <row r="72696" customFormat="1" x14ac:dyDescent="0.2"/>
    <row r="72697" customFormat="1" x14ac:dyDescent="0.2"/>
    <row r="72698" customFormat="1" x14ac:dyDescent="0.2"/>
    <row r="72699" customFormat="1" x14ac:dyDescent="0.2"/>
    <row r="72700" customFormat="1" x14ac:dyDescent="0.2"/>
    <row r="72701" customFormat="1" x14ac:dyDescent="0.2"/>
    <row r="72702" customFormat="1" x14ac:dyDescent="0.2"/>
    <row r="72703" customFormat="1" x14ac:dyDescent="0.2"/>
    <row r="72704" customFormat="1" x14ac:dyDescent="0.2"/>
    <row r="72705" customFormat="1" x14ac:dyDescent="0.2"/>
    <row r="72706" customFormat="1" x14ac:dyDescent="0.2"/>
    <row r="72707" customFormat="1" x14ac:dyDescent="0.2"/>
    <row r="72708" customFormat="1" x14ac:dyDescent="0.2"/>
    <row r="72709" customFormat="1" x14ac:dyDescent="0.2"/>
    <row r="72710" customFormat="1" x14ac:dyDescent="0.2"/>
    <row r="72711" customFormat="1" x14ac:dyDescent="0.2"/>
    <row r="72712" customFormat="1" x14ac:dyDescent="0.2"/>
    <row r="72713" customFormat="1" x14ac:dyDescent="0.2"/>
    <row r="72714" customFormat="1" x14ac:dyDescent="0.2"/>
    <row r="72715" customFormat="1" x14ac:dyDescent="0.2"/>
    <row r="72716" customFormat="1" x14ac:dyDescent="0.2"/>
    <row r="72717" customFormat="1" x14ac:dyDescent="0.2"/>
    <row r="72718" customFormat="1" x14ac:dyDescent="0.2"/>
    <row r="72719" customFormat="1" x14ac:dyDescent="0.2"/>
    <row r="72720" customFormat="1" x14ac:dyDescent="0.2"/>
    <row r="72721" customFormat="1" x14ac:dyDescent="0.2"/>
    <row r="72722" customFormat="1" x14ac:dyDescent="0.2"/>
    <row r="72723" customFormat="1" x14ac:dyDescent="0.2"/>
    <row r="72724" customFormat="1" x14ac:dyDescent="0.2"/>
    <row r="72725" customFormat="1" x14ac:dyDescent="0.2"/>
    <row r="72726" customFormat="1" x14ac:dyDescent="0.2"/>
    <row r="72727" customFormat="1" x14ac:dyDescent="0.2"/>
    <row r="72728" customFormat="1" x14ac:dyDescent="0.2"/>
    <row r="72729" customFormat="1" x14ac:dyDescent="0.2"/>
    <row r="72730" customFormat="1" x14ac:dyDescent="0.2"/>
    <row r="72731" customFormat="1" x14ac:dyDescent="0.2"/>
    <row r="72732" customFormat="1" x14ac:dyDescent="0.2"/>
    <row r="72733" customFormat="1" x14ac:dyDescent="0.2"/>
    <row r="72734" customFormat="1" x14ac:dyDescent="0.2"/>
    <row r="72735" customFormat="1" x14ac:dyDescent="0.2"/>
    <row r="72736" customFormat="1" x14ac:dyDescent="0.2"/>
    <row r="72737" customFormat="1" x14ac:dyDescent="0.2"/>
    <row r="72738" customFormat="1" x14ac:dyDescent="0.2"/>
    <row r="72739" customFormat="1" x14ac:dyDescent="0.2"/>
    <row r="72740" customFormat="1" x14ac:dyDescent="0.2"/>
    <row r="72741" customFormat="1" x14ac:dyDescent="0.2"/>
    <row r="72742" customFormat="1" x14ac:dyDescent="0.2"/>
    <row r="72743" customFormat="1" x14ac:dyDescent="0.2"/>
    <row r="72744" customFormat="1" x14ac:dyDescent="0.2"/>
    <row r="72745" customFormat="1" x14ac:dyDescent="0.2"/>
    <row r="72746" customFormat="1" x14ac:dyDescent="0.2"/>
    <row r="72747" customFormat="1" x14ac:dyDescent="0.2"/>
    <row r="72748" customFormat="1" x14ac:dyDescent="0.2"/>
    <row r="72749" customFormat="1" x14ac:dyDescent="0.2"/>
    <row r="72750" customFormat="1" x14ac:dyDescent="0.2"/>
    <row r="72751" customFormat="1" x14ac:dyDescent="0.2"/>
    <row r="72752" customFormat="1" x14ac:dyDescent="0.2"/>
    <row r="72753" customFormat="1" x14ac:dyDescent="0.2"/>
    <row r="72754" customFormat="1" x14ac:dyDescent="0.2"/>
    <row r="72755" customFormat="1" x14ac:dyDescent="0.2"/>
    <row r="72756" customFormat="1" x14ac:dyDescent="0.2"/>
    <row r="72757" customFormat="1" x14ac:dyDescent="0.2"/>
    <row r="72758" customFormat="1" x14ac:dyDescent="0.2"/>
    <row r="72759" customFormat="1" x14ac:dyDescent="0.2"/>
    <row r="72760" customFormat="1" x14ac:dyDescent="0.2"/>
    <row r="72761" customFormat="1" x14ac:dyDescent="0.2"/>
    <row r="72762" customFormat="1" x14ac:dyDescent="0.2"/>
    <row r="72763" customFormat="1" x14ac:dyDescent="0.2"/>
    <row r="72764" customFormat="1" x14ac:dyDescent="0.2"/>
    <row r="72765" customFormat="1" x14ac:dyDescent="0.2"/>
    <row r="72766" customFormat="1" x14ac:dyDescent="0.2"/>
    <row r="72767" customFormat="1" x14ac:dyDescent="0.2"/>
    <row r="72768" customFormat="1" x14ac:dyDescent="0.2"/>
    <row r="72769" customFormat="1" x14ac:dyDescent="0.2"/>
    <row r="72770" customFormat="1" x14ac:dyDescent="0.2"/>
    <row r="72771" customFormat="1" x14ac:dyDescent="0.2"/>
    <row r="72772" customFormat="1" x14ac:dyDescent="0.2"/>
    <row r="72773" customFormat="1" x14ac:dyDescent="0.2"/>
    <row r="72774" customFormat="1" x14ac:dyDescent="0.2"/>
    <row r="72775" customFormat="1" x14ac:dyDescent="0.2"/>
    <row r="72776" customFormat="1" x14ac:dyDescent="0.2"/>
    <row r="72777" customFormat="1" x14ac:dyDescent="0.2"/>
    <row r="72778" customFormat="1" x14ac:dyDescent="0.2"/>
    <row r="72779" customFormat="1" x14ac:dyDescent="0.2"/>
    <row r="72780" customFormat="1" x14ac:dyDescent="0.2"/>
    <row r="72781" customFormat="1" x14ac:dyDescent="0.2"/>
    <row r="72782" customFormat="1" x14ac:dyDescent="0.2"/>
    <row r="72783" customFormat="1" x14ac:dyDescent="0.2"/>
    <row r="72784" customFormat="1" x14ac:dyDescent="0.2"/>
    <row r="72785" customFormat="1" x14ac:dyDescent="0.2"/>
    <row r="72786" customFormat="1" x14ac:dyDescent="0.2"/>
    <row r="72787" customFormat="1" x14ac:dyDescent="0.2"/>
    <row r="72788" customFormat="1" x14ac:dyDescent="0.2"/>
    <row r="72789" customFormat="1" x14ac:dyDescent="0.2"/>
    <row r="72790" customFormat="1" x14ac:dyDescent="0.2"/>
    <row r="72791" customFormat="1" x14ac:dyDescent="0.2"/>
    <row r="72792" customFormat="1" x14ac:dyDescent="0.2"/>
    <row r="72793" customFormat="1" x14ac:dyDescent="0.2"/>
    <row r="72794" customFormat="1" x14ac:dyDescent="0.2"/>
    <row r="72795" customFormat="1" x14ac:dyDescent="0.2"/>
    <row r="72796" customFormat="1" x14ac:dyDescent="0.2"/>
    <row r="72797" customFormat="1" x14ac:dyDescent="0.2"/>
    <row r="72798" customFormat="1" x14ac:dyDescent="0.2"/>
    <row r="72799" customFormat="1" x14ac:dyDescent="0.2"/>
    <row r="72800" customFormat="1" x14ac:dyDescent="0.2"/>
    <row r="72801" customFormat="1" x14ac:dyDescent="0.2"/>
    <row r="72802" customFormat="1" x14ac:dyDescent="0.2"/>
    <row r="72803" customFormat="1" x14ac:dyDescent="0.2"/>
    <row r="72804" customFormat="1" x14ac:dyDescent="0.2"/>
    <row r="72805" customFormat="1" x14ac:dyDescent="0.2"/>
    <row r="72806" customFormat="1" x14ac:dyDescent="0.2"/>
    <row r="72807" customFormat="1" x14ac:dyDescent="0.2"/>
    <row r="72808" customFormat="1" x14ac:dyDescent="0.2"/>
    <row r="72809" customFormat="1" x14ac:dyDescent="0.2"/>
    <row r="72810" customFormat="1" x14ac:dyDescent="0.2"/>
    <row r="72811" customFormat="1" x14ac:dyDescent="0.2"/>
    <row r="72812" customFormat="1" x14ac:dyDescent="0.2"/>
    <row r="72813" customFormat="1" x14ac:dyDescent="0.2"/>
    <row r="72814" customFormat="1" x14ac:dyDescent="0.2"/>
    <row r="72815" customFormat="1" x14ac:dyDescent="0.2"/>
    <row r="72816" customFormat="1" x14ac:dyDescent="0.2"/>
    <row r="72817" customFormat="1" x14ac:dyDescent="0.2"/>
    <row r="72818" customFormat="1" x14ac:dyDescent="0.2"/>
    <row r="72819" customFormat="1" x14ac:dyDescent="0.2"/>
    <row r="72820" customFormat="1" x14ac:dyDescent="0.2"/>
    <row r="72821" customFormat="1" x14ac:dyDescent="0.2"/>
    <row r="72822" customFormat="1" x14ac:dyDescent="0.2"/>
    <row r="72823" customFormat="1" x14ac:dyDescent="0.2"/>
    <row r="72824" customFormat="1" x14ac:dyDescent="0.2"/>
    <row r="72825" customFormat="1" x14ac:dyDescent="0.2"/>
    <row r="72826" customFormat="1" x14ac:dyDescent="0.2"/>
    <row r="72827" customFormat="1" x14ac:dyDescent="0.2"/>
    <row r="72828" customFormat="1" x14ac:dyDescent="0.2"/>
    <row r="72829" customFormat="1" x14ac:dyDescent="0.2"/>
    <row r="72830" customFormat="1" x14ac:dyDescent="0.2"/>
    <row r="72831" customFormat="1" x14ac:dyDescent="0.2"/>
    <row r="72832" customFormat="1" x14ac:dyDescent="0.2"/>
    <row r="72833" customFormat="1" x14ac:dyDescent="0.2"/>
    <row r="72834" customFormat="1" x14ac:dyDescent="0.2"/>
    <row r="72835" customFormat="1" x14ac:dyDescent="0.2"/>
    <row r="72836" customFormat="1" x14ac:dyDescent="0.2"/>
    <row r="72837" customFormat="1" x14ac:dyDescent="0.2"/>
    <row r="72838" customFormat="1" x14ac:dyDescent="0.2"/>
    <row r="72839" customFormat="1" x14ac:dyDescent="0.2"/>
    <row r="72840" customFormat="1" x14ac:dyDescent="0.2"/>
    <row r="72841" customFormat="1" x14ac:dyDescent="0.2"/>
    <row r="72842" customFormat="1" x14ac:dyDescent="0.2"/>
    <row r="72843" customFormat="1" x14ac:dyDescent="0.2"/>
    <row r="72844" customFormat="1" x14ac:dyDescent="0.2"/>
    <row r="72845" customFormat="1" x14ac:dyDescent="0.2"/>
    <row r="72846" customFormat="1" x14ac:dyDescent="0.2"/>
    <row r="72847" customFormat="1" x14ac:dyDescent="0.2"/>
    <row r="72848" customFormat="1" x14ac:dyDescent="0.2"/>
    <row r="72849" customFormat="1" x14ac:dyDescent="0.2"/>
    <row r="72850" customFormat="1" x14ac:dyDescent="0.2"/>
    <row r="72851" customFormat="1" x14ac:dyDescent="0.2"/>
    <row r="72852" customFormat="1" x14ac:dyDescent="0.2"/>
    <row r="72853" customFormat="1" x14ac:dyDescent="0.2"/>
    <row r="72854" customFormat="1" x14ac:dyDescent="0.2"/>
    <row r="72855" customFormat="1" x14ac:dyDescent="0.2"/>
    <row r="72856" customFormat="1" x14ac:dyDescent="0.2"/>
    <row r="72857" customFormat="1" x14ac:dyDescent="0.2"/>
    <row r="72858" customFormat="1" x14ac:dyDescent="0.2"/>
    <row r="72859" customFormat="1" x14ac:dyDescent="0.2"/>
    <row r="72860" customFormat="1" x14ac:dyDescent="0.2"/>
    <row r="72861" customFormat="1" x14ac:dyDescent="0.2"/>
    <row r="72862" customFormat="1" x14ac:dyDescent="0.2"/>
    <row r="72863" customFormat="1" x14ac:dyDescent="0.2"/>
    <row r="72864" customFormat="1" x14ac:dyDescent="0.2"/>
    <row r="72865" customFormat="1" x14ac:dyDescent="0.2"/>
    <row r="72866" customFormat="1" x14ac:dyDescent="0.2"/>
    <row r="72867" customFormat="1" x14ac:dyDescent="0.2"/>
    <row r="72868" customFormat="1" x14ac:dyDescent="0.2"/>
    <row r="72869" customFormat="1" x14ac:dyDescent="0.2"/>
    <row r="72870" customFormat="1" x14ac:dyDescent="0.2"/>
    <row r="72871" customFormat="1" x14ac:dyDescent="0.2"/>
    <row r="72872" customFormat="1" x14ac:dyDescent="0.2"/>
    <row r="72873" customFormat="1" x14ac:dyDescent="0.2"/>
    <row r="72874" customFormat="1" x14ac:dyDescent="0.2"/>
    <row r="72875" customFormat="1" x14ac:dyDescent="0.2"/>
    <row r="72876" customFormat="1" x14ac:dyDescent="0.2"/>
    <row r="72877" customFormat="1" x14ac:dyDescent="0.2"/>
    <row r="72878" customFormat="1" x14ac:dyDescent="0.2"/>
    <row r="72879" customFormat="1" x14ac:dyDescent="0.2"/>
    <row r="72880" customFormat="1" x14ac:dyDescent="0.2"/>
    <row r="72881" customFormat="1" x14ac:dyDescent="0.2"/>
    <row r="72882" customFormat="1" x14ac:dyDescent="0.2"/>
    <row r="72883" customFormat="1" x14ac:dyDescent="0.2"/>
    <row r="72884" customFormat="1" x14ac:dyDescent="0.2"/>
    <row r="72885" customFormat="1" x14ac:dyDescent="0.2"/>
    <row r="72886" customFormat="1" x14ac:dyDescent="0.2"/>
    <row r="72887" customFormat="1" x14ac:dyDescent="0.2"/>
    <row r="72888" customFormat="1" x14ac:dyDescent="0.2"/>
    <row r="72889" customFormat="1" x14ac:dyDescent="0.2"/>
    <row r="72890" customFormat="1" x14ac:dyDescent="0.2"/>
    <row r="72891" customFormat="1" x14ac:dyDescent="0.2"/>
    <row r="72892" customFormat="1" x14ac:dyDescent="0.2"/>
    <row r="72893" customFormat="1" x14ac:dyDescent="0.2"/>
    <row r="72894" customFormat="1" x14ac:dyDescent="0.2"/>
    <row r="72895" customFormat="1" x14ac:dyDescent="0.2"/>
    <row r="72896" customFormat="1" x14ac:dyDescent="0.2"/>
    <row r="72897" customFormat="1" x14ac:dyDescent="0.2"/>
    <row r="72898" customFormat="1" x14ac:dyDescent="0.2"/>
    <row r="72899" customFormat="1" x14ac:dyDescent="0.2"/>
    <row r="72900" customFormat="1" x14ac:dyDescent="0.2"/>
    <row r="72901" customFormat="1" x14ac:dyDescent="0.2"/>
    <row r="72902" customFormat="1" x14ac:dyDescent="0.2"/>
    <row r="72903" customFormat="1" x14ac:dyDescent="0.2"/>
    <row r="72904" customFormat="1" x14ac:dyDescent="0.2"/>
    <row r="72905" customFormat="1" x14ac:dyDescent="0.2"/>
    <row r="72906" customFormat="1" x14ac:dyDescent="0.2"/>
    <row r="72907" customFormat="1" x14ac:dyDescent="0.2"/>
    <row r="72908" customFormat="1" x14ac:dyDescent="0.2"/>
    <row r="72909" customFormat="1" x14ac:dyDescent="0.2"/>
    <row r="72910" customFormat="1" x14ac:dyDescent="0.2"/>
    <row r="72911" customFormat="1" x14ac:dyDescent="0.2"/>
    <row r="72912" customFormat="1" x14ac:dyDescent="0.2"/>
    <row r="72913" customFormat="1" x14ac:dyDescent="0.2"/>
    <row r="72914" customFormat="1" x14ac:dyDescent="0.2"/>
    <row r="72915" customFormat="1" x14ac:dyDescent="0.2"/>
    <row r="72916" customFormat="1" x14ac:dyDescent="0.2"/>
    <row r="72917" customFormat="1" x14ac:dyDescent="0.2"/>
    <row r="72918" customFormat="1" x14ac:dyDescent="0.2"/>
    <row r="72919" customFormat="1" x14ac:dyDescent="0.2"/>
    <row r="72920" customFormat="1" x14ac:dyDescent="0.2"/>
    <row r="72921" customFormat="1" x14ac:dyDescent="0.2"/>
    <row r="72922" customFormat="1" x14ac:dyDescent="0.2"/>
    <row r="72923" customFormat="1" x14ac:dyDescent="0.2"/>
    <row r="72924" customFormat="1" x14ac:dyDescent="0.2"/>
    <row r="72925" customFormat="1" x14ac:dyDescent="0.2"/>
    <row r="72926" customFormat="1" x14ac:dyDescent="0.2"/>
    <row r="72927" customFormat="1" x14ac:dyDescent="0.2"/>
    <row r="72928" customFormat="1" x14ac:dyDescent="0.2"/>
    <row r="72929" customFormat="1" x14ac:dyDescent="0.2"/>
    <row r="72930" customFormat="1" x14ac:dyDescent="0.2"/>
    <row r="72931" customFormat="1" x14ac:dyDescent="0.2"/>
    <row r="72932" customFormat="1" x14ac:dyDescent="0.2"/>
    <row r="72933" customFormat="1" x14ac:dyDescent="0.2"/>
    <row r="72934" customFormat="1" x14ac:dyDescent="0.2"/>
    <row r="72935" customFormat="1" x14ac:dyDescent="0.2"/>
    <row r="72936" customFormat="1" x14ac:dyDescent="0.2"/>
    <row r="72937" customFormat="1" x14ac:dyDescent="0.2"/>
    <row r="72938" customFormat="1" x14ac:dyDescent="0.2"/>
    <row r="72939" customFormat="1" x14ac:dyDescent="0.2"/>
    <row r="72940" customFormat="1" x14ac:dyDescent="0.2"/>
    <row r="72941" customFormat="1" x14ac:dyDescent="0.2"/>
    <row r="72942" customFormat="1" x14ac:dyDescent="0.2"/>
    <row r="72943" customFormat="1" x14ac:dyDescent="0.2"/>
    <row r="72944" customFormat="1" x14ac:dyDescent="0.2"/>
    <row r="72945" customFormat="1" x14ac:dyDescent="0.2"/>
    <row r="72946" customFormat="1" x14ac:dyDescent="0.2"/>
    <row r="72947" customFormat="1" x14ac:dyDescent="0.2"/>
    <row r="72948" customFormat="1" x14ac:dyDescent="0.2"/>
    <row r="72949" customFormat="1" x14ac:dyDescent="0.2"/>
    <row r="72950" customFormat="1" x14ac:dyDescent="0.2"/>
    <row r="72951" customFormat="1" x14ac:dyDescent="0.2"/>
    <row r="72952" customFormat="1" x14ac:dyDescent="0.2"/>
    <row r="72953" customFormat="1" x14ac:dyDescent="0.2"/>
    <row r="72954" customFormat="1" x14ac:dyDescent="0.2"/>
    <row r="72955" customFormat="1" x14ac:dyDescent="0.2"/>
    <row r="72956" customFormat="1" x14ac:dyDescent="0.2"/>
    <row r="72957" customFormat="1" x14ac:dyDescent="0.2"/>
    <row r="72958" customFormat="1" x14ac:dyDescent="0.2"/>
    <row r="72959" customFormat="1" x14ac:dyDescent="0.2"/>
    <row r="72960" customFormat="1" x14ac:dyDescent="0.2"/>
    <row r="72961" customFormat="1" x14ac:dyDescent="0.2"/>
    <row r="72962" customFormat="1" x14ac:dyDescent="0.2"/>
    <row r="72963" customFormat="1" x14ac:dyDescent="0.2"/>
    <row r="72964" customFormat="1" x14ac:dyDescent="0.2"/>
    <row r="72965" customFormat="1" x14ac:dyDescent="0.2"/>
    <row r="72966" customFormat="1" x14ac:dyDescent="0.2"/>
    <row r="72967" customFormat="1" x14ac:dyDescent="0.2"/>
    <row r="72968" customFormat="1" x14ac:dyDescent="0.2"/>
    <row r="72969" customFormat="1" x14ac:dyDescent="0.2"/>
    <row r="72970" customFormat="1" x14ac:dyDescent="0.2"/>
    <row r="72971" customFormat="1" x14ac:dyDescent="0.2"/>
    <row r="72972" customFormat="1" x14ac:dyDescent="0.2"/>
    <row r="72973" customFormat="1" x14ac:dyDescent="0.2"/>
    <row r="72974" customFormat="1" x14ac:dyDescent="0.2"/>
    <row r="72975" customFormat="1" x14ac:dyDescent="0.2"/>
    <row r="72976" customFormat="1" x14ac:dyDescent="0.2"/>
    <row r="72977" customFormat="1" x14ac:dyDescent="0.2"/>
    <row r="72978" customFormat="1" x14ac:dyDescent="0.2"/>
    <row r="72979" customFormat="1" x14ac:dyDescent="0.2"/>
    <row r="72980" customFormat="1" x14ac:dyDescent="0.2"/>
    <row r="72981" customFormat="1" x14ac:dyDescent="0.2"/>
    <row r="72982" customFormat="1" x14ac:dyDescent="0.2"/>
    <row r="72983" customFormat="1" x14ac:dyDescent="0.2"/>
    <row r="72984" customFormat="1" x14ac:dyDescent="0.2"/>
    <row r="72985" customFormat="1" x14ac:dyDescent="0.2"/>
    <row r="72986" customFormat="1" x14ac:dyDescent="0.2"/>
    <row r="72987" customFormat="1" x14ac:dyDescent="0.2"/>
    <row r="72988" customFormat="1" x14ac:dyDescent="0.2"/>
    <row r="72989" customFormat="1" x14ac:dyDescent="0.2"/>
    <row r="72990" customFormat="1" x14ac:dyDescent="0.2"/>
    <row r="72991" customFormat="1" x14ac:dyDescent="0.2"/>
    <row r="72992" customFormat="1" x14ac:dyDescent="0.2"/>
    <row r="72993" customFormat="1" x14ac:dyDescent="0.2"/>
    <row r="72994" customFormat="1" x14ac:dyDescent="0.2"/>
    <row r="72995" customFormat="1" x14ac:dyDescent="0.2"/>
    <row r="72996" customFormat="1" x14ac:dyDescent="0.2"/>
    <row r="72997" customFormat="1" x14ac:dyDescent="0.2"/>
    <row r="72998" customFormat="1" x14ac:dyDescent="0.2"/>
    <row r="72999" customFormat="1" x14ac:dyDescent="0.2"/>
    <row r="73000" customFormat="1" x14ac:dyDescent="0.2"/>
    <row r="73001" customFormat="1" x14ac:dyDescent="0.2"/>
    <row r="73002" customFormat="1" x14ac:dyDescent="0.2"/>
    <row r="73003" customFormat="1" x14ac:dyDescent="0.2"/>
    <row r="73004" customFormat="1" x14ac:dyDescent="0.2"/>
    <row r="73005" customFormat="1" x14ac:dyDescent="0.2"/>
    <row r="73006" customFormat="1" x14ac:dyDescent="0.2"/>
    <row r="73007" customFormat="1" x14ac:dyDescent="0.2"/>
    <row r="73008" customFormat="1" x14ac:dyDescent="0.2"/>
    <row r="73009" customFormat="1" x14ac:dyDescent="0.2"/>
    <row r="73010" customFormat="1" x14ac:dyDescent="0.2"/>
    <row r="73011" customFormat="1" x14ac:dyDescent="0.2"/>
    <row r="73012" customFormat="1" x14ac:dyDescent="0.2"/>
    <row r="73013" customFormat="1" x14ac:dyDescent="0.2"/>
    <row r="73014" customFormat="1" x14ac:dyDescent="0.2"/>
    <row r="73015" customFormat="1" x14ac:dyDescent="0.2"/>
    <row r="73016" customFormat="1" x14ac:dyDescent="0.2"/>
    <row r="73017" customFormat="1" x14ac:dyDescent="0.2"/>
    <row r="73018" customFormat="1" x14ac:dyDescent="0.2"/>
    <row r="73019" customFormat="1" x14ac:dyDescent="0.2"/>
    <row r="73020" customFormat="1" x14ac:dyDescent="0.2"/>
    <row r="73021" customFormat="1" x14ac:dyDescent="0.2"/>
    <row r="73022" customFormat="1" x14ac:dyDescent="0.2"/>
    <row r="73023" customFormat="1" x14ac:dyDescent="0.2"/>
    <row r="73024" customFormat="1" x14ac:dyDescent="0.2"/>
    <row r="73025" customFormat="1" x14ac:dyDescent="0.2"/>
    <row r="73026" customFormat="1" x14ac:dyDescent="0.2"/>
    <row r="73027" customFormat="1" x14ac:dyDescent="0.2"/>
    <row r="73028" customFormat="1" x14ac:dyDescent="0.2"/>
    <row r="73029" customFormat="1" x14ac:dyDescent="0.2"/>
    <row r="73030" customFormat="1" x14ac:dyDescent="0.2"/>
    <row r="73031" customFormat="1" x14ac:dyDescent="0.2"/>
    <row r="73032" customFormat="1" x14ac:dyDescent="0.2"/>
    <row r="73033" customFormat="1" x14ac:dyDescent="0.2"/>
    <row r="73034" customFormat="1" x14ac:dyDescent="0.2"/>
    <row r="73035" customFormat="1" x14ac:dyDescent="0.2"/>
    <row r="73036" customFormat="1" x14ac:dyDescent="0.2"/>
    <row r="73037" customFormat="1" x14ac:dyDescent="0.2"/>
    <row r="73038" customFormat="1" x14ac:dyDescent="0.2"/>
    <row r="73039" customFormat="1" x14ac:dyDescent="0.2"/>
    <row r="73040" customFormat="1" x14ac:dyDescent="0.2"/>
    <row r="73041" customFormat="1" x14ac:dyDescent="0.2"/>
    <row r="73042" customFormat="1" x14ac:dyDescent="0.2"/>
    <row r="73043" customFormat="1" x14ac:dyDescent="0.2"/>
    <row r="73044" customFormat="1" x14ac:dyDescent="0.2"/>
    <row r="73045" customFormat="1" x14ac:dyDescent="0.2"/>
    <row r="73046" customFormat="1" x14ac:dyDescent="0.2"/>
    <row r="73047" customFormat="1" x14ac:dyDescent="0.2"/>
    <row r="73048" customFormat="1" x14ac:dyDescent="0.2"/>
    <row r="73049" customFormat="1" x14ac:dyDescent="0.2"/>
    <row r="73050" customFormat="1" x14ac:dyDescent="0.2"/>
    <row r="73051" customFormat="1" x14ac:dyDescent="0.2"/>
    <row r="73052" customFormat="1" x14ac:dyDescent="0.2"/>
    <row r="73053" customFormat="1" x14ac:dyDescent="0.2"/>
    <row r="73054" customFormat="1" x14ac:dyDescent="0.2"/>
    <row r="73055" customFormat="1" x14ac:dyDescent="0.2"/>
    <row r="73056" customFormat="1" x14ac:dyDescent="0.2"/>
    <row r="73057" customFormat="1" x14ac:dyDescent="0.2"/>
    <row r="73058" customFormat="1" x14ac:dyDescent="0.2"/>
    <row r="73059" customFormat="1" x14ac:dyDescent="0.2"/>
    <row r="73060" customFormat="1" x14ac:dyDescent="0.2"/>
    <row r="73061" customFormat="1" x14ac:dyDescent="0.2"/>
    <row r="73062" customFormat="1" x14ac:dyDescent="0.2"/>
    <row r="73063" customFormat="1" x14ac:dyDescent="0.2"/>
    <row r="73064" customFormat="1" x14ac:dyDescent="0.2"/>
    <row r="73065" customFormat="1" x14ac:dyDescent="0.2"/>
    <row r="73066" customFormat="1" x14ac:dyDescent="0.2"/>
    <row r="73067" customFormat="1" x14ac:dyDescent="0.2"/>
    <row r="73068" customFormat="1" x14ac:dyDescent="0.2"/>
    <row r="73069" customFormat="1" x14ac:dyDescent="0.2"/>
    <row r="73070" customFormat="1" x14ac:dyDescent="0.2"/>
    <row r="73071" customFormat="1" x14ac:dyDescent="0.2"/>
    <row r="73072" customFormat="1" x14ac:dyDescent="0.2"/>
    <row r="73073" customFormat="1" x14ac:dyDescent="0.2"/>
    <row r="73074" customFormat="1" x14ac:dyDescent="0.2"/>
    <row r="73075" customFormat="1" x14ac:dyDescent="0.2"/>
    <row r="73076" customFormat="1" x14ac:dyDescent="0.2"/>
    <row r="73077" customFormat="1" x14ac:dyDescent="0.2"/>
    <row r="73078" customFormat="1" x14ac:dyDescent="0.2"/>
    <row r="73079" customFormat="1" x14ac:dyDescent="0.2"/>
    <row r="73080" customFormat="1" x14ac:dyDescent="0.2"/>
    <row r="73081" customFormat="1" x14ac:dyDescent="0.2"/>
    <row r="73082" customFormat="1" x14ac:dyDescent="0.2"/>
    <row r="73083" customFormat="1" x14ac:dyDescent="0.2"/>
    <row r="73084" customFormat="1" x14ac:dyDescent="0.2"/>
    <row r="73085" customFormat="1" x14ac:dyDescent="0.2"/>
    <row r="73086" customFormat="1" x14ac:dyDescent="0.2"/>
    <row r="73087" customFormat="1" x14ac:dyDescent="0.2"/>
    <row r="73088" customFormat="1" x14ac:dyDescent="0.2"/>
    <row r="73089" customFormat="1" x14ac:dyDescent="0.2"/>
    <row r="73090" customFormat="1" x14ac:dyDescent="0.2"/>
    <row r="73091" customFormat="1" x14ac:dyDescent="0.2"/>
    <row r="73092" customFormat="1" x14ac:dyDescent="0.2"/>
    <row r="73093" customFormat="1" x14ac:dyDescent="0.2"/>
    <row r="73094" customFormat="1" x14ac:dyDescent="0.2"/>
    <row r="73095" customFormat="1" x14ac:dyDescent="0.2"/>
    <row r="73096" customFormat="1" x14ac:dyDescent="0.2"/>
    <row r="73097" customFormat="1" x14ac:dyDescent="0.2"/>
    <row r="73098" customFormat="1" x14ac:dyDescent="0.2"/>
    <row r="73099" customFormat="1" x14ac:dyDescent="0.2"/>
    <row r="73100" customFormat="1" x14ac:dyDescent="0.2"/>
    <row r="73101" customFormat="1" x14ac:dyDescent="0.2"/>
    <row r="73102" customFormat="1" x14ac:dyDescent="0.2"/>
    <row r="73103" customFormat="1" x14ac:dyDescent="0.2"/>
    <row r="73104" customFormat="1" x14ac:dyDescent="0.2"/>
    <row r="73105" customFormat="1" x14ac:dyDescent="0.2"/>
    <row r="73106" customFormat="1" x14ac:dyDescent="0.2"/>
    <row r="73107" customFormat="1" x14ac:dyDescent="0.2"/>
    <row r="73108" customFormat="1" x14ac:dyDescent="0.2"/>
    <row r="73109" customFormat="1" x14ac:dyDescent="0.2"/>
    <row r="73110" customFormat="1" x14ac:dyDescent="0.2"/>
    <row r="73111" customFormat="1" x14ac:dyDescent="0.2"/>
    <row r="73112" customFormat="1" x14ac:dyDescent="0.2"/>
    <row r="73113" customFormat="1" x14ac:dyDescent="0.2"/>
    <row r="73114" customFormat="1" x14ac:dyDescent="0.2"/>
    <row r="73115" customFormat="1" x14ac:dyDescent="0.2"/>
    <row r="73116" customFormat="1" x14ac:dyDescent="0.2"/>
    <row r="73117" customFormat="1" x14ac:dyDescent="0.2"/>
    <row r="73118" customFormat="1" x14ac:dyDescent="0.2"/>
    <row r="73119" customFormat="1" x14ac:dyDescent="0.2"/>
    <row r="73120" customFormat="1" x14ac:dyDescent="0.2"/>
    <row r="73121" customFormat="1" x14ac:dyDescent="0.2"/>
    <row r="73122" customFormat="1" x14ac:dyDescent="0.2"/>
    <row r="73123" customFormat="1" x14ac:dyDescent="0.2"/>
    <row r="73124" customFormat="1" x14ac:dyDescent="0.2"/>
    <row r="73125" customFormat="1" x14ac:dyDescent="0.2"/>
    <row r="73126" customFormat="1" x14ac:dyDescent="0.2"/>
    <row r="73127" customFormat="1" x14ac:dyDescent="0.2"/>
    <row r="73128" customFormat="1" x14ac:dyDescent="0.2"/>
    <row r="73129" customFormat="1" x14ac:dyDescent="0.2"/>
    <row r="73130" customFormat="1" x14ac:dyDescent="0.2"/>
    <row r="73131" customFormat="1" x14ac:dyDescent="0.2"/>
    <row r="73132" customFormat="1" x14ac:dyDescent="0.2"/>
    <row r="73133" customFormat="1" x14ac:dyDescent="0.2"/>
    <row r="73134" customFormat="1" x14ac:dyDescent="0.2"/>
    <row r="73135" customFormat="1" x14ac:dyDescent="0.2"/>
    <row r="73136" customFormat="1" x14ac:dyDescent="0.2"/>
    <row r="73137" customFormat="1" x14ac:dyDescent="0.2"/>
    <row r="73138" customFormat="1" x14ac:dyDescent="0.2"/>
    <row r="73139" customFormat="1" x14ac:dyDescent="0.2"/>
    <row r="73140" customFormat="1" x14ac:dyDescent="0.2"/>
    <row r="73141" customFormat="1" x14ac:dyDescent="0.2"/>
    <row r="73142" customFormat="1" x14ac:dyDescent="0.2"/>
    <row r="73143" customFormat="1" x14ac:dyDescent="0.2"/>
    <row r="73144" customFormat="1" x14ac:dyDescent="0.2"/>
    <row r="73145" customFormat="1" x14ac:dyDescent="0.2"/>
    <row r="73146" customFormat="1" x14ac:dyDescent="0.2"/>
    <row r="73147" customFormat="1" x14ac:dyDescent="0.2"/>
    <row r="73148" customFormat="1" x14ac:dyDescent="0.2"/>
    <row r="73149" customFormat="1" x14ac:dyDescent="0.2"/>
    <row r="73150" customFormat="1" x14ac:dyDescent="0.2"/>
    <row r="73151" customFormat="1" x14ac:dyDescent="0.2"/>
    <row r="73152" customFormat="1" x14ac:dyDescent="0.2"/>
    <row r="73153" customFormat="1" x14ac:dyDescent="0.2"/>
    <row r="73154" customFormat="1" x14ac:dyDescent="0.2"/>
    <row r="73155" customFormat="1" x14ac:dyDescent="0.2"/>
    <row r="73156" customFormat="1" x14ac:dyDescent="0.2"/>
    <row r="73157" customFormat="1" x14ac:dyDescent="0.2"/>
    <row r="73158" customFormat="1" x14ac:dyDescent="0.2"/>
    <row r="73159" customFormat="1" x14ac:dyDescent="0.2"/>
    <row r="73160" customFormat="1" x14ac:dyDescent="0.2"/>
    <row r="73161" customFormat="1" x14ac:dyDescent="0.2"/>
    <row r="73162" customFormat="1" x14ac:dyDescent="0.2"/>
    <row r="73163" customFormat="1" x14ac:dyDescent="0.2"/>
    <row r="73164" customFormat="1" x14ac:dyDescent="0.2"/>
    <row r="73165" customFormat="1" x14ac:dyDescent="0.2"/>
    <row r="73166" customFormat="1" x14ac:dyDescent="0.2"/>
    <row r="73167" customFormat="1" x14ac:dyDescent="0.2"/>
    <row r="73168" customFormat="1" x14ac:dyDescent="0.2"/>
    <row r="73169" customFormat="1" x14ac:dyDescent="0.2"/>
    <row r="73170" customFormat="1" x14ac:dyDescent="0.2"/>
    <row r="73171" customFormat="1" x14ac:dyDescent="0.2"/>
    <row r="73172" customFormat="1" x14ac:dyDescent="0.2"/>
    <row r="73173" customFormat="1" x14ac:dyDescent="0.2"/>
    <row r="73174" customFormat="1" x14ac:dyDescent="0.2"/>
    <row r="73175" customFormat="1" x14ac:dyDescent="0.2"/>
    <row r="73176" customFormat="1" x14ac:dyDescent="0.2"/>
    <row r="73177" customFormat="1" x14ac:dyDescent="0.2"/>
    <row r="73178" customFormat="1" x14ac:dyDescent="0.2"/>
    <row r="73179" customFormat="1" x14ac:dyDescent="0.2"/>
    <row r="73180" customFormat="1" x14ac:dyDescent="0.2"/>
    <row r="73181" customFormat="1" x14ac:dyDescent="0.2"/>
    <row r="73182" customFormat="1" x14ac:dyDescent="0.2"/>
    <row r="73183" customFormat="1" x14ac:dyDescent="0.2"/>
    <row r="73184" customFormat="1" x14ac:dyDescent="0.2"/>
    <row r="73185" customFormat="1" x14ac:dyDescent="0.2"/>
    <row r="73186" customFormat="1" x14ac:dyDescent="0.2"/>
    <row r="73187" customFormat="1" x14ac:dyDescent="0.2"/>
    <row r="73188" customFormat="1" x14ac:dyDescent="0.2"/>
    <row r="73189" customFormat="1" x14ac:dyDescent="0.2"/>
    <row r="73190" customFormat="1" x14ac:dyDescent="0.2"/>
    <row r="73191" customFormat="1" x14ac:dyDescent="0.2"/>
    <row r="73192" customFormat="1" x14ac:dyDescent="0.2"/>
    <row r="73193" customFormat="1" x14ac:dyDescent="0.2"/>
    <row r="73194" customFormat="1" x14ac:dyDescent="0.2"/>
    <row r="73195" customFormat="1" x14ac:dyDescent="0.2"/>
    <row r="73196" customFormat="1" x14ac:dyDescent="0.2"/>
    <row r="73197" customFormat="1" x14ac:dyDescent="0.2"/>
    <row r="73198" customFormat="1" x14ac:dyDescent="0.2"/>
    <row r="73199" customFormat="1" x14ac:dyDescent="0.2"/>
    <row r="73200" customFormat="1" x14ac:dyDescent="0.2"/>
    <row r="73201" customFormat="1" x14ac:dyDescent="0.2"/>
    <row r="73202" customFormat="1" x14ac:dyDescent="0.2"/>
    <row r="73203" customFormat="1" x14ac:dyDescent="0.2"/>
    <row r="73204" customFormat="1" x14ac:dyDescent="0.2"/>
    <row r="73205" customFormat="1" x14ac:dyDescent="0.2"/>
    <row r="73206" customFormat="1" x14ac:dyDescent="0.2"/>
    <row r="73207" customFormat="1" x14ac:dyDescent="0.2"/>
    <row r="73208" customFormat="1" x14ac:dyDescent="0.2"/>
    <row r="73209" customFormat="1" x14ac:dyDescent="0.2"/>
    <row r="73210" customFormat="1" x14ac:dyDescent="0.2"/>
    <row r="73211" customFormat="1" x14ac:dyDescent="0.2"/>
    <row r="73212" customFormat="1" x14ac:dyDescent="0.2"/>
    <row r="73213" customFormat="1" x14ac:dyDescent="0.2"/>
    <row r="73214" customFormat="1" x14ac:dyDescent="0.2"/>
    <row r="73215" customFormat="1" x14ac:dyDescent="0.2"/>
    <row r="73216" customFormat="1" x14ac:dyDescent="0.2"/>
    <row r="73217" customFormat="1" x14ac:dyDescent="0.2"/>
    <row r="73218" customFormat="1" x14ac:dyDescent="0.2"/>
    <row r="73219" customFormat="1" x14ac:dyDescent="0.2"/>
    <row r="73220" customFormat="1" x14ac:dyDescent="0.2"/>
    <row r="73221" customFormat="1" x14ac:dyDescent="0.2"/>
    <row r="73222" customFormat="1" x14ac:dyDescent="0.2"/>
    <row r="73223" customFormat="1" x14ac:dyDescent="0.2"/>
    <row r="73224" customFormat="1" x14ac:dyDescent="0.2"/>
    <row r="73225" customFormat="1" x14ac:dyDescent="0.2"/>
    <row r="73226" customFormat="1" x14ac:dyDescent="0.2"/>
    <row r="73227" customFormat="1" x14ac:dyDescent="0.2"/>
    <row r="73228" customFormat="1" x14ac:dyDescent="0.2"/>
    <row r="73229" customFormat="1" x14ac:dyDescent="0.2"/>
    <row r="73230" customFormat="1" x14ac:dyDescent="0.2"/>
    <row r="73231" customFormat="1" x14ac:dyDescent="0.2"/>
    <row r="73232" customFormat="1" x14ac:dyDescent="0.2"/>
    <row r="73233" customFormat="1" x14ac:dyDescent="0.2"/>
    <row r="73234" customFormat="1" x14ac:dyDescent="0.2"/>
    <row r="73235" customFormat="1" x14ac:dyDescent="0.2"/>
    <row r="73236" customFormat="1" x14ac:dyDescent="0.2"/>
    <row r="73237" customFormat="1" x14ac:dyDescent="0.2"/>
    <row r="73238" customFormat="1" x14ac:dyDescent="0.2"/>
    <row r="73239" customFormat="1" x14ac:dyDescent="0.2"/>
    <row r="73240" customFormat="1" x14ac:dyDescent="0.2"/>
    <row r="73241" customFormat="1" x14ac:dyDescent="0.2"/>
    <row r="73242" customFormat="1" x14ac:dyDescent="0.2"/>
    <row r="73243" customFormat="1" x14ac:dyDescent="0.2"/>
    <row r="73244" customFormat="1" x14ac:dyDescent="0.2"/>
    <row r="73245" customFormat="1" x14ac:dyDescent="0.2"/>
    <row r="73246" customFormat="1" x14ac:dyDescent="0.2"/>
    <row r="73247" customFormat="1" x14ac:dyDescent="0.2"/>
    <row r="73248" customFormat="1" x14ac:dyDescent="0.2"/>
    <row r="73249" customFormat="1" x14ac:dyDescent="0.2"/>
    <row r="73250" customFormat="1" x14ac:dyDescent="0.2"/>
    <row r="73251" customFormat="1" x14ac:dyDescent="0.2"/>
    <row r="73252" customFormat="1" x14ac:dyDescent="0.2"/>
    <row r="73253" customFormat="1" x14ac:dyDescent="0.2"/>
    <row r="73254" customFormat="1" x14ac:dyDescent="0.2"/>
    <row r="73255" customFormat="1" x14ac:dyDescent="0.2"/>
    <row r="73256" customFormat="1" x14ac:dyDescent="0.2"/>
    <row r="73257" customFormat="1" x14ac:dyDescent="0.2"/>
    <row r="73258" customFormat="1" x14ac:dyDescent="0.2"/>
    <row r="73259" customFormat="1" x14ac:dyDescent="0.2"/>
    <row r="73260" customFormat="1" x14ac:dyDescent="0.2"/>
    <row r="73261" customFormat="1" x14ac:dyDescent="0.2"/>
    <row r="73262" customFormat="1" x14ac:dyDescent="0.2"/>
    <row r="73263" customFormat="1" x14ac:dyDescent="0.2"/>
    <row r="73264" customFormat="1" x14ac:dyDescent="0.2"/>
    <row r="73265" customFormat="1" x14ac:dyDescent="0.2"/>
    <row r="73266" customFormat="1" x14ac:dyDescent="0.2"/>
    <row r="73267" customFormat="1" x14ac:dyDescent="0.2"/>
    <row r="73268" customFormat="1" x14ac:dyDescent="0.2"/>
    <row r="73269" customFormat="1" x14ac:dyDescent="0.2"/>
    <row r="73270" customFormat="1" x14ac:dyDescent="0.2"/>
    <row r="73271" customFormat="1" x14ac:dyDescent="0.2"/>
    <row r="73272" customFormat="1" x14ac:dyDescent="0.2"/>
    <row r="73273" customFormat="1" x14ac:dyDescent="0.2"/>
    <row r="73274" customFormat="1" x14ac:dyDescent="0.2"/>
    <row r="73275" customFormat="1" x14ac:dyDescent="0.2"/>
    <row r="73276" customFormat="1" x14ac:dyDescent="0.2"/>
    <row r="73277" customFormat="1" x14ac:dyDescent="0.2"/>
    <row r="73278" customFormat="1" x14ac:dyDescent="0.2"/>
    <row r="73279" customFormat="1" x14ac:dyDescent="0.2"/>
    <row r="73280" customFormat="1" x14ac:dyDescent="0.2"/>
    <row r="73281" customFormat="1" x14ac:dyDescent="0.2"/>
    <row r="73282" customFormat="1" x14ac:dyDescent="0.2"/>
    <row r="73283" customFormat="1" x14ac:dyDescent="0.2"/>
    <row r="73284" customFormat="1" x14ac:dyDescent="0.2"/>
    <row r="73285" customFormat="1" x14ac:dyDescent="0.2"/>
    <row r="73286" customFormat="1" x14ac:dyDescent="0.2"/>
    <row r="73287" customFormat="1" x14ac:dyDescent="0.2"/>
    <row r="73288" customFormat="1" x14ac:dyDescent="0.2"/>
    <row r="73289" customFormat="1" x14ac:dyDescent="0.2"/>
    <row r="73290" customFormat="1" x14ac:dyDescent="0.2"/>
    <row r="73291" customFormat="1" x14ac:dyDescent="0.2"/>
    <row r="73292" customFormat="1" x14ac:dyDescent="0.2"/>
    <row r="73293" customFormat="1" x14ac:dyDescent="0.2"/>
    <row r="73294" customFormat="1" x14ac:dyDescent="0.2"/>
    <row r="73295" customFormat="1" x14ac:dyDescent="0.2"/>
    <row r="73296" customFormat="1" x14ac:dyDescent="0.2"/>
    <row r="73297" customFormat="1" x14ac:dyDescent="0.2"/>
    <row r="73298" customFormat="1" x14ac:dyDescent="0.2"/>
    <row r="73299" customFormat="1" x14ac:dyDescent="0.2"/>
    <row r="73300" customFormat="1" x14ac:dyDescent="0.2"/>
    <row r="73301" customFormat="1" x14ac:dyDescent="0.2"/>
    <row r="73302" customFormat="1" x14ac:dyDescent="0.2"/>
    <row r="73303" customFormat="1" x14ac:dyDescent="0.2"/>
    <row r="73304" customFormat="1" x14ac:dyDescent="0.2"/>
    <row r="73305" customFormat="1" x14ac:dyDescent="0.2"/>
    <row r="73306" customFormat="1" x14ac:dyDescent="0.2"/>
    <row r="73307" customFormat="1" x14ac:dyDescent="0.2"/>
    <row r="73308" customFormat="1" x14ac:dyDescent="0.2"/>
    <row r="73309" customFormat="1" x14ac:dyDescent="0.2"/>
    <row r="73310" customFormat="1" x14ac:dyDescent="0.2"/>
    <row r="73311" customFormat="1" x14ac:dyDescent="0.2"/>
    <row r="73312" customFormat="1" x14ac:dyDescent="0.2"/>
    <row r="73313" customFormat="1" x14ac:dyDescent="0.2"/>
    <row r="73314" customFormat="1" x14ac:dyDescent="0.2"/>
    <row r="73315" customFormat="1" x14ac:dyDescent="0.2"/>
    <row r="73316" customFormat="1" x14ac:dyDescent="0.2"/>
    <row r="73317" customFormat="1" x14ac:dyDescent="0.2"/>
    <row r="73318" customFormat="1" x14ac:dyDescent="0.2"/>
    <row r="73319" customFormat="1" x14ac:dyDescent="0.2"/>
    <row r="73320" customFormat="1" x14ac:dyDescent="0.2"/>
    <row r="73321" customFormat="1" x14ac:dyDescent="0.2"/>
    <row r="73322" customFormat="1" x14ac:dyDescent="0.2"/>
    <row r="73323" customFormat="1" x14ac:dyDescent="0.2"/>
    <row r="73324" customFormat="1" x14ac:dyDescent="0.2"/>
    <row r="73325" customFormat="1" x14ac:dyDescent="0.2"/>
    <row r="73326" customFormat="1" x14ac:dyDescent="0.2"/>
    <row r="73327" customFormat="1" x14ac:dyDescent="0.2"/>
    <row r="73328" customFormat="1" x14ac:dyDescent="0.2"/>
    <row r="73329" customFormat="1" x14ac:dyDescent="0.2"/>
    <row r="73330" customFormat="1" x14ac:dyDescent="0.2"/>
    <row r="73331" customFormat="1" x14ac:dyDescent="0.2"/>
    <row r="73332" customFormat="1" x14ac:dyDescent="0.2"/>
    <row r="73333" customFormat="1" x14ac:dyDescent="0.2"/>
    <row r="73334" customFormat="1" x14ac:dyDescent="0.2"/>
    <row r="73335" customFormat="1" x14ac:dyDescent="0.2"/>
    <row r="73336" customFormat="1" x14ac:dyDescent="0.2"/>
    <row r="73337" customFormat="1" x14ac:dyDescent="0.2"/>
    <row r="73338" customFormat="1" x14ac:dyDescent="0.2"/>
    <row r="73339" customFormat="1" x14ac:dyDescent="0.2"/>
    <row r="73340" customFormat="1" x14ac:dyDescent="0.2"/>
    <row r="73341" customFormat="1" x14ac:dyDescent="0.2"/>
    <row r="73342" customFormat="1" x14ac:dyDescent="0.2"/>
    <row r="73343" customFormat="1" x14ac:dyDescent="0.2"/>
    <row r="73344" customFormat="1" x14ac:dyDescent="0.2"/>
    <row r="73345" customFormat="1" x14ac:dyDescent="0.2"/>
    <row r="73346" customFormat="1" x14ac:dyDescent="0.2"/>
    <row r="73347" customFormat="1" x14ac:dyDescent="0.2"/>
    <row r="73348" customFormat="1" x14ac:dyDescent="0.2"/>
    <row r="73349" customFormat="1" x14ac:dyDescent="0.2"/>
    <row r="73350" customFormat="1" x14ac:dyDescent="0.2"/>
    <row r="73351" customFormat="1" x14ac:dyDescent="0.2"/>
    <row r="73352" customFormat="1" x14ac:dyDescent="0.2"/>
    <row r="73353" customFormat="1" x14ac:dyDescent="0.2"/>
    <row r="73354" customFormat="1" x14ac:dyDescent="0.2"/>
    <row r="73355" customFormat="1" x14ac:dyDescent="0.2"/>
    <row r="73356" customFormat="1" x14ac:dyDescent="0.2"/>
    <row r="73357" customFormat="1" x14ac:dyDescent="0.2"/>
    <row r="73358" customFormat="1" x14ac:dyDescent="0.2"/>
    <row r="73359" customFormat="1" x14ac:dyDescent="0.2"/>
    <row r="73360" customFormat="1" x14ac:dyDescent="0.2"/>
    <row r="73361" customFormat="1" x14ac:dyDescent="0.2"/>
    <row r="73362" customFormat="1" x14ac:dyDescent="0.2"/>
    <row r="73363" customFormat="1" x14ac:dyDescent="0.2"/>
    <row r="73364" customFormat="1" x14ac:dyDescent="0.2"/>
    <row r="73365" customFormat="1" x14ac:dyDescent="0.2"/>
    <row r="73366" customFormat="1" x14ac:dyDescent="0.2"/>
    <row r="73367" customFormat="1" x14ac:dyDescent="0.2"/>
    <row r="73368" customFormat="1" x14ac:dyDescent="0.2"/>
    <row r="73369" customFormat="1" x14ac:dyDescent="0.2"/>
    <row r="73370" customFormat="1" x14ac:dyDescent="0.2"/>
    <row r="73371" customFormat="1" x14ac:dyDescent="0.2"/>
    <row r="73372" customFormat="1" x14ac:dyDescent="0.2"/>
    <row r="73373" customFormat="1" x14ac:dyDescent="0.2"/>
    <row r="73374" customFormat="1" x14ac:dyDescent="0.2"/>
    <row r="73375" customFormat="1" x14ac:dyDescent="0.2"/>
    <row r="73376" customFormat="1" x14ac:dyDescent="0.2"/>
    <row r="73377" customFormat="1" x14ac:dyDescent="0.2"/>
    <row r="73378" customFormat="1" x14ac:dyDescent="0.2"/>
    <row r="73379" customFormat="1" x14ac:dyDescent="0.2"/>
    <row r="73380" customFormat="1" x14ac:dyDescent="0.2"/>
    <row r="73381" customFormat="1" x14ac:dyDescent="0.2"/>
    <row r="73382" customFormat="1" x14ac:dyDescent="0.2"/>
    <row r="73383" customFormat="1" x14ac:dyDescent="0.2"/>
    <row r="73384" customFormat="1" x14ac:dyDescent="0.2"/>
    <row r="73385" customFormat="1" x14ac:dyDescent="0.2"/>
    <row r="73386" customFormat="1" x14ac:dyDescent="0.2"/>
    <row r="73387" customFormat="1" x14ac:dyDescent="0.2"/>
    <row r="73388" customFormat="1" x14ac:dyDescent="0.2"/>
    <row r="73389" customFormat="1" x14ac:dyDescent="0.2"/>
    <row r="73390" customFormat="1" x14ac:dyDescent="0.2"/>
    <row r="73391" customFormat="1" x14ac:dyDescent="0.2"/>
    <row r="73392" customFormat="1" x14ac:dyDescent="0.2"/>
    <row r="73393" customFormat="1" x14ac:dyDescent="0.2"/>
    <row r="73394" customFormat="1" x14ac:dyDescent="0.2"/>
    <row r="73395" customFormat="1" x14ac:dyDescent="0.2"/>
    <row r="73396" customFormat="1" x14ac:dyDescent="0.2"/>
    <row r="73397" customFormat="1" x14ac:dyDescent="0.2"/>
    <row r="73398" customFormat="1" x14ac:dyDescent="0.2"/>
    <row r="73399" customFormat="1" x14ac:dyDescent="0.2"/>
    <row r="73400" customFormat="1" x14ac:dyDescent="0.2"/>
    <row r="73401" customFormat="1" x14ac:dyDescent="0.2"/>
    <row r="73402" customFormat="1" x14ac:dyDescent="0.2"/>
    <row r="73403" customFormat="1" x14ac:dyDescent="0.2"/>
    <row r="73404" customFormat="1" x14ac:dyDescent="0.2"/>
    <row r="73405" customFormat="1" x14ac:dyDescent="0.2"/>
    <row r="73406" customFormat="1" x14ac:dyDescent="0.2"/>
    <row r="73407" customFormat="1" x14ac:dyDescent="0.2"/>
    <row r="73408" customFormat="1" x14ac:dyDescent="0.2"/>
    <row r="73409" customFormat="1" x14ac:dyDescent="0.2"/>
    <row r="73410" customFormat="1" x14ac:dyDescent="0.2"/>
    <row r="73411" customFormat="1" x14ac:dyDescent="0.2"/>
    <row r="73412" customFormat="1" x14ac:dyDescent="0.2"/>
    <row r="73413" customFormat="1" x14ac:dyDescent="0.2"/>
    <row r="73414" customFormat="1" x14ac:dyDescent="0.2"/>
    <row r="73415" customFormat="1" x14ac:dyDescent="0.2"/>
    <row r="73416" customFormat="1" x14ac:dyDescent="0.2"/>
    <row r="73417" customFormat="1" x14ac:dyDescent="0.2"/>
    <row r="73418" customFormat="1" x14ac:dyDescent="0.2"/>
    <row r="73419" customFormat="1" x14ac:dyDescent="0.2"/>
    <row r="73420" customFormat="1" x14ac:dyDescent="0.2"/>
    <row r="73421" customFormat="1" x14ac:dyDescent="0.2"/>
    <row r="73422" customFormat="1" x14ac:dyDescent="0.2"/>
    <row r="73423" customFormat="1" x14ac:dyDescent="0.2"/>
    <row r="73424" customFormat="1" x14ac:dyDescent="0.2"/>
    <row r="73425" customFormat="1" x14ac:dyDescent="0.2"/>
    <row r="73426" customFormat="1" x14ac:dyDescent="0.2"/>
    <row r="73427" customFormat="1" x14ac:dyDescent="0.2"/>
    <row r="73428" customFormat="1" x14ac:dyDescent="0.2"/>
    <row r="73429" customFormat="1" x14ac:dyDescent="0.2"/>
    <row r="73430" customFormat="1" x14ac:dyDescent="0.2"/>
    <row r="73431" customFormat="1" x14ac:dyDescent="0.2"/>
    <row r="73432" customFormat="1" x14ac:dyDescent="0.2"/>
    <row r="73433" customFormat="1" x14ac:dyDescent="0.2"/>
    <row r="73434" customFormat="1" x14ac:dyDescent="0.2"/>
    <row r="73435" customFormat="1" x14ac:dyDescent="0.2"/>
    <row r="73436" customFormat="1" x14ac:dyDescent="0.2"/>
    <row r="73437" customFormat="1" x14ac:dyDescent="0.2"/>
    <row r="73438" customFormat="1" x14ac:dyDescent="0.2"/>
    <row r="73439" customFormat="1" x14ac:dyDescent="0.2"/>
    <row r="73440" customFormat="1" x14ac:dyDescent="0.2"/>
    <row r="73441" customFormat="1" x14ac:dyDescent="0.2"/>
    <row r="73442" customFormat="1" x14ac:dyDescent="0.2"/>
    <row r="73443" customFormat="1" x14ac:dyDescent="0.2"/>
    <row r="73444" customFormat="1" x14ac:dyDescent="0.2"/>
    <row r="73445" customFormat="1" x14ac:dyDescent="0.2"/>
    <row r="73446" customFormat="1" x14ac:dyDescent="0.2"/>
    <row r="73447" customFormat="1" x14ac:dyDescent="0.2"/>
    <row r="73448" customFormat="1" x14ac:dyDescent="0.2"/>
    <row r="73449" customFormat="1" x14ac:dyDescent="0.2"/>
    <row r="73450" customFormat="1" x14ac:dyDescent="0.2"/>
    <row r="73451" customFormat="1" x14ac:dyDescent="0.2"/>
    <row r="73452" customFormat="1" x14ac:dyDescent="0.2"/>
    <row r="73453" customFormat="1" x14ac:dyDescent="0.2"/>
    <row r="73454" customFormat="1" x14ac:dyDescent="0.2"/>
    <row r="73455" customFormat="1" x14ac:dyDescent="0.2"/>
    <row r="73456" customFormat="1" x14ac:dyDescent="0.2"/>
    <row r="73457" customFormat="1" x14ac:dyDescent="0.2"/>
    <row r="73458" customFormat="1" x14ac:dyDescent="0.2"/>
    <row r="73459" customFormat="1" x14ac:dyDescent="0.2"/>
    <row r="73460" customFormat="1" x14ac:dyDescent="0.2"/>
    <row r="73461" customFormat="1" x14ac:dyDescent="0.2"/>
    <row r="73462" customFormat="1" x14ac:dyDescent="0.2"/>
    <row r="73463" customFormat="1" x14ac:dyDescent="0.2"/>
    <row r="73464" customFormat="1" x14ac:dyDescent="0.2"/>
    <row r="73465" customFormat="1" x14ac:dyDescent="0.2"/>
    <row r="73466" customFormat="1" x14ac:dyDescent="0.2"/>
    <row r="73467" customFormat="1" x14ac:dyDescent="0.2"/>
    <row r="73468" customFormat="1" x14ac:dyDescent="0.2"/>
    <row r="73469" customFormat="1" x14ac:dyDescent="0.2"/>
    <row r="73470" customFormat="1" x14ac:dyDescent="0.2"/>
    <row r="73471" customFormat="1" x14ac:dyDescent="0.2"/>
    <row r="73472" customFormat="1" x14ac:dyDescent="0.2"/>
    <row r="73473" customFormat="1" x14ac:dyDescent="0.2"/>
    <row r="73474" customFormat="1" x14ac:dyDescent="0.2"/>
    <row r="73475" customFormat="1" x14ac:dyDescent="0.2"/>
    <row r="73476" customFormat="1" x14ac:dyDescent="0.2"/>
    <row r="73477" customFormat="1" x14ac:dyDescent="0.2"/>
    <row r="73478" customFormat="1" x14ac:dyDescent="0.2"/>
    <row r="73479" customFormat="1" x14ac:dyDescent="0.2"/>
    <row r="73480" customFormat="1" x14ac:dyDescent="0.2"/>
    <row r="73481" customFormat="1" x14ac:dyDescent="0.2"/>
    <row r="73482" customFormat="1" x14ac:dyDescent="0.2"/>
    <row r="73483" customFormat="1" x14ac:dyDescent="0.2"/>
    <row r="73484" customFormat="1" x14ac:dyDescent="0.2"/>
    <row r="73485" customFormat="1" x14ac:dyDescent="0.2"/>
    <row r="73486" customFormat="1" x14ac:dyDescent="0.2"/>
    <row r="73487" customFormat="1" x14ac:dyDescent="0.2"/>
    <row r="73488" customFormat="1" x14ac:dyDescent="0.2"/>
    <row r="73489" customFormat="1" x14ac:dyDescent="0.2"/>
    <row r="73490" customFormat="1" x14ac:dyDescent="0.2"/>
    <row r="73491" customFormat="1" x14ac:dyDescent="0.2"/>
    <row r="73492" customFormat="1" x14ac:dyDescent="0.2"/>
    <row r="73493" customFormat="1" x14ac:dyDescent="0.2"/>
    <row r="73494" customFormat="1" x14ac:dyDescent="0.2"/>
    <row r="73495" customFormat="1" x14ac:dyDescent="0.2"/>
    <row r="73496" customFormat="1" x14ac:dyDescent="0.2"/>
    <row r="73497" customFormat="1" x14ac:dyDescent="0.2"/>
    <row r="73498" customFormat="1" x14ac:dyDescent="0.2"/>
    <row r="73499" customFormat="1" x14ac:dyDescent="0.2"/>
    <row r="73500" customFormat="1" x14ac:dyDescent="0.2"/>
    <row r="73501" customFormat="1" x14ac:dyDescent="0.2"/>
    <row r="73502" customFormat="1" x14ac:dyDescent="0.2"/>
    <row r="73503" customFormat="1" x14ac:dyDescent="0.2"/>
    <row r="73504" customFormat="1" x14ac:dyDescent="0.2"/>
    <row r="73505" customFormat="1" x14ac:dyDescent="0.2"/>
    <row r="73506" customFormat="1" x14ac:dyDescent="0.2"/>
    <row r="73507" customFormat="1" x14ac:dyDescent="0.2"/>
    <row r="73508" customFormat="1" x14ac:dyDescent="0.2"/>
    <row r="73509" customFormat="1" x14ac:dyDescent="0.2"/>
    <row r="73510" customFormat="1" x14ac:dyDescent="0.2"/>
    <row r="73511" customFormat="1" x14ac:dyDescent="0.2"/>
    <row r="73512" customFormat="1" x14ac:dyDescent="0.2"/>
    <row r="73513" customFormat="1" x14ac:dyDescent="0.2"/>
    <row r="73514" customFormat="1" x14ac:dyDescent="0.2"/>
    <row r="73515" customFormat="1" x14ac:dyDescent="0.2"/>
    <row r="73516" customFormat="1" x14ac:dyDescent="0.2"/>
    <row r="73517" customFormat="1" x14ac:dyDescent="0.2"/>
    <row r="73518" customFormat="1" x14ac:dyDescent="0.2"/>
    <row r="73519" customFormat="1" x14ac:dyDescent="0.2"/>
    <row r="73520" customFormat="1" x14ac:dyDescent="0.2"/>
    <row r="73521" customFormat="1" x14ac:dyDescent="0.2"/>
    <row r="73522" customFormat="1" x14ac:dyDescent="0.2"/>
    <row r="73523" customFormat="1" x14ac:dyDescent="0.2"/>
    <row r="73524" customFormat="1" x14ac:dyDescent="0.2"/>
    <row r="73525" customFormat="1" x14ac:dyDescent="0.2"/>
    <row r="73526" customFormat="1" x14ac:dyDescent="0.2"/>
    <row r="73527" customFormat="1" x14ac:dyDescent="0.2"/>
    <row r="73528" customFormat="1" x14ac:dyDescent="0.2"/>
    <row r="73529" customFormat="1" x14ac:dyDescent="0.2"/>
    <row r="73530" customFormat="1" x14ac:dyDescent="0.2"/>
    <row r="73531" customFormat="1" x14ac:dyDescent="0.2"/>
    <row r="73532" customFormat="1" x14ac:dyDescent="0.2"/>
    <row r="73533" customFormat="1" x14ac:dyDescent="0.2"/>
    <row r="73534" customFormat="1" x14ac:dyDescent="0.2"/>
    <row r="73535" customFormat="1" x14ac:dyDescent="0.2"/>
    <row r="73536" customFormat="1" x14ac:dyDescent="0.2"/>
    <row r="73537" customFormat="1" x14ac:dyDescent="0.2"/>
    <row r="73538" customFormat="1" x14ac:dyDescent="0.2"/>
    <row r="73539" customFormat="1" x14ac:dyDescent="0.2"/>
    <row r="73540" customFormat="1" x14ac:dyDescent="0.2"/>
    <row r="73541" customFormat="1" x14ac:dyDescent="0.2"/>
    <row r="73542" customFormat="1" x14ac:dyDescent="0.2"/>
    <row r="73543" customFormat="1" x14ac:dyDescent="0.2"/>
    <row r="73544" customFormat="1" x14ac:dyDescent="0.2"/>
    <row r="73545" customFormat="1" x14ac:dyDescent="0.2"/>
    <row r="73546" customFormat="1" x14ac:dyDescent="0.2"/>
    <row r="73547" customFormat="1" x14ac:dyDescent="0.2"/>
    <row r="73548" customFormat="1" x14ac:dyDescent="0.2"/>
    <row r="73549" customFormat="1" x14ac:dyDescent="0.2"/>
    <row r="73550" customFormat="1" x14ac:dyDescent="0.2"/>
    <row r="73551" customFormat="1" x14ac:dyDescent="0.2"/>
    <row r="73552" customFormat="1" x14ac:dyDescent="0.2"/>
    <row r="73553" customFormat="1" x14ac:dyDescent="0.2"/>
    <row r="73554" customFormat="1" x14ac:dyDescent="0.2"/>
    <row r="73555" customFormat="1" x14ac:dyDescent="0.2"/>
    <row r="73556" customFormat="1" x14ac:dyDescent="0.2"/>
    <row r="73557" customFormat="1" x14ac:dyDescent="0.2"/>
    <row r="73558" customFormat="1" x14ac:dyDescent="0.2"/>
    <row r="73559" customFormat="1" x14ac:dyDescent="0.2"/>
    <row r="73560" customFormat="1" x14ac:dyDescent="0.2"/>
    <row r="73561" customFormat="1" x14ac:dyDescent="0.2"/>
    <row r="73562" customFormat="1" x14ac:dyDescent="0.2"/>
    <row r="73563" customFormat="1" x14ac:dyDescent="0.2"/>
    <row r="73564" customFormat="1" x14ac:dyDescent="0.2"/>
    <row r="73565" customFormat="1" x14ac:dyDescent="0.2"/>
    <row r="73566" customFormat="1" x14ac:dyDescent="0.2"/>
    <row r="73567" customFormat="1" x14ac:dyDescent="0.2"/>
    <row r="73568" customFormat="1" x14ac:dyDescent="0.2"/>
    <row r="73569" customFormat="1" x14ac:dyDescent="0.2"/>
    <row r="73570" customFormat="1" x14ac:dyDescent="0.2"/>
    <row r="73571" customFormat="1" x14ac:dyDescent="0.2"/>
    <row r="73572" customFormat="1" x14ac:dyDescent="0.2"/>
    <row r="73573" customFormat="1" x14ac:dyDescent="0.2"/>
    <row r="73574" customFormat="1" x14ac:dyDescent="0.2"/>
    <row r="73575" customFormat="1" x14ac:dyDescent="0.2"/>
    <row r="73576" customFormat="1" x14ac:dyDescent="0.2"/>
    <row r="73577" customFormat="1" x14ac:dyDescent="0.2"/>
    <row r="73578" customFormat="1" x14ac:dyDescent="0.2"/>
    <row r="73579" customFormat="1" x14ac:dyDescent="0.2"/>
    <row r="73580" customFormat="1" x14ac:dyDescent="0.2"/>
    <row r="73581" customFormat="1" x14ac:dyDescent="0.2"/>
    <row r="73582" customFormat="1" x14ac:dyDescent="0.2"/>
    <row r="73583" customFormat="1" x14ac:dyDescent="0.2"/>
    <row r="73584" customFormat="1" x14ac:dyDescent="0.2"/>
    <row r="73585" customFormat="1" x14ac:dyDescent="0.2"/>
    <row r="73586" customFormat="1" x14ac:dyDescent="0.2"/>
    <row r="73587" customFormat="1" x14ac:dyDescent="0.2"/>
    <row r="73588" customFormat="1" x14ac:dyDescent="0.2"/>
    <row r="73589" customFormat="1" x14ac:dyDescent="0.2"/>
    <row r="73590" customFormat="1" x14ac:dyDescent="0.2"/>
    <row r="73591" customFormat="1" x14ac:dyDescent="0.2"/>
    <row r="73592" customFormat="1" x14ac:dyDescent="0.2"/>
    <row r="73593" customFormat="1" x14ac:dyDescent="0.2"/>
    <row r="73594" customFormat="1" x14ac:dyDescent="0.2"/>
    <row r="73595" customFormat="1" x14ac:dyDescent="0.2"/>
    <row r="73596" customFormat="1" x14ac:dyDescent="0.2"/>
    <row r="73597" customFormat="1" x14ac:dyDescent="0.2"/>
    <row r="73598" customFormat="1" x14ac:dyDescent="0.2"/>
    <row r="73599" customFormat="1" x14ac:dyDescent="0.2"/>
    <row r="73600" customFormat="1" x14ac:dyDescent="0.2"/>
    <row r="73601" customFormat="1" x14ac:dyDescent="0.2"/>
    <row r="73602" customFormat="1" x14ac:dyDescent="0.2"/>
    <row r="73603" customFormat="1" x14ac:dyDescent="0.2"/>
    <row r="73604" customFormat="1" x14ac:dyDescent="0.2"/>
    <row r="73605" customFormat="1" x14ac:dyDescent="0.2"/>
    <row r="73606" customFormat="1" x14ac:dyDescent="0.2"/>
    <row r="73607" customFormat="1" x14ac:dyDescent="0.2"/>
    <row r="73608" customFormat="1" x14ac:dyDescent="0.2"/>
    <row r="73609" customFormat="1" x14ac:dyDescent="0.2"/>
    <row r="73610" customFormat="1" x14ac:dyDescent="0.2"/>
    <row r="73611" customFormat="1" x14ac:dyDescent="0.2"/>
    <row r="73612" customFormat="1" x14ac:dyDescent="0.2"/>
    <row r="73613" customFormat="1" x14ac:dyDescent="0.2"/>
    <row r="73614" customFormat="1" x14ac:dyDescent="0.2"/>
    <row r="73615" customFormat="1" x14ac:dyDescent="0.2"/>
    <row r="73616" customFormat="1" x14ac:dyDescent="0.2"/>
    <row r="73617" customFormat="1" x14ac:dyDescent="0.2"/>
    <row r="73618" customFormat="1" x14ac:dyDescent="0.2"/>
    <row r="73619" customFormat="1" x14ac:dyDescent="0.2"/>
    <row r="73620" customFormat="1" x14ac:dyDescent="0.2"/>
    <row r="73621" customFormat="1" x14ac:dyDescent="0.2"/>
    <row r="73622" customFormat="1" x14ac:dyDescent="0.2"/>
    <row r="73623" customFormat="1" x14ac:dyDescent="0.2"/>
    <row r="73624" customFormat="1" x14ac:dyDescent="0.2"/>
    <row r="73625" customFormat="1" x14ac:dyDescent="0.2"/>
    <row r="73626" customFormat="1" x14ac:dyDescent="0.2"/>
    <row r="73627" customFormat="1" x14ac:dyDescent="0.2"/>
    <row r="73628" customFormat="1" x14ac:dyDescent="0.2"/>
    <row r="73629" customFormat="1" x14ac:dyDescent="0.2"/>
    <row r="73630" customFormat="1" x14ac:dyDescent="0.2"/>
    <row r="73631" customFormat="1" x14ac:dyDescent="0.2"/>
    <row r="73632" customFormat="1" x14ac:dyDescent="0.2"/>
    <row r="73633" customFormat="1" x14ac:dyDescent="0.2"/>
    <row r="73634" customFormat="1" x14ac:dyDescent="0.2"/>
    <row r="73635" customFormat="1" x14ac:dyDescent="0.2"/>
    <row r="73636" customFormat="1" x14ac:dyDescent="0.2"/>
    <row r="73637" customFormat="1" x14ac:dyDescent="0.2"/>
    <row r="73638" customFormat="1" x14ac:dyDescent="0.2"/>
    <row r="73639" customFormat="1" x14ac:dyDescent="0.2"/>
    <row r="73640" customFormat="1" x14ac:dyDescent="0.2"/>
    <row r="73641" customFormat="1" x14ac:dyDescent="0.2"/>
    <row r="73642" customFormat="1" x14ac:dyDescent="0.2"/>
    <row r="73643" customFormat="1" x14ac:dyDescent="0.2"/>
    <row r="73644" customFormat="1" x14ac:dyDescent="0.2"/>
    <row r="73645" customFormat="1" x14ac:dyDescent="0.2"/>
    <row r="73646" customFormat="1" x14ac:dyDescent="0.2"/>
    <row r="73647" customFormat="1" x14ac:dyDescent="0.2"/>
    <row r="73648" customFormat="1" x14ac:dyDescent="0.2"/>
    <row r="73649" customFormat="1" x14ac:dyDescent="0.2"/>
    <row r="73650" customFormat="1" x14ac:dyDescent="0.2"/>
    <row r="73651" customFormat="1" x14ac:dyDescent="0.2"/>
    <row r="73652" customFormat="1" x14ac:dyDescent="0.2"/>
    <row r="73653" customFormat="1" x14ac:dyDescent="0.2"/>
    <row r="73654" customFormat="1" x14ac:dyDescent="0.2"/>
    <row r="73655" customFormat="1" x14ac:dyDescent="0.2"/>
    <row r="73656" customFormat="1" x14ac:dyDescent="0.2"/>
    <row r="73657" customFormat="1" x14ac:dyDescent="0.2"/>
    <row r="73658" customFormat="1" x14ac:dyDescent="0.2"/>
    <row r="73659" customFormat="1" x14ac:dyDescent="0.2"/>
    <row r="73660" customFormat="1" x14ac:dyDescent="0.2"/>
    <row r="73661" customFormat="1" x14ac:dyDescent="0.2"/>
    <row r="73662" customFormat="1" x14ac:dyDescent="0.2"/>
    <row r="73663" customFormat="1" x14ac:dyDescent="0.2"/>
    <row r="73664" customFormat="1" x14ac:dyDescent="0.2"/>
    <row r="73665" customFormat="1" x14ac:dyDescent="0.2"/>
    <row r="73666" customFormat="1" x14ac:dyDescent="0.2"/>
    <row r="73667" customFormat="1" x14ac:dyDescent="0.2"/>
    <row r="73668" customFormat="1" x14ac:dyDescent="0.2"/>
    <row r="73669" customFormat="1" x14ac:dyDescent="0.2"/>
    <row r="73670" customFormat="1" x14ac:dyDescent="0.2"/>
    <row r="73671" customFormat="1" x14ac:dyDescent="0.2"/>
    <row r="73672" customFormat="1" x14ac:dyDescent="0.2"/>
    <row r="73673" customFormat="1" x14ac:dyDescent="0.2"/>
    <row r="73674" customFormat="1" x14ac:dyDescent="0.2"/>
    <row r="73675" customFormat="1" x14ac:dyDescent="0.2"/>
    <row r="73676" customFormat="1" x14ac:dyDescent="0.2"/>
    <row r="73677" customFormat="1" x14ac:dyDescent="0.2"/>
    <row r="73678" customFormat="1" x14ac:dyDescent="0.2"/>
    <row r="73679" customFormat="1" x14ac:dyDescent="0.2"/>
    <row r="73680" customFormat="1" x14ac:dyDescent="0.2"/>
    <row r="73681" customFormat="1" x14ac:dyDescent="0.2"/>
    <row r="73682" customFormat="1" x14ac:dyDescent="0.2"/>
    <row r="73683" customFormat="1" x14ac:dyDescent="0.2"/>
    <row r="73684" customFormat="1" x14ac:dyDescent="0.2"/>
    <row r="73685" customFormat="1" x14ac:dyDescent="0.2"/>
    <row r="73686" customFormat="1" x14ac:dyDescent="0.2"/>
    <row r="73687" customFormat="1" x14ac:dyDescent="0.2"/>
    <row r="73688" customFormat="1" x14ac:dyDescent="0.2"/>
    <row r="73689" customFormat="1" x14ac:dyDescent="0.2"/>
    <row r="73690" customFormat="1" x14ac:dyDescent="0.2"/>
    <row r="73691" customFormat="1" x14ac:dyDescent="0.2"/>
    <row r="73692" customFormat="1" x14ac:dyDescent="0.2"/>
    <row r="73693" customFormat="1" x14ac:dyDescent="0.2"/>
    <row r="73694" customFormat="1" x14ac:dyDescent="0.2"/>
    <row r="73695" customFormat="1" x14ac:dyDescent="0.2"/>
    <row r="73696" customFormat="1" x14ac:dyDescent="0.2"/>
    <row r="73697" customFormat="1" x14ac:dyDescent="0.2"/>
    <row r="73698" customFormat="1" x14ac:dyDescent="0.2"/>
    <row r="73699" customFormat="1" x14ac:dyDescent="0.2"/>
    <row r="73700" customFormat="1" x14ac:dyDescent="0.2"/>
    <row r="73701" customFormat="1" x14ac:dyDescent="0.2"/>
    <row r="73702" customFormat="1" x14ac:dyDescent="0.2"/>
    <row r="73703" customFormat="1" x14ac:dyDescent="0.2"/>
    <row r="73704" customFormat="1" x14ac:dyDescent="0.2"/>
    <row r="73705" customFormat="1" x14ac:dyDescent="0.2"/>
    <row r="73706" customFormat="1" x14ac:dyDescent="0.2"/>
    <row r="73707" customFormat="1" x14ac:dyDescent="0.2"/>
    <row r="73708" customFormat="1" x14ac:dyDescent="0.2"/>
    <row r="73709" customFormat="1" x14ac:dyDescent="0.2"/>
    <row r="73710" customFormat="1" x14ac:dyDescent="0.2"/>
    <row r="73711" customFormat="1" x14ac:dyDescent="0.2"/>
    <row r="73712" customFormat="1" x14ac:dyDescent="0.2"/>
    <row r="73713" customFormat="1" x14ac:dyDescent="0.2"/>
    <row r="73714" customFormat="1" x14ac:dyDescent="0.2"/>
    <row r="73715" customFormat="1" x14ac:dyDescent="0.2"/>
    <row r="73716" customFormat="1" x14ac:dyDescent="0.2"/>
    <row r="73717" customFormat="1" x14ac:dyDescent="0.2"/>
    <row r="73718" customFormat="1" x14ac:dyDescent="0.2"/>
    <row r="73719" customFormat="1" x14ac:dyDescent="0.2"/>
    <row r="73720" customFormat="1" x14ac:dyDescent="0.2"/>
    <row r="73721" customFormat="1" x14ac:dyDescent="0.2"/>
    <row r="73722" customFormat="1" x14ac:dyDescent="0.2"/>
    <row r="73723" customFormat="1" x14ac:dyDescent="0.2"/>
    <row r="73724" customFormat="1" x14ac:dyDescent="0.2"/>
    <row r="73725" customFormat="1" x14ac:dyDescent="0.2"/>
    <row r="73726" customFormat="1" x14ac:dyDescent="0.2"/>
    <row r="73727" customFormat="1" x14ac:dyDescent="0.2"/>
    <row r="73728" customFormat="1" x14ac:dyDescent="0.2"/>
    <row r="73729" customFormat="1" x14ac:dyDescent="0.2"/>
    <row r="73730" customFormat="1" x14ac:dyDescent="0.2"/>
    <row r="73731" customFormat="1" x14ac:dyDescent="0.2"/>
    <row r="73732" customFormat="1" x14ac:dyDescent="0.2"/>
    <row r="73733" customFormat="1" x14ac:dyDescent="0.2"/>
    <row r="73734" customFormat="1" x14ac:dyDescent="0.2"/>
    <row r="73735" customFormat="1" x14ac:dyDescent="0.2"/>
    <row r="73736" customFormat="1" x14ac:dyDescent="0.2"/>
    <row r="73737" customFormat="1" x14ac:dyDescent="0.2"/>
    <row r="73738" customFormat="1" x14ac:dyDescent="0.2"/>
    <row r="73739" customFormat="1" x14ac:dyDescent="0.2"/>
    <row r="73740" customFormat="1" x14ac:dyDescent="0.2"/>
    <row r="73741" customFormat="1" x14ac:dyDescent="0.2"/>
    <row r="73742" customFormat="1" x14ac:dyDescent="0.2"/>
    <row r="73743" customFormat="1" x14ac:dyDescent="0.2"/>
    <row r="73744" customFormat="1" x14ac:dyDescent="0.2"/>
    <row r="73745" customFormat="1" x14ac:dyDescent="0.2"/>
    <row r="73746" customFormat="1" x14ac:dyDescent="0.2"/>
    <row r="73747" customFormat="1" x14ac:dyDescent="0.2"/>
    <row r="73748" customFormat="1" x14ac:dyDescent="0.2"/>
    <row r="73749" customFormat="1" x14ac:dyDescent="0.2"/>
    <row r="73750" customFormat="1" x14ac:dyDescent="0.2"/>
    <row r="73751" customFormat="1" x14ac:dyDescent="0.2"/>
    <row r="73752" customFormat="1" x14ac:dyDescent="0.2"/>
    <row r="73753" customFormat="1" x14ac:dyDescent="0.2"/>
    <row r="73754" customFormat="1" x14ac:dyDescent="0.2"/>
    <row r="73755" customFormat="1" x14ac:dyDescent="0.2"/>
    <row r="73756" customFormat="1" x14ac:dyDescent="0.2"/>
    <row r="73757" customFormat="1" x14ac:dyDescent="0.2"/>
    <row r="73758" customFormat="1" x14ac:dyDescent="0.2"/>
    <row r="73759" customFormat="1" x14ac:dyDescent="0.2"/>
    <row r="73760" customFormat="1" x14ac:dyDescent="0.2"/>
    <row r="73761" customFormat="1" x14ac:dyDescent="0.2"/>
    <row r="73762" customFormat="1" x14ac:dyDescent="0.2"/>
    <row r="73763" customFormat="1" x14ac:dyDescent="0.2"/>
    <row r="73764" customFormat="1" x14ac:dyDescent="0.2"/>
    <row r="73765" customFormat="1" x14ac:dyDescent="0.2"/>
    <row r="73766" customFormat="1" x14ac:dyDescent="0.2"/>
    <row r="73767" customFormat="1" x14ac:dyDescent="0.2"/>
    <row r="73768" customFormat="1" x14ac:dyDescent="0.2"/>
    <row r="73769" customFormat="1" x14ac:dyDescent="0.2"/>
    <row r="73770" customFormat="1" x14ac:dyDescent="0.2"/>
    <row r="73771" customFormat="1" x14ac:dyDescent="0.2"/>
    <row r="73772" customFormat="1" x14ac:dyDescent="0.2"/>
    <row r="73773" customFormat="1" x14ac:dyDescent="0.2"/>
    <row r="73774" customFormat="1" x14ac:dyDescent="0.2"/>
    <row r="73775" customFormat="1" x14ac:dyDescent="0.2"/>
    <row r="73776" customFormat="1" x14ac:dyDescent="0.2"/>
    <row r="73777" customFormat="1" x14ac:dyDescent="0.2"/>
    <row r="73778" customFormat="1" x14ac:dyDescent="0.2"/>
    <row r="73779" customFormat="1" x14ac:dyDescent="0.2"/>
    <row r="73780" customFormat="1" x14ac:dyDescent="0.2"/>
    <row r="73781" customFormat="1" x14ac:dyDescent="0.2"/>
    <row r="73782" customFormat="1" x14ac:dyDescent="0.2"/>
    <row r="73783" customFormat="1" x14ac:dyDescent="0.2"/>
    <row r="73784" customFormat="1" x14ac:dyDescent="0.2"/>
    <row r="73785" customFormat="1" x14ac:dyDescent="0.2"/>
    <row r="73786" customFormat="1" x14ac:dyDescent="0.2"/>
    <row r="73787" customFormat="1" x14ac:dyDescent="0.2"/>
    <row r="73788" customFormat="1" x14ac:dyDescent="0.2"/>
    <row r="73789" customFormat="1" x14ac:dyDescent="0.2"/>
    <row r="73790" customFormat="1" x14ac:dyDescent="0.2"/>
    <row r="73791" customFormat="1" x14ac:dyDescent="0.2"/>
    <row r="73792" customFormat="1" x14ac:dyDescent="0.2"/>
    <row r="73793" customFormat="1" x14ac:dyDescent="0.2"/>
    <row r="73794" customFormat="1" x14ac:dyDescent="0.2"/>
    <row r="73795" customFormat="1" x14ac:dyDescent="0.2"/>
    <row r="73796" customFormat="1" x14ac:dyDescent="0.2"/>
    <row r="73797" customFormat="1" x14ac:dyDescent="0.2"/>
    <row r="73798" customFormat="1" x14ac:dyDescent="0.2"/>
    <row r="73799" customFormat="1" x14ac:dyDescent="0.2"/>
    <row r="73800" customFormat="1" x14ac:dyDescent="0.2"/>
    <row r="73801" customFormat="1" x14ac:dyDescent="0.2"/>
    <row r="73802" customFormat="1" x14ac:dyDescent="0.2"/>
    <row r="73803" customFormat="1" x14ac:dyDescent="0.2"/>
    <row r="73804" customFormat="1" x14ac:dyDescent="0.2"/>
    <row r="73805" customFormat="1" x14ac:dyDescent="0.2"/>
    <row r="73806" customFormat="1" x14ac:dyDescent="0.2"/>
    <row r="73807" customFormat="1" x14ac:dyDescent="0.2"/>
    <row r="73808" customFormat="1" x14ac:dyDescent="0.2"/>
    <row r="73809" customFormat="1" x14ac:dyDescent="0.2"/>
    <row r="73810" customFormat="1" x14ac:dyDescent="0.2"/>
    <row r="73811" customFormat="1" x14ac:dyDescent="0.2"/>
    <row r="73812" customFormat="1" x14ac:dyDescent="0.2"/>
    <row r="73813" customFormat="1" x14ac:dyDescent="0.2"/>
    <row r="73814" customFormat="1" x14ac:dyDescent="0.2"/>
    <row r="73815" customFormat="1" x14ac:dyDescent="0.2"/>
    <row r="73816" customFormat="1" x14ac:dyDescent="0.2"/>
    <row r="73817" customFormat="1" x14ac:dyDescent="0.2"/>
    <row r="73818" customFormat="1" x14ac:dyDescent="0.2"/>
    <row r="73819" customFormat="1" x14ac:dyDescent="0.2"/>
    <row r="73820" customFormat="1" x14ac:dyDescent="0.2"/>
    <row r="73821" customFormat="1" x14ac:dyDescent="0.2"/>
    <row r="73822" customFormat="1" x14ac:dyDescent="0.2"/>
    <row r="73823" customFormat="1" x14ac:dyDescent="0.2"/>
    <row r="73824" customFormat="1" x14ac:dyDescent="0.2"/>
    <row r="73825" customFormat="1" x14ac:dyDescent="0.2"/>
    <row r="73826" customFormat="1" x14ac:dyDescent="0.2"/>
    <row r="73827" customFormat="1" x14ac:dyDescent="0.2"/>
    <row r="73828" customFormat="1" x14ac:dyDescent="0.2"/>
    <row r="73829" customFormat="1" x14ac:dyDescent="0.2"/>
    <row r="73830" customFormat="1" x14ac:dyDescent="0.2"/>
    <row r="73831" customFormat="1" x14ac:dyDescent="0.2"/>
    <row r="73832" customFormat="1" x14ac:dyDescent="0.2"/>
    <row r="73833" customFormat="1" x14ac:dyDescent="0.2"/>
    <row r="73834" customFormat="1" x14ac:dyDescent="0.2"/>
    <row r="73835" customFormat="1" x14ac:dyDescent="0.2"/>
    <row r="73836" customFormat="1" x14ac:dyDescent="0.2"/>
    <row r="73837" customFormat="1" x14ac:dyDescent="0.2"/>
    <row r="73838" customFormat="1" x14ac:dyDescent="0.2"/>
    <row r="73839" customFormat="1" x14ac:dyDescent="0.2"/>
    <row r="73840" customFormat="1" x14ac:dyDescent="0.2"/>
    <row r="73841" customFormat="1" x14ac:dyDescent="0.2"/>
    <row r="73842" customFormat="1" x14ac:dyDescent="0.2"/>
    <row r="73843" customFormat="1" x14ac:dyDescent="0.2"/>
    <row r="73844" customFormat="1" x14ac:dyDescent="0.2"/>
    <row r="73845" customFormat="1" x14ac:dyDescent="0.2"/>
    <row r="73846" customFormat="1" x14ac:dyDescent="0.2"/>
    <row r="73847" customFormat="1" x14ac:dyDescent="0.2"/>
    <row r="73848" customFormat="1" x14ac:dyDescent="0.2"/>
    <row r="73849" customFormat="1" x14ac:dyDescent="0.2"/>
    <row r="73850" customFormat="1" x14ac:dyDescent="0.2"/>
    <row r="73851" customFormat="1" x14ac:dyDescent="0.2"/>
    <row r="73852" customFormat="1" x14ac:dyDescent="0.2"/>
    <row r="73853" customFormat="1" x14ac:dyDescent="0.2"/>
    <row r="73854" customFormat="1" x14ac:dyDescent="0.2"/>
    <row r="73855" customFormat="1" x14ac:dyDescent="0.2"/>
    <row r="73856" customFormat="1" x14ac:dyDescent="0.2"/>
    <row r="73857" customFormat="1" x14ac:dyDescent="0.2"/>
    <row r="73858" customFormat="1" x14ac:dyDescent="0.2"/>
    <row r="73859" customFormat="1" x14ac:dyDescent="0.2"/>
    <row r="73860" customFormat="1" x14ac:dyDescent="0.2"/>
    <row r="73861" customFormat="1" x14ac:dyDescent="0.2"/>
    <row r="73862" customFormat="1" x14ac:dyDescent="0.2"/>
    <row r="73863" customFormat="1" x14ac:dyDescent="0.2"/>
    <row r="73864" customFormat="1" x14ac:dyDescent="0.2"/>
    <row r="73865" customFormat="1" x14ac:dyDescent="0.2"/>
    <row r="73866" customFormat="1" x14ac:dyDescent="0.2"/>
    <row r="73867" customFormat="1" x14ac:dyDescent="0.2"/>
    <row r="73868" customFormat="1" x14ac:dyDescent="0.2"/>
    <row r="73869" customFormat="1" x14ac:dyDescent="0.2"/>
    <row r="73870" customFormat="1" x14ac:dyDescent="0.2"/>
    <row r="73871" customFormat="1" x14ac:dyDescent="0.2"/>
    <row r="73872" customFormat="1" x14ac:dyDescent="0.2"/>
    <row r="73873" customFormat="1" x14ac:dyDescent="0.2"/>
    <row r="73874" customFormat="1" x14ac:dyDescent="0.2"/>
    <row r="73875" customFormat="1" x14ac:dyDescent="0.2"/>
    <row r="73876" customFormat="1" x14ac:dyDescent="0.2"/>
    <row r="73877" customFormat="1" x14ac:dyDescent="0.2"/>
    <row r="73878" customFormat="1" x14ac:dyDescent="0.2"/>
    <row r="73879" customFormat="1" x14ac:dyDescent="0.2"/>
    <row r="73880" customFormat="1" x14ac:dyDescent="0.2"/>
    <row r="73881" customFormat="1" x14ac:dyDescent="0.2"/>
    <row r="73882" customFormat="1" x14ac:dyDescent="0.2"/>
    <row r="73883" customFormat="1" x14ac:dyDescent="0.2"/>
    <row r="73884" customFormat="1" x14ac:dyDescent="0.2"/>
    <row r="73885" customFormat="1" x14ac:dyDescent="0.2"/>
    <row r="73886" customFormat="1" x14ac:dyDescent="0.2"/>
    <row r="73887" customFormat="1" x14ac:dyDescent="0.2"/>
    <row r="73888" customFormat="1" x14ac:dyDescent="0.2"/>
    <row r="73889" customFormat="1" x14ac:dyDescent="0.2"/>
    <row r="73890" customFormat="1" x14ac:dyDescent="0.2"/>
    <row r="73891" customFormat="1" x14ac:dyDescent="0.2"/>
    <row r="73892" customFormat="1" x14ac:dyDescent="0.2"/>
    <row r="73893" customFormat="1" x14ac:dyDescent="0.2"/>
    <row r="73894" customFormat="1" x14ac:dyDescent="0.2"/>
    <row r="73895" customFormat="1" x14ac:dyDescent="0.2"/>
    <row r="73896" customFormat="1" x14ac:dyDescent="0.2"/>
    <row r="73897" customFormat="1" x14ac:dyDescent="0.2"/>
    <row r="73898" customFormat="1" x14ac:dyDescent="0.2"/>
    <row r="73899" customFormat="1" x14ac:dyDescent="0.2"/>
    <row r="73900" customFormat="1" x14ac:dyDescent="0.2"/>
    <row r="73901" customFormat="1" x14ac:dyDescent="0.2"/>
    <row r="73902" customFormat="1" x14ac:dyDescent="0.2"/>
    <row r="73903" customFormat="1" x14ac:dyDescent="0.2"/>
    <row r="73904" customFormat="1" x14ac:dyDescent="0.2"/>
    <row r="73905" customFormat="1" x14ac:dyDescent="0.2"/>
    <row r="73906" customFormat="1" x14ac:dyDescent="0.2"/>
    <row r="73907" customFormat="1" x14ac:dyDescent="0.2"/>
    <row r="73908" customFormat="1" x14ac:dyDescent="0.2"/>
    <row r="73909" customFormat="1" x14ac:dyDescent="0.2"/>
    <row r="73910" customFormat="1" x14ac:dyDescent="0.2"/>
    <row r="73911" customFormat="1" x14ac:dyDescent="0.2"/>
    <row r="73912" customFormat="1" x14ac:dyDescent="0.2"/>
    <row r="73913" customFormat="1" x14ac:dyDescent="0.2"/>
    <row r="73914" customFormat="1" x14ac:dyDescent="0.2"/>
    <row r="73915" customFormat="1" x14ac:dyDescent="0.2"/>
    <row r="73916" customFormat="1" x14ac:dyDescent="0.2"/>
    <row r="73917" customFormat="1" x14ac:dyDescent="0.2"/>
    <row r="73918" customFormat="1" x14ac:dyDescent="0.2"/>
    <row r="73919" customFormat="1" x14ac:dyDescent="0.2"/>
    <row r="73920" customFormat="1" x14ac:dyDescent="0.2"/>
    <row r="73921" customFormat="1" x14ac:dyDescent="0.2"/>
    <row r="73922" customFormat="1" x14ac:dyDescent="0.2"/>
    <row r="73923" customFormat="1" x14ac:dyDescent="0.2"/>
    <row r="73924" customFormat="1" x14ac:dyDescent="0.2"/>
    <row r="73925" customFormat="1" x14ac:dyDescent="0.2"/>
    <row r="73926" customFormat="1" x14ac:dyDescent="0.2"/>
    <row r="73927" customFormat="1" x14ac:dyDescent="0.2"/>
    <row r="73928" customFormat="1" x14ac:dyDescent="0.2"/>
    <row r="73929" customFormat="1" x14ac:dyDescent="0.2"/>
    <row r="73930" customFormat="1" x14ac:dyDescent="0.2"/>
    <row r="73931" customFormat="1" x14ac:dyDescent="0.2"/>
    <row r="73932" customFormat="1" x14ac:dyDescent="0.2"/>
    <row r="73933" customFormat="1" x14ac:dyDescent="0.2"/>
    <row r="73934" customFormat="1" x14ac:dyDescent="0.2"/>
    <row r="73935" customFormat="1" x14ac:dyDescent="0.2"/>
    <row r="73936" customFormat="1" x14ac:dyDescent="0.2"/>
    <row r="73937" customFormat="1" x14ac:dyDescent="0.2"/>
    <row r="73938" customFormat="1" x14ac:dyDescent="0.2"/>
    <row r="73939" customFormat="1" x14ac:dyDescent="0.2"/>
    <row r="73940" customFormat="1" x14ac:dyDescent="0.2"/>
    <row r="73941" customFormat="1" x14ac:dyDescent="0.2"/>
    <row r="73942" customFormat="1" x14ac:dyDescent="0.2"/>
    <row r="73943" customFormat="1" x14ac:dyDescent="0.2"/>
    <row r="73944" customFormat="1" x14ac:dyDescent="0.2"/>
    <row r="73945" customFormat="1" x14ac:dyDescent="0.2"/>
    <row r="73946" customFormat="1" x14ac:dyDescent="0.2"/>
    <row r="73947" customFormat="1" x14ac:dyDescent="0.2"/>
    <row r="73948" customFormat="1" x14ac:dyDescent="0.2"/>
    <row r="73949" customFormat="1" x14ac:dyDescent="0.2"/>
    <row r="73950" customFormat="1" x14ac:dyDescent="0.2"/>
    <row r="73951" customFormat="1" x14ac:dyDescent="0.2"/>
    <row r="73952" customFormat="1" x14ac:dyDescent="0.2"/>
    <row r="73953" customFormat="1" x14ac:dyDescent="0.2"/>
    <row r="73954" customFormat="1" x14ac:dyDescent="0.2"/>
    <row r="73955" customFormat="1" x14ac:dyDescent="0.2"/>
    <row r="73956" customFormat="1" x14ac:dyDescent="0.2"/>
    <row r="73957" customFormat="1" x14ac:dyDescent="0.2"/>
    <row r="73958" customFormat="1" x14ac:dyDescent="0.2"/>
    <row r="73959" customFormat="1" x14ac:dyDescent="0.2"/>
    <row r="73960" customFormat="1" x14ac:dyDescent="0.2"/>
    <row r="73961" customFormat="1" x14ac:dyDescent="0.2"/>
    <row r="73962" customFormat="1" x14ac:dyDescent="0.2"/>
    <row r="73963" customFormat="1" x14ac:dyDescent="0.2"/>
    <row r="73964" customFormat="1" x14ac:dyDescent="0.2"/>
    <row r="73965" customFormat="1" x14ac:dyDescent="0.2"/>
    <row r="73966" customFormat="1" x14ac:dyDescent="0.2"/>
    <row r="73967" customFormat="1" x14ac:dyDescent="0.2"/>
    <row r="73968" customFormat="1" x14ac:dyDescent="0.2"/>
    <row r="73969" customFormat="1" x14ac:dyDescent="0.2"/>
    <row r="73970" customFormat="1" x14ac:dyDescent="0.2"/>
    <row r="73971" customFormat="1" x14ac:dyDescent="0.2"/>
    <row r="73972" customFormat="1" x14ac:dyDescent="0.2"/>
    <row r="73973" customFormat="1" x14ac:dyDescent="0.2"/>
    <row r="73974" customFormat="1" x14ac:dyDescent="0.2"/>
    <row r="73975" customFormat="1" x14ac:dyDescent="0.2"/>
    <row r="73976" customFormat="1" x14ac:dyDescent="0.2"/>
    <row r="73977" customFormat="1" x14ac:dyDescent="0.2"/>
    <row r="73978" customFormat="1" x14ac:dyDescent="0.2"/>
    <row r="73979" customFormat="1" x14ac:dyDescent="0.2"/>
    <row r="73980" customFormat="1" x14ac:dyDescent="0.2"/>
    <row r="73981" customFormat="1" x14ac:dyDescent="0.2"/>
    <row r="73982" customFormat="1" x14ac:dyDescent="0.2"/>
    <row r="73983" customFormat="1" x14ac:dyDescent="0.2"/>
    <row r="73984" customFormat="1" x14ac:dyDescent="0.2"/>
    <row r="73985" customFormat="1" x14ac:dyDescent="0.2"/>
    <row r="73986" customFormat="1" x14ac:dyDescent="0.2"/>
    <row r="73987" customFormat="1" x14ac:dyDescent="0.2"/>
    <row r="73988" customFormat="1" x14ac:dyDescent="0.2"/>
    <row r="73989" customFormat="1" x14ac:dyDescent="0.2"/>
    <row r="73990" customFormat="1" x14ac:dyDescent="0.2"/>
    <row r="73991" customFormat="1" x14ac:dyDescent="0.2"/>
    <row r="73992" customFormat="1" x14ac:dyDescent="0.2"/>
    <row r="73993" customFormat="1" x14ac:dyDescent="0.2"/>
    <row r="73994" customFormat="1" x14ac:dyDescent="0.2"/>
    <row r="73995" customFormat="1" x14ac:dyDescent="0.2"/>
    <row r="73996" customFormat="1" x14ac:dyDescent="0.2"/>
    <row r="73997" customFormat="1" x14ac:dyDescent="0.2"/>
    <row r="73998" customFormat="1" x14ac:dyDescent="0.2"/>
    <row r="73999" customFormat="1" x14ac:dyDescent="0.2"/>
    <row r="74000" customFormat="1" x14ac:dyDescent="0.2"/>
    <row r="74001" customFormat="1" x14ac:dyDescent="0.2"/>
    <row r="74002" customFormat="1" x14ac:dyDescent="0.2"/>
    <row r="74003" customFormat="1" x14ac:dyDescent="0.2"/>
    <row r="74004" customFormat="1" x14ac:dyDescent="0.2"/>
    <row r="74005" customFormat="1" x14ac:dyDescent="0.2"/>
    <row r="74006" customFormat="1" x14ac:dyDescent="0.2"/>
    <row r="74007" customFormat="1" x14ac:dyDescent="0.2"/>
    <row r="74008" customFormat="1" x14ac:dyDescent="0.2"/>
    <row r="74009" customFormat="1" x14ac:dyDescent="0.2"/>
    <row r="74010" customFormat="1" x14ac:dyDescent="0.2"/>
    <row r="74011" customFormat="1" x14ac:dyDescent="0.2"/>
    <row r="74012" customFormat="1" x14ac:dyDescent="0.2"/>
    <row r="74013" customFormat="1" x14ac:dyDescent="0.2"/>
    <row r="74014" customFormat="1" x14ac:dyDescent="0.2"/>
    <row r="74015" customFormat="1" x14ac:dyDescent="0.2"/>
    <row r="74016" customFormat="1" x14ac:dyDescent="0.2"/>
    <row r="74017" customFormat="1" x14ac:dyDescent="0.2"/>
    <row r="74018" customFormat="1" x14ac:dyDescent="0.2"/>
    <row r="74019" customFormat="1" x14ac:dyDescent="0.2"/>
    <row r="74020" customFormat="1" x14ac:dyDescent="0.2"/>
    <row r="74021" customFormat="1" x14ac:dyDescent="0.2"/>
    <row r="74022" customFormat="1" x14ac:dyDescent="0.2"/>
    <row r="74023" customFormat="1" x14ac:dyDescent="0.2"/>
    <row r="74024" customFormat="1" x14ac:dyDescent="0.2"/>
    <row r="74025" customFormat="1" x14ac:dyDescent="0.2"/>
    <row r="74026" customFormat="1" x14ac:dyDescent="0.2"/>
    <row r="74027" customFormat="1" x14ac:dyDescent="0.2"/>
    <row r="74028" customFormat="1" x14ac:dyDescent="0.2"/>
    <row r="74029" customFormat="1" x14ac:dyDescent="0.2"/>
    <row r="74030" customFormat="1" x14ac:dyDescent="0.2"/>
    <row r="74031" customFormat="1" x14ac:dyDescent="0.2"/>
    <row r="74032" customFormat="1" x14ac:dyDescent="0.2"/>
    <row r="74033" customFormat="1" x14ac:dyDescent="0.2"/>
    <row r="74034" customFormat="1" x14ac:dyDescent="0.2"/>
    <row r="74035" customFormat="1" x14ac:dyDescent="0.2"/>
    <row r="74036" customFormat="1" x14ac:dyDescent="0.2"/>
    <row r="74037" customFormat="1" x14ac:dyDescent="0.2"/>
    <row r="74038" customFormat="1" x14ac:dyDescent="0.2"/>
    <row r="74039" customFormat="1" x14ac:dyDescent="0.2"/>
    <row r="74040" customFormat="1" x14ac:dyDescent="0.2"/>
    <row r="74041" customFormat="1" x14ac:dyDescent="0.2"/>
    <row r="74042" customFormat="1" x14ac:dyDescent="0.2"/>
    <row r="74043" customFormat="1" x14ac:dyDescent="0.2"/>
    <row r="74044" customFormat="1" x14ac:dyDescent="0.2"/>
    <row r="74045" customFormat="1" x14ac:dyDescent="0.2"/>
    <row r="74046" customFormat="1" x14ac:dyDescent="0.2"/>
    <row r="74047" customFormat="1" x14ac:dyDescent="0.2"/>
    <row r="74048" customFormat="1" x14ac:dyDescent="0.2"/>
    <row r="74049" customFormat="1" x14ac:dyDescent="0.2"/>
    <row r="74050" customFormat="1" x14ac:dyDescent="0.2"/>
    <row r="74051" customFormat="1" x14ac:dyDescent="0.2"/>
    <row r="74052" customFormat="1" x14ac:dyDescent="0.2"/>
    <row r="74053" customFormat="1" x14ac:dyDescent="0.2"/>
    <row r="74054" customFormat="1" x14ac:dyDescent="0.2"/>
    <row r="74055" customFormat="1" x14ac:dyDescent="0.2"/>
    <row r="74056" customFormat="1" x14ac:dyDescent="0.2"/>
    <row r="74057" customFormat="1" x14ac:dyDescent="0.2"/>
    <row r="74058" customFormat="1" x14ac:dyDescent="0.2"/>
    <row r="74059" customFormat="1" x14ac:dyDescent="0.2"/>
    <row r="74060" customFormat="1" x14ac:dyDescent="0.2"/>
    <row r="74061" customFormat="1" x14ac:dyDescent="0.2"/>
    <row r="74062" customFormat="1" x14ac:dyDescent="0.2"/>
    <row r="74063" customFormat="1" x14ac:dyDescent="0.2"/>
    <row r="74064" customFormat="1" x14ac:dyDescent="0.2"/>
    <row r="74065" customFormat="1" x14ac:dyDescent="0.2"/>
    <row r="74066" customFormat="1" x14ac:dyDescent="0.2"/>
    <row r="74067" customFormat="1" x14ac:dyDescent="0.2"/>
    <row r="74068" customFormat="1" x14ac:dyDescent="0.2"/>
    <row r="74069" customFormat="1" x14ac:dyDescent="0.2"/>
    <row r="74070" customFormat="1" x14ac:dyDescent="0.2"/>
    <row r="74071" customFormat="1" x14ac:dyDescent="0.2"/>
    <row r="74072" customFormat="1" x14ac:dyDescent="0.2"/>
    <row r="74073" customFormat="1" x14ac:dyDescent="0.2"/>
    <row r="74074" customFormat="1" x14ac:dyDescent="0.2"/>
    <row r="74075" customFormat="1" x14ac:dyDescent="0.2"/>
    <row r="74076" customFormat="1" x14ac:dyDescent="0.2"/>
    <row r="74077" customFormat="1" x14ac:dyDescent="0.2"/>
    <row r="74078" customFormat="1" x14ac:dyDescent="0.2"/>
    <row r="74079" customFormat="1" x14ac:dyDescent="0.2"/>
    <row r="74080" customFormat="1" x14ac:dyDescent="0.2"/>
    <row r="74081" customFormat="1" x14ac:dyDescent="0.2"/>
    <row r="74082" customFormat="1" x14ac:dyDescent="0.2"/>
    <row r="74083" customFormat="1" x14ac:dyDescent="0.2"/>
    <row r="74084" customFormat="1" x14ac:dyDescent="0.2"/>
    <row r="74085" customFormat="1" x14ac:dyDescent="0.2"/>
    <row r="74086" customFormat="1" x14ac:dyDescent="0.2"/>
    <row r="74087" customFormat="1" x14ac:dyDescent="0.2"/>
    <row r="74088" customFormat="1" x14ac:dyDescent="0.2"/>
    <row r="74089" customFormat="1" x14ac:dyDescent="0.2"/>
    <row r="74090" customFormat="1" x14ac:dyDescent="0.2"/>
    <row r="74091" customFormat="1" x14ac:dyDescent="0.2"/>
    <row r="74092" customFormat="1" x14ac:dyDescent="0.2"/>
    <row r="74093" customFormat="1" x14ac:dyDescent="0.2"/>
    <row r="74094" customFormat="1" x14ac:dyDescent="0.2"/>
    <row r="74095" customFormat="1" x14ac:dyDescent="0.2"/>
    <row r="74096" customFormat="1" x14ac:dyDescent="0.2"/>
    <row r="74097" customFormat="1" x14ac:dyDescent="0.2"/>
    <row r="74098" customFormat="1" x14ac:dyDescent="0.2"/>
    <row r="74099" customFormat="1" x14ac:dyDescent="0.2"/>
    <row r="74100" customFormat="1" x14ac:dyDescent="0.2"/>
    <row r="74101" customFormat="1" x14ac:dyDescent="0.2"/>
    <row r="74102" customFormat="1" x14ac:dyDescent="0.2"/>
    <row r="74103" customFormat="1" x14ac:dyDescent="0.2"/>
    <row r="74104" customFormat="1" x14ac:dyDescent="0.2"/>
    <row r="74105" customFormat="1" x14ac:dyDescent="0.2"/>
    <row r="74106" customFormat="1" x14ac:dyDescent="0.2"/>
    <row r="74107" customFormat="1" x14ac:dyDescent="0.2"/>
    <row r="74108" customFormat="1" x14ac:dyDescent="0.2"/>
    <row r="74109" customFormat="1" x14ac:dyDescent="0.2"/>
    <row r="74110" customFormat="1" x14ac:dyDescent="0.2"/>
    <row r="74111" customFormat="1" x14ac:dyDescent="0.2"/>
    <row r="74112" customFormat="1" x14ac:dyDescent="0.2"/>
    <row r="74113" customFormat="1" x14ac:dyDescent="0.2"/>
    <row r="74114" customFormat="1" x14ac:dyDescent="0.2"/>
    <row r="74115" customFormat="1" x14ac:dyDescent="0.2"/>
    <row r="74116" customFormat="1" x14ac:dyDescent="0.2"/>
    <row r="74117" customFormat="1" x14ac:dyDescent="0.2"/>
    <row r="74118" customFormat="1" x14ac:dyDescent="0.2"/>
    <row r="74119" customFormat="1" x14ac:dyDescent="0.2"/>
    <row r="74120" customFormat="1" x14ac:dyDescent="0.2"/>
    <row r="74121" customFormat="1" x14ac:dyDescent="0.2"/>
    <row r="74122" customFormat="1" x14ac:dyDescent="0.2"/>
    <row r="74123" customFormat="1" x14ac:dyDescent="0.2"/>
    <row r="74124" customFormat="1" x14ac:dyDescent="0.2"/>
    <row r="74125" customFormat="1" x14ac:dyDescent="0.2"/>
    <row r="74126" customFormat="1" x14ac:dyDescent="0.2"/>
    <row r="74127" customFormat="1" x14ac:dyDescent="0.2"/>
    <row r="74128" customFormat="1" x14ac:dyDescent="0.2"/>
    <row r="74129" customFormat="1" x14ac:dyDescent="0.2"/>
    <row r="74130" customFormat="1" x14ac:dyDescent="0.2"/>
    <row r="74131" customFormat="1" x14ac:dyDescent="0.2"/>
    <row r="74132" customFormat="1" x14ac:dyDescent="0.2"/>
    <row r="74133" customFormat="1" x14ac:dyDescent="0.2"/>
    <row r="74134" customFormat="1" x14ac:dyDescent="0.2"/>
    <row r="74135" customFormat="1" x14ac:dyDescent="0.2"/>
    <row r="74136" customFormat="1" x14ac:dyDescent="0.2"/>
    <row r="74137" customFormat="1" x14ac:dyDescent="0.2"/>
    <row r="74138" customFormat="1" x14ac:dyDescent="0.2"/>
    <row r="74139" customFormat="1" x14ac:dyDescent="0.2"/>
    <row r="74140" customFormat="1" x14ac:dyDescent="0.2"/>
    <row r="74141" customFormat="1" x14ac:dyDescent="0.2"/>
    <row r="74142" customFormat="1" x14ac:dyDescent="0.2"/>
    <row r="74143" customFormat="1" x14ac:dyDescent="0.2"/>
    <row r="74144" customFormat="1" x14ac:dyDescent="0.2"/>
    <row r="74145" customFormat="1" x14ac:dyDescent="0.2"/>
    <row r="74146" customFormat="1" x14ac:dyDescent="0.2"/>
    <row r="74147" customFormat="1" x14ac:dyDescent="0.2"/>
    <row r="74148" customFormat="1" x14ac:dyDescent="0.2"/>
    <row r="74149" customFormat="1" x14ac:dyDescent="0.2"/>
    <row r="74150" customFormat="1" x14ac:dyDescent="0.2"/>
    <row r="74151" customFormat="1" x14ac:dyDescent="0.2"/>
    <row r="74152" customFormat="1" x14ac:dyDescent="0.2"/>
    <row r="74153" customFormat="1" x14ac:dyDescent="0.2"/>
    <row r="74154" customFormat="1" x14ac:dyDescent="0.2"/>
    <row r="74155" customFormat="1" x14ac:dyDescent="0.2"/>
    <row r="74156" customFormat="1" x14ac:dyDescent="0.2"/>
    <row r="74157" customFormat="1" x14ac:dyDescent="0.2"/>
    <row r="74158" customFormat="1" x14ac:dyDescent="0.2"/>
    <row r="74159" customFormat="1" x14ac:dyDescent="0.2"/>
    <row r="74160" customFormat="1" x14ac:dyDescent="0.2"/>
    <row r="74161" customFormat="1" x14ac:dyDescent="0.2"/>
    <row r="74162" customFormat="1" x14ac:dyDescent="0.2"/>
    <row r="74163" customFormat="1" x14ac:dyDescent="0.2"/>
    <row r="74164" customFormat="1" x14ac:dyDescent="0.2"/>
    <row r="74165" customFormat="1" x14ac:dyDescent="0.2"/>
    <row r="74166" customFormat="1" x14ac:dyDescent="0.2"/>
    <row r="74167" customFormat="1" x14ac:dyDescent="0.2"/>
    <row r="74168" customFormat="1" x14ac:dyDescent="0.2"/>
    <row r="74169" customFormat="1" x14ac:dyDescent="0.2"/>
    <row r="74170" customFormat="1" x14ac:dyDescent="0.2"/>
    <row r="74171" customFormat="1" x14ac:dyDescent="0.2"/>
    <row r="74172" customFormat="1" x14ac:dyDescent="0.2"/>
    <row r="74173" customFormat="1" x14ac:dyDescent="0.2"/>
    <row r="74174" customFormat="1" x14ac:dyDescent="0.2"/>
    <row r="74175" customFormat="1" x14ac:dyDescent="0.2"/>
    <row r="74176" customFormat="1" x14ac:dyDescent="0.2"/>
    <row r="74177" customFormat="1" x14ac:dyDescent="0.2"/>
    <row r="74178" customFormat="1" x14ac:dyDescent="0.2"/>
    <row r="74179" customFormat="1" x14ac:dyDescent="0.2"/>
    <row r="74180" customFormat="1" x14ac:dyDescent="0.2"/>
    <row r="74181" customFormat="1" x14ac:dyDescent="0.2"/>
    <row r="74182" customFormat="1" x14ac:dyDescent="0.2"/>
    <row r="74183" customFormat="1" x14ac:dyDescent="0.2"/>
    <row r="74184" customFormat="1" x14ac:dyDescent="0.2"/>
    <row r="74185" customFormat="1" x14ac:dyDescent="0.2"/>
    <row r="74186" customFormat="1" x14ac:dyDescent="0.2"/>
    <row r="74187" customFormat="1" x14ac:dyDescent="0.2"/>
    <row r="74188" customFormat="1" x14ac:dyDescent="0.2"/>
    <row r="74189" customFormat="1" x14ac:dyDescent="0.2"/>
    <row r="74190" customFormat="1" x14ac:dyDescent="0.2"/>
    <row r="74191" customFormat="1" x14ac:dyDescent="0.2"/>
    <row r="74192" customFormat="1" x14ac:dyDescent="0.2"/>
    <row r="74193" customFormat="1" x14ac:dyDescent="0.2"/>
    <row r="74194" customFormat="1" x14ac:dyDescent="0.2"/>
    <row r="74195" customFormat="1" x14ac:dyDescent="0.2"/>
    <row r="74196" customFormat="1" x14ac:dyDescent="0.2"/>
    <row r="74197" customFormat="1" x14ac:dyDescent="0.2"/>
    <row r="74198" customFormat="1" x14ac:dyDescent="0.2"/>
    <row r="74199" customFormat="1" x14ac:dyDescent="0.2"/>
    <row r="74200" customFormat="1" x14ac:dyDescent="0.2"/>
    <row r="74201" customFormat="1" x14ac:dyDescent="0.2"/>
    <row r="74202" customFormat="1" x14ac:dyDescent="0.2"/>
    <row r="74203" customFormat="1" x14ac:dyDescent="0.2"/>
    <row r="74204" customFormat="1" x14ac:dyDescent="0.2"/>
    <row r="74205" customFormat="1" x14ac:dyDescent="0.2"/>
    <row r="74206" customFormat="1" x14ac:dyDescent="0.2"/>
    <row r="74207" customFormat="1" x14ac:dyDescent="0.2"/>
    <row r="74208" customFormat="1" x14ac:dyDescent="0.2"/>
    <row r="74209" customFormat="1" x14ac:dyDescent="0.2"/>
    <row r="74210" customFormat="1" x14ac:dyDescent="0.2"/>
    <row r="74211" customFormat="1" x14ac:dyDescent="0.2"/>
    <row r="74212" customFormat="1" x14ac:dyDescent="0.2"/>
    <row r="74213" customFormat="1" x14ac:dyDescent="0.2"/>
    <row r="74214" customFormat="1" x14ac:dyDescent="0.2"/>
    <row r="74215" customFormat="1" x14ac:dyDescent="0.2"/>
    <row r="74216" customFormat="1" x14ac:dyDescent="0.2"/>
    <row r="74217" customFormat="1" x14ac:dyDescent="0.2"/>
    <row r="74218" customFormat="1" x14ac:dyDescent="0.2"/>
    <row r="74219" customFormat="1" x14ac:dyDescent="0.2"/>
    <row r="74220" customFormat="1" x14ac:dyDescent="0.2"/>
    <row r="74221" customFormat="1" x14ac:dyDescent="0.2"/>
    <row r="74222" customFormat="1" x14ac:dyDescent="0.2"/>
    <row r="74223" customFormat="1" x14ac:dyDescent="0.2"/>
    <row r="74224" customFormat="1" x14ac:dyDescent="0.2"/>
    <row r="74225" customFormat="1" x14ac:dyDescent="0.2"/>
    <row r="74226" customFormat="1" x14ac:dyDescent="0.2"/>
    <row r="74227" customFormat="1" x14ac:dyDescent="0.2"/>
    <row r="74228" customFormat="1" x14ac:dyDescent="0.2"/>
    <row r="74229" customFormat="1" x14ac:dyDescent="0.2"/>
    <row r="74230" customFormat="1" x14ac:dyDescent="0.2"/>
    <row r="74231" customFormat="1" x14ac:dyDescent="0.2"/>
    <row r="74232" customFormat="1" x14ac:dyDescent="0.2"/>
    <row r="74233" customFormat="1" x14ac:dyDescent="0.2"/>
    <row r="74234" customFormat="1" x14ac:dyDescent="0.2"/>
    <row r="74235" customFormat="1" x14ac:dyDescent="0.2"/>
    <row r="74236" customFormat="1" x14ac:dyDescent="0.2"/>
    <row r="74237" customFormat="1" x14ac:dyDescent="0.2"/>
    <row r="74238" customFormat="1" x14ac:dyDescent="0.2"/>
    <row r="74239" customFormat="1" x14ac:dyDescent="0.2"/>
    <row r="74240" customFormat="1" x14ac:dyDescent="0.2"/>
    <row r="74241" customFormat="1" x14ac:dyDescent="0.2"/>
    <row r="74242" customFormat="1" x14ac:dyDescent="0.2"/>
    <row r="74243" customFormat="1" x14ac:dyDescent="0.2"/>
    <row r="74244" customFormat="1" x14ac:dyDescent="0.2"/>
    <row r="74245" customFormat="1" x14ac:dyDescent="0.2"/>
    <row r="74246" customFormat="1" x14ac:dyDescent="0.2"/>
    <row r="74247" customFormat="1" x14ac:dyDescent="0.2"/>
    <row r="74248" customFormat="1" x14ac:dyDescent="0.2"/>
    <row r="74249" customFormat="1" x14ac:dyDescent="0.2"/>
    <row r="74250" customFormat="1" x14ac:dyDescent="0.2"/>
    <row r="74251" customFormat="1" x14ac:dyDescent="0.2"/>
    <row r="74252" customFormat="1" x14ac:dyDescent="0.2"/>
    <row r="74253" customFormat="1" x14ac:dyDescent="0.2"/>
    <row r="74254" customFormat="1" x14ac:dyDescent="0.2"/>
    <row r="74255" customFormat="1" x14ac:dyDescent="0.2"/>
    <row r="74256" customFormat="1" x14ac:dyDescent="0.2"/>
    <row r="74257" customFormat="1" x14ac:dyDescent="0.2"/>
    <row r="74258" customFormat="1" x14ac:dyDescent="0.2"/>
    <row r="74259" customFormat="1" x14ac:dyDescent="0.2"/>
    <row r="74260" customFormat="1" x14ac:dyDescent="0.2"/>
    <row r="74261" customFormat="1" x14ac:dyDescent="0.2"/>
    <row r="74262" customFormat="1" x14ac:dyDescent="0.2"/>
    <row r="74263" customFormat="1" x14ac:dyDescent="0.2"/>
    <row r="74264" customFormat="1" x14ac:dyDescent="0.2"/>
    <row r="74265" customFormat="1" x14ac:dyDescent="0.2"/>
    <row r="74266" customFormat="1" x14ac:dyDescent="0.2"/>
    <row r="74267" customFormat="1" x14ac:dyDescent="0.2"/>
    <row r="74268" customFormat="1" x14ac:dyDescent="0.2"/>
    <row r="74269" customFormat="1" x14ac:dyDescent="0.2"/>
    <row r="74270" customFormat="1" x14ac:dyDescent="0.2"/>
    <row r="74271" customFormat="1" x14ac:dyDescent="0.2"/>
    <row r="74272" customFormat="1" x14ac:dyDescent="0.2"/>
    <row r="74273" customFormat="1" x14ac:dyDescent="0.2"/>
    <row r="74274" customFormat="1" x14ac:dyDescent="0.2"/>
    <row r="74275" customFormat="1" x14ac:dyDescent="0.2"/>
    <row r="74276" customFormat="1" x14ac:dyDescent="0.2"/>
    <row r="74277" customFormat="1" x14ac:dyDescent="0.2"/>
    <row r="74278" customFormat="1" x14ac:dyDescent="0.2"/>
    <row r="74279" customFormat="1" x14ac:dyDescent="0.2"/>
    <row r="74280" customFormat="1" x14ac:dyDescent="0.2"/>
    <row r="74281" customFormat="1" x14ac:dyDescent="0.2"/>
    <row r="74282" customFormat="1" x14ac:dyDescent="0.2"/>
    <row r="74283" customFormat="1" x14ac:dyDescent="0.2"/>
    <row r="74284" customFormat="1" x14ac:dyDescent="0.2"/>
    <row r="74285" customFormat="1" x14ac:dyDescent="0.2"/>
    <row r="74286" customFormat="1" x14ac:dyDescent="0.2"/>
    <row r="74287" customFormat="1" x14ac:dyDescent="0.2"/>
    <row r="74288" customFormat="1" x14ac:dyDescent="0.2"/>
    <row r="74289" customFormat="1" x14ac:dyDescent="0.2"/>
    <row r="74290" customFormat="1" x14ac:dyDescent="0.2"/>
    <row r="74291" customFormat="1" x14ac:dyDescent="0.2"/>
    <row r="74292" customFormat="1" x14ac:dyDescent="0.2"/>
    <row r="74293" customFormat="1" x14ac:dyDescent="0.2"/>
    <row r="74294" customFormat="1" x14ac:dyDescent="0.2"/>
    <row r="74295" customFormat="1" x14ac:dyDescent="0.2"/>
    <row r="74296" customFormat="1" x14ac:dyDescent="0.2"/>
    <row r="74297" customFormat="1" x14ac:dyDescent="0.2"/>
    <row r="74298" customFormat="1" x14ac:dyDescent="0.2"/>
    <row r="74299" customFormat="1" x14ac:dyDescent="0.2"/>
    <row r="74300" customFormat="1" x14ac:dyDescent="0.2"/>
    <row r="74301" customFormat="1" x14ac:dyDescent="0.2"/>
    <row r="74302" customFormat="1" x14ac:dyDescent="0.2"/>
    <row r="74303" customFormat="1" x14ac:dyDescent="0.2"/>
    <row r="74304" customFormat="1" x14ac:dyDescent="0.2"/>
    <row r="74305" customFormat="1" x14ac:dyDescent="0.2"/>
    <row r="74306" customFormat="1" x14ac:dyDescent="0.2"/>
    <row r="74307" customFormat="1" x14ac:dyDescent="0.2"/>
    <row r="74308" customFormat="1" x14ac:dyDescent="0.2"/>
    <row r="74309" customFormat="1" x14ac:dyDescent="0.2"/>
    <row r="74310" customFormat="1" x14ac:dyDescent="0.2"/>
    <row r="74311" customFormat="1" x14ac:dyDescent="0.2"/>
    <row r="74312" customFormat="1" x14ac:dyDescent="0.2"/>
    <row r="74313" customFormat="1" x14ac:dyDescent="0.2"/>
    <row r="74314" customFormat="1" x14ac:dyDescent="0.2"/>
    <row r="74315" customFormat="1" x14ac:dyDescent="0.2"/>
    <row r="74316" customFormat="1" x14ac:dyDescent="0.2"/>
    <row r="74317" customFormat="1" x14ac:dyDescent="0.2"/>
    <row r="74318" customFormat="1" x14ac:dyDescent="0.2"/>
    <row r="74319" customFormat="1" x14ac:dyDescent="0.2"/>
    <row r="74320" customFormat="1" x14ac:dyDescent="0.2"/>
    <row r="74321" customFormat="1" x14ac:dyDescent="0.2"/>
    <row r="74322" customFormat="1" x14ac:dyDescent="0.2"/>
    <row r="74323" customFormat="1" x14ac:dyDescent="0.2"/>
    <row r="74324" customFormat="1" x14ac:dyDescent="0.2"/>
    <row r="74325" customFormat="1" x14ac:dyDescent="0.2"/>
    <row r="74326" customFormat="1" x14ac:dyDescent="0.2"/>
    <row r="74327" customFormat="1" x14ac:dyDescent="0.2"/>
    <row r="74328" customFormat="1" x14ac:dyDescent="0.2"/>
    <row r="74329" customFormat="1" x14ac:dyDescent="0.2"/>
    <row r="74330" customFormat="1" x14ac:dyDescent="0.2"/>
    <row r="74331" customFormat="1" x14ac:dyDescent="0.2"/>
    <row r="74332" customFormat="1" x14ac:dyDescent="0.2"/>
    <row r="74333" customFormat="1" x14ac:dyDescent="0.2"/>
    <row r="74334" customFormat="1" x14ac:dyDescent="0.2"/>
    <row r="74335" customFormat="1" x14ac:dyDescent="0.2"/>
    <row r="74336" customFormat="1" x14ac:dyDescent="0.2"/>
    <row r="74337" customFormat="1" x14ac:dyDescent="0.2"/>
    <row r="74338" customFormat="1" x14ac:dyDescent="0.2"/>
    <row r="74339" customFormat="1" x14ac:dyDescent="0.2"/>
    <row r="74340" customFormat="1" x14ac:dyDescent="0.2"/>
    <row r="74341" customFormat="1" x14ac:dyDescent="0.2"/>
    <row r="74342" customFormat="1" x14ac:dyDescent="0.2"/>
    <row r="74343" customFormat="1" x14ac:dyDescent="0.2"/>
    <row r="74344" customFormat="1" x14ac:dyDescent="0.2"/>
    <row r="74345" customFormat="1" x14ac:dyDescent="0.2"/>
    <row r="74346" customFormat="1" x14ac:dyDescent="0.2"/>
    <row r="74347" customFormat="1" x14ac:dyDescent="0.2"/>
    <row r="74348" customFormat="1" x14ac:dyDescent="0.2"/>
    <row r="74349" customFormat="1" x14ac:dyDescent="0.2"/>
    <row r="74350" customFormat="1" x14ac:dyDescent="0.2"/>
    <row r="74351" customFormat="1" x14ac:dyDescent="0.2"/>
    <row r="74352" customFormat="1" x14ac:dyDescent="0.2"/>
    <row r="74353" customFormat="1" x14ac:dyDescent="0.2"/>
    <row r="74354" customFormat="1" x14ac:dyDescent="0.2"/>
    <row r="74355" customFormat="1" x14ac:dyDescent="0.2"/>
    <row r="74356" customFormat="1" x14ac:dyDescent="0.2"/>
    <row r="74357" customFormat="1" x14ac:dyDescent="0.2"/>
    <row r="74358" customFormat="1" x14ac:dyDescent="0.2"/>
    <row r="74359" customFormat="1" x14ac:dyDescent="0.2"/>
    <row r="74360" customFormat="1" x14ac:dyDescent="0.2"/>
    <row r="74361" customFormat="1" x14ac:dyDescent="0.2"/>
    <row r="74362" customFormat="1" x14ac:dyDescent="0.2"/>
    <row r="74363" customFormat="1" x14ac:dyDescent="0.2"/>
    <row r="74364" customFormat="1" x14ac:dyDescent="0.2"/>
    <row r="74365" customFormat="1" x14ac:dyDescent="0.2"/>
    <row r="74366" customFormat="1" x14ac:dyDescent="0.2"/>
    <row r="74367" customFormat="1" x14ac:dyDescent="0.2"/>
    <row r="74368" customFormat="1" x14ac:dyDescent="0.2"/>
    <row r="74369" customFormat="1" x14ac:dyDescent="0.2"/>
    <row r="74370" customFormat="1" x14ac:dyDescent="0.2"/>
    <row r="74371" customFormat="1" x14ac:dyDescent="0.2"/>
    <row r="74372" customFormat="1" x14ac:dyDescent="0.2"/>
    <row r="74373" customFormat="1" x14ac:dyDescent="0.2"/>
    <row r="74374" customFormat="1" x14ac:dyDescent="0.2"/>
    <row r="74375" customFormat="1" x14ac:dyDescent="0.2"/>
    <row r="74376" customFormat="1" x14ac:dyDescent="0.2"/>
    <row r="74377" customFormat="1" x14ac:dyDescent="0.2"/>
    <row r="74378" customFormat="1" x14ac:dyDescent="0.2"/>
    <row r="74379" customFormat="1" x14ac:dyDescent="0.2"/>
    <row r="74380" customFormat="1" x14ac:dyDescent="0.2"/>
    <row r="74381" customFormat="1" x14ac:dyDescent="0.2"/>
    <row r="74382" customFormat="1" x14ac:dyDescent="0.2"/>
    <row r="74383" customFormat="1" x14ac:dyDescent="0.2"/>
    <row r="74384" customFormat="1" x14ac:dyDescent="0.2"/>
    <row r="74385" customFormat="1" x14ac:dyDescent="0.2"/>
    <row r="74386" customFormat="1" x14ac:dyDescent="0.2"/>
    <row r="74387" customFormat="1" x14ac:dyDescent="0.2"/>
    <row r="74388" customFormat="1" x14ac:dyDescent="0.2"/>
    <row r="74389" customFormat="1" x14ac:dyDescent="0.2"/>
    <row r="74390" customFormat="1" x14ac:dyDescent="0.2"/>
    <row r="74391" customFormat="1" x14ac:dyDescent="0.2"/>
    <row r="74392" customFormat="1" x14ac:dyDescent="0.2"/>
    <row r="74393" customFormat="1" x14ac:dyDescent="0.2"/>
    <row r="74394" customFormat="1" x14ac:dyDescent="0.2"/>
    <row r="74395" customFormat="1" x14ac:dyDescent="0.2"/>
    <row r="74396" customFormat="1" x14ac:dyDescent="0.2"/>
    <row r="74397" customFormat="1" x14ac:dyDescent="0.2"/>
    <row r="74398" customFormat="1" x14ac:dyDescent="0.2"/>
    <row r="74399" customFormat="1" x14ac:dyDescent="0.2"/>
    <row r="74400" customFormat="1" x14ac:dyDescent="0.2"/>
    <row r="74401" customFormat="1" x14ac:dyDescent="0.2"/>
    <row r="74402" customFormat="1" x14ac:dyDescent="0.2"/>
    <row r="74403" customFormat="1" x14ac:dyDescent="0.2"/>
    <row r="74404" customFormat="1" x14ac:dyDescent="0.2"/>
    <row r="74405" customFormat="1" x14ac:dyDescent="0.2"/>
    <row r="74406" customFormat="1" x14ac:dyDescent="0.2"/>
    <row r="74407" customFormat="1" x14ac:dyDescent="0.2"/>
    <row r="74408" customFormat="1" x14ac:dyDescent="0.2"/>
    <row r="74409" customFormat="1" x14ac:dyDescent="0.2"/>
    <row r="74410" customFormat="1" x14ac:dyDescent="0.2"/>
    <row r="74411" customFormat="1" x14ac:dyDescent="0.2"/>
    <row r="74412" customFormat="1" x14ac:dyDescent="0.2"/>
    <row r="74413" customFormat="1" x14ac:dyDescent="0.2"/>
    <row r="74414" customFormat="1" x14ac:dyDescent="0.2"/>
    <row r="74415" customFormat="1" x14ac:dyDescent="0.2"/>
    <row r="74416" customFormat="1" x14ac:dyDescent="0.2"/>
    <row r="74417" customFormat="1" x14ac:dyDescent="0.2"/>
    <row r="74418" customFormat="1" x14ac:dyDescent="0.2"/>
    <row r="74419" customFormat="1" x14ac:dyDescent="0.2"/>
    <row r="74420" customFormat="1" x14ac:dyDescent="0.2"/>
    <row r="74421" customFormat="1" x14ac:dyDescent="0.2"/>
    <row r="74422" customFormat="1" x14ac:dyDescent="0.2"/>
    <row r="74423" customFormat="1" x14ac:dyDescent="0.2"/>
    <row r="74424" customFormat="1" x14ac:dyDescent="0.2"/>
    <row r="74425" customFormat="1" x14ac:dyDescent="0.2"/>
    <row r="74426" customFormat="1" x14ac:dyDescent="0.2"/>
    <row r="74427" customFormat="1" x14ac:dyDescent="0.2"/>
    <row r="74428" customFormat="1" x14ac:dyDescent="0.2"/>
    <row r="74429" customFormat="1" x14ac:dyDescent="0.2"/>
    <row r="74430" customFormat="1" x14ac:dyDescent="0.2"/>
    <row r="74431" customFormat="1" x14ac:dyDescent="0.2"/>
    <row r="74432" customFormat="1" x14ac:dyDescent="0.2"/>
    <row r="74433" customFormat="1" x14ac:dyDescent="0.2"/>
    <row r="74434" customFormat="1" x14ac:dyDescent="0.2"/>
    <row r="74435" customFormat="1" x14ac:dyDescent="0.2"/>
    <row r="74436" customFormat="1" x14ac:dyDescent="0.2"/>
    <row r="74437" customFormat="1" x14ac:dyDescent="0.2"/>
    <row r="74438" customFormat="1" x14ac:dyDescent="0.2"/>
    <row r="74439" customFormat="1" x14ac:dyDescent="0.2"/>
    <row r="74440" customFormat="1" x14ac:dyDescent="0.2"/>
    <row r="74441" customFormat="1" x14ac:dyDescent="0.2"/>
    <row r="74442" customFormat="1" x14ac:dyDescent="0.2"/>
    <row r="74443" customFormat="1" x14ac:dyDescent="0.2"/>
    <row r="74444" customFormat="1" x14ac:dyDescent="0.2"/>
    <row r="74445" customFormat="1" x14ac:dyDescent="0.2"/>
    <row r="74446" customFormat="1" x14ac:dyDescent="0.2"/>
    <row r="74447" customFormat="1" x14ac:dyDescent="0.2"/>
    <row r="74448" customFormat="1" x14ac:dyDescent="0.2"/>
    <row r="74449" customFormat="1" x14ac:dyDescent="0.2"/>
    <row r="74450" customFormat="1" x14ac:dyDescent="0.2"/>
    <row r="74451" customFormat="1" x14ac:dyDescent="0.2"/>
    <row r="74452" customFormat="1" x14ac:dyDescent="0.2"/>
    <row r="74453" customFormat="1" x14ac:dyDescent="0.2"/>
    <row r="74454" customFormat="1" x14ac:dyDescent="0.2"/>
    <row r="74455" customFormat="1" x14ac:dyDescent="0.2"/>
    <row r="74456" customFormat="1" x14ac:dyDescent="0.2"/>
    <row r="74457" customFormat="1" x14ac:dyDescent="0.2"/>
    <row r="74458" customFormat="1" x14ac:dyDescent="0.2"/>
    <row r="74459" customFormat="1" x14ac:dyDescent="0.2"/>
    <row r="74460" customFormat="1" x14ac:dyDescent="0.2"/>
    <row r="74461" customFormat="1" x14ac:dyDescent="0.2"/>
    <row r="74462" customFormat="1" x14ac:dyDescent="0.2"/>
    <row r="74463" customFormat="1" x14ac:dyDescent="0.2"/>
    <row r="74464" customFormat="1" x14ac:dyDescent="0.2"/>
    <row r="74465" customFormat="1" x14ac:dyDescent="0.2"/>
    <row r="74466" customFormat="1" x14ac:dyDescent="0.2"/>
    <row r="74467" customFormat="1" x14ac:dyDescent="0.2"/>
    <row r="74468" customFormat="1" x14ac:dyDescent="0.2"/>
    <row r="74469" customFormat="1" x14ac:dyDescent="0.2"/>
    <row r="74470" customFormat="1" x14ac:dyDescent="0.2"/>
    <row r="74471" customFormat="1" x14ac:dyDescent="0.2"/>
    <row r="74472" customFormat="1" x14ac:dyDescent="0.2"/>
    <row r="74473" customFormat="1" x14ac:dyDescent="0.2"/>
    <row r="74474" customFormat="1" x14ac:dyDescent="0.2"/>
    <row r="74475" customFormat="1" x14ac:dyDescent="0.2"/>
    <row r="74476" customFormat="1" x14ac:dyDescent="0.2"/>
    <row r="74477" customFormat="1" x14ac:dyDescent="0.2"/>
    <row r="74478" customFormat="1" x14ac:dyDescent="0.2"/>
    <row r="74479" customFormat="1" x14ac:dyDescent="0.2"/>
    <row r="74480" customFormat="1" x14ac:dyDescent="0.2"/>
    <row r="74481" customFormat="1" x14ac:dyDescent="0.2"/>
    <row r="74482" customFormat="1" x14ac:dyDescent="0.2"/>
    <row r="74483" customFormat="1" x14ac:dyDescent="0.2"/>
    <row r="74484" customFormat="1" x14ac:dyDescent="0.2"/>
    <row r="74485" customFormat="1" x14ac:dyDescent="0.2"/>
    <row r="74486" customFormat="1" x14ac:dyDescent="0.2"/>
    <row r="74487" customFormat="1" x14ac:dyDescent="0.2"/>
    <row r="74488" customFormat="1" x14ac:dyDescent="0.2"/>
    <row r="74489" customFormat="1" x14ac:dyDescent="0.2"/>
    <row r="74490" customFormat="1" x14ac:dyDescent="0.2"/>
    <row r="74491" customFormat="1" x14ac:dyDescent="0.2"/>
    <row r="74492" customFormat="1" x14ac:dyDescent="0.2"/>
    <row r="74493" customFormat="1" x14ac:dyDescent="0.2"/>
    <row r="74494" customFormat="1" x14ac:dyDescent="0.2"/>
    <row r="74495" customFormat="1" x14ac:dyDescent="0.2"/>
    <row r="74496" customFormat="1" x14ac:dyDescent="0.2"/>
    <row r="74497" customFormat="1" x14ac:dyDescent="0.2"/>
    <row r="74498" customFormat="1" x14ac:dyDescent="0.2"/>
    <row r="74499" customFormat="1" x14ac:dyDescent="0.2"/>
    <row r="74500" customFormat="1" x14ac:dyDescent="0.2"/>
    <row r="74501" customFormat="1" x14ac:dyDescent="0.2"/>
    <row r="74502" customFormat="1" x14ac:dyDescent="0.2"/>
    <row r="74503" customFormat="1" x14ac:dyDescent="0.2"/>
    <row r="74504" customFormat="1" x14ac:dyDescent="0.2"/>
    <row r="74505" customFormat="1" x14ac:dyDescent="0.2"/>
    <row r="74506" customFormat="1" x14ac:dyDescent="0.2"/>
    <row r="74507" customFormat="1" x14ac:dyDescent="0.2"/>
    <row r="74508" customFormat="1" x14ac:dyDescent="0.2"/>
    <row r="74509" customFormat="1" x14ac:dyDescent="0.2"/>
    <row r="74510" customFormat="1" x14ac:dyDescent="0.2"/>
    <row r="74511" customFormat="1" x14ac:dyDescent="0.2"/>
    <row r="74512" customFormat="1" x14ac:dyDescent="0.2"/>
    <row r="74513" customFormat="1" x14ac:dyDescent="0.2"/>
    <row r="74514" customFormat="1" x14ac:dyDescent="0.2"/>
    <row r="74515" customFormat="1" x14ac:dyDescent="0.2"/>
    <row r="74516" customFormat="1" x14ac:dyDescent="0.2"/>
    <row r="74517" customFormat="1" x14ac:dyDescent="0.2"/>
    <row r="74518" customFormat="1" x14ac:dyDescent="0.2"/>
    <row r="74519" customFormat="1" x14ac:dyDescent="0.2"/>
    <row r="74520" customFormat="1" x14ac:dyDescent="0.2"/>
    <row r="74521" customFormat="1" x14ac:dyDescent="0.2"/>
    <row r="74522" customFormat="1" x14ac:dyDescent="0.2"/>
    <row r="74523" customFormat="1" x14ac:dyDescent="0.2"/>
    <row r="74524" customFormat="1" x14ac:dyDescent="0.2"/>
    <row r="74525" customFormat="1" x14ac:dyDescent="0.2"/>
    <row r="74526" customFormat="1" x14ac:dyDescent="0.2"/>
    <row r="74527" customFormat="1" x14ac:dyDescent="0.2"/>
    <row r="74528" customFormat="1" x14ac:dyDescent="0.2"/>
    <row r="74529" customFormat="1" x14ac:dyDescent="0.2"/>
    <row r="74530" customFormat="1" x14ac:dyDescent="0.2"/>
    <row r="74531" customFormat="1" x14ac:dyDescent="0.2"/>
    <row r="74532" customFormat="1" x14ac:dyDescent="0.2"/>
    <row r="74533" customFormat="1" x14ac:dyDescent="0.2"/>
    <row r="74534" customFormat="1" x14ac:dyDescent="0.2"/>
    <row r="74535" customFormat="1" x14ac:dyDescent="0.2"/>
    <row r="74536" customFormat="1" x14ac:dyDescent="0.2"/>
    <row r="74537" customFormat="1" x14ac:dyDescent="0.2"/>
    <row r="74538" customFormat="1" x14ac:dyDescent="0.2"/>
    <row r="74539" customFormat="1" x14ac:dyDescent="0.2"/>
    <row r="74540" customFormat="1" x14ac:dyDescent="0.2"/>
    <row r="74541" customFormat="1" x14ac:dyDescent="0.2"/>
    <row r="74542" customFormat="1" x14ac:dyDescent="0.2"/>
    <row r="74543" customFormat="1" x14ac:dyDescent="0.2"/>
    <row r="74544" customFormat="1" x14ac:dyDescent="0.2"/>
    <row r="74545" customFormat="1" x14ac:dyDescent="0.2"/>
    <row r="74546" customFormat="1" x14ac:dyDescent="0.2"/>
    <row r="74547" customFormat="1" x14ac:dyDescent="0.2"/>
    <row r="74548" customFormat="1" x14ac:dyDescent="0.2"/>
    <row r="74549" customFormat="1" x14ac:dyDescent="0.2"/>
    <row r="74550" customFormat="1" x14ac:dyDescent="0.2"/>
    <row r="74551" customFormat="1" x14ac:dyDescent="0.2"/>
    <row r="74552" customFormat="1" x14ac:dyDescent="0.2"/>
    <row r="74553" customFormat="1" x14ac:dyDescent="0.2"/>
    <row r="74554" customFormat="1" x14ac:dyDescent="0.2"/>
    <row r="74555" customFormat="1" x14ac:dyDescent="0.2"/>
    <row r="74556" customFormat="1" x14ac:dyDescent="0.2"/>
    <row r="74557" customFormat="1" x14ac:dyDescent="0.2"/>
    <row r="74558" customFormat="1" x14ac:dyDescent="0.2"/>
    <row r="74559" customFormat="1" x14ac:dyDescent="0.2"/>
    <row r="74560" customFormat="1" x14ac:dyDescent="0.2"/>
    <row r="74561" customFormat="1" x14ac:dyDescent="0.2"/>
    <row r="74562" customFormat="1" x14ac:dyDescent="0.2"/>
    <row r="74563" customFormat="1" x14ac:dyDescent="0.2"/>
    <row r="74564" customFormat="1" x14ac:dyDescent="0.2"/>
    <row r="74565" customFormat="1" x14ac:dyDescent="0.2"/>
    <row r="74566" customFormat="1" x14ac:dyDescent="0.2"/>
    <row r="74567" customFormat="1" x14ac:dyDescent="0.2"/>
    <row r="74568" customFormat="1" x14ac:dyDescent="0.2"/>
    <row r="74569" customFormat="1" x14ac:dyDescent="0.2"/>
    <row r="74570" customFormat="1" x14ac:dyDescent="0.2"/>
    <row r="74571" customFormat="1" x14ac:dyDescent="0.2"/>
    <row r="74572" customFormat="1" x14ac:dyDescent="0.2"/>
    <row r="74573" customFormat="1" x14ac:dyDescent="0.2"/>
    <row r="74574" customFormat="1" x14ac:dyDescent="0.2"/>
    <row r="74575" customFormat="1" x14ac:dyDescent="0.2"/>
    <row r="74576" customFormat="1" x14ac:dyDescent="0.2"/>
    <row r="74577" customFormat="1" x14ac:dyDescent="0.2"/>
    <row r="74578" customFormat="1" x14ac:dyDescent="0.2"/>
    <row r="74579" customFormat="1" x14ac:dyDescent="0.2"/>
    <row r="74580" customFormat="1" x14ac:dyDescent="0.2"/>
    <row r="74581" customFormat="1" x14ac:dyDescent="0.2"/>
    <row r="74582" customFormat="1" x14ac:dyDescent="0.2"/>
    <row r="74583" customFormat="1" x14ac:dyDescent="0.2"/>
    <row r="74584" customFormat="1" x14ac:dyDescent="0.2"/>
    <row r="74585" customFormat="1" x14ac:dyDescent="0.2"/>
    <row r="74586" customFormat="1" x14ac:dyDescent="0.2"/>
    <row r="74587" customFormat="1" x14ac:dyDescent="0.2"/>
    <row r="74588" customFormat="1" x14ac:dyDescent="0.2"/>
    <row r="74589" customFormat="1" x14ac:dyDescent="0.2"/>
    <row r="74590" customFormat="1" x14ac:dyDescent="0.2"/>
    <row r="74591" customFormat="1" x14ac:dyDescent="0.2"/>
    <row r="74592" customFormat="1" x14ac:dyDescent="0.2"/>
    <row r="74593" customFormat="1" x14ac:dyDescent="0.2"/>
    <row r="74594" customFormat="1" x14ac:dyDescent="0.2"/>
    <row r="74595" customFormat="1" x14ac:dyDescent="0.2"/>
    <row r="74596" customFormat="1" x14ac:dyDescent="0.2"/>
    <row r="74597" customFormat="1" x14ac:dyDescent="0.2"/>
    <row r="74598" customFormat="1" x14ac:dyDescent="0.2"/>
    <row r="74599" customFormat="1" x14ac:dyDescent="0.2"/>
    <row r="74600" customFormat="1" x14ac:dyDescent="0.2"/>
    <row r="74601" customFormat="1" x14ac:dyDescent="0.2"/>
    <row r="74602" customFormat="1" x14ac:dyDescent="0.2"/>
    <row r="74603" customFormat="1" x14ac:dyDescent="0.2"/>
    <row r="74604" customFormat="1" x14ac:dyDescent="0.2"/>
    <row r="74605" customFormat="1" x14ac:dyDescent="0.2"/>
    <row r="74606" customFormat="1" x14ac:dyDescent="0.2"/>
    <row r="74607" customFormat="1" x14ac:dyDescent="0.2"/>
    <row r="74608" customFormat="1" x14ac:dyDescent="0.2"/>
    <row r="74609" customFormat="1" x14ac:dyDescent="0.2"/>
    <row r="74610" customFormat="1" x14ac:dyDescent="0.2"/>
    <row r="74611" customFormat="1" x14ac:dyDescent="0.2"/>
    <row r="74612" customFormat="1" x14ac:dyDescent="0.2"/>
    <row r="74613" customFormat="1" x14ac:dyDescent="0.2"/>
    <row r="74614" customFormat="1" x14ac:dyDescent="0.2"/>
    <row r="74615" customFormat="1" x14ac:dyDescent="0.2"/>
    <row r="74616" customFormat="1" x14ac:dyDescent="0.2"/>
    <row r="74617" customFormat="1" x14ac:dyDescent="0.2"/>
    <row r="74618" customFormat="1" x14ac:dyDescent="0.2"/>
    <row r="74619" customFormat="1" x14ac:dyDescent="0.2"/>
    <row r="74620" customFormat="1" x14ac:dyDescent="0.2"/>
    <row r="74621" customFormat="1" x14ac:dyDescent="0.2"/>
    <row r="74622" customFormat="1" x14ac:dyDescent="0.2"/>
    <row r="74623" customFormat="1" x14ac:dyDescent="0.2"/>
    <row r="74624" customFormat="1" x14ac:dyDescent="0.2"/>
    <row r="74625" customFormat="1" x14ac:dyDescent="0.2"/>
    <row r="74626" customFormat="1" x14ac:dyDescent="0.2"/>
    <row r="74627" customFormat="1" x14ac:dyDescent="0.2"/>
    <row r="74628" customFormat="1" x14ac:dyDescent="0.2"/>
    <row r="74629" customFormat="1" x14ac:dyDescent="0.2"/>
    <row r="74630" customFormat="1" x14ac:dyDescent="0.2"/>
    <row r="74631" customFormat="1" x14ac:dyDescent="0.2"/>
    <row r="74632" customFormat="1" x14ac:dyDescent="0.2"/>
    <row r="74633" customFormat="1" x14ac:dyDescent="0.2"/>
    <row r="74634" customFormat="1" x14ac:dyDescent="0.2"/>
    <row r="74635" customFormat="1" x14ac:dyDescent="0.2"/>
    <row r="74636" customFormat="1" x14ac:dyDescent="0.2"/>
    <row r="74637" customFormat="1" x14ac:dyDescent="0.2"/>
    <row r="74638" customFormat="1" x14ac:dyDescent="0.2"/>
    <row r="74639" customFormat="1" x14ac:dyDescent="0.2"/>
    <row r="74640" customFormat="1" x14ac:dyDescent="0.2"/>
    <row r="74641" customFormat="1" x14ac:dyDescent="0.2"/>
    <row r="74642" customFormat="1" x14ac:dyDescent="0.2"/>
    <row r="74643" customFormat="1" x14ac:dyDescent="0.2"/>
    <row r="74644" customFormat="1" x14ac:dyDescent="0.2"/>
    <row r="74645" customFormat="1" x14ac:dyDescent="0.2"/>
    <row r="74646" customFormat="1" x14ac:dyDescent="0.2"/>
    <row r="74647" customFormat="1" x14ac:dyDescent="0.2"/>
    <row r="74648" customFormat="1" x14ac:dyDescent="0.2"/>
    <row r="74649" customFormat="1" x14ac:dyDescent="0.2"/>
    <row r="74650" customFormat="1" x14ac:dyDescent="0.2"/>
    <row r="74651" customFormat="1" x14ac:dyDescent="0.2"/>
    <row r="74652" customFormat="1" x14ac:dyDescent="0.2"/>
    <row r="74653" customFormat="1" x14ac:dyDescent="0.2"/>
    <row r="74654" customFormat="1" x14ac:dyDescent="0.2"/>
    <row r="74655" customFormat="1" x14ac:dyDescent="0.2"/>
    <row r="74656" customFormat="1" x14ac:dyDescent="0.2"/>
    <row r="74657" customFormat="1" x14ac:dyDescent="0.2"/>
    <row r="74658" customFormat="1" x14ac:dyDescent="0.2"/>
    <row r="74659" customFormat="1" x14ac:dyDescent="0.2"/>
    <row r="74660" customFormat="1" x14ac:dyDescent="0.2"/>
    <row r="74661" customFormat="1" x14ac:dyDescent="0.2"/>
    <row r="74662" customFormat="1" x14ac:dyDescent="0.2"/>
    <row r="74663" customFormat="1" x14ac:dyDescent="0.2"/>
    <row r="74664" customFormat="1" x14ac:dyDescent="0.2"/>
    <row r="74665" customFormat="1" x14ac:dyDescent="0.2"/>
    <row r="74666" customFormat="1" x14ac:dyDescent="0.2"/>
    <row r="74667" customFormat="1" x14ac:dyDescent="0.2"/>
    <row r="74668" customFormat="1" x14ac:dyDescent="0.2"/>
    <row r="74669" customFormat="1" x14ac:dyDescent="0.2"/>
    <row r="74670" customFormat="1" x14ac:dyDescent="0.2"/>
    <row r="74671" customFormat="1" x14ac:dyDescent="0.2"/>
    <row r="74672" customFormat="1" x14ac:dyDescent="0.2"/>
    <row r="74673" customFormat="1" x14ac:dyDescent="0.2"/>
    <row r="74674" customFormat="1" x14ac:dyDescent="0.2"/>
    <row r="74675" customFormat="1" x14ac:dyDescent="0.2"/>
    <row r="74676" customFormat="1" x14ac:dyDescent="0.2"/>
    <row r="74677" customFormat="1" x14ac:dyDescent="0.2"/>
    <row r="74678" customFormat="1" x14ac:dyDescent="0.2"/>
    <row r="74679" customFormat="1" x14ac:dyDescent="0.2"/>
    <row r="74680" customFormat="1" x14ac:dyDescent="0.2"/>
    <row r="74681" customFormat="1" x14ac:dyDescent="0.2"/>
    <row r="74682" customFormat="1" x14ac:dyDescent="0.2"/>
    <row r="74683" customFormat="1" x14ac:dyDescent="0.2"/>
    <row r="74684" customFormat="1" x14ac:dyDescent="0.2"/>
    <row r="74685" customFormat="1" x14ac:dyDescent="0.2"/>
    <row r="74686" customFormat="1" x14ac:dyDescent="0.2"/>
    <row r="74687" customFormat="1" x14ac:dyDescent="0.2"/>
    <row r="74688" customFormat="1" x14ac:dyDescent="0.2"/>
    <row r="74689" customFormat="1" x14ac:dyDescent="0.2"/>
    <row r="74690" customFormat="1" x14ac:dyDescent="0.2"/>
    <row r="74691" customFormat="1" x14ac:dyDescent="0.2"/>
    <row r="74692" customFormat="1" x14ac:dyDescent="0.2"/>
    <row r="74693" customFormat="1" x14ac:dyDescent="0.2"/>
    <row r="74694" customFormat="1" x14ac:dyDescent="0.2"/>
    <row r="74695" customFormat="1" x14ac:dyDescent="0.2"/>
    <row r="74696" customFormat="1" x14ac:dyDescent="0.2"/>
    <row r="74697" customFormat="1" x14ac:dyDescent="0.2"/>
    <row r="74698" customFormat="1" x14ac:dyDescent="0.2"/>
    <row r="74699" customFormat="1" x14ac:dyDescent="0.2"/>
    <row r="74700" customFormat="1" x14ac:dyDescent="0.2"/>
    <row r="74701" customFormat="1" x14ac:dyDescent="0.2"/>
    <row r="74702" customFormat="1" x14ac:dyDescent="0.2"/>
    <row r="74703" customFormat="1" x14ac:dyDescent="0.2"/>
    <row r="74704" customFormat="1" x14ac:dyDescent="0.2"/>
    <row r="74705" customFormat="1" x14ac:dyDescent="0.2"/>
    <row r="74706" customFormat="1" x14ac:dyDescent="0.2"/>
    <row r="74707" customFormat="1" x14ac:dyDescent="0.2"/>
    <row r="74708" customFormat="1" x14ac:dyDescent="0.2"/>
    <row r="74709" customFormat="1" x14ac:dyDescent="0.2"/>
    <row r="74710" customFormat="1" x14ac:dyDescent="0.2"/>
    <row r="74711" customFormat="1" x14ac:dyDescent="0.2"/>
    <row r="74712" customFormat="1" x14ac:dyDescent="0.2"/>
    <row r="74713" customFormat="1" x14ac:dyDescent="0.2"/>
    <row r="74714" customFormat="1" x14ac:dyDescent="0.2"/>
    <row r="74715" customFormat="1" x14ac:dyDescent="0.2"/>
    <row r="74716" customFormat="1" x14ac:dyDescent="0.2"/>
    <row r="74717" customFormat="1" x14ac:dyDescent="0.2"/>
    <row r="74718" customFormat="1" x14ac:dyDescent="0.2"/>
    <row r="74719" customFormat="1" x14ac:dyDescent="0.2"/>
    <row r="74720" customFormat="1" x14ac:dyDescent="0.2"/>
    <row r="74721" customFormat="1" x14ac:dyDescent="0.2"/>
    <row r="74722" customFormat="1" x14ac:dyDescent="0.2"/>
    <row r="74723" customFormat="1" x14ac:dyDescent="0.2"/>
    <row r="74724" customFormat="1" x14ac:dyDescent="0.2"/>
    <row r="74725" customFormat="1" x14ac:dyDescent="0.2"/>
    <row r="74726" customFormat="1" x14ac:dyDescent="0.2"/>
    <row r="74727" customFormat="1" x14ac:dyDescent="0.2"/>
    <row r="74728" customFormat="1" x14ac:dyDescent="0.2"/>
    <row r="74729" customFormat="1" x14ac:dyDescent="0.2"/>
    <row r="74730" customFormat="1" x14ac:dyDescent="0.2"/>
    <row r="74731" customFormat="1" x14ac:dyDescent="0.2"/>
    <row r="74732" customFormat="1" x14ac:dyDescent="0.2"/>
    <row r="74733" customFormat="1" x14ac:dyDescent="0.2"/>
    <row r="74734" customFormat="1" x14ac:dyDescent="0.2"/>
    <row r="74735" customFormat="1" x14ac:dyDescent="0.2"/>
    <row r="74736" customFormat="1" x14ac:dyDescent="0.2"/>
    <row r="74737" customFormat="1" x14ac:dyDescent="0.2"/>
    <row r="74738" customFormat="1" x14ac:dyDescent="0.2"/>
    <row r="74739" customFormat="1" x14ac:dyDescent="0.2"/>
    <row r="74740" customFormat="1" x14ac:dyDescent="0.2"/>
    <row r="74741" customFormat="1" x14ac:dyDescent="0.2"/>
    <row r="74742" customFormat="1" x14ac:dyDescent="0.2"/>
    <row r="74743" customFormat="1" x14ac:dyDescent="0.2"/>
    <row r="74744" customFormat="1" x14ac:dyDescent="0.2"/>
    <row r="74745" customFormat="1" x14ac:dyDescent="0.2"/>
    <row r="74746" customFormat="1" x14ac:dyDescent="0.2"/>
    <row r="74747" customFormat="1" x14ac:dyDescent="0.2"/>
    <row r="74748" customFormat="1" x14ac:dyDescent="0.2"/>
    <row r="74749" customFormat="1" x14ac:dyDescent="0.2"/>
    <row r="74750" customFormat="1" x14ac:dyDescent="0.2"/>
    <row r="74751" customFormat="1" x14ac:dyDescent="0.2"/>
    <row r="74752" customFormat="1" x14ac:dyDescent="0.2"/>
    <row r="74753" customFormat="1" x14ac:dyDescent="0.2"/>
    <row r="74754" customFormat="1" x14ac:dyDescent="0.2"/>
    <row r="74755" customFormat="1" x14ac:dyDescent="0.2"/>
    <row r="74756" customFormat="1" x14ac:dyDescent="0.2"/>
    <row r="74757" customFormat="1" x14ac:dyDescent="0.2"/>
    <row r="74758" customFormat="1" x14ac:dyDescent="0.2"/>
    <row r="74759" customFormat="1" x14ac:dyDescent="0.2"/>
    <row r="74760" customFormat="1" x14ac:dyDescent="0.2"/>
    <row r="74761" customFormat="1" x14ac:dyDescent="0.2"/>
    <row r="74762" customFormat="1" x14ac:dyDescent="0.2"/>
    <row r="74763" customFormat="1" x14ac:dyDescent="0.2"/>
    <row r="74764" customFormat="1" x14ac:dyDescent="0.2"/>
    <row r="74765" customFormat="1" x14ac:dyDescent="0.2"/>
    <row r="74766" customFormat="1" x14ac:dyDescent="0.2"/>
    <row r="74767" customFormat="1" x14ac:dyDescent="0.2"/>
    <row r="74768" customFormat="1" x14ac:dyDescent="0.2"/>
    <row r="74769" customFormat="1" x14ac:dyDescent="0.2"/>
    <row r="74770" customFormat="1" x14ac:dyDescent="0.2"/>
    <row r="74771" customFormat="1" x14ac:dyDescent="0.2"/>
    <row r="74772" customFormat="1" x14ac:dyDescent="0.2"/>
    <row r="74773" customFormat="1" x14ac:dyDescent="0.2"/>
    <row r="74774" customFormat="1" x14ac:dyDescent="0.2"/>
    <row r="74775" customFormat="1" x14ac:dyDescent="0.2"/>
    <row r="74776" customFormat="1" x14ac:dyDescent="0.2"/>
    <row r="74777" customFormat="1" x14ac:dyDescent="0.2"/>
    <row r="74778" customFormat="1" x14ac:dyDescent="0.2"/>
    <row r="74779" customFormat="1" x14ac:dyDescent="0.2"/>
    <row r="74780" customFormat="1" x14ac:dyDescent="0.2"/>
    <row r="74781" customFormat="1" x14ac:dyDescent="0.2"/>
    <row r="74782" customFormat="1" x14ac:dyDescent="0.2"/>
    <row r="74783" customFormat="1" x14ac:dyDescent="0.2"/>
    <row r="74784" customFormat="1" x14ac:dyDescent="0.2"/>
    <row r="74785" customFormat="1" x14ac:dyDescent="0.2"/>
    <row r="74786" customFormat="1" x14ac:dyDescent="0.2"/>
    <row r="74787" customFormat="1" x14ac:dyDescent="0.2"/>
    <row r="74788" customFormat="1" x14ac:dyDescent="0.2"/>
    <row r="74789" customFormat="1" x14ac:dyDescent="0.2"/>
    <row r="74790" customFormat="1" x14ac:dyDescent="0.2"/>
    <row r="74791" customFormat="1" x14ac:dyDescent="0.2"/>
    <row r="74792" customFormat="1" x14ac:dyDescent="0.2"/>
    <row r="74793" customFormat="1" x14ac:dyDescent="0.2"/>
    <row r="74794" customFormat="1" x14ac:dyDescent="0.2"/>
    <row r="74795" customFormat="1" x14ac:dyDescent="0.2"/>
    <row r="74796" customFormat="1" x14ac:dyDescent="0.2"/>
    <row r="74797" customFormat="1" x14ac:dyDescent="0.2"/>
    <row r="74798" customFormat="1" x14ac:dyDescent="0.2"/>
    <row r="74799" customFormat="1" x14ac:dyDescent="0.2"/>
    <row r="74800" customFormat="1" x14ac:dyDescent="0.2"/>
    <row r="74801" customFormat="1" x14ac:dyDescent="0.2"/>
    <row r="74802" customFormat="1" x14ac:dyDescent="0.2"/>
    <row r="74803" customFormat="1" x14ac:dyDescent="0.2"/>
    <row r="74804" customFormat="1" x14ac:dyDescent="0.2"/>
    <row r="74805" customFormat="1" x14ac:dyDescent="0.2"/>
    <row r="74806" customFormat="1" x14ac:dyDescent="0.2"/>
    <row r="74807" customFormat="1" x14ac:dyDescent="0.2"/>
    <row r="74808" customFormat="1" x14ac:dyDescent="0.2"/>
    <row r="74809" customFormat="1" x14ac:dyDescent="0.2"/>
    <row r="74810" customFormat="1" x14ac:dyDescent="0.2"/>
    <row r="74811" customFormat="1" x14ac:dyDescent="0.2"/>
    <row r="74812" customFormat="1" x14ac:dyDescent="0.2"/>
    <row r="74813" customFormat="1" x14ac:dyDescent="0.2"/>
    <row r="74814" customFormat="1" x14ac:dyDescent="0.2"/>
    <row r="74815" customFormat="1" x14ac:dyDescent="0.2"/>
    <row r="74816" customFormat="1" x14ac:dyDescent="0.2"/>
    <row r="74817" customFormat="1" x14ac:dyDescent="0.2"/>
    <row r="74818" customFormat="1" x14ac:dyDescent="0.2"/>
    <row r="74819" customFormat="1" x14ac:dyDescent="0.2"/>
    <row r="74820" customFormat="1" x14ac:dyDescent="0.2"/>
    <row r="74821" customFormat="1" x14ac:dyDescent="0.2"/>
    <row r="74822" customFormat="1" x14ac:dyDescent="0.2"/>
    <row r="74823" customFormat="1" x14ac:dyDescent="0.2"/>
    <row r="74824" customFormat="1" x14ac:dyDescent="0.2"/>
    <row r="74825" customFormat="1" x14ac:dyDescent="0.2"/>
    <row r="74826" customFormat="1" x14ac:dyDescent="0.2"/>
    <row r="74827" customFormat="1" x14ac:dyDescent="0.2"/>
    <row r="74828" customFormat="1" x14ac:dyDescent="0.2"/>
    <row r="74829" customFormat="1" x14ac:dyDescent="0.2"/>
    <row r="74830" customFormat="1" x14ac:dyDescent="0.2"/>
    <row r="74831" customFormat="1" x14ac:dyDescent="0.2"/>
    <row r="74832" customFormat="1" x14ac:dyDescent="0.2"/>
    <row r="74833" customFormat="1" x14ac:dyDescent="0.2"/>
    <row r="74834" customFormat="1" x14ac:dyDescent="0.2"/>
    <row r="74835" customFormat="1" x14ac:dyDescent="0.2"/>
    <row r="74836" customFormat="1" x14ac:dyDescent="0.2"/>
    <row r="74837" customFormat="1" x14ac:dyDescent="0.2"/>
    <row r="74838" customFormat="1" x14ac:dyDescent="0.2"/>
    <row r="74839" customFormat="1" x14ac:dyDescent="0.2"/>
    <row r="74840" customFormat="1" x14ac:dyDescent="0.2"/>
    <row r="74841" customFormat="1" x14ac:dyDescent="0.2"/>
    <row r="74842" customFormat="1" x14ac:dyDescent="0.2"/>
    <row r="74843" customFormat="1" x14ac:dyDescent="0.2"/>
    <row r="74844" customFormat="1" x14ac:dyDescent="0.2"/>
    <row r="74845" customFormat="1" x14ac:dyDescent="0.2"/>
    <row r="74846" customFormat="1" x14ac:dyDescent="0.2"/>
    <row r="74847" customFormat="1" x14ac:dyDescent="0.2"/>
    <row r="74848" customFormat="1" x14ac:dyDescent="0.2"/>
    <row r="74849" customFormat="1" x14ac:dyDescent="0.2"/>
    <row r="74850" customFormat="1" x14ac:dyDescent="0.2"/>
    <row r="74851" customFormat="1" x14ac:dyDescent="0.2"/>
    <row r="74852" customFormat="1" x14ac:dyDescent="0.2"/>
    <row r="74853" customFormat="1" x14ac:dyDescent="0.2"/>
    <row r="74854" customFormat="1" x14ac:dyDescent="0.2"/>
    <row r="74855" customFormat="1" x14ac:dyDescent="0.2"/>
    <row r="74856" customFormat="1" x14ac:dyDescent="0.2"/>
    <row r="74857" customFormat="1" x14ac:dyDescent="0.2"/>
    <row r="74858" customFormat="1" x14ac:dyDescent="0.2"/>
    <row r="74859" customFormat="1" x14ac:dyDescent="0.2"/>
    <row r="74860" customFormat="1" x14ac:dyDescent="0.2"/>
    <row r="74861" customFormat="1" x14ac:dyDescent="0.2"/>
    <row r="74862" customFormat="1" x14ac:dyDescent="0.2"/>
    <row r="74863" customFormat="1" x14ac:dyDescent="0.2"/>
    <row r="74864" customFormat="1" x14ac:dyDescent="0.2"/>
    <row r="74865" customFormat="1" x14ac:dyDescent="0.2"/>
    <row r="74866" customFormat="1" x14ac:dyDescent="0.2"/>
    <row r="74867" customFormat="1" x14ac:dyDescent="0.2"/>
    <row r="74868" customFormat="1" x14ac:dyDescent="0.2"/>
    <row r="74869" customFormat="1" x14ac:dyDescent="0.2"/>
    <row r="74870" customFormat="1" x14ac:dyDescent="0.2"/>
    <row r="74871" customFormat="1" x14ac:dyDescent="0.2"/>
    <row r="74872" customFormat="1" x14ac:dyDescent="0.2"/>
    <row r="74873" customFormat="1" x14ac:dyDescent="0.2"/>
    <row r="74874" customFormat="1" x14ac:dyDescent="0.2"/>
    <row r="74875" customFormat="1" x14ac:dyDescent="0.2"/>
    <row r="74876" customFormat="1" x14ac:dyDescent="0.2"/>
    <row r="74877" customFormat="1" x14ac:dyDescent="0.2"/>
    <row r="74878" customFormat="1" x14ac:dyDescent="0.2"/>
    <row r="74879" customFormat="1" x14ac:dyDescent="0.2"/>
    <row r="74880" customFormat="1" x14ac:dyDescent="0.2"/>
    <row r="74881" customFormat="1" x14ac:dyDescent="0.2"/>
    <row r="74882" customFormat="1" x14ac:dyDescent="0.2"/>
    <row r="74883" customFormat="1" x14ac:dyDescent="0.2"/>
    <row r="74884" customFormat="1" x14ac:dyDescent="0.2"/>
    <row r="74885" customFormat="1" x14ac:dyDescent="0.2"/>
    <row r="74886" customFormat="1" x14ac:dyDescent="0.2"/>
    <row r="74887" customFormat="1" x14ac:dyDescent="0.2"/>
    <row r="74888" customFormat="1" x14ac:dyDescent="0.2"/>
    <row r="74889" customFormat="1" x14ac:dyDescent="0.2"/>
    <row r="74890" customFormat="1" x14ac:dyDescent="0.2"/>
    <row r="74891" customFormat="1" x14ac:dyDescent="0.2"/>
    <row r="74892" customFormat="1" x14ac:dyDescent="0.2"/>
    <row r="74893" customFormat="1" x14ac:dyDescent="0.2"/>
    <row r="74894" customFormat="1" x14ac:dyDescent="0.2"/>
    <row r="74895" customFormat="1" x14ac:dyDescent="0.2"/>
    <row r="74896" customFormat="1" x14ac:dyDescent="0.2"/>
    <row r="74897" customFormat="1" x14ac:dyDescent="0.2"/>
    <row r="74898" customFormat="1" x14ac:dyDescent="0.2"/>
    <row r="74899" customFormat="1" x14ac:dyDescent="0.2"/>
    <row r="74900" customFormat="1" x14ac:dyDescent="0.2"/>
    <row r="74901" customFormat="1" x14ac:dyDescent="0.2"/>
    <row r="74902" customFormat="1" x14ac:dyDescent="0.2"/>
    <row r="74903" customFormat="1" x14ac:dyDescent="0.2"/>
    <row r="74904" customFormat="1" x14ac:dyDescent="0.2"/>
    <row r="74905" customFormat="1" x14ac:dyDescent="0.2"/>
    <row r="74906" customFormat="1" x14ac:dyDescent="0.2"/>
    <row r="74907" customFormat="1" x14ac:dyDescent="0.2"/>
    <row r="74908" customFormat="1" x14ac:dyDescent="0.2"/>
    <row r="74909" customFormat="1" x14ac:dyDescent="0.2"/>
    <row r="74910" customFormat="1" x14ac:dyDescent="0.2"/>
    <row r="74911" customFormat="1" x14ac:dyDescent="0.2"/>
    <row r="74912" customFormat="1" x14ac:dyDescent="0.2"/>
    <row r="74913" customFormat="1" x14ac:dyDescent="0.2"/>
    <row r="74914" customFormat="1" x14ac:dyDescent="0.2"/>
    <row r="74915" customFormat="1" x14ac:dyDescent="0.2"/>
    <row r="74916" customFormat="1" x14ac:dyDescent="0.2"/>
    <row r="74917" customFormat="1" x14ac:dyDescent="0.2"/>
    <row r="74918" customFormat="1" x14ac:dyDescent="0.2"/>
    <row r="74919" customFormat="1" x14ac:dyDescent="0.2"/>
    <row r="74920" customFormat="1" x14ac:dyDescent="0.2"/>
    <row r="74921" customFormat="1" x14ac:dyDescent="0.2"/>
    <row r="74922" customFormat="1" x14ac:dyDescent="0.2"/>
    <row r="74923" customFormat="1" x14ac:dyDescent="0.2"/>
    <row r="74924" customFormat="1" x14ac:dyDescent="0.2"/>
    <row r="74925" customFormat="1" x14ac:dyDescent="0.2"/>
    <row r="74926" customFormat="1" x14ac:dyDescent="0.2"/>
    <row r="74927" customFormat="1" x14ac:dyDescent="0.2"/>
    <row r="74928" customFormat="1" x14ac:dyDescent="0.2"/>
    <row r="74929" customFormat="1" x14ac:dyDescent="0.2"/>
    <row r="74930" customFormat="1" x14ac:dyDescent="0.2"/>
    <row r="74931" customFormat="1" x14ac:dyDescent="0.2"/>
    <row r="74932" customFormat="1" x14ac:dyDescent="0.2"/>
    <row r="74933" customFormat="1" x14ac:dyDescent="0.2"/>
    <row r="74934" customFormat="1" x14ac:dyDescent="0.2"/>
    <row r="74935" customFormat="1" x14ac:dyDescent="0.2"/>
    <row r="74936" customFormat="1" x14ac:dyDescent="0.2"/>
    <row r="74937" customFormat="1" x14ac:dyDescent="0.2"/>
    <row r="74938" customFormat="1" x14ac:dyDescent="0.2"/>
    <row r="74939" customFormat="1" x14ac:dyDescent="0.2"/>
    <row r="74940" customFormat="1" x14ac:dyDescent="0.2"/>
    <row r="74941" customFormat="1" x14ac:dyDescent="0.2"/>
    <row r="74942" customFormat="1" x14ac:dyDescent="0.2"/>
    <row r="74943" customFormat="1" x14ac:dyDescent="0.2"/>
    <row r="74944" customFormat="1" x14ac:dyDescent="0.2"/>
    <row r="74945" customFormat="1" x14ac:dyDescent="0.2"/>
    <row r="74946" customFormat="1" x14ac:dyDescent="0.2"/>
    <row r="74947" customFormat="1" x14ac:dyDescent="0.2"/>
    <row r="74948" customFormat="1" x14ac:dyDescent="0.2"/>
    <row r="74949" customFormat="1" x14ac:dyDescent="0.2"/>
    <row r="74950" customFormat="1" x14ac:dyDescent="0.2"/>
    <row r="74951" customFormat="1" x14ac:dyDescent="0.2"/>
    <row r="74952" customFormat="1" x14ac:dyDescent="0.2"/>
    <row r="74953" customFormat="1" x14ac:dyDescent="0.2"/>
    <row r="74954" customFormat="1" x14ac:dyDescent="0.2"/>
    <row r="74955" customFormat="1" x14ac:dyDescent="0.2"/>
    <row r="74956" customFormat="1" x14ac:dyDescent="0.2"/>
    <row r="74957" customFormat="1" x14ac:dyDescent="0.2"/>
    <row r="74958" customFormat="1" x14ac:dyDescent="0.2"/>
    <row r="74959" customFormat="1" x14ac:dyDescent="0.2"/>
    <row r="74960" customFormat="1" x14ac:dyDescent="0.2"/>
    <row r="74961" customFormat="1" x14ac:dyDescent="0.2"/>
    <row r="74962" customFormat="1" x14ac:dyDescent="0.2"/>
    <row r="74963" customFormat="1" x14ac:dyDescent="0.2"/>
    <row r="74964" customFormat="1" x14ac:dyDescent="0.2"/>
    <row r="74965" customFormat="1" x14ac:dyDescent="0.2"/>
    <row r="74966" customFormat="1" x14ac:dyDescent="0.2"/>
    <row r="74967" customFormat="1" x14ac:dyDescent="0.2"/>
    <row r="74968" customFormat="1" x14ac:dyDescent="0.2"/>
    <row r="74969" customFormat="1" x14ac:dyDescent="0.2"/>
    <row r="74970" customFormat="1" x14ac:dyDescent="0.2"/>
    <row r="74971" customFormat="1" x14ac:dyDescent="0.2"/>
    <row r="74972" customFormat="1" x14ac:dyDescent="0.2"/>
    <row r="74973" customFormat="1" x14ac:dyDescent="0.2"/>
    <row r="74974" customFormat="1" x14ac:dyDescent="0.2"/>
    <row r="74975" customFormat="1" x14ac:dyDescent="0.2"/>
    <row r="74976" customFormat="1" x14ac:dyDescent="0.2"/>
    <row r="74977" customFormat="1" x14ac:dyDescent="0.2"/>
    <row r="74978" customFormat="1" x14ac:dyDescent="0.2"/>
    <row r="74979" customFormat="1" x14ac:dyDescent="0.2"/>
    <row r="74980" customFormat="1" x14ac:dyDescent="0.2"/>
    <row r="74981" customFormat="1" x14ac:dyDescent="0.2"/>
    <row r="74982" customFormat="1" x14ac:dyDescent="0.2"/>
    <row r="74983" customFormat="1" x14ac:dyDescent="0.2"/>
    <row r="74984" customFormat="1" x14ac:dyDescent="0.2"/>
    <row r="74985" customFormat="1" x14ac:dyDescent="0.2"/>
    <row r="74986" customFormat="1" x14ac:dyDescent="0.2"/>
    <row r="74987" customFormat="1" x14ac:dyDescent="0.2"/>
    <row r="74988" customFormat="1" x14ac:dyDescent="0.2"/>
    <row r="74989" customFormat="1" x14ac:dyDescent="0.2"/>
    <row r="74990" customFormat="1" x14ac:dyDescent="0.2"/>
    <row r="74991" customFormat="1" x14ac:dyDescent="0.2"/>
    <row r="74992" customFormat="1" x14ac:dyDescent="0.2"/>
    <row r="74993" customFormat="1" x14ac:dyDescent="0.2"/>
    <row r="74994" customFormat="1" x14ac:dyDescent="0.2"/>
    <row r="74995" customFormat="1" x14ac:dyDescent="0.2"/>
    <row r="74996" customFormat="1" x14ac:dyDescent="0.2"/>
    <row r="74997" customFormat="1" x14ac:dyDescent="0.2"/>
    <row r="74998" customFormat="1" x14ac:dyDescent="0.2"/>
    <row r="74999" customFormat="1" x14ac:dyDescent="0.2"/>
    <row r="75000" customFormat="1" x14ac:dyDescent="0.2"/>
    <row r="75001" customFormat="1" x14ac:dyDescent="0.2"/>
    <row r="75002" customFormat="1" x14ac:dyDescent="0.2"/>
    <row r="75003" customFormat="1" x14ac:dyDescent="0.2"/>
    <row r="75004" customFormat="1" x14ac:dyDescent="0.2"/>
    <row r="75005" customFormat="1" x14ac:dyDescent="0.2"/>
    <row r="75006" customFormat="1" x14ac:dyDescent="0.2"/>
    <row r="75007" customFormat="1" x14ac:dyDescent="0.2"/>
    <row r="75008" customFormat="1" x14ac:dyDescent="0.2"/>
    <row r="75009" customFormat="1" x14ac:dyDescent="0.2"/>
    <row r="75010" customFormat="1" x14ac:dyDescent="0.2"/>
    <row r="75011" customFormat="1" x14ac:dyDescent="0.2"/>
    <row r="75012" customFormat="1" x14ac:dyDescent="0.2"/>
    <row r="75013" customFormat="1" x14ac:dyDescent="0.2"/>
    <row r="75014" customFormat="1" x14ac:dyDescent="0.2"/>
    <row r="75015" customFormat="1" x14ac:dyDescent="0.2"/>
    <row r="75016" customFormat="1" x14ac:dyDescent="0.2"/>
    <row r="75017" customFormat="1" x14ac:dyDescent="0.2"/>
    <row r="75018" customFormat="1" x14ac:dyDescent="0.2"/>
    <row r="75019" customFormat="1" x14ac:dyDescent="0.2"/>
    <row r="75020" customFormat="1" x14ac:dyDescent="0.2"/>
    <row r="75021" customFormat="1" x14ac:dyDescent="0.2"/>
    <row r="75022" customFormat="1" x14ac:dyDescent="0.2"/>
    <row r="75023" customFormat="1" x14ac:dyDescent="0.2"/>
    <row r="75024" customFormat="1" x14ac:dyDescent="0.2"/>
    <row r="75025" customFormat="1" x14ac:dyDescent="0.2"/>
    <row r="75026" customFormat="1" x14ac:dyDescent="0.2"/>
    <row r="75027" customFormat="1" x14ac:dyDescent="0.2"/>
    <row r="75028" customFormat="1" x14ac:dyDescent="0.2"/>
    <row r="75029" customFormat="1" x14ac:dyDescent="0.2"/>
    <row r="75030" customFormat="1" x14ac:dyDescent="0.2"/>
    <row r="75031" customFormat="1" x14ac:dyDescent="0.2"/>
    <row r="75032" customFormat="1" x14ac:dyDescent="0.2"/>
    <row r="75033" customFormat="1" x14ac:dyDescent="0.2"/>
    <row r="75034" customFormat="1" x14ac:dyDescent="0.2"/>
    <row r="75035" customFormat="1" x14ac:dyDescent="0.2"/>
    <row r="75036" customFormat="1" x14ac:dyDescent="0.2"/>
    <row r="75037" customFormat="1" x14ac:dyDescent="0.2"/>
    <row r="75038" customFormat="1" x14ac:dyDescent="0.2"/>
    <row r="75039" customFormat="1" x14ac:dyDescent="0.2"/>
    <row r="75040" customFormat="1" x14ac:dyDescent="0.2"/>
    <row r="75041" customFormat="1" x14ac:dyDescent="0.2"/>
    <row r="75042" customFormat="1" x14ac:dyDescent="0.2"/>
    <row r="75043" customFormat="1" x14ac:dyDescent="0.2"/>
    <row r="75044" customFormat="1" x14ac:dyDescent="0.2"/>
    <row r="75045" customFormat="1" x14ac:dyDescent="0.2"/>
    <row r="75046" customFormat="1" x14ac:dyDescent="0.2"/>
    <row r="75047" customFormat="1" x14ac:dyDescent="0.2"/>
    <row r="75048" customFormat="1" x14ac:dyDescent="0.2"/>
    <row r="75049" customFormat="1" x14ac:dyDescent="0.2"/>
    <row r="75050" customFormat="1" x14ac:dyDescent="0.2"/>
    <row r="75051" customFormat="1" x14ac:dyDescent="0.2"/>
    <row r="75052" customFormat="1" x14ac:dyDescent="0.2"/>
    <row r="75053" customFormat="1" x14ac:dyDescent="0.2"/>
    <row r="75054" customFormat="1" x14ac:dyDescent="0.2"/>
    <row r="75055" customFormat="1" x14ac:dyDescent="0.2"/>
    <row r="75056" customFormat="1" x14ac:dyDescent="0.2"/>
    <row r="75057" customFormat="1" x14ac:dyDescent="0.2"/>
    <row r="75058" customFormat="1" x14ac:dyDescent="0.2"/>
    <row r="75059" customFormat="1" x14ac:dyDescent="0.2"/>
    <row r="75060" customFormat="1" x14ac:dyDescent="0.2"/>
    <row r="75061" customFormat="1" x14ac:dyDescent="0.2"/>
    <row r="75062" customFormat="1" x14ac:dyDescent="0.2"/>
    <row r="75063" customFormat="1" x14ac:dyDescent="0.2"/>
    <row r="75064" customFormat="1" x14ac:dyDescent="0.2"/>
    <row r="75065" customFormat="1" x14ac:dyDescent="0.2"/>
    <row r="75066" customFormat="1" x14ac:dyDescent="0.2"/>
    <row r="75067" customFormat="1" x14ac:dyDescent="0.2"/>
    <row r="75068" customFormat="1" x14ac:dyDescent="0.2"/>
    <row r="75069" customFormat="1" x14ac:dyDescent="0.2"/>
    <row r="75070" customFormat="1" x14ac:dyDescent="0.2"/>
    <row r="75071" customFormat="1" x14ac:dyDescent="0.2"/>
    <row r="75072" customFormat="1" x14ac:dyDescent="0.2"/>
    <row r="75073" customFormat="1" x14ac:dyDescent="0.2"/>
    <row r="75074" customFormat="1" x14ac:dyDescent="0.2"/>
    <row r="75075" customFormat="1" x14ac:dyDescent="0.2"/>
    <row r="75076" customFormat="1" x14ac:dyDescent="0.2"/>
    <row r="75077" customFormat="1" x14ac:dyDescent="0.2"/>
    <row r="75078" customFormat="1" x14ac:dyDescent="0.2"/>
    <row r="75079" customFormat="1" x14ac:dyDescent="0.2"/>
    <row r="75080" customFormat="1" x14ac:dyDescent="0.2"/>
    <row r="75081" customFormat="1" x14ac:dyDescent="0.2"/>
    <row r="75082" customFormat="1" x14ac:dyDescent="0.2"/>
    <row r="75083" customFormat="1" x14ac:dyDescent="0.2"/>
    <row r="75084" customFormat="1" x14ac:dyDescent="0.2"/>
    <row r="75085" customFormat="1" x14ac:dyDescent="0.2"/>
    <row r="75086" customFormat="1" x14ac:dyDescent="0.2"/>
    <row r="75087" customFormat="1" x14ac:dyDescent="0.2"/>
    <row r="75088" customFormat="1" x14ac:dyDescent="0.2"/>
    <row r="75089" customFormat="1" x14ac:dyDescent="0.2"/>
    <row r="75090" customFormat="1" x14ac:dyDescent="0.2"/>
    <row r="75091" customFormat="1" x14ac:dyDescent="0.2"/>
    <row r="75092" customFormat="1" x14ac:dyDescent="0.2"/>
    <row r="75093" customFormat="1" x14ac:dyDescent="0.2"/>
    <row r="75094" customFormat="1" x14ac:dyDescent="0.2"/>
    <row r="75095" customFormat="1" x14ac:dyDescent="0.2"/>
    <row r="75096" customFormat="1" x14ac:dyDescent="0.2"/>
    <row r="75097" customFormat="1" x14ac:dyDescent="0.2"/>
    <row r="75098" customFormat="1" x14ac:dyDescent="0.2"/>
    <row r="75099" customFormat="1" x14ac:dyDescent="0.2"/>
    <row r="75100" customFormat="1" x14ac:dyDescent="0.2"/>
    <row r="75101" customFormat="1" x14ac:dyDescent="0.2"/>
    <row r="75102" customFormat="1" x14ac:dyDescent="0.2"/>
    <row r="75103" customFormat="1" x14ac:dyDescent="0.2"/>
    <row r="75104" customFormat="1" x14ac:dyDescent="0.2"/>
    <row r="75105" customFormat="1" x14ac:dyDescent="0.2"/>
    <row r="75106" customFormat="1" x14ac:dyDescent="0.2"/>
    <row r="75107" customFormat="1" x14ac:dyDescent="0.2"/>
    <row r="75108" customFormat="1" x14ac:dyDescent="0.2"/>
    <row r="75109" customFormat="1" x14ac:dyDescent="0.2"/>
    <row r="75110" customFormat="1" x14ac:dyDescent="0.2"/>
    <row r="75111" customFormat="1" x14ac:dyDescent="0.2"/>
    <row r="75112" customFormat="1" x14ac:dyDescent="0.2"/>
    <row r="75113" customFormat="1" x14ac:dyDescent="0.2"/>
    <row r="75114" customFormat="1" x14ac:dyDescent="0.2"/>
    <row r="75115" customFormat="1" x14ac:dyDescent="0.2"/>
    <row r="75116" customFormat="1" x14ac:dyDescent="0.2"/>
    <row r="75117" customFormat="1" x14ac:dyDescent="0.2"/>
    <row r="75118" customFormat="1" x14ac:dyDescent="0.2"/>
    <row r="75119" customFormat="1" x14ac:dyDescent="0.2"/>
    <row r="75120" customFormat="1" x14ac:dyDescent="0.2"/>
    <row r="75121" customFormat="1" x14ac:dyDescent="0.2"/>
    <row r="75122" customFormat="1" x14ac:dyDescent="0.2"/>
    <row r="75123" customFormat="1" x14ac:dyDescent="0.2"/>
    <row r="75124" customFormat="1" x14ac:dyDescent="0.2"/>
    <row r="75125" customFormat="1" x14ac:dyDescent="0.2"/>
    <row r="75126" customFormat="1" x14ac:dyDescent="0.2"/>
    <row r="75127" customFormat="1" x14ac:dyDescent="0.2"/>
    <row r="75128" customFormat="1" x14ac:dyDescent="0.2"/>
    <row r="75129" customFormat="1" x14ac:dyDescent="0.2"/>
    <row r="75130" customFormat="1" x14ac:dyDescent="0.2"/>
    <row r="75131" customFormat="1" x14ac:dyDescent="0.2"/>
    <row r="75132" customFormat="1" x14ac:dyDescent="0.2"/>
    <row r="75133" customFormat="1" x14ac:dyDescent="0.2"/>
    <row r="75134" customFormat="1" x14ac:dyDescent="0.2"/>
    <row r="75135" customFormat="1" x14ac:dyDescent="0.2"/>
    <row r="75136" customFormat="1" x14ac:dyDescent="0.2"/>
    <row r="75137" customFormat="1" x14ac:dyDescent="0.2"/>
    <row r="75138" customFormat="1" x14ac:dyDescent="0.2"/>
    <row r="75139" customFormat="1" x14ac:dyDescent="0.2"/>
    <row r="75140" customFormat="1" x14ac:dyDescent="0.2"/>
    <row r="75141" customFormat="1" x14ac:dyDescent="0.2"/>
    <row r="75142" customFormat="1" x14ac:dyDescent="0.2"/>
    <row r="75143" customFormat="1" x14ac:dyDescent="0.2"/>
    <row r="75144" customFormat="1" x14ac:dyDescent="0.2"/>
    <row r="75145" customFormat="1" x14ac:dyDescent="0.2"/>
    <row r="75146" customFormat="1" x14ac:dyDescent="0.2"/>
    <row r="75147" customFormat="1" x14ac:dyDescent="0.2"/>
    <row r="75148" customFormat="1" x14ac:dyDescent="0.2"/>
    <row r="75149" customFormat="1" x14ac:dyDescent="0.2"/>
    <row r="75150" customFormat="1" x14ac:dyDescent="0.2"/>
    <row r="75151" customFormat="1" x14ac:dyDescent="0.2"/>
    <row r="75152" customFormat="1" x14ac:dyDescent="0.2"/>
    <row r="75153" customFormat="1" x14ac:dyDescent="0.2"/>
    <row r="75154" customFormat="1" x14ac:dyDescent="0.2"/>
    <row r="75155" customFormat="1" x14ac:dyDescent="0.2"/>
    <row r="75156" customFormat="1" x14ac:dyDescent="0.2"/>
    <row r="75157" customFormat="1" x14ac:dyDescent="0.2"/>
    <row r="75158" customFormat="1" x14ac:dyDescent="0.2"/>
    <row r="75159" customFormat="1" x14ac:dyDescent="0.2"/>
    <row r="75160" customFormat="1" x14ac:dyDescent="0.2"/>
    <row r="75161" customFormat="1" x14ac:dyDescent="0.2"/>
    <row r="75162" customFormat="1" x14ac:dyDescent="0.2"/>
    <row r="75163" customFormat="1" x14ac:dyDescent="0.2"/>
    <row r="75164" customFormat="1" x14ac:dyDescent="0.2"/>
    <row r="75165" customFormat="1" x14ac:dyDescent="0.2"/>
    <row r="75166" customFormat="1" x14ac:dyDescent="0.2"/>
    <row r="75167" customFormat="1" x14ac:dyDescent="0.2"/>
    <row r="75168" customFormat="1" x14ac:dyDescent="0.2"/>
    <row r="75169" customFormat="1" x14ac:dyDescent="0.2"/>
    <row r="75170" customFormat="1" x14ac:dyDescent="0.2"/>
    <row r="75171" customFormat="1" x14ac:dyDescent="0.2"/>
    <row r="75172" customFormat="1" x14ac:dyDescent="0.2"/>
    <row r="75173" customFormat="1" x14ac:dyDescent="0.2"/>
    <row r="75174" customFormat="1" x14ac:dyDescent="0.2"/>
    <row r="75175" customFormat="1" x14ac:dyDescent="0.2"/>
    <row r="75176" customFormat="1" x14ac:dyDescent="0.2"/>
    <row r="75177" customFormat="1" x14ac:dyDescent="0.2"/>
    <row r="75178" customFormat="1" x14ac:dyDescent="0.2"/>
    <row r="75179" customFormat="1" x14ac:dyDescent="0.2"/>
    <row r="75180" customFormat="1" x14ac:dyDescent="0.2"/>
    <row r="75181" customFormat="1" x14ac:dyDescent="0.2"/>
    <row r="75182" customFormat="1" x14ac:dyDescent="0.2"/>
    <row r="75183" customFormat="1" x14ac:dyDescent="0.2"/>
    <row r="75184" customFormat="1" x14ac:dyDescent="0.2"/>
    <row r="75185" customFormat="1" x14ac:dyDescent="0.2"/>
    <row r="75186" customFormat="1" x14ac:dyDescent="0.2"/>
    <row r="75187" customFormat="1" x14ac:dyDescent="0.2"/>
    <row r="75188" customFormat="1" x14ac:dyDescent="0.2"/>
    <row r="75189" customFormat="1" x14ac:dyDescent="0.2"/>
    <row r="75190" customFormat="1" x14ac:dyDescent="0.2"/>
    <row r="75191" customFormat="1" x14ac:dyDescent="0.2"/>
    <row r="75192" customFormat="1" x14ac:dyDescent="0.2"/>
    <row r="75193" customFormat="1" x14ac:dyDescent="0.2"/>
    <row r="75194" customFormat="1" x14ac:dyDescent="0.2"/>
    <row r="75195" customFormat="1" x14ac:dyDescent="0.2"/>
    <row r="75196" customFormat="1" x14ac:dyDescent="0.2"/>
    <row r="75197" customFormat="1" x14ac:dyDescent="0.2"/>
    <row r="75198" customFormat="1" x14ac:dyDescent="0.2"/>
    <row r="75199" customFormat="1" x14ac:dyDescent="0.2"/>
    <row r="75200" customFormat="1" x14ac:dyDescent="0.2"/>
    <row r="75201" customFormat="1" x14ac:dyDescent="0.2"/>
    <row r="75202" customFormat="1" x14ac:dyDescent="0.2"/>
    <row r="75203" customFormat="1" x14ac:dyDescent="0.2"/>
    <row r="75204" customFormat="1" x14ac:dyDescent="0.2"/>
    <row r="75205" customFormat="1" x14ac:dyDescent="0.2"/>
    <row r="75206" customFormat="1" x14ac:dyDescent="0.2"/>
    <row r="75207" customFormat="1" x14ac:dyDescent="0.2"/>
    <row r="75208" customFormat="1" x14ac:dyDescent="0.2"/>
    <row r="75209" customFormat="1" x14ac:dyDescent="0.2"/>
    <row r="75210" customFormat="1" x14ac:dyDescent="0.2"/>
    <row r="75211" customFormat="1" x14ac:dyDescent="0.2"/>
    <row r="75212" customFormat="1" x14ac:dyDescent="0.2"/>
    <row r="75213" customFormat="1" x14ac:dyDescent="0.2"/>
    <row r="75214" customFormat="1" x14ac:dyDescent="0.2"/>
    <row r="75215" customFormat="1" x14ac:dyDescent="0.2"/>
    <row r="75216" customFormat="1" x14ac:dyDescent="0.2"/>
    <row r="75217" customFormat="1" x14ac:dyDescent="0.2"/>
    <row r="75218" customFormat="1" x14ac:dyDescent="0.2"/>
    <row r="75219" customFormat="1" x14ac:dyDescent="0.2"/>
    <row r="75220" customFormat="1" x14ac:dyDescent="0.2"/>
    <row r="75221" customFormat="1" x14ac:dyDescent="0.2"/>
    <row r="75222" customFormat="1" x14ac:dyDescent="0.2"/>
    <row r="75223" customFormat="1" x14ac:dyDescent="0.2"/>
    <row r="75224" customFormat="1" x14ac:dyDescent="0.2"/>
    <row r="75225" customFormat="1" x14ac:dyDescent="0.2"/>
    <row r="75226" customFormat="1" x14ac:dyDescent="0.2"/>
    <row r="75227" customFormat="1" x14ac:dyDescent="0.2"/>
    <row r="75228" customFormat="1" x14ac:dyDescent="0.2"/>
    <row r="75229" customFormat="1" x14ac:dyDescent="0.2"/>
    <row r="75230" customFormat="1" x14ac:dyDescent="0.2"/>
    <row r="75231" customFormat="1" x14ac:dyDescent="0.2"/>
    <row r="75232" customFormat="1" x14ac:dyDescent="0.2"/>
    <row r="75233" customFormat="1" x14ac:dyDescent="0.2"/>
    <row r="75234" customFormat="1" x14ac:dyDescent="0.2"/>
    <row r="75235" customFormat="1" x14ac:dyDescent="0.2"/>
    <row r="75236" customFormat="1" x14ac:dyDescent="0.2"/>
    <row r="75237" customFormat="1" x14ac:dyDescent="0.2"/>
    <row r="75238" customFormat="1" x14ac:dyDescent="0.2"/>
    <row r="75239" customFormat="1" x14ac:dyDescent="0.2"/>
    <row r="75240" customFormat="1" x14ac:dyDescent="0.2"/>
    <row r="75241" customFormat="1" x14ac:dyDescent="0.2"/>
    <row r="75242" customFormat="1" x14ac:dyDescent="0.2"/>
    <row r="75243" customFormat="1" x14ac:dyDescent="0.2"/>
    <row r="75244" customFormat="1" x14ac:dyDescent="0.2"/>
    <row r="75245" customFormat="1" x14ac:dyDescent="0.2"/>
    <row r="75246" customFormat="1" x14ac:dyDescent="0.2"/>
    <row r="75247" customFormat="1" x14ac:dyDescent="0.2"/>
    <row r="75248" customFormat="1" x14ac:dyDescent="0.2"/>
    <row r="75249" customFormat="1" x14ac:dyDescent="0.2"/>
    <row r="75250" customFormat="1" x14ac:dyDescent="0.2"/>
    <row r="75251" customFormat="1" x14ac:dyDescent="0.2"/>
    <row r="75252" customFormat="1" x14ac:dyDescent="0.2"/>
    <row r="75253" customFormat="1" x14ac:dyDescent="0.2"/>
    <row r="75254" customFormat="1" x14ac:dyDescent="0.2"/>
    <row r="75255" customFormat="1" x14ac:dyDescent="0.2"/>
    <row r="75256" customFormat="1" x14ac:dyDescent="0.2"/>
    <row r="75257" customFormat="1" x14ac:dyDescent="0.2"/>
    <row r="75258" customFormat="1" x14ac:dyDescent="0.2"/>
    <row r="75259" customFormat="1" x14ac:dyDescent="0.2"/>
    <row r="75260" customFormat="1" x14ac:dyDescent="0.2"/>
    <row r="75261" customFormat="1" x14ac:dyDescent="0.2"/>
    <row r="75262" customFormat="1" x14ac:dyDescent="0.2"/>
    <row r="75263" customFormat="1" x14ac:dyDescent="0.2"/>
    <row r="75264" customFormat="1" x14ac:dyDescent="0.2"/>
    <row r="75265" customFormat="1" x14ac:dyDescent="0.2"/>
    <row r="75266" customFormat="1" x14ac:dyDescent="0.2"/>
    <row r="75267" customFormat="1" x14ac:dyDescent="0.2"/>
    <row r="75268" customFormat="1" x14ac:dyDescent="0.2"/>
    <row r="75269" customFormat="1" x14ac:dyDescent="0.2"/>
    <row r="75270" customFormat="1" x14ac:dyDescent="0.2"/>
    <row r="75271" customFormat="1" x14ac:dyDescent="0.2"/>
    <row r="75272" customFormat="1" x14ac:dyDescent="0.2"/>
    <row r="75273" customFormat="1" x14ac:dyDescent="0.2"/>
    <row r="75274" customFormat="1" x14ac:dyDescent="0.2"/>
    <row r="75275" customFormat="1" x14ac:dyDescent="0.2"/>
    <row r="75276" customFormat="1" x14ac:dyDescent="0.2"/>
    <row r="75277" customFormat="1" x14ac:dyDescent="0.2"/>
    <row r="75278" customFormat="1" x14ac:dyDescent="0.2"/>
    <row r="75279" customFormat="1" x14ac:dyDescent="0.2"/>
    <row r="75280" customFormat="1" x14ac:dyDescent="0.2"/>
    <row r="75281" customFormat="1" x14ac:dyDescent="0.2"/>
    <row r="75282" customFormat="1" x14ac:dyDescent="0.2"/>
    <row r="75283" customFormat="1" x14ac:dyDescent="0.2"/>
    <row r="75284" customFormat="1" x14ac:dyDescent="0.2"/>
    <row r="75285" customFormat="1" x14ac:dyDescent="0.2"/>
    <row r="75286" customFormat="1" x14ac:dyDescent="0.2"/>
    <row r="75287" customFormat="1" x14ac:dyDescent="0.2"/>
    <row r="75288" customFormat="1" x14ac:dyDescent="0.2"/>
    <row r="75289" customFormat="1" x14ac:dyDescent="0.2"/>
    <row r="75290" customFormat="1" x14ac:dyDescent="0.2"/>
    <row r="75291" customFormat="1" x14ac:dyDescent="0.2"/>
    <row r="75292" customFormat="1" x14ac:dyDescent="0.2"/>
    <row r="75293" customFormat="1" x14ac:dyDescent="0.2"/>
    <row r="75294" customFormat="1" x14ac:dyDescent="0.2"/>
    <row r="75295" customFormat="1" x14ac:dyDescent="0.2"/>
    <row r="75296" customFormat="1" x14ac:dyDescent="0.2"/>
    <row r="75297" customFormat="1" x14ac:dyDescent="0.2"/>
    <row r="75298" customFormat="1" x14ac:dyDescent="0.2"/>
    <row r="75299" customFormat="1" x14ac:dyDescent="0.2"/>
    <row r="75300" customFormat="1" x14ac:dyDescent="0.2"/>
    <row r="75301" customFormat="1" x14ac:dyDescent="0.2"/>
    <row r="75302" customFormat="1" x14ac:dyDescent="0.2"/>
    <row r="75303" customFormat="1" x14ac:dyDescent="0.2"/>
    <row r="75304" customFormat="1" x14ac:dyDescent="0.2"/>
    <row r="75305" customFormat="1" x14ac:dyDescent="0.2"/>
    <row r="75306" customFormat="1" x14ac:dyDescent="0.2"/>
    <row r="75307" customFormat="1" x14ac:dyDescent="0.2"/>
    <row r="75308" customFormat="1" x14ac:dyDescent="0.2"/>
    <row r="75309" customFormat="1" x14ac:dyDescent="0.2"/>
    <row r="75310" customFormat="1" x14ac:dyDescent="0.2"/>
    <row r="75311" customFormat="1" x14ac:dyDescent="0.2"/>
    <row r="75312" customFormat="1" x14ac:dyDescent="0.2"/>
    <row r="75313" customFormat="1" x14ac:dyDescent="0.2"/>
    <row r="75314" customFormat="1" x14ac:dyDescent="0.2"/>
    <row r="75315" customFormat="1" x14ac:dyDescent="0.2"/>
    <row r="75316" customFormat="1" x14ac:dyDescent="0.2"/>
    <row r="75317" customFormat="1" x14ac:dyDescent="0.2"/>
    <row r="75318" customFormat="1" x14ac:dyDescent="0.2"/>
    <row r="75319" customFormat="1" x14ac:dyDescent="0.2"/>
    <row r="75320" customFormat="1" x14ac:dyDescent="0.2"/>
    <row r="75321" customFormat="1" x14ac:dyDescent="0.2"/>
    <row r="75322" customFormat="1" x14ac:dyDescent="0.2"/>
    <row r="75323" customFormat="1" x14ac:dyDescent="0.2"/>
    <row r="75324" customFormat="1" x14ac:dyDescent="0.2"/>
    <row r="75325" customFormat="1" x14ac:dyDescent="0.2"/>
    <row r="75326" customFormat="1" x14ac:dyDescent="0.2"/>
    <row r="75327" customFormat="1" x14ac:dyDescent="0.2"/>
    <row r="75328" customFormat="1" x14ac:dyDescent="0.2"/>
    <row r="75329" customFormat="1" x14ac:dyDescent="0.2"/>
    <row r="75330" customFormat="1" x14ac:dyDescent="0.2"/>
    <row r="75331" customFormat="1" x14ac:dyDescent="0.2"/>
    <row r="75332" customFormat="1" x14ac:dyDescent="0.2"/>
    <row r="75333" customFormat="1" x14ac:dyDescent="0.2"/>
    <row r="75334" customFormat="1" x14ac:dyDescent="0.2"/>
    <row r="75335" customFormat="1" x14ac:dyDescent="0.2"/>
    <row r="75336" customFormat="1" x14ac:dyDescent="0.2"/>
    <row r="75337" customFormat="1" x14ac:dyDescent="0.2"/>
    <row r="75338" customFormat="1" x14ac:dyDescent="0.2"/>
    <row r="75339" customFormat="1" x14ac:dyDescent="0.2"/>
    <row r="75340" customFormat="1" x14ac:dyDescent="0.2"/>
    <row r="75341" customFormat="1" x14ac:dyDescent="0.2"/>
    <row r="75342" customFormat="1" x14ac:dyDescent="0.2"/>
    <row r="75343" customFormat="1" x14ac:dyDescent="0.2"/>
    <row r="75344" customFormat="1" x14ac:dyDescent="0.2"/>
    <row r="75345" customFormat="1" x14ac:dyDescent="0.2"/>
    <row r="75346" customFormat="1" x14ac:dyDescent="0.2"/>
    <row r="75347" customFormat="1" x14ac:dyDescent="0.2"/>
    <row r="75348" customFormat="1" x14ac:dyDescent="0.2"/>
    <row r="75349" customFormat="1" x14ac:dyDescent="0.2"/>
    <row r="75350" customFormat="1" x14ac:dyDescent="0.2"/>
    <row r="75351" customFormat="1" x14ac:dyDescent="0.2"/>
    <row r="75352" customFormat="1" x14ac:dyDescent="0.2"/>
    <row r="75353" customFormat="1" x14ac:dyDescent="0.2"/>
    <row r="75354" customFormat="1" x14ac:dyDescent="0.2"/>
    <row r="75355" customFormat="1" x14ac:dyDescent="0.2"/>
    <row r="75356" customFormat="1" x14ac:dyDescent="0.2"/>
    <row r="75357" customFormat="1" x14ac:dyDescent="0.2"/>
    <row r="75358" customFormat="1" x14ac:dyDescent="0.2"/>
    <row r="75359" customFormat="1" x14ac:dyDescent="0.2"/>
    <row r="75360" customFormat="1" x14ac:dyDescent="0.2"/>
    <row r="75361" customFormat="1" x14ac:dyDescent="0.2"/>
    <row r="75362" customFormat="1" x14ac:dyDescent="0.2"/>
    <row r="75363" customFormat="1" x14ac:dyDescent="0.2"/>
    <row r="75364" customFormat="1" x14ac:dyDescent="0.2"/>
    <row r="75365" customFormat="1" x14ac:dyDescent="0.2"/>
    <row r="75366" customFormat="1" x14ac:dyDescent="0.2"/>
    <row r="75367" customFormat="1" x14ac:dyDescent="0.2"/>
    <row r="75368" customFormat="1" x14ac:dyDescent="0.2"/>
    <row r="75369" customFormat="1" x14ac:dyDescent="0.2"/>
    <row r="75370" customFormat="1" x14ac:dyDescent="0.2"/>
    <row r="75371" customFormat="1" x14ac:dyDescent="0.2"/>
    <row r="75372" customFormat="1" x14ac:dyDescent="0.2"/>
    <row r="75373" customFormat="1" x14ac:dyDescent="0.2"/>
    <row r="75374" customFormat="1" x14ac:dyDescent="0.2"/>
    <row r="75375" customFormat="1" x14ac:dyDescent="0.2"/>
    <row r="75376" customFormat="1" x14ac:dyDescent="0.2"/>
    <row r="75377" customFormat="1" x14ac:dyDescent="0.2"/>
    <row r="75378" customFormat="1" x14ac:dyDescent="0.2"/>
    <row r="75379" customFormat="1" x14ac:dyDescent="0.2"/>
    <row r="75380" customFormat="1" x14ac:dyDescent="0.2"/>
    <row r="75381" customFormat="1" x14ac:dyDescent="0.2"/>
    <row r="75382" customFormat="1" x14ac:dyDescent="0.2"/>
    <row r="75383" customFormat="1" x14ac:dyDescent="0.2"/>
    <row r="75384" customFormat="1" x14ac:dyDescent="0.2"/>
    <row r="75385" customFormat="1" x14ac:dyDescent="0.2"/>
    <row r="75386" customFormat="1" x14ac:dyDescent="0.2"/>
    <row r="75387" customFormat="1" x14ac:dyDescent="0.2"/>
    <row r="75388" customFormat="1" x14ac:dyDescent="0.2"/>
    <row r="75389" customFormat="1" x14ac:dyDescent="0.2"/>
    <row r="75390" customFormat="1" x14ac:dyDescent="0.2"/>
    <row r="75391" customFormat="1" x14ac:dyDescent="0.2"/>
    <row r="75392" customFormat="1" x14ac:dyDescent="0.2"/>
    <row r="75393" customFormat="1" x14ac:dyDescent="0.2"/>
    <row r="75394" customFormat="1" x14ac:dyDescent="0.2"/>
    <row r="75395" customFormat="1" x14ac:dyDescent="0.2"/>
    <row r="75396" customFormat="1" x14ac:dyDescent="0.2"/>
    <row r="75397" customFormat="1" x14ac:dyDescent="0.2"/>
    <row r="75398" customFormat="1" x14ac:dyDescent="0.2"/>
    <row r="75399" customFormat="1" x14ac:dyDescent="0.2"/>
    <row r="75400" customFormat="1" x14ac:dyDescent="0.2"/>
    <row r="75401" customFormat="1" x14ac:dyDescent="0.2"/>
    <row r="75402" customFormat="1" x14ac:dyDescent="0.2"/>
    <row r="75403" customFormat="1" x14ac:dyDescent="0.2"/>
    <row r="75404" customFormat="1" x14ac:dyDescent="0.2"/>
    <row r="75405" customFormat="1" x14ac:dyDescent="0.2"/>
    <row r="75406" customFormat="1" x14ac:dyDescent="0.2"/>
    <row r="75407" customFormat="1" x14ac:dyDescent="0.2"/>
    <row r="75408" customFormat="1" x14ac:dyDescent="0.2"/>
    <row r="75409" customFormat="1" x14ac:dyDescent="0.2"/>
    <row r="75410" customFormat="1" x14ac:dyDescent="0.2"/>
    <row r="75411" customFormat="1" x14ac:dyDescent="0.2"/>
    <row r="75412" customFormat="1" x14ac:dyDescent="0.2"/>
    <row r="75413" customFormat="1" x14ac:dyDescent="0.2"/>
    <row r="75414" customFormat="1" x14ac:dyDescent="0.2"/>
    <row r="75415" customFormat="1" x14ac:dyDescent="0.2"/>
    <row r="75416" customFormat="1" x14ac:dyDescent="0.2"/>
    <row r="75417" customFormat="1" x14ac:dyDescent="0.2"/>
    <row r="75418" customFormat="1" x14ac:dyDescent="0.2"/>
    <row r="75419" customFormat="1" x14ac:dyDescent="0.2"/>
    <row r="75420" customFormat="1" x14ac:dyDescent="0.2"/>
    <row r="75421" customFormat="1" x14ac:dyDescent="0.2"/>
    <row r="75422" customFormat="1" x14ac:dyDescent="0.2"/>
    <row r="75423" customFormat="1" x14ac:dyDescent="0.2"/>
    <row r="75424" customFormat="1" x14ac:dyDescent="0.2"/>
    <row r="75425" customFormat="1" x14ac:dyDescent="0.2"/>
    <row r="75426" customFormat="1" x14ac:dyDescent="0.2"/>
    <row r="75427" customFormat="1" x14ac:dyDescent="0.2"/>
    <row r="75428" customFormat="1" x14ac:dyDescent="0.2"/>
    <row r="75429" customFormat="1" x14ac:dyDescent="0.2"/>
    <row r="75430" customFormat="1" x14ac:dyDescent="0.2"/>
    <row r="75431" customFormat="1" x14ac:dyDescent="0.2"/>
    <row r="75432" customFormat="1" x14ac:dyDescent="0.2"/>
    <row r="75433" customFormat="1" x14ac:dyDescent="0.2"/>
    <row r="75434" customFormat="1" x14ac:dyDescent="0.2"/>
    <row r="75435" customFormat="1" x14ac:dyDescent="0.2"/>
    <row r="75436" customFormat="1" x14ac:dyDescent="0.2"/>
    <row r="75437" customFormat="1" x14ac:dyDescent="0.2"/>
    <row r="75438" customFormat="1" x14ac:dyDescent="0.2"/>
    <row r="75439" customFormat="1" x14ac:dyDescent="0.2"/>
    <row r="75440" customFormat="1" x14ac:dyDescent="0.2"/>
    <row r="75441" customFormat="1" x14ac:dyDescent="0.2"/>
    <row r="75442" customFormat="1" x14ac:dyDescent="0.2"/>
    <row r="75443" customFormat="1" x14ac:dyDescent="0.2"/>
    <row r="75444" customFormat="1" x14ac:dyDescent="0.2"/>
    <row r="75445" customFormat="1" x14ac:dyDescent="0.2"/>
    <row r="75446" customFormat="1" x14ac:dyDescent="0.2"/>
    <row r="75447" customFormat="1" x14ac:dyDescent="0.2"/>
    <row r="75448" customFormat="1" x14ac:dyDescent="0.2"/>
    <row r="75449" customFormat="1" x14ac:dyDescent="0.2"/>
    <row r="75450" customFormat="1" x14ac:dyDescent="0.2"/>
    <row r="75451" customFormat="1" x14ac:dyDescent="0.2"/>
    <row r="75452" customFormat="1" x14ac:dyDescent="0.2"/>
    <row r="75453" customFormat="1" x14ac:dyDescent="0.2"/>
    <row r="75454" customFormat="1" x14ac:dyDescent="0.2"/>
    <row r="75455" customFormat="1" x14ac:dyDescent="0.2"/>
    <row r="75456" customFormat="1" x14ac:dyDescent="0.2"/>
    <row r="75457" customFormat="1" x14ac:dyDescent="0.2"/>
    <row r="75458" customFormat="1" x14ac:dyDescent="0.2"/>
    <row r="75459" customFormat="1" x14ac:dyDescent="0.2"/>
    <row r="75460" customFormat="1" x14ac:dyDescent="0.2"/>
    <row r="75461" customFormat="1" x14ac:dyDescent="0.2"/>
    <row r="75462" customFormat="1" x14ac:dyDescent="0.2"/>
    <row r="75463" customFormat="1" x14ac:dyDescent="0.2"/>
    <row r="75464" customFormat="1" x14ac:dyDescent="0.2"/>
    <row r="75465" customFormat="1" x14ac:dyDescent="0.2"/>
    <row r="75466" customFormat="1" x14ac:dyDescent="0.2"/>
    <row r="75467" customFormat="1" x14ac:dyDescent="0.2"/>
    <row r="75468" customFormat="1" x14ac:dyDescent="0.2"/>
    <row r="75469" customFormat="1" x14ac:dyDescent="0.2"/>
    <row r="75470" customFormat="1" x14ac:dyDescent="0.2"/>
    <row r="75471" customFormat="1" x14ac:dyDescent="0.2"/>
    <row r="75472" customFormat="1" x14ac:dyDescent="0.2"/>
    <row r="75473" customFormat="1" x14ac:dyDescent="0.2"/>
    <row r="75474" customFormat="1" x14ac:dyDescent="0.2"/>
    <row r="75475" customFormat="1" x14ac:dyDescent="0.2"/>
    <row r="75476" customFormat="1" x14ac:dyDescent="0.2"/>
    <row r="75477" customFormat="1" x14ac:dyDescent="0.2"/>
    <row r="75478" customFormat="1" x14ac:dyDescent="0.2"/>
    <row r="75479" customFormat="1" x14ac:dyDescent="0.2"/>
    <row r="75480" customFormat="1" x14ac:dyDescent="0.2"/>
    <row r="75481" customFormat="1" x14ac:dyDescent="0.2"/>
    <row r="75482" customFormat="1" x14ac:dyDescent="0.2"/>
    <row r="75483" customFormat="1" x14ac:dyDescent="0.2"/>
    <row r="75484" customFormat="1" x14ac:dyDescent="0.2"/>
    <row r="75485" customFormat="1" x14ac:dyDescent="0.2"/>
    <row r="75486" customFormat="1" x14ac:dyDescent="0.2"/>
    <row r="75487" customFormat="1" x14ac:dyDescent="0.2"/>
    <row r="75488" customFormat="1" x14ac:dyDescent="0.2"/>
    <row r="75489" customFormat="1" x14ac:dyDescent="0.2"/>
    <row r="75490" customFormat="1" x14ac:dyDescent="0.2"/>
    <row r="75491" customFormat="1" x14ac:dyDescent="0.2"/>
    <row r="75492" customFormat="1" x14ac:dyDescent="0.2"/>
    <row r="75493" customFormat="1" x14ac:dyDescent="0.2"/>
    <row r="75494" customFormat="1" x14ac:dyDescent="0.2"/>
    <row r="75495" customFormat="1" x14ac:dyDescent="0.2"/>
    <row r="75496" customFormat="1" x14ac:dyDescent="0.2"/>
    <row r="75497" customFormat="1" x14ac:dyDescent="0.2"/>
    <row r="75498" customFormat="1" x14ac:dyDescent="0.2"/>
    <row r="75499" customFormat="1" x14ac:dyDescent="0.2"/>
    <row r="75500" customFormat="1" x14ac:dyDescent="0.2"/>
    <row r="75501" customFormat="1" x14ac:dyDescent="0.2"/>
    <row r="75502" customFormat="1" x14ac:dyDescent="0.2"/>
    <row r="75503" customFormat="1" x14ac:dyDescent="0.2"/>
    <row r="75504" customFormat="1" x14ac:dyDescent="0.2"/>
    <row r="75505" customFormat="1" x14ac:dyDescent="0.2"/>
    <row r="75506" customFormat="1" x14ac:dyDescent="0.2"/>
    <row r="75507" customFormat="1" x14ac:dyDescent="0.2"/>
    <row r="75508" customFormat="1" x14ac:dyDescent="0.2"/>
    <row r="75509" customFormat="1" x14ac:dyDescent="0.2"/>
    <row r="75510" customFormat="1" x14ac:dyDescent="0.2"/>
    <row r="75511" customFormat="1" x14ac:dyDescent="0.2"/>
    <row r="75512" customFormat="1" x14ac:dyDescent="0.2"/>
    <row r="75513" customFormat="1" x14ac:dyDescent="0.2"/>
    <row r="75514" customFormat="1" x14ac:dyDescent="0.2"/>
    <row r="75515" customFormat="1" x14ac:dyDescent="0.2"/>
    <row r="75516" customFormat="1" x14ac:dyDescent="0.2"/>
    <row r="75517" customFormat="1" x14ac:dyDescent="0.2"/>
    <row r="75518" customFormat="1" x14ac:dyDescent="0.2"/>
    <row r="75519" customFormat="1" x14ac:dyDescent="0.2"/>
    <row r="75520" customFormat="1" x14ac:dyDescent="0.2"/>
    <row r="75521" customFormat="1" x14ac:dyDescent="0.2"/>
    <row r="75522" customFormat="1" x14ac:dyDescent="0.2"/>
    <row r="75523" customFormat="1" x14ac:dyDescent="0.2"/>
    <row r="75524" customFormat="1" x14ac:dyDescent="0.2"/>
    <row r="75525" customFormat="1" x14ac:dyDescent="0.2"/>
    <row r="75526" customFormat="1" x14ac:dyDescent="0.2"/>
    <row r="75527" customFormat="1" x14ac:dyDescent="0.2"/>
    <row r="75528" customFormat="1" x14ac:dyDescent="0.2"/>
    <row r="75529" customFormat="1" x14ac:dyDescent="0.2"/>
    <row r="75530" customFormat="1" x14ac:dyDescent="0.2"/>
    <row r="75531" customFormat="1" x14ac:dyDescent="0.2"/>
    <row r="75532" customFormat="1" x14ac:dyDescent="0.2"/>
    <row r="75533" customFormat="1" x14ac:dyDescent="0.2"/>
    <row r="75534" customFormat="1" x14ac:dyDescent="0.2"/>
    <row r="75535" customFormat="1" x14ac:dyDescent="0.2"/>
    <row r="75536" customFormat="1" x14ac:dyDescent="0.2"/>
    <row r="75537" customFormat="1" x14ac:dyDescent="0.2"/>
    <row r="75538" customFormat="1" x14ac:dyDescent="0.2"/>
    <row r="75539" customFormat="1" x14ac:dyDescent="0.2"/>
    <row r="75540" customFormat="1" x14ac:dyDescent="0.2"/>
    <row r="75541" customFormat="1" x14ac:dyDescent="0.2"/>
    <row r="75542" customFormat="1" x14ac:dyDescent="0.2"/>
    <row r="75543" customFormat="1" x14ac:dyDescent="0.2"/>
    <row r="75544" customFormat="1" x14ac:dyDescent="0.2"/>
    <row r="75545" customFormat="1" x14ac:dyDescent="0.2"/>
    <row r="75546" customFormat="1" x14ac:dyDescent="0.2"/>
    <row r="75547" customFormat="1" x14ac:dyDescent="0.2"/>
    <row r="75548" customFormat="1" x14ac:dyDescent="0.2"/>
    <row r="75549" customFormat="1" x14ac:dyDescent="0.2"/>
    <row r="75550" customFormat="1" x14ac:dyDescent="0.2"/>
    <row r="75551" customFormat="1" x14ac:dyDescent="0.2"/>
    <row r="75552" customFormat="1" x14ac:dyDescent="0.2"/>
    <row r="75553" customFormat="1" x14ac:dyDescent="0.2"/>
    <row r="75554" customFormat="1" x14ac:dyDescent="0.2"/>
    <row r="75555" customFormat="1" x14ac:dyDescent="0.2"/>
    <row r="75556" customFormat="1" x14ac:dyDescent="0.2"/>
    <row r="75557" customFormat="1" x14ac:dyDescent="0.2"/>
    <row r="75558" customFormat="1" x14ac:dyDescent="0.2"/>
    <row r="75559" customFormat="1" x14ac:dyDescent="0.2"/>
    <row r="75560" customFormat="1" x14ac:dyDescent="0.2"/>
    <row r="75561" customFormat="1" x14ac:dyDescent="0.2"/>
    <row r="75562" customFormat="1" x14ac:dyDescent="0.2"/>
    <row r="75563" customFormat="1" x14ac:dyDescent="0.2"/>
    <row r="75564" customFormat="1" x14ac:dyDescent="0.2"/>
    <row r="75565" customFormat="1" x14ac:dyDescent="0.2"/>
    <row r="75566" customFormat="1" x14ac:dyDescent="0.2"/>
    <row r="75567" customFormat="1" x14ac:dyDescent="0.2"/>
    <row r="75568" customFormat="1" x14ac:dyDescent="0.2"/>
    <row r="75569" customFormat="1" x14ac:dyDescent="0.2"/>
    <row r="75570" customFormat="1" x14ac:dyDescent="0.2"/>
    <row r="75571" customFormat="1" x14ac:dyDescent="0.2"/>
    <row r="75572" customFormat="1" x14ac:dyDescent="0.2"/>
    <row r="75573" customFormat="1" x14ac:dyDescent="0.2"/>
    <row r="75574" customFormat="1" x14ac:dyDescent="0.2"/>
    <row r="75575" customFormat="1" x14ac:dyDescent="0.2"/>
    <row r="75576" customFormat="1" x14ac:dyDescent="0.2"/>
    <row r="75577" customFormat="1" x14ac:dyDescent="0.2"/>
    <row r="75578" customFormat="1" x14ac:dyDescent="0.2"/>
    <row r="75579" customFormat="1" x14ac:dyDescent="0.2"/>
    <row r="75580" customFormat="1" x14ac:dyDescent="0.2"/>
    <row r="75581" customFormat="1" x14ac:dyDescent="0.2"/>
    <row r="75582" customFormat="1" x14ac:dyDescent="0.2"/>
    <row r="75583" customFormat="1" x14ac:dyDescent="0.2"/>
    <row r="75584" customFormat="1" x14ac:dyDescent="0.2"/>
    <row r="75585" customFormat="1" x14ac:dyDescent="0.2"/>
    <row r="75586" customFormat="1" x14ac:dyDescent="0.2"/>
    <row r="75587" customFormat="1" x14ac:dyDescent="0.2"/>
    <row r="75588" customFormat="1" x14ac:dyDescent="0.2"/>
    <row r="75589" customFormat="1" x14ac:dyDescent="0.2"/>
    <row r="75590" customFormat="1" x14ac:dyDescent="0.2"/>
    <row r="75591" customFormat="1" x14ac:dyDescent="0.2"/>
    <row r="75592" customFormat="1" x14ac:dyDescent="0.2"/>
    <row r="75593" customFormat="1" x14ac:dyDescent="0.2"/>
    <row r="75594" customFormat="1" x14ac:dyDescent="0.2"/>
    <row r="75595" customFormat="1" x14ac:dyDescent="0.2"/>
    <row r="75596" customFormat="1" x14ac:dyDescent="0.2"/>
    <row r="75597" customFormat="1" x14ac:dyDescent="0.2"/>
    <row r="75598" customFormat="1" x14ac:dyDescent="0.2"/>
    <row r="75599" customFormat="1" x14ac:dyDescent="0.2"/>
    <row r="75600" customFormat="1" x14ac:dyDescent="0.2"/>
    <row r="75601" customFormat="1" x14ac:dyDescent="0.2"/>
    <row r="75602" customFormat="1" x14ac:dyDescent="0.2"/>
    <row r="75603" customFormat="1" x14ac:dyDescent="0.2"/>
    <row r="75604" customFormat="1" x14ac:dyDescent="0.2"/>
    <row r="75605" customFormat="1" x14ac:dyDescent="0.2"/>
    <row r="75606" customFormat="1" x14ac:dyDescent="0.2"/>
    <row r="75607" customFormat="1" x14ac:dyDescent="0.2"/>
    <row r="75608" customFormat="1" x14ac:dyDescent="0.2"/>
    <row r="75609" customFormat="1" x14ac:dyDescent="0.2"/>
    <row r="75610" customFormat="1" x14ac:dyDescent="0.2"/>
    <row r="75611" customFormat="1" x14ac:dyDescent="0.2"/>
    <row r="75612" customFormat="1" x14ac:dyDescent="0.2"/>
    <row r="75613" customFormat="1" x14ac:dyDescent="0.2"/>
    <row r="75614" customFormat="1" x14ac:dyDescent="0.2"/>
    <row r="75615" customFormat="1" x14ac:dyDescent="0.2"/>
    <row r="75616" customFormat="1" x14ac:dyDescent="0.2"/>
    <row r="75617" customFormat="1" x14ac:dyDescent="0.2"/>
    <row r="75618" customFormat="1" x14ac:dyDescent="0.2"/>
    <row r="75619" customFormat="1" x14ac:dyDescent="0.2"/>
    <row r="75620" customFormat="1" x14ac:dyDescent="0.2"/>
    <row r="75621" customFormat="1" x14ac:dyDescent="0.2"/>
    <row r="75622" customFormat="1" x14ac:dyDescent="0.2"/>
    <row r="75623" customFormat="1" x14ac:dyDescent="0.2"/>
    <row r="75624" customFormat="1" x14ac:dyDescent="0.2"/>
    <row r="75625" customFormat="1" x14ac:dyDescent="0.2"/>
    <row r="75626" customFormat="1" x14ac:dyDescent="0.2"/>
    <row r="75627" customFormat="1" x14ac:dyDescent="0.2"/>
    <row r="75628" customFormat="1" x14ac:dyDescent="0.2"/>
    <row r="75629" customFormat="1" x14ac:dyDescent="0.2"/>
    <row r="75630" customFormat="1" x14ac:dyDescent="0.2"/>
    <row r="75631" customFormat="1" x14ac:dyDescent="0.2"/>
    <row r="75632" customFormat="1" x14ac:dyDescent="0.2"/>
    <row r="75633" customFormat="1" x14ac:dyDescent="0.2"/>
    <row r="75634" customFormat="1" x14ac:dyDescent="0.2"/>
    <row r="75635" customFormat="1" x14ac:dyDescent="0.2"/>
    <row r="75636" customFormat="1" x14ac:dyDescent="0.2"/>
    <row r="75637" customFormat="1" x14ac:dyDescent="0.2"/>
    <row r="75638" customFormat="1" x14ac:dyDescent="0.2"/>
    <row r="75639" customFormat="1" x14ac:dyDescent="0.2"/>
    <row r="75640" customFormat="1" x14ac:dyDescent="0.2"/>
    <row r="75641" customFormat="1" x14ac:dyDescent="0.2"/>
    <row r="75642" customFormat="1" x14ac:dyDescent="0.2"/>
    <row r="75643" customFormat="1" x14ac:dyDescent="0.2"/>
    <row r="75644" customFormat="1" x14ac:dyDescent="0.2"/>
    <row r="75645" customFormat="1" x14ac:dyDescent="0.2"/>
    <row r="75646" customFormat="1" x14ac:dyDescent="0.2"/>
    <row r="75647" customFormat="1" x14ac:dyDescent="0.2"/>
    <row r="75648" customFormat="1" x14ac:dyDescent="0.2"/>
    <row r="75649" customFormat="1" x14ac:dyDescent="0.2"/>
    <row r="75650" customFormat="1" x14ac:dyDescent="0.2"/>
    <row r="75651" customFormat="1" x14ac:dyDescent="0.2"/>
    <row r="75652" customFormat="1" x14ac:dyDescent="0.2"/>
    <row r="75653" customFormat="1" x14ac:dyDescent="0.2"/>
    <row r="75654" customFormat="1" x14ac:dyDescent="0.2"/>
    <row r="75655" customFormat="1" x14ac:dyDescent="0.2"/>
    <row r="75656" customFormat="1" x14ac:dyDescent="0.2"/>
    <row r="75657" customFormat="1" x14ac:dyDescent="0.2"/>
    <row r="75658" customFormat="1" x14ac:dyDescent="0.2"/>
    <row r="75659" customFormat="1" x14ac:dyDescent="0.2"/>
    <row r="75660" customFormat="1" x14ac:dyDescent="0.2"/>
    <row r="75661" customFormat="1" x14ac:dyDescent="0.2"/>
    <row r="75662" customFormat="1" x14ac:dyDescent="0.2"/>
    <row r="75663" customFormat="1" x14ac:dyDescent="0.2"/>
    <row r="75664" customFormat="1" x14ac:dyDescent="0.2"/>
    <row r="75665" customFormat="1" x14ac:dyDescent="0.2"/>
    <row r="75666" customFormat="1" x14ac:dyDescent="0.2"/>
    <row r="75667" customFormat="1" x14ac:dyDescent="0.2"/>
    <row r="75668" customFormat="1" x14ac:dyDescent="0.2"/>
    <row r="75669" customFormat="1" x14ac:dyDescent="0.2"/>
    <row r="75670" customFormat="1" x14ac:dyDescent="0.2"/>
    <row r="75671" customFormat="1" x14ac:dyDescent="0.2"/>
    <row r="75672" customFormat="1" x14ac:dyDescent="0.2"/>
    <row r="75673" customFormat="1" x14ac:dyDescent="0.2"/>
    <row r="75674" customFormat="1" x14ac:dyDescent="0.2"/>
    <row r="75675" customFormat="1" x14ac:dyDescent="0.2"/>
    <row r="75676" customFormat="1" x14ac:dyDescent="0.2"/>
    <row r="75677" customFormat="1" x14ac:dyDescent="0.2"/>
    <row r="75678" customFormat="1" x14ac:dyDescent="0.2"/>
    <row r="75679" customFormat="1" x14ac:dyDescent="0.2"/>
    <row r="75680" customFormat="1" x14ac:dyDescent="0.2"/>
    <row r="75681" customFormat="1" x14ac:dyDescent="0.2"/>
    <row r="75682" customFormat="1" x14ac:dyDescent="0.2"/>
    <row r="75683" customFormat="1" x14ac:dyDescent="0.2"/>
    <row r="75684" customFormat="1" x14ac:dyDescent="0.2"/>
    <row r="75685" customFormat="1" x14ac:dyDescent="0.2"/>
    <row r="75686" customFormat="1" x14ac:dyDescent="0.2"/>
    <row r="75687" customFormat="1" x14ac:dyDescent="0.2"/>
    <row r="75688" customFormat="1" x14ac:dyDescent="0.2"/>
    <row r="75689" customFormat="1" x14ac:dyDescent="0.2"/>
    <row r="75690" customFormat="1" x14ac:dyDescent="0.2"/>
    <row r="75691" customFormat="1" x14ac:dyDescent="0.2"/>
    <row r="75692" customFormat="1" x14ac:dyDescent="0.2"/>
    <row r="75693" customFormat="1" x14ac:dyDescent="0.2"/>
    <row r="75694" customFormat="1" x14ac:dyDescent="0.2"/>
    <row r="75695" customFormat="1" x14ac:dyDescent="0.2"/>
    <row r="75696" customFormat="1" x14ac:dyDescent="0.2"/>
    <row r="75697" customFormat="1" x14ac:dyDescent="0.2"/>
    <row r="75698" customFormat="1" x14ac:dyDescent="0.2"/>
    <row r="75699" customFormat="1" x14ac:dyDescent="0.2"/>
    <row r="75700" customFormat="1" x14ac:dyDescent="0.2"/>
    <row r="75701" customFormat="1" x14ac:dyDescent="0.2"/>
    <row r="75702" customFormat="1" x14ac:dyDescent="0.2"/>
    <row r="75703" customFormat="1" x14ac:dyDescent="0.2"/>
    <row r="75704" customFormat="1" x14ac:dyDescent="0.2"/>
    <row r="75705" customFormat="1" x14ac:dyDescent="0.2"/>
    <row r="75706" customFormat="1" x14ac:dyDescent="0.2"/>
    <row r="75707" customFormat="1" x14ac:dyDescent="0.2"/>
    <row r="75708" customFormat="1" x14ac:dyDescent="0.2"/>
    <row r="75709" customFormat="1" x14ac:dyDescent="0.2"/>
    <row r="75710" customFormat="1" x14ac:dyDescent="0.2"/>
    <row r="75711" customFormat="1" x14ac:dyDescent="0.2"/>
    <row r="75712" customFormat="1" x14ac:dyDescent="0.2"/>
    <row r="75713" customFormat="1" x14ac:dyDescent="0.2"/>
    <row r="75714" customFormat="1" x14ac:dyDescent="0.2"/>
    <row r="75715" customFormat="1" x14ac:dyDescent="0.2"/>
    <row r="75716" customFormat="1" x14ac:dyDescent="0.2"/>
    <row r="75717" customFormat="1" x14ac:dyDescent="0.2"/>
    <row r="75718" customFormat="1" x14ac:dyDescent="0.2"/>
    <row r="75719" customFormat="1" x14ac:dyDescent="0.2"/>
    <row r="75720" customFormat="1" x14ac:dyDescent="0.2"/>
    <row r="75721" customFormat="1" x14ac:dyDescent="0.2"/>
    <row r="75722" customFormat="1" x14ac:dyDescent="0.2"/>
    <row r="75723" customFormat="1" x14ac:dyDescent="0.2"/>
    <row r="75724" customFormat="1" x14ac:dyDescent="0.2"/>
    <row r="75725" customFormat="1" x14ac:dyDescent="0.2"/>
    <row r="75726" customFormat="1" x14ac:dyDescent="0.2"/>
    <row r="75727" customFormat="1" x14ac:dyDescent="0.2"/>
    <row r="75728" customFormat="1" x14ac:dyDescent="0.2"/>
    <row r="75729" customFormat="1" x14ac:dyDescent="0.2"/>
    <row r="75730" customFormat="1" x14ac:dyDescent="0.2"/>
    <row r="75731" customFormat="1" x14ac:dyDescent="0.2"/>
    <row r="75732" customFormat="1" x14ac:dyDescent="0.2"/>
    <row r="75733" customFormat="1" x14ac:dyDescent="0.2"/>
    <row r="75734" customFormat="1" x14ac:dyDescent="0.2"/>
    <row r="75735" customFormat="1" x14ac:dyDescent="0.2"/>
    <row r="75736" customFormat="1" x14ac:dyDescent="0.2"/>
    <row r="75737" customFormat="1" x14ac:dyDescent="0.2"/>
    <row r="75738" customFormat="1" x14ac:dyDescent="0.2"/>
    <row r="75739" customFormat="1" x14ac:dyDescent="0.2"/>
    <row r="75740" customFormat="1" x14ac:dyDescent="0.2"/>
    <row r="75741" customFormat="1" x14ac:dyDescent="0.2"/>
    <row r="75742" customFormat="1" x14ac:dyDescent="0.2"/>
    <row r="75743" customFormat="1" x14ac:dyDescent="0.2"/>
    <row r="75744" customFormat="1" x14ac:dyDescent="0.2"/>
    <row r="75745" customFormat="1" x14ac:dyDescent="0.2"/>
    <row r="75746" customFormat="1" x14ac:dyDescent="0.2"/>
    <row r="75747" customFormat="1" x14ac:dyDescent="0.2"/>
    <row r="75748" customFormat="1" x14ac:dyDescent="0.2"/>
    <row r="75749" customFormat="1" x14ac:dyDescent="0.2"/>
    <row r="75750" customFormat="1" x14ac:dyDescent="0.2"/>
    <row r="75751" customFormat="1" x14ac:dyDescent="0.2"/>
    <row r="75752" customFormat="1" x14ac:dyDescent="0.2"/>
    <row r="75753" customFormat="1" x14ac:dyDescent="0.2"/>
    <row r="75754" customFormat="1" x14ac:dyDescent="0.2"/>
    <row r="75755" customFormat="1" x14ac:dyDescent="0.2"/>
    <row r="75756" customFormat="1" x14ac:dyDescent="0.2"/>
    <row r="75757" customFormat="1" x14ac:dyDescent="0.2"/>
    <row r="75758" customFormat="1" x14ac:dyDescent="0.2"/>
    <row r="75759" customFormat="1" x14ac:dyDescent="0.2"/>
    <row r="75760" customFormat="1" x14ac:dyDescent="0.2"/>
    <row r="75761" customFormat="1" x14ac:dyDescent="0.2"/>
    <row r="75762" customFormat="1" x14ac:dyDescent="0.2"/>
    <row r="75763" customFormat="1" x14ac:dyDescent="0.2"/>
    <row r="75764" customFormat="1" x14ac:dyDescent="0.2"/>
    <row r="75765" customFormat="1" x14ac:dyDescent="0.2"/>
    <row r="75766" customFormat="1" x14ac:dyDescent="0.2"/>
    <row r="75767" customFormat="1" x14ac:dyDescent="0.2"/>
    <row r="75768" customFormat="1" x14ac:dyDescent="0.2"/>
    <row r="75769" customFormat="1" x14ac:dyDescent="0.2"/>
    <row r="75770" customFormat="1" x14ac:dyDescent="0.2"/>
    <row r="75771" customFormat="1" x14ac:dyDescent="0.2"/>
    <row r="75772" customFormat="1" x14ac:dyDescent="0.2"/>
    <row r="75773" customFormat="1" x14ac:dyDescent="0.2"/>
    <row r="75774" customFormat="1" x14ac:dyDescent="0.2"/>
    <row r="75775" customFormat="1" x14ac:dyDescent="0.2"/>
    <row r="75776" customFormat="1" x14ac:dyDescent="0.2"/>
    <row r="75777" customFormat="1" x14ac:dyDescent="0.2"/>
    <row r="75778" customFormat="1" x14ac:dyDescent="0.2"/>
    <row r="75779" customFormat="1" x14ac:dyDescent="0.2"/>
    <row r="75780" customFormat="1" x14ac:dyDescent="0.2"/>
    <row r="75781" customFormat="1" x14ac:dyDescent="0.2"/>
    <row r="75782" customFormat="1" x14ac:dyDescent="0.2"/>
    <row r="75783" customFormat="1" x14ac:dyDescent="0.2"/>
    <row r="75784" customFormat="1" x14ac:dyDescent="0.2"/>
    <row r="75785" customFormat="1" x14ac:dyDescent="0.2"/>
    <row r="75786" customFormat="1" x14ac:dyDescent="0.2"/>
    <row r="75787" customFormat="1" x14ac:dyDescent="0.2"/>
    <row r="75788" customFormat="1" x14ac:dyDescent="0.2"/>
    <row r="75789" customFormat="1" x14ac:dyDescent="0.2"/>
    <row r="75790" customFormat="1" x14ac:dyDescent="0.2"/>
    <row r="75791" customFormat="1" x14ac:dyDescent="0.2"/>
    <row r="75792" customFormat="1" x14ac:dyDescent="0.2"/>
    <row r="75793" customFormat="1" x14ac:dyDescent="0.2"/>
    <row r="75794" customFormat="1" x14ac:dyDescent="0.2"/>
    <row r="75795" customFormat="1" x14ac:dyDescent="0.2"/>
    <row r="75796" customFormat="1" x14ac:dyDescent="0.2"/>
    <row r="75797" customFormat="1" x14ac:dyDescent="0.2"/>
    <row r="75798" customFormat="1" x14ac:dyDescent="0.2"/>
    <row r="75799" customFormat="1" x14ac:dyDescent="0.2"/>
    <row r="75800" customFormat="1" x14ac:dyDescent="0.2"/>
    <row r="75801" customFormat="1" x14ac:dyDescent="0.2"/>
    <row r="75802" customFormat="1" x14ac:dyDescent="0.2"/>
    <row r="75803" customFormat="1" x14ac:dyDescent="0.2"/>
    <row r="75804" customFormat="1" x14ac:dyDescent="0.2"/>
    <row r="75805" customFormat="1" x14ac:dyDescent="0.2"/>
    <row r="75806" customFormat="1" x14ac:dyDescent="0.2"/>
    <row r="75807" customFormat="1" x14ac:dyDescent="0.2"/>
    <row r="75808" customFormat="1" x14ac:dyDescent="0.2"/>
    <row r="75809" customFormat="1" x14ac:dyDescent="0.2"/>
    <row r="75810" customFormat="1" x14ac:dyDescent="0.2"/>
    <row r="75811" customFormat="1" x14ac:dyDescent="0.2"/>
    <row r="75812" customFormat="1" x14ac:dyDescent="0.2"/>
    <row r="75813" customFormat="1" x14ac:dyDescent="0.2"/>
    <row r="75814" customFormat="1" x14ac:dyDescent="0.2"/>
    <row r="75815" customFormat="1" x14ac:dyDescent="0.2"/>
    <row r="75816" customFormat="1" x14ac:dyDescent="0.2"/>
    <row r="75817" customFormat="1" x14ac:dyDescent="0.2"/>
    <row r="75818" customFormat="1" x14ac:dyDescent="0.2"/>
    <row r="75819" customFormat="1" x14ac:dyDescent="0.2"/>
    <row r="75820" customFormat="1" x14ac:dyDescent="0.2"/>
    <row r="75821" customFormat="1" x14ac:dyDescent="0.2"/>
    <row r="75822" customFormat="1" x14ac:dyDescent="0.2"/>
    <row r="75823" customFormat="1" x14ac:dyDescent="0.2"/>
    <row r="75824" customFormat="1" x14ac:dyDescent="0.2"/>
    <row r="75825" customFormat="1" x14ac:dyDescent="0.2"/>
    <row r="75826" customFormat="1" x14ac:dyDescent="0.2"/>
    <row r="75827" customFormat="1" x14ac:dyDescent="0.2"/>
    <row r="75828" customFormat="1" x14ac:dyDescent="0.2"/>
    <row r="75829" customFormat="1" x14ac:dyDescent="0.2"/>
    <row r="75830" customFormat="1" x14ac:dyDescent="0.2"/>
    <row r="75831" customFormat="1" x14ac:dyDescent="0.2"/>
    <row r="75832" customFormat="1" x14ac:dyDescent="0.2"/>
    <row r="75833" customFormat="1" x14ac:dyDescent="0.2"/>
    <row r="75834" customFormat="1" x14ac:dyDescent="0.2"/>
    <row r="75835" customFormat="1" x14ac:dyDescent="0.2"/>
    <row r="75836" customFormat="1" x14ac:dyDescent="0.2"/>
    <row r="75837" customFormat="1" x14ac:dyDescent="0.2"/>
    <row r="75838" customFormat="1" x14ac:dyDescent="0.2"/>
    <row r="75839" customFormat="1" x14ac:dyDescent="0.2"/>
    <row r="75840" customFormat="1" x14ac:dyDescent="0.2"/>
    <row r="75841" customFormat="1" x14ac:dyDescent="0.2"/>
    <row r="75842" customFormat="1" x14ac:dyDescent="0.2"/>
    <row r="75843" customFormat="1" x14ac:dyDescent="0.2"/>
    <row r="75844" customFormat="1" x14ac:dyDescent="0.2"/>
    <row r="75845" customFormat="1" x14ac:dyDescent="0.2"/>
    <row r="75846" customFormat="1" x14ac:dyDescent="0.2"/>
    <row r="75847" customFormat="1" x14ac:dyDescent="0.2"/>
    <row r="75848" customFormat="1" x14ac:dyDescent="0.2"/>
    <row r="75849" customFormat="1" x14ac:dyDescent="0.2"/>
    <row r="75850" customFormat="1" x14ac:dyDescent="0.2"/>
    <row r="75851" customFormat="1" x14ac:dyDescent="0.2"/>
    <row r="75852" customFormat="1" x14ac:dyDescent="0.2"/>
    <row r="75853" customFormat="1" x14ac:dyDescent="0.2"/>
    <row r="75854" customFormat="1" x14ac:dyDescent="0.2"/>
    <row r="75855" customFormat="1" x14ac:dyDescent="0.2"/>
    <row r="75856" customFormat="1" x14ac:dyDescent="0.2"/>
    <row r="75857" customFormat="1" x14ac:dyDescent="0.2"/>
    <row r="75858" customFormat="1" x14ac:dyDescent="0.2"/>
    <row r="75859" customFormat="1" x14ac:dyDescent="0.2"/>
    <row r="75860" customFormat="1" x14ac:dyDescent="0.2"/>
    <row r="75861" customFormat="1" x14ac:dyDescent="0.2"/>
    <row r="75862" customFormat="1" x14ac:dyDescent="0.2"/>
    <row r="75863" customFormat="1" x14ac:dyDescent="0.2"/>
    <row r="75864" customFormat="1" x14ac:dyDescent="0.2"/>
    <row r="75865" customFormat="1" x14ac:dyDescent="0.2"/>
    <row r="75866" customFormat="1" x14ac:dyDescent="0.2"/>
    <row r="75867" customFormat="1" x14ac:dyDescent="0.2"/>
    <row r="75868" customFormat="1" x14ac:dyDescent="0.2"/>
    <row r="75869" customFormat="1" x14ac:dyDescent="0.2"/>
    <row r="75870" customFormat="1" x14ac:dyDescent="0.2"/>
    <row r="75871" customFormat="1" x14ac:dyDescent="0.2"/>
    <row r="75872" customFormat="1" x14ac:dyDescent="0.2"/>
    <row r="75873" customFormat="1" x14ac:dyDescent="0.2"/>
    <row r="75874" customFormat="1" x14ac:dyDescent="0.2"/>
    <row r="75875" customFormat="1" x14ac:dyDescent="0.2"/>
    <row r="75876" customFormat="1" x14ac:dyDescent="0.2"/>
    <row r="75877" customFormat="1" x14ac:dyDescent="0.2"/>
    <row r="75878" customFormat="1" x14ac:dyDescent="0.2"/>
    <row r="75879" customFormat="1" x14ac:dyDescent="0.2"/>
    <row r="75880" customFormat="1" x14ac:dyDescent="0.2"/>
    <row r="75881" customFormat="1" x14ac:dyDescent="0.2"/>
    <row r="75882" customFormat="1" x14ac:dyDescent="0.2"/>
    <row r="75883" customFormat="1" x14ac:dyDescent="0.2"/>
    <row r="75884" customFormat="1" x14ac:dyDescent="0.2"/>
    <row r="75885" customFormat="1" x14ac:dyDescent="0.2"/>
    <row r="75886" customFormat="1" x14ac:dyDescent="0.2"/>
    <row r="75887" customFormat="1" x14ac:dyDescent="0.2"/>
    <row r="75888" customFormat="1" x14ac:dyDescent="0.2"/>
    <row r="75889" customFormat="1" x14ac:dyDescent="0.2"/>
    <row r="75890" customFormat="1" x14ac:dyDescent="0.2"/>
    <row r="75891" customFormat="1" x14ac:dyDescent="0.2"/>
    <row r="75892" customFormat="1" x14ac:dyDescent="0.2"/>
    <row r="75893" customFormat="1" x14ac:dyDescent="0.2"/>
    <row r="75894" customFormat="1" x14ac:dyDescent="0.2"/>
    <row r="75895" customFormat="1" x14ac:dyDescent="0.2"/>
    <row r="75896" customFormat="1" x14ac:dyDescent="0.2"/>
    <row r="75897" customFormat="1" x14ac:dyDescent="0.2"/>
    <row r="75898" customFormat="1" x14ac:dyDescent="0.2"/>
    <row r="75899" customFormat="1" x14ac:dyDescent="0.2"/>
    <row r="75900" customFormat="1" x14ac:dyDescent="0.2"/>
    <row r="75901" customFormat="1" x14ac:dyDescent="0.2"/>
    <row r="75902" customFormat="1" x14ac:dyDescent="0.2"/>
    <row r="75903" customFormat="1" x14ac:dyDescent="0.2"/>
    <row r="75904" customFormat="1" x14ac:dyDescent="0.2"/>
    <row r="75905" customFormat="1" x14ac:dyDescent="0.2"/>
    <row r="75906" customFormat="1" x14ac:dyDescent="0.2"/>
    <row r="75907" customFormat="1" x14ac:dyDescent="0.2"/>
    <row r="75908" customFormat="1" x14ac:dyDescent="0.2"/>
    <row r="75909" customFormat="1" x14ac:dyDescent="0.2"/>
    <row r="75910" customFormat="1" x14ac:dyDescent="0.2"/>
    <row r="75911" customFormat="1" x14ac:dyDescent="0.2"/>
    <row r="75912" customFormat="1" x14ac:dyDescent="0.2"/>
    <row r="75913" customFormat="1" x14ac:dyDescent="0.2"/>
    <row r="75914" customFormat="1" x14ac:dyDescent="0.2"/>
    <row r="75915" customFormat="1" x14ac:dyDescent="0.2"/>
    <row r="75916" customFormat="1" x14ac:dyDescent="0.2"/>
    <row r="75917" customFormat="1" x14ac:dyDescent="0.2"/>
    <row r="75918" customFormat="1" x14ac:dyDescent="0.2"/>
    <row r="75919" customFormat="1" x14ac:dyDescent="0.2"/>
    <row r="75920" customFormat="1" x14ac:dyDescent="0.2"/>
    <row r="75921" customFormat="1" x14ac:dyDescent="0.2"/>
    <row r="75922" customFormat="1" x14ac:dyDescent="0.2"/>
    <row r="75923" customFormat="1" x14ac:dyDescent="0.2"/>
    <row r="75924" customFormat="1" x14ac:dyDescent="0.2"/>
    <row r="75925" customFormat="1" x14ac:dyDescent="0.2"/>
    <row r="75926" customFormat="1" x14ac:dyDescent="0.2"/>
    <row r="75927" customFormat="1" x14ac:dyDescent="0.2"/>
    <row r="75928" customFormat="1" x14ac:dyDescent="0.2"/>
    <row r="75929" customFormat="1" x14ac:dyDescent="0.2"/>
    <row r="75930" customFormat="1" x14ac:dyDescent="0.2"/>
    <row r="75931" customFormat="1" x14ac:dyDescent="0.2"/>
    <row r="75932" customFormat="1" x14ac:dyDescent="0.2"/>
    <row r="75933" customFormat="1" x14ac:dyDescent="0.2"/>
    <row r="75934" customFormat="1" x14ac:dyDescent="0.2"/>
    <row r="75935" customFormat="1" x14ac:dyDescent="0.2"/>
    <row r="75936" customFormat="1" x14ac:dyDescent="0.2"/>
    <row r="75937" customFormat="1" x14ac:dyDescent="0.2"/>
    <row r="75938" customFormat="1" x14ac:dyDescent="0.2"/>
    <row r="75939" customFormat="1" x14ac:dyDescent="0.2"/>
    <row r="75940" customFormat="1" x14ac:dyDescent="0.2"/>
    <row r="75941" customFormat="1" x14ac:dyDescent="0.2"/>
    <row r="75942" customFormat="1" x14ac:dyDescent="0.2"/>
    <row r="75943" customFormat="1" x14ac:dyDescent="0.2"/>
    <row r="75944" customFormat="1" x14ac:dyDescent="0.2"/>
    <row r="75945" customFormat="1" x14ac:dyDescent="0.2"/>
    <row r="75946" customFormat="1" x14ac:dyDescent="0.2"/>
    <row r="75947" customFormat="1" x14ac:dyDescent="0.2"/>
    <row r="75948" customFormat="1" x14ac:dyDescent="0.2"/>
    <row r="75949" customFormat="1" x14ac:dyDescent="0.2"/>
    <row r="75950" customFormat="1" x14ac:dyDescent="0.2"/>
    <row r="75951" customFormat="1" x14ac:dyDescent="0.2"/>
    <row r="75952" customFormat="1" x14ac:dyDescent="0.2"/>
    <row r="75953" customFormat="1" x14ac:dyDescent="0.2"/>
    <row r="75954" customFormat="1" x14ac:dyDescent="0.2"/>
    <row r="75955" customFormat="1" x14ac:dyDescent="0.2"/>
    <row r="75956" customFormat="1" x14ac:dyDescent="0.2"/>
    <row r="75957" customFormat="1" x14ac:dyDescent="0.2"/>
    <row r="75958" customFormat="1" x14ac:dyDescent="0.2"/>
    <row r="75959" customFormat="1" x14ac:dyDescent="0.2"/>
    <row r="75960" customFormat="1" x14ac:dyDescent="0.2"/>
    <row r="75961" customFormat="1" x14ac:dyDescent="0.2"/>
    <row r="75962" customFormat="1" x14ac:dyDescent="0.2"/>
    <row r="75963" customFormat="1" x14ac:dyDescent="0.2"/>
    <row r="75964" customFormat="1" x14ac:dyDescent="0.2"/>
    <row r="75965" customFormat="1" x14ac:dyDescent="0.2"/>
    <row r="75966" customFormat="1" x14ac:dyDescent="0.2"/>
    <row r="75967" customFormat="1" x14ac:dyDescent="0.2"/>
    <row r="75968" customFormat="1" x14ac:dyDescent="0.2"/>
    <row r="75969" customFormat="1" x14ac:dyDescent="0.2"/>
    <row r="75970" customFormat="1" x14ac:dyDescent="0.2"/>
    <row r="75971" customFormat="1" x14ac:dyDescent="0.2"/>
    <row r="75972" customFormat="1" x14ac:dyDescent="0.2"/>
    <row r="75973" customFormat="1" x14ac:dyDescent="0.2"/>
    <row r="75974" customFormat="1" x14ac:dyDescent="0.2"/>
    <row r="75975" customFormat="1" x14ac:dyDescent="0.2"/>
    <row r="75976" customFormat="1" x14ac:dyDescent="0.2"/>
    <row r="75977" customFormat="1" x14ac:dyDescent="0.2"/>
    <row r="75978" customFormat="1" x14ac:dyDescent="0.2"/>
    <row r="75979" customFormat="1" x14ac:dyDescent="0.2"/>
    <row r="75980" customFormat="1" x14ac:dyDescent="0.2"/>
    <row r="75981" customFormat="1" x14ac:dyDescent="0.2"/>
    <row r="75982" customFormat="1" x14ac:dyDescent="0.2"/>
    <row r="75983" customFormat="1" x14ac:dyDescent="0.2"/>
    <row r="75984" customFormat="1" x14ac:dyDescent="0.2"/>
    <row r="75985" customFormat="1" x14ac:dyDescent="0.2"/>
    <row r="75986" customFormat="1" x14ac:dyDescent="0.2"/>
    <row r="75987" customFormat="1" x14ac:dyDescent="0.2"/>
    <row r="75988" customFormat="1" x14ac:dyDescent="0.2"/>
    <row r="75989" customFormat="1" x14ac:dyDescent="0.2"/>
    <row r="75990" customFormat="1" x14ac:dyDescent="0.2"/>
    <row r="75991" customFormat="1" x14ac:dyDescent="0.2"/>
    <row r="75992" customFormat="1" x14ac:dyDescent="0.2"/>
    <row r="75993" customFormat="1" x14ac:dyDescent="0.2"/>
    <row r="75994" customFormat="1" x14ac:dyDescent="0.2"/>
    <row r="75995" customFormat="1" x14ac:dyDescent="0.2"/>
    <row r="75996" customFormat="1" x14ac:dyDescent="0.2"/>
    <row r="75997" customFormat="1" x14ac:dyDescent="0.2"/>
    <row r="75998" customFormat="1" x14ac:dyDescent="0.2"/>
    <row r="75999" customFormat="1" x14ac:dyDescent="0.2"/>
    <row r="76000" customFormat="1" x14ac:dyDescent="0.2"/>
    <row r="76001" customFormat="1" x14ac:dyDescent="0.2"/>
    <row r="76002" customFormat="1" x14ac:dyDescent="0.2"/>
    <row r="76003" customFormat="1" x14ac:dyDescent="0.2"/>
    <row r="76004" customFormat="1" x14ac:dyDescent="0.2"/>
    <row r="76005" customFormat="1" x14ac:dyDescent="0.2"/>
    <row r="76006" customFormat="1" x14ac:dyDescent="0.2"/>
    <row r="76007" customFormat="1" x14ac:dyDescent="0.2"/>
    <row r="76008" customFormat="1" x14ac:dyDescent="0.2"/>
    <row r="76009" customFormat="1" x14ac:dyDescent="0.2"/>
    <row r="76010" customFormat="1" x14ac:dyDescent="0.2"/>
    <row r="76011" customFormat="1" x14ac:dyDescent="0.2"/>
    <row r="76012" customFormat="1" x14ac:dyDescent="0.2"/>
    <row r="76013" customFormat="1" x14ac:dyDescent="0.2"/>
    <row r="76014" customFormat="1" x14ac:dyDescent="0.2"/>
    <row r="76015" customFormat="1" x14ac:dyDescent="0.2"/>
    <row r="76016" customFormat="1" x14ac:dyDescent="0.2"/>
    <row r="76017" customFormat="1" x14ac:dyDescent="0.2"/>
    <row r="76018" customFormat="1" x14ac:dyDescent="0.2"/>
    <row r="76019" customFormat="1" x14ac:dyDescent="0.2"/>
    <row r="76020" customFormat="1" x14ac:dyDescent="0.2"/>
    <row r="76021" customFormat="1" x14ac:dyDescent="0.2"/>
    <row r="76022" customFormat="1" x14ac:dyDescent="0.2"/>
    <row r="76023" customFormat="1" x14ac:dyDescent="0.2"/>
    <row r="76024" customFormat="1" x14ac:dyDescent="0.2"/>
    <row r="76025" customFormat="1" x14ac:dyDescent="0.2"/>
    <row r="76026" customFormat="1" x14ac:dyDescent="0.2"/>
    <row r="76027" customFormat="1" x14ac:dyDescent="0.2"/>
    <row r="76028" customFormat="1" x14ac:dyDescent="0.2"/>
    <row r="76029" customFormat="1" x14ac:dyDescent="0.2"/>
    <row r="76030" customFormat="1" x14ac:dyDescent="0.2"/>
    <row r="76031" customFormat="1" x14ac:dyDescent="0.2"/>
    <row r="76032" customFormat="1" x14ac:dyDescent="0.2"/>
    <row r="76033" customFormat="1" x14ac:dyDescent="0.2"/>
    <row r="76034" customFormat="1" x14ac:dyDescent="0.2"/>
    <row r="76035" customFormat="1" x14ac:dyDescent="0.2"/>
    <row r="76036" customFormat="1" x14ac:dyDescent="0.2"/>
    <row r="76037" customFormat="1" x14ac:dyDescent="0.2"/>
    <row r="76038" customFormat="1" x14ac:dyDescent="0.2"/>
    <row r="76039" customFormat="1" x14ac:dyDescent="0.2"/>
    <row r="76040" customFormat="1" x14ac:dyDescent="0.2"/>
    <row r="76041" customFormat="1" x14ac:dyDescent="0.2"/>
    <row r="76042" customFormat="1" x14ac:dyDescent="0.2"/>
    <row r="76043" customFormat="1" x14ac:dyDescent="0.2"/>
    <row r="76044" customFormat="1" x14ac:dyDescent="0.2"/>
    <row r="76045" customFormat="1" x14ac:dyDescent="0.2"/>
    <row r="76046" customFormat="1" x14ac:dyDescent="0.2"/>
    <row r="76047" customFormat="1" x14ac:dyDescent="0.2"/>
    <row r="76048" customFormat="1" x14ac:dyDescent="0.2"/>
    <row r="76049" customFormat="1" x14ac:dyDescent="0.2"/>
    <row r="76050" customFormat="1" x14ac:dyDescent="0.2"/>
    <row r="76051" customFormat="1" x14ac:dyDescent="0.2"/>
    <row r="76052" customFormat="1" x14ac:dyDescent="0.2"/>
    <row r="76053" customFormat="1" x14ac:dyDescent="0.2"/>
    <row r="76054" customFormat="1" x14ac:dyDescent="0.2"/>
    <row r="76055" customFormat="1" x14ac:dyDescent="0.2"/>
    <row r="76056" customFormat="1" x14ac:dyDescent="0.2"/>
    <row r="76057" customFormat="1" x14ac:dyDescent="0.2"/>
    <row r="76058" customFormat="1" x14ac:dyDescent="0.2"/>
    <row r="76059" customFormat="1" x14ac:dyDescent="0.2"/>
    <row r="76060" customFormat="1" x14ac:dyDescent="0.2"/>
    <row r="76061" customFormat="1" x14ac:dyDescent="0.2"/>
    <row r="76062" customFormat="1" x14ac:dyDescent="0.2"/>
    <row r="76063" customFormat="1" x14ac:dyDescent="0.2"/>
    <row r="76064" customFormat="1" x14ac:dyDescent="0.2"/>
    <row r="76065" customFormat="1" x14ac:dyDescent="0.2"/>
    <row r="76066" customFormat="1" x14ac:dyDescent="0.2"/>
    <row r="76067" customFormat="1" x14ac:dyDescent="0.2"/>
    <row r="76068" customFormat="1" x14ac:dyDescent="0.2"/>
    <row r="76069" customFormat="1" x14ac:dyDescent="0.2"/>
    <row r="76070" customFormat="1" x14ac:dyDescent="0.2"/>
    <row r="76071" customFormat="1" x14ac:dyDescent="0.2"/>
    <row r="76072" customFormat="1" x14ac:dyDescent="0.2"/>
    <row r="76073" customFormat="1" x14ac:dyDescent="0.2"/>
    <row r="76074" customFormat="1" x14ac:dyDescent="0.2"/>
    <row r="76075" customFormat="1" x14ac:dyDescent="0.2"/>
    <row r="76076" customFormat="1" x14ac:dyDescent="0.2"/>
    <row r="76077" customFormat="1" x14ac:dyDescent="0.2"/>
    <row r="76078" customFormat="1" x14ac:dyDescent="0.2"/>
    <row r="76079" customFormat="1" x14ac:dyDescent="0.2"/>
    <row r="76080" customFormat="1" x14ac:dyDescent="0.2"/>
    <row r="76081" customFormat="1" x14ac:dyDescent="0.2"/>
    <row r="76082" customFormat="1" x14ac:dyDescent="0.2"/>
    <row r="76083" customFormat="1" x14ac:dyDescent="0.2"/>
    <row r="76084" customFormat="1" x14ac:dyDescent="0.2"/>
    <row r="76085" customFormat="1" x14ac:dyDescent="0.2"/>
    <row r="76086" customFormat="1" x14ac:dyDescent="0.2"/>
    <row r="76087" customFormat="1" x14ac:dyDescent="0.2"/>
    <row r="76088" customFormat="1" x14ac:dyDescent="0.2"/>
    <row r="76089" customFormat="1" x14ac:dyDescent="0.2"/>
    <row r="76090" customFormat="1" x14ac:dyDescent="0.2"/>
    <row r="76091" customFormat="1" x14ac:dyDescent="0.2"/>
    <row r="76092" customFormat="1" x14ac:dyDescent="0.2"/>
    <row r="76093" customFormat="1" x14ac:dyDescent="0.2"/>
    <row r="76094" customFormat="1" x14ac:dyDescent="0.2"/>
    <row r="76095" customFormat="1" x14ac:dyDescent="0.2"/>
    <row r="76096" customFormat="1" x14ac:dyDescent="0.2"/>
    <row r="76097" customFormat="1" x14ac:dyDescent="0.2"/>
    <row r="76098" customFormat="1" x14ac:dyDescent="0.2"/>
    <row r="76099" customFormat="1" x14ac:dyDescent="0.2"/>
    <row r="76100" customFormat="1" x14ac:dyDescent="0.2"/>
    <row r="76101" customFormat="1" x14ac:dyDescent="0.2"/>
    <row r="76102" customFormat="1" x14ac:dyDescent="0.2"/>
    <row r="76103" customFormat="1" x14ac:dyDescent="0.2"/>
    <row r="76104" customFormat="1" x14ac:dyDescent="0.2"/>
    <row r="76105" customFormat="1" x14ac:dyDescent="0.2"/>
    <row r="76106" customFormat="1" x14ac:dyDescent="0.2"/>
    <row r="76107" customFormat="1" x14ac:dyDescent="0.2"/>
    <row r="76108" customFormat="1" x14ac:dyDescent="0.2"/>
    <row r="76109" customFormat="1" x14ac:dyDescent="0.2"/>
    <row r="76110" customFormat="1" x14ac:dyDescent="0.2"/>
    <row r="76111" customFormat="1" x14ac:dyDescent="0.2"/>
    <row r="76112" customFormat="1" x14ac:dyDescent="0.2"/>
    <row r="76113" customFormat="1" x14ac:dyDescent="0.2"/>
    <row r="76114" customFormat="1" x14ac:dyDescent="0.2"/>
    <row r="76115" customFormat="1" x14ac:dyDescent="0.2"/>
    <row r="76116" customFormat="1" x14ac:dyDescent="0.2"/>
    <row r="76117" customFormat="1" x14ac:dyDescent="0.2"/>
    <row r="76118" customFormat="1" x14ac:dyDescent="0.2"/>
    <row r="76119" customFormat="1" x14ac:dyDescent="0.2"/>
    <row r="76120" customFormat="1" x14ac:dyDescent="0.2"/>
    <row r="76121" customFormat="1" x14ac:dyDescent="0.2"/>
    <row r="76122" customFormat="1" x14ac:dyDescent="0.2"/>
    <row r="76123" customFormat="1" x14ac:dyDescent="0.2"/>
    <row r="76124" customFormat="1" x14ac:dyDescent="0.2"/>
    <row r="76125" customFormat="1" x14ac:dyDescent="0.2"/>
    <row r="76126" customFormat="1" x14ac:dyDescent="0.2"/>
    <row r="76127" customFormat="1" x14ac:dyDescent="0.2"/>
    <row r="76128" customFormat="1" x14ac:dyDescent="0.2"/>
    <row r="76129" customFormat="1" x14ac:dyDescent="0.2"/>
    <row r="76130" customFormat="1" x14ac:dyDescent="0.2"/>
    <row r="76131" customFormat="1" x14ac:dyDescent="0.2"/>
    <row r="76132" customFormat="1" x14ac:dyDescent="0.2"/>
    <row r="76133" customFormat="1" x14ac:dyDescent="0.2"/>
    <row r="76134" customFormat="1" x14ac:dyDescent="0.2"/>
    <row r="76135" customFormat="1" x14ac:dyDescent="0.2"/>
    <row r="76136" customFormat="1" x14ac:dyDescent="0.2"/>
    <row r="76137" customFormat="1" x14ac:dyDescent="0.2"/>
    <row r="76138" customFormat="1" x14ac:dyDescent="0.2"/>
    <row r="76139" customFormat="1" x14ac:dyDescent="0.2"/>
    <row r="76140" customFormat="1" x14ac:dyDescent="0.2"/>
    <row r="76141" customFormat="1" x14ac:dyDescent="0.2"/>
    <row r="76142" customFormat="1" x14ac:dyDescent="0.2"/>
    <row r="76143" customFormat="1" x14ac:dyDescent="0.2"/>
    <row r="76144" customFormat="1" x14ac:dyDescent="0.2"/>
    <row r="76145" customFormat="1" x14ac:dyDescent="0.2"/>
    <row r="76146" customFormat="1" x14ac:dyDescent="0.2"/>
    <row r="76147" customFormat="1" x14ac:dyDescent="0.2"/>
    <row r="76148" customFormat="1" x14ac:dyDescent="0.2"/>
    <row r="76149" customFormat="1" x14ac:dyDescent="0.2"/>
    <row r="76150" customFormat="1" x14ac:dyDescent="0.2"/>
    <row r="76151" customFormat="1" x14ac:dyDescent="0.2"/>
    <row r="76152" customFormat="1" x14ac:dyDescent="0.2"/>
    <row r="76153" customFormat="1" x14ac:dyDescent="0.2"/>
    <row r="76154" customFormat="1" x14ac:dyDescent="0.2"/>
    <row r="76155" customFormat="1" x14ac:dyDescent="0.2"/>
    <row r="76156" customFormat="1" x14ac:dyDescent="0.2"/>
    <row r="76157" customFormat="1" x14ac:dyDescent="0.2"/>
    <row r="76158" customFormat="1" x14ac:dyDescent="0.2"/>
    <row r="76159" customFormat="1" x14ac:dyDescent="0.2"/>
    <row r="76160" customFormat="1" x14ac:dyDescent="0.2"/>
    <row r="76161" customFormat="1" x14ac:dyDescent="0.2"/>
    <row r="76162" customFormat="1" x14ac:dyDescent="0.2"/>
    <row r="76163" customFormat="1" x14ac:dyDescent="0.2"/>
    <row r="76164" customFormat="1" x14ac:dyDescent="0.2"/>
    <row r="76165" customFormat="1" x14ac:dyDescent="0.2"/>
    <row r="76166" customFormat="1" x14ac:dyDescent="0.2"/>
    <row r="76167" customFormat="1" x14ac:dyDescent="0.2"/>
    <row r="76168" customFormat="1" x14ac:dyDescent="0.2"/>
    <row r="76169" customFormat="1" x14ac:dyDescent="0.2"/>
    <row r="76170" customFormat="1" x14ac:dyDescent="0.2"/>
    <row r="76171" customFormat="1" x14ac:dyDescent="0.2"/>
    <row r="76172" customFormat="1" x14ac:dyDescent="0.2"/>
    <row r="76173" customFormat="1" x14ac:dyDescent="0.2"/>
    <row r="76174" customFormat="1" x14ac:dyDescent="0.2"/>
    <row r="76175" customFormat="1" x14ac:dyDescent="0.2"/>
    <row r="76176" customFormat="1" x14ac:dyDescent="0.2"/>
    <row r="76177" customFormat="1" x14ac:dyDescent="0.2"/>
    <row r="76178" customFormat="1" x14ac:dyDescent="0.2"/>
    <row r="76179" customFormat="1" x14ac:dyDescent="0.2"/>
    <row r="76180" customFormat="1" x14ac:dyDescent="0.2"/>
    <row r="76181" customFormat="1" x14ac:dyDescent="0.2"/>
    <row r="76182" customFormat="1" x14ac:dyDescent="0.2"/>
    <row r="76183" customFormat="1" x14ac:dyDescent="0.2"/>
    <row r="76184" customFormat="1" x14ac:dyDescent="0.2"/>
    <row r="76185" customFormat="1" x14ac:dyDescent="0.2"/>
    <row r="76186" customFormat="1" x14ac:dyDescent="0.2"/>
    <row r="76187" customFormat="1" x14ac:dyDescent="0.2"/>
    <row r="76188" customFormat="1" x14ac:dyDescent="0.2"/>
    <row r="76189" customFormat="1" x14ac:dyDescent="0.2"/>
    <row r="76190" customFormat="1" x14ac:dyDescent="0.2"/>
    <row r="76191" customFormat="1" x14ac:dyDescent="0.2"/>
    <row r="76192" customFormat="1" x14ac:dyDescent="0.2"/>
    <row r="76193" customFormat="1" x14ac:dyDescent="0.2"/>
    <row r="76194" customFormat="1" x14ac:dyDescent="0.2"/>
    <row r="76195" customFormat="1" x14ac:dyDescent="0.2"/>
    <row r="76196" customFormat="1" x14ac:dyDescent="0.2"/>
    <row r="76197" customFormat="1" x14ac:dyDescent="0.2"/>
    <row r="76198" customFormat="1" x14ac:dyDescent="0.2"/>
    <row r="76199" customFormat="1" x14ac:dyDescent="0.2"/>
    <row r="76200" customFormat="1" x14ac:dyDescent="0.2"/>
    <row r="76201" customFormat="1" x14ac:dyDescent="0.2"/>
    <row r="76202" customFormat="1" x14ac:dyDescent="0.2"/>
    <row r="76203" customFormat="1" x14ac:dyDescent="0.2"/>
    <row r="76204" customFormat="1" x14ac:dyDescent="0.2"/>
    <row r="76205" customFormat="1" x14ac:dyDescent="0.2"/>
    <row r="76206" customFormat="1" x14ac:dyDescent="0.2"/>
    <row r="76207" customFormat="1" x14ac:dyDescent="0.2"/>
    <row r="76208" customFormat="1" x14ac:dyDescent="0.2"/>
    <row r="76209" customFormat="1" x14ac:dyDescent="0.2"/>
    <row r="76210" customFormat="1" x14ac:dyDescent="0.2"/>
    <row r="76211" customFormat="1" x14ac:dyDescent="0.2"/>
    <row r="76212" customFormat="1" x14ac:dyDescent="0.2"/>
    <row r="76213" customFormat="1" x14ac:dyDescent="0.2"/>
    <row r="76214" customFormat="1" x14ac:dyDescent="0.2"/>
    <row r="76215" customFormat="1" x14ac:dyDescent="0.2"/>
    <row r="76216" customFormat="1" x14ac:dyDescent="0.2"/>
    <row r="76217" customFormat="1" x14ac:dyDescent="0.2"/>
    <row r="76218" customFormat="1" x14ac:dyDescent="0.2"/>
    <row r="76219" customFormat="1" x14ac:dyDescent="0.2"/>
    <row r="76220" customFormat="1" x14ac:dyDescent="0.2"/>
    <row r="76221" customFormat="1" x14ac:dyDescent="0.2"/>
    <row r="76222" customFormat="1" x14ac:dyDescent="0.2"/>
    <row r="76223" customFormat="1" x14ac:dyDescent="0.2"/>
    <row r="76224" customFormat="1" x14ac:dyDescent="0.2"/>
    <row r="76225" customFormat="1" x14ac:dyDescent="0.2"/>
    <row r="76226" customFormat="1" x14ac:dyDescent="0.2"/>
    <row r="76227" customFormat="1" x14ac:dyDescent="0.2"/>
    <row r="76228" customFormat="1" x14ac:dyDescent="0.2"/>
    <row r="76229" customFormat="1" x14ac:dyDescent="0.2"/>
    <row r="76230" customFormat="1" x14ac:dyDescent="0.2"/>
    <row r="76231" customFormat="1" x14ac:dyDescent="0.2"/>
    <row r="76232" customFormat="1" x14ac:dyDescent="0.2"/>
    <row r="76233" customFormat="1" x14ac:dyDescent="0.2"/>
    <row r="76234" customFormat="1" x14ac:dyDescent="0.2"/>
    <row r="76235" customFormat="1" x14ac:dyDescent="0.2"/>
    <row r="76236" customFormat="1" x14ac:dyDescent="0.2"/>
    <row r="76237" customFormat="1" x14ac:dyDescent="0.2"/>
    <row r="76238" customFormat="1" x14ac:dyDescent="0.2"/>
    <row r="76239" customFormat="1" x14ac:dyDescent="0.2"/>
    <row r="76240" customFormat="1" x14ac:dyDescent="0.2"/>
    <row r="76241" customFormat="1" x14ac:dyDescent="0.2"/>
    <row r="76242" customFormat="1" x14ac:dyDescent="0.2"/>
    <row r="76243" customFormat="1" x14ac:dyDescent="0.2"/>
    <row r="76244" customFormat="1" x14ac:dyDescent="0.2"/>
    <row r="76245" customFormat="1" x14ac:dyDescent="0.2"/>
    <row r="76246" customFormat="1" x14ac:dyDescent="0.2"/>
    <row r="76247" customFormat="1" x14ac:dyDescent="0.2"/>
    <row r="76248" customFormat="1" x14ac:dyDescent="0.2"/>
    <row r="76249" customFormat="1" x14ac:dyDescent="0.2"/>
    <row r="76250" customFormat="1" x14ac:dyDescent="0.2"/>
    <row r="76251" customFormat="1" x14ac:dyDescent="0.2"/>
    <row r="76252" customFormat="1" x14ac:dyDescent="0.2"/>
    <row r="76253" customFormat="1" x14ac:dyDescent="0.2"/>
    <row r="76254" customFormat="1" x14ac:dyDescent="0.2"/>
    <row r="76255" customFormat="1" x14ac:dyDescent="0.2"/>
    <row r="76256" customFormat="1" x14ac:dyDescent="0.2"/>
    <row r="76257" customFormat="1" x14ac:dyDescent="0.2"/>
    <row r="76258" customFormat="1" x14ac:dyDescent="0.2"/>
    <row r="76259" customFormat="1" x14ac:dyDescent="0.2"/>
    <row r="76260" customFormat="1" x14ac:dyDescent="0.2"/>
    <row r="76261" customFormat="1" x14ac:dyDescent="0.2"/>
    <row r="76262" customFormat="1" x14ac:dyDescent="0.2"/>
    <row r="76263" customFormat="1" x14ac:dyDescent="0.2"/>
    <row r="76264" customFormat="1" x14ac:dyDescent="0.2"/>
    <row r="76265" customFormat="1" x14ac:dyDescent="0.2"/>
    <row r="76266" customFormat="1" x14ac:dyDescent="0.2"/>
    <row r="76267" customFormat="1" x14ac:dyDescent="0.2"/>
    <row r="76268" customFormat="1" x14ac:dyDescent="0.2"/>
    <row r="76269" customFormat="1" x14ac:dyDescent="0.2"/>
    <row r="76270" customFormat="1" x14ac:dyDescent="0.2"/>
    <row r="76271" customFormat="1" x14ac:dyDescent="0.2"/>
    <row r="76272" customFormat="1" x14ac:dyDescent="0.2"/>
    <row r="76273" customFormat="1" x14ac:dyDescent="0.2"/>
    <row r="76274" customFormat="1" x14ac:dyDescent="0.2"/>
    <row r="76275" customFormat="1" x14ac:dyDescent="0.2"/>
    <row r="76276" customFormat="1" x14ac:dyDescent="0.2"/>
    <row r="76277" customFormat="1" x14ac:dyDescent="0.2"/>
    <row r="76278" customFormat="1" x14ac:dyDescent="0.2"/>
    <row r="76279" customFormat="1" x14ac:dyDescent="0.2"/>
    <row r="76280" customFormat="1" x14ac:dyDescent="0.2"/>
    <row r="76281" customFormat="1" x14ac:dyDescent="0.2"/>
    <row r="76282" customFormat="1" x14ac:dyDescent="0.2"/>
    <row r="76283" customFormat="1" x14ac:dyDescent="0.2"/>
    <row r="76284" customFormat="1" x14ac:dyDescent="0.2"/>
    <row r="76285" customFormat="1" x14ac:dyDescent="0.2"/>
    <row r="76286" customFormat="1" x14ac:dyDescent="0.2"/>
    <row r="76287" customFormat="1" x14ac:dyDescent="0.2"/>
    <row r="76288" customFormat="1" x14ac:dyDescent="0.2"/>
    <row r="76289" customFormat="1" x14ac:dyDescent="0.2"/>
    <row r="76290" customFormat="1" x14ac:dyDescent="0.2"/>
    <row r="76291" customFormat="1" x14ac:dyDescent="0.2"/>
    <row r="76292" customFormat="1" x14ac:dyDescent="0.2"/>
    <row r="76293" customFormat="1" x14ac:dyDescent="0.2"/>
    <row r="76294" customFormat="1" x14ac:dyDescent="0.2"/>
    <row r="76295" customFormat="1" x14ac:dyDescent="0.2"/>
    <row r="76296" customFormat="1" x14ac:dyDescent="0.2"/>
    <row r="76297" customFormat="1" x14ac:dyDescent="0.2"/>
    <row r="76298" customFormat="1" x14ac:dyDescent="0.2"/>
    <row r="76299" customFormat="1" x14ac:dyDescent="0.2"/>
    <row r="76300" customFormat="1" x14ac:dyDescent="0.2"/>
    <row r="76301" customFormat="1" x14ac:dyDescent="0.2"/>
    <row r="76302" customFormat="1" x14ac:dyDescent="0.2"/>
    <row r="76303" customFormat="1" x14ac:dyDescent="0.2"/>
    <row r="76304" customFormat="1" x14ac:dyDescent="0.2"/>
    <row r="76305" customFormat="1" x14ac:dyDescent="0.2"/>
    <row r="76306" customFormat="1" x14ac:dyDescent="0.2"/>
    <row r="76307" customFormat="1" x14ac:dyDescent="0.2"/>
    <row r="76308" customFormat="1" x14ac:dyDescent="0.2"/>
    <row r="76309" customFormat="1" x14ac:dyDescent="0.2"/>
    <row r="76310" customFormat="1" x14ac:dyDescent="0.2"/>
    <row r="76311" customFormat="1" x14ac:dyDescent="0.2"/>
    <row r="76312" customFormat="1" x14ac:dyDescent="0.2"/>
    <row r="76313" customFormat="1" x14ac:dyDescent="0.2"/>
    <row r="76314" customFormat="1" x14ac:dyDescent="0.2"/>
    <row r="76315" customFormat="1" x14ac:dyDescent="0.2"/>
    <row r="76316" customFormat="1" x14ac:dyDescent="0.2"/>
    <row r="76317" customFormat="1" x14ac:dyDescent="0.2"/>
    <row r="76318" customFormat="1" x14ac:dyDescent="0.2"/>
    <row r="76319" customFormat="1" x14ac:dyDescent="0.2"/>
    <row r="76320" customFormat="1" x14ac:dyDescent="0.2"/>
    <row r="76321" customFormat="1" x14ac:dyDescent="0.2"/>
    <row r="76322" customFormat="1" x14ac:dyDescent="0.2"/>
    <row r="76323" customFormat="1" x14ac:dyDescent="0.2"/>
    <row r="76324" customFormat="1" x14ac:dyDescent="0.2"/>
    <row r="76325" customFormat="1" x14ac:dyDescent="0.2"/>
    <row r="76326" customFormat="1" x14ac:dyDescent="0.2"/>
    <row r="76327" customFormat="1" x14ac:dyDescent="0.2"/>
    <row r="76328" customFormat="1" x14ac:dyDescent="0.2"/>
    <row r="76329" customFormat="1" x14ac:dyDescent="0.2"/>
    <row r="76330" customFormat="1" x14ac:dyDescent="0.2"/>
    <row r="76331" customFormat="1" x14ac:dyDescent="0.2"/>
    <row r="76332" customFormat="1" x14ac:dyDescent="0.2"/>
    <row r="76333" customFormat="1" x14ac:dyDescent="0.2"/>
    <row r="76334" customFormat="1" x14ac:dyDescent="0.2"/>
    <row r="76335" customFormat="1" x14ac:dyDescent="0.2"/>
    <row r="76336" customFormat="1" x14ac:dyDescent="0.2"/>
    <row r="76337" customFormat="1" x14ac:dyDescent="0.2"/>
    <row r="76338" customFormat="1" x14ac:dyDescent="0.2"/>
    <row r="76339" customFormat="1" x14ac:dyDescent="0.2"/>
    <row r="76340" customFormat="1" x14ac:dyDescent="0.2"/>
    <row r="76341" customFormat="1" x14ac:dyDescent="0.2"/>
    <row r="76342" customFormat="1" x14ac:dyDescent="0.2"/>
    <row r="76343" customFormat="1" x14ac:dyDescent="0.2"/>
    <row r="76344" customFormat="1" x14ac:dyDescent="0.2"/>
    <row r="76345" customFormat="1" x14ac:dyDescent="0.2"/>
    <row r="76346" customFormat="1" x14ac:dyDescent="0.2"/>
    <row r="76347" customFormat="1" x14ac:dyDescent="0.2"/>
    <row r="76348" customFormat="1" x14ac:dyDescent="0.2"/>
    <row r="76349" customFormat="1" x14ac:dyDescent="0.2"/>
    <row r="76350" customFormat="1" x14ac:dyDescent="0.2"/>
    <row r="76351" customFormat="1" x14ac:dyDescent="0.2"/>
    <row r="76352" customFormat="1" x14ac:dyDescent="0.2"/>
    <row r="76353" customFormat="1" x14ac:dyDescent="0.2"/>
    <row r="76354" customFormat="1" x14ac:dyDescent="0.2"/>
    <row r="76355" customFormat="1" x14ac:dyDescent="0.2"/>
    <row r="76356" customFormat="1" x14ac:dyDescent="0.2"/>
    <row r="76357" customFormat="1" x14ac:dyDescent="0.2"/>
    <row r="76358" customFormat="1" x14ac:dyDescent="0.2"/>
    <row r="76359" customFormat="1" x14ac:dyDescent="0.2"/>
    <row r="76360" customFormat="1" x14ac:dyDescent="0.2"/>
    <row r="76361" customFormat="1" x14ac:dyDescent="0.2"/>
    <row r="76362" customFormat="1" x14ac:dyDescent="0.2"/>
    <row r="76363" customFormat="1" x14ac:dyDescent="0.2"/>
    <row r="76364" customFormat="1" x14ac:dyDescent="0.2"/>
    <row r="76365" customFormat="1" x14ac:dyDescent="0.2"/>
    <row r="76366" customFormat="1" x14ac:dyDescent="0.2"/>
    <row r="76367" customFormat="1" x14ac:dyDescent="0.2"/>
    <row r="76368" customFormat="1" x14ac:dyDescent="0.2"/>
    <row r="76369" customFormat="1" x14ac:dyDescent="0.2"/>
    <row r="76370" customFormat="1" x14ac:dyDescent="0.2"/>
    <row r="76371" customFormat="1" x14ac:dyDescent="0.2"/>
    <row r="76372" customFormat="1" x14ac:dyDescent="0.2"/>
    <row r="76373" customFormat="1" x14ac:dyDescent="0.2"/>
    <row r="76374" customFormat="1" x14ac:dyDescent="0.2"/>
    <row r="76375" customFormat="1" x14ac:dyDescent="0.2"/>
    <row r="76376" customFormat="1" x14ac:dyDescent="0.2"/>
    <row r="76377" customFormat="1" x14ac:dyDescent="0.2"/>
    <row r="76378" customFormat="1" x14ac:dyDescent="0.2"/>
    <row r="76379" customFormat="1" x14ac:dyDescent="0.2"/>
    <row r="76380" customFormat="1" x14ac:dyDescent="0.2"/>
    <row r="76381" customFormat="1" x14ac:dyDescent="0.2"/>
    <row r="76382" customFormat="1" x14ac:dyDescent="0.2"/>
    <row r="76383" customFormat="1" x14ac:dyDescent="0.2"/>
    <row r="76384" customFormat="1" x14ac:dyDescent="0.2"/>
    <row r="76385" customFormat="1" x14ac:dyDescent="0.2"/>
    <row r="76386" customFormat="1" x14ac:dyDescent="0.2"/>
    <row r="76387" customFormat="1" x14ac:dyDescent="0.2"/>
    <row r="76388" customFormat="1" x14ac:dyDescent="0.2"/>
    <row r="76389" customFormat="1" x14ac:dyDescent="0.2"/>
    <row r="76390" customFormat="1" x14ac:dyDescent="0.2"/>
    <row r="76391" customFormat="1" x14ac:dyDescent="0.2"/>
    <row r="76392" customFormat="1" x14ac:dyDescent="0.2"/>
    <row r="76393" customFormat="1" x14ac:dyDescent="0.2"/>
    <row r="76394" customFormat="1" x14ac:dyDescent="0.2"/>
    <row r="76395" customFormat="1" x14ac:dyDescent="0.2"/>
    <row r="76396" customFormat="1" x14ac:dyDescent="0.2"/>
    <row r="76397" customFormat="1" x14ac:dyDescent="0.2"/>
    <row r="76398" customFormat="1" x14ac:dyDescent="0.2"/>
    <row r="76399" customFormat="1" x14ac:dyDescent="0.2"/>
    <row r="76400" customFormat="1" x14ac:dyDescent="0.2"/>
    <row r="76401" customFormat="1" x14ac:dyDescent="0.2"/>
    <row r="76402" customFormat="1" x14ac:dyDescent="0.2"/>
    <row r="76403" customFormat="1" x14ac:dyDescent="0.2"/>
    <row r="76404" customFormat="1" x14ac:dyDescent="0.2"/>
    <row r="76405" customFormat="1" x14ac:dyDescent="0.2"/>
    <row r="76406" customFormat="1" x14ac:dyDescent="0.2"/>
    <row r="76407" customFormat="1" x14ac:dyDescent="0.2"/>
    <row r="76408" customFormat="1" x14ac:dyDescent="0.2"/>
    <row r="76409" customFormat="1" x14ac:dyDescent="0.2"/>
    <row r="76410" customFormat="1" x14ac:dyDescent="0.2"/>
    <row r="76411" customFormat="1" x14ac:dyDescent="0.2"/>
    <row r="76412" customFormat="1" x14ac:dyDescent="0.2"/>
    <row r="76413" customFormat="1" x14ac:dyDescent="0.2"/>
    <row r="76414" customFormat="1" x14ac:dyDescent="0.2"/>
    <row r="76415" customFormat="1" x14ac:dyDescent="0.2"/>
    <row r="76416" customFormat="1" x14ac:dyDescent="0.2"/>
    <row r="76417" customFormat="1" x14ac:dyDescent="0.2"/>
    <row r="76418" customFormat="1" x14ac:dyDescent="0.2"/>
    <row r="76419" customFormat="1" x14ac:dyDescent="0.2"/>
    <row r="76420" customFormat="1" x14ac:dyDescent="0.2"/>
    <row r="76421" customFormat="1" x14ac:dyDescent="0.2"/>
    <row r="76422" customFormat="1" x14ac:dyDescent="0.2"/>
    <row r="76423" customFormat="1" x14ac:dyDescent="0.2"/>
    <row r="76424" customFormat="1" x14ac:dyDescent="0.2"/>
    <row r="76425" customFormat="1" x14ac:dyDescent="0.2"/>
    <row r="76426" customFormat="1" x14ac:dyDescent="0.2"/>
    <row r="76427" customFormat="1" x14ac:dyDescent="0.2"/>
    <row r="76428" customFormat="1" x14ac:dyDescent="0.2"/>
    <row r="76429" customFormat="1" x14ac:dyDescent="0.2"/>
    <row r="76430" customFormat="1" x14ac:dyDescent="0.2"/>
    <row r="76431" customFormat="1" x14ac:dyDescent="0.2"/>
    <row r="76432" customFormat="1" x14ac:dyDescent="0.2"/>
    <row r="76433" customFormat="1" x14ac:dyDescent="0.2"/>
    <row r="76434" customFormat="1" x14ac:dyDescent="0.2"/>
    <row r="76435" customFormat="1" x14ac:dyDescent="0.2"/>
    <row r="76436" customFormat="1" x14ac:dyDescent="0.2"/>
    <row r="76437" customFormat="1" x14ac:dyDescent="0.2"/>
    <row r="76438" customFormat="1" x14ac:dyDescent="0.2"/>
    <row r="76439" customFormat="1" x14ac:dyDescent="0.2"/>
    <row r="76440" customFormat="1" x14ac:dyDescent="0.2"/>
    <row r="76441" customFormat="1" x14ac:dyDescent="0.2"/>
    <row r="76442" customFormat="1" x14ac:dyDescent="0.2"/>
    <row r="76443" customFormat="1" x14ac:dyDescent="0.2"/>
    <row r="76444" customFormat="1" x14ac:dyDescent="0.2"/>
    <row r="76445" customFormat="1" x14ac:dyDescent="0.2"/>
    <row r="76446" customFormat="1" x14ac:dyDescent="0.2"/>
    <row r="76447" customFormat="1" x14ac:dyDescent="0.2"/>
    <row r="76448" customFormat="1" x14ac:dyDescent="0.2"/>
    <row r="76449" customFormat="1" x14ac:dyDescent="0.2"/>
    <row r="76450" customFormat="1" x14ac:dyDescent="0.2"/>
    <row r="76451" customFormat="1" x14ac:dyDescent="0.2"/>
    <row r="76452" customFormat="1" x14ac:dyDescent="0.2"/>
    <row r="76453" customFormat="1" x14ac:dyDescent="0.2"/>
    <row r="76454" customFormat="1" x14ac:dyDescent="0.2"/>
    <row r="76455" customFormat="1" x14ac:dyDescent="0.2"/>
    <row r="76456" customFormat="1" x14ac:dyDescent="0.2"/>
    <row r="76457" customFormat="1" x14ac:dyDescent="0.2"/>
    <row r="76458" customFormat="1" x14ac:dyDescent="0.2"/>
    <row r="76459" customFormat="1" x14ac:dyDescent="0.2"/>
    <row r="76460" customFormat="1" x14ac:dyDescent="0.2"/>
    <row r="76461" customFormat="1" x14ac:dyDescent="0.2"/>
    <row r="76462" customFormat="1" x14ac:dyDescent="0.2"/>
    <row r="76463" customFormat="1" x14ac:dyDescent="0.2"/>
    <row r="76464" customFormat="1" x14ac:dyDescent="0.2"/>
    <row r="76465" customFormat="1" x14ac:dyDescent="0.2"/>
    <row r="76466" customFormat="1" x14ac:dyDescent="0.2"/>
    <row r="76467" customFormat="1" x14ac:dyDescent="0.2"/>
    <row r="76468" customFormat="1" x14ac:dyDescent="0.2"/>
    <row r="76469" customFormat="1" x14ac:dyDescent="0.2"/>
    <row r="76470" customFormat="1" x14ac:dyDescent="0.2"/>
    <row r="76471" customFormat="1" x14ac:dyDescent="0.2"/>
    <row r="76472" customFormat="1" x14ac:dyDescent="0.2"/>
    <row r="76473" customFormat="1" x14ac:dyDescent="0.2"/>
    <row r="76474" customFormat="1" x14ac:dyDescent="0.2"/>
    <row r="76475" customFormat="1" x14ac:dyDescent="0.2"/>
    <row r="76476" customFormat="1" x14ac:dyDescent="0.2"/>
    <row r="76477" customFormat="1" x14ac:dyDescent="0.2"/>
    <row r="76478" customFormat="1" x14ac:dyDescent="0.2"/>
    <row r="76479" customFormat="1" x14ac:dyDescent="0.2"/>
    <row r="76480" customFormat="1" x14ac:dyDescent="0.2"/>
    <row r="76481" customFormat="1" x14ac:dyDescent="0.2"/>
    <row r="76482" customFormat="1" x14ac:dyDescent="0.2"/>
    <row r="76483" customFormat="1" x14ac:dyDescent="0.2"/>
    <row r="76484" customFormat="1" x14ac:dyDescent="0.2"/>
    <row r="76485" customFormat="1" x14ac:dyDescent="0.2"/>
    <row r="76486" customFormat="1" x14ac:dyDescent="0.2"/>
    <row r="76487" customFormat="1" x14ac:dyDescent="0.2"/>
    <row r="76488" customFormat="1" x14ac:dyDescent="0.2"/>
    <row r="76489" customFormat="1" x14ac:dyDescent="0.2"/>
    <row r="76490" customFormat="1" x14ac:dyDescent="0.2"/>
    <row r="76491" customFormat="1" x14ac:dyDescent="0.2"/>
    <row r="76492" customFormat="1" x14ac:dyDescent="0.2"/>
    <row r="76493" customFormat="1" x14ac:dyDescent="0.2"/>
    <row r="76494" customFormat="1" x14ac:dyDescent="0.2"/>
    <row r="76495" customFormat="1" x14ac:dyDescent="0.2"/>
    <row r="76496" customFormat="1" x14ac:dyDescent="0.2"/>
    <row r="76497" customFormat="1" x14ac:dyDescent="0.2"/>
    <row r="76498" customFormat="1" x14ac:dyDescent="0.2"/>
    <row r="76499" customFormat="1" x14ac:dyDescent="0.2"/>
    <row r="76500" customFormat="1" x14ac:dyDescent="0.2"/>
    <row r="76501" customFormat="1" x14ac:dyDescent="0.2"/>
    <row r="76502" customFormat="1" x14ac:dyDescent="0.2"/>
    <row r="76503" customFormat="1" x14ac:dyDescent="0.2"/>
    <row r="76504" customFormat="1" x14ac:dyDescent="0.2"/>
    <row r="76505" customFormat="1" x14ac:dyDescent="0.2"/>
    <row r="76506" customFormat="1" x14ac:dyDescent="0.2"/>
    <row r="76507" customFormat="1" x14ac:dyDescent="0.2"/>
    <row r="76508" customFormat="1" x14ac:dyDescent="0.2"/>
    <row r="76509" customFormat="1" x14ac:dyDescent="0.2"/>
    <row r="76510" customFormat="1" x14ac:dyDescent="0.2"/>
    <row r="76511" customFormat="1" x14ac:dyDescent="0.2"/>
    <row r="76512" customFormat="1" x14ac:dyDescent="0.2"/>
    <row r="76513" customFormat="1" x14ac:dyDescent="0.2"/>
    <row r="76514" customFormat="1" x14ac:dyDescent="0.2"/>
    <row r="76515" customFormat="1" x14ac:dyDescent="0.2"/>
    <row r="76516" customFormat="1" x14ac:dyDescent="0.2"/>
    <row r="76517" customFormat="1" x14ac:dyDescent="0.2"/>
    <row r="76518" customFormat="1" x14ac:dyDescent="0.2"/>
    <row r="76519" customFormat="1" x14ac:dyDescent="0.2"/>
    <row r="76520" customFormat="1" x14ac:dyDescent="0.2"/>
    <row r="76521" customFormat="1" x14ac:dyDescent="0.2"/>
    <row r="76522" customFormat="1" x14ac:dyDescent="0.2"/>
    <row r="76523" customFormat="1" x14ac:dyDescent="0.2"/>
    <row r="76524" customFormat="1" x14ac:dyDescent="0.2"/>
    <row r="76525" customFormat="1" x14ac:dyDescent="0.2"/>
    <row r="76526" customFormat="1" x14ac:dyDescent="0.2"/>
    <row r="76527" customFormat="1" x14ac:dyDescent="0.2"/>
    <row r="76528" customFormat="1" x14ac:dyDescent="0.2"/>
    <row r="76529" customFormat="1" x14ac:dyDescent="0.2"/>
    <row r="76530" customFormat="1" x14ac:dyDescent="0.2"/>
    <row r="76531" customFormat="1" x14ac:dyDescent="0.2"/>
    <row r="76532" customFormat="1" x14ac:dyDescent="0.2"/>
    <row r="76533" customFormat="1" x14ac:dyDescent="0.2"/>
    <row r="76534" customFormat="1" x14ac:dyDescent="0.2"/>
    <row r="76535" customFormat="1" x14ac:dyDescent="0.2"/>
    <row r="76536" customFormat="1" x14ac:dyDescent="0.2"/>
    <row r="76537" customFormat="1" x14ac:dyDescent="0.2"/>
    <row r="76538" customFormat="1" x14ac:dyDescent="0.2"/>
    <row r="76539" customFormat="1" x14ac:dyDescent="0.2"/>
    <row r="76540" customFormat="1" x14ac:dyDescent="0.2"/>
    <row r="76541" customFormat="1" x14ac:dyDescent="0.2"/>
    <row r="76542" customFormat="1" x14ac:dyDescent="0.2"/>
    <row r="76543" customFormat="1" x14ac:dyDescent="0.2"/>
    <row r="76544" customFormat="1" x14ac:dyDescent="0.2"/>
    <row r="76545" customFormat="1" x14ac:dyDescent="0.2"/>
    <row r="76546" customFormat="1" x14ac:dyDescent="0.2"/>
    <row r="76547" customFormat="1" x14ac:dyDescent="0.2"/>
    <row r="76548" customFormat="1" x14ac:dyDescent="0.2"/>
    <row r="76549" customFormat="1" x14ac:dyDescent="0.2"/>
    <row r="76550" customFormat="1" x14ac:dyDescent="0.2"/>
    <row r="76551" customFormat="1" x14ac:dyDescent="0.2"/>
    <row r="76552" customFormat="1" x14ac:dyDescent="0.2"/>
    <row r="76553" customFormat="1" x14ac:dyDescent="0.2"/>
    <row r="76554" customFormat="1" x14ac:dyDescent="0.2"/>
    <row r="76555" customFormat="1" x14ac:dyDescent="0.2"/>
    <row r="76556" customFormat="1" x14ac:dyDescent="0.2"/>
    <row r="76557" customFormat="1" x14ac:dyDescent="0.2"/>
    <row r="76558" customFormat="1" x14ac:dyDescent="0.2"/>
    <row r="76559" customFormat="1" x14ac:dyDescent="0.2"/>
    <row r="76560" customFormat="1" x14ac:dyDescent="0.2"/>
    <row r="76561" customFormat="1" x14ac:dyDescent="0.2"/>
    <row r="76562" customFormat="1" x14ac:dyDescent="0.2"/>
    <row r="76563" customFormat="1" x14ac:dyDescent="0.2"/>
    <row r="76564" customFormat="1" x14ac:dyDescent="0.2"/>
    <row r="76565" customFormat="1" x14ac:dyDescent="0.2"/>
    <row r="76566" customFormat="1" x14ac:dyDescent="0.2"/>
    <row r="76567" customFormat="1" x14ac:dyDescent="0.2"/>
    <row r="76568" customFormat="1" x14ac:dyDescent="0.2"/>
    <row r="76569" customFormat="1" x14ac:dyDescent="0.2"/>
    <row r="76570" customFormat="1" x14ac:dyDescent="0.2"/>
    <row r="76571" customFormat="1" x14ac:dyDescent="0.2"/>
    <row r="76572" customFormat="1" x14ac:dyDescent="0.2"/>
    <row r="76573" customFormat="1" x14ac:dyDescent="0.2"/>
    <row r="76574" customFormat="1" x14ac:dyDescent="0.2"/>
    <row r="76575" customFormat="1" x14ac:dyDescent="0.2"/>
    <row r="76576" customFormat="1" x14ac:dyDescent="0.2"/>
    <row r="76577" customFormat="1" x14ac:dyDescent="0.2"/>
    <row r="76578" customFormat="1" x14ac:dyDescent="0.2"/>
    <row r="76579" customFormat="1" x14ac:dyDescent="0.2"/>
    <row r="76580" customFormat="1" x14ac:dyDescent="0.2"/>
    <row r="76581" customFormat="1" x14ac:dyDescent="0.2"/>
    <row r="76582" customFormat="1" x14ac:dyDescent="0.2"/>
    <row r="76583" customFormat="1" x14ac:dyDescent="0.2"/>
    <row r="76584" customFormat="1" x14ac:dyDescent="0.2"/>
    <row r="76585" customFormat="1" x14ac:dyDescent="0.2"/>
    <row r="76586" customFormat="1" x14ac:dyDescent="0.2"/>
    <row r="76587" customFormat="1" x14ac:dyDescent="0.2"/>
    <row r="76588" customFormat="1" x14ac:dyDescent="0.2"/>
    <row r="76589" customFormat="1" x14ac:dyDescent="0.2"/>
    <row r="76590" customFormat="1" x14ac:dyDescent="0.2"/>
    <row r="76591" customFormat="1" x14ac:dyDescent="0.2"/>
    <row r="76592" customFormat="1" x14ac:dyDescent="0.2"/>
    <row r="76593" customFormat="1" x14ac:dyDescent="0.2"/>
    <row r="76594" customFormat="1" x14ac:dyDescent="0.2"/>
    <row r="76595" customFormat="1" x14ac:dyDescent="0.2"/>
    <row r="76596" customFormat="1" x14ac:dyDescent="0.2"/>
    <row r="76597" customFormat="1" x14ac:dyDescent="0.2"/>
    <row r="76598" customFormat="1" x14ac:dyDescent="0.2"/>
    <row r="76599" customFormat="1" x14ac:dyDescent="0.2"/>
    <row r="76600" customFormat="1" x14ac:dyDescent="0.2"/>
    <row r="76601" customFormat="1" x14ac:dyDescent="0.2"/>
    <row r="76602" customFormat="1" x14ac:dyDescent="0.2"/>
    <row r="76603" customFormat="1" x14ac:dyDescent="0.2"/>
    <row r="76604" customFormat="1" x14ac:dyDescent="0.2"/>
    <row r="76605" customFormat="1" x14ac:dyDescent="0.2"/>
    <row r="76606" customFormat="1" x14ac:dyDescent="0.2"/>
    <row r="76607" customFormat="1" x14ac:dyDescent="0.2"/>
    <row r="76608" customFormat="1" x14ac:dyDescent="0.2"/>
    <row r="76609" customFormat="1" x14ac:dyDescent="0.2"/>
    <row r="76610" customFormat="1" x14ac:dyDescent="0.2"/>
    <row r="76611" customFormat="1" x14ac:dyDescent="0.2"/>
    <row r="76612" customFormat="1" x14ac:dyDescent="0.2"/>
    <row r="76613" customFormat="1" x14ac:dyDescent="0.2"/>
    <row r="76614" customFormat="1" x14ac:dyDescent="0.2"/>
    <row r="76615" customFormat="1" x14ac:dyDescent="0.2"/>
    <row r="76616" customFormat="1" x14ac:dyDescent="0.2"/>
    <row r="76617" customFormat="1" x14ac:dyDescent="0.2"/>
    <row r="76618" customFormat="1" x14ac:dyDescent="0.2"/>
    <row r="76619" customFormat="1" x14ac:dyDescent="0.2"/>
    <row r="76620" customFormat="1" x14ac:dyDescent="0.2"/>
    <row r="76621" customFormat="1" x14ac:dyDescent="0.2"/>
    <row r="76622" customFormat="1" x14ac:dyDescent="0.2"/>
    <row r="76623" customFormat="1" x14ac:dyDescent="0.2"/>
    <row r="76624" customFormat="1" x14ac:dyDescent="0.2"/>
    <row r="76625" customFormat="1" x14ac:dyDescent="0.2"/>
    <row r="76626" customFormat="1" x14ac:dyDescent="0.2"/>
    <row r="76627" customFormat="1" x14ac:dyDescent="0.2"/>
    <row r="76628" customFormat="1" x14ac:dyDescent="0.2"/>
    <row r="76629" customFormat="1" x14ac:dyDescent="0.2"/>
    <row r="76630" customFormat="1" x14ac:dyDescent="0.2"/>
    <row r="76631" customFormat="1" x14ac:dyDescent="0.2"/>
    <row r="76632" customFormat="1" x14ac:dyDescent="0.2"/>
    <row r="76633" customFormat="1" x14ac:dyDescent="0.2"/>
    <row r="76634" customFormat="1" x14ac:dyDescent="0.2"/>
    <row r="76635" customFormat="1" x14ac:dyDescent="0.2"/>
    <row r="76636" customFormat="1" x14ac:dyDescent="0.2"/>
    <row r="76637" customFormat="1" x14ac:dyDescent="0.2"/>
    <row r="76638" customFormat="1" x14ac:dyDescent="0.2"/>
    <row r="76639" customFormat="1" x14ac:dyDescent="0.2"/>
    <row r="76640" customFormat="1" x14ac:dyDescent="0.2"/>
    <row r="76641" customFormat="1" x14ac:dyDescent="0.2"/>
    <row r="76642" customFormat="1" x14ac:dyDescent="0.2"/>
    <row r="76643" customFormat="1" x14ac:dyDescent="0.2"/>
    <row r="76644" customFormat="1" x14ac:dyDescent="0.2"/>
    <row r="76645" customFormat="1" x14ac:dyDescent="0.2"/>
    <row r="76646" customFormat="1" x14ac:dyDescent="0.2"/>
    <row r="76647" customFormat="1" x14ac:dyDescent="0.2"/>
    <row r="76648" customFormat="1" x14ac:dyDescent="0.2"/>
    <row r="76649" customFormat="1" x14ac:dyDescent="0.2"/>
    <row r="76650" customFormat="1" x14ac:dyDescent="0.2"/>
    <row r="76651" customFormat="1" x14ac:dyDescent="0.2"/>
    <row r="76652" customFormat="1" x14ac:dyDescent="0.2"/>
    <row r="76653" customFormat="1" x14ac:dyDescent="0.2"/>
    <row r="76654" customFormat="1" x14ac:dyDescent="0.2"/>
    <row r="76655" customFormat="1" x14ac:dyDescent="0.2"/>
    <row r="76656" customFormat="1" x14ac:dyDescent="0.2"/>
    <row r="76657" customFormat="1" x14ac:dyDescent="0.2"/>
    <row r="76658" customFormat="1" x14ac:dyDescent="0.2"/>
    <row r="76659" customFormat="1" x14ac:dyDescent="0.2"/>
    <row r="76660" customFormat="1" x14ac:dyDescent="0.2"/>
    <row r="76661" customFormat="1" x14ac:dyDescent="0.2"/>
    <row r="76662" customFormat="1" x14ac:dyDescent="0.2"/>
    <row r="76663" customFormat="1" x14ac:dyDescent="0.2"/>
    <row r="76664" customFormat="1" x14ac:dyDescent="0.2"/>
    <row r="76665" customFormat="1" x14ac:dyDescent="0.2"/>
    <row r="76666" customFormat="1" x14ac:dyDescent="0.2"/>
    <row r="76667" customFormat="1" x14ac:dyDescent="0.2"/>
    <row r="76668" customFormat="1" x14ac:dyDescent="0.2"/>
    <row r="76669" customFormat="1" x14ac:dyDescent="0.2"/>
    <row r="76670" customFormat="1" x14ac:dyDescent="0.2"/>
    <row r="76671" customFormat="1" x14ac:dyDescent="0.2"/>
    <row r="76672" customFormat="1" x14ac:dyDescent="0.2"/>
    <row r="76673" customFormat="1" x14ac:dyDescent="0.2"/>
    <row r="76674" customFormat="1" x14ac:dyDescent="0.2"/>
    <row r="76675" customFormat="1" x14ac:dyDescent="0.2"/>
    <row r="76676" customFormat="1" x14ac:dyDescent="0.2"/>
    <row r="76677" customFormat="1" x14ac:dyDescent="0.2"/>
    <row r="76678" customFormat="1" x14ac:dyDescent="0.2"/>
    <row r="76679" customFormat="1" x14ac:dyDescent="0.2"/>
    <row r="76680" customFormat="1" x14ac:dyDescent="0.2"/>
    <row r="76681" customFormat="1" x14ac:dyDescent="0.2"/>
    <row r="76682" customFormat="1" x14ac:dyDescent="0.2"/>
    <row r="76683" customFormat="1" x14ac:dyDescent="0.2"/>
    <row r="76684" customFormat="1" x14ac:dyDescent="0.2"/>
    <row r="76685" customFormat="1" x14ac:dyDescent="0.2"/>
    <row r="76686" customFormat="1" x14ac:dyDescent="0.2"/>
    <row r="76687" customFormat="1" x14ac:dyDescent="0.2"/>
    <row r="76688" customFormat="1" x14ac:dyDescent="0.2"/>
    <row r="76689" customFormat="1" x14ac:dyDescent="0.2"/>
    <row r="76690" customFormat="1" x14ac:dyDescent="0.2"/>
    <row r="76691" customFormat="1" x14ac:dyDescent="0.2"/>
    <row r="76692" customFormat="1" x14ac:dyDescent="0.2"/>
    <row r="76693" customFormat="1" x14ac:dyDescent="0.2"/>
    <row r="76694" customFormat="1" x14ac:dyDescent="0.2"/>
    <row r="76695" customFormat="1" x14ac:dyDescent="0.2"/>
    <row r="76696" customFormat="1" x14ac:dyDescent="0.2"/>
    <row r="76697" customFormat="1" x14ac:dyDescent="0.2"/>
    <row r="76698" customFormat="1" x14ac:dyDescent="0.2"/>
    <row r="76699" customFormat="1" x14ac:dyDescent="0.2"/>
    <row r="76700" customFormat="1" x14ac:dyDescent="0.2"/>
    <row r="76701" customFormat="1" x14ac:dyDescent="0.2"/>
    <row r="76702" customFormat="1" x14ac:dyDescent="0.2"/>
    <row r="76703" customFormat="1" x14ac:dyDescent="0.2"/>
    <row r="76704" customFormat="1" x14ac:dyDescent="0.2"/>
    <row r="76705" customFormat="1" x14ac:dyDescent="0.2"/>
    <row r="76706" customFormat="1" x14ac:dyDescent="0.2"/>
    <row r="76707" customFormat="1" x14ac:dyDescent="0.2"/>
    <row r="76708" customFormat="1" x14ac:dyDescent="0.2"/>
    <row r="76709" customFormat="1" x14ac:dyDescent="0.2"/>
    <row r="76710" customFormat="1" x14ac:dyDescent="0.2"/>
    <row r="76711" customFormat="1" x14ac:dyDescent="0.2"/>
    <row r="76712" customFormat="1" x14ac:dyDescent="0.2"/>
    <row r="76713" customFormat="1" x14ac:dyDescent="0.2"/>
    <row r="76714" customFormat="1" x14ac:dyDescent="0.2"/>
    <row r="76715" customFormat="1" x14ac:dyDescent="0.2"/>
    <row r="76716" customFormat="1" x14ac:dyDescent="0.2"/>
    <row r="76717" customFormat="1" x14ac:dyDescent="0.2"/>
    <row r="76718" customFormat="1" x14ac:dyDescent="0.2"/>
    <row r="76719" customFormat="1" x14ac:dyDescent="0.2"/>
    <row r="76720" customFormat="1" x14ac:dyDescent="0.2"/>
    <row r="76721" customFormat="1" x14ac:dyDescent="0.2"/>
    <row r="76722" customFormat="1" x14ac:dyDescent="0.2"/>
    <row r="76723" customFormat="1" x14ac:dyDescent="0.2"/>
    <row r="76724" customFormat="1" x14ac:dyDescent="0.2"/>
    <row r="76725" customFormat="1" x14ac:dyDescent="0.2"/>
    <row r="76726" customFormat="1" x14ac:dyDescent="0.2"/>
    <row r="76727" customFormat="1" x14ac:dyDescent="0.2"/>
    <row r="76728" customFormat="1" x14ac:dyDescent="0.2"/>
    <row r="76729" customFormat="1" x14ac:dyDescent="0.2"/>
    <row r="76730" customFormat="1" x14ac:dyDescent="0.2"/>
    <row r="76731" customFormat="1" x14ac:dyDescent="0.2"/>
    <row r="76732" customFormat="1" x14ac:dyDescent="0.2"/>
    <row r="76733" customFormat="1" x14ac:dyDescent="0.2"/>
    <row r="76734" customFormat="1" x14ac:dyDescent="0.2"/>
    <row r="76735" customFormat="1" x14ac:dyDescent="0.2"/>
    <row r="76736" customFormat="1" x14ac:dyDescent="0.2"/>
    <row r="76737" customFormat="1" x14ac:dyDescent="0.2"/>
    <row r="76738" customFormat="1" x14ac:dyDescent="0.2"/>
    <row r="76739" customFormat="1" x14ac:dyDescent="0.2"/>
    <row r="76740" customFormat="1" x14ac:dyDescent="0.2"/>
    <row r="76741" customFormat="1" x14ac:dyDescent="0.2"/>
    <row r="76742" customFormat="1" x14ac:dyDescent="0.2"/>
    <row r="76743" customFormat="1" x14ac:dyDescent="0.2"/>
    <row r="76744" customFormat="1" x14ac:dyDescent="0.2"/>
    <row r="76745" customFormat="1" x14ac:dyDescent="0.2"/>
    <row r="76746" customFormat="1" x14ac:dyDescent="0.2"/>
    <row r="76747" customFormat="1" x14ac:dyDescent="0.2"/>
    <row r="76748" customFormat="1" x14ac:dyDescent="0.2"/>
    <row r="76749" customFormat="1" x14ac:dyDescent="0.2"/>
    <row r="76750" customFormat="1" x14ac:dyDescent="0.2"/>
    <row r="76751" customFormat="1" x14ac:dyDescent="0.2"/>
    <row r="76752" customFormat="1" x14ac:dyDescent="0.2"/>
    <row r="76753" customFormat="1" x14ac:dyDescent="0.2"/>
    <row r="76754" customFormat="1" x14ac:dyDescent="0.2"/>
    <row r="76755" customFormat="1" x14ac:dyDescent="0.2"/>
    <row r="76756" customFormat="1" x14ac:dyDescent="0.2"/>
    <row r="76757" customFormat="1" x14ac:dyDescent="0.2"/>
    <row r="76758" customFormat="1" x14ac:dyDescent="0.2"/>
    <row r="76759" customFormat="1" x14ac:dyDescent="0.2"/>
    <row r="76760" customFormat="1" x14ac:dyDescent="0.2"/>
    <row r="76761" customFormat="1" x14ac:dyDescent="0.2"/>
    <row r="76762" customFormat="1" x14ac:dyDescent="0.2"/>
    <row r="76763" customFormat="1" x14ac:dyDescent="0.2"/>
    <row r="76764" customFormat="1" x14ac:dyDescent="0.2"/>
    <row r="76765" customFormat="1" x14ac:dyDescent="0.2"/>
    <row r="76766" customFormat="1" x14ac:dyDescent="0.2"/>
    <row r="76767" customFormat="1" x14ac:dyDescent="0.2"/>
    <row r="76768" customFormat="1" x14ac:dyDescent="0.2"/>
    <row r="76769" customFormat="1" x14ac:dyDescent="0.2"/>
    <row r="76770" customFormat="1" x14ac:dyDescent="0.2"/>
    <row r="76771" customFormat="1" x14ac:dyDescent="0.2"/>
    <row r="76772" customFormat="1" x14ac:dyDescent="0.2"/>
    <row r="76773" customFormat="1" x14ac:dyDescent="0.2"/>
    <row r="76774" customFormat="1" x14ac:dyDescent="0.2"/>
    <row r="76775" customFormat="1" x14ac:dyDescent="0.2"/>
    <row r="76776" customFormat="1" x14ac:dyDescent="0.2"/>
    <row r="76777" customFormat="1" x14ac:dyDescent="0.2"/>
    <row r="76778" customFormat="1" x14ac:dyDescent="0.2"/>
    <row r="76779" customFormat="1" x14ac:dyDescent="0.2"/>
    <row r="76780" customFormat="1" x14ac:dyDescent="0.2"/>
    <row r="76781" customFormat="1" x14ac:dyDescent="0.2"/>
    <row r="76782" customFormat="1" x14ac:dyDescent="0.2"/>
    <row r="76783" customFormat="1" x14ac:dyDescent="0.2"/>
    <row r="76784" customFormat="1" x14ac:dyDescent="0.2"/>
    <row r="76785" customFormat="1" x14ac:dyDescent="0.2"/>
    <row r="76786" customFormat="1" x14ac:dyDescent="0.2"/>
    <row r="76787" customFormat="1" x14ac:dyDescent="0.2"/>
    <row r="76788" customFormat="1" x14ac:dyDescent="0.2"/>
    <row r="76789" customFormat="1" x14ac:dyDescent="0.2"/>
    <row r="76790" customFormat="1" x14ac:dyDescent="0.2"/>
    <row r="76791" customFormat="1" x14ac:dyDescent="0.2"/>
    <row r="76792" customFormat="1" x14ac:dyDescent="0.2"/>
    <row r="76793" customFormat="1" x14ac:dyDescent="0.2"/>
    <row r="76794" customFormat="1" x14ac:dyDescent="0.2"/>
    <row r="76795" customFormat="1" x14ac:dyDescent="0.2"/>
    <row r="76796" customFormat="1" x14ac:dyDescent="0.2"/>
    <row r="76797" customFormat="1" x14ac:dyDescent="0.2"/>
    <row r="76798" customFormat="1" x14ac:dyDescent="0.2"/>
    <row r="76799" customFormat="1" x14ac:dyDescent="0.2"/>
    <row r="76800" customFormat="1" x14ac:dyDescent="0.2"/>
    <row r="76801" customFormat="1" x14ac:dyDescent="0.2"/>
    <row r="76802" customFormat="1" x14ac:dyDescent="0.2"/>
    <row r="76803" customFormat="1" x14ac:dyDescent="0.2"/>
    <row r="76804" customFormat="1" x14ac:dyDescent="0.2"/>
    <row r="76805" customFormat="1" x14ac:dyDescent="0.2"/>
    <row r="76806" customFormat="1" x14ac:dyDescent="0.2"/>
    <row r="76807" customFormat="1" x14ac:dyDescent="0.2"/>
    <row r="76808" customFormat="1" x14ac:dyDescent="0.2"/>
    <row r="76809" customFormat="1" x14ac:dyDescent="0.2"/>
    <row r="76810" customFormat="1" x14ac:dyDescent="0.2"/>
    <row r="76811" customFormat="1" x14ac:dyDescent="0.2"/>
    <row r="76812" customFormat="1" x14ac:dyDescent="0.2"/>
    <row r="76813" customFormat="1" x14ac:dyDescent="0.2"/>
    <row r="76814" customFormat="1" x14ac:dyDescent="0.2"/>
    <row r="76815" customFormat="1" x14ac:dyDescent="0.2"/>
    <row r="76816" customFormat="1" x14ac:dyDescent="0.2"/>
    <row r="76817" customFormat="1" x14ac:dyDescent="0.2"/>
    <row r="76818" customFormat="1" x14ac:dyDescent="0.2"/>
    <row r="76819" customFormat="1" x14ac:dyDescent="0.2"/>
    <row r="76820" customFormat="1" x14ac:dyDescent="0.2"/>
    <row r="76821" customFormat="1" x14ac:dyDescent="0.2"/>
    <row r="76822" customFormat="1" x14ac:dyDescent="0.2"/>
    <row r="76823" customFormat="1" x14ac:dyDescent="0.2"/>
    <row r="76824" customFormat="1" x14ac:dyDescent="0.2"/>
    <row r="76825" customFormat="1" x14ac:dyDescent="0.2"/>
    <row r="76826" customFormat="1" x14ac:dyDescent="0.2"/>
    <row r="76827" customFormat="1" x14ac:dyDescent="0.2"/>
    <row r="76828" customFormat="1" x14ac:dyDescent="0.2"/>
    <row r="76829" customFormat="1" x14ac:dyDescent="0.2"/>
    <row r="76830" customFormat="1" x14ac:dyDescent="0.2"/>
    <row r="76831" customFormat="1" x14ac:dyDescent="0.2"/>
    <row r="76832" customFormat="1" x14ac:dyDescent="0.2"/>
    <row r="76833" customFormat="1" x14ac:dyDescent="0.2"/>
    <row r="76834" customFormat="1" x14ac:dyDescent="0.2"/>
    <row r="76835" customFormat="1" x14ac:dyDescent="0.2"/>
    <row r="76836" customFormat="1" x14ac:dyDescent="0.2"/>
    <row r="76837" customFormat="1" x14ac:dyDescent="0.2"/>
    <row r="76838" customFormat="1" x14ac:dyDescent="0.2"/>
    <row r="76839" customFormat="1" x14ac:dyDescent="0.2"/>
    <row r="76840" customFormat="1" x14ac:dyDescent="0.2"/>
    <row r="76841" customFormat="1" x14ac:dyDescent="0.2"/>
    <row r="76842" customFormat="1" x14ac:dyDescent="0.2"/>
    <row r="76843" customFormat="1" x14ac:dyDescent="0.2"/>
    <row r="76844" customFormat="1" x14ac:dyDescent="0.2"/>
    <row r="76845" customFormat="1" x14ac:dyDescent="0.2"/>
    <row r="76846" customFormat="1" x14ac:dyDescent="0.2"/>
    <row r="76847" customFormat="1" x14ac:dyDescent="0.2"/>
    <row r="76848" customFormat="1" x14ac:dyDescent="0.2"/>
    <row r="76849" customFormat="1" x14ac:dyDescent="0.2"/>
    <row r="76850" customFormat="1" x14ac:dyDescent="0.2"/>
    <row r="76851" customFormat="1" x14ac:dyDescent="0.2"/>
    <row r="76852" customFormat="1" x14ac:dyDescent="0.2"/>
    <row r="76853" customFormat="1" x14ac:dyDescent="0.2"/>
    <row r="76854" customFormat="1" x14ac:dyDescent="0.2"/>
    <row r="76855" customFormat="1" x14ac:dyDescent="0.2"/>
    <row r="76856" customFormat="1" x14ac:dyDescent="0.2"/>
    <row r="76857" customFormat="1" x14ac:dyDescent="0.2"/>
    <row r="76858" customFormat="1" x14ac:dyDescent="0.2"/>
    <row r="76859" customFormat="1" x14ac:dyDescent="0.2"/>
    <row r="76860" customFormat="1" x14ac:dyDescent="0.2"/>
    <row r="76861" customFormat="1" x14ac:dyDescent="0.2"/>
    <row r="76862" customFormat="1" x14ac:dyDescent="0.2"/>
    <row r="76863" customFormat="1" x14ac:dyDescent="0.2"/>
    <row r="76864" customFormat="1" x14ac:dyDescent="0.2"/>
    <row r="76865" customFormat="1" x14ac:dyDescent="0.2"/>
    <row r="76866" customFormat="1" x14ac:dyDescent="0.2"/>
    <row r="76867" customFormat="1" x14ac:dyDescent="0.2"/>
    <row r="76868" customFormat="1" x14ac:dyDescent="0.2"/>
    <row r="76869" customFormat="1" x14ac:dyDescent="0.2"/>
    <row r="76870" customFormat="1" x14ac:dyDescent="0.2"/>
    <row r="76871" customFormat="1" x14ac:dyDescent="0.2"/>
    <row r="76872" customFormat="1" x14ac:dyDescent="0.2"/>
    <row r="76873" customFormat="1" x14ac:dyDescent="0.2"/>
    <row r="76874" customFormat="1" x14ac:dyDescent="0.2"/>
    <row r="76875" customFormat="1" x14ac:dyDescent="0.2"/>
    <row r="76876" customFormat="1" x14ac:dyDescent="0.2"/>
    <row r="76877" customFormat="1" x14ac:dyDescent="0.2"/>
    <row r="76878" customFormat="1" x14ac:dyDescent="0.2"/>
    <row r="76879" customFormat="1" x14ac:dyDescent="0.2"/>
    <row r="76880" customFormat="1" x14ac:dyDescent="0.2"/>
    <row r="76881" customFormat="1" x14ac:dyDescent="0.2"/>
    <row r="76882" customFormat="1" x14ac:dyDescent="0.2"/>
    <row r="76883" customFormat="1" x14ac:dyDescent="0.2"/>
    <row r="76884" customFormat="1" x14ac:dyDescent="0.2"/>
    <row r="76885" customFormat="1" x14ac:dyDescent="0.2"/>
    <row r="76886" customFormat="1" x14ac:dyDescent="0.2"/>
    <row r="76887" customFormat="1" x14ac:dyDescent="0.2"/>
    <row r="76888" customFormat="1" x14ac:dyDescent="0.2"/>
    <row r="76889" customFormat="1" x14ac:dyDescent="0.2"/>
    <row r="76890" customFormat="1" x14ac:dyDescent="0.2"/>
    <row r="76891" customFormat="1" x14ac:dyDescent="0.2"/>
    <row r="76892" customFormat="1" x14ac:dyDescent="0.2"/>
    <row r="76893" customFormat="1" x14ac:dyDescent="0.2"/>
    <row r="76894" customFormat="1" x14ac:dyDescent="0.2"/>
    <row r="76895" customFormat="1" x14ac:dyDescent="0.2"/>
    <row r="76896" customFormat="1" x14ac:dyDescent="0.2"/>
    <row r="76897" customFormat="1" x14ac:dyDescent="0.2"/>
    <row r="76898" customFormat="1" x14ac:dyDescent="0.2"/>
    <row r="76899" customFormat="1" x14ac:dyDescent="0.2"/>
    <row r="76900" customFormat="1" x14ac:dyDescent="0.2"/>
    <row r="76901" customFormat="1" x14ac:dyDescent="0.2"/>
    <row r="76902" customFormat="1" x14ac:dyDescent="0.2"/>
    <row r="76903" customFormat="1" x14ac:dyDescent="0.2"/>
    <row r="76904" customFormat="1" x14ac:dyDescent="0.2"/>
    <row r="76905" customFormat="1" x14ac:dyDescent="0.2"/>
    <row r="76906" customFormat="1" x14ac:dyDescent="0.2"/>
    <row r="76907" customFormat="1" x14ac:dyDescent="0.2"/>
    <row r="76908" customFormat="1" x14ac:dyDescent="0.2"/>
    <row r="76909" customFormat="1" x14ac:dyDescent="0.2"/>
    <row r="76910" customFormat="1" x14ac:dyDescent="0.2"/>
    <row r="76911" customFormat="1" x14ac:dyDescent="0.2"/>
    <row r="76912" customFormat="1" x14ac:dyDescent="0.2"/>
    <row r="76913" customFormat="1" x14ac:dyDescent="0.2"/>
    <row r="76914" customFormat="1" x14ac:dyDescent="0.2"/>
    <row r="76915" customFormat="1" x14ac:dyDescent="0.2"/>
    <row r="76916" customFormat="1" x14ac:dyDescent="0.2"/>
    <row r="76917" customFormat="1" x14ac:dyDescent="0.2"/>
    <row r="76918" customFormat="1" x14ac:dyDescent="0.2"/>
    <row r="76919" customFormat="1" x14ac:dyDescent="0.2"/>
    <row r="76920" customFormat="1" x14ac:dyDescent="0.2"/>
    <row r="76921" customFormat="1" x14ac:dyDescent="0.2"/>
    <row r="76922" customFormat="1" x14ac:dyDescent="0.2"/>
    <row r="76923" customFormat="1" x14ac:dyDescent="0.2"/>
    <row r="76924" customFormat="1" x14ac:dyDescent="0.2"/>
    <row r="76925" customFormat="1" x14ac:dyDescent="0.2"/>
    <row r="76926" customFormat="1" x14ac:dyDescent="0.2"/>
    <row r="76927" customFormat="1" x14ac:dyDescent="0.2"/>
    <row r="76928" customFormat="1" x14ac:dyDescent="0.2"/>
    <row r="76929" customFormat="1" x14ac:dyDescent="0.2"/>
    <row r="76930" customFormat="1" x14ac:dyDescent="0.2"/>
    <row r="76931" customFormat="1" x14ac:dyDescent="0.2"/>
    <row r="76932" customFormat="1" x14ac:dyDescent="0.2"/>
    <row r="76933" customFormat="1" x14ac:dyDescent="0.2"/>
    <row r="76934" customFormat="1" x14ac:dyDescent="0.2"/>
    <row r="76935" customFormat="1" x14ac:dyDescent="0.2"/>
    <row r="76936" customFormat="1" x14ac:dyDescent="0.2"/>
    <row r="76937" customFormat="1" x14ac:dyDescent="0.2"/>
    <row r="76938" customFormat="1" x14ac:dyDescent="0.2"/>
    <row r="76939" customFormat="1" x14ac:dyDescent="0.2"/>
    <row r="76940" customFormat="1" x14ac:dyDescent="0.2"/>
    <row r="76941" customFormat="1" x14ac:dyDescent="0.2"/>
    <row r="76942" customFormat="1" x14ac:dyDescent="0.2"/>
    <row r="76943" customFormat="1" x14ac:dyDescent="0.2"/>
    <row r="76944" customFormat="1" x14ac:dyDescent="0.2"/>
    <row r="76945" customFormat="1" x14ac:dyDescent="0.2"/>
    <row r="76946" customFormat="1" x14ac:dyDescent="0.2"/>
    <row r="76947" customFormat="1" x14ac:dyDescent="0.2"/>
    <row r="76948" customFormat="1" x14ac:dyDescent="0.2"/>
    <row r="76949" customFormat="1" x14ac:dyDescent="0.2"/>
    <row r="76950" customFormat="1" x14ac:dyDescent="0.2"/>
    <row r="76951" customFormat="1" x14ac:dyDescent="0.2"/>
    <row r="76952" customFormat="1" x14ac:dyDescent="0.2"/>
    <row r="76953" customFormat="1" x14ac:dyDescent="0.2"/>
    <row r="76954" customFormat="1" x14ac:dyDescent="0.2"/>
    <row r="76955" customFormat="1" x14ac:dyDescent="0.2"/>
    <row r="76956" customFormat="1" x14ac:dyDescent="0.2"/>
    <row r="76957" customFormat="1" x14ac:dyDescent="0.2"/>
    <row r="76958" customFormat="1" x14ac:dyDescent="0.2"/>
    <row r="76959" customFormat="1" x14ac:dyDescent="0.2"/>
    <row r="76960" customFormat="1" x14ac:dyDescent="0.2"/>
    <row r="76961" customFormat="1" x14ac:dyDescent="0.2"/>
    <row r="76962" customFormat="1" x14ac:dyDescent="0.2"/>
    <row r="76963" customFormat="1" x14ac:dyDescent="0.2"/>
    <row r="76964" customFormat="1" x14ac:dyDescent="0.2"/>
    <row r="76965" customFormat="1" x14ac:dyDescent="0.2"/>
    <row r="76966" customFormat="1" x14ac:dyDescent="0.2"/>
    <row r="76967" customFormat="1" x14ac:dyDescent="0.2"/>
    <row r="76968" customFormat="1" x14ac:dyDescent="0.2"/>
    <row r="76969" customFormat="1" x14ac:dyDescent="0.2"/>
    <row r="76970" customFormat="1" x14ac:dyDescent="0.2"/>
    <row r="76971" customFormat="1" x14ac:dyDescent="0.2"/>
    <row r="76972" customFormat="1" x14ac:dyDescent="0.2"/>
    <row r="76973" customFormat="1" x14ac:dyDescent="0.2"/>
    <row r="76974" customFormat="1" x14ac:dyDescent="0.2"/>
    <row r="76975" customFormat="1" x14ac:dyDescent="0.2"/>
    <row r="76976" customFormat="1" x14ac:dyDescent="0.2"/>
    <row r="76977" customFormat="1" x14ac:dyDescent="0.2"/>
    <row r="76978" customFormat="1" x14ac:dyDescent="0.2"/>
    <row r="76979" customFormat="1" x14ac:dyDescent="0.2"/>
    <row r="76980" customFormat="1" x14ac:dyDescent="0.2"/>
    <row r="76981" customFormat="1" x14ac:dyDescent="0.2"/>
    <row r="76982" customFormat="1" x14ac:dyDescent="0.2"/>
    <row r="76983" customFormat="1" x14ac:dyDescent="0.2"/>
    <row r="76984" customFormat="1" x14ac:dyDescent="0.2"/>
    <row r="76985" customFormat="1" x14ac:dyDescent="0.2"/>
    <row r="76986" customFormat="1" x14ac:dyDescent="0.2"/>
    <row r="76987" customFormat="1" x14ac:dyDescent="0.2"/>
    <row r="76988" customFormat="1" x14ac:dyDescent="0.2"/>
    <row r="76989" customFormat="1" x14ac:dyDescent="0.2"/>
    <row r="76990" customFormat="1" x14ac:dyDescent="0.2"/>
    <row r="76991" customFormat="1" x14ac:dyDescent="0.2"/>
    <row r="76992" customFormat="1" x14ac:dyDescent="0.2"/>
    <row r="76993" customFormat="1" x14ac:dyDescent="0.2"/>
    <row r="76994" customFormat="1" x14ac:dyDescent="0.2"/>
    <row r="76995" customFormat="1" x14ac:dyDescent="0.2"/>
    <row r="76996" customFormat="1" x14ac:dyDescent="0.2"/>
    <row r="76997" customFormat="1" x14ac:dyDescent="0.2"/>
    <row r="76998" customFormat="1" x14ac:dyDescent="0.2"/>
    <row r="76999" customFormat="1" x14ac:dyDescent="0.2"/>
    <row r="77000" customFormat="1" x14ac:dyDescent="0.2"/>
    <row r="77001" customFormat="1" x14ac:dyDescent="0.2"/>
    <row r="77002" customFormat="1" x14ac:dyDescent="0.2"/>
    <row r="77003" customFormat="1" x14ac:dyDescent="0.2"/>
    <row r="77004" customFormat="1" x14ac:dyDescent="0.2"/>
    <row r="77005" customFormat="1" x14ac:dyDescent="0.2"/>
    <row r="77006" customFormat="1" x14ac:dyDescent="0.2"/>
    <row r="77007" customFormat="1" x14ac:dyDescent="0.2"/>
    <row r="77008" customFormat="1" x14ac:dyDescent="0.2"/>
    <row r="77009" customFormat="1" x14ac:dyDescent="0.2"/>
    <row r="77010" customFormat="1" x14ac:dyDescent="0.2"/>
    <row r="77011" customFormat="1" x14ac:dyDescent="0.2"/>
    <row r="77012" customFormat="1" x14ac:dyDescent="0.2"/>
    <row r="77013" customFormat="1" x14ac:dyDescent="0.2"/>
    <row r="77014" customFormat="1" x14ac:dyDescent="0.2"/>
    <row r="77015" customFormat="1" x14ac:dyDescent="0.2"/>
    <row r="77016" customFormat="1" x14ac:dyDescent="0.2"/>
    <row r="77017" customFormat="1" x14ac:dyDescent="0.2"/>
    <row r="77018" customFormat="1" x14ac:dyDescent="0.2"/>
    <row r="77019" customFormat="1" x14ac:dyDescent="0.2"/>
    <row r="77020" customFormat="1" x14ac:dyDescent="0.2"/>
    <row r="77021" customFormat="1" x14ac:dyDescent="0.2"/>
    <row r="77022" customFormat="1" x14ac:dyDescent="0.2"/>
    <row r="77023" customFormat="1" x14ac:dyDescent="0.2"/>
    <row r="77024" customFormat="1" x14ac:dyDescent="0.2"/>
    <row r="77025" customFormat="1" x14ac:dyDescent="0.2"/>
    <row r="77026" customFormat="1" x14ac:dyDescent="0.2"/>
    <row r="77027" customFormat="1" x14ac:dyDescent="0.2"/>
    <row r="77028" customFormat="1" x14ac:dyDescent="0.2"/>
    <row r="77029" customFormat="1" x14ac:dyDescent="0.2"/>
    <row r="77030" customFormat="1" x14ac:dyDescent="0.2"/>
    <row r="77031" customFormat="1" x14ac:dyDescent="0.2"/>
    <row r="77032" customFormat="1" x14ac:dyDescent="0.2"/>
    <row r="77033" customFormat="1" x14ac:dyDescent="0.2"/>
    <row r="77034" customFormat="1" x14ac:dyDescent="0.2"/>
    <row r="77035" customFormat="1" x14ac:dyDescent="0.2"/>
    <row r="77036" customFormat="1" x14ac:dyDescent="0.2"/>
    <row r="77037" customFormat="1" x14ac:dyDescent="0.2"/>
    <row r="77038" customFormat="1" x14ac:dyDescent="0.2"/>
    <row r="77039" customFormat="1" x14ac:dyDescent="0.2"/>
    <row r="77040" customFormat="1" x14ac:dyDescent="0.2"/>
    <row r="77041" customFormat="1" x14ac:dyDescent="0.2"/>
    <row r="77042" customFormat="1" x14ac:dyDescent="0.2"/>
    <row r="77043" customFormat="1" x14ac:dyDescent="0.2"/>
    <row r="77044" customFormat="1" x14ac:dyDescent="0.2"/>
    <row r="77045" customFormat="1" x14ac:dyDescent="0.2"/>
    <row r="77046" customFormat="1" x14ac:dyDescent="0.2"/>
    <row r="77047" customFormat="1" x14ac:dyDescent="0.2"/>
    <row r="77048" customFormat="1" x14ac:dyDescent="0.2"/>
    <row r="77049" customFormat="1" x14ac:dyDescent="0.2"/>
    <row r="77050" customFormat="1" x14ac:dyDescent="0.2"/>
    <row r="77051" customFormat="1" x14ac:dyDescent="0.2"/>
    <row r="77052" customFormat="1" x14ac:dyDescent="0.2"/>
    <row r="77053" customFormat="1" x14ac:dyDescent="0.2"/>
    <row r="77054" customFormat="1" x14ac:dyDescent="0.2"/>
    <row r="77055" customFormat="1" x14ac:dyDescent="0.2"/>
    <row r="77056" customFormat="1" x14ac:dyDescent="0.2"/>
    <row r="77057" customFormat="1" x14ac:dyDescent="0.2"/>
    <row r="77058" customFormat="1" x14ac:dyDescent="0.2"/>
    <row r="77059" customFormat="1" x14ac:dyDescent="0.2"/>
    <row r="77060" customFormat="1" x14ac:dyDescent="0.2"/>
    <row r="77061" customFormat="1" x14ac:dyDescent="0.2"/>
    <row r="77062" customFormat="1" x14ac:dyDescent="0.2"/>
    <row r="77063" customFormat="1" x14ac:dyDescent="0.2"/>
    <row r="77064" customFormat="1" x14ac:dyDescent="0.2"/>
    <row r="77065" customFormat="1" x14ac:dyDescent="0.2"/>
    <row r="77066" customFormat="1" x14ac:dyDescent="0.2"/>
    <row r="77067" customFormat="1" x14ac:dyDescent="0.2"/>
    <row r="77068" customFormat="1" x14ac:dyDescent="0.2"/>
    <row r="77069" customFormat="1" x14ac:dyDescent="0.2"/>
    <row r="77070" customFormat="1" x14ac:dyDescent="0.2"/>
    <row r="77071" customFormat="1" x14ac:dyDescent="0.2"/>
    <row r="77072" customFormat="1" x14ac:dyDescent="0.2"/>
    <row r="77073" customFormat="1" x14ac:dyDescent="0.2"/>
    <row r="77074" customFormat="1" x14ac:dyDescent="0.2"/>
    <row r="77075" customFormat="1" x14ac:dyDescent="0.2"/>
    <row r="77076" customFormat="1" x14ac:dyDescent="0.2"/>
    <row r="77077" customFormat="1" x14ac:dyDescent="0.2"/>
    <row r="77078" customFormat="1" x14ac:dyDescent="0.2"/>
    <row r="77079" customFormat="1" x14ac:dyDescent="0.2"/>
    <row r="77080" customFormat="1" x14ac:dyDescent="0.2"/>
    <row r="77081" customFormat="1" x14ac:dyDescent="0.2"/>
    <row r="77082" customFormat="1" x14ac:dyDescent="0.2"/>
    <row r="77083" customFormat="1" x14ac:dyDescent="0.2"/>
    <row r="77084" customFormat="1" x14ac:dyDescent="0.2"/>
    <row r="77085" customFormat="1" x14ac:dyDescent="0.2"/>
    <row r="77086" customFormat="1" x14ac:dyDescent="0.2"/>
    <row r="77087" customFormat="1" x14ac:dyDescent="0.2"/>
    <row r="77088" customFormat="1" x14ac:dyDescent="0.2"/>
    <row r="77089" customFormat="1" x14ac:dyDescent="0.2"/>
    <row r="77090" customFormat="1" x14ac:dyDescent="0.2"/>
    <row r="77091" customFormat="1" x14ac:dyDescent="0.2"/>
    <row r="77092" customFormat="1" x14ac:dyDescent="0.2"/>
    <row r="77093" customFormat="1" x14ac:dyDescent="0.2"/>
    <row r="77094" customFormat="1" x14ac:dyDescent="0.2"/>
    <row r="77095" customFormat="1" x14ac:dyDescent="0.2"/>
    <row r="77096" customFormat="1" x14ac:dyDescent="0.2"/>
    <row r="77097" customFormat="1" x14ac:dyDescent="0.2"/>
    <row r="77098" customFormat="1" x14ac:dyDescent="0.2"/>
    <row r="77099" customFormat="1" x14ac:dyDescent="0.2"/>
    <row r="77100" customFormat="1" x14ac:dyDescent="0.2"/>
    <row r="77101" customFormat="1" x14ac:dyDescent="0.2"/>
    <row r="77102" customFormat="1" x14ac:dyDescent="0.2"/>
    <row r="77103" customFormat="1" x14ac:dyDescent="0.2"/>
    <row r="77104" customFormat="1" x14ac:dyDescent="0.2"/>
    <row r="77105" customFormat="1" x14ac:dyDescent="0.2"/>
    <row r="77106" customFormat="1" x14ac:dyDescent="0.2"/>
    <row r="77107" customFormat="1" x14ac:dyDescent="0.2"/>
    <row r="77108" customFormat="1" x14ac:dyDescent="0.2"/>
    <row r="77109" customFormat="1" x14ac:dyDescent="0.2"/>
    <row r="77110" customFormat="1" x14ac:dyDescent="0.2"/>
    <row r="77111" customFormat="1" x14ac:dyDescent="0.2"/>
    <row r="77112" customFormat="1" x14ac:dyDescent="0.2"/>
    <row r="77113" customFormat="1" x14ac:dyDescent="0.2"/>
    <row r="77114" customFormat="1" x14ac:dyDescent="0.2"/>
    <row r="77115" customFormat="1" x14ac:dyDescent="0.2"/>
    <row r="77116" customFormat="1" x14ac:dyDescent="0.2"/>
    <row r="77117" customFormat="1" x14ac:dyDescent="0.2"/>
    <row r="77118" customFormat="1" x14ac:dyDescent="0.2"/>
    <row r="77119" customFormat="1" x14ac:dyDescent="0.2"/>
    <row r="77120" customFormat="1" x14ac:dyDescent="0.2"/>
    <row r="77121" customFormat="1" x14ac:dyDescent="0.2"/>
    <row r="77122" customFormat="1" x14ac:dyDescent="0.2"/>
    <row r="77123" customFormat="1" x14ac:dyDescent="0.2"/>
    <row r="77124" customFormat="1" x14ac:dyDescent="0.2"/>
    <row r="77125" customFormat="1" x14ac:dyDescent="0.2"/>
    <row r="77126" customFormat="1" x14ac:dyDescent="0.2"/>
    <row r="77127" customFormat="1" x14ac:dyDescent="0.2"/>
    <row r="77128" customFormat="1" x14ac:dyDescent="0.2"/>
    <row r="77129" customFormat="1" x14ac:dyDescent="0.2"/>
    <row r="77130" customFormat="1" x14ac:dyDescent="0.2"/>
    <row r="77131" customFormat="1" x14ac:dyDescent="0.2"/>
    <row r="77132" customFormat="1" x14ac:dyDescent="0.2"/>
    <row r="77133" customFormat="1" x14ac:dyDescent="0.2"/>
    <row r="77134" customFormat="1" x14ac:dyDescent="0.2"/>
    <row r="77135" customFormat="1" x14ac:dyDescent="0.2"/>
    <row r="77136" customFormat="1" x14ac:dyDescent="0.2"/>
    <row r="77137" customFormat="1" x14ac:dyDescent="0.2"/>
    <row r="77138" customFormat="1" x14ac:dyDescent="0.2"/>
    <row r="77139" customFormat="1" x14ac:dyDescent="0.2"/>
    <row r="77140" customFormat="1" x14ac:dyDescent="0.2"/>
    <row r="77141" customFormat="1" x14ac:dyDescent="0.2"/>
    <row r="77142" customFormat="1" x14ac:dyDescent="0.2"/>
    <row r="77143" customFormat="1" x14ac:dyDescent="0.2"/>
    <row r="77144" customFormat="1" x14ac:dyDescent="0.2"/>
    <row r="77145" customFormat="1" x14ac:dyDescent="0.2"/>
    <row r="77146" customFormat="1" x14ac:dyDescent="0.2"/>
    <row r="77147" customFormat="1" x14ac:dyDescent="0.2"/>
    <row r="77148" customFormat="1" x14ac:dyDescent="0.2"/>
    <row r="77149" customFormat="1" x14ac:dyDescent="0.2"/>
    <row r="77150" customFormat="1" x14ac:dyDescent="0.2"/>
    <row r="77151" customFormat="1" x14ac:dyDescent="0.2"/>
    <row r="77152" customFormat="1" x14ac:dyDescent="0.2"/>
    <row r="77153" customFormat="1" x14ac:dyDescent="0.2"/>
    <row r="77154" customFormat="1" x14ac:dyDescent="0.2"/>
    <row r="77155" customFormat="1" x14ac:dyDescent="0.2"/>
    <row r="77156" customFormat="1" x14ac:dyDescent="0.2"/>
    <row r="77157" customFormat="1" x14ac:dyDescent="0.2"/>
    <row r="77158" customFormat="1" x14ac:dyDescent="0.2"/>
    <row r="77159" customFormat="1" x14ac:dyDescent="0.2"/>
    <row r="77160" customFormat="1" x14ac:dyDescent="0.2"/>
    <row r="77161" customFormat="1" x14ac:dyDescent="0.2"/>
    <row r="77162" customFormat="1" x14ac:dyDescent="0.2"/>
    <row r="77163" customFormat="1" x14ac:dyDescent="0.2"/>
    <row r="77164" customFormat="1" x14ac:dyDescent="0.2"/>
    <row r="77165" customFormat="1" x14ac:dyDescent="0.2"/>
    <row r="77166" customFormat="1" x14ac:dyDescent="0.2"/>
    <row r="77167" customFormat="1" x14ac:dyDescent="0.2"/>
    <row r="77168" customFormat="1" x14ac:dyDescent="0.2"/>
    <row r="77169" customFormat="1" x14ac:dyDescent="0.2"/>
    <row r="77170" customFormat="1" x14ac:dyDescent="0.2"/>
    <row r="77171" customFormat="1" x14ac:dyDescent="0.2"/>
    <row r="77172" customFormat="1" x14ac:dyDescent="0.2"/>
    <row r="77173" customFormat="1" x14ac:dyDescent="0.2"/>
    <row r="77174" customFormat="1" x14ac:dyDescent="0.2"/>
    <row r="77175" customFormat="1" x14ac:dyDescent="0.2"/>
    <row r="77176" customFormat="1" x14ac:dyDescent="0.2"/>
    <row r="77177" customFormat="1" x14ac:dyDescent="0.2"/>
    <row r="77178" customFormat="1" x14ac:dyDescent="0.2"/>
    <row r="77179" customFormat="1" x14ac:dyDescent="0.2"/>
    <row r="77180" customFormat="1" x14ac:dyDescent="0.2"/>
    <row r="77181" customFormat="1" x14ac:dyDescent="0.2"/>
    <row r="77182" customFormat="1" x14ac:dyDescent="0.2"/>
    <row r="77183" customFormat="1" x14ac:dyDescent="0.2"/>
    <row r="77184" customFormat="1" x14ac:dyDescent="0.2"/>
    <row r="77185" customFormat="1" x14ac:dyDescent="0.2"/>
    <row r="77186" customFormat="1" x14ac:dyDescent="0.2"/>
    <row r="77187" customFormat="1" x14ac:dyDescent="0.2"/>
    <row r="77188" customFormat="1" x14ac:dyDescent="0.2"/>
    <row r="77189" customFormat="1" x14ac:dyDescent="0.2"/>
    <row r="77190" customFormat="1" x14ac:dyDescent="0.2"/>
    <row r="77191" customFormat="1" x14ac:dyDescent="0.2"/>
    <row r="77192" customFormat="1" x14ac:dyDescent="0.2"/>
    <row r="77193" customFormat="1" x14ac:dyDescent="0.2"/>
    <row r="77194" customFormat="1" x14ac:dyDescent="0.2"/>
    <row r="77195" customFormat="1" x14ac:dyDescent="0.2"/>
    <row r="77196" customFormat="1" x14ac:dyDescent="0.2"/>
    <row r="77197" customFormat="1" x14ac:dyDescent="0.2"/>
    <row r="77198" customFormat="1" x14ac:dyDescent="0.2"/>
    <row r="77199" customFormat="1" x14ac:dyDescent="0.2"/>
    <row r="77200" customFormat="1" x14ac:dyDescent="0.2"/>
    <row r="77201" customFormat="1" x14ac:dyDescent="0.2"/>
    <row r="77202" customFormat="1" x14ac:dyDescent="0.2"/>
    <row r="77203" customFormat="1" x14ac:dyDescent="0.2"/>
    <row r="77204" customFormat="1" x14ac:dyDescent="0.2"/>
    <row r="77205" customFormat="1" x14ac:dyDescent="0.2"/>
    <row r="77206" customFormat="1" x14ac:dyDescent="0.2"/>
    <row r="77207" customFormat="1" x14ac:dyDescent="0.2"/>
    <row r="77208" customFormat="1" x14ac:dyDescent="0.2"/>
    <row r="77209" customFormat="1" x14ac:dyDescent="0.2"/>
    <row r="77210" customFormat="1" x14ac:dyDescent="0.2"/>
    <row r="77211" customFormat="1" x14ac:dyDescent="0.2"/>
    <row r="77212" customFormat="1" x14ac:dyDescent="0.2"/>
    <row r="77213" customFormat="1" x14ac:dyDescent="0.2"/>
    <row r="77214" customFormat="1" x14ac:dyDescent="0.2"/>
    <row r="77215" customFormat="1" x14ac:dyDescent="0.2"/>
    <row r="77216" customFormat="1" x14ac:dyDescent="0.2"/>
    <row r="77217" customFormat="1" x14ac:dyDescent="0.2"/>
    <row r="77218" customFormat="1" x14ac:dyDescent="0.2"/>
    <row r="77219" customFormat="1" x14ac:dyDescent="0.2"/>
    <row r="77220" customFormat="1" x14ac:dyDescent="0.2"/>
    <row r="77221" customFormat="1" x14ac:dyDescent="0.2"/>
    <row r="77222" customFormat="1" x14ac:dyDescent="0.2"/>
    <row r="77223" customFormat="1" x14ac:dyDescent="0.2"/>
    <row r="77224" customFormat="1" x14ac:dyDescent="0.2"/>
    <row r="77225" customFormat="1" x14ac:dyDescent="0.2"/>
    <row r="77226" customFormat="1" x14ac:dyDescent="0.2"/>
    <row r="77227" customFormat="1" x14ac:dyDescent="0.2"/>
    <row r="77228" customFormat="1" x14ac:dyDescent="0.2"/>
    <row r="77229" customFormat="1" x14ac:dyDescent="0.2"/>
    <row r="77230" customFormat="1" x14ac:dyDescent="0.2"/>
    <row r="77231" customFormat="1" x14ac:dyDescent="0.2"/>
    <row r="77232" customFormat="1" x14ac:dyDescent="0.2"/>
    <row r="77233" customFormat="1" x14ac:dyDescent="0.2"/>
    <row r="77234" customFormat="1" x14ac:dyDescent="0.2"/>
    <row r="77235" customFormat="1" x14ac:dyDescent="0.2"/>
    <row r="77236" customFormat="1" x14ac:dyDescent="0.2"/>
    <row r="77237" customFormat="1" x14ac:dyDescent="0.2"/>
    <row r="77238" customFormat="1" x14ac:dyDescent="0.2"/>
    <row r="77239" customFormat="1" x14ac:dyDescent="0.2"/>
    <row r="77240" customFormat="1" x14ac:dyDescent="0.2"/>
    <row r="77241" customFormat="1" x14ac:dyDescent="0.2"/>
    <row r="77242" customFormat="1" x14ac:dyDescent="0.2"/>
    <row r="77243" customFormat="1" x14ac:dyDescent="0.2"/>
    <row r="77244" customFormat="1" x14ac:dyDescent="0.2"/>
    <row r="77245" customFormat="1" x14ac:dyDescent="0.2"/>
    <row r="77246" customFormat="1" x14ac:dyDescent="0.2"/>
    <row r="77247" customFormat="1" x14ac:dyDescent="0.2"/>
    <row r="77248" customFormat="1" x14ac:dyDescent="0.2"/>
    <row r="77249" customFormat="1" x14ac:dyDescent="0.2"/>
    <row r="77250" customFormat="1" x14ac:dyDescent="0.2"/>
    <row r="77251" customFormat="1" x14ac:dyDescent="0.2"/>
    <row r="77252" customFormat="1" x14ac:dyDescent="0.2"/>
    <row r="77253" customFormat="1" x14ac:dyDescent="0.2"/>
    <row r="77254" customFormat="1" x14ac:dyDescent="0.2"/>
    <row r="77255" customFormat="1" x14ac:dyDescent="0.2"/>
    <row r="77256" customFormat="1" x14ac:dyDescent="0.2"/>
    <row r="77257" customFormat="1" x14ac:dyDescent="0.2"/>
    <row r="77258" customFormat="1" x14ac:dyDescent="0.2"/>
    <row r="77259" customFormat="1" x14ac:dyDescent="0.2"/>
    <row r="77260" customFormat="1" x14ac:dyDescent="0.2"/>
    <row r="77261" customFormat="1" x14ac:dyDescent="0.2"/>
    <row r="77262" customFormat="1" x14ac:dyDescent="0.2"/>
    <row r="77263" customFormat="1" x14ac:dyDescent="0.2"/>
    <row r="77264" customFormat="1" x14ac:dyDescent="0.2"/>
    <row r="77265" customFormat="1" x14ac:dyDescent="0.2"/>
    <row r="77266" customFormat="1" x14ac:dyDescent="0.2"/>
    <row r="77267" customFormat="1" x14ac:dyDescent="0.2"/>
    <row r="77268" customFormat="1" x14ac:dyDescent="0.2"/>
    <row r="77269" customFormat="1" x14ac:dyDescent="0.2"/>
    <row r="77270" customFormat="1" x14ac:dyDescent="0.2"/>
    <row r="77271" customFormat="1" x14ac:dyDescent="0.2"/>
    <row r="77272" customFormat="1" x14ac:dyDescent="0.2"/>
    <row r="77273" customFormat="1" x14ac:dyDescent="0.2"/>
    <row r="77274" customFormat="1" x14ac:dyDescent="0.2"/>
    <row r="77275" customFormat="1" x14ac:dyDescent="0.2"/>
    <row r="77276" customFormat="1" x14ac:dyDescent="0.2"/>
    <row r="77277" customFormat="1" x14ac:dyDescent="0.2"/>
    <row r="77278" customFormat="1" x14ac:dyDescent="0.2"/>
    <row r="77279" customFormat="1" x14ac:dyDescent="0.2"/>
    <row r="77280" customFormat="1" x14ac:dyDescent="0.2"/>
    <row r="77281" customFormat="1" x14ac:dyDescent="0.2"/>
    <row r="77282" customFormat="1" x14ac:dyDescent="0.2"/>
    <row r="77283" customFormat="1" x14ac:dyDescent="0.2"/>
    <row r="77284" customFormat="1" x14ac:dyDescent="0.2"/>
    <row r="77285" customFormat="1" x14ac:dyDescent="0.2"/>
    <row r="77286" customFormat="1" x14ac:dyDescent="0.2"/>
    <row r="77287" customFormat="1" x14ac:dyDescent="0.2"/>
    <row r="77288" customFormat="1" x14ac:dyDescent="0.2"/>
    <row r="77289" customFormat="1" x14ac:dyDescent="0.2"/>
    <row r="77290" customFormat="1" x14ac:dyDescent="0.2"/>
    <row r="77291" customFormat="1" x14ac:dyDescent="0.2"/>
    <row r="77292" customFormat="1" x14ac:dyDescent="0.2"/>
    <row r="77293" customFormat="1" x14ac:dyDescent="0.2"/>
    <row r="77294" customFormat="1" x14ac:dyDescent="0.2"/>
    <row r="77295" customFormat="1" x14ac:dyDescent="0.2"/>
    <row r="77296" customFormat="1" x14ac:dyDescent="0.2"/>
    <row r="77297" customFormat="1" x14ac:dyDescent="0.2"/>
    <row r="77298" customFormat="1" x14ac:dyDescent="0.2"/>
    <row r="77299" customFormat="1" x14ac:dyDescent="0.2"/>
    <row r="77300" customFormat="1" x14ac:dyDescent="0.2"/>
    <row r="77301" customFormat="1" x14ac:dyDescent="0.2"/>
    <row r="77302" customFormat="1" x14ac:dyDescent="0.2"/>
    <row r="77303" customFormat="1" x14ac:dyDescent="0.2"/>
    <row r="77304" customFormat="1" x14ac:dyDescent="0.2"/>
    <row r="77305" customFormat="1" x14ac:dyDescent="0.2"/>
    <row r="77306" customFormat="1" x14ac:dyDescent="0.2"/>
    <row r="77307" customFormat="1" x14ac:dyDescent="0.2"/>
    <row r="77308" customFormat="1" x14ac:dyDescent="0.2"/>
    <row r="77309" customFormat="1" x14ac:dyDescent="0.2"/>
    <row r="77310" customFormat="1" x14ac:dyDescent="0.2"/>
    <row r="77311" customFormat="1" x14ac:dyDescent="0.2"/>
    <row r="77312" customFormat="1" x14ac:dyDescent="0.2"/>
    <row r="77313" customFormat="1" x14ac:dyDescent="0.2"/>
    <row r="77314" customFormat="1" x14ac:dyDescent="0.2"/>
    <row r="77315" customFormat="1" x14ac:dyDescent="0.2"/>
    <row r="77316" customFormat="1" x14ac:dyDescent="0.2"/>
    <row r="77317" customFormat="1" x14ac:dyDescent="0.2"/>
    <row r="77318" customFormat="1" x14ac:dyDescent="0.2"/>
    <row r="77319" customFormat="1" x14ac:dyDescent="0.2"/>
    <row r="77320" customFormat="1" x14ac:dyDescent="0.2"/>
    <row r="77321" customFormat="1" x14ac:dyDescent="0.2"/>
    <row r="77322" customFormat="1" x14ac:dyDescent="0.2"/>
    <row r="77323" customFormat="1" x14ac:dyDescent="0.2"/>
    <row r="77324" customFormat="1" x14ac:dyDescent="0.2"/>
    <row r="77325" customFormat="1" x14ac:dyDescent="0.2"/>
    <row r="77326" customFormat="1" x14ac:dyDescent="0.2"/>
    <row r="77327" customFormat="1" x14ac:dyDescent="0.2"/>
    <row r="77328" customFormat="1" x14ac:dyDescent="0.2"/>
    <row r="77329" customFormat="1" x14ac:dyDescent="0.2"/>
    <row r="77330" customFormat="1" x14ac:dyDescent="0.2"/>
    <row r="77331" customFormat="1" x14ac:dyDescent="0.2"/>
    <row r="77332" customFormat="1" x14ac:dyDescent="0.2"/>
    <row r="77333" customFormat="1" x14ac:dyDescent="0.2"/>
    <row r="77334" customFormat="1" x14ac:dyDescent="0.2"/>
    <row r="77335" customFormat="1" x14ac:dyDescent="0.2"/>
    <row r="77336" customFormat="1" x14ac:dyDescent="0.2"/>
    <row r="77337" customFormat="1" x14ac:dyDescent="0.2"/>
    <row r="77338" customFormat="1" x14ac:dyDescent="0.2"/>
    <row r="77339" customFormat="1" x14ac:dyDescent="0.2"/>
    <row r="77340" customFormat="1" x14ac:dyDescent="0.2"/>
    <row r="77341" customFormat="1" x14ac:dyDescent="0.2"/>
    <row r="77342" customFormat="1" x14ac:dyDescent="0.2"/>
    <row r="77343" customFormat="1" x14ac:dyDescent="0.2"/>
    <row r="77344" customFormat="1" x14ac:dyDescent="0.2"/>
    <row r="77345" customFormat="1" x14ac:dyDescent="0.2"/>
    <row r="77346" customFormat="1" x14ac:dyDescent="0.2"/>
    <row r="77347" customFormat="1" x14ac:dyDescent="0.2"/>
    <row r="77348" customFormat="1" x14ac:dyDescent="0.2"/>
    <row r="77349" customFormat="1" x14ac:dyDescent="0.2"/>
    <row r="77350" customFormat="1" x14ac:dyDescent="0.2"/>
    <row r="77351" customFormat="1" x14ac:dyDescent="0.2"/>
    <row r="77352" customFormat="1" x14ac:dyDescent="0.2"/>
    <row r="77353" customFormat="1" x14ac:dyDescent="0.2"/>
    <row r="77354" customFormat="1" x14ac:dyDescent="0.2"/>
    <row r="77355" customFormat="1" x14ac:dyDescent="0.2"/>
    <row r="77356" customFormat="1" x14ac:dyDescent="0.2"/>
    <row r="77357" customFormat="1" x14ac:dyDescent="0.2"/>
    <row r="77358" customFormat="1" x14ac:dyDescent="0.2"/>
    <row r="77359" customFormat="1" x14ac:dyDescent="0.2"/>
    <row r="77360" customFormat="1" x14ac:dyDescent="0.2"/>
    <row r="77361" customFormat="1" x14ac:dyDescent="0.2"/>
    <row r="77362" customFormat="1" x14ac:dyDescent="0.2"/>
    <row r="77363" customFormat="1" x14ac:dyDescent="0.2"/>
    <row r="77364" customFormat="1" x14ac:dyDescent="0.2"/>
    <row r="77365" customFormat="1" x14ac:dyDescent="0.2"/>
    <row r="77366" customFormat="1" x14ac:dyDescent="0.2"/>
    <row r="77367" customFormat="1" x14ac:dyDescent="0.2"/>
    <row r="77368" customFormat="1" x14ac:dyDescent="0.2"/>
    <row r="77369" customFormat="1" x14ac:dyDescent="0.2"/>
    <row r="77370" customFormat="1" x14ac:dyDescent="0.2"/>
    <row r="77371" customFormat="1" x14ac:dyDescent="0.2"/>
    <row r="77372" customFormat="1" x14ac:dyDescent="0.2"/>
    <row r="77373" customFormat="1" x14ac:dyDescent="0.2"/>
    <row r="77374" customFormat="1" x14ac:dyDescent="0.2"/>
    <row r="77375" customFormat="1" x14ac:dyDescent="0.2"/>
    <row r="77376" customFormat="1" x14ac:dyDescent="0.2"/>
    <row r="77377" customFormat="1" x14ac:dyDescent="0.2"/>
    <row r="77378" customFormat="1" x14ac:dyDescent="0.2"/>
    <row r="77379" customFormat="1" x14ac:dyDescent="0.2"/>
    <row r="77380" customFormat="1" x14ac:dyDescent="0.2"/>
    <row r="77381" customFormat="1" x14ac:dyDescent="0.2"/>
    <row r="77382" customFormat="1" x14ac:dyDescent="0.2"/>
    <row r="77383" customFormat="1" x14ac:dyDescent="0.2"/>
    <row r="77384" customFormat="1" x14ac:dyDescent="0.2"/>
    <row r="77385" customFormat="1" x14ac:dyDescent="0.2"/>
    <row r="77386" customFormat="1" x14ac:dyDescent="0.2"/>
    <row r="77387" customFormat="1" x14ac:dyDescent="0.2"/>
    <row r="77388" customFormat="1" x14ac:dyDescent="0.2"/>
    <row r="77389" customFormat="1" x14ac:dyDescent="0.2"/>
    <row r="77390" customFormat="1" x14ac:dyDescent="0.2"/>
    <row r="77391" customFormat="1" x14ac:dyDescent="0.2"/>
    <row r="77392" customFormat="1" x14ac:dyDescent="0.2"/>
    <row r="77393" customFormat="1" x14ac:dyDescent="0.2"/>
    <row r="77394" customFormat="1" x14ac:dyDescent="0.2"/>
    <row r="77395" customFormat="1" x14ac:dyDescent="0.2"/>
    <row r="77396" customFormat="1" x14ac:dyDescent="0.2"/>
    <row r="77397" customFormat="1" x14ac:dyDescent="0.2"/>
    <row r="77398" customFormat="1" x14ac:dyDescent="0.2"/>
    <row r="77399" customFormat="1" x14ac:dyDescent="0.2"/>
    <row r="77400" customFormat="1" x14ac:dyDescent="0.2"/>
    <row r="77401" customFormat="1" x14ac:dyDescent="0.2"/>
    <row r="77402" customFormat="1" x14ac:dyDescent="0.2"/>
    <row r="77403" customFormat="1" x14ac:dyDescent="0.2"/>
    <row r="77404" customFormat="1" x14ac:dyDescent="0.2"/>
    <row r="77405" customFormat="1" x14ac:dyDescent="0.2"/>
    <row r="77406" customFormat="1" x14ac:dyDescent="0.2"/>
    <row r="77407" customFormat="1" x14ac:dyDescent="0.2"/>
    <row r="77408" customFormat="1" x14ac:dyDescent="0.2"/>
    <row r="77409" customFormat="1" x14ac:dyDescent="0.2"/>
    <row r="77410" customFormat="1" x14ac:dyDescent="0.2"/>
    <row r="77411" customFormat="1" x14ac:dyDescent="0.2"/>
    <row r="77412" customFormat="1" x14ac:dyDescent="0.2"/>
    <row r="77413" customFormat="1" x14ac:dyDescent="0.2"/>
    <row r="77414" customFormat="1" x14ac:dyDescent="0.2"/>
    <row r="77415" customFormat="1" x14ac:dyDescent="0.2"/>
    <row r="77416" customFormat="1" x14ac:dyDescent="0.2"/>
    <row r="77417" customFormat="1" x14ac:dyDescent="0.2"/>
    <row r="77418" customFormat="1" x14ac:dyDescent="0.2"/>
    <row r="77419" customFormat="1" x14ac:dyDescent="0.2"/>
    <row r="77420" customFormat="1" x14ac:dyDescent="0.2"/>
    <row r="77421" customFormat="1" x14ac:dyDescent="0.2"/>
    <row r="77422" customFormat="1" x14ac:dyDescent="0.2"/>
    <row r="77423" customFormat="1" x14ac:dyDescent="0.2"/>
    <row r="77424" customFormat="1" x14ac:dyDescent="0.2"/>
    <row r="77425" customFormat="1" x14ac:dyDescent="0.2"/>
    <row r="77426" customFormat="1" x14ac:dyDescent="0.2"/>
    <row r="77427" customFormat="1" x14ac:dyDescent="0.2"/>
    <row r="77428" customFormat="1" x14ac:dyDescent="0.2"/>
    <row r="77429" customFormat="1" x14ac:dyDescent="0.2"/>
    <row r="77430" customFormat="1" x14ac:dyDescent="0.2"/>
    <row r="77431" customFormat="1" x14ac:dyDescent="0.2"/>
    <row r="77432" customFormat="1" x14ac:dyDescent="0.2"/>
    <row r="77433" customFormat="1" x14ac:dyDescent="0.2"/>
    <row r="77434" customFormat="1" x14ac:dyDescent="0.2"/>
    <row r="77435" customFormat="1" x14ac:dyDescent="0.2"/>
    <row r="77436" customFormat="1" x14ac:dyDescent="0.2"/>
    <row r="77437" customFormat="1" x14ac:dyDescent="0.2"/>
    <row r="77438" customFormat="1" x14ac:dyDescent="0.2"/>
    <row r="77439" customFormat="1" x14ac:dyDescent="0.2"/>
    <row r="77440" customFormat="1" x14ac:dyDescent="0.2"/>
    <row r="77441" customFormat="1" x14ac:dyDescent="0.2"/>
    <row r="77442" customFormat="1" x14ac:dyDescent="0.2"/>
    <row r="77443" customFormat="1" x14ac:dyDescent="0.2"/>
    <row r="77444" customFormat="1" x14ac:dyDescent="0.2"/>
    <row r="77445" customFormat="1" x14ac:dyDescent="0.2"/>
    <row r="77446" customFormat="1" x14ac:dyDescent="0.2"/>
    <row r="77447" customFormat="1" x14ac:dyDescent="0.2"/>
    <row r="77448" customFormat="1" x14ac:dyDescent="0.2"/>
    <row r="77449" customFormat="1" x14ac:dyDescent="0.2"/>
    <row r="77450" customFormat="1" x14ac:dyDescent="0.2"/>
    <row r="77451" customFormat="1" x14ac:dyDescent="0.2"/>
    <row r="77452" customFormat="1" x14ac:dyDescent="0.2"/>
    <row r="77453" customFormat="1" x14ac:dyDescent="0.2"/>
    <row r="77454" customFormat="1" x14ac:dyDescent="0.2"/>
    <row r="77455" customFormat="1" x14ac:dyDescent="0.2"/>
    <row r="77456" customFormat="1" x14ac:dyDescent="0.2"/>
    <row r="77457" customFormat="1" x14ac:dyDescent="0.2"/>
    <row r="77458" customFormat="1" x14ac:dyDescent="0.2"/>
    <row r="77459" customFormat="1" x14ac:dyDescent="0.2"/>
    <row r="77460" customFormat="1" x14ac:dyDescent="0.2"/>
    <row r="77461" customFormat="1" x14ac:dyDescent="0.2"/>
    <row r="77462" customFormat="1" x14ac:dyDescent="0.2"/>
    <row r="77463" customFormat="1" x14ac:dyDescent="0.2"/>
    <row r="77464" customFormat="1" x14ac:dyDescent="0.2"/>
    <row r="77465" customFormat="1" x14ac:dyDescent="0.2"/>
    <row r="77466" customFormat="1" x14ac:dyDescent="0.2"/>
    <row r="77467" customFormat="1" x14ac:dyDescent="0.2"/>
    <row r="77468" customFormat="1" x14ac:dyDescent="0.2"/>
    <row r="77469" customFormat="1" x14ac:dyDescent="0.2"/>
    <row r="77470" customFormat="1" x14ac:dyDescent="0.2"/>
    <row r="77471" customFormat="1" x14ac:dyDescent="0.2"/>
    <row r="77472" customFormat="1" x14ac:dyDescent="0.2"/>
    <row r="77473" customFormat="1" x14ac:dyDescent="0.2"/>
    <row r="77474" customFormat="1" x14ac:dyDescent="0.2"/>
    <row r="77475" customFormat="1" x14ac:dyDescent="0.2"/>
    <row r="77476" customFormat="1" x14ac:dyDescent="0.2"/>
    <row r="77477" customFormat="1" x14ac:dyDescent="0.2"/>
    <row r="77478" customFormat="1" x14ac:dyDescent="0.2"/>
    <row r="77479" customFormat="1" x14ac:dyDescent="0.2"/>
    <row r="77480" customFormat="1" x14ac:dyDescent="0.2"/>
    <row r="77481" customFormat="1" x14ac:dyDescent="0.2"/>
    <row r="77482" customFormat="1" x14ac:dyDescent="0.2"/>
    <row r="77483" customFormat="1" x14ac:dyDescent="0.2"/>
    <row r="77484" customFormat="1" x14ac:dyDescent="0.2"/>
    <row r="77485" customFormat="1" x14ac:dyDescent="0.2"/>
    <row r="77486" customFormat="1" x14ac:dyDescent="0.2"/>
    <row r="77487" customFormat="1" x14ac:dyDescent="0.2"/>
    <row r="77488" customFormat="1" x14ac:dyDescent="0.2"/>
    <row r="77489" customFormat="1" x14ac:dyDescent="0.2"/>
    <row r="77490" customFormat="1" x14ac:dyDescent="0.2"/>
    <row r="77491" customFormat="1" x14ac:dyDescent="0.2"/>
    <row r="77492" customFormat="1" x14ac:dyDescent="0.2"/>
    <row r="77493" customFormat="1" x14ac:dyDescent="0.2"/>
    <row r="77494" customFormat="1" x14ac:dyDescent="0.2"/>
    <row r="77495" customFormat="1" x14ac:dyDescent="0.2"/>
    <row r="77496" customFormat="1" x14ac:dyDescent="0.2"/>
    <row r="77497" customFormat="1" x14ac:dyDescent="0.2"/>
    <row r="77498" customFormat="1" x14ac:dyDescent="0.2"/>
    <row r="77499" customFormat="1" x14ac:dyDescent="0.2"/>
    <row r="77500" customFormat="1" x14ac:dyDescent="0.2"/>
    <row r="77501" customFormat="1" x14ac:dyDescent="0.2"/>
    <row r="77502" customFormat="1" x14ac:dyDescent="0.2"/>
    <row r="77503" customFormat="1" x14ac:dyDescent="0.2"/>
    <row r="77504" customFormat="1" x14ac:dyDescent="0.2"/>
    <row r="77505" customFormat="1" x14ac:dyDescent="0.2"/>
    <row r="77506" customFormat="1" x14ac:dyDescent="0.2"/>
    <row r="77507" customFormat="1" x14ac:dyDescent="0.2"/>
    <row r="77508" customFormat="1" x14ac:dyDescent="0.2"/>
    <row r="77509" customFormat="1" x14ac:dyDescent="0.2"/>
    <row r="77510" customFormat="1" x14ac:dyDescent="0.2"/>
    <row r="77511" customFormat="1" x14ac:dyDescent="0.2"/>
    <row r="77512" customFormat="1" x14ac:dyDescent="0.2"/>
    <row r="77513" customFormat="1" x14ac:dyDescent="0.2"/>
    <row r="77514" customFormat="1" x14ac:dyDescent="0.2"/>
    <row r="77515" customFormat="1" x14ac:dyDescent="0.2"/>
    <row r="77516" customFormat="1" x14ac:dyDescent="0.2"/>
    <row r="77517" customFormat="1" x14ac:dyDescent="0.2"/>
    <row r="77518" customFormat="1" x14ac:dyDescent="0.2"/>
    <row r="77519" customFormat="1" x14ac:dyDescent="0.2"/>
    <row r="77520" customFormat="1" x14ac:dyDescent="0.2"/>
    <row r="77521" customFormat="1" x14ac:dyDescent="0.2"/>
    <row r="77522" customFormat="1" x14ac:dyDescent="0.2"/>
    <row r="77523" customFormat="1" x14ac:dyDescent="0.2"/>
    <row r="77524" customFormat="1" x14ac:dyDescent="0.2"/>
    <row r="77525" customFormat="1" x14ac:dyDescent="0.2"/>
    <row r="77526" customFormat="1" x14ac:dyDescent="0.2"/>
    <row r="77527" customFormat="1" x14ac:dyDescent="0.2"/>
    <row r="77528" customFormat="1" x14ac:dyDescent="0.2"/>
    <row r="77529" customFormat="1" x14ac:dyDescent="0.2"/>
    <row r="77530" customFormat="1" x14ac:dyDescent="0.2"/>
    <row r="77531" customFormat="1" x14ac:dyDescent="0.2"/>
    <row r="77532" customFormat="1" x14ac:dyDescent="0.2"/>
    <row r="77533" customFormat="1" x14ac:dyDescent="0.2"/>
    <row r="77534" customFormat="1" x14ac:dyDescent="0.2"/>
    <row r="77535" customFormat="1" x14ac:dyDescent="0.2"/>
    <row r="77536" customFormat="1" x14ac:dyDescent="0.2"/>
    <row r="77537" customFormat="1" x14ac:dyDescent="0.2"/>
    <row r="77538" customFormat="1" x14ac:dyDescent="0.2"/>
    <row r="77539" customFormat="1" x14ac:dyDescent="0.2"/>
    <row r="77540" customFormat="1" x14ac:dyDescent="0.2"/>
    <row r="77541" customFormat="1" x14ac:dyDescent="0.2"/>
    <row r="77542" customFormat="1" x14ac:dyDescent="0.2"/>
    <row r="77543" customFormat="1" x14ac:dyDescent="0.2"/>
    <row r="77544" customFormat="1" x14ac:dyDescent="0.2"/>
    <row r="77545" customFormat="1" x14ac:dyDescent="0.2"/>
    <row r="77546" customFormat="1" x14ac:dyDescent="0.2"/>
    <row r="77547" customFormat="1" x14ac:dyDescent="0.2"/>
    <row r="77548" customFormat="1" x14ac:dyDescent="0.2"/>
    <row r="77549" customFormat="1" x14ac:dyDescent="0.2"/>
    <row r="77550" customFormat="1" x14ac:dyDescent="0.2"/>
    <row r="77551" customFormat="1" x14ac:dyDescent="0.2"/>
    <row r="77552" customFormat="1" x14ac:dyDescent="0.2"/>
    <row r="77553" customFormat="1" x14ac:dyDescent="0.2"/>
    <row r="77554" customFormat="1" x14ac:dyDescent="0.2"/>
    <row r="77555" customFormat="1" x14ac:dyDescent="0.2"/>
    <row r="77556" customFormat="1" x14ac:dyDescent="0.2"/>
    <row r="77557" customFormat="1" x14ac:dyDescent="0.2"/>
    <row r="77558" customFormat="1" x14ac:dyDescent="0.2"/>
    <row r="77559" customFormat="1" x14ac:dyDescent="0.2"/>
    <row r="77560" customFormat="1" x14ac:dyDescent="0.2"/>
    <row r="77561" customFormat="1" x14ac:dyDescent="0.2"/>
    <row r="77562" customFormat="1" x14ac:dyDescent="0.2"/>
    <row r="77563" customFormat="1" x14ac:dyDescent="0.2"/>
    <row r="77564" customFormat="1" x14ac:dyDescent="0.2"/>
    <row r="77565" customFormat="1" x14ac:dyDescent="0.2"/>
    <row r="77566" customFormat="1" x14ac:dyDescent="0.2"/>
    <row r="77567" customFormat="1" x14ac:dyDescent="0.2"/>
    <row r="77568" customFormat="1" x14ac:dyDescent="0.2"/>
    <row r="77569" customFormat="1" x14ac:dyDescent="0.2"/>
    <row r="77570" customFormat="1" x14ac:dyDescent="0.2"/>
    <row r="77571" customFormat="1" x14ac:dyDescent="0.2"/>
    <row r="77572" customFormat="1" x14ac:dyDescent="0.2"/>
    <row r="77573" customFormat="1" x14ac:dyDescent="0.2"/>
    <row r="77574" customFormat="1" x14ac:dyDescent="0.2"/>
    <row r="77575" customFormat="1" x14ac:dyDescent="0.2"/>
    <row r="77576" customFormat="1" x14ac:dyDescent="0.2"/>
    <row r="77577" customFormat="1" x14ac:dyDescent="0.2"/>
    <row r="77578" customFormat="1" x14ac:dyDescent="0.2"/>
    <row r="77579" customFormat="1" x14ac:dyDescent="0.2"/>
    <row r="77580" customFormat="1" x14ac:dyDescent="0.2"/>
    <row r="77581" customFormat="1" x14ac:dyDescent="0.2"/>
    <row r="77582" customFormat="1" x14ac:dyDescent="0.2"/>
    <row r="77583" customFormat="1" x14ac:dyDescent="0.2"/>
    <row r="77584" customFormat="1" x14ac:dyDescent="0.2"/>
    <row r="77585" customFormat="1" x14ac:dyDescent="0.2"/>
    <row r="77586" customFormat="1" x14ac:dyDescent="0.2"/>
    <row r="77587" customFormat="1" x14ac:dyDescent="0.2"/>
    <row r="77588" customFormat="1" x14ac:dyDescent="0.2"/>
    <row r="77589" customFormat="1" x14ac:dyDescent="0.2"/>
    <row r="77590" customFormat="1" x14ac:dyDescent="0.2"/>
    <row r="77591" customFormat="1" x14ac:dyDescent="0.2"/>
    <row r="77592" customFormat="1" x14ac:dyDescent="0.2"/>
    <row r="77593" customFormat="1" x14ac:dyDescent="0.2"/>
    <row r="77594" customFormat="1" x14ac:dyDescent="0.2"/>
    <row r="77595" customFormat="1" x14ac:dyDescent="0.2"/>
    <row r="77596" customFormat="1" x14ac:dyDescent="0.2"/>
    <row r="77597" customFormat="1" x14ac:dyDescent="0.2"/>
    <row r="77598" customFormat="1" x14ac:dyDescent="0.2"/>
    <row r="77599" customFormat="1" x14ac:dyDescent="0.2"/>
    <row r="77600" customFormat="1" x14ac:dyDescent="0.2"/>
    <row r="77601" customFormat="1" x14ac:dyDescent="0.2"/>
    <row r="77602" customFormat="1" x14ac:dyDescent="0.2"/>
    <row r="77603" customFormat="1" x14ac:dyDescent="0.2"/>
    <row r="77604" customFormat="1" x14ac:dyDescent="0.2"/>
    <row r="77605" customFormat="1" x14ac:dyDescent="0.2"/>
    <row r="77606" customFormat="1" x14ac:dyDescent="0.2"/>
    <row r="77607" customFormat="1" x14ac:dyDescent="0.2"/>
    <row r="77608" customFormat="1" x14ac:dyDescent="0.2"/>
    <row r="77609" customFormat="1" x14ac:dyDescent="0.2"/>
    <row r="77610" customFormat="1" x14ac:dyDescent="0.2"/>
    <row r="77611" customFormat="1" x14ac:dyDescent="0.2"/>
    <row r="77612" customFormat="1" x14ac:dyDescent="0.2"/>
    <row r="77613" customFormat="1" x14ac:dyDescent="0.2"/>
    <row r="77614" customFormat="1" x14ac:dyDescent="0.2"/>
    <row r="77615" customFormat="1" x14ac:dyDescent="0.2"/>
    <row r="77616" customFormat="1" x14ac:dyDescent="0.2"/>
    <row r="77617" customFormat="1" x14ac:dyDescent="0.2"/>
    <row r="77618" customFormat="1" x14ac:dyDescent="0.2"/>
    <row r="77619" customFormat="1" x14ac:dyDescent="0.2"/>
    <row r="77620" customFormat="1" x14ac:dyDescent="0.2"/>
    <row r="77621" customFormat="1" x14ac:dyDescent="0.2"/>
    <row r="77622" customFormat="1" x14ac:dyDescent="0.2"/>
    <row r="77623" customFormat="1" x14ac:dyDescent="0.2"/>
    <row r="77624" customFormat="1" x14ac:dyDescent="0.2"/>
    <row r="77625" customFormat="1" x14ac:dyDescent="0.2"/>
    <row r="77626" customFormat="1" x14ac:dyDescent="0.2"/>
    <row r="77627" customFormat="1" x14ac:dyDescent="0.2"/>
    <row r="77628" customFormat="1" x14ac:dyDescent="0.2"/>
    <row r="77629" customFormat="1" x14ac:dyDescent="0.2"/>
    <row r="77630" customFormat="1" x14ac:dyDescent="0.2"/>
    <row r="77631" customFormat="1" x14ac:dyDescent="0.2"/>
    <row r="77632" customFormat="1" x14ac:dyDescent="0.2"/>
    <row r="77633" customFormat="1" x14ac:dyDescent="0.2"/>
    <row r="77634" customFormat="1" x14ac:dyDescent="0.2"/>
    <row r="77635" customFormat="1" x14ac:dyDescent="0.2"/>
    <row r="77636" customFormat="1" x14ac:dyDescent="0.2"/>
    <row r="77637" customFormat="1" x14ac:dyDescent="0.2"/>
    <row r="77638" customFormat="1" x14ac:dyDescent="0.2"/>
    <row r="77639" customFormat="1" x14ac:dyDescent="0.2"/>
    <row r="77640" customFormat="1" x14ac:dyDescent="0.2"/>
    <row r="77641" customFormat="1" x14ac:dyDescent="0.2"/>
    <row r="77642" customFormat="1" x14ac:dyDescent="0.2"/>
    <row r="77643" customFormat="1" x14ac:dyDescent="0.2"/>
    <row r="77644" customFormat="1" x14ac:dyDescent="0.2"/>
    <row r="77645" customFormat="1" x14ac:dyDescent="0.2"/>
    <row r="77646" customFormat="1" x14ac:dyDescent="0.2"/>
    <row r="77647" customFormat="1" x14ac:dyDescent="0.2"/>
    <row r="77648" customFormat="1" x14ac:dyDescent="0.2"/>
    <row r="77649" customFormat="1" x14ac:dyDescent="0.2"/>
    <row r="77650" customFormat="1" x14ac:dyDescent="0.2"/>
    <row r="77651" customFormat="1" x14ac:dyDescent="0.2"/>
    <row r="77652" customFormat="1" x14ac:dyDescent="0.2"/>
    <row r="77653" customFormat="1" x14ac:dyDescent="0.2"/>
    <row r="77654" customFormat="1" x14ac:dyDescent="0.2"/>
    <row r="77655" customFormat="1" x14ac:dyDescent="0.2"/>
    <row r="77656" customFormat="1" x14ac:dyDescent="0.2"/>
    <row r="77657" customFormat="1" x14ac:dyDescent="0.2"/>
    <row r="77658" customFormat="1" x14ac:dyDescent="0.2"/>
    <row r="77659" customFormat="1" x14ac:dyDescent="0.2"/>
    <row r="77660" customFormat="1" x14ac:dyDescent="0.2"/>
    <row r="77661" customFormat="1" x14ac:dyDescent="0.2"/>
    <row r="77662" customFormat="1" x14ac:dyDescent="0.2"/>
    <row r="77663" customFormat="1" x14ac:dyDescent="0.2"/>
    <row r="77664" customFormat="1" x14ac:dyDescent="0.2"/>
    <row r="77665" customFormat="1" x14ac:dyDescent="0.2"/>
    <row r="77666" customFormat="1" x14ac:dyDescent="0.2"/>
    <row r="77667" customFormat="1" x14ac:dyDescent="0.2"/>
    <row r="77668" customFormat="1" x14ac:dyDescent="0.2"/>
    <row r="77669" customFormat="1" x14ac:dyDescent="0.2"/>
    <row r="77670" customFormat="1" x14ac:dyDescent="0.2"/>
    <row r="77671" customFormat="1" x14ac:dyDescent="0.2"/>
    <row r="77672" customFormat="1" x14ac:dyDescent="0.2"/>
    <row r="77673" customFormat="1" x14ac:dyDescent="0.2"/>
    <row r="77674" customFormat="1" x14ac:dyDescent="0.2"/>
    <row r="77675" customFormat="1" x14ac:dyDescent="0.2"/>
    <row r="77676" customFormat="1" x14ac:dyDescent="0.2"/>
    <row r="77677" customFormat="1" x14ac:dyDescent="0.2"/>
    <row r="77678" customFormat="1" x14ac:dyDescent="0.2"/>
    <row r="77679" customFormat="1" x14ac:dyDescent="0.2"/>
    <row r="77680" customFormat="1" x14ac:dyDescent="0.2"/>
    <row r="77681" customFormat="1" x14ac:dyDescent="0.2"/>
    <row r="77682" customFormat="1" x14ac:dyDescent="0.2"/>
    <row r="77683" customFormat="1" x14ac:dyDescent="0.2"/>
    <row r="77684" customFormat="1" x14ac:dyDescent="0.2"/>
    <row r="77685" customFormat="1" x14ac:dyDescent="0.2"/>
    <row r="77686" customFormat="1" x14ac:dyDescent="0.2"/>
    <row r="77687" customFormat="1" x14ac:dyDescent="0.2"/>
    <row r="77688" customFormat="1" x14ac:dyDescent="0.2"/>
    <row r="77689" customFormat="1" x14ac:dyDescent="0.2"/>
    <row r="77690" customFormat="1" x14ac:dyDescent="0.2"/>
    <row r="77691" customFormat="1" x14ac:dyDescent="0.2"/>
    <row r="77692" customFormat="1" x14ac:dyDescent="0.2"/>
    <row r="77693" customFormat="1" x14ac:dyDescent="0.2"/>
    <row r="77694" customFormat="1" x14ac:dyDescent="0.2"/>
    <row r="77695" customFormat="1" x14ac:dyDescent="0.2"/>
    <row r="77696" customFormat="1" x14ac:dyDescent="0.2"/>
    <row r="77697" customFormat="1" x14ac:dyDescent="0.2"/>
    <row r="77698" customFormat="1" x14ac:dyDescent="0.2"/>
    <row r="77699" customFormat="1" x14ac:dyDescent="0.2"/>
    <row r="77700" customFormat="1" x14ac:dyDescent="0.2"/>
    <row r="77701" customFormat="1" x14ac:dyDescent="0.2"/>
    <row r="77702" customFormat="1" x14ac:dyDescent="0.2"/>
    <row r="77703" customFormat="1" x14ac:dyDescent="0.2"/>
    <row r="77704" customFormat="1" x14ac:dyDescent="0.2"/>
    <row r="77705" customFormat="1" x14ac:dyDescent="0.2"/>
    <row r="77706" customFormat="1" x14ac:dyDescent="0.2"/>
    <row r="77707" customFormat="1" x14ac:dyDescent="0.2"/>
    <row r="77708" customFormat="1" x14ac:dyDescent="0.2"/>
    <row r="77709" customFormat="1" x14ac:dyDescent="0.2"/>
    <row r="77710" customFormat="1" x14ac:dyDescent="0.2"/>
    <row r="77711" customFormat="1" x14ac:dyDescent="0.2"/>
    <row r="77712" customFormat="1" x14ac:dyDescent="0.2"/>
    <row r="77713" customFormat="1" x14ac:dyDescent="0.2"/>
    <row r="77714" customFormat="1" x14ac:dyDescent="0.2"/>
    <row r="77715" customFormat="1" x14ac:dyDescent="0.2"/>
    <row r="77716" customFormat="1" x14ac:dyDescent="0.2"/>
    <row r="77717" customFormat="1" x14ac:dyDescent="0.2"/>
    <row r="77718" customFormat="1" x14ac:dyDescent="0.2"/>
    <row r="77719" customFormat="1" x14ac:dyDescent="0.2"/>
    <row r="77720" customFormat="1" x14ac:dyDescent="0.2"/>
    <row r="77721" customFormat="1" x14ac:dyDescent="0.2"/>
    <row r="77722" customFormat="1" x14ac:dyDescent="0.2"/>
    <row r="77723" customFormat="1" x14ac:dyDescent="0.2"/>
    <row r="77724" customFormat="1" x14ac:dyDescent="0.2"/>
    <row r="77725" customFormat="1" x14ac:dyDescent="0.2"/>
    <row r="77726" customFormat="1" x14ac:dyDescent="0.2"/>
    <row r="77727" customFormat="1" x14ac:dyDescent="0.2"/>
    <row r="77728" customFormat="1" x14ac:dyDescent="0.2"/>
    <row r="77729" customFormat="1" x14ac:dyDescent="0.2"/>
    <row r="77730" customFormat="1" x14ac:dyDescent="0.2"/>
    <row r="77731" customFormat="1" x14ac:dyDescent="0.2"/>
    <row r="77732" customFormat="1" x14ac:dyDescent="0.2"/>
    <row r="77733" customFormat="1" x14ac:dyDescent="0.2"/>
    <row r="77734" customFormat="1" x14ac:dyDescent="0.2"/>
    <row r="77735" customFormat="1" x14ac:dyDescent="0.2"/>
    <row r="77736" customFormat="1" x14ac:dyDescent="0.2"/>
    <row r="77737" customFormat="1" x14ac:dyDescent="0.2"/>
    <row r="77738" customFormat="1" x14ac:dyDescent="0.2"/>
    <row r="77739" customFormat="1" x14ac:dyDescent="0.2"/>
    <row r="77740" customFormat="1" x14ac:dyDescent="0.2"/>
    <row r="77741" customFormat="1" x14ac:dyDescent="0.2"/>
    <row r="77742" customFormat="1" x14ac:dyDescent="0.2"/>
    <row r="77743" customFormat="1" x14ac:dyDescent="0.2"/>
    <row r="77744" customFormat="1" x14ac:dyDescent="0.2"/>
    <row r="77745" customFormat="1" x14ac:dyDescent="0.2"/>
    <row r="77746" customFormat="1" x14ac:dyDescent="0.2"/>
    <row r="77747" customFormat="1" x14ac:dyDescent="0.2"/>
    <row r="77748" customFormat="1" x14ac:dyDescent="0.2"/>
    <row r="77749" customFormat="1" x14ac:dyDescent="0.2"/>
    <row r="77750" customFormat="1" x14ac:dyDescent="0.2"/>
    <row r="77751" customFormat="1" x14ac:dyDescent="0.2"/>
    <row r="77752" customFormat="1" x14ac:dyDescent="0.2"/>
    <row r="77753" customFormat="1" x14ac:dyDescent="0.2"/>
    <row r="77754" customFormat="1" x14ac:dyDescent="0.2"/>
    <row r="77755" customFormat="1" x14ac:dyDescent="0.2"/>
    <row r="77756" customFormat="1" x14ac:dyDescent="0.2"/>
    <row r="77757" customFormat="1" x14ac:dyDescent="0.2"/>
    <row r="77758" customFormat="1" x14ac:dyDescent="0.2"/>
    <row r="77759" customFormat="1" x14ac:dyDescent="0.2"/>
    <row r="77760" customFormat="1" x14ac:dyDescent="0.2"/>
    <row r="77761" customFormat="1" x14ac:dyDescent="0.2"/>
    <row r="77762" customFormat="1" x14ac:dyDescent="0.2"/>
    <row r="77763" customFormat="1" x14ac:dyDescent="0.2"/>
    <row r="77764" customFormat="1" x14ac:dyDescent="0.2"/>
    <row r="77765" customFormat="1" x14ac:dyDescent="0.2"/>
    <row r="77766" customFormat="1" x14ac:dyDescent="0.2"/>
    <row r="77767" customFormat="1" x14ac:dyDescent="0.2"/>
    <row r="77768" customFormat="1" x14ac:dyDescent="0.2"/>
    <row r="77769" customFormat="1" x14ac:dyDescent="0.2"/>
    <row r="77770" customFormat="1" x14ac:dyDescent="0.2"/>
    <row r="77771" customFormat="1" x14ac:dyDescent="0.2"/>
    <row r="77772" customFormat="1" x14ac:dyDescent="0.2"/>
    <row r="77773" customFormat="1" x14ac:dyDescent="0.2"/>
    <row r="77774" customFormat="1" x14ac:dyDescent="0.2"/>
    <row r="77775" customFormat="1" x14ac:dyDescent="0.2"/>
    <row r="77776" customFormat="1" x14ac:dyDescent="0.2"/>
    <row r="77777" customFormat="1" x14ac:dyDescent="0.2"/>
    <row r="77778" customFormat="1" x14ac:dyDescent="0.2"/>
    <row r="77779" customFormat="1" x14ac:dyDescent="0.2"/>
    <row r="77780" customFormat="1" x14ac:dyDescent="0.2"/>
    <row r="77781" customFormat="1" x14ac:dyDescent="0.2"/>
    <row r="77782" customFormat="1" x14ac:dyDescent="0.2"/>
    <row r="77783" customFormat="1" x14ac:dyDescent="0.2"/>
    <row r="77784" customFormat="1" x14ac:dyDescent="0.2"/>
    <row r="77785" customFormat="1" x14ac:dyDescent="0.2"/>
    <row r="77786" customFormat="1" x14ac:dyDescent="0.2"/>
    <row r="77787" customFormat="1" x14ac:dyDescent="0.2"/>
    <row r="77788" customFormat="1" x14ac:dyDescent="0.2"/>
    <row r="77789" customFormat="1" x14ac:dyDescent="0.2"/>
    <row r="77790" customFormat="1" x14ac:dyDescent="0.2"/>
    <row r="77791" customFormat="1" x14ac:dyDescent="0.2"/>
    <row r="77792" customFormat="1" x14ac:dyDescent="0.2"/>
    <row r="77793" customFormat="1" x14ac:dyDescent="0.2"/>
    <row r="77794" customFormat="1" x14ac:dyDescent="0.2"/>
    <row r="77795" customFormat="1" x14ac:dyDescent="0.2"/>
    <row r="77796" customFormat="1" x14ac:dyDescent="0.2"/>
    <row r="77797" customFormat="1" x14ac:dyDescent="0.2"/>
    <row r="77798" customFormat="1" x14ac:dyDescent="0.2"/>
    <row r="77799" customFormat="1" x14ac:dyDescent="0.2"/>
    <row r="77800" customFormat="1" x14ac:dyDescent="0.2"/>
    <row r="77801" customFormat="1" x14ac:dyDescent="0.2"/>
    <row r="77802" customFormat="1" x14ac:dyDescent="0.2"/>
    <row r="77803" customFormat="1" x14ac:dyDescent="0.2"/>
    <row r="77804" customFormat="1" x14ac:dyDescent="0.2"/>
    <row r="77805" customFormat="1" x14ac:dyDescent="0.2"/>
    <row r="77806" customFormat="1" x14ac:dyDescent="0.2"/>
    <row r="77807" customFormat="1" x14ac:dyDescent="0.2"/>
    <row r="77808" customFormat="1" x14ac:dyDescent="0.2"/>
    <row r="77809" customFormat="1" x14ac:dyDescent="0.2"/>
    <row r="77810" customFormat="1" x14ac:dyDescent="0.2"/>
    <row r="77811" customFormat="1" x14ac:dyDescent="0.2"/>
    <row r="77812" customFormat="1" x14ac:dyDescent="0.2"/>
    <row r="77813" customFormat="1" x14ac:dyDescent="0.2"/>
    <row r="77814" customFormat="1" x14ac:dyDescent="0.2"/>
    <row r="77815" customFormat="1" x14ac:dyDescent="0.2"/>
    <row r="77816" customFormat="1" x14ac:dyDescent="0.2"/>
    <row r="77817" customFormat="1" x14ac:dyDescent="0.2"/>
    <row r="77818" customFormat="1" x14ac:dyDescent="0.2"/>
    <row r="77819" customFormat="1" x14ac:dyDescent="0.2"/>
    <row r="77820" customFormat="1" x14ac:dyDescent="0.2"/>
    <row r="77821" customFormat="1" x14ac:dyDescent="0.2"/>
    <row r="77822" customFormat="1" x14ac:dyDescent="0.2"/>
    <row r="77823" customFormat="1" x14ac:dyDescent="0.2"/>
    <row r="77824" customFormat="1" x14ac:dyDescent="0.2"/>
    <row r="77825" customFormat="1" x14ac:dyDescent="0.2"/>
    <row r="77826" customFormat="1" x14ac:dyDescent="0.2"/>
    <row r="77827" customFormat="1" x14ac:dyDescent="0.2"/>
    <row r="77828" customFormat="1" x14ac:dyDescent="0.2"/>
    <row r="77829" customFormat="1" x14ac:dyDescent="0.2"/>
    <row r="77830" customFormat="1" x14ac:dyDescent="0.2"/>
    <row r="77831" customFormat="1" x14ac:dyDescent="0.2"/>
    <row r="77832" customFormat="1" x14ac:dyDescent="0.2"/>
    <row r="77833" customFormat="1" x14ac:dyDescent="0.2"/>
    <row r="77834" customFormat="1" x14ac:dyDescent="0.2"/>
    <row r="77835" customFormat="1" x14ac:dyDescent="0.2"/>
    <row r="77836" customFormat="1" x14ac:dyDescent="0.2"/>
    <row r="77837" customFormat="1" x14ac:dyDescent="0.2"/>
    <row r="77838" customFormat="1" x14ac:dyDescent="0.2"/>
    <row r="77839" customFormat="1" x14ac:dyDescent="0.2"/>
    <row r="77840" customFormat="1" x14ac:dyDescent="0.2"/>
    <row r="77841" customFormat="1" x14ac:dyDescent="0.2"/>
    <row r="77842" customFormat="1" x14ac:dyDescent="0.2"/>
    <row r="77843" customFormat="1" x14ac:dyDescent="0.2"/>
    <row r="77844" customFormat="1" x14ac:dyDescent="0.2"/>
    <row r="77845" customFormat="1" x14ac:dyDescent="0.2"/>
    <row r="77846" customFormat="1" x14ac:dyDescent="0.2"/>
    <row r="77847" customFormat="1" x14ac:dyDescent="0.2"/>
    <row r="77848" customFormat="1" x14ac:dyDescent="0.2"/>
    <row r="77849" customFormat="1" x14ac:dyDescent="0.2"/>
    <row r="77850" customFormat="1" x14ac:dyDescent="0.2"/>
    <row r="77851" customFormat="1" x14ac:dyDescent="0.2"/>
    <row r="77852" customFormat="1" x14ac:dyDescent="0.2"/>
    <row r="77853" customFormat="1" x14ac:dyDescent="0.2"/>
    <row r="77854" customFormat="1" x14ac:dyDescent="0.2"/>
    <row r="77855" customFormat="1" x14ac:dyDescent="0.2"/>
    <row r="77856" customFormat="1" x14ac:dyDescent="0.2"/>
    <row r="77857" customFormat="1" x14ac:dyDescent="0.2"/>
    <row r="77858" customFormat="1" x14ac:dyDescent="0.2"/>
    <row r="77859" customFormat="1" x14ac:dyDescent="0.2"/>
    <row r="77860" customFormat="1" x14ac:dyDescent="0.2"/>
    <row r="77861" customFormat="1" x14ac:dyDescent="0.2"/>
    <row r="77862" customFormat="1" x14ac:dyDescent="0.2"/>
    <row r="77863" customFormat="1" x14ac:dyDescent="0.2"/>
    <row r="77864" customFormat="1" x14ac:dyDescent="0.2"/>
    <row r="77865" customFormat="1" x14ac:dyDescent="0.2"/>
    <row r="77866" customFormat="1" x14ac:dyDescent="0.2"/>
    <row r="77867" customFormat="1" x14ac:dyDescent="0.2"/>
    <row r="77868" customFormat="1" x14ac:dyDescent="0.2"/>
    <row r="77869" customFormat="1" x14ac:dyDescent="0.2"/>
    <row r="77870" customFormat="1" x14ac:dyDescent="0.2"/>
    <row r="77871" customFormat="1" x14ac:dyDescent="0.2"/>
    <row r="77872" customFormat="1" x14ac:dyDescent="0.2"/>
    <row r="77873" customFormat="1" x14ac:dyDescent="0.2"/>
    <row r="77874" customFormat="1" x14ac:dyDescent="0.2"/>
    <row r="77875" customFormat="1" x14ac:dyDescent="0.2"/>
    <row r="77876" customFormat="1" x14ac:dyDescent="0.2"/>
    <row r="77877" customFormat="1" x14ac:dyDescent="0.2"/>
    <row r="77878" customFormat="1" x14ac:dyDescent="0.2"/>
    <row r="77879" customFormat="1" x14ac:dyDescent="0.2"/>
    <row r="77880" customFormat="1" x14ac:dyDescent="0.2"/>
    <row r="77881" customFormat="1" x14ac:dyDescent="0.2"/>
    <row r="77882" customFormat="1" x14ac:dyDescent="0.2"/>
    <row r="77883" customFormat="1" x14ac:dyDescent="0.2"/>
    <row r="77884" customFormat="1" x14ac:dyDescent="0.2"/>
    <row r="77885" customFormat="1" x14ac:dyDescent="0.2"/>
    <row r="77886" customFormat="1" x14ac:dyDescent="0.2"/>
    <row r="77887" customFormat="1" x14ac:dyDescent="0.2"/>
    <row r="77888" customFormat="1" x14ac:dyDescent="0.2"/>
    <row r="77889" customFormat="1" x14ac:dyDescent="0.2"/>
    <row r="77890" customFormat="1" x14ac:dyDescent="0.2"/>
    <row r="77891" customFormat="1" x14ac:dyDescent="0.2"/>
    <row r="77892" customFormat="1" x14ac:dyDescent="0.2"/>
    <row r="77893" customFormat="1" x14ac:dyDescent="0.2"/>
    <row r="77894" customFormat="1" x14ac:dyDescent="0.2"/>
    <row r="77895" customFormat="1" x14ac:dyDescent="0.2"/>
    <row r="77896" customFormat="1" x14ac:dyDescent="0.2"/>
    <row r="77897" customFormat="1" x14ac:dyDescent="0.2"/>
    <row r="77898" customFormat="1" x14ac:dyDescent="0.2"/>
    <row r="77899" customFormat="1" x14ac:dyDescent="0.2"/>
    <row r="77900" customFormat="1" x14ac:dyDescent="0.2"/>
    <row r="77901" customFormat="1" x14ac:dyDescent="0.2"/>
    <row r="77902" customFormat="1" x14ac:dyDescent="0.2"/>
    <row r="77903" customFormat="1" x14ac:dyDescent="0.2"/>
    <row r="77904" customFormat="1" x14ac:dyDescent="0.2"/>
    <row r="77905" customFormat="1" x14ac:dyDescent="0.2"/>
    <row r="77906" customFormat="1" x14ac:dyDescent="0.2"/>
    <row r="77907" customFormat="1" x14ac:dyDescent="0.2"/>
    <row r="77908" customFormat="1" x14ac:dyDescent="0.2"/>
    <row r="77909" customFormat="1" x14ac:dyDescent="0.2"/>
    <row r="77910" customFormat="1" x14ac:dyDescent="0.2"/>
    <row r="77911" customFormat="1" x14ac:dyDescent="0.2"/>
    <row r="77912" customFormat="1" x14ac:dyDescent="0.2"/>
    <row r="77913" customFormat="1" x14ac:dyDescent="0.2"/>
    <row r="77914" customFormat="1" x14ac:dyDescent="0.2"/>
    <row r="77915" customFormat="1" x14ac:dyDescent="0.2"/>
    <row r="77916" customFormat="1" x14ac:dyDescent="0.2"/>
    <row r="77917" customFormat="1" x14ac:dyDescent="0.2"/>
    <row r="77918" customFormat="1" x14ac:dyDescent="0.2"/>
    <row r="77919" customFormat="1" x14ac:dyDescent="0.2"/>
    <row r="77920" customFormat="1" x14ac:dyDescent="0.2"/>
    <row r="77921" customFormat="1" x14ac:dyDescent="0.2"/>
    <row r="77922" customFormat="1" x14ac:dyDescent="0.2"/>
    <row r="77923" customFormat="1" x14ac:dyDescent="0.2"/>
    <row r="77924" customFormat="1" x14ac:dyDescent="0.2"/>
    <row r="77925" customFormat="1" x14ac:dyDescent="0.2"/>
    <row r="77926" customFormat="1" x14ac:dyDescent="0.2"/>
    <row r="77927" customFormat="1" x14ac:dyDescent="0.2"/>
    <row r="77928" customFormat="1" x14ac:dyDescent="0.2"/>
    <row r="77929" customFormat="1" x14ac:dyDescent="0.2"/>
    <row r="77930" customFormat="1" x14ac:dyDescent="0.2"/>
    <row r="77931" customFormat="1" x14ac:dyDescent="0.2"/>
    <row r="77932" customFormat="1" x14ac:dyDescent="0.2"/>
    <row r="77933" customFormat="1" x14ac:dyDescent="0.2"/>
    <row r="77934" customFormat="1" x14ac:dyDescent="0.2"/>
    <row r="77935" customFormat="1" x14ac:dyDescent="0.2"/>
    <row r="77936" customFormat="1" x14ac:dyDescent="0.2"/>
    <row r="77937" customFormat="1" x14ac:dyDescent="0.2"/>
    <row r="77938" customFormat="1" x14ac:dyDescent="0.2"/>
    <row r="77939" customFormat="1" x14ac:dyDescent="0.2"/>
    <row r="77940" customFormat="1" x14ac:dyDescent="0.2"/>
    <row r="77941" customFormat="1" x14ac:dyDescent="0.2"/>
    <row r="77942" customFormat="1" x14ac:dyDescent="0.2"/>
    <row r="77943" customFormat="1" x14ac:dyDescent="0.2"/>
    <row r="77944" customFormat="1" x14ac:dyDescent="0.2"/>
    <row r="77945" customFormat="1" x14ac:dyDescent="0.2"/>
    <row r="77946" customFormat="1" x14ac:dyDescent="0.2"/>
    <row r="77947" customFormat="1" x14ac:dyDescent="0.2"/>
    <row r="77948" customFormat="1" x14ac:dyDescent="0.2"/>
    <row r="77949" customFormat="1" x14ac:dyDescent="0.2"/>
    <row r="77950" customFormat="1" x14ac:dyDescent="0.2"/>
    <row r="77951" customFormat="1" x14ac:dyDescent="0.2"/>
    <row r="77952" customFormat="1" x14ac:dyDescent="0.2"/>
    <row r="77953" customFormat="1" x14ac:dyDescent="0.2"/>
    <row r="77954" customFormat="1" x14ac:dyDescent="0.2"/>
    <row r="77955" customFormat="1" x14ac:dyDescent="0.2"/>
    <row r="77956" customFormat="1" x14ac:dyDescent="0.2"/>
    <row r="77957" customFormat="1" x14ac:dyDescent="0.2"/>
    <row r="77958" customFormat="1" x14ac:dyDescent="0.2"/>
    <row r="77959" customFormat="1" x14ac:dyDescent="0.2"/>
    <row r="77960" customFormat="1" x14ac:dyDescent="0.2"/>
    <row r="77961" customFormat="1" x14ac:dyDescent="0.2"/>
    <row r="77962" customFormat="1" x14ac:dyDescent="0.2"/>
    <row r="77963" customFormat="1" x14ac:dyDescent="0.2"/>
    <row r="77964" customFormat="1" x14ac:dyDescent="0.2"/>
    <row r="77965" customFormat="1" x14ac:dyDescent="0.2"/>
    <row r="77966" customFormat="1" x14ac:dyDescent="0.2"/>
    <row r="77967" customFormat="1" x14ac:dyDescent="0.2"/>
    <row r="77968" customFormat="1" x14ac:dyDescent="0.2"/>
    <row r="77969" customFormat="1" x14ac:dyDescent="0.2"/>
    <row r="77970" customFormat="1" x14ac:dyDescent="0.2"/>
    <row r="77971" customFormat="1" x14ac:dyDescent="0.2"/>
    <row r="77972" customFormat="1" x14ac:dyDescent="0.2"/>
    <row r="77973" customFormat="1" x14ac:dyDescent="0.2"/>
    <row r="77974" customFormat="1" x14ac:dyDescent="0.2"/>
    <row r="77975" customFormat="1" x14ac:dyDescent="0.2"/>
    <row r="77976" customFormat="1" x14ac:dyDescent="0.2"/>
    <row r="77977" customFormat="1" x14ac:dyDescent="0.2"/>
    <row r="77978" customFormat="1" x14ac:dyDescent="0.2"/>
    <row r="77979" customFormat="1" x14ac:dyDescent="0.2"/>
    <row r="77980" customFormat="1" x14ac:dyDescent="0.2"/>
    <row r="77981" customFormat="1" x14ac:dyDescent="0.2"/>
    <row r="77982" customFormat="1" x14ac:dyDescent="0.2"/>
    <row r="77983" customFormat="1" x14ac:dyDescent="0.2"/>
    <row r="77984" customFormat="1" x14ac:dyDescent="0.2"/>
    <row r="77985" customFormat="1" x14ac:dyDescent="0.2"/>
    <row r="77986" customFormat="1" x14ac:dyDescent="0.2"/>
    <row r="77987" customFormat="1" x14ac:dyDescent="0.2"/>
    <row r="77988" customFormat="1" x14ac:dyDescent="0.2"/>
    <row r="77989" customFormat="1" x14ac:dyDescent="0.2"/>
    <row r="77990" customFormat="1" x14ac:dyDescent="0.2"/>
    <row r="77991" customFormat="1" x14ac:dyDescent="0.2"/>
    <row r="77992" customFormat="1" x14ac:dyDescent="0.2"/>
    <row r="77993" customFormat="1" x14ac:dyDescent="0.2"/>
    <row r="77994" customFormat="1" x14ac:dyDescent="0.2"/>
    <row r="77995" customFormat="1" x14ac:dyDescent="0.2"/>
    <row r="77996" customFormat="1" x14ac:dyDescent="0.2"/>
    <row r="77997" customFormat="1" x14ac:dyDescent="0.2"/>
    <row r="77998" customFormat="1" x14ac:dyDescent="0.2"/>
    <row r="77999" customFormat="1" x14ac:dyDescent="0.2"/>
    <row r="78000" customFormat="1" x14ac:dyDescent="0.2"/>
    <row r="78001" customFormat="1" x14ac:dyDescent="0.2"/>
    <row r="78002" customFormat="1" x14ac:dyDescent="0.2"/>
    <row r="78003" customFormat="1" x14ac:dyDescent="0.2"/>
    <row r="78004" customFormat="1" x14ac:dyDescent="0.2"/>
    <row r="78005" customFormat="1" x14ac:dyDescent="0.2"/>
    <row r="78006" customFormat="1" x14ac:dyDescent="0.2"/>
    <row r="78007" customFormat="1" x14ac:dyDescent="0.2"/>
    <row r="78008" customFormat="1" x14ac:dyDescent="0.2"/>
    <row r="78009" customFormat="1" x14ac:dyDescent="0.2"/>
    <row r="78010" customFormat="1" x14ac:dyDescent="0.2"/>
    <row r="78011" customFormat="1" x14ac:dyDescent="0.2"/>
    <row r="78012" customFormat="1" x14ac:dyDescent="0.2"/>
    <row r="78013" customFormat="1" x14ac:dyDescent="0.2"/>
    <row r="78014" customFormat="1" x14ac:dyDescent="0.2"/>
    <row r="78015" customFormat="1" x14ac:dyDescent="0.2"/>
    <row r="78016" customFormat="1" x14ac:dyDescent="0.2"/>
    <row r="78017" customFormat="1" x14ac:dyDescent="0.2"/>
    <row r="78018" customFormat="1" x14ac:dyDescent="0.2"/>
    <row r="78019" customFormat="1" x14ac:dyDescent="0.2"/>
    <row r="78020" customFormat="1" x14ac:dyDescent="0.2"/>
    <row r="78021" customFormat="1" x14ac:dyDescent="0.2"/>
    <row r="78022" customFormat="1" x14ac:dyDescent="0.2"/>
    <row r="78023" customFormat="1" x14ac:dyDescent="0.2"/>
    <row r="78024" customFormat="1" x14ac:dyDescent="0.2"/>
    <row r="78025" customFormat="1" x14ac:dyDescent="0.2"/>
    <row r="78026" customFormat="1" x14ac:dyDescent="0.2"/>
    <row r="78027" customFormat="1" x14ac:dyDescent="0.2"/>
    <row r="78028" customFormat="1" x14ac:dyDescent="0.2"/>
    <row r="78029" customFormat="1" x14ac:dyDescent="0.2"/>
    <row r="78030" customFormat="1" x14ac:dyDescent="0.2"/>
    <row r="78031" customFormat="1" x14ac:dyDescent="0.2"/>
    <row r="78032" customFormat="1" x14ac:dyDescent="0.2"/>
    <row r="78033" customFormat="1" x14ac:dyDescent="0.2"/>
    <row r="78034" customFormat="1" x14ac:dyDescent="0.2"/>
    <row r="78035" customFormat="1" x14ac:dyDescent="0.2"/>
    <row r="78036" customFormat="1" x14ac:dyDescent="0.2"/>
    <row r="78037" customFormat="1" x14ac:dyDescent="0.2"/>
    <row r="78038" customFormat="1" x14ac:dyDescent="0.2"/>
    <row r="78039" customFormat="1" x14ac:dyDescent="0.2"/>
    <row r="78040" customFormat="1" x14ac:dyDescent="0.2"/>
    <row r="78041" customFormat="1" x14ac:dyDescent="0.2"/>
    <row r="78042" customFormat="1" x14ac:dyDescent="0.2"/>
    <row r="78043" customFormat="1" x14ac:dyDescent="0.2"/>
    <row r="78044" customFormat="1" x14ac:dyDescent="0.2"/>
    <row r="78045" customFormat="1" x14ac:dyDescent="0.2"/>
    <row r="78046" customFormat="1" x14ac:dyDescent="0.2"/>
    <row r="78047" customFormat="1" x14ac:dyDescent="0.2"/>
    <row r="78048" customFormat="1" x14ac:dyDescent="0.2"/>
    <row r="78049" customFormat="1" x14ac:dyDescent="0.2"/>
    <row r="78050" customFormat="1" x14ac:dyDescent="0.2"/>
    <row r="78051" customFormat="1" x14ac:dyDescent="0.2"/>
    <row r="78052" customFormat="1" x14ac:dyDescent="0.2"/>
    <row r="78053" customFormat="1" x14ac:dyDescent="0.2"/>
    <row r="78054" customFormat="1" x14ac:dyDescent="0.2"/>
    <row r="78055" customFormat="1" x14ac:dyDescent="0.2"/>
    <row r="78056" customFormat="1" x14ac:dyDescent="0.2"/>
    <row r="78057" customFormat="1" x14ac:dyDescent="0.2"/>
    <row r="78058" customFormat="1" x14ac:dyDescent="0.2"/>
    <row r="78059" customFormat="1" x14ac:dyDescent="0.2"/>
    <row r="78060" customFormat="1" x14ac:dyDescent="0.2"/>
    <row r="78061" customFormat="1" x14ac:dyDescent="0.2"/>
    <row r="78062" customFormat="1" x14ac:dyDescent="0.2"/>
    <row r="78063" customFormat="1" x14ac:dyDescent="0.2"/>
    <row r="78064" customFormat="1" x14ac:dyDescent="0.2"/>
    <row r="78065" customFormat="1" x14ac:dyDescent="0.2"/>
    <row r="78066" customFormat="1" x14ac:dyDescent="0.2"/>
    <row r="78067" customFormat="1" x14ac:dyDescent="0.2"/>
    <row r="78068" customFormat="1" x14ac:dyDescent="0.2"/>
    <row r="78069" customFormat="1" x14ac:dyDescent="0.2"/>
    <row r="78070" customFormat="1" x14ac:dyDescent="0.2"/>
    <row r="78071" customFormat="1" x14ac:dyDescent="0.2"/>
    <row r="78072" customFormat="1" x14ac:dyDescent="0.2"/>
    <row r="78073" customFormat="1" x14ac:dyDescent="0.2"/>
    <row r="78074" customFormat="1" x14ac:dyDescent="0.2"/>
    <row r="78075" customFormat="1" x14ac:dyDescent="0.2"/>
    <row r="78076" customFormat="1" x14ac:dyDescent="0.2"/>
    <row r="78077" customFormat="1" x14ac:dyDescent="0.2"/>
    <row r="78078" customFormat="1" x14ac:dyDescent="0.2"/>
    <row r="78079" customFormat="1" x14ac:dyDescent="0.2"/>
    <row r="78080" customFormat="1" x14ac:dyDescent="0.2"/>
    <row r="78081" customFormat="1" x14ac:dyDescent="0.2"/>
    <row r="78082" customFormat="1" x14ac:dyDescent="0.2"/>
    <row r="78083" customFormat="1" x14ac:dyDescent="0.2"/>
    <row r="78084" customFormat="1" x14ac:dyDescent="0.2"/>
    <row r="78085" customFormat="1" x14ac:dyDescent="0.2"/>
    <row r="78086" customFormat="1" x14ac:dyDescent="0.2"/>
    <row r="78087" customFormat="1" x14ac:dyDescent="0.2"/>
    <row r="78088" customFormat="1" x14ac:dyDescent="0.2"/>
    <row r="78089" customFormat="1" x14ac:dyDescent="0.2"/>
    <row r="78090" customFormat="1" x14ac:dyDescent="0.2"/>
    <row r="78091" customFormat="1" x14ac:dyDescent="0.2"/>
    <row r="78092" customFormat="1" x14ac:dyDescent="0.2"/>
    <row r="78093" customFormat="1" x14ac:dyDescent="0.2"/>
    <row r="78094" customFormat="1" x14ac:dyDescent="0.2"/>
    <row r="78095" customFormat="1" x14ac:dyDescent="0.2"/>
    <row r="78096" customFormat="1" x14ac:dyDescent="0.2"/>
    <row r="78097" customFormat="1" x14ac:dyDescent="0.2"/>
    <row r="78098" customFormat="1" x14ac:dyDescent="0.2"/>
    <row r="78099" customFormat="1" x14ac:dyDescent="0.2"/>
    <row r="78100" customFormat="1" x14ac:dyDescent="0.2"/>
    <row r="78101" customFormat="1" x14ac:dyDescent="0.2"/>
    <row r="78102" customFormat="1" x14ac:dyDescent="0.2"/>
    <row r="78103" customFormat="1" x14ac:dyDescent="0.2"/>
    <row r="78104" customFormat="1" x14ac:dyDescent="0.2"/>
    <row r="78105" customFormat="1" x14ac:dyDescent="0.2"/>
    <row r="78106" customFormat="1" x14ac:dyDescent="0.2"/>
    <row r="78107" customFormat="1" x14ac:dyDescent="0.2"/>
    <row r="78108" customFormat="1" x14ac:dyDescent="0.2"/>
    <row r="78109" customFormat="1" x14ac:dyDescent="0.2"/>
    <row r="78110" customFormat="1" x14ac:dyDescent="0.2"/>
    <row r="78111" customFormat="1" x14ac:dyDescent="0.2"/>
    <row r="78112" customFormat="1" x14ac:dyDescent="0.2"/>
    <row r="78113" customFormat="1" x14ac:dyDescent="0.2"/>
    <row r="78114" customFormat="1" x14ac:dyDescent="0.2"/>
    <row r="78115" customFormat="1" x14ac:dyDescent="0.2"/>
    <row r="78116" customFormat="1" x14ac:dyDescent="0.2"/>
    <row r="78117" customFormat="1" x14ac:dyDescent="0.2"/>
    <row r="78118" customFormat="1" x14ac:dyDescent="0.2"/>
    <row r="78119" customFormat="1" x14ac:dyDescent="0.2"/>
    <row r="78120" customFormat="1" x14ac:dyDescent="0.2"/>
    <row r="78121" customFormat="1" x14ac:dyDescent="0.2"/>
    <row r="78122" customFormat="1" x14ac:dyDescent="0.2"/>
    <row r="78123" customFormat="1" x14ac:dyDescent="0.2"/>
    <row r="78124" customFormat="1" x14ac:dyDescent="0.2"/>
    <row r="78125" customFormat="1" x14ac:dyDescent="0.2"/>
    <row r="78126" customFormat="1" x14ac:dyDescent="0.2"/>
    <row r="78127" customFormat="1" x14ac:dyDescent="0.2"/>
    <row r="78128" customFormat="1" x14ac:dyDescent="0.2"/>
    <row r="78129" customFormat="1" x14ac:dyDescent="0.2"/>
    <row r="78130" customFormat="1" x14ac:dyDescent="0.2"/>
    <row r="78131" customFormat="1" x14ac:dyDescent="0.2"/>
    <row r="78132" customFormat="1" x14ac:dyDescent="0.2"/>
    <row r="78133" customFormat="1" x14ac:dyDescent="0.2"/>
    <row r="78134" customFormat="1" x14ac:dyDescent="0.2"/>
    <row r="78135" customFormat="1" x14ac:dyDescent="0.2"/>
    <row r="78136" customFormat="1" x14ac:dyDescent="0.2"/>
    <row r="78137" customFormat="1" x14ac:dyDescent="0.2"/>
    <row r="78138" customFormat="1" x14ac:dyDescent="0.2"/>
    <row r="78139" customFormat="1" x14ac:dyDescent="0.2"/>
    <row r="78140" customFormat="1" x14ac:dyDescent="0.2"/>
    <row r="78141" customFormat="1" x14ac:dyDescent="0.2"/>
    <row r="78142" customFormat="1" x14ac:dyDescent="0.2"/>
    <row r="78143" customFormat="1" x14ac:dyDescent="0.2"/>
    <row r="78144" customFormat="1" x14ac:dyDescent="0.2"/>
    <row r="78145" customFormat="1" x14ac:dyDescent="0.2"/>
    <row r="78146" customFormat="1" x14ac:dyDescent="0.2"/>
    <row r="78147" customFormat="1" x14ac:dyDescent="0.2"/>
    <row r="78148" customFormat="1" x14ac:dyDescent="0.2"/>
    <row r="78149" customFormat="1" x14ac:dyDescent="0.2"/>
    <row r="78150" customFormat="1" x14ac:dyDescent="0.2"/>
    <row r="78151" customFormat="1" x14ac:dyDescent="0.2"/>
    <row r="78152" customFormat="1" x14ac:dyDescent="0.2"/>
    <row r="78153" customFormat="1" x14ac:dyDescent="0.2"/>
    <row r="78154" customFormat="1" x14ac:dyDescent="0.2"/>
    <row r="78155" customFormat="1" x14ac:dyDescent="0.2"/>
    <row r="78156" customFormat="1" x14ac:dyDescent="0.2"/>
    <row r="78157" customFormat="1" x14ac:dyDescent="0.2"/>
    <row r="78158" customFormat="1" x14ac:dyDescent="0.2"/>
    <row r="78159" customFormat="1" x14ac:dyDescent="0.2"/>
    <row r="78160" customFormat="1" x14ac:dyDescent="0.2"/>
    <row r="78161" customFormat="1" x14ac:dyDescent="0.2"/>
    <row r="78162" customFormat="1" x14ac:dyDescent="0.2"/>
    <row r="78163" customFormat="1" x14ac:dyDescent="0.2"/>
    <row r="78164" customFormat="1" x14ac:dyDescent="0.2"/>
    <row r="78165" customFormat="1" x14ac:dyDescent="0.2"/>
    <row r="78166" customFormat="1" x14ac:dyDescent="0.2"/>
    <row r="78167" customFormat="1" x14ac:dyDescent="0.2"/>
    <row r="78168" customFormat="1" x14ac:dyDescent="0.2"/>
    <row r="78169" customFormat="1" x14ac:dyDescent="0.2"/>
    <row r="78170" customFormat="1" x14ac:dyDescent="0.2"/>
    <row r="78171" customFormat="1" x14ac:dyDescent="0.2"/>
    <row r="78172" customFormat="1" x14ac:dyDescent="0.2"/>
    <row r="78173" customFormat="1" x14ac:dyDescent="0.2"/>
    <row r="78174" customFormat="1" x14ac:dyDescent="0.2"/>
    <row r="78175" customFormat="1" x14ac:dyDescent="0.2"/>
    <row r="78176" customFormat="1" x14ac:dyDescent="0.2"/>
    <row r="78177" customFormat="1" x14ac:dyDescent="0.2"/>
    <row r="78178" customFormat="1" x14ac:dyDescent="0.2"/>
    <row r="78179" customFormat="1" x14ac:dyDescent="0.2"/>
    <row r="78180" customFormat="1" x14ac:dyDescent="0.2"/>
    <row r="78181" customFormat="1" x14ac:dyDescent="0.2"/>
    <row r="78182" customFormat="1" x14ac:dyDescent="0.2"/>
    <row r="78183" customFormat="1" x14ac:dyDescent="0.2"/>
    <row r="78184" customFormat="1" x14ac:dyDescent="0.2"/>
    <row r="78185" customFormat="1" x14ac:dyDescent="0.2"/>
    <row r="78186" customFormat="1" x14ac:dyDescent="0.2"/>
    <row r="78187" customFormat="1" x14ac:dyDescent="0.2"/>
    <row r="78188" customFormat="1" x14ac:dyDescent="0.2"/>
    <row r="78189" customFormat="1" x14ac:dyDescent="0.2"/>
    <row r="78190" customFormat="1" x14ac:dyDescent="0.2"/>
    <row r="78191" customFormat="1" x14ac:dyDescent="0.2"/>
    <row r="78192" customFormat="1" x14ac:dyDescent="0.2"/>
    <row r="78193" customFormat="1" x14ac:dyDescent="0.2"/>
    <row r="78194" customFormat="1" x14ac:dyDescent="0.2"/>
    <row r="78195" customFormat="1" x14ac:dyDescent="0.2"/>
    <row r="78196" customFormat="1" x14ac:dyDescent="0.2"/>
    <row r="78197" customFormat="1" x14ac:dyDescent="0.2"/>
    <row r="78198" customFormat="1" x14ac:dyDescent="0.2"/>
    <row r="78199" customFormat="1" x14ac:dyDescent="0.2"/>
    <row r="78200" customFormat="1" x14ac:dyDescent="0.2"/>
    <row r="78201" customFormat="1" x14ac:dyDescent="0.2"/>
    <row r="78202" customFormat="1" x14ac:dyDescent="0.2"/>
    <row r="78203" customFormat="1" x14ac:dyDescent="0.2"/>
    <row r="78204" customFormat="1" x14ac:dyDescent="0.2"/>
    <row r="78205" customFormat="1" x14ac:dyDescent="0.2"/>
    <row r="78206" customFormat="1" x14ac:dyDescent="0.2"/>
    <row r="78207" customFormat="1" x14ac:dyDescent="0.2"/>
    <row r="78208" customFormat="1" x14ac:dyDescent="0.2"/>
    <row r="78209" customFormat="1" x14ac:dyDescent="0.2"/>
    <row r="78210" customFormat="1" x14ac:dyDescent="0.2"/>
    <row r="78211" customFormat="1" x14ac:dyDescent="0.2"/>
    <row r="78212" customFormat="1" x14ac:dyDescent="0.2"/>
    <row r="78213" customFormat="1" x14ac:dyDescent="0.2"/>
    <row r="78214" customFormat="1" x14ac:dyDescent="0.2"/>
    <row r="78215" customFormat="1" x14ac:dyDescent="0.2"/>
    <row r="78216" customFormat="1" x14ac:dyDescent="0.2"/>
    <row r="78217" customFormat="1" x14ac:dyDescent="0.2"/>
    <row r="78218" customFormat="1" x14ac:dyDescent="0.2"/>
    <row r="78219" customFormat="1" x14ac:dyDescent="0.2"/>
    <row r="78220" customFormat="1" x14ac:dyDescent="0.2"/>
    <row r="78221" customFormat="1" x14ac:dyDescent="0.2"/>
    <row r="78222" customFormat="1" x14ac:dyDescent="0.2"/>
    <row r="78223" customFormat="1" x14ac:dyDescent="0.2"/>
    <row r="78224" customFormat="1" x14ac:dyDescent="0.2"/>
    <row r="78225" customFormat="1" x14ac:dyDescent="0.2"/>
    <row r="78226" customFormat="1" x14ac:dyDescent="0.2"/>
    <row r="78227" customFormat="1" x14ac:dyDescent="0.2"/>
    <row r="78228" customFormat="1" x14ac:dyDescent="0.2"/>
    <row r="78229" customFormat="1" x14ac:dyDescent="0.2"/>
    <row r="78230" customFormat="1" x14ac:dyDescent="0.2"/>
    <row r="78231" customFormat="1" x14ac:dyDescent="0.2"/>
    <row r="78232" customFormat="1" x14ac:dyDescent="0.2"/>
    <row r="78233" customFormat="1" x14ac:dyDescent="0.2"/>
    <row r="78234" customFormat="1" x14ac:dyDescent="0.2"/>
    <row r="78235" customFormat="1" x14ac:dyDescent="0.2"/>
    <row r="78236" customFormat="1" x14ac:dyDescent="0.2"/>
    <row r="78237" customFormat="1" x14ac:dyDescent="0.2"/>
    <row r="78238" customFormat="1" x14ac:dyDescent="0.2"/>
    <row r="78239" customFormat="1" x14ac:dyDescent="0.2"/>
    <row r="78240" customFormat="1" x14ac:dyDescent="0.2"/>
    <row r="78241" customFormat="1" x14ac:dyDescent="0.2"/>
    <row r="78242" customFormat="1" x14ac:dyDescent="0.2"/>
    <row r="78243" customFormat="1" x14ac:dyDescent="0.2"/>
    <row r="78244" customFormat="1" x14ac:dyDescent="0.2"/>
    <row r="78245" customFormat="1" x14ac:dyDescent="0.2"/>
    <row r="78246" customFormat="1" x14ac:dyDescent="0.2"/>
    <row r="78247" customFormat="1" x14ac:dyDescent="0.2"/>
    <row r="78248" customFormat="1" x14ac:dyDescent="0.2"/>
    <row r="78249" customFormat="1" x14ac:dyDescent="0.2"/>
    <row r="78250" customFormat="1" x14ac:dyDescent="0.2"/>
    <row r="78251" customFormat="1" x14ac:dyDescent="0.2"/>
    <row r="78252" customFormat="1" x14ac:dyDescent="0.2"/>
    <row r="78253" customFormat="1" x14ac:dyDescent="0.2"/>
    <row r="78254" customFormat="1" x14ac:dyDescent="0.2"/>
    <row r="78255" customFormat="1" x14ac:dyDescent="0.2"/>
    <row r="78256" customFormat="1" x14ac:dyDescent="0.2"/>
    <row r="78257" customFormat="1" x14ac:dyDescent="0.2"/>
    <row r="78258" customFormat="1" x14ac:dyDescent="0.2"/>
    <row r="78259" customFormat="1" x14ac:dyDescent="0.2"/>
    <row r="78260" customFormat="1" x14ac:dyDescent="0.2"/>
    <row r="78261" customFormat="1" x14ac:dyDescent="0.2"/>
    <row r="78262" customFormat="1" x14ac:dyDescent="0.2"/>
    <row r="78263" customFormat="1" x14ac:dyDescent="0.2"/>
    <row r="78264" customFormat="1" x14ac:dyDescent="0.2"/>
    <row r="78265" customFormat="1" x14ac:dyDescent="0.2"/>
    <row r="78266" customFormat="1" x14ac:dyDescent="0.2"/>
    <row r="78267" customFormat="1" x14ac:dyDescent="0.2"/>
    <row r="78268" customFormat="1" x14ac:dyDescent="0.2"/>
    <row r="78269" customFormat="1" x14ac:dyDescent="0.2"/>
    <row r="78270" customFormat="1" x14ac:dyDescent="0.2"/>
    <row r="78271" customFormat="1" x14ac:dyDescent="0.2"/>
    <row r="78272" customFormat="1" x14ac:dyDescent="0.2"/>
    <row r="78273" customFormat="1" x14ac:dyDescent="0.2"/>
    <row r="78274" customFormat="1" x14ac:dyDescent="0.2"/>
    <row r="78275" customFormat="1" x14ac:dyDescent="0.2"/>
    <row r="78276" customFormat="1" x14ac:dyDescent="0.2"/>
    <row r="78277" customFormat="1" x14ac:dyDescent="0.2"/>
    <row r="78278" customFormat="1" x14ac:dyDescent="0.2"/>
    <row r="78279" customFormat="1" x14ac:dyDescent="0.2"/>
    <row r="78280" customFormat="1" x14ac:dyDescent="0.2"/>
    <row r="78281" customFormat="1" x14ac:dyDescent="0.2"/>
    <row r="78282" customFormat="1" x14ac:dyDescent="0.2"/>
    <row r="78283" customFormat="1" x14ac:dyDescent="0.2"/>
    <row r="78284" customFormat="1" x14ac:dyDescent="0.2"/>
    <row r="78285" customFormat="1" x14ac:dyDescent="0.2"/>
    <row r="78286" customFormat="1" x14ac:dyDescent="0.2"/>
    <row r="78287" customFormat="1" x14ac:dyDescent="0.2"/>
    <row r="78288" customFormat="1" x14ac:dyDescent="0.2"/>
    <row r="78289" customFormat="1" x14ac:dyDescent="0.2"/>
    <row r="78290" customFormat="1" x14ac:dyDescent="0.2"/>
    <row r="78291" customFormat="1" x14ac:dyDescent="0.2"/>
    <row r="78292" customFormat="1" x14ac:dyDescent="0.2"/>
    <row r="78293" customFormat="1" x14ac:dyDescent="0.2"/>
    <row r="78294" customFormat="1" x14ac:dyDescent="0.2"/>
    <row r="78295" customFormat="1" x14ac:dyDescent="0.2"/>
    <row r="78296" customFormat="1" x14ac:dyDescent="0.2"/>
    <row r="78297" customFormat="1" x14ac:dyDescent="0.2"/>
    <row r="78298" customFormat="1" x14ac:dyDescent="0.2"/>
    <row r="78299" customFormat="1" x14ac:dyDescent="0.2"/>
    <row r="78300" customFormat="1" x14ac:dyDescent="0.2"/>
    <row r="78301" customFormat="1" x14ac:dyDescent="0.2"/>
    <row r="78302" customFormat="1" x14ac:dyDescent="0.2"/>
    <row r="78303" customFormat="1" x14ac:dyDescent="0.2"/>
    <row r="78304" customFormat="1" x14ac:dyDescent="0.2"/>
    <row r="78305" customFormat="1" x14ac:dyDescent="0.2"/>
    <row r="78306" customFormat="1" x14ac:dyDescent="0.2"/>
    <row r="78307" customFormat="1" x14ac:dyDescent="0.2"/>
    <row r="78308" customFormat="1" x14ac:dyDescent="0.2"/>
    <row r="78309" customFormat="1" x14ac:dyDescent="0.2"/>
    <row r="78310" customFormat="1" x14ac:dyDescent="0.2"/>
    <row r="78311" customFormat="1" x14ac:dyDescent="0.2"/>
    <row r="78312" customFormat="1" x14ac:dyDescent="0.2"/>
    <row r="78313" customFormat="1" x14ac:dyDescent="0.2"/>
    <row r="78314" customFormat="1" x14ac:dyDescent="0.2"/>
    <row r="78315" customFormat="1" x14ac:dyDescent="0.2"/>
    <row r="78316" customFormat="1" x14ac:dyDescent="0.2"/>
    <row r="78317" customFormat="1" x14ac:dyDescent="0.2"/>
    <row r="78318" customFormat="1" x14ac:dyDescent="0.2"/>
    <row r="78319" customFormat="1" x14ac:dyDescent="0.2"/>
    <row r="78320" customFormat="1" x14ac:dyDescent="0.2"/>
    <row r="78321" customFormat="1" x14ac:dyDescent="0.2"/>
    <row r="78322" customFormat="1" x14ac:dyDescent="0.2"/>
    <row r="78323" customFormat="1" x14ac:dyDescent="0.2"/>
    <row r="78324" customFormat="1" x14ac:dyDescent="0.2"/>
    <row r="78325" customFormat="1" x14ac:dyDescent="0.2"/>
    <row r="78326" customFormat="1" x14ac:dyDescent="0.2"/>
    <row r="78327" customFormat="1" x14ac:dyDescent="0.2"/>
    <row r="78328" customFormat="1" x14ac:dyDescent="0.2"/>
    <row r="78329" customFormat="1" x14ac:dyDescent="0.2"/>
    <row r="78330" customFormat="1" x14ac:dyDescent="0.2"/>
    <row r="78331" customFormat="1" x14ac:dyDescent="0.2"/>
    <row r="78332" customFormat="1" x14ac:dyDescent="0.2"/>
    <row r="78333" customFormat="1" x14ac:dyDescent="0.2"/>
    <row r="78334" customFormat="1" x14ac:dyDescent="0.2"/>
    <row r="78335" customFormat="1" x14ac:dyDescent="0.2"/>
    <row r="78336" customFormat="1" x14ac:dyDescent="0.2"/>
    <row r="78337" customFormat="1" x14ac:dyDescent="0.2"/>
    <row r="78338" customFormat="1" x14ac:dyDescent="0.2"/>
    <row r="78339" customFormat="1" x14ac:dyDescent="0.2"/>
    <row r="78340" customFormat="1" x14ac:dyDescent="0.2"/>
    <row r="78341" customFormat="1" x14ac:dyDescent="0.2"/>
    <row r="78342" customFormat="1" x14ac:dyDescent="0.2"/>
    <row r="78343" customFormat="1" x14ac:dyDescent="0.2"/>
    <row r="78344" customFormat="1" x14ac:dyDescent="0.2"/>
    <row r="78345" customFormat="1" x14ac:dyDescent="0.2"/>
    <row r="78346" customFormat="1" x14ac:dyDescent="0.2"/>
    <row r="78347" customFormat="1" x14ac:dyDescent="0.2"/>
    <row r="78348" customFormat="1" x14ac:dyDescent="0.2"/>
    <row r="78349" customFormat="1" x14ac:dyDescent="0.2"/>
    <row r="78350" customFormat="1" x14ac:dyDescent="0.2"/>
    <row r="78351" customFormat="1" x14ac:dyDescent="0.2"/>
    <row r="78352" customFormat="1" x14ac:dyDescent="0.2"/>
    <row r="78353" customFormat="1" x14ac:dyDescent="0.2"/>
    <row r="78354" customFormat="1" x14ac:dyDescent="0.2"/>
    <row r="78355" customFormat="1" x14ac:dyDescent="0.2"/>
    <row r="78356" customFormat="1" x14ac:dyDescent="0.2"/>
    <row r="78357" customFormat="1" x14ac:dyDescent="0.2"/>
    <row r="78358" customFormat="1" x14ac:dyDescent="0.2"/>
    <row r="78359" customFormat="1" x14ac:dyDescent="0.2"/>
    <row r="78360" customFormat="1" x14ac:dyDescent="0.2"/>
    <row r="78361" customFormat="1" x14ac:dyDescent="0.2"/>
    <row r="78362" customFormat="1" x14ac:dyDescent="0.2"/>
    <row r="78363" customFormat="1" x14ac:dyDescent="0.2"/>
    <row r="78364" customFormat="1" x14ac:dyDescent="0.2"/>
    <row r="78365" customFormat="1" x14ac:dyDescent="0.2"/>
    <row r="78366" customFormat="1" x14ac:dyDescent="0.2"/>
    <row r="78367" customFormat="1" x14ac:dyDescent="0.2"/>
    <row r="78368" customFormat="1" x14ac:dyDescent="0.2"/>
    <row r="78369" customFormat="1" x14ac:dyDescent="0.2"/>
    <row r="78370" customFormat="1" x14ac:dyDescent="0.2"/>
    <row r="78371" customFormat="1" x14ac:dyDescent="0.2"/>
    <row r="78372" customFormat="1" x14ac:dyDescent="0.2"/>
    <row r="78373" customFormat="1" x14ac:dyDescent="0.2"/>
    <row r="78374" customFormat="1" x14ac:dyDescent="0.2"/>
    <row r="78375" customFormat="1" x14ac:dyDescent="0.2"/>
    <row r="78376" customFormat="1" x14ac:dyDescent="0.2"/>
    <row r="78377" customFormat="1" x14ac:dyDescent="0.2"/>
    <row r="78378" customFormat="1" x14ac:dyDescent="0.2"/>
    <row r="78379" customFormat="1" x14ac:dyDescent="0.2"/>
    <row r="78380" customFormat="1" x14ac:dyDescent="0.2"/>
    <row r="78381" customFormat="1" x14ac:dyDescent="0.2"/>
    <row r="78382" customFormat="1" x14ac:dyDescent="0.2"/>
    <row r="78383" customFormat="1" x14ac:dyDescent="0.2"/>
    <row r="78384" customFormat="1" x14ac:dyDescent="0.2"/>
    <row r="78385" customFormat="1" x14ac:dyDescent="0.2"/>
    <row r="78386" customFormat="1" x14ac:dyDescent="0.2"/>
    <row r="78387" customFormat="1" x14ac:dyDescent="0.2"/>
    <row r="78388" customFormat="1" x14ac:dyDescent="0.2"/>
    <row r="78389" customFormat="1" x14ac:dyDescent="0.2"/>
    <row r="78390" customFormat="1" x14ac:dyDescent="0.2"/>
    <row r="78391" customFormat="1" x14ac:dyDescent="0.2"/>
    <row r="78392" customFormat="1" x14ac:dyDescent="0.2"/>
    <row r="78393" customFormat="1" x14ac:dyDescent="0.2"/>
    <row r="78394" customFormat="1" x14ac:dyDescent="0.2"/>
    <row r="78395" customFormat="1" x14ac:dyDescent="0.2"/>
    <row r="78396" customFormat="1" x14ac:dyDescent="0.2"/>
    <row r="78397" customFormat="1" x14ac:dyDescent="0.2"/>
    <row r="78398" customFormat="1" x14ac:dyDescent="0.2"/>
    <row r="78399" customFormat="1" x14ac:dyDescent="0.2"/>
    <row r="78400" customFormat="1" x14ac:dyDescent="0.2"/>
    <row r="78401" customFormat="1" x14ac:dyDescent="0.2"/>
    <row r="78402" customFormat="1" x14ac:dyDescent="0.2"/>
    <row r="78403" customFormat="1" x14ac:dyDescent="0.2"/>
    <row r="78404" customFormat="1" x14ac:dyDescent="0.2"/>
    <row r="78405" customFormat="1" x14ac:dyDescent="0.2"/>
    <row r="78406" customFormat="1" x14ac:dyDescent="0.2"/>
    <row r="78407" customFormat="1" x14ac:dyDescent="0.2"/>
    <row r="78408" customFormat="1" x14ac:dyDescent="0.2"/>
    <row r="78409" customFormat="1" x14ac:dyDescent="0.2"/>
    <row r="78410" customFormat="1" x14ac:dyDescent="0.2"/>
    <row r="78411" customFormat="1" x14ac:dyDescent="0.2"/>
    <row r="78412" customFormat="1" x14ac:dyDescent="0.2"/>
    <row r="78413" customFormat="1" x14ac:dyDescent="0.2"/>
    <row r="78414" customFormat="1" x14ac:dyDescent="0.2"/>
    <row r="78415" customFormat="1" x14ac:dyDescent="0.2"/>
    <row r="78416" customFormat="1" x14ac:dyDescent="0.2"/>
    <row r="78417" customFormat="1" x14ac:dyDescent="0.2"/>
    <row r="78418" customFormat="1" x14ac:dyDescent="0.2"/>
    <row r="78419" customFormat="1" x14ac:dyDescent="0.2"/>
    <row r="78420" customFormat="1" x14ac:dyDescent="0.2"/>
    <row r="78421" customFormat="1" x14ac:dyDescent="0.2"/>
    <row r="78422" customFormat="1" x14ac:dyDescent="0.2"/>
    <row r="78423" customFormat="1" x14ac:dyDescent="0.2"/>
    <row r="78424" customFormat="1" x14ac:dyDescent="0.2"/>
    <row r="78425" customFormat="1" x14ac:dyDescent="0.2"/>
    <row r="78426" customFormat="1" x14ac:dyDescent="0.2"/>
    <row r="78427" customFormat="1" x14ac:dyDescent="0.2"/>
    <row r="78428" customFormat="1" x14ac:dyDescent="0.2"/>
    <row r="78429" customFormat="1" x14ac:dyDescent="0.2"/>
    <row r="78430" customFormat="1" x14ac:dyDescent="0.2"/>
    <row r="78431" customFormat="1" x14ac:dyDescent="0.2"/>
    <row r="78432" customFormat="1" x14ac:dyDescent="0.2"/>
    <row r="78433" customFormat="1" x14ac:dyDescent="0.2"/>
    <row r="78434" customFormat="1" x14ac:dyDescent="0.2"/>
    <row r="78435" customFormat="1" x14ac:dyDescent="0.2"/>
    <row r="78436" customFormat="1" x14ac:dyDescent="0.2"/>
    <row r="78437" customFormat="1" x14ac:dyDescent="0.2"/>
    <row r="78438" customFormat="1" x14ac:dyDescent="0.2"/>
    <row r="78439" customFormat="1" x14ac:dyDescent="0.2"/>
    <row r="78440" customFormat="1" x14ac:dyDescent="0.2"/>
    <row r="78441" customFormat="1" x14ac:dyDescent="0.2"/>
    <row r="78442" customFormat="1" x14ac:dyDescent="0.2"/>
    <row r="78443" customFormat="1" x14ac:dyDescent="0.2"/>
    <row r="78444" customFormat="1" x14ac:dyDescent="0.2"/>
    <row r="78445" customFormat="1" x14ac:dyDescent="0.2"/>
    <row r="78446" customFormat="1" x14ac:dyDescent="0.2"/>
    <row r="78447" customFormat="1" x14ac:dyDescent="0.2"/>
    <row r="78448" customFormat="1" x14ac:dyDescent="0.2"/>
    <row r="78449" customFormat="1" x14ac:dyDescent="0.2"/>
    <row r="78450" customFormat="1" x14ac:dyDescent="0.2"/>
    <row r="78451" customFormat="1" x14ac:dyDescent="0.2"/>
    <row r="78452" customFormat="1" x14ac:dyDescent="0.2"/>
    <row r="78453" customFormat="1" x14ac:dyDescent="0.2"/>
    <row r="78454" customFormat="1" x14ac:dyDescent="0.2"/>
    <row r="78455" customFormat="1" x14ac:dyDescent="0.2"/>
    <row r="78456" customFormat="1" x14ac:dyDescent="0.2"/>
    <row r="78457" customFormat="1" x14ac:dyDescent="0.2"/>
    <row r="78458" customFormat="1" x14ac:dyDescent="0.2"/>
    <row r="78459" customFormat="1" x14ac:dyDescent="0.2"/>
    <row r="78460" customFormat="1" x14ac:dyDescent="0.2"/>
    <row r="78461" customFormat="1" x14ac:dyDescent="0.2"/>
    <row r="78462" customFormat="1" x14ac:dyDescent="0.2"/>
    <row r="78463" customFormat="1" x14ac:dyDescent="0.2"/>
    <row r="78464" customFormat="1" x14ac:dyDescent="0.2"/>
    <row r="78465" customFormat="1" x14ac:dyDescent="0.2"/>
    <row r="78466" customFormat="1" x14ac:dyDescent="0.2"/>
    <row r="78467" customFormat="1" x14ac:dyDescent="0.2"/>
    <row r="78468" customFormat="1" x14ac:dyDescent="0.2"/>
    <row r="78469" customFormat="1" x14ac:dyDescent="0.2"/>
    <row r="78470" customFormat="1" x14ac:dyDescent="0.2"/>
    <row r="78471" customFormat="1" x14ac:dyDescent="0.2"/>
    <row r="78472" customFormat="1" x14ac:dyDescent="0.2"/>
    <row r="78473" customFormat="1" x14ac:dyDescent="0.2"/>
    <row r="78474" customFormat="1" x14ac:dyDescent="0.2"/>
    <row r="78475" customFormat="1" x14ac:dyDescent="0.2"/>
    <row r="78476" customFormat="1" x14ac:dyDescent="0.2"/>
    <row r="78477" customFormat="1" x14ac:dyDescent="0.2"/>
    <row r="78478" customFormat="1" x14ac:dyDescent="0.2"/>
    <row r="78479" customFormat="1" x14ac:dyDescent="0.2"/>
    <row r="78480" customFormat="1" x14ac:dyDescent="0.2"/>
    <row r="78481" customFormat="1" x14ac:dyDescent="0.2"/>
    <row r="78482" customFormat="1" x14ac:dyDescent="0.2"/>
    <row r="78483" customFormat="1" x14ac:dyDescent="0.2"/>
    <row r="78484" customFormat="1" x14ac:dyDescent="0.2"/>
    <row r="78485" customFormat="1" x14ac:dyDescent="0.2"/>
    <row r="78486" customFormat="1" x14ac:dyDescent="0.2"/>
    <row r="78487" customFormat="1" x14ac:dyDescent="0.2"/>
    <row r="78488" customFormat="1" x14ac:dyDescent="0.2"/>
    <row r="78489" customFormat="1" x14ac:dyDescent="0.2"/>
    <row r="78490" customFormat="1" x14ac:dyDescent="0.2"/>
    <row r="78491" customFormat="1" x14ac:dyDescent="0.2"/>
    <row r="78492" customFormat="1" x14ac:dyDescent="0.2"/>
    <row r="78493" customFormat="1" x14ac:dyDescent="0.2"/>
    <row r="78494" customFormat="1" x14ac:dyDescent="0.2"/>
    <row r="78495" customFormat="1" x14ac:dyDescent="0.2"/>
    <row r="78496" customFormat="1" x14ac:dyDescent="0.2"/>
    <row r="78497" customFormat="1" x14ac:dyDescent="0.2"/>
    <row r="78498" customFormat="1" x14ac:dyDescent="0.2"/>
    <row r="78499" customFormat="1" x14ac:dyDescent="0.2"/>
    <row r="78500" customFormat="1" x14ac:dyDescent="0.2"/>
    <row r="78501" customFormat="1" x14ac:dyDescent="0.2"/>
    <row r="78502" customFormat="1" x14ac:dyDescent="0.2"/>
    <row r="78503" customFormat="1" x14ac:dyDescent="0.2"/>
    <row r="78504" customFormat="1" x14ac:dyDescent="0.2"/>
    <row r="78505" customFormat="1" x14ac:dyDescent="0.2"/>
    <row r="78506" customFormat="1" x14ac:dyDescent="0.2"/>
    <row r="78507" customFormat="1" x14ac:dyDescent="0.2"/>
    <row r="78508" customFormat="1" x14ac:dyDescent="0.2"/>
    <row r="78509" customFormat="1" x14ac:dyDescent="0.2"/>
    <row r="78510" customFormat="1" x14ac:dyDescent="0.2"/>
    <row r="78511" customFormat="1" x14ac:dyDescent="0.2"/>
    <row r="78512" customFormat="1" x14ac:dyDescent="0.2"/>
    <row r="78513" customFormat="1" x14ac:dyDescent="0.2"/>
    <row r="78514" customFormat="1" x14ac:dyDescent="0.2"/>
    <row r="78515" customFormat="1" x14ac:dyDescent="0.2"/>
    <row r="78516" customFormat="1" x14ac:dyDescent="0.2"/>
    <row r="78517" customFormat="1" x14ac:dyDescent="0.2"/>
    <row r="78518" customFormat="1" x14ac:dyDescent="0.2"/>
    <row r="78519" customFormat="1" x14ac:dyDescent="0.2"/>
    <row r="78520" customFormat="1" x14ac:dyDescent="0.2"/>
    <row r="78521" customFormat="1" x14ac:dyDescent="0.2"/>
    <row r="78522" customFormat="1" x14ac:dyDescent="0.2"/>
    <row r="78523" customFormat="1" x14ac:dyDescent="0.2"/>
    <row r="78524" customFormat="1" x14ac:dyDescent="0.2"/>
    <row r="78525" customFormat="1" x14ac:dyDescent="0.2"/>
    <row r="78526" customFormat="1" x14ac:dyDescent="0.2"/>
    <row r="78527" customFormat="1" x14ac:dyDescent="0.2"/>
    <row r="78528" customFormat="1" x14ac:dyDescent="0.2"/>
    <row r="78529" customFormat="1" x14ac:dyDescent="0.2"/>
    <row r="78530" customFormat="1" x14ac:dyDescent="0.2"/>
    <row r="78531" customFormat="1" x14ac:dyDescent="0.2"/>
    <row r="78532" customFormat="1" x14ac:dyDescent="0.2"/>
    <row r="78533" customFormat="1" x14ac:dyDescent="0.2"/>
    <row r="78534" customFormat="1" x14ac:dyDescent="0.2"/>
    <row r="78535" customFormat="1" x14ac:dyDescent="0.2"/>
    <row r="78536" customFormat="1" x14ac:dyDescent="0.2"/>
    <row r="78537" customFormat="1" x14ac:dyDescent="0.2"/>
    <row r="78538" customFormat="1" x14ac:dyDescent="0.2"/>
    <row r="78539" customFormat="1" x14ac:dyDescent="0.2"/>
    <row r="78540" customFormat="1" x14ac:dyDescent="0.2"/>
    <row r="78541" customFormat="1" x14ac:dyDescent="0.2"/>
    <row r="78542" customFormat="1" x14ac:dyDescent="0.2"/>
    <row r="78543" customFormat="1" x14ac:dyDescent="0.2"/>
    <row r="78544" customFormat="1" x14ac:dyDescent="0.2"/>
    <row r="78545" customFormat="1" x14ac:dyDescent="0.2"/>
    <row r="78546" customFormat="1" x14ac:dyDescent="0.2"/>
    <row r="78547" customFormat="1" x14ac:dyDescent="0.2"/>
    <row r="78548" customFormat="1" x14ac:dyDescent="0.2"/>
    <row r="78549" customFormat="1" x14ac:dyDescent="0.2"/>
    <row r="78550" customFormat="1" x14ac:dyDescent="0.2"/>
    <row r="78551" customFormat="1" x14ac:dyDescent="0.2"/>
    <row r="78552" customFormat="1" x14ac:dyDescent="0.2"/>
    <row r="78553" customFormat="1" x14ac:dyDescent="0.2"/>
    <row r="78554" customFormat="1" x14ac:dyDescent="0.2"/>
    <row r="78555" customFormat="1" x14ac:dyDescent="0.2"/>
    <row r="78556" customFormat="1" x14ac:dyDescent="0.2"/>
    <row r="78557" customFormat="1" x14ac:dyDescent="0.2"/>
    <row r="78558" customFormat="1" x14ac:dyDescent="0.2"/>
    <row r="78559" customFormat="1" x14ac:dyDescent="0.2"/>
    <row r="78560" customFormat="1" x14ac:dyDescent="0.2"/>
    <row r="78561" customFormat="1" x14ac:dyDescent="0.2"/>
    <row r="78562" customFormat="1" x14ac:dyDescent="0.2"/>
    <row r="78563" customFormat="1" x14ac:dyDescent="0.2"/>
    <row r="78564" customFormat="1" x14ac:dyDescent="0.2"/>
    <row r="78565" customFormat="1" x14ac:dyDescent="0.2"/>
    <row r="78566" customFormat="1" x14ac:dyDescent="0.2"/>
    <row r="78567" customFormat="1" x14ac:dyDescent="0.2"/>
    <row r="78568" customFormat="1" x14ac:dyDescent="0.2"/>
    <row r="78569" customFormat="1" x14ac:dyDescent="0.2"/>
    <row r="78570" customFormat="1" x14ac:dyDescent="0.2"/>
    <row r="78571" customFormat="1" x14ac:dyDescent="0.2"/>
    <row r="78572" customFormat="1" x14ac:dyDescent="0.2"/>
    <row r="78573" customFormat="1" x14ac:dyDescent="0.2"/>
    <row r="78574" customFormat="1" x14ac:dyDescent="0.2"/>
    <row r="78575" customFormat="1" x14ac:dyDescent="0.2"/>
    <row r="78576" customFormat="1" x14ac:dyDescent="0.2"/>
    <row r="78577" customFormat="1" x14ac:dyDescent="0.2"/>
    <row r="78578" customFormat="1" x14ac:dyDescent="0.2"/>
    <row r="78579" customFormat="1" x14ac:dyDescent="0.2"/>
    <row r="78580" customFormat="1" x14ac:dyDescent="0.2"/>
    <row r="78581" customFormat="1" x14ac:dyDescent="0.2"/>
    <row r="78582" customFormat="1" x14ac:dyDescent="0.2"/>
    <row r="78583" customFormat="1" x14ac:dyDescent="0.2"/>
    <row r="78584" customFormat="1" x14ac:dyDescent="0.2"/>
    <row r="78585" customFormat="1" x14ac:dyDescent="0.2"/>
    <row r="78586" customFormat="1" x14ac:dyDescent="0.2"/>
    <row r="78587" customFormat="1" x14ac:dyDescent="0.2"/>
    <row r="78588" customFormat="1" x14ac:dyDescent="0.2"/>
    <row r="78589" customFormat="1" x14ac:dyDescent="0.2"/>
    <row r="78590" customFormat="1" x14ac:dyDescent="0.2"/>
    <row r="78591" customFormat="1" x14ac:dyDescent="0.2"/>
    <row r="78592" customFormat="1" x14ac:dyDescent="0.2"/>
    <row r="78593" customFormat="1" x14ac:dyDescent="0.2"/>
    <row r="78594" customFormat="1" x14ac:dyDescent="0.2"/>
    <row r="78595" customFormat="1" x14ac:dyDescent="0.2"/>
    <row r="78596" customFormat="1" x14ac:dyDescent="0.2"/>
    <row r="78597" customFormat="1" x14ac:dyDescent="0.2"/>
    <row r="78598" customFormat="1" x14ac:dyDescent="0.2"/>
    <row r="78599" customFormat="1" x14ac:dyDescent="0.2"/>
    <row r="78600" customFormat="1" x14ac:dyDescent="0.2"/>
    <row r="78601" customFormat="1" x14ac:dyDescent="0.2"/>
    <row r="78602" customFormat="1" x14ac:dyDescent="0.2"/>
    <row r="78603" customFormat="1" x14ac:dyDescent="0.2"/>
    <row r="78604" customFormat="1" x14ac:dyDescent="0.2"/>
    <row r="78605" customFormat="1" x14ac:dyDescent="0.2"/>
    <row r="78606" customFormat="1" x14ac:dyDescent="0.2"/>
    <row r="78607" customFormat="1" x14ac:dyDescent="0.2"/>
    <row r="78608" customFormat="1" x14ac:dyDescent="0.2"/>
    <row r="78609" customFormat="1" x14ac:dyDescent="0.2"/>
    <row r="78610" customFormat="1" x14ac:dyDescent="0.2"/>
    <row r="78611" customFormat="1" x14ac:dyDescent="0.2"/>
    <row r="78612" customFormat="1" x14ac:dyDescent="0.2"/>
    <row r="78613" customFormat="1" x14ac:dyDescent="0.2"/>
    <row r="78614" customFormat="1" x14ac:dyDescent="0.2"/>
    <row r="78615" customFormat="1" x14ac:dyDescent="0.2"/>
    <row r="78616" customFormat="1" x14ac:dyDescent="0.2"/>
    <row r="78617" customFormat="1" x14ac:dyDescent="0.2"/>
    <row r="78618" customFormat="1" x14ac:dyDescent="0.2"/>
    <row r="78619" customFormat="1" x14ac:dyDescent="0.2"/>
    <row r="78620" customFormat="1" x14ac:dyDescent="0.2"/>
    <row r="78621" customFormat="1" x14ac:dyDescent="0.2"/>
    <row r="78622" customFormat="1" x14ac:dyDescent="0.2"/>
    <row r="78623" customFormat="1" x14ac:dyDescent="0.2"/>
    <row r="78624" customFormat="1" x14ac:dyDescent="0.2"/>
    <row r="78625" customFormat="1" x14ac:dyDescent="0.2"/>
    <row r="78626" customFormat="1" x14ac:dyDescent="0.2"/>
    <row r="78627" customFormat="1" x14ac:dyDescent="0.2"/>
    <row r="78628" customFormat="1" x14ac:dyDescent="0.2"/>
    <row r="78629" customFormat="1" x14ac:dyDescent="0.2"/>
    <row r="78630" customFormat="1" x14ac:dyDescent="0.2"/>
    <row r="78631" customFormat="1" x14ac:dyDescent="0.2"/>
    <row r="78632" customFormat="1" x14ac:dyDescent="0.2"/>
    <row r="78633" customFormat="1" x14ac:dyDescent="0.2"/>
    <row r="78634" customFormat="1" x14ac:dyDescent="0.2"/>
    <row r="78635" customFormat="1" x14ac:dyDescent="0.2"/>
    <row r="78636" customFormat="1" x14ac:dyDescent="0.2"/>
    <row r="78637" customFormat="1" x14ac:dyDescent="0.2"/>
    <row r="78638" customFormat="1" x14ac:dyDescent="0.2"/>
    <row r="78639" customFormat="1" x14ac:dyDescent="0.2"/>
    <row r="78640" customFormat="1" x14ac:dyDescent="0.2"/>
    <row r="78641" customFormat="1" x14ac:dyDescent="0.2"/>
    <row r="78642" customFormat="1" x14ac:dyDescent="0.2"/>
    <row r="78643" customFormat="1" x14ac:dyDescent="0.2"/>
    <row r="78644" customFormat="1" x14ac:dyDescent="0.2"/>
    <row r="78645" customFormat="1" x14ac:dyDescent="0.2"/>
    <row r="78646" customFormat="1" x14ac:dyDescent="0.2"/>
    <row r="78647" customFormat="1" x14ac:dyDescent="0.2"/>
    <row r="78648" customFormat="1" x14ac:dyDescent="0.2"/>
    <row r="78649" customFormat="1" x14ac:dyDescent="0.2"/>
    <row r="78650" customFormat="1" x14ac:dyDescent="0.2"/>
    <row r="78651" customFormat="1" x14ac:dyDescent="0.2"/>
    <row r="78652" customFormat="1" x14ac:dyDescent="0.2"/>
    <row r="78653" customFormat="1" x14ac:dyDescent="0.2"/>
    <row r="78654" customFormat="1" x14ac:dyDescent="0.2"/>
    <row r="78655" customFormat="1" x14ac:dyDescent="0.2"/>
    <row r="78656" customFormat="1" x14ac:dyDescent="0.2"/>
    <row r="78657" customFormat="1" x14ac:dyDescent="0.2"/>
    <row r="78658" customFormat="1" x14ac:dyDescent="0.2"/>
    <row r="78659" customFormat="1" x14ac:dyDescent="0.2"/>
    <row r="78660" customFormat="1" x14ac:dyDescent="0.2"/>
    <row r="78661" customFormat="1" x14ac:dyDescent="0.2"/>
    <row r="78662" customFormat="1" x14ac:dyDescent="0.2"/>
    <row r="78663" customFormat="1" x14ac:dyDescent="0.2"/>
    <row r="78664" customFormat="1" x14ac:dyDescent="0.2"/>
    <row r="78665" customFormat="1" x14ac:dyDescent="0.2"/>
    <row r="78666" customFormat="1" x14ac:dyDescent="0.2"/>
    <row r="78667" customFormat="1" x14ac:dyDescent="0.2"/>
    <row r="78668" customFormat="1" x14ac:dyDescent="0.2"/>
    <row r="78669" customFormat="1" x14ac:dyDescent="0.2"/>
    <row r="78670" customFormat="1" x14ac:dyDescent="0.2"/>
    <row r="78671" customFormat="1" x14ac:dyDescent="0.2"/>
    <row r="78672" customFormat="1" x14ac:dyDescent="0.2"/>
    <row r="78673" customFormat="1" x14ac:dyDescent="0.2"/>
    <row r="78674" customFormat="1" x14ac:dyDescent="0.2"/>
    <row r="78675" customFormat="1" x14ac:dyDescent="0.2"/>
    <row r="78676" customFormat="1" x14ac:dyDescent="0.2"/>
    <row r="78677" customFormat="1" x14ac:dyDescent="0.2"/>
    <row r="78678" customFormat="1" x14ac:dyDescent="0.2"/>
    <row r="78679" customFormat="1" x14ac:dyDescent="0.2"/>
    <row r="78680" customFormat="1" x14ac:dyDescent="0.2"/>
    <row r="78681" customFormat="1" x14ac:dyDescent="0.2"/>
    <row r="78682" customFormat="1" x14ac:dyDescent="0.2"/>
    <row r="78683" customFormat="1" x14ac:dyDescent="0.2"/>
    <row r="78684" customFormat="1" x14ac:dyDescent="0.2"/>
    <row r="78685" customFormat="1" x14ac:dyDescent="0.2"/>
    <row r="78686" customFormat="1" x14ac:dyDescent="0.2"/>
    <row r="78687" customFormat="1" x14ac:dyDescent="0.2"/>
    <row r="78688" customFormat="1" x14ac:dyDescent="0.2"/>
    <row r="78689" customFormat="1" x14ac:dyDescent="0.2"/>
    <row r="78690" customFormat="1" x14ac:dyDescent="0.2"/>
    <row r="78691" customFormat="1" x14ac:dyDescent="0.2"/>
    <row r="78692" customFormat="1" x14ac:dyDescent="0.2"/>
    <row r="78693" customFormat="1" x14ac:dyDescent="0.2"/>
    <row r="78694" customFormat="1" x14ac:dyDescent="0.2"/>
    <row r="78695" customFormat="1" x14ac:dyDescent="0.2"/>
    <row r="78696" customFormat="1" x14ac:dyDescent="0.2"/>
    <row r="78697" customFormat="1" x14ac:dyDescent="0.2"/>
    <row r="78698" customFormat="1" x14ac:dyDescent="0.2"/>
    <row r="78699" customFormat="1" x14ac:dyDescent="0.2"/>
    <row r="78700" customFormat="1" x14ac:dyDescent="0.2"/>
    <row r="78701" customFormat="1" x14ac:dyDescent="0.2"/>
    <row r="78702" customFormat="1" x14ac:dyDescent="0.2"/>
    <row r="78703" customFormat="1" x14ac:dyDescent="0.2"/>
    <row r="78704" customFormat="1" x14ac:dyDescent="0.2"/>
    <row r="78705" customFormat="1" x14ac:dyDescent="0.2"/>
    <row r="78706" customFormat="1" x14ac:dyDescent="0.2"/>
    <row r="78707" customFormat="1" x14ac:dyDescent="0.2"/>
    <row r="78708" customFormat="1" x14ac:dyDescent="0.2"/>
    <row r="78709" customFormat="1" x14ac:dyDescent="0.2"/>
    <row r="78710" customFormat="1" x14ac:dyDescent="0.2"/>
    <row r="78711" customFormat="1" x14ac:dyDescent="0.2"/>
    <row r="78712" customFormat="1" x14ac:dyDescent="0.2"/>
    <row r="78713" customFormat="1" x14ac:dyDescent="0.2"/>
    <row r="78714" customFormat="1" x14ac:dyDescent="0.2"/>
    <row r="78715" customFormat="1" x14ac:dyDescent="0.2"/>
    <row r="78716" customFormat="1" x14ac:dyDescent="0.2"/>
    <row r="78717" customFormat="1" x14ac:dyDescent="0.2"/>
    <row r="78718" customFormat="1" x14ac:dyDescent="0.2"/>
    <row r="78719" customFormat="1" x14ac:dyDescent="0.2"/>
    <row r="78720" customFormat="1" x14ac:dyDescent="0.2"/>
    <row r="78721" customFormat="1" x14ac:dyDescent="0.2"/>
    <row r="78722" customFormat="1" x14ac:dyDescent="0.2"/>
    <row r="78723" customFormat="1" x14ac:dyDescent="0.2"/>
    <row r="78724" customFormat="1" x14ac:dyDescent="0.2"/>
    <row r="78725" customFormat="1" x14ac:dyDescent="0.2"/>
    <row r="78726" customFormat="1" x14ac:dyDescent="0.2"/>
    <row r="78727" customFormat="1" x14ac:dyDescent="0.2"/>
    <row r="78728" customFormat="1" x14ac:dyDescent="0.2"/>
    <row r="78729" customFormat="1" x14ac:dyDescent="0.2"/>
    <row r="78730" customFormat="1" x14ac:dyDescent="0.2"/>
    <row r="78731" customFormat="1" x14ac:dyDescent="0.2"/>
    <row r="78732" customFormat="1" x14ac:dyDescent="0.2"/>
    <row r="78733" customFormat="1" x14ac:dyDescent="0.2"/>
    <row r="78734" customFormat="1" x14ac:dyDescent="0.2"/>
    <row r="78735" customFormat="1" x14ac:dyDescent="0.2"/>
    <row r="78736" customFormat="1" x14ac:dyDescent="0.2"/>
    <row r="78737" customFormat="1" x14ac:dyDescent="0.2"/>
    <row r="78738" customFormat="1" x14ac:dyDescent="0.2"/>
    <row r="78739" customFormat="1" x14ac:dyDescent="0.2"/>
    <row r="78740" customFormat="1" x14ac:dyDescent="0.2"/>
    <row r="78741" customFormat="1" x14ac:dyDescent="0.2"/>
    <row r="78742" customFormat="1" x14ac:dyDescent="0.2"/>
    <row r="78743" customFormat="1" x14ac:dyDescent="0.2"/>
    <row r="78744" customFormat="1" x14ac:dyDescent="0.2"/>
    <row r="78745" customFormat="1" x14ac:dyDescent="0.2"/>
    <row r="78746" customFormat="1" x14ac:dyDescent="0.2"/>
    <row r="78747" customFormat="1" x14ac:dyDescent="0.2"/>
    <row r="78748" customFormat="1" x14ac:dyDescent="0.2"/>
    <row r="78749" customFormat="1" x14ac:dyDescent="0.2"/>
    <row r="78750" customFormat="1" x14ac:dyDescent="0.2"/>
    <row r="78751" customFormat="1" x14ac:dyDescent="0.2"/>
    <row r="78752" customFormat="1" x14ac:dyDescent="0.2"/>
    <row r="78753" customFormat="1" x14ac:dyDescent="0.2"/>
    <row r="78754" customFormat="1" x14ac:dyDescent="0.2"/>
    <row r="78755" customFormat="1" x14ac:dyDescent="0.2"/>
    <row r="78756" customFormat="1" x14ac:dyDescent="0.2"/>
    <row r="78757" customFormat="1" x14ac:dyDescent="0.2"/>
    <row r="78758" customFormat="1" x14ac:dyDescent="0.2"/>
    <row r="78759" customFormat="1" x14ac:dyDescent="0.2"/>
    <row r="78760" customFormat="1" x14ac:dyDescent="0.2"/>
    <row r="78761" customFormat="1" x14ac:dyDescent="0.2"/>
    <row r="78762" customFormat="1" x14ac:dyDescent="0.2"/>
    <row r="78763" customFormat="1" x14ac:dyDescent="0.2"/>
    <row r="78764" customFormat="1" x14ac:dyDescent="0.2"/>
    <row r="78765" customFormat="1" x14ac:dyDescent="0.2"/>
    <row r="78766" customFormat="1" x14ac:dyDescent="0.2"/>
    <row r="78767" customFormat="1" x14ac:dyDescent="0.2"/>
    <row r="78768" customFormat="1" x14ac:dyDescent="0.2"/>
    <row r="78769" customFormat="1" x14ac:dyDescent="0.2"/>
    <row r="78770" customFormat="1" x14ac:dyDescent="0.2"/>
    <row r="78771" customFormat="1" x14ac:dyDescent="0.2"/>
    <row r="78772" customFormat="1" x14ac:dyDescent="0.2"/>
    <row r="78773" customFormat="1" x14ac:dyDescent="0.2"/>
    <row r="78774" customFormat="1" x14ac:dyDescent="0.2"/>
    <row r="78775" customFormat="1" x14ac:dyDescent="0.2"/>
    <row r="78776" customFormat="1" x14ac:dyDescent="0.2"/>
    <row r="78777" customFormat="1" x14ac:dyDescent="0.2"/>
    <row r="78778" customFormat="1" x14ac:dyDescent="0.2"/>
    <row r="78779" customFormat="1" x14ac:dyDescent="0.2"/>
    <row r="78780" customFormat="1" x14ac:dyDescent="0.2"/>
    <row r="78781" customFormat="1" x14ac:dyDescent="0.2"/>
    <row r="78782" customFormat="1" x14ac:dyDescent="0.2"/>
    <row r="78783" customFormat="1" x14ac:dyDescent="0.2"/>
    <row r="78784" customFormat="1" x14ac:dyDescent="0.2"/>
    <row r="78785" customFormat="1" x14ac:dyDescent="0.2"/>
    <row r="78786" customFormat="1" x14ac:dyDescent="0.2"/>
    <row r="78787" customFormat="1" x14ac:dyDescent="0.2"/>
    <row r="78788" customFormat="1" x14ac:dyDescent="0.2"/>
    <row r="78789" customFormat="1" x14ac:dyDescent="0.2"/>
    <row r="78790" customFormat="1" x14ac:dyDescent="0.2"/>
    <row r="78791" customFormat="1" x14ac:dyDescent="0.2"/>
    <row r="78792" customFormat="1" x14ac:dyDescent="0.2"/>
    <row r="78793" customFormat="1" x14ac:dyDescent="0.2"/>
    <row r="78794" customFormat="1" x14ac:dyDescent="0.2"/>
    <row r="78795" customFormat="1" x14ac:dyDescent="0.2"/>
    <row r="78796" customFormat="1" x14ac:dyDescent="0.2"/>
    <row r="78797" customFormat="1" x14ac:dyDescent="0.2"/>
    <row r="78798" customFormat="1" x14ac:dyDescent="0.2"/>
    <row r="78799" customFormat="1" x14ac:dyDescent="0.2"/>
    <row r="78800" customFormat="1" x14ac:dyDescent="0.2"/>
    <row r="78801" customFormat="1" x14ac:dyDescent="0.2"/>
    <row r="78802" customFormat="1" x14ac:dyDescent="0.2"/>
    <row r="78803" customFormat="1" x14ac:dyDescent="0.2"/>
    <row r="78804" customFormat="1" x14ac:dyDescent="0.2"/>
    <row r="78805" customFormat="1" x14ac:dyDescent="0.2"/>
    <row r="78806" customFormat="1" x14ac:dyDescent="0.2"/>
    <row r="78807" customFormat="1" x14ac:dyDescent="0.2"/>
    <row r="78808" customFormat="1" x14ac:dyDescent="0.2"/>
    <row r="78809" customFormat="1" x14ac:dyDescent="0.2"/>
    <row r="78810" customFormat="1" x14ac:dyDescent="0.2"/>
    <row r="78811" customFormat="1" x14ac:dyDescent="0.2"/>
    <row r="78812" customFormat="1" x14ac:dyDescent="0.2"/>
    <row r="78813" customFormat="1" x14ac:dyDescent="0.2"/>
    <row r="78814" customFormat="1" x14ac:dyDescent="0.2"/>
    <row r="78815" customFormat="1" x14ac:dyDescent="0.2"/>
    <row r="78816" customFormat="1" x14ac:dyDescent="0.2"/>
    <row r="78817" customFormat="1" x14ac:dyDescent="0.2"/>
    <row r="78818" customFormat="1" x14ac:dyDescent="0.2"/>
    <row r="78819" customFormat="1" x14ac:dyDescent="0.2"/>
    <row r="78820" customFormat="1" x14ac:dyDescent="0.2"/>
    <row r="78821" customFormat="1" x14ac:dyDescent="0.2"/>
    <row r="78822" customFormat="1" x14ac:dyDescent="0.2"/>
    <row r="78823" customFormat="1" x14ac:dyDescent="0.2"/>
    <row r="78824" customFormat="1" x14ac:dyDescent="0.2"/>
    <row r="78825" customFormat="1" x14ac:dyDescent="0.2"/>
    <row r="78826" customFormat="1" x14ac:dyDescent="0.2"/>
    <row r="78827" customFormat="1" x14ac:dyDescent="0.2"/>
    <row r="78828" customFormat="1" x14ac:dyDescent="0.2"/>
    <row r="78829" customFormat="1" x14ac:dyDescent="0.2"/>
    <row r="78830" customFormat="1" x14ac:dyDescent="0.2"/>
    <row r="78831" customFormat="1" x14ac:dyDescent="0.2"/>
    <row r="78832" customFormat="1" x14ac:dyDescent="0.2"/>
    <row r="78833" customFormat="1" x14ac:dyDescent="0.2"/>
    <row r="78834" customFormat="1" x14ac:dyDescent="0.2"/>
    <row r="78835" customFormat="1" x14ac:dyDescent="0.2"/>
    <row r="78836" customFormat="1" x14ac:dyDescent="0.2"/>
    <row r="78837" customFormat="1" x14ac:dyDescent="0.2"/>
    <row r="78838" customFormat="1" x14ac:dyDescent="0.2"/>
    <row r="78839" customFormat="1" x14ac:dyDescent="0.2"/>
    <row r="78840" customFormat="1" x14ac:dyDescent="0.2"/>
    <row r="78841" customFormat="1" x14ac:dyDescent="0.2"/>
    <row r="78842" customFormat="1" x14ac:dyDescent="0.2"/>
    <row r="78843" customFormat="1" x14ac:dyDescent="0.2"/>
    <row r="78844" customFormat="1" x14ac:dyDescent="0.2"/>
    <row r="78845" customFormat="1" x14ac:dyDescent="0.2"/>
    <row r="78846" customFormat="1" x14ac:dyDescent="0.2"/>
    <row r="78847" customFormat="1" x14ac:dyDescent="0.2"/>
    <row r="78848" customFormat="1" x14ac:dyDescent="0.2"/>
    <row r="78849" customFormat="1" x14ac:dyDescent="0.2"/>
    <row r="78850" customFormat="1" x14ac:dyDescent="0.2"/>
    <row r="78851" customFormat="1" x14ac:dyDescent="0.2"/>
    <row r="78852" customFormat="1" x14ac:dyDescent="0.2"/>
    <row r="78853" customFormat="1" x14ac:dyDescent="0.2"/>
    <row r="78854" customFormat="1" x14ac:dyDescent="0.2"/>
    <row r="78855" customFormat="1" x14ac:dyDescent="0.2"/>
    <row r="78856" customFormat="1" x14ac:dyDescent="0.2"/>
    <row r="78857" customFormat="1" x14ac:dyDescent="0.2"/>
    <row r="78858" customFormat="1" x14ac:dyDescent="0.2"/>
    <row r="78859" customFormat="1" x14ac:dyDescent="0.2"/>
    <row r="78860" customFormat="1" x14ac:dyDescent="0.2"/>
    <row r="78861" customFormat="1" x14ac:dyDescent="0.2"/>
    <row r="78862" customFormat="1" x14ac:dyDescent="0.2"/>
    <row r="78863" customFormat="1" x14ac:dyDescent="0.2"/>
    <row r="78864" customFormat="1" x14ac:dyDescent="0.2"/>
    <row r="78865" customFormat="1" x14ac:dyDescent="0.2"/>
    <row r="78866" customFormat="1" x14ac:dyDescent="0.2"/>
    <row r="78867" customFormat="1" x14ac:dyDescent="0.2"/>
    <row r="78868" customFormat="1" x14ac:dyDescent="0.2"/>
    <row r="78869" customFormat="1" x14ac:dyDescent="0.2"/>
    <row r="78870" customFormat="1" x14ac:dyDescent="0.2"/>
    <row r="78871" customFormat="1" x14ac:dyDescent="0.2"/>
    <row r="78872" customFormat="1" x14ac:dyDescent="0.2"/>
    <row r="78873" customFormat="1" x14ac:dyDescent="0.2"/>
    <row r="78874" customFormat="1" x14ac:dyDescent="0.2"/>
    <row r="78875" customFormat="1" x14ac:dyDescent="0.2"/>
    <row r="78876" customFormat="1" x14ac:dyDescent="0.2"/>
    <row r="78877" customFormat="1" x14ac:dyDescent="0.2"/>
    <row r="78878" customFormat="1" x14ac:dyDescent="0.2"/>
    <row r="78879" customFormat="1" x14ac:dyDescent="0.2"/>
    <row r="78880" customFormat="1" x14ac:dyDescent="0.2"/>
    <row r="78881" customFormat="1" x14ac:dyDescent="0.2"/>
    <row r="78882" customFormat="1" x14ac:dyDescent="0.2"/>
    <row r="78883" customFormat="1" x14ac:dyDescent="0.2"/>
    <row r="78884" customFormat="1" x14ac:dyDescent="0.2"/>
    <row r="78885" customFormat="1" x14ac:dyDescent="0.2"/>
    <row r="78886" customFormat="1" x14ac:dyDescent="0.2"/>
    <row r="78887" customFormat="1" x14ac:dyDescent="0.2"/>
    <row r="78888" customFormat="1" x14ac:dyDescent="0.2"/>
    <row r="78889" customFormat="1" x14ac:dyDescent="0.2"/>
    <row r="78890" customFormat="1" x14ac:dyDescent="0.2"/>
    <row r="78891" customFormat="1" x14ac:dyDescent="0.2"/>
    <row r="78892" customFormat="1" x14ac:dyDescent="0.2"/>
    <row r="78893" customFormat="1" x14ac:dyDescent="0.2"/>
    <row r="78894" customFormat="1" x14ac:dyDescent="0.2"/>
    <row r="78895" customFormat="1" x14ac:dyDescent="0.2"/>
    <row r="78896" customFormat="1" x14ac:dyDescent="0.2"/>
    <row r="78897" customFormat="1" x14ac:dyDescent="0.2"/>
    <row r="78898" customFormat="1" x14ac:dyDescent="0.2"/>
    <row r="78899" customFormat="1" x14ac:dyDescent="0.2"/>
    <row r="78900" customFormat="1" x14ac:dyDescent="0.2"/>
    <row r="78901" customFormat="1" x14ac:dyDescent="0.2"/>
    <row r="78902" customFormat="1" x14ac:dyDescent="0.2"/>
    <row r="78903" customFormat="1" x14ac:dyDescent="0.2"/>
    <row r="78904" customFormat="1" x14ac:dyDescent="0.2"/>
    <row r="78905" customFormat="1" x14ac:dyDescent="0.2"/>
    <row r="78906" customFormat="1" x14ac:dyDescent="0.2"/>
    <row r="78907" customFormat="1" x14ac:dyDescent="0.2"/>
    <row r="78908" customFormat="1" x14ac:dyDescent="0.2"/>
    <row r="78909" customFormat="1" x14ac:dyDescent="0.2"/>
    <row r="78910" customFormat="1" x14ac:dyDescent="0.2"/>
    <row r="78911" customFormat="1" x14ac:dyDescent="0.2"/>
    <row r="78912" customFormat="1" x14ac:dyDescent="0.2"/>
    <row r="78913" customFormat="1" x14ac:dyDescent="0.2"/>
    <row r="78914" customFormat="1" x14ac:dyDescent="0.2"/>
    <row r="78915" customFormat="1" x14ac:dyDescent="0.2"/>
    <row r="78916" customFormat="1" x14ac:dyDescent="0.2"/>
    <row r="78917" customFormat="1" x14ac:dyDescent="0.2"/>
    <row r="78918" customFormat="1" x14ac:dyDescent="0.2"/>
    <row r="78919" customFormat="1" x14ac:dyDescent="0.2"/>
    <row r="78920" customFormat="1" x14ac:dyDescent="0.2"/>
    <row r="78921" customFormat="1" x14ac:dyDescent="0.2"/>
    <row r="78922" customFormat="1" x14ac:dyDescent="0.2"/>
    <row r="78923" customFormat="1" x14ac:dyDescent="0.2"/>
    <row r="78924" customFormat="1" x14ac:dyDescent="0.2"/>
    <row r="78925" customFormat="1" x14ac:dyDescent="0.2"/>
    <row r="78926" customFormat="1" x14ac:dyDescent="0.2"/>
    <row r="78927" customFormat="1" x14ac:dyDescent="0.2"/>
    <row r="78928" customFormat="1" x14ac:dyDescent="0.2"/>
    <row r="78929" customFormat="1" x14ac:dyDescent="0.2"/>
    <row r="78930" customFormat="1" x14ac:dyDescent="0.2"/>
    <row r="78931" customFormat="1" x14ac:dyDescent="0.2"/>
    <row r="78932" customFormat="1" x14ac:dyDescent="0.2"/>
    <row r="78933" customFormat="1" x14ac:dyDescent="0.2"/>
    <row r="78934" customFormat="1" x14ac:dyDescent="0.2"/>
    <row r="78935" customFormat="1" x14ac:dyDescent="0.2"/>
    <row r="78936" customFormat="1" x14ac:dyDescent="0.2"/>
    <row r="78937" customFormat="1" x14ac:dyDescent="0.2"/>
    <row r="78938" customFormat="1" x14ac:dyDescent="0.2"/>
    <row r="78939" customFormat="1" x14ac:dyDescent="0.2"/>
    <row r="78940" customFormat="1" x14ac:dyDescent="0.2"/>
    <row r="78941" customFormat="1" x14ac:dyDescent="0.2"/>
    <row r="78942" customFormat="1" x14ac:dyDescent="0.2"/>
    <row r="78943" customFormat="1" x14ac:dyDescent="0.2"/>
    <row r="78944" customFormat="1" x14ac:dyDescent="0.2"/>
    <row r="78945" customFormat="1" x14ac:dyDescent="0.2"/>
    <row r="78946" customFormat="1" x14ac:dyDescent="0.2"/>
    <row r="78947" customFormat="1" x14ac:dyDescent="0.2"/>
    <row r="78948" customFormat="1" x14ac:dyDescent="0.2"/>
    <row r="78949" customFormat="1" x14ac:dyDescent="0.2"/>
    <row r="78950" customFormat="1" x14ac:dyDescent="0.2"/>
    <row r="78951" customFormat="1" x14ac:dyDescent="0.2"/>
    <row r="78952" customFormat="1" x14ac:dyDescent="0.2"/>
    <row r="78953" customFormat="1" x14ac:dyDescent="0.2"/>
    <row r="78954" customFormat="1" x14ac:dyDescent="0.2"/>
    <row r="78955" customFormat="1" x14ac:dyDescent="0.2"/>
    <row r="78956" customFormat="1" x14ac:dyDescent="0.2"/>
    <row r="78957" customFormat="1" x14ac:dyDescent="0.2"/>
    <row r="78958" customFormat="1" x14ac:dyDescent="0.2"/>
    <row r="78959" customFormat="1" x14ac:dyDescent="0.2"/>
    <row r="78960" customFormat="1" x14ac:dyDescent="0.2"/>
    <row r="78961" customFormat="1" x14ac:dyDescent="0.2"/>
    <row r="78962" customFormat="1" x14ac:dyDescent="0.2"/>
    <row r="78963" customFormat="1" x14ac:dyDescent="0.2"/>
    <row r="78964" customFormat="1" x14ac:dyDescent="0.2"/>
    <row r="78965" customFormat="1" x14ac:dyDescent="0.2"/>
    <row r="78966" customFormat="1" x14ac:dyDescent="0.2"/>
    <row r="78967" customFormat="1" x14ac:dyDescent="0.2"/>
    <row r="78968" customFormat="1" x14ac:dyDescent="0.2"/>
    <row r="78969" customFormat="1" x14ac:dyDescent="0.2"/>
    <row r="78970" customFormat="1" x14ac:dyDescent="0.2"/>
    <row r="78971" customFormat="1" x14ac:dyDescent="0.2"/>
    <row r="78972" customFormat="1" x14ac:dyDescent="0.2"/>
    <row r="78973" customFormat="1" x14ac:dyDescent="0.2"/>
    <row r="78974" customFormat="1" x14ac:dyDescent="0.2"/>
    <row r="78975" customFormat="1" x14ac:dyDescent="0.2"/>
    <row r="78976" customFormat="1" x14ac:dyDescent="0.2"/>
    <row r="78977" customFormat="1" x14ac:dyDescent="0.2"/>
    <row r="78978" customFormat="1" x14ac:dyDescent="0.2"/>
    <row r="78979" customFormat="1" x14ac:dyDescent="0.2"/>
    <row r="78980" customFormat="1" x14ac:dyDescent="0.2"/>
    <row r="78981" customFormat="1" x14ac:dyDescent="0.2"/>
    <row r="78982" customFormat="1" x14ac:dyDescent="0.2"/>
    <row r="78983" customFormat="1" x14ac:dyDescent="0.2"/>
    <row r="78984" customFormat="1" x14ac:dyDescent="0.2"/>
    <row r="78985" customFormat="1" x14ac:dyDescent="0.2"/>
    <row r="78986" customFormat="1" x14ac:dyDescent="0.2"/>
    <row r="78987" customFormat="1" x14ac:dyDescent="0.2"/>
    <row r="78988" customFormat="1" x14ac:dyDescent="0.2"/>
    <row r="78989" customFormat="1" x14ac:dyDescent="0.2"/>
    <row r="78990" customFormat="1" x14ac:dyDescent="0.2"/>
    <row r="78991" customFormat="1" x14ac:dyDescent="0.2"/>
    <row r="78992" customFormat="1" x14ac:dyDescent="0.2"/>
    <row r="78993" customFormat="1" x14ac:dyDescent="0.2"/>
    <row r="78994" customFormat="1" x14ac:dyDescent="0.2"/>
    <row r="78995" customFormat="1" x14ac:dyDescent="0.2"/>
    <row r="78996" customFormat="1" x14ac:dyDescent="0.2"/>
    <row r="78997" customFormat="1" x14ac:dyDescent="0.2"/>
    <row r="78998" customFormat="1" x14ac:dyDescent="0.2"/>
    <row r="78999" customFormat="1" x14ac:dyDescent="0.2"/>
    <row r="79000" customFormat="1" x14ac:dyDescent="0.2"/>
    <row r="79001" customFormat="1" x14ac:dyDescent="0.2"/>
    <row r="79002" customFormat="1" x14ac:dyDescent="0.2"/>
    <row r="79003" customFormat="1" x14ac:dyDescent="0.2"/>
    <row r="79004" customFormat="1" x14ac:dyDescent="0.2"/>
    <row r="79005" customFormat="1" x14ac:dyDescent="0.2"/>
    <row r="79006" customFormat="1" x14ac:dyDescent="0.2"/>
    <row r="79007" customFormat="1" x14ac:dyDescent="0.2"/>
    <row r="79008" customFormat="1" x14ac:dyDescent="0.2"/>
    <row r="79009" customFormat="1" x14ac:dyDescent="0.2"/>
    <row r="79010" customFormat="1" x14ac:dyDescent="0.2"/>
    <row r="79011" customFormat="1" x14ac:dyDescent="0.2"/>
    <row r="79012" customFormat="1" x14ac:dyDescent="0.2"/>
    <row r="79013" customFormat="1" x14ac:dyDescent="0.2"/>
    <row r="79014" customFormat="1" x14ac:dyDescent="0.2"/>
    <row r="79015" customFormat="1" x14ac:dyDescent="0.2"/>
    <row r="79016" customFormat="1" x14ac:dyDescent="0.2"/>
    <row r="79017" customFormat="1" x14ac:dyDescent="0.2"/>
    <row r="79018" customFormat="1" x14ac:dyDescent="0.2"/>
    <row r="79019" customFormat="1" x14ac:dyDescent="0.2"/>
    <row r="79020" customFormat="1" x14ac:dyDescent="0.2"/>
    <row r="79021" customFormat="1" x14ac:dyDescent="0.2"/>
    <row r="79022" customFormat="1" x14ac:dyDescent="0.2"/>
    <row r="79023" customFormat="1" x14ac:dyDescent="0.2"/>
    <row r="79024" customFormat="1" x14ac:dyDescent="0.2"/>
    <row r="79025" customFormat="1" x14ac:dyDescent="0.2"/>
    <row r="79026" customFormat="1" x14ac:dyDescent="0.2"/>
    <row r="79027" customFormat="1" x14ac:dyDescent="0.2"/>
    <row r="79028" customFormat="1" x14ac:dyDescent="0.2"/>
    <row r="79029" customFormat="1" x14ac:dyDescent="0.2"/>
    <row r="79030" customFormat="1" x14ac:dyDescent="0.2"/>
    <row r="79031" customFormat="1" x14ac:dyDescent="0.2"/>
    <row r="79032" customFormat="1" x14ac:dyDescent="0.2"/>
    <row r="79033" customFormat="1" x14ac:dyDescent="0.2"/>
    <row r="79034" customFormat="1" x14ac:dyDescent="0.2"/>
    <row r="79035" customFormat="1" x14ac:dyDescent="0.2"/>
    <row r="79036" customFormat="1" x14ac:dyDescent="0.2"/>
    <row r="79037" customFormat="1" x14ac:dyDescent="0.2"/>
    <row r="79038" customFormat="1" x14ac:dyDescent="0.2"/>
    <row r="79039" customFormat="1" x14ac:dyDescent="0.2"/>
    <row r="79040" customFormat="1" x14ac:dyDescent="0.2"/>
    <row r="79041" customFormat="1" x14ac:dyDescent="0.2"/>
    <row r="79042" customFormat="1" x14ac:dyDescent="0.2"/>
    <row r="79043" customFormat="1" x14ac:dyDescent="0.2"/>
    <row r="79044" customFormat="1" x14ac:dyDescent="0.2"/>
    <row r="79045" customFormat="1" x14ac:dyDescent="0.2"/>
    <row r="79046" customFormat="1" x14ac:dyDescent="0.2"/>
    <row r="79047" customFormat="1" x14ac:dyDescent="0.2"/>
    <row r="79048" customFormat="1" x14ac:dyDescent="0.2"/>
    <row r="79049" customFormat="1" x14ac:dyDescent="0.2"/>
    <row r="79050" customFormat="1" x14ac:dyDescent="0.2"/>
    <row r="79051" customFormat="1" x14ac:dyDescent="0.2"/>
    <row r="79052" customFormat="1" x14ac:dyDescent="0.2"/>
    <row r="79053" customFormat="1" x14ac:dyDescent="0.2"/>
    <row r="79054" customFormat="1" x14ac:dyDescent="0.2"/>
    <row r="79055" customFormat="1" x14ac:dyDescent="0.2"/>
    <row r="79056" customFormat="1" x14ac:dyDescent="0.2"/>
    <row r="79057" customFormat="1" x14ac:dyDescent="0.2"/>
    <row r="79058" customFormat="1" x14ac:dyDescent="0.2"/>
    <row r="79059" customFormat="1" x14ac:dyDescent="0.2"/>
    <row r="79060" customFormat="1" x14ac:dyDescent="0.2"/>
    <row r="79061" customFormat="1" x14ac:dyDescent="0.2"/>
    <row r="79062" customFormat="1" x14ac:dyDescent="0.2"/>
    <row r="79063" customFormat="1" x14ac:dyDescent="0.2"/>
    <row r="79064" customFormat="1" x14ac:dyDescent="0.2"/>
    <row r="79065" customFormat="1" x14ac:dyDescent="0.2"/>
    <row r="79066" customFormat="1" x14ac:dyDescent="0.2"/>
    <row r="79067" customFormat="1" x14ac:dyDescent="0.2"/>
    <row r="79068" customFormat="1" x14ac:dyDescent="0.2"/>
    <row r="79069" customFormat="1" x14ac:dyDescent="0.2"/>
    <row r="79070" customFormat="1" x14ac:dyDescent="0.2"/>
    <row r="79071" customFormat="1" x14ac:dyDescent="0.2"/>
    <row r="79072" customFormat="1" x14ac:dyDescent="0.2"/>
    <row r="79073" customFormat="1" x14ac:dyDescent="0.2"/>
    <row r="79074" customFormat="1" x14ac:dyDescent="0.2"/>
    <row r="79075" customFormat="1" x14ac:dyDescent="0.2"/>
    <row r="79076" customFormat="1" x14ac:dyDescent="0.2"/>
    <row r="79077" customFormat="1" x14ac:dyDescent="0.2"/>
    <row r="79078" customFormat="1" x14ac:dyDescent="0.2"/>
    <row r="79079" customFormat="1" x14ac:dyDescent="0.2"/>
    <row r="79080" customFormat="1" x14ac:dyDescent="0.2"/>
    <row r="79081" customFormat="1" x14ac:dyDescent="0.2"/>
    <row r="79082" customFormat="1" x14ac:dyDescent="0.2"/>
    <row r="79083" customFormat="1" x14ac:dyDescent="0.2"/>
    <row r="79084" customFormat="1" x14ac:dyDescent="0.2"/>
    <row r="79085" customFormat="1" x14ac:dyDescent="0.2"/>
    <row r="79086" customFormat="1" x14ac:dyDescent="0.2"/>
    <row r="79087" customFormat="1" x14ac:dyDescent="0.2"/>
    <row r="79088" customFormat="1" x14ac:dyDescent="0.2"/>
    <row r="79089" customFormat="1" x14ac:dyDescent="0.2"/>
    <row r="79090" customFormat="1" x14ac:dyDescent="0.2"/>
    <row r="79091" customFormat="1" x14ac:dyDescent="0.2"/>
    <row r="79092" customFormat="1" x14ac:dyDescent="0.2"/>
    <row r="79093" customFormat="1" x14ac:dyDescent="0.2"/>
    <row r="79094" customFormat="1" x14ac:dyDescent="0.2"/>
    <row r="79095" customFormat="1" x14ac:dyDescent="0.2"/>
    <row r="79096" customFormat="1" x14ac:dyDescent="0.2"/>
    <row r="79097" customFormat="1" x14ac:dyDescent="0.2"/>
    <row r="79098" customFormat="1" x14ac:dyDescent="0.2"/>
    <row r="79099" customFormat="1" x14ac:dyDescent="0.2"/>
    <row r="79100" customFormat="1" x14ac:dyDescent="0.2"/>
    <row r="79101" customFormat="1" x14ac:dyDescent="0.2"/>
    <row r="79102" customFormat="1" x14ac:dyDescent="0.2"/>
    <row r="79103" customFormat="1" x14ac:dyDescent="0.2"/>
    <row r="79104" customFormat="1" x14ac:dyDescent="0.2"/>
    <row r="79105" customFormat="1" x14ac:dyDescent="0.2"/>
    <row r="79106" customFormat="1" x14ac:dyDescent="0.2"/>
    <row r="79107" customFormat="1" x14ac:dyDescent="0.2"/>
    <row r="79108" customFormat="1" x14ac:dyDescent="0.2"/>
    <row r="79109" customFormat="1" x14ac:dyDescent="0.2"/>
    <row r="79110" customFormat="1" x14ac:dyDescent="0.2"/>
    <row r="79111" customFormat="1" x14ac:dyDescent="0.2"/>
    <row r="79112" customFormat="1" x14ac:dyDescent="0.2"/>
    <row r="79113" customFormat="1" x14ac:dyDescent="0.2"/>
    <row r="79114" customFormat="1" x14ac:dyDescent="0.2"/>
    <row r="79115" customFormat="1" x14ac:dyDescent="0.2"/>
    <row r="79116" customFormat="1" x14ac:dyDescent="0.2"/>
    <row r="79117" customFormat="1" x14ac:dyDescent="0.2"/>
    <row r="79118" customFormat="1" x14ac:dyDescent="0.2"/>
    <row r="79119" customFormat="1" x14ac:dyDescent="0.2"/>
    <row r="79120" customFormat="1" x14ac:dyDescent="0.2"/>
    <row r="79121" customFormat="1" x14ac:dyDescent="0.2"/>
    <row r="79122" customFormat="1" x14ac:dyDescent="0.2"/>
    <row r="79123" customFormat="1" x14ac:dyDescent="0.2"/>
    <row r="79124" customFormat="1" x14ac:dyDescent="0.2"/>
    <row r="79125" customFormat="1" x14ac:dyDescent="0.2"/>
    <row r="79126" customFormat="1" x14ac:dyDescent="0.2"/>
    <row r="79127" customFormat="1" x14ac:dyDescent="0.2"/>
    <row r="79128" customFormat="1" x14ac:dyDescent="0.2"/>
    <row r="79129" customFormat="1" x14ac:dyDescent="0.2"/>
    <row r="79130" customFormat="1" x14ac:dyDescent="0.2"/>
    <row r="79131" customFormat="1" x14ac:dyDescent="0.2"/>
    <row r="79132" customFormat="1" x14ac:dyDescent="0.2"/>
    <row r="79133" customFormat="1" x14ac:dyDescent="0.2"/>
    <row r="79134" customFormat="1" x14ac:dyDescent="0.2"/>
    <row r="79135" customFormat="1" x14ac:dyDescent="0.2"/>
    <row r="79136" customFormat="1" x14ac:dyDescent="0.2"/>
    <row r="79137" customFormat="1" x14ac:dyDescent="0.2"/>
    <row r="79138" customFormat="1" x14ac:dyDescent="0.2"/>
    <row r="79139" customFormat="1" x14ac:dyDescent="0.2"/>
    <row r="79140" customFormat="1" x14ac:dyDescent="0.2"/>
    <row r="79141" customFormat="1" x14ac:dyDescent="0.2"/>
    <row r="79142" customFormat="1" x14ac:dyDescent="0.2"/>
    <row r="79143" customFormat="1" x14ac:dyDescent="0.2"/>
    <row r="79144" customFormat="1" x14ac:dyDescent="0.2"/>
    <row r="79145" customFormat="1" x14ac:dyDescent="0.2"/>
    <row r="79146" customFormat="1" x14ac:dyDescent="0.2"/>
    <row r="79147" customFormat="1" x14ac:dyDescent="0.2"/>
    <row r="79148" customFormat="1" x14ac:dyDescent="0.2"/>
    <row r="79149" customFormat="1" x14ac:dyDescent="0.2"/>
    <row r="79150" customFormat="1" x14ac:dyDescent="0.2"/>
    <row r="79151" customFormat="1" x14ac:dyDescent="0.2"/>
    <row r="79152" customFormat="1" x14ac:dyDescent="0.2"/>
    <row r="79153" customFormat="1" x14ac:dyDescent="0.2"/>
    <row r="79154" customFormat="1" x14ac:dyDescent="0.2"/>
    <row r="79155" customFormat="1" x14ac:dyDescent="0.2"/>
    <row r="79156" customFormat="1" x14ac:dyDescent="0.2"/>
    <row r="79157" customFormat="1" x14ac:dyDescent="0.2"/>
    <row r="79158" customFormat="1" x14ac:dyDescent="0.2"/>
    <row r="79159" customFormat="1" x14ac:dyDescent="0.2"/>
    <row r="79160" customFormat="1" x14ac:dyDescent="0.2"/>
    <row r="79161" customFormat="1" x14ac:dyDescent="0.2"/>
    <row r="79162" customFormat="1" x14ac:dyDescent="0.2"/>
    <row r="79163" customFormat="1" x14ac:dyDescent="0.2"/>
    <row r="79164" customFormat="1" x14ac:dyDescent="0.2"/>
    <row r="79165" customFormat="1" x14ac:dyDescent="0.2"/>
    <row r="79166" customFormat="1" x14ac:dyDescent="0.2"/>
    <row r="79167" customFormat="1" x14ac:dyDescent="0.2"/>
    <row r="79168" customFormat="1" x14ac:dyDescent="0.2"/>
    <row r="79169" customFormat="1" x14ac:dyDescent="0.2"/>
    <row r="79170" customFormat="1" x14ac:dyDescent="0.2"/>
    <row r="79171" customFormat="1" x14ac:dyDescent="0.2"/>
    <row r="79172" customFormat="1" x14ac:dyDescent="0.2"/>
    <row r="79173" customFormat="1" x14ac:dyDescent="0.2"/>
    <row r="79174" customFormat="1" x14ac:dyDescent="0.2"/>
    <row r="79175" customFormat="1" x14ac:dyDescent="0.2"/>
    <row r="79176" customFormat="1" x14ac:dyDescent="0.2"/>
    <row r="79177" customFormat="1" x14ac:dyDescent="0.2"/>
    <row r="79178" customFormat="1" x14ac:dyDescent="0.2"/>
    <row r="79179" customFormat="1" x14ac:dyDescent="0.2"/>
    <row r="79180" customFormat="1" x14ac:dyDescent="0.2"/>
    <row r="79181" customFormat="1" x14ac:dyDescent="0.2"/>
    <row r="79182" customFormat="1" x14ac:dyDescent="0.2"/>
    <row r="79183" customFormat="1" x14ac:dyDescent="0.2"/>
    <row r="79184" customFormat="1" x14ac:dyDescent="0.2"/>
    <row r="79185" customFormat="1" x14ac:dyDescent="0.2"/>
    <row r="79186" customFormat="1" x14ac:dyDescent="0.2"/>
    <row r="79187" customFormat="1" x14ac:dyDescent="0.2"/>
    <row r="79188" customFormat="1" x14ac:dyDescent="0.2"/>
    <row r="79189" customFormat="1" x14ac:dyDescent="0.2"/>
    <row r="79190" customFormat="1" x14ac:dyDescent="0.2"/>
    <row r="79191" customFormat="1" x14ac:dyDescent="0.2"/>
    <row r="79192" customFormat="1" x14ac:dyDescent="0.2"/>
    <row r="79193" customFormat="1" x14ac:dyDescent="0.2"/>
    <row r="79194" customFormat="1" x14ac:dyDescent="0.2"/>
    <row r="79195" customFormat="1" x14ac:dyDescent="0.2"/>
    <row r="79196" customFormat="1" x14ac:dyDescent="0.2"/>
    <row r="79197" customFormat="1" x14ac:dyDescent="0.2"/>
    <row r="79198" customFormat="1" x14ac:dyDescent="0.2"/>
    <row r="79199" customFormat="1" x14ac:dyDescent="0.2"/>
    <row r="79200" customFormat="1" x14ac:dyDescent="0.2"/>
    <row r="79201" customFormat="1" x14ac:dyDescent="0.2"/>
    <row r="79202" customFormat="1" x14ac:dyDescent="0.2"/>
    <row r="79203" customFormat="1" x14ac:dyDescent="0.2"/>
    <row r="79204" customFormat="1" x14ac:dyDescent="0.2"/>
    <row r="79205" customFormat="1" x14ac:dyDescent="0.2"/>
    <row r="79206" customFormat="1" x14ac:dyDescent="0.2"/>
    <row r="79207" customFormat="1" x14ac:dyDescent="0.2"/>
    <row r="79208" customFormat="1" x14ac:dyDescent="0.2"/>
    <row r="79209" customFormat="1" x14ac:dyDescent="0.2"/>
    <row r="79210" customFormat="1" x14ac:dyDescent="0.2"/>
    <row r="79211" customFormat="1" x14ac:dyDescent="0.2"/>
    <row r="79212" customFormat="1" x14ac:dyDescent="0.2"/>
    <row r="79213" customFormat="1" x14ac:dyDescent="0.2"/>
    <row r="79214" customFormat="1" x14ac:dyDescent="0.2"/>
    <row r="79215" customFormat="1" x14ac:dyDescent="0.2"/>
    <row r="79216" customFormat="1" x14ac:dyDescent="0.2"/>
    <row r="79217" customFormat="1" x14ac:dyDescent="0.2"/>
    <row r="79218" customFormat="1" x14ac:dyDescent="0.2"/>
    <row r="79219" customFormat="1" x14ac:dyDescent="0.2"/>
    <row r="79220" customFormat="1" x14ac:dyDescent="0.2"/>
    <row r="79221" customFormat="1" x14ac:dyDescent="0.2"/>
    <row r="79222" customFormat="1" x14ac:dyDescent="0.2"/>
    <row r="79223" customFormat="1" x14ac:dyDescent="0.2"/>
    <row r="79224" customFormat="1" x14ac:dyDescent="0.2"/>
    <row r="79225" customFormat="1" x14ac:dyDescent="0.2"/>
    <row r="79226" customFormat="1" x14ac:dyDescent="0.2"/>
    <row r="79227" customFormat="1" x14ac:dyDescent="0.2"/>
    <row r="79228" customFormat="1" x14ac:dyDescent="0.2"/>
    <row r="79229" customFormat="1" x14ac:dyDescent="0.2"/>
    <row r="79230" customFormat="1" x14ac:dyDescent="0.2"/>
    <row r="79231" customFormat="1" x14ac:dyDescent="0.2"/>
    <row r="79232" customFormat="1" x14ac:dyDescent="0.2"/>
    <row r="79233" customFormat="1" x14ac:dyDescent="0.2"/>
    <row r="79234" customFormat="1" x14ac:dyDescent="0.2"/>
    <row r="79235" customFormat="1" x14ac:dyDescent="0.2"/>
    <row r="79236" customFormat="1" x14ac:dyDescent="0.2"/>
    <row r="79237" customFormat="1" x14ac:dyDescent="0.2"/>
    <row r="79238" customFormat="1" x14ac:dyDescent="0.2"/>
    <row r="79239" customFormat="1" x14ac:dyDescent="0.2"/>
    <row r="79240" customFormat="1" x14ac:dyDescent="0.2"/>
    <row r="79241" customFormat="1" x14ac:dyDescent="0.2"/>
    <row r="79242" customFormat="1" x14ac:dyDescent="0.2"/>
    <row r="79243" customFormat="1" x14ac:dyDescent="0.2"/>
    <row r="79244" customFormat="1" x14ac:dyDescent="0.2"/>
    <row r="79245" customFormat="1" x14ac:dyDescent="0.2"/>
    <row r="79246" customFormat="1" x14ac:dyDescent="0.2"/>
    <row r="79247" customFormat="1" x14ac:dyDescent="0.2"/>
    <row r="79248" customFormat="1" x14ac:dyDescent="0.2"/>
    <row r="79249" customFormat="1" x14ac:dyDescent="0.2"/>
    <row r="79250" customFormat="1" x14ac:dyDescent="0.2"/>
    <row r="79251" customFormat="1" x14ac:dyDescent="0.2"/>
    <row r="79252" customFormat="1" x14ac:dyDescent="0.2"/>
    <row r="79253" customFormat="1" x14ac:dyDescent="0.2"/>
    <row r="79254" customFormat="1" x14ac:dyDescent="0.2"/>
    <row r="79255" customFormat="1" x14ac:dyDescent="0.2"/>
    <row r="79256" customFormat="1" x14ac:dyDescent="0.2"/>
    <row r="79257" customFormat="1" x14ac:dyDescent="0.2"/>
    <row r="79258" customFormat="1" x14ac:dyDescent="0.2"/>
    <row r="79259" customFormat="1" x14ac:dyDescent="0.2"/>
    <row r="79260" customFormat="1" x14ac:dyDescent="0.2"/>
    <row r="79261" customFormat="1" x14ac:dyDescent="0.2"/>
    <row r="79262" customFormat="1" x14ac:dyDescent="0.2"/>
    <row r="79263" customFormat="1" x14ac:dyDescent="0.2"/>
    <row r="79264" customFormat="1" x14ac:dyDescent="0.2"/>
    <row r="79265" customFormat="1" x14ac:dyDescent="0.2"/>
    <row r="79266" customFormat="1" x14ac:dyDescent="0.2"/>
    <row r="79267" customFormat="1" x14ac:dyDescent="0.2"/>
    <row r="79268" customFormat="1" x14ac:dyDescent="0.2"/>
    <row r="79269" customFormat="1" x14ac:dyDescent="0.2"/>
    <row r="79270" customFormat="1" x14ac:dyDescent="0.2"/>
    <row r="79271" customFormat="1" x14ac:dyDescent="0.2"/>
    <row r="79272" customFormat="1" x14ac:dyDescent="0.2"/>
    <row r="79273" customFormat="1" x14ac:dyDescent="0.2"/>
    <row r="79274" customFormat="1" x14ac:dyDescent="0.2"/>
    <row r="79275" customFormat="1" x14ac:dyDescent="0.2"/>
    <row r="79276" customFormat="1" x14ac:dyDescent="0.2"/>
    <row r="79277" customFormat="1" x14ac:dyDescent="0.2"/>
    <row r="79278" customFormat="1" x14ac:dyDescent="0.2"/>
    <row r="79279" customFormat="1" x14ac:dyDescent="0.2"/>
    <row r="79280" customFormat="1" x14ac:dyDescent="0.2"/>
    <row r="79281" customFormat="1" x14ac:dyDescent="0.2"/>
    <row r="79282" customFormat="1" x14ac:dyDescent="0.2"/>
    <row r="79283" customFormat="1" x14ac:dyDescent="0.2"/>
    <row r="79284" customFormat="1" x14ac:dyDescent="0.2"/>
    <row r="79285" customFormat="1" x14ac:dyDescent="0.2"/>
    <row r="79286" customFormat="1" x14ac:dyDescent="0.2"/>
    <row r="79287" customFormat="1" x14ac:dyDescent="0.2"/>
    <row r="79288" customFormat="1" x14ac:dyDescent="0.2"/>
    <row r="79289" customFormat="1" x14ac:dyDescent="0.2"/>
    <row r="79290" customFormat="1" x14ac:dyDescent="0.2"/>
    <row r="79291" customFormat="1" x14ac:dyDescent="0.2"/>
    <row r="79292" customFormat="1" x14ac:dyDescent="0.2"/>
    <row r="79293" customFormat="1" x14ac:dyDescent="0.2"/>
    <row r="79294" customFormat="1" x14ac:dyDescent="0.2"/>
    <row r="79295" customFormat="1" x14ac:dyDescent="0.2"/>
    <row r="79296" customFormat="1" x14ac:dyDescent="0.2"/>
    <row r="79297" customFormat="1" x14ac:dyDescent="0.2"/>
    <row r="79298" customFormat="1" x14ac:dyDescent="0.2"/>
    <row r="79299" customFormat="1" x14ac:dyDescent="0.2"/>
    <row r="79300" customFormat="1" x14ac:dyDescent="0.2"/>
    <row r="79301" customFormat="1" x14ac:dyDescent="0.2"/>
    <row r="79302" customFormat="1" x14ac:dyDescent="0.2"/>
    <row r="79303" customFormat="1" x14ac:dyDescent="0.2"/>
    <row r="79304" customFormat="1" x14ac:dyDescent="0.2"/>
    <row r="79305" customFormat="1" x14ac:dyDescent="0.2"/>
    <row r="79306" customFormat="1" x14ac:dyDescent="0.2"/>
    <row r="79307" customFormat="1" x14ac:dyDescent="0.2"/>
    <row r="79308" customFormat="1" x14ac:dyDescent="0.2"/>
    <row r="79309" customFormat="1" x14ac:dyDescent="0.2"/>
    <row r="79310" customFormat="1" x14ac:dyDescent="0.2"/>
    <row r="79311" customFormat="1" x14ac:dyDescent="0.2"/>
    <row r="79312" customFormat="1" x14ac:dyDescent="0.2"/>
    <row r="79313" customFormat="1" x14ac:dyDescent="0.2"/>
    <row r="79314" customFormat="1" x14ac:dyDescent="0.2"/>
    <row r="79315" customFormat="1" x14ac:dyDescent="0.2"/>
    <row r="79316" customFormat="1" x14ac:dyDescent="0.2"/>
    <row r="79317" customFormat="1" x14ac:dyDescent="0.2"/>
    <row r="79318" customFormat="1" x14ac:dyDescent="0.2"/>
    <row r="79319" customFormat="1" x14ac:dyDescent="0.2"/>
    <row r="79320" customFormat="1" x14ac:dyDescent="0.2"/>
    <row r="79321" customFormat="1" x14ac:dyDescent="0.2"/>
    <row r="79322" customFormat="1" x14ac:dyDescent="0.2"/>
    <row r="79323" customFormat="1" x14ac:dyDescent="0.2"/>
    <row r="79324" customFormat="1" x14ac:dyDescent="0.2"/>
    <row r="79325" customFormat="1" x14ac:dyDescent="0.2"/>
    <row r="79326" customFormat="1" x14ac:dyDescent="0.2"/>
    <row r="79327" customFormat="1" x14ac:dyDescent="0.2"/>
    <row r="79328" customFormat="1" x14ac:dyDescent="0.2"/>
    <row r="79329" customFormat="1" x14ac:dyDescent="0.2"/>
    <row r="79330" customFormat="1" x14ac:dyDescent="0.2"/>
    <row r="79331" customFormat="1" x14ac:dyDescent="0.2"/>
    <row r="79332" customFormat="1" x14ac:dyDescent="0.2"/>
    <row r="79333" customFormat="1" x14ac:dyDescent="0.2"/>
    <row r="79334" customFormat="1" x14ac:dyDescent="0.2"/>
    <row r="79335" customFormat="1" x14ac:dyDescent="0.2"/>
    <row r="79336" customFormat="1" x14ac:dyDescent="0.2"/>
    <row r="79337" customFormat="1" x14ac:dyDescent="0.2"/>
    <row r="79338" customFormat="1" x14ac:dyDescent="0.2"/>
    <row r="79339" customFormat="1" x14ac:dyDescent="0.2"/>
    <row r="79340" customFormat="1" x14ac:dyDescent="0.2"/>
    <row r="79341" customFormat="1" x14ac:dyDescent="0.2"/>
    <row r="79342" customFormat="1" x14ac:dyDescent="0.2"/>
    <row r="79343" customFormat="1" x14ac:dyDescent="0.2"/>
    <row r="79344" customFormat="1" x14ac:dyDescent="0.2"/>
    <row r="79345" customFormat="1" x14ac:dyDescent="0.2"/>
    <row r="79346" customFormat="1" x14ac:dyDescent="0.2"/>
    <row r="79347" customFormat="1" x14ac:dyDescent="0.2"/>
    <row r="79348" customFormat="1" x14ac:dyDescent="0.2"/>
    <row r="79349" customFormat="1" x14ac:dyDescent="0.2"/>
    <row r="79350" customFormat="1" x14ac:dyDescent="0.2"/>
    <row r="79351" customFormat="1" x14ac:dyDescent="0.2"/>
    <row r="79352" customFormat="1" x14ac:dyDescent="0.2"/>
    <row r="79353" customFormat="1" x14ac:dyDescent="0.2"/>
    <row r="79354" customFormat="1" x14ac:dyDescent="0.2"/>
    <row r="79355" customFormat="1" x14ac:dyDescent="0.2"/>
    <row r="79356" customFormat="1" x14ac:dyDescent="0.2"/>
    <row r="79357" customFormat="1" x14ac:dyDescent="0.2"/>
    <row r="79358" customFormat="1" x14ac:dyDescent="0.2"/>
    <row r="79359" customFormat="1" x14ac:dyDescent="0.2"/>
    <row r="79360" customFormat="1" x14ac:dyDescent="0.2"/>
    <row r="79361" customFormat="1" x14ac:dyDescent="0.2"/>
    <row r="79362" customFormat="1" x14ac:dyDescent="0.2"/>
    <row r="79363" customFormat="1" x14ac:dyDescent="0.2"/>
    <row r="79364" customFormat="1" x14ac:dyDescent="0.2"/>
    <row r="79365" customFormat="1" x14ac:dyDescent="0.2"/>
    <row r="79366" customFormat="1" x14ac:dyDescent="0.2"/>
    <row r="79367" customFormat="1" x14ac:dyDescent="0.2"/>
    <row r="79368" customFormat="1" x14ac:dyDescent="0.2"/>
    <row r="79369" customFormat="1" x14ac:dyDescent="0.2"/>
    <row r="79370" customFormat="1" x14ac:dyDescent="0.2"/>
    <row r="79371" customFormat="1" x14ac:dyDescent="0.2"/>
    <row r="79372" customFormat="1" x14ac:dyDescent="0.2"/>
    <row r="79373" customFormat="1" x14ac:dyDescent="0.2"/>
    <row r="79374" customFormat="1" x14ac:dyDescent="0.2"/>
    <row r="79375" customFormat="1" x14ac:dyDescent="0.2"/>
    <row r="79376" customFormat="1" x14ac:dyDescent="0.2"/>
    <row r="79377" customFormat="1" x14ac:dyDescent="0.2"/>
    <row r="79378" customFormat="1" x14ac:dyDescent="0.2"/>
    <row r="79379" customFormat="1" x14ac:dyDescent="0.2"/>
    <row r="79380" customFormat="1" x14ac:dyDescent="0.2"/>
    <row r="79381" customFormat="1" x14ac:dyDescent="0.2"/>
    <row r="79382" customFormat="1" x14ac:dyDescent="0.2"/>
    <row r="79383" customFormat="1" x14ac:dyDescent="0.2"/>
    <row r="79384" customFormat="1" x14ac:dyDescent="0.2"/>
    <row r="79385" customFormat="1" x14ac:dyDescent="0.2"/>
    <row r="79386" customFormat="1" x14ac:dyDescent="0.2"/>
    <row r="79387" customFormat="1" x14ac:dyDescent="0.2"/>
    <row r="79388" customFormat="1" x14ac:dyDescent="0.2"/>
    <row r="79389" customFormat="1" x14ac:dyDescent="0.2"/>
    <row r="79390" customFormat="1" x14ac:dyDescent="0.2"/>
    <row r="79391" customFormat="1" x14ac:dyDescent="0.2"/>
    <row r="79392" customFormat="1" x14ac:dyDescent="0.2"/>
    <row r="79393" customFormat="1" x14ac:dyDescent="0.2"/>
    <row r="79394" customFormat="1" x14ac:dyDescent="0.2"/>
    <row r="79395" customFormat="1" x14ac:dyDescent="0.2"/>
    <row r="79396" customFormat="1" x14ac:dyDescent="0.2"/>
    <row r="79397" customFormat="1" x14ac:dyDescent="0.2"/>
    <row r="79398" customFormat="1" x14ac:dyDescent="0.2"/>
    <row r="79399" customFormat="1" x14ac:dyDescent="0.2"/>
    <row r="79400" customFormat="1" x14ac:dyDescent="0.2"/>
    <row r="79401" customFormat="1" x14ac:dyDescent="0.2"/>
    <row r="79402" customFormat="1" x14ac:dyDescent="0.2"/>
    <row r="79403" customFormat="1" x14ac:dyDescent="0.2"/>
    <row r="79404" customFormat="1" x14ac:dyDescent="0.2"/>
    <row r="79405" customFormat="1" x14ac:dyDescent="0.2"/>
    <row r="79406" customFormat="1" x14ac:dyDescent="0.2"/>
    <row r="79407" customFormat="1" x14ac:dyDescent="0.2"/>
    <row r="79408" customFormat="1" x14ac:dyDescent="0.2"/>
    <row r="79409" customFormat="1" x14ac:dyDescent="0.2"/>
    <row r="79410" customFormat="1" x14ac:dyDescent="0.2"/>
    <row r="79411" customFormat="1" x14ac:dyDescent="0.2"/>
    <row r="79412" customFormat="1" x14ac:dyDescent="0.2"/>
    <row r="79413" customFormat="1" x14ac:dyDescent="0.2"/>
    <row r="79414" customFormat="1" x14ac:dyDescent="0.2"/>
    <row r="79415" customFormat="1" x14ac:dyDescent="0.2"/>
    <row r="79416" customFormat="1" x14ac:dyDescent="0.2"/>
    <row r="79417" customFormat="1" x14ac:dyDescent="0.2"/>
    <row r="79418" customFormat="1" x14ac:dyDescent="0.2"/>
    <row r="79419" customFormat="1" x14ac:dyDescent="0.2"/>
    <row r="79420" customFormat="1" x14ac:dyDescent="0.2"/>
    <row r="79421" customFormat="1" x14ac:dyDescent="0.2"/>
    <row r="79422" customFormat="1" x14ac:dyDescent="0.2"/>
    <row r="79423" customFormat="1" x14ac:dyDescent="0.2"/>
    <row r="79424" customFormat="1" x14ac:dyDescent="0.2"/>
    <row r="79425" customFormat="1" x14ac:dyDescent="0.2"/>
    <row r="79426" customFormat="1" x14ac:dyDescent="0.2"/>
    <row r="79427" customFormat="1" x14ac:dyDescent="0.2"/>
    <row r="79428" customFormat="1" x14ac:dyDescent="0.2"/>
    <row r="79429" customFormat="1" x14ac:dyDescent="0.2"/>
    <row r="79430" customFormat="1" x14ac:dyDescent="0.2"/>
    <row r="79431" customFormat="1" x14ac:dyDescent="0.2"/>
    <row r="79432" customFormat="1" x14ac:dyDescent="0.2"/>
    <row r="79433" customFormat="1" x14ac:dyDescent="0.2"/>
    <row r="79434" customFormat="1" x14ac:dyDescent="0.2"/>
    <row r="79435" customFormat="1" x14ac:dyDescent="0.2"/>
    <row r="79436" customFormat="1" x14ac:dyDescent="0.2"/>
    <row r="79437" customFormat="1" x14ac:dyDescent="0.2"/>
    <row r="79438" customFormat="1" x14ac:dyDescent="0.2"/>
    <row r="79439" customFormat="1" x14ac:dyDescent="0.2"/>
    <row r="79440" customFormat="1" x14ac:dyDescent="0.2"/>
    <row r="79441" customFormat="1" x14ac:dyDescent="0.2"/>
    <row r="79442" customFormat="1" x14ac:dyDescent="0.2"/>
    <row r="79443" customFormat="1" x14ac:dyDescent="0.2"/>
    <row r="79444" customFormat="1" x14ac:dyDescent="0.2"/>
    <row r="79445" customFormat="1" x14ac:dyDescent="0.2"/>
    <row r="79446" customFormat="1" x14ac:dyDescent="0.2"/>
    <row r="79447" customFormat="1" x14ac:dyDescent="0.2"/>
    <row r="79448" customFormat="1" x14ac:dyDescent="0.2"/>
    <row r="79449" customFormat="1" x14ac:dyDescent="0.2"/>
    <row r="79450" customFormat="1" x14ac:dyDescent="0.2"/>
    <row r="79451" customFormat="1" x14ac:dyDescent="0.2"/>
    <row r="79452" customFormat="1" x14ac:dyDescent="0.2"/>
    <row r="79453" customFormat="1" x14ac:dyDescent="0.2"/>
    <row r="79454" customFormat="1" x14ac:dyDescent="0.2"/>
    <row r="79455" customFormat="1" x14ac:dyDescent="0.2"/>
    <row r="79456" customFormat="1" x14ac:dyDescent="0.2"/>
    <row r="79457" customFormat="1" x14ac:dyDescent="0.2"/>
    <row r="79458" customFormat="1" x14ac:dyDescent="0.2"/>
    <row r="79459" customFormat="1" x14ac:dyDescent="0.2"/>
    <row r="79460" customFormat="1" x14ac:dyDescent="0.2"/>
    <row r="79461" customFormat="1" x14ac:dyDescent="0.2"/>
    <row r="79462" customFormat="1" x14ac:dyDescent="0.2"/>
    <row r="79463" customFormat="1" x14ac:dyDescent="0.2"/>
    <row r="79464" customFormat="1" x14ac:dyDescent="0.2"/>
    <row r="79465" customFormat="1" x14ac:dyDescent="0.2"/>
    <row r="79466" customFormat="1" x14ac:dyDescent="0.2"/>
    <row r="79467" customFormat="1" x14ac:dyDescent="0.2"/>
    <row r="79468" customFormat="1" x14ac:dyDescent="0.2"/>
    <row r="79469" customFormat="1" x14ac:dyDescent="0.2"/>
    <row r="79470" customFormat="1" x14ac:dyDescent="0.2"/>
    <row r="79471" customFormat="1" x14ac:dyDescent="0.2"/>
    <row r="79472" customFormat="1" x14ac:dyDescent="0.2"/>
    <row r="79473" customFormat="1" x14ac:dyDescent="0.2"/>
    <row r="79474" customFormat="1" x14ac:dyDescent="0.2"/>
    <row r="79475" customFormat="1" x14ac:dyDescent="0.2"/>
    <row r="79476" customFormat="1" x14ac:dyDescent="0.2"/>
    <row r="79477" customFormat="1" x14ac:dyDescent="0.2"/>
    <row r="79478" customFormat="1" x14ac:dyDescent="0.2"/>
    <row r="79479" customFormat="1" x14ac:dyDescent="0.2"/>
    <row r="79480" customFormat="1" x14ac:dyDescent="0.2"/>
    <row r="79481" customFormat="1" x14ac:dyDescent="0.2"/>
    <row r="79482" customFormat="1" x14ac:dyDescent="0.2"/>
    <row r="79483" customFormat="1" x14ac:dyDescent="0.2"/>
    <row r="79484" customFormat="1" x14ac:dyDescent="0.2"/>
    <row r="79485" customFormat="1" x14ac:dyDescent="0.2"/>
    <row r="79486" customFormat="1" x14ac:dyDescent="0.2"/>
    <row r="79487" customFormat="1" x14ac:dyDescent="0.2"/>
    <row r="79488" customFormat="1" x14ac:dyDescent="0.2"/>
    <row r="79489" customFormat="1" x14ac:dyDescent="0.2"/>
    <row r="79490" customFormat="1" x14ac:dyDescent="0.2"/>
    <row r="79491" customFormat="1" x14ac:dyDescent="0.2"/>
    <row r="79492" customFormat="1" x14ac:dyDescent="0.2"/>
    <row r="79493" customFormat="1" x14ac:dyDescent="0.2"/>
    <row r="79494" customFormat="1" x14ac:dyDescent="0.2"/>
    <row r="79495" customFormat="1" x14ac:dyDescent="0.2"/>
    <row r="79496" customFormat="1" x14ac:dyDescent="0.2"/>
    <row r="79497" customFormat="1" x14ac:dyDescent="0.2"/>
    <row r="79498" customFormat="1" x14ac:dyDescent="0.2"/>
    <row r="79499" customFormat="1" x14ac:dyDescent="0.2"/>
    <row r="79500" customFormat="1" x14ac:dyDescent="0.2"/>
    <row r="79501" customFormat="1" x14ac:dyDescent="0.2"/>
    <row r="79502" customFormat="1" x14ac:dyDescent="0.2"/>
    <row r="79503" customFormat="1" x14ac:dyDescent="0.2"/>
    <row r="79504" customFormat="1" x14ac:dyDescent="0.2"/>
    <row r="79505" customFormat="1" x14ac:dyDescent="0.2"/>
    <row r="79506" customFormat="1" x14ac:dyDescent="0.2"/>
    <row r="79507" customFormat="1" x14ac:dyDescent="0.2"/>
    <row r="79508" customFormat="1" x14ac:dyDescent="0.2"/>
    <row r="79509" customFormat="1" x14ac:dyDescent="0.2"/>
    <row r="79510" customFormat="1" x14ac:dyDescent="0.2"/>
    <row r="79511" customFormat="1" x14ac:dyDescent="0.2"/>
    <row r="79512" customFormat="1" x14ac:dyDescent="0.2"/>
    <row r="79513" customFormat="1" x14ac:dyDescent="0.2"/>
    <row r="79514" customFormat="1" x14ac:dyDescent="0.2"/>
    <row r="79515" customFormat="1" x14ac:dyDescent="0.2"/>
    <row r="79516" customFormat="1" x14ac:dyDescent="0.2"/>
    <row r="79517" customFormat="1" x14ac:dyDescent="0.2"/>
    <row r="79518" customFormat="1" x14ac:dyDescent="0.2"/>
    <row r="79519" customFormat="1" x14ac:dyDescent="0.2"/>
    <row r="79520" customFormat="1" x14ac:dyDescent="0.2"/>
    <row r="79521" customFormat="1" x14ac:dyDescent="0.2"/>
    <row r="79522" customFormat="1" x14ac:dyDescent="0.2"/>
    <row r="79523" customFormat="1" x14ac:dyDescent="0.2"/>
    <row r="79524" customFormat="1" x14ac:dyDescent="0.2"/>
    <row r="79525" customFormat="1" x14ac:dyDescent="0.2"/>
    <row r="79526" customFormat="1" x14ac:dyDescent="0.2"/>
    <row r="79527" customFormat="1" x14ac:dyDescent="0.2"/>
    <row r="79528" customFormat="1" x14ac:dyDescent="0.2"/>
    <row r="79529" customFormat="1" x14ac:dyDescent="0.2"/>
    <row r="79530" customFormat="1" x14ac:dyDescent="0.2"/>
    <row r="79531" customFormat="1" x14ac:dyDescent="0.2"/>
    <row r="79532" customFormat="1" x14ac:dyDescent="0.2"/>
    <row r="79533" customFormat="1" x14ac:dyDescent="0.2"/>
    <row r="79534" customFormat="1" x14ac:dyDescent="0.2"/>
    <row r="79535" customFormat="1" x14ac:dyDescent="0.2"/>
    <row r="79536" customFormat="1" x14ac:dyDescent="0.2"/>
    <row r="79537" customFormat="1" x14ac:dyDescent="0.2"/>
    <row r="79538" customFormat="1" x14ac:dyDescent="0.2"/>
    <row r="79539" customFormat="1" x14ac:dyDescent="0.2"/>
    <row r="79540" customFormat="1" x14ac:dyDescent="0.2"/>
    <row r="79541" customFormat="1" x14ac:dyDescent="0.2"/>
    <row r="79542" customFormat="1" x14ac:dyDescent="0.2"/>
    <row r="79543" customFormat="1" x14ac:dyDescent="0.2"/>
    <row r="79544" customFormat="1" x14ac:dyDescent="0.2"/>
    <row r="79545" customFormat="1" x14ac:dyDescent="0.2"/>
    <row r="79546" customFormat="1" x14ac:dyDescent="0.2"/>
    <row r="79547" customFormat="1" x14ac:dyDescent="0.2"/>
    <row r="79548" customFormat="1" x14ac:dyDescent="0.2"/>
    <row r="79549" customFormat="1" x14ac:dyDescent="0.2"/>
    <row r="79550" customFormat="1" x14ac:dyDescent="0.2"/>
    <row r="79551" customFormat="1" x14ac:dyDescent="0.2"/>
    <row r="79552" customFormat="1" x14ac:dyDescent="0.2"/>
    <row r="79553" customFormat="1" x14ac:dyDescent="0.2"/>
    <row r="79554" customFormat="1" x14ac:dyDescent="0.2"/>
    <row r="79555" customFormat="1" x14ac:dyDescent="0.2"/>
    <row r="79556" customFormat="1" x14ac:dyDescent="0.2"/>
    <row r="79557" customFormat="1" x14ac:dyDescent="0.2"/>
    <row r="79558" customFormat="1" x14ac:dyDescent="0.2"/>
    <row r="79559" customFormat="1" x14ac:dyDescent="0.2"/>
    <row r="79560" customFormat="1" x14ac:dyDescent="0.2"/>
    <row r="79561" customFormat="1" x14ac:dyDescent="0.2"/>
    <row r="79562" customFormat="1" x14ac:dyDescent="0.2"/>
    <row r="79563" customFormat="1" x14ac:dyDescent="0.2"/>
    <row r="79564" customFormat="1" x14ac:dyDescent="0.2"/>
    <row r="79565" customFormat="1" x14ac:dyDescent="0.2"/>
    <row r="79566" customFormat="1" x14ac:dyDescent="0.2"/>
    <row r="79567" customFormat="1" x14ac:dyDescent="0.2"/>
    <row r="79568" customFormat="1" x14ac:dyDescent="0.2"/>
    <row r="79569" customFormat="1" x14ac:dyDescent="0.2"/>
    <row r="79570" customFormat="1" x14ac:dyDescent="0.2"/>
    <row r="79571" customFormat="1" x14ac:dyDescent="0.2"/>
    <row r="79572" customFormat="1" x14ac:dyDescent="0.2"/>
    <row r="79573" customFormat="1" x14ac:dyDescent="0.2"/>
    <row r="79574" customFormat="1" x14ac:dyDescent="0.2"/>
    <row r="79575" customFormat="1" x14ac:dyDescent="0.2"/>
    <row r="79576" customFormat="1" x14ac:dyDescent="0.2"/>
    <row r="79577" customFormat="1" x14ac:dyDescent="0.2"/>
    <row r="79578" customFormat="1" x14ac:dyDescent="0.2"/>
    <row r="79579" customFormat="1" x14ac:dyDescent="0.2"/>
    <row r="79580" customFormat="1" x14ac:dyDescent="0.2"/>
    <row r="79581" customFormat="1" x14ac:dyDescent="0.2"/>
    <row r="79582" customFormat="1" x14ac:dyDescent="0.2"/>
    <row r="79583" customFormat="1" x14ac:dyDescent="0.2"/>
    <row r="79584" customFormat="1" x14ac:dyDescent="0.2"/>
    <row r="79585" customFormat="1" x14ac:dyDescent="0.2"/>
    <row r="79586" customFormat="1" x14ac:dyDescent="0.2"/>
    <row r="79587" customFormat="1" x14ac:dyDescent="0.2"/>
    <row r="79588" customFormat="1" x14ac:dyDescent="0.2"/>
    <row r="79589" customFormat="1" x14ac:dyDescent="0.2"/>
    <row r="79590" customFormat="1" x14ac:dyDescent="0.2"/>
    <row r="79591" customFormat="1" x14ac:dyDescent="0.2"/>
    <row r="79592" customFormat="1" x14ac:dyDescent="0.2"/>
    <row r="79593" customFormat="1" x14ac:dyDescent="0.2"/>
    <row r="79594" customFormat="1" x14ac:dyDescent="0.2"/>
    <row r="79595" customFormat="1" x14ac:dyDescent="0.2"/>
    <row r="79596" customFormat="1" x14ac:dyDescent="0.2"/>
    <row r="79597" customFormat="1" x14ac:dyDescent="0.2"/>
    <row r="79598" customFormat="1" x14ac:dyDescent="0.2"/>
    <row r="79599" customFormat="1" x14ac:dyDescent="0.2"/>
    <row r="79600" customFormat="1" x14ac:dyDescent="0.2"/>
    <row r="79601" customFormat="1" x14ac:dyDescent="0.2"/>
    <row r="79602" customFormat="1" x14ac:dyDescent="0.2"/>
    <row r="79603" customFormat="1" x14ac:dyDescent="0.2"/>
    <row r="79604" customFormat="1" x14ac:dyDescent="0.2"/>
    <row r="79605" customFormat="1" x14ac:dyDescent="0.2"/>
    <row r="79606" customFormat="1" x14ac:dyDescent="0.2"/>
    <row r="79607" customFormat="1" x14ac:dyDescent="0.2"/>
    <row r="79608" customFormat="1" x14ac:dyDescent="0.2"/>
    <row r="79609" customFormat="1" x14ac:dyDescent="0.2"/>
    <row r="79610" customFormat="1" x14ac:dyDescent="0.2"/>
    <row r="79611" customFormat="1" x14ac:dyDescent="0.2"/>
    <row r="79612" customFormat="1" x14ac:dyDescent="0.2"/>
    <row r="79613" customFormat="1" x14ac:dyDescent="0.2"/>
    <row r="79614" customFormat="1" x14ac:dyDescent="0.2"/>
    <row r="79615" customFormat="1" x14ac:dyDescent="0.2"/>
    <row r="79616" customFormat="1" x14ac:dyDescent="0.2"/>
    <row r="79617" customFormat="1" x14ac:dyDescent="0.2"/>
    <row r="79618" customFormat="1" x14ac:dyDescent="0.2"/>
    <row r="79619" customFormat="1" x14ac:dyDescent="0.2"/>
    <row r="79620" customFormat="1" x14ac:dyDescent="0.2"/>
    <row r="79621" customFormat="1" x14ac:dyDescent="0.2"/>
    <row r="79622" customFormat="1" x14ac:dyDescent="0.2"/>
    <row r="79623" customFormat="1" x14ac:dyDescent="0.2"/>
    <row r="79624" customFormat="1" x14ac:dyDescent="0.2"/>
    <row r="79625" customFormat="1" x14ac:dyDescent="0.2"/>
    <row r="79626" customFormat="1" x14ac:dyDescent="0.2"/>
    <row r="79627" customFormat="1" x14ac:dyDescent="0.2"/>
    <row r="79628" customFormat="1" x14ac:dyDescent="0.2"/>
    <row r="79629" customFormat="1" x14ac:dyDescent="0.2"/>
    <row r="79630" customFormat="1" x14ac:dyDescent="0.2"/>
    <row r="79631" customFormat="1" x14ac:dyDescent="0.2"/>
    <row r="79632" customFormat="1" x14ac:dyDescent="0.2"/>
    <row r="79633" customFormat="1" x14ac:dyDescent="0.2"/>
    <row r="79634" customFormat="1" x14ac:dyDescent="0.2"/>
    <row r="79635" customFormat="1" x14ac:dyDescent="0.2"/>
    <row r="79636" customFormat="1" x14ac:dyDescent="0.2"/>
    <row r="79637" customFormat="1" x14ac:dyDescent="0.2"/>
    <row r="79638" customFormat="1" x14ac:dyDescent="0.2"/>
    <row r="79639" customFormat="1" x14ac:dyDescent="0.2"/>
    <row r="79640" customFormat="1" x14ac:dyDescent="0.2"/>
    <row r="79641" customFormat="1" x14ac:dyDescent="0.2"/>
    <row r="79642" customFormat="1" x14ac:dyDescent="0.2"/>
    <row r="79643" customFormat="1" x14ac:dyDescent="0.2"/>
    <row r="79644" customFormat="1" x14ac:dyDescent="0.2"/>
    <row r="79645" customFormat="1" x14ac:dyDescent="0.2"/>
    <row r="79646" customFormat="1" x14ac:dyDescent="0.2"/>
    <row r="79647" customFormat="1" x14ac:dyDescent="0.2"/>
    <row r="79648" customFormat="1" x14ac:dyDescent="0.2"/>
    <row r="79649" customFormat="1" x14ac:dyDescent="0.2"/>
    <row r="79650" customFormat="1" x14ac:dyDescent="0.2"/>
    <row r="79651" customFormat="1" x14ac:dyDescent="0.2"/>
    <row r="79652" customFormat="1" x14ac:dyDescent="0.2"/>
    <row r="79653" customFormat="1" x14ac:dyDescent="0.2"/>
    <row r="79654" customFormat="1" x14ac:dyDescent="0.2"/>
    <row r="79655" customFormat="1" x14ac:dyDescent="0.2"/>
    <row r="79656" customFormat="1" x14ac:dyDescent="0.2"/>
    <row r="79657" customFormat="1" x14ac:dyDescent="0.2"/>
    <row r="79658" customFormat="1" x14ac:dyDescent="0.2"/>
    <row r="79659" customFormat="1" x14ac:dyDescent="0.2"/>
    <row r="79660" customFormat="1" x14ac:dyDescent="0.2"/>
    <row r="79661" customFormat="1" x14ac:dyDescent="0.2"/>
    <row r="79662" customFormat="1" x14ac:dyDescent="0.2"/>
    <row r="79663" customFormat="1" x14ac:dyDescent="0.2"/>
    <row r="79664" customFormat="1" x14ac:dyDescent="0.2"/>
    <row r="79665" customFormat="1" x14ac:dyDescent="0.2"/>
    <row r="79666" customFormat="1" x14ac:dyDescent="0.2"/>
    <row r="79667" customFormat="1" x14ac:dyDescent="0.2"/>
    <row r="79668" customFormat="1" x14ac:dyDescent="0.2"/>
    <row r="79669" customFormat="1" x14ac:dyDescent="0.2"/>
    <row r="79670" customFormat="1" x14ac:dyDescent="0.2"/>
    <row r="79671" customFormat="1" x14ac:dyDescent="0.2"/>
    <row r="79672" customFormat="1" x14ac:dyDescent="0.2"/>
    <row r="79673" customFormat="1" x14ac:dyDescent="0.2"/>
    <row r="79674" customFormat="1" x14ac:dyDescent="0.2"/>
    <row r="79675" customFormat="1" x14ac:dyDescent="0.2"/>
    <row r="79676" customFormat="1" x14ac:dyDescent="0.2"/>
    <row r="79677" customFormat="1" x14ac:dyDescent="0.2"/>
    <row r="79678" customFormat="1" x14ac:dyDescent="0.2"/>
    <row r="79679" customFormat="1" x14ac:dyDescent="0.2"/>
    <row r="79680" customFormat="1" x14ac:dyDescent="0.2"/>
    <row r="79681" customFormat="1" x14ac:dyDescent="0.2"/>
    <row r="79682" customFormat="1" x14ac:dyDescent="0.2"/>
    <row r="79683" customFormat="1" x14ac:dyDescent="0.2"/>
    <row r="79684" customFormat="1" x14ac:dyDescent="0.2"/>
    <row r="79685" customFormat="1" x14ac:dyDescent="0.2"/>
    <row r="79686" customFormat="1" x14ac:dyDescent="0.2"/>
    <row r="79687" customFormat="1" x14ac:dyDescent="0.2"/>
    <row r="79688" customFormat="1" x14ac:dyDescent="0.2"/>
    <row r="79689" customFormat="1" x14ac:dyDescent="0.2"/>
    <row r="79690" customFormat="1" x14ac:dyDescent="0.2"/>
    <row r="79691" customFormat="1" x14ac:dyDescent="0.2"/>
    <row r="79692" customFormat="1" x14ac:dyDescent="0.2"/>
    <row r="79693" customFormat="1" x14ac:dyDescent="0.2"/>
    <row r="79694" customFormat="1" x14ac:dyDescent="0.2"/>
    <row r="79695" customFormat="1" x14ac:dyDescent="0.2"/>
    <row r="79696" customFormat="1" x14ac:dyDescent="0.2"/>
    <row r="79697" customFormat="1" x14ac:dyDescent="0.2"/>
    <row r="79698" customFormat="1" x14ac:dyDescent="0.2"/>
    <row r="79699" customFormat="1" x14ac:dyDescent="0.2"/>
    <row r="79700" customFormat="1" x14ac:dyDescent="0.2"/>
    <row r="79701" customFormat="1" x14ac:dyDescent="0.2"/>
    <row r="79702" customFormat="1" x14ac:dyDescent="0.2"/>
    <row r="79703" customFormat="1" x14ac:dyDescent="0.2"/>
    <row r="79704" customFormat="1" x14ac:dyDescent="0.2"/>
    <row r="79705" customFormat="1" x14ac:dyDescent="0.2"/>
    <row r="79706" customFormat="1" x14ac:dyDescent="0.2"/>
    <row r="79707" customFormat="1" x14ac:dyDescent="0.2"/>
    <row r="79708" customFormat="1" x14ac:dyDescent="0.2"/>
    <row r="79709" customFormat="1" x14ac:dyDescent="0.2"/>
    <row r="79710" customFormat="1" x14ac:dyDescent="0.2"/>
    <row r="79711" customFormat="1" x14ac:dyDescent="0.2"/>
    <row r="79712" customFormat="1" x14ac:dyDescent="0.2"/>
    <row r="79713" customFormat="1" x14ac:dyDescent="0.2"/>
    <row r="79714" customFormat="1" x14ac:dyDescent="0.2"/>
    <row r="79715" customFormat="1" x14ac:dyDescent="0.2"/>
    <row r="79716" customFormat="1" x14ac:dyDescent="0.2"/>
    <row r="79717" customFormat="1" x14ac:dyDescent="0.2"/>
    <row r="79718" customFormat="1" x14ac:dyDescent="0.2"/>
    <row r="79719" customFormat="1" x14ac:dyDescent="0.2"/>
    <row r="79720" customFormat="1" x14ac:dyDescent="0.2"/>
    <row r="79721" customFormat="1" x14ac:dyDescent="0.2"/>
    <row r="79722" customFormat="1" x14ac:dyDescent="0.2"/>
    <row r="79723" customFormat="1" x14ac:dyDescent="0.2"/>
    <row r="79724" customFormat="1" x14ac:dyDescent="0.2"/>
    <row r="79725" customFormat="1" x14ac:dyDescent="0.2"/>
    <row r="79726" customFormat="1" x14ac:dyDescent="0.2"/>
    <row r="79727" customFormat="1" x14ac:dyDescent="0.2"/>
    <row r="79728" customFormat="1" x14ac:dyDescent="0.2"/>
    <row r="79729" customFormat="1" x14ac:dyDescent="0.2"/>
    <row r="79730" customFormat="1" x14ac:dyDescent="0.2"/>
    <row r="79731" customFormat="1" x14ac:dyDescent="0.2"/>
    <row r="79732" customFormat="1" x14ac:dyDescent="0.2"/>
    <row r="79733" customFormat="1" x14ac:dyDescent="0.2"/>
    <row r="79734" customFormat="1" x14ac:dyDescent="0.2"/>
    <row r="79735" customFormat="1" x14ac:dyDescent="0.2"/>
    <row r="79736" customFormat="1" x14ac:dyDescent="0.2"/>
    <row r="79737" customFormat="1" x14ac:dyDescent="0.2"/>
    <row r="79738" customFormat="1" x14ac:dyDescent="0.2"/>
    <row r="79739" customFormat="1" x14ac:dyDescent="0.2"/>
    <row r="79740" customFormat="1" x14ac:dyDescent="0.2"/>
    <row r="79741" customFormat="1" x14ac:dyDescent="0.2"/>
    <row r="79742" customFormat="1" x14ac:dyDescent="0.2"/>
    <row r="79743" customFormat="1" x14ac:dyDescent="0.2"/>
    <row r="79744" customFormat="1" x14ac:dyDescent="0.2"/>
    <row r="79745" customFormat="1" x14ac:dyDescent="0.2"/>
    <row r="79746" customFormat="1" x14ac:dyDescent="0.2"/>
    <row r="79747" customFormat="1" x14ac:dyDescent="0.2"/>
    <row r="79748" customFormat="1" x14ac:dyDescent="0.2"/>
    <row r="79749" customFormat="1" x14ac:dyDescent="0.2"/>
    <row r="79750" customFormat="1" x14ac:dyDescent="0.2"/>
    <row r="79751" customFormat="1" x14ac:dyDescent="0.2"/>
    <row r="79752" customFormat="1" x14ac:dyDescent="0.2"/>
    <row r="79753" customFormat="1" x14ac:dyDescent="0.2"/>
    <row r="79754" customFormat="1" x14ac:dyDescent="0.2"/>
    <row r="79755" customFormat="1" x14ac:dyDescent="0.2"/>
    <row r="79756" customFormat="1" x14ac:dyDescent="0.2"/>
    <row r="79757" customFormat="1" x14ac:dyDescent="0.2"/>
    <row r="79758" customFormat="1" x14ac:dyDescent="0.2"/>
    <row r="79759" customFormat="1" x14ac:dyDescent="0.2"/>
    <row r="79760" customFormat="1" x14ac:dyDescent="0.2"/>
    <row r="79761" customFormat="1" x14ac:dyDescent="0.2"/>
    <row r="79762" customFormat="1" x14ac:dyDescent="0.2"/>
    <row r="79763" customFormat="1" x14ac:dyDescent="0.2"/>
    <row r="79764" customFormat="1" x14ac:dyDescent="0.2"/>
    <row r="79765" customFormat="1" x14ac:dyDescent="0.2"/>
    <row r="79766" customFormat="1" x14ac:dyDescent="0.2"/>
    <row r="79767" customFormat="1" x14ac:dyDescent="0.2"/>
    <row r="79768" customFormat="1" x14ac:dyDescent="0.2"/>
    <row r="79769" customFormat="1" x14ac:dyDescent="0.2"/>
    <row r="79770" customFormat="1" x14ac:dyDescent="0.2"/>
    <row r="79771" customFormat="1" x14ac:dyDescent="0.2"/>
    <row r="79772" customFormat="1" x14ac:dyDescent="0.2"/>
    <row r="79773" customFormat="1" x14ac:dyDescent="0.2"/>
    <row r="79774" customFormat="1" x14ac:dyDescent="0.2"/>
    <row r="79775" customFormat="1" x14ac:dyDescent="0.2"/>
    <row r="79776" customFormat="1" x14ac:dyDescent="0.2"/>
    <row r="79777" customFormat="1" x14ac:dyDescent="0.2"/>
    <row r="79778" customFormat="1" x14ac:dyDescent="0.2"/>
    <row r="79779" customFormat="1" x14ac:dyDescent="0.2"/>
    <row r="79780" customFormat="1" x14ac:dyDescent="0.2"/>
    <row r="79781" customFormat="1" x14ac:dyDescent="0.2"/>
    <row r="79782" customFormat="1" x14ac:dyDescent="0.2"/>
    <row r="79783" customFormat="1" x14ac:dyDescent="0.2"/>
    <row r="79784" customFormat="1" x14ac:dyDescent="0.2"/>
    <row r="79785" customFormat="1" x14ac:dyDescent="0.2"/>
    <row r="79786" customFormat="1" x14ac:dyDescent="0.2"/>
    <row r="79787" customFormat="1" x14ac:dyDescent="0.2"/>
    <row r="79788" customFormat="1" x14ac:dyDescent="0.2"/>
    <row r="79789" customFormat="1" x14ac:dyDescent="0.2"/>
    <row r="79790" customFormat="1" x14ac:dyDescent="0.2"/>
    <row r="79791" customFormat="1" x14ac:dyDescent="0.2"/>
    <row r="79792" customFormat="1" x14ac:dyDescent="0.2"/>
    <row r="79793" customFormat="1" x14ac:dyDescent="0.2"/>
    <row r="79794" customFormat="1" x14ac:dyDescent="0.2"/>
    <row r="79795" customFormat="1" x14ac:dyDescent="0.2"/>
    <row r="79796" customFormat="1" x14ac:dyDescent="0.2"/>
    <row r="79797" customFormat="1" x14ac:dyDescent="0.2"/>
    <row r="79798" customFormat="1" x14ac:dyDescent="0.2"/>
    <row r="79799" customFormat="1" x14ac:dyDescent="0.2"/>
    <row r="79800" customFormat="1" x14ac:dyDescent="0.2"/>
    <row r="79801" customFormat="1" x14ac:dyDescent="0.2"/>
    <row r="79802" customFormat="1" x14ac:dyDescent="0.2"/>
    <row r="79803" customFormat="1" x14ac:dyDescent="0.2"/>
    <row r="79804" customFormat="1" x14ac:dyDescent="0.2"/>
    <row r="79805" customFormat="1" x14ac:dyDescent="0.2"/>
    <row r="79806" customFormat="1" x14ac:dyDescent="0.2"/>
    <row r="79807" customFormat="1" x14ac:dyDescent="0.2"/>
    <row r="79808" customFormat="1" x14ac:dyDescent="0.2"/>
    <row r="79809" customFormat="1" x14ac:dyDescent="0.2"/>
    <row r="79810" customFormat="1" x14ac:dyDescent="0.2"/>
    <row r="79811" customFormat="1" x14ac:dyDescent="0.2"/>
    <row r="79812" customFormat="1" x14ac:dyDescent="0.2"/>
    <row r="79813" customFormat="1" x14ac:dyDescent="0.2"/>
    <row r="79814" customFormat="1" x14ac:dyDescent="0.2"/>
    <row r="79815" customFormat="1" x14ac:dyDescent="0.2"/>
    <row r="79816" customFormat="1" x14ac:dyDescent="0.2"/>
    <row r="79817" customFormat="1" x14ac:dyDescent="0.2"/>
    <row r="79818" customFormat="1" x14ac:dyDescent="0.2"/>
    <row r="79819" customFormat="1" x14ac:dyDescent="0.2"/>
    <row r="79820" customFormat="1" x14ac:dyDescent="0.2"/>
    <row r="79821" customFormat="1" x14ac:dyDescent="0.2"/>
    <row r="79822" customFormat="1" x14ac:dyDescent="0.2"/>
    <row r="79823" customFormat="1" x14ac:dyDescent="0.2"/>
    <row r="79824" customFormat="1" x14ac:dyDescent="0.2"/>
    <row r="79825" customFormat="1" x14ac:dyDescent="0.2"/>
    <row r="79826" customFormat="1" x14ac:dyDescent="0.2"/>
    <row r="79827" customFormat="1" x14ac:dyDescent="0.2"/>
    <row r="79828" customFormat="1" x14ac:dyDescent="0.2"/>
    <row r="79829" customFormat="1" x14ac:dyDescent="0.2"/>
    <row r="79830" customFormat="1" x14ac:dyDescent="0.2"/>
    <row r="79831" customFormat="1" x14ac:dyDescent="0.2"/>
    <row r="79832" customFormat="1" x14ac:dyDescent="0.2"/>
    <row r="79833" customFormat="1" x14ac:dyDescent="0.2"/>
    <row r="79834" customFormat="1" x14ac:dyDescent="0.2"/>
    <row r="79835" customFormat="1" x14ac:dyDescent="0.2"/>
    <row r="79836" customFormat="1" x14ac:dyDescent="0.2"/>
    <row r="79837" customFormat="1" x14ac:dyDescent="0.2"/>
    <row r="79838" customFormat="1" x14ac:dyDescent="0.2"/>
    <row r="79839" customFormat="1" x14ac:dyDescent="0.2"/>
    <row r="79840" customFormat="1" x14ac:dyDescent="0.2"/>
    <row r="79841" customFormat="1" x14ac:dyDescent="0.2"/>
    <row r="79842" customFormat="1" x14ac:dyDescent="0.2"/>
    <row r="79843" customFormat="1" x14ac:dyDescent="0.2"/>
    <row r="79844" customFormat="1" x14ac:dyDescent="0.2"/>
    <row r="79845" customFormat="1" x14ac:dyDescent="0.2"/>
    <row r="79846" customFormat="1" x14ac:dyDescent="0.2"/>
    <row r="79847" customFormat="1" x14ac:dyDescent="0.2"/>
    <row r="79848" customFormat="1" x14ac:dyDescent="0.2"/>
    <row r="79849" customFormat="1" x14ac:dyDescent="0.2"/>
    <row r="79850" customFormat="1" x14ac:dyDescent="0.2"/>
    <row r="79851" customFormat="1" x14ac:dyDescent="0.2"/>
    <row r="79852" customFormat="1" x14ac:dyDescent="0.2"/>
    <row r="79853" customFormat="1" x14ac:dyDescent="0.2"/>
    <row r="79854" customFormat="1" x14ac:dyDescent="0.2"/>
    <row r="79855" customFormat="1" x14ac:dyDescent="0.2"/>
    <row r="79856" customFormat="1" x14ac:dyDescent="0.2"/>
    <row r="79857" customFormat="1" x14ac:dyDescent="0.2"/>
    <row r="79858" customFormat="1" x14ac:dyDescent="0.2"/>
    <row r="79859" customFormat="1" x14ac:dyDescent="0.2"/>
    <row r="79860" customFormat="1" x14ac:dyDescent="0.2"/>
    <row r="79861" customFormat="1" x14ac:dyDescent="0.2"/>
    <row r="79862" customFormat="1" x14ac:dyDescent="0.2"/>
    <row r="79863" customFormat="1" x14ac:dyDescent="0.2"/>
    <row r="79864" customFormat="1" x14ac:dyDescent="0.2"/>
    <row r="79865" customFormat="1" x14ac:dyDescent="0.2"/>
    <row r="79866" customFormat="1" x14ac:dyDescent="0.2"/>
    <row r="79867" customFormat="1" x14ac:dyDescent="0.2"/>
    <row r="79868" customFormat="1" x14ac:dyDescent="0.2"/>
    <row r="79869" customFormat="1" x14ac:dyDescent="0.2"/>
    <row r="79870" customFormat="1" x14ac:dyDescent="0.2"/>
    <row r="79871" customFormat="1" x14ac:dyDescent="0.2"/>
    <row r="79872" customFormat="1" x14ac:dyDescent="0.2"/>
    <row r="79873" customFormat="1" x14ac:dyDescent="0.2"/>
    <row r="79874" customFormat="1" x14ac:dyDescent="0.2"/>
    <row r="79875" customFormat="1" x14ac:dyDescent="0.2"/>
    <row r="79876" customFormat="1" x14ac:dyDescent="0.2"/>
    <row r="79877" customFormat="1" x14ac:dyDescent="0.2"/>
    <row r="79878" customFormat="1" x14ac:dyDescent="0.2"/>
    <row r="79879" customFormat="1" x14ac:dyDescent="0.2"/>
    <row r="79880" customFormat="1" x14ac:dyDescent="0.2"/>
    <row r="79881" customFormat="1" x14ac:dyDescent="0.2"/>
    <row r="79882" customFormat="1" x14ac:dyDescent="0.2"/>
    <row r="79883" customFormat="1" x14ac:dyDescent="0.2"/>
    <row r="79884" customFormat="1" x14ac:dyDescent="0.2"/>
    <row r="79885" customFormat="1" x14ac:dyDescent="0.2"/>
    <row r="79886" customFormat="1" x14ac:dyDescent="0.2"/>
    <row r="79887" customFormat="1" x14ac:dyDescent="0.2"/>
    <row r="79888" customFormat="1" x14ac:dyDescent="0.2"/>
    <row r="79889" customFormat="1" x14ac:dyDescent="0.2"/>
    <row r="79890" customFormat="1" x14ac:dyDescent="0.2"/>
    <row r="79891" customFormat="1" x14ac:dyDescent="0.2"/>
    <row r="79892" customFormat="1" x14ac:dyDescent="0.2"/>
    <row r="79893" customFormat="1" x14ac:dyDescent="0.2"/>
    <row r="79894" customFormat="1" x14ac:dyDescent="0.2"/>
    <row r="79895" customFormat="1" x14ac:dyDescent="0.2"/>
    <row r="79896" customFormat="1" x14ac:dyDescent="0.2"/>
    <row r="79897" customFormat="1" x14ac:dyDescent="0.2"/>
    <row r="79898" customFormat="1" x14ac:dyDescent="0.2"/>
    <row r="79899" customFormat="1" x14ac:dyDescent="0.2"/>
    <row r="79900" customFormat="1" x14ac:dyDescent="0.2"/>
    <row r="79901" customFormat="1" x14ac:dyDescent="0.2"/>
    <row r="79902" customFormat="1" x14ac:dyDescent="0.2"/>
    <row r="79903" customFormat="1" x14ac:dyDescent="0.2"/>
    <row r="79904" customFormat="1" x14ac:dyDescent="0.2"/>
    <row r="79905" customFormat="1" x14ac:dyDescent="0.2"/>
    <row r="79906" customFormat="1" x14ac:dyDescent="0.2"/>
    <row r="79907" customFormat="1" x14ac:dyDescent="0.2"/>
    <row r="79908" customFormat="1" x14ac:dyDescent="0.2"/>
    <row r="79909" customFormat="1" x14ac:dyDescent="0.2"/>
    <row r="79910" customFormat="1" x14ac:dyDescent="0.2"/>
    <row r="79911" customFormat="1" x14ac:dyDescent="0.2"/>
    <row r="79912" customFormat="1" x14ac:dyDescent="0.2"/>
    <row r="79913" customFormat="1" x14ac:dyDescent="0.2"/>
    <row r="79914" customFormat="1" x14ac:dyDescent="0.2"/>
    <row r="79915" customFormat="1" x14ac:dyDescent="0.2"/>
    <row r="79916" customFormat="1" x14ac:dyDescent="0.2"/>
    <row r="79917" customFormat="1" x14ac:dyDescent="0.2"/>
    <row r="79918" customFormat="1" x14ac:dyDescent="0.2"/>
    <row r="79919" customFormat="1" x14ac:dyDescent="0.2"/>
    <row r="79920" customFormat="1" x14ac:dyDescent="0.2"/>
    <row r="79921" customFormat="1" x14ac:dyDescent="0.2"/>
    <row r="79922" customFormat="1" x14ac:dyDescent="0.2"/>
    <row r="79923" customFormat="1" x14ac:dyDescent="0.2"/>
    <row r="79924" customFormat="1" x14ac:dyDescent="0.2"/>
    <row r="79925" customFormat="1" x14ac:dyDescent="0.2"/>
    <row r="79926" customFormat="1" x14ac:dyDescent="0.2"/>
    <row r="79927" customFormat="1" x14ac:dyDescent="0.2"/>
    <row r="79928" customFormat="1" x14ac:dyDescent="0.2"/>
    <row r="79929" customFormat="1" x14ac:dyDescent="0.2"/>
    <row r="79930" customFormat="1" x14ac:dyDescent="0.2"/>
    <row r="79931" customFormat="1" x14ac:dyDescent="0.2"/>
    <row r="79932" customFormat="1" x14ac:dyDescent="0.2"/>
    <row r="79933" customFormat="1" x14ac:dyDescent="0.2"/>
    <row r="79934" customFormat="1" x14ac:dyDescent="0.2"/>
    <row r="79935" customFormat="1" x14ac:dyDescent="0.2"/>
    <row r="79936" customFormat="1" x14ac:dyDescent="0.2"/>
    <row r="79937" customFormat="1" x14ac:dyDescent="0.2"/>
    <row r="79938" customFormat="1" x14ac:dyDescent="0.2"/>
    <row r="79939" customFormat="1" x14ac:dyDescent="0.2"/>
    <row r="79940" customFormat="1" x14ac:dyDescent="0.2"/>
    <row r="79941" customFormat="1" x14ac:dyDescent="0.2"/>
    <row r="79942" customFormat="1" x14ac:dyDescent="0.2"/>
    <row r="79943" customFormat="1" x14ac:dyDescent="0.2"/>
    <row r="79944" customFormat="1" x14ac:dyDescent="0.2"/>
    <row r="79945" customFormat="1" x14ac:dyDescent="0.2"/>
    <row r="79946" customFormat="1" x14ac:dyDescent="0.2"/>
    <row r="79947" customFormat="1" x14ac:dyDescent="0.2"/>
    <row r="79948" customFormat="1" x14ac:dyDescent="0.2"/>
    <row r="79949" customFormat="1" x14ac:dyDescent="0.2"/>
    <row r="79950" customFormat="1" x14ac:dyDescent="0.2"/>
    <row r="79951" customFormat="1" x14ac:dyDescent="0.2"/>
    <row r="79952" customFormat="1" x14ac:dyDescent="0.2"/>
    <row r="79953" customFormat="1" x14ac:dyDescent="0.2"/>
    <row r="79954" customFormat="1" x14ac:dyDescent="0.2"/>
    <row r="79955" customFormat="1" x14ac:dyDescent="0.2"/>
    <row r="79956" customFormat="1" x14ac:dyDescent="0.2"/>
    <row r="79957" customFormat="1" x14ac:dyDescent="0.2"/>
    <row r="79958" customFormat="1" x14ac:dyDescent="0.2"/>
    <row r="79959" customFormat="1" x14ac:dyDescent="0.2"/>
    <row r="79960" customFormat="1" x14ac:dyDescent="0.2"/>
    <row r="79961" customFormat="1" x14ac:dyDescent="0.2"/>
    <row r="79962" customFormat="1" x14ac:dyDescent="0.2"/>
    <row r="79963" customFormat="1" x14ac:dyDescent="0.2"/>
    <row r="79964" customFormat="1" x14ac:dyDescent="0.2"/>
    <row r="79965" customFormat="1" x14ac:dyDescent="0.2"/>
    <row r="79966" customFormat="1" x14ac:dyDescent="0.2"/>
    <row r="79967" customFormat="1" x14ac:dyDescent="0.2"/>
    <row r="79968" customFormat="1" x14ac:dyDescent="0.2"/>
    <row r="79969" customFormat="1" x14ac:dyDescent="0.2"/>
    <row r="79970" customFormat="1" x14ac:dyDescent="0.2"/>
    <row r="79971" customFormat="1" x14ac:dyDescent="0.2"/>
    <row r="79972" customFormat="1" x14ac:dyDescent="0.2"/>
    <row r="79973" customFormat="1" x14ac:dyDescent="0.2"/>
    <row r="79974" customFormat="1" x14ac:dyDescent="0.2"/>
    <row r="79975" customFormat="1" x14ac:dyDescent="0.2"/>
    <row r="79976" customFormat="1" x14ac:dyDescent="0.2"/>
    <row r="79977" customFormat="1" x14ac:dyDescent="0.2"/>
    <row r="79978" customFormat="1" x14ac:dyDescent="0.2"/>
    <row r="79979" customFormat="1" x14ac:dyDescent="0.2"/>
    <row r="79980" customFormat="1" x14ac:dyDescent="0.2"/>
    <row r="79981" customFormat="1" x14ac:dyDescent="0.2"/>
    <row r="79982" customFormat="1" x14ac:dyDescent="0.2"/>
    <row r="79983" customFormat="1" x14ac:dyDescent="0.2"/>
    <row r="79984" customFormat="1" x14ac:dyDescent="0.2"/>
    <row r="79985" customFormat="1" x14ac:dyDescent="0.2"/>
    <row r="79986" customFormat="1" x14ac:dyDescent="0.2"/>
    <row r="79987" customFormat="1" x14ac:dyDescent="0.2"/>
    <row r="79988" customFormat="1" x14ac:dyDescent="0.2"/>
    <row r="79989" customFormat="1" x14ac:dyDescent="0.2"/>
    <row r="79990" customFormat="1" x14ac:dyDescent="0.2"/>
    <row r="79991" customFormat="1" x14ac:dyDescent="0.2"/>
    <row r="79992" customFormat="1" x14ac:dyDescent="0.2"/>
    <row r="79993" customFormat="1" x14ac:dyDescent="0.2"/>
    <row r="79994" customFormat="1" x14ac:dyDescent="0.2"/>
    <row r="79995" customFormat="1" x14ac:dyDescent="0.2"/>
    <row r="79996" customFormat="1" x14ac:dyDescent="0.2"/>
    <row r="79997" customFormat="1" x14ac:dyDescent="0.2"/>
    <row r="79998" customFormat="1" x14ac:dyDescent="0.2"/>
    <row r="79999" customFormat="1" x14ac:dyDescent="0.2"/>
    <row r="80000" customFormat="1" x14ac:dyDescent="0.2"/>
    <row r="80001" customFormat="1" x14ac:dyDescent="0.2"/>
    <row r="80002" customFormat="1" x14ac:dyDescent="0.2"/>
    <row r="80003" customFormat="1" x14ac:dyDescent="0.2"/>
    <row r="80004" customFormat="1" x14ac:dyDescent="0.2"/>
    <row r="80005" customFormat="1" x14ac:dyDescent="0.2"/>
    <row r="80006" customFormat="1" x14ac:dyDescent="0.2"/>
    <row r="80007" customFormat="1" x14ac:dyDescent="0.2"/>
    <row r="80008" customFormat="1" x14ac:dyDescent="0.2"/>
    <row r="80009" customFormat="1" x14ac:dyDescent="0.2"/>
    <row r="80010" customFormat="1" x14ac:dyDescent="0.2"/>
    <row r="80011" customFormat="1" x14ac:dyDescent="0.2"/>
    <row r="80012" customFormat="1" x14ac:dyDescent="0.2"/>
    <row r="80013" customFormat="1" x14ac:dyDescent="0.2"/>
    <row r="80014" customFormat="1" x14ac:dyDescent="0.2"/>
    <row r="80015" customFormat="1" x14ac:dyDescent="0.2"/>
    <row r="80016" customFormat="1" x14ac:dyDescent="0.2"/>
    <row r="80017" customFormat="1" x14ac:dyDescent="0.2"/>
    <row r="80018" customFormat="1" x14ac:dyDescent="0.2"/>
    <row r="80019" customFormat="1" x14ac:dyDescent="0.2"/>
    <row r="80020" customFormat="1" x14ac:dyDescent="0.2"/>
    <row r="80021" customFormat="1" x14ac:dyDescent="0.2"/>
    <row r="80022" customFormat="1" x14ac:dyDescent="0.2"/>
    <row r="80023" customFormat="1" x14ac:dyDescent="0.2"/>
    <row r="80024" customFormat="1" x14ac:dyDescent="0.2"/>
    <row r="80025" customFormat="1" x14ac:dyDescent="0.2"/>
    <row r="80026" customFormat="1" x14ac:dyDescent="0.2"/>
    <row r="80027" customFormat="1" x14ac:dyDescent="0.2"/>
    <row r="80028" customFormat="1" x14ac:dyDescent="0.2"/>
    <row r="80029" customFormat="1" x14ac:dyDescent="0.2"/>
    <row r="80030" customFormat="1" x14ac:dyDescent="0.2"/>
    <row r="80031" customFormat="1" x14ac:dyDescent="0.2"/>
    <row r="80032" customFormat="1" x14ac:dyDescent="0.2"/>
    <row r="80033" customFormat="1" x14ac:dyDescent="0.2"/>
    <row r="80034" customFormat="1" x14ac:dyDescent="0.2"/>
    <row r="80035" customFormat="1" x14ac:dyDescent="0.2"/>
    <row r="80036" customFormat="1" x14ac:dyDescent="0.2"/>
    <row r="80037" customFormat="1" x14ac:dyDescent="0.2"/>
    <row r="80038" customFormat="1" x14ac:dyDescent="0.2"/>
    <row r="80039" customFormat="1" x14ac:dyDescent="0.2"/>
    <row r="80040" customFormat="1" x14ac:dyDescent="0.2"/>
    <row r="80041" customFormat="1" x14ac:dyDescent="0.2"/>
    <row r="80042" customFormat="1" x14ac:dyDescent="0.2"/>
    <row r="80043" customFormat="1" x14ac:dyDescent="0.2"/>
    <row r="80044" customFormat="1" x14ac:dyDescent="0.2"/>
    <row r="80045" customFormat="1" x14ac:dyDescent="0.2"/>
    <row r="80046" customFormat="1" x14ac:dyDescent="0.2"/>
    <row r="80047" customFormat="1" x14ac:dyDescent="0.2"/>
    <row r="80048" customFormat="1" x14ac:dyDescent="0.2"/>
    <row r="80049" customFormat="1" x14ac:dyDescent="0.2"/>
    <row r="80050" customFormat="1" x14ac:dyDescent="0.2"/>
    <row r="80051" customFormat="1" x14ac:dyDescent="0.2"/>
    <row r="80052" customFormat="1" x14ac:dyDescent="0.2"/>
    <row r="80053" customFormat="1" x14ac:dyDescent="0.2"/>
    <row r="80054" customFormat="1" x14ac:dyDescent="0.2"/>
    <row r="80055" customFormat="1" x14ac:dyDescent="0.2"/>
    <row r="80056" customFormat="1" x14ac:dyDescent="0.2"/>
    <row r="80057" customFormat="1" x14ac:dyDescent="0.2"/>
    <row r="80058" customFormat="1" x14ac:dyDescent="0.2"/>
    <row r="80059" customFormat="1" x14ac:dyDescent="0.2"/>
    <row r="80060" customFormat="1" x14ac:dyDescent="0.2"/>
    <row r="80061" customFormat="1" x14ac:dyDescent="0.2"/>
    <row r="80062" customFormat="1" x14ac:dyDescent="0.2"/>
    <row r="80063" customFormat="1" x14ac:dyDescent="0.2"/>
    <row r="80064" customFormat="1" x14ac:dyDescent="0.2"/>
    <row r="80065" customFormat="1" x14ac:dyDescent="0.2"/>
    <row r="80066" customFormat="1" x14ac:dyDescent="0.2"/>
    <row r="80067" customFormat="1" x14ac:dyDescent="0.2"/>
    <row r="80068" customFormat="1" x14ac:dyDescent="0.2"/>
    <row r="80069" customFormat="1" x14ac:dyDescent="0.2"/>
    <row r="80070" customFormat="1" x14ac:dyDescent="0.2"/>
    <row r="80071" customFormat="1" x14ac:dyDescent="0.2"/>
    <row r="80072" customFormat="1" x14ac:dyDescent="0.2"/>
    <row r="80073" customFormat="1" x14ac:dyDescent="0.2"/>
    <row r="80074" customFormat="1" x14ac:dyDescent="0.2"/>
    <row r="80075" customFormat="1" x14ac:dyDescent="0.2"/>
    <row r="80076" customFormat="1" x14ac:dyDescent="0.2"/>
    <row r="80077" customFormat="1" x14ac:dyDescent="0.2"/>
    <row r="80078" customFormat="1" x14ac:dyDescent="0.2"/>
    <row r="80079" customFormat="1" x14ac:dyDescent="0.2"/>
    <row r="80080" customFormat="1" x14ac:dyDescent="0.2"/>
    <row r="80081" customFormat="1" x14ac:dyDescent="0.2"/>
    <row r="80082" customFormat="1" x14ac:dyDescent="0.2"/>
    <row r="80083" customFormat="1" x14ac:dyDescent="0.2"/>
    <row r="80084" customFormat="1" x14ac:dyDescent="0.2"/>
    <row r="80085" customFormat="1" x14ac:dyDescent="0.2"/>
    <row r="80086" customFormat="1" x14ac:dyDescent="0.2"/>
    <row r="80087" customFormat="1" x14ac:dyDescent="0.2"/>
    <row r="80088" customFormat="1" x14ac:dyDescent="0.2"/>
    <row r="80089" customFormat="1" x14ac:dyDescent="0.2"/>
    <row r="80090" customFormat="1" x14ac:dyDescent="0.2"/>
    <row r="80091" customFormat="1" x14ac:dyDescent="0.2"/>
    <row r="80092" customFormat="1" x14ac:dyDescent="0.2"/>
    <row r="80093" customFormat="1" x14ac:dyDescent="0.2"/>
    <row r="80094" customFormat="1" x14ac:dyDescent="0.2"/>
    <row r="80095" customFormat="1" x14ac:dyDescent="0.2"/>
    <row r="80096" customFormat="1" x14ac:dyDescent="0.2"/>
    <row r="80097" customFormat="1" x14ac:dyDescent="0.2"/>
    <row r="80098" customFormat="1" x14ac:dyDescent="0.2"/>
    <row r="80099" customFormat="1" x14ac:dyDescent="0.2"/>
    <row r="80100" customFormat="1" x14ac:dyDescent="0.2"/>
    <row r="80101" customFormat="1" x14ac:dyDescent="0.2"/>
    <row r="80102" customFormat="1" x14ac:dyDescent="0.2"/>
    <row r="80103" customFormat="1" x14ac:dyDescent="0.2"/>
    <row r="80104" customFormat="1" x14ac:dyDescent="0.2"/>
    <row r="80105" customFormat="1" x14ac:dyDescent="0.2"/>
    <row r="80106" customFormat="1" x14ac:dyDescent="0.2"/>
    <row r="80107" customFormat="1" x14ac:dyDescent="0.2"/>
    <row r="80108" customFormat="1" x14ac:dyDescent="0.2"/>
    <row r="80109" customFormat="1" x14ac:dyDescent="0.2"/>
    <row r="80110" customFormat="1" x14ac:dyDescent="0.2"/>
    <row r="80111" customFormat="1" x14ac:dyDescent="0.2"/>
    <row r="80112" customFormat="1" x14ac:dyDescent="0.2"/>
    <row r="80113" customFormat="1" x14ac:dyDescent="0.2"/>
    <row r="80114" customFormat="1" x14ac:dyDescent="0.2"/>
    <row r="80115" customFormat="1" x14ac:dyDescent="0.2"/>
    <row r="80116" customFormat="1" x14ac:dyDescent="0.2"/>
    <row r="80117" customFormat="1" x14ac:dyDescent="0.2"/>
    <row r="80118" customFormat="1" x14ac:dyDescent="0.2"/>
    <row r="80119" customFormat="1" x14ac:dyDescent="0.2"/>
    <row r="80120" customFormat="1" x14ac:dyDescent="0.2"/>
    <row r="80121" customFormat="1" x14ac:dyDescent="0.2"/>
    <row r="80122" customFormat="1" x14ac:dyDescent="0.2"/>
    <row r="80123" customFormat="1" x14ac:dyDescent="0.2"/>
    <row r="80124" customFormat="1" x14ac:dyDescent="0.2"/>
    <row r="80125" customFormat="1" x14ac:dyDescent="0.2"/>
    <row r="80126" customFormat="1" x14ac:dyDescent="0.2"/>
    <row r="80127" customFormat="1" x14ac:dyDescent="0.2"/>
    <row r="80128" customFormat="1" x14ac:dyDescent="0.2"/>
    <row r="80129" customFormat="1" x14ac:dyDescent="0.2"/>
    <row r="80130" customFormat="1" x14ac:dyDescent="0.2"/>
    <row r="80131" customFormat="1" x14ac:dyDescent="0.2"/>
    <row r="80132" customFormat="1" x14ac:dyDescent="0.2"/>
    <row r="80133" customFormat="1" x14ac:dyDescent="0.2"/>
    <row r="80134" customFormat="1" x14ac:dyDescent="0.2"/>
    <row r="80135" customFormat="1" x14ac:dyDescent="0.2"/>
    <row r="80136" customFormat="1" x14ac:dyDescent="0.2"/>
    <row r="80137" customFormat="1" x14ac:dyDescent="0.2"/>
    <row r="80138" customFormat="1" x14ac:dyDescent="0.2"/>
    <row r="80139" customFormat="1" x14ac:dyDescent="0.2"/>
    <row r="80140" customFormat="1" x14ac:dyDescent="0.2"/>
    <row r="80141" customFormat="1" x14ac:dyDescent="0.2"/>
    <row r="80142" customFormat="1" x14ac:dyDescent="0.2"/>
    <row r="80143" customFormat="1" x14ac:dyDescent="0.2"/>
    <row r="80144" customFormat="1" x14ac:dyDescent="0.2"/>
    <row r="80145" customFormat="1" x14ac:dyDescent="0.2"/>
    <row r="80146" customFormat="1" x14ac:dyDescent="0.2"/>
    <row r="80147" customFormat="1" x14ac:dyDescent="0.2"/>
    <row r="80148" customFormat="1" x14ac:dyDescent="0.2"/>
    <row r="80149" customFormat="1" x14ac:dyDescent="0.2"/>
    <row r="80150" customFormat="1" x14ac:dyDescent="0.2"/>
    <row r="80151" customFormat="1" x14ac:dyDescent="0.2"/>
    <row r="80152" customFormat="1" x14ac:dyDescent="0.2"/>
    <row r="80153" customFormat="1" x14ac:dyDescent="0.2"/>
    <row r="80154" customFormat="1" x14ac:dyDescent="0.2"/>
    <row r="80155" customFormat="1" x14ac:dyDescent="0.2"/>
    <row r="80156" customFormat="1" x14ac:dyDescent="0.2"/>
    <row r="80157" customFormat="1" x14ac:dyDescent="0.2"/>
    <row r="80158" customFormat="1" x14ac:dyDescent="0.2"/>
    <row r="80159" customFormat="1" x14ac:dyDescent="0.2"/>
    <row r="80160" customFormat="1" x14ac:dyDescent="0.2"/>
    <row r="80161" customFormat="1" x14ac:dyDescent="0.2"/>
    <row r="80162" customFormat="1" x14ac:dyDescent="0.2"/>
    <row r="80163" customFormat="1" x14ac:dyDescent="0.2"/>
    <row r="80164" customFormat="1" x14ac:dyDescent="0.2"/>
    <row r="80165" customFormat="1" x14ac:dyDescent="0.2"/>
    <row r="80166" customFormat="1" x14ac:dyDescent="0.2"/>
    <row r="80167" customFormat="1" x14ac:dyDescent="0.2"/>
    <row r="80168" customFormat="1" x14ac:dyDescent="0.2"/>
    <row r="80169" customFormat="1" x14ac:dyDescent="0.2"/>
    <row r="80170" customFormat="1" x14ac:dyDescent="0.2"/>
    <row r="80171" customFormat="1" x14ac:dyDescent="0.2"/>
    <row r="80172" customFormat="1" x14ac:dyDescent="0.2"/>
    <row r="80173" customFormat="1" x14ac:dyDescent="0.2"/>
    <row r="80174" customFormat="1" x14ac:dyDescent="0.2"/>
    <row r="80175" customFormat="1" x14ac:dyDescent="0.2"/>
    <row r="80176" customFormat="1" x14ac:dyDescent="0.2"/>
    <row r="80177" customFormat="1" x14ac:dyDescent="0.2"/>
    <row r="80178" customFormat="1" x14ac:dyDescent="0.2"/>
    <row r="80179" customFormat="1" x14ac:dyDescent="0.2"/>
    <row r="80180" customFormat="1" x14ac:dyDescent="0.2"/>
    <row r="80181" customFormat="1" x14ac:dyDescent="0.2"/>
    <row r="80182" customFormat="1" x14ac:dyDescent="0.2"/>
    <row r="80183" customFormat="1" x14ac:dyDescent="0.2"/>
    <row r="80184" customFormat="1" x14ac:dyDescent="0.2"/>
    <row r="80185" customFormat="1" x14ac:dyDescent="0.2"/>
    <row r="80186" customFormat="1" x14ac:dyDescent="0.2"/>
    <row r="80187" customFormat="1" x14ac:dyDescent="0.2"/>
    <row r="80188" customFormat="1" x14ac:dyDescent="0.2"/>
    <row r="80189" customFormat="1" x14ac:dyDescent="0.2"/>
    <row r="80190" customFormat="1" x14ac:dyDescent="0.2"/>
    <row r="80191" customFormat="1" x14ac:dyDescent="0.2"/>
    <row r="80192" customFormat="1" x14ac:dyDescent="0.2"/>
    <row r="80193" customFormat="1" x14ac:dyDescent="0.2"/>
    <row r="80194" customFormat="1" x14ac:dyDescent="0.2"/>
    <row r="80195" customFormat="1" x14ac:dyDescent="0.2"/>
    <row r="80196" customFormat="1" x14ac:dyDescent="0.2"/>
    <row r="80197" customFormat="1" x14ac:dyDescent="0.2"/>
    <row r="80198" customFormat="1" x14ac:dyDescent="0.2"/>
    <row r="80199" customFormat="1" x14ac:dyDescent="0.2"/>
    <row r="80200" customFormat="1" x14ac:dyDescent="0.2"/>
    <row r="80201" customFormat="1" x14ac:dyDescent="0.2"/>
    <row r="80202" customFormat="1" x14ac:dyDescent="0.2"/>
    <row r="80203" customFormat="1" x14ac:dyDescent="0.2"/>
    <row r="80204" customFormat="1" x14ac:dyDescent="0.2"/>
    <row r="80205" customFormat="1" x14ac:dyDescent="0.2"/>
    <row r="80206" customFormat="1" x14ac:dyDescent="0.2"/>
    <row r="80207" customFormat="1" x14ac:dyDescent="0.2"/>
    <row r="80208" customFormat="1" x14ac:dyDescent="0.2"/>
    <row r="80209" customFormat="1" x14ac:dyDescent="0.2"/>
    <row r="80210" customFormat="1" x14ac:dyDescent="0.2"/>
    <row r="80211" customFormat="1" x14ac:dyDescent="0.2"/>
    <row r="80212" customFormat="1" x14ac:dyDescent="0.2"/>
    <row r="80213" customFormat="1" x14ac:dyDescent="0.2"/>
    <row r="80214" customFormat="1" x14ac:dyDescent="0.2"/>
    <row r="80215" customFormat="1" x14ac:dyDescent="0.2"/>
    <row r="80216" customFormat="1" x14ac:dyDescent="0.2"/>
    <row r="80217" customFormat="1" x14ac:dyDescent="0.2"/>
    <row r="80218" customFormat="1" x14ac:dyDescent="0.2"/>
    <row r="80219" customFormat="1" x14ac:dyDescent="0.2"/>
    <row r="80220" customFormat="1" x14ac:dyDescent="0.2"/>
    <row r="80221" customFormat="1" x14ac:dyDescent="0.2"/>
    <row r="80222" customFormat="1" x14ac:dyDescent="0.2"/>
    <row r="80223" customFormat="1" x14ac:dyDescent="0.2"/>
    <row r="80224" customFormat="1" x14ac:dyDescent="0.2"/>
    <row r="80225" customFormat="1" x14ac:dyDescent="0.2"/>
    <row r="80226" customFormat="1" x14ac:dyDescent="0.2"/>
    <row r="80227" customFormat="1" x14ac:dyDescent="0.2"/>
    <row r="80228" customFormat="1" x14ac:dyDescent="0.2"/>
    <row r="80229" customFormat="1" x14ac:dyDescent="0.2"/>
    <row r="80230" customFormat="1" x14ac:dyDescent="0.2"/>
    <row r="80231" customFormat="1" x14ac:dyDescent="0.2"/>
    <row r="80232" customFormat="1" x14ac:dyDescent="0.2"/>
    <row r="80233" customFormat="1" x14ac:dyDescent="0.2"/>
    <row r="80234" customFormat="1" x14ac:dyDescent="0.2"/>
    <row r="80235" customFormat="1" x14ac:dyDescent="0.2"/>
    <row r="80236" customFormat="1" x14ac:dyDescent="0.2"/>
    <row r="80237" customFormat="1" x14ac:dyDescent="0.2"/>
    <row r="80238" customFormat="1" x14ac:dyDescent="0.2"/>
    <row r="80239" customFormat="1" x14ac:dyDescent="0.2"/>
    <row r="80240" customFormat="1" x14ac:dyDescent="0.2"/>
    <row r="80241" customFormat="1" x14ac:dyDescent="0.2"/>
    <row r="80242" customFormat="1" x14ac:dyDescent="0.2"/>
    <row r="80243" customFormat="1" x14ac:dyDescent="0.2"/>
    <row r="80244" customFormat="1" x14ac:dyDescent="0.2"/>
    <row r="80245" customFormat="1" x14ac:dyDescent="0.2"/>
    <row r="80246" customFormat="1" x14ac:dyDescent="0.2"/>
    <row r="80247" customFormat="1" x14ac:dyDescent="0.2"/>
    <row r="80248" customFormat="1" x14ac:dyDescent="0.2"/>
    <row r="80249" customFormat="1" x14ac:dyDescent="0.2"/>
    <row r="80250" customFormat="1" x14ac:dyDescent="0.2"/>
    <row r="80251" customFormat="1" x14ac:dyDescent="0.2"/>
    <row r="80252" customFormat="1" x14ac:dyDescent="0.2"/>
    <row r="80253" customFormat="1" x14ac:dyDescent="0.2"/>
    <row r="80254" customFormat="1" x14ac:dyDescent="0.2"/>
    <row r="80255" customFormat="1" x14ac:dyDescent="0.2"/>
    <row r="80256" customFormat="1" x14ac:dyDescent="0.2"/>
    <row r="80257" customFormat="1" x14ac:dyDescent="0.2"/>
    <row r="80258" customFormat="1" x14ac:dyDescent="0.2"/>
    <row r="80259" customFormat="1" x14ac:dyDescent="0.2"/>
    <row r="80260" customFormat="1" x14ac:dyDescent="0.2"/>
    <row r="80261" customFormat="1" x14ac:dyDescent="0.2"/>
    <row r="80262" customFormat="1" x14ac:dyDescent="0.2"/>
    <row r="80263" customFormat="1" x14ac:dyDescent="0.2"/>
    <row r="80264" customFormat="1" x14ac:dyDescent="0.2"/>
    <row r="80265" customFormat="1" x14ac:dyDescent="0.2"/>
    <row r="80266" customFormat="1" x14ac:dyDescent="0.2"/>
    <row r="80267" customFormat="1" x14ac:dyDescent="0.2"/>
    <row r="80268" customFormat="1" x14ac:dyDescent="0.2"/>
    <row r="80269" customFormat="1" x14ac:dyDescent="0.2"/>
    <row r="80270" customFormat="1" x14ac:dyDescent="0.2"/>
    <row r="80271" customFormat="1" x14ac:dyDescent="0.2"/>
    <row r="80272" customFormat="1" x14ac:dyDescent="0.2"/>
    <row r="80273" customFormat="1" x14ac:dyDescent="0.2"/>
    <row r="80274" customFormat="1" x14ac:dyDescent="0.2"/>
    <row r="80275" customFormat="1" x14ac:dyDescent="0.2"/>
    <row r="80276" customFormat="1" x14ac:dyDescent="0.2"/>
    <row r="80277" customFormat="1" x14ac:dyDescent="0.2"/>
    <row r="80278" customFormat="1" x14ac:dyDescent="0.2"/>
    <row r="80279" customFormat="1" x14ac:dyDescent="0.2"/>
    <row r="80280" customFormat="1" x14ac:dyDescent="0.2"/>
    <row r="80281" customFormat="1" x14ac:dyDescent="0.2"/>
    <row r="80282" customFormat="1" x14ac:dyDescent="0.2"/>
    <row r="80283" customFormat="1" x14ac:dyDescent="0.2"/>
    <row r="80284" customFormat="1" x14ac:dyDescent="0.2"/>
    <row r="80285" customFormat="1" x14ac:dyDescent="0.2"/>
    <row r="80286" customFormat="1" x14ac:dyDescent="0.2"/>
    <row r="80287" customFormat="1" x14ac:dyDescent="0.2"/>
    <row r="80288" customFormat="1" x14ac:dyDescent="0.2"/>
    <row r="80289" customFormat="1" x14ac:dyDescent="0.2"/>
    <row r="80290" customFormat="1" x14ac:dyDescent="0.2"/>
    <row r="80291" customFormat="1" x14ac:dyDescent="0.2"/>
    <row r="80292" customFormat="1" x14ac:dyDescent="0.2"/>
    <row r="80293" customFormat="1" x14ac:dyDescent="0.2"/>
    <row r="80294" customFormat="1" x14ac:dyDescent="0.2"/>
    <row r="80295" customFormat="1" x14ac:dyDescent="0.2"/>
    <row r="80296" customFormat="1" x14ac:dyDescent="0.2"/>
    <row r="80297" customFormat="1" x14ac:dyDescent="0.2"/>
    <row r="80298" customFormat="1" x14ac:dyDescent="0.2"/>
    <row r="80299" customFormat="1" x14ac:dyDescent="0.2"/>
    <row r="80300" customFormat="1" x14ac:dyDescent="0.2"/>
    <row r="80301" customFormat="1" x14ac:dyDescent="0.2"/>
    <row r="80302" customFormat="1" x14ac:dyDescent="0.2"/>
    <row r="80303" customFormat="1" x14ac:dyDescent="0.2"/>
    <row r="80304" customFormat="1" x14ac:dyDescent="0.2"/>
    <row r="80305" customFormat="1" x14ac:dyDescent="0.2"/>
    <row r="80306" customFormat="1" x14ac:dyDescent="0.2"/>
    <row r="80307" customFormat="1" x14ac:dyDescent="0.2"/>
    <row r="80308" customFormat="1" x14ac:dyDescent="0.2"/>
    <row r="80309" customFormat="1" x14ac:dyDescent="0.2"/>
    <row r="80310" customFormat="1" x14ac:dyDescent="0.2"/>
    <row r="80311" customFormat="1" x14ac:dyDescent="0.2"/>
    <row r="80312" customFormat="1" x14ac:dyDescent="0.2"/>
    <row r="80313" customFormat="1" x14ac:dyDescent="0.2"/>
    <row r="80314" customFormat="1" x14ac:dyDescent="0.2"/>
    <row r="80315" customFormat="1" x14ac:dyDescent="0.2"/>
    <row r="80316" customFormat="1" x14ac:dyDescent="0.2"/>
    <row r="80317" customFormat="1" x14ac:dyDescent="0.2"/>
    <row r="80318" customFormat="1" x14ac:dyDescent="0.2"/>
    <row r="80319" customFormat="1" x14ac:dyDescent="0.2"/>
    <row r="80320" customFormat="1" x14ac:dyDescent="0.2"/>
    <row r="80321" customFormat="1" x14ac:dyDescent="0.2"/>
    <row r="80322" customFormat="1" x14ac:dyDescent="0.2"/>
    <row r="80323" customFormat="1" x14ac:dyDescent="0.2"/>
    <row r="80324" customFormat="1" x14ac:dyDescent="0.2"/>
    <row r="80325" customFormat="1" x14ac:dyDescent="0.2"/>
    <row r="80326" customFormat="1" x14ac:dyDescent="0.2"/>
    <row r="80327" customFormat="1" x14ac:dyDescent="0.2"/>
    <row r="80328" customFormat="1" x14ac:dyDescent="0.2"/>
    <row r="80329" customFormat="1" x14ac:dyDescent="0.2"/>
    <row r="80330" customFormat="1" x14ac:dyDescent="0.2"/>
    <row r="80331" customFormat="1" x14ac:dyDescent="0.2"/>
    <row r="80332" customFormat="1" x14ac:dyDescent="0.2"/>
    <row r="80333" customFormat="1" x14ac:dyDescent="0.2"/>
    <row r="80334" customFormat="1" x14ac:dyDescent="0.2"/>
    <row r="80335" customFormat="1" x14ac:dyDescent="0.2"/>
    <row r="80336" customFormat="1" x14ac:dyDescent="0.2"/>
    <row r="80337" customFormat="1" x14ac:dyDescent="0.2"/>
    <row r="80338" customFormat="1" x14ac:dyDescent="0.2"/>
    <row r="80339" customFormat="1" x14ac:dyDescent="0.2"/>
    <row r="80340" customFormat="1" x14ac:dyDescent="0.2"/>
    <row r="80341" customFormat="1" x14ac:dyDescent="0.2"/>
    <row r="80342" customFormat="1" x14ac:dyDescent="0.2"/>
    <row r="80343" customFormat="1" x14ac:dyDescent="0.2"/>
    <row r="80344" customFormat="1" x14ac:dyDescent="0.2"/>
    <row r="80345" customFormat="1" x14ac:dyDescent="0.2"/>
    <row r="80346" customFormat="1" x14ac:dyDescent="0.2"/>
    <row r="80347" customFormat="1" x14ac:dyDescent="0.2"/>
    <row r="80348" customFormat="1" x14ac:dyDescent="0.2"/>
    <row r="80349" customFormat="1" x14ac:dyDescent="0.2"/>
    <row r="80350" customFormat="1" x14ac:dyDescent="0.2"/>
    <row r="80351" customFormat="1" x14ac:dyDescent="0.2"/>
    <row r="80352" customFormat="1" x14ac:dyDescent="0.2"/>
    <row r="80353" customFormat="1" x14ac:dyDescent="0.2"/>
    <row r="80354" customFormat="1" x14ac:dyDescent="0.2"/>
    <row r="80355" customFormat="1" x14ac:dyDescent="0.2"/>
    <row r="80356" customFormat="1" x14ac:dyDescent="0.2"/>
    <row r="80357" customFormat="1" x14ac:dyDescent="0.2"/>
    <row r="80358" customFormat="1" x14ac:dyDescent="0.2"/>
    <row r="80359" customFormat="1" x14ac:dyDescent="0.2"/>
    <row r="80360" customFormat="1" x14ac:dyDescent="0.2"/>
    <row r="80361" customFormat="1" x14ac:dyDescent="0.2"/>
    <row r="80362" customFormat="1" x14ac:dyDescent="0.2"/>
    <row r="80363" customFormat="1" x14ac:dyDescent="0.2"/>
    <row r="80364" customFormat="1" x14ac:dyDescent="0.2"/>
    <row r="80365" customFormat="1" x14ac:dyDescent="0.2"/>
    <row r="80366" customFormat="1" x14ac:dyDescent="0.2"/>
    <row r="80367" customFormat="1" x14ac:dyDescent="0.2"/>
    <row r="80368" customFormat="1" x14ac:dyDescent="0.2"/>
    <row r="80369" customFormat="1" x14ac:dyDescent="0.2"/>
    <row r="80370" customFormat="1" x14ac:dyDescent="0.2"/>
    <row r="80371" customFormat="1" x14ac:dyDescent="0.2"/>
    <row r="80372" customFormat="1" x14ac:dyDescent="0.2"/>
    <row r="80373" customFormat="1" x14ac:dyDescent="0.2"/>
    <row r="80374" customFormat="1" x14ac:dyDescent="0.2"/>
    <row r="80375" customFormat="1" x14ac:dyDescent="0.2"/>
    <row r="80376" customFormat="1" x14ac:dyDescent="0.2"/>
    <row r="80377" customFormat="1" x14ac:dyDescent="0.2"/>
    <row r="80378" customFormat="1" x14ac:dyDescent="0.2"/>
    <row r="80379" customFormat="1" x14ac:dyDescent="0.2"/>
    <row r="80380" customFormat="1" x14ac:dyDescent="0.2"/>
    <row r="80381" customFormat="1" x14ac:dyDescent="0.2"/>
    <row r="80382" customFormat="1" x14ac:dyDescent="0.2"/>
    <row r="80383" customFormat="1" x14ac:dyDescent="0.2"/>
    <row r="80384" customFormat="1" x14ac:dyDescent="0.2"/>
    <row r="80385" customFormat="1" x14ac:dyDescent="0.2"/>
    <row r="80386" customFormat="1" x14ac:dyDescent="0.2"/>
    <row r="80387" customFormat="1" x14ac:dyDescent="0.2"/>
    <row r="80388" customFormat="1" x14ac:dyDescent="0.2"/>
    <row r="80389" customFormat="1" x14ac:dyDescent="0.2"/>
    <row r="80390" customFormat="1" x14ac:dyDescent="0.2"/>
    <row r="80391" customFormat="1" x14ac:dyDescent="0.2"/>
    <row r="80392" customFormat="1" x14ac:dyDescent="0.2"/>
    <row r="80393" customFormat="1" x14ac:dyDescent="0.2"/>
    <row r="80394" customFormat="1" x14ac:dyDescent="0.2"/>
    <row r="80395" customFormat="1" x14ac:dyDescent="0.2"/>
    <row r="80396" customFormat="1" x14ac:dyDescent="0.2"/>
    <row r="80397" customFormat="1" x14ac:dyDescent="0.2"/>
    <row r="80398" customFormat="1" x14ac:dyDescent="0.2"/>
    <row r="80399" customFormat="1" x14ac:dyDescent="0.2"/>
    <row r="80400" customFormat="1" x14ac:dyDescent="0.2"/>
    <row r="80401" customFormat="1" x14ac:dyDescent="0.2"/>
    <row r="80402" customFormat="1" x14ac:dyDescent="0.2"/>
    <row r="80403" customFormat="1" x14ac:dyDescent="0.2"/>
    <row r="80404" customFormat="1" x14ac:dyDescent="0.2"/>
    <row r="80405" customFormat="1" x14ac:dyDescent="0.2"/>
    <row r="80406" customFormat="1" x14ac:dyDescent="0.2"/>
    <row r="80407" customFormat="1" x14ac:dyDescent="0.2"/>
    <row r="80408" customFormat="1" x14ac:dyDescent="0.2"/>
    <row r="80409" customFormat="1" x14ac:dyDescent="0.2"/>
    <row r="80410" customFormat="1" x14ac:dyDescent="0.2"/>
    <row r="80411" customFormat="1" x14ac:dyDescent="0.2"/>
    <row r="80412" customFormat="1" x14ac:dyDescent="0.2"/>
    <row r="80413" customFormat="1" x14ac:dyDescent="0.2"/>
    <row r="80414" customFormat="1" x14ac:dyDescent="0.2"/>
    <row r="80415" customFormat="1" x14ac:dyDescent="0.2"/>
    <row r="80416" customFormat="1" x14ac:dyDescent="0.2"/>
    <row r="80417" customFormat="1" x14ac:dyDescent="0.2"/>
    <row r="80418" customFormat="1" x14ac:dyDescent="0.2"/>
    <row r="80419" customFormat="1" x14ac:dyDescent="0.2"/>
    <row r="80420" customFormat="1" x14ac:dyDescent="0.2"/>
    <row r="80421" customFormat="1" x14ac:dyDescent="0.2"/>
    <row r="80422" customFormat="1" x14ac:dyDescent="0.2"/>
    <row r="80423" customFormat="1" x14ac:dyDescent="0.2"/>
    <row r="80424" customFormat="1" x14ac:dyDescent="0.2"/>
    <row r="80425" customFormat="1" x14ac:dyDescent="0.2"/>
    <row r="80426" customFormat="1" x14ac:dyDescent="0.2"/>
    <row r="80427" customFormat="1" x14ac:dyDescent="0.2"/>
    <row r="80428" customFormat="1" x14ac:dyDescent="0.2"/>
    <row r="80429" customFormat="1" x14ac:dyDescent="0.2"/>
    <row r="80430" customFormat="1" x14ac:dyDescent="0.2"/>
    <row r="80431" customFormat="1" x14ac:dyDescent="0.2"/>
    <row r="80432" customFormat="1" x14ac:dyDescent="0.2"/>
    <row r="80433" customFormat="1" x14ac:dyDescent="0.2"/>
    <row r="80434" customFormat="1" x14ac:dyDescent="0.2"/>
    <row r="80435" customFormat="1" x14ac:dyDescent="0.2"/>
    <row r="80436" customFormat="1" x14ac:dyDescent="0.2"/>
    <row r="80437" customFormat="1" x14ac:dyDescent="0.2"/>
    <row r="80438" customFormat="1" x14ac:dyDescent="0.2"/>
    <row r="80439" customFormat="1" x14ac:dyDescent="0.2"/>
    <row r="80440" customFormat="1" x14ac:dyDescent="0.2"/>
    <row r="80441" customFormat="1" x14ac:dyDescent="0.2"/>
    <row r="80442" customFormat="1" x14ac:dyDescent="0.2"/>
    <row r="80443" customFormat="1" x14ac:dyDescent="0.2"/>
    <row r="80444" customFormat="1" x14ac:dyDescent="0.2"/>
    <row r="80445" customFormat="1" x14ac:dyDescent="0.2"/>
    <row r="80446" customFormat="1" x14ac:dyDescent="0.2"/>
    <row r="80447" customFormat="1" x14ac:dyDescent="0.2"/>
    <row r="80448" customFormat="1" x14ac:dyDescent="0.2"/>
    <row r="80449" customFormat="1" x14ac:dyDescent="0.2"/>
    <row r="80450" customFormat="1" x14ac:dyDescent="0.2"/>
    <row r="80451" customFormat="1" x14ac:dyDescent="0.2"/>
    <row r="80452" customFormat="1" x14ac:dyDescent="0.2"/>
    <row r="80453" customFormat="1" x14ac:dyDescent="0.2"/>
    <row r="80454" customFormat="1" x14ac:dyDescent="0.2"/>
    <row r="80455" customFormat="1" x14ac:dyDescent="0.2"/>
    <row r="80456" customFormat="1" x14ac:dyDescent="0.2"/>
    <row r="80457" customFormat="1" x14ac:dyDescent="0.2"/>
    <row r="80458" customFormat="1" x14ac:dyDescent="0.2"/>
    <row r="80459" customFormat="1" x14ac:dyDescent="0.2"/>
    <row r="80460" customFormat="1" x14ac:dyDescent="0.2"/>
    <row r="80461" customFormat="1" x14ac:dyDescent="0.2"/>
    <row r="80462" customFormat="1" x14ac:dyDescent="0.2"/>
    <row r="80463" customFormat="1" x14ac:dyDescent="0.2"/>
    <row r="80464" customFormat="1" x14ac:dyDescent="0.2"/>
    <row r="80465" customFormat="1" x14ac:dyDescent="0.2"/>
    <row r="80466" customFormat="1" x14ac:dyDescent="0.2"/>
    <row r="80467" customFormat="1" x14ac:dyDescent="0.2"/>
    <row r="80468" customFormat="1" x14ac:dyDescent="0.2"/>
    <row r="80469" customFormat="1" x14ac:dyDescent="0.2"/>
    <row r="80470" customFormat="1" x14ac:dyDescent="0.2"/>
    <row r="80471" customFormat="1" x14ac:dyDescent="0.2"/>
    <row r="80472" customFormat="1" x14ac:dyDescent="0.2"/>
    <row r="80473" customFormat="1" x14ac:dyDescent="0.2"/>
    <row r="80474" customFormat="1" x14ac:dyDescent="0.2"/>
    <row r="80475" customFormat="1" x14ac:dyDescent="0.2"/>
    <row r="80476" customFormat="1" x14ac:dyDescent="0.2"/>
    <row r="80477" customFormat="1" x14ac:dyDescent="0.2"/>
    <row r="80478" customFormat="1" x14ac:dyDescent="0.2"/>
    <row r="80479" customFormat="1" x14ac:dyDescent="0.2"/>
    <row r="80480" customFormat="1" x14ac:dyDescent="0.2"/>
    <row r="80481" customFormat="1" x14ac:dyDescent="0.2"/>
    <row r="80482" customFormat="1" x14ac:dyDescent="0.2"/>
    <row r="80483" customFormat="1" x14ac:dyDescent="0.2"/>
    <row r="80484" customFormat="1" x14ac:dyDescent="0.2"/>
    <row r="80485" customFormat="1" x14ac:dyDescent="0.2"/>
    <row r="80486" customFormat="1" x14ac:dyDescent="0.2"/>
    <row r="80487" customFormat="1" x14ac:dyDescent="0.2"/>
    <row r="80488" customFormat="1" x14ac:dyDescent="0.2"/>
    <row r="80489" customFormat="1" x14ac:dyDescent="0.2"/>
    <row r="80490" customFormat="1" x14ac:dyDescent="0.2"/>
    <row r="80491" customFormat="1" x14ac:dyDescent="0.2"/>
    <row r="80492" customFormat="1" x14ac:dyDescent="0.2"/>
    <row r="80493" customFormat="1" x14ac:dyDescent="0.2"/>
    <row r="80494" customFormat="1" x14ac:dyDescent="0.2"/>
    <row r="80495" customFormat="1" x14ac:dyDescent="0.2"/>
    <row r="80496" customFormat="1" x14ac:dyDescent="0.2"/>
    <row r="80497" customFormat="1" x14ac:dyDescent="0.2"/>
    <row r="80498" customFormat="1" x14ac:dyDescent="0.2"/>
    <row r="80499" customFormat="1" x14ac:dyDescent="0.2"/>
    <row r="80500" customFormat="1" x14ac:dyDescent="0.2"/>
    <row r="80501" customFormat="1" x14ac:dyDescent="0.2"/>
    <row r="80502" customFormat="1" x14ac:dyDescent="0.2"/>
    <row r="80503" customFormat="1" x14ac:dyDescent="0.2"/>
    <row r="80504" customFormat="1" x14ac:dyDescent="0.2"/>
    <row r="80505" customFormat="1" x14ac:dyDescent="0.2"/>
    <row r="80506" customFormat="1" x14ac:dyDescent="0.2"/>
    <row r="80507" customFormat="1" x14ac:dyDescent="0.2"/>
    <row r="80508" customFormat="1" x14ac:dyDescent="0.2"/>
    <row r="80509" customFormat="1" x14ac:dyDescent="0.2"/>
    <row r="80510" customFormat="1" x14ac:dyDescent="0.2"/>
    <row r="80511" customFormat="1" x14ac:dyDescent="0.2"/>
    <row r="80512" customFormat="1" x14ac:dyDescent="0.2"/>
    <row r="80513" customFormat="1" x14ac:dyDescent="0.2"/>
    <row r="80514" customFormat="1" x14ac:dyDescent="0.2"/>
    <row r="80515" customFormat="1" x14ac:dyDescent="0.2"/>
    <row r="80516" customFormat="1" x14ac:dyDescent="0.2"/>
    <row r="80517" customFormat="1" x14ac:dyDescent="0.2"/>
    <row r="80518" customFormat="1" x14ac:dyDescent="0.2"/>
    <row r="80519" customFormat="1" x14ac:dyDescent="0.2"/>
    <row r="80520" customFormat="1" x14ac:dyDescent="0.2"/>
    <row r="80521" customFormat="1" x14ac:dyDescent="0.2"/>
    <row r="80522" customFormat="1" x14ac:dyDescent="0.2"/>
    <row r="80523" customFormat="1" x14ac:dyDescent="0.2"/>
    <row r="80524" customFormat="1" x14ac:dyDescent="0.2"/>
    <row r="80525" customFormat="1" x14ac:dyDescent="0.2"/>
    <row r="80526" customFormat="1" x14ac:dyDescent="0.2"/>
    <row r="80527" customFormat="1" x14ac:dyDescent="0.2"/>
    <row r="80528" customFormat="1" x14ac:dyDescent="0.2"/>
    <row r="80529" customFormat="1" x14ac:dyDescent="0.2"/>
    <row r="80530" customFormat="1" x14ac:dyDescent="0.2"/>
    <row r="80531" customFormat="1" x14ac:dyDescent="0.2"/>
    <row r="80532" customFormat="1" x14ac:dyDescent="0.2"/>
    <row r="80533" customFormat="1" x14ac:dyDescent="0.2"/>
    <row r="80534" customFormat="1" x14ac:dyDescent="0.2"/>
    <row r="80535" customFormat="1" x14ac:dyDescent="0.2"/>
    <row r="80536" customFormat="1" x14ac:dyDescent="0.2"/>
    <row r="80537" customFormat="1" x14ac:dyDescent="0.2"/>
    <row r="80538" customFormat="1" x14ac:dyDescent="0.2"/>
    <row r="80539" customFormat="1" x14ac:dyDescent="0.2"/>
    <row r="80540" customFormat="1" x14ac:dyDescent="0.2"/>
    <row r="80541" customFormat="1" x14ac:dyDescent="0.2"/>
    <row r="80542" customFormat="1" x14ac:dyDescent="0.2"/>
    <row r="80543" customFormat="1" x14ac:dyDescent="0.2"/>
    <row r="80544" customFormat="1" x14ac:dyDescent="0.2"/>
    <row r="80545" customFormat="1" x14ac:dyDescent="0.2"/>
    <row r="80546" customFormat="1" x14ac:dyDescent="0.2"/>
    <row r="80547" customFormat="1" x14ac:dyDescent="0.2"/>
    <row r="80548" customFormat="1" x14ac:dyDescent="0.2"/>
    <row r="80549" customFormat="1" x14ac:dyDescent="0.2"/>
    <row r="80550" customFormat="1" x14ac:dyDescent="0.2"/>
    <row r="80551" customFormat="1" x14ac:dyDescent="0.2"/>
    <row r="80552" customFormat="1" x14ac:dyDescent="0.2"/>
    <row r="80553" customFormat="1" x14ac:dyDescent="0.2"/>
    <row r="80554" customFormat="1" x14ac:dyDescent="0.2"/>
    <row r="80555" customFormat="1" x14ac:dyDescent="0.2"/>
    <row r="80556" customFormat="1" x14ac:dyDescent="0.2"/>
    <row r="80557" customFormat="1" x14ac:dyDescent="0.2"/>
    <row r="80558" customFormat="1" x14ac:dyDescent="0.2"/>
    <row r="80559" customFormat="1" x14ac:dyDescent="0.2"/>
    <row r="80560" customFormat="1" x14ac:dyDescent="0.2"/>
    <row r="80561" customFormat="1" x14ac:dyDescent="0.2"/>
    <row r="80562" customFormat="1" x14ac:dyDescent="0.2"/>
    <row r="80563" customFormat="1" x14ac:dyDescent="0.2"/>
    <row r="80564" customFormat="1" x14ac:dyDescent="0.2"/>
    <row r="80565" customFormat="1" x14ac:dyDescent="0.2"/>
    <row r="80566" customFormat="1" x14ac:dyDescent="0.2"/>
    <row r="80567" customFormat="1" x14ac:dyDescent="0.2"/>
    <row r="80568" customFormat="1" x14ac:dyDescent="0.2"/>
    <row r="80569" customFormat="1" x14ac:dyDescent="0.2"/>
    <row r="80570" customFormat="1" x14ac:dyDescent="0.2"/>
    <row r="80571" customFormat="1" x14ac:dyDescent="0.2"/>
    <row r="80572" customFormat="1" x14ac:dyDescent="0.2"/>
    <row r="80573" customFormat="1" x14ac:dyDescent="0.2"/>
    <row r="80574" customFormat="1" x14ac:dyDescent="0.2"/>
    <row r="80575" customFormat="1" x14ac:dyDescent="0.2"/>
    <row r="80576" customFormat="1" x14ac:dyDescent="0.2"/>
    <row r="80577" customFormat="1" x14ac:dyDescent="0.2"/>
    <row r="80578" customFormat="1" x14ac:dyDescent="0.2"/>
    <row r="80579" customFormat="1" x14ac:dyDescent="0.2"/>
    <row r="80580" customFormat="1" x14ac:dyDescent="0.2"/>
    <row r="80581" customFormat="1" x14ac:dyDescent="0.2"/>
    <row r="80582" customFormat="1" x14ac:dyDescent="0.2"/>
    <row r="80583" customFormat="1" x14ac:dyDescent="0.2"/>
    <row r="80584" customFormat="1" x14ac:dyDescent="0.2"/>
    <row r="80585" customFormat="1" x14ac:dyDescent="0.2"/>
    <row r="80586" customFormat="1" x14ac:dyDescent="0.2"/>
    <row r="80587" customFormat="1" x14ac:dyDescent="0.2"/>
    <row r="80588" customFormat="1" x14ac:dyDescent="0.2"/>
    <row r="80589" customFormat="1" x14ac:dyDescent="0.2"/>
    <row r="80590" customFormat="1" x14ac:dyDescent="0.2"/>
    <row r="80591" customFormat="1" x14ac:dyDescent="0.2"/>
    <row r="80592" customFormat="1" x14ac:dyDescent="0.2"/>
    <row r="80593" customFormat="1" x14ac:dyDescent="0.2"/>
    <row r="80594" customFormat="1" x14ac:dyDescent="0.2"/>
    <row r="80595" customFormat="1" x14ac:dyDescent="0.2"/>
    <row r="80596" customFormat="1" x14ac:dyDescent="0.2"/>
    <row r="80597" customFormat="1" x14ac:dyDescent="0.2"/>
    <row r="80598" customFormat="1" x14ac:dyDescent="0.2"/>
    <row r="80599" customFormat="1" x14ac:dyDescent="0.2"/>
    <row r="80600" customFormat="1" x14ac:dyDescent="0.2"/>
    <row r="80601" customFormat="1" x14ac:dyDescent="0.2"/>
    <row r="80602" customFormat="1" x14ac:dyDescent="0.2"/>
    <row r="80603" customFormat="1" x14ac:dyDescent="0.2"/>
    <row r="80604" customFormat="1" x14ac:dyDescent="0.2"/>
    <row r="80605" customFormat="1" x14ac:dyDescent="0.2"/>
    <row r="80606" customFormat="1" x14ac:dyDescent="0.2"/>
    <row r="80607" customFormat="1" x14ac:dyDescent="0.2"/>
    <row r="80608" customFormat="1" x14ac:dyDescent="0.2"/>
    <row r="80609" customFormat="1" x14ac:dyDescent="0.2"/>
    <row r="80610" customFormat="1" x14ac:dyDescent="0.2"/>
    <row r="80611" customFormat="1" x14ac:dyDescent="0.2"/>
    <row r="80612" customFormat="1" x14ac:dyDescent="0.2"/>
    <row r="80613" customFormat="1" x14ac:dyDescent="0.2"/>
    <row r="80614" customFormat="1" x14ac:dyDescent="0.2"/>
    <row r="80615" customFormat="1" x14ac:dyDescent="0.2"/>
    <row r="80616" customFormat="1" x14ac:dyDescent="0.2"/>
    <row r="80617" customFormat="1" x14ac:dyDescent="0.2"/>
    <row r="80618" customFormat="1" x14ac:dyDescent="0.2"/>
    <row r="80619" customFormat="1" x14ac:dyDescent="0.2"/>
    <row r="80620" customFormat="1" x14ac:dyDescent="0.2"/>
    <row r="80621" customFormat="1" x14ac:dyDescent="0.2"/>
    <row r="80622" customFormat="1" x14ac:dyDescent="0.2"/>
    <row r="80623" customFormat="1" x14ac:dyDescent="0.2"/>
  </sheetData>
  <autoFilter ref="A1:CR80623" xr:uid="{00000000-0009-0000-0000-000000000000}"/>
  <sortState xmlns:xlrd2="http://schemas.microsoft.com/office/spreadsheetml/2017/richdata2" ref="A2:CS85916">
    <sortCondition ref="CK1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LCA_FY2021_Q1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Microsoft Office User</cp:lastModifiedBy>
  <dcterms:created xsi:type="dcterms:W3CDTF">2021-01-07T12:06:09Z</dcterms:created>
  <dcterms:modified xsi:type="dcterms:W3CDTF">2023-04-25T11:22:26Z</dcterms:modified>
</cp:coreProperties>
</file>